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4.xml" ContentType="application/vnd.openxmlformats-officedocument.spreadsheetml.worksheet+xml"/>
  <Override PartName="/xl/vbaProject.bin" ContentType="application/vnd.ms-office.vbaProject"/>
  <Override PartName="/xl/worksheets/sheet3.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calcChain.xml" ContentType="application/vnd.openxmlformats-officedocument.spreadsheetml.calcChain+xml"/>
  <Override PartName="/xl/ctrlProps/ctrlProp1.xml" ContentType="application/vnd.ms-excel.controlproperties+xml"/>
  <Override PartName="/xl/ctrlProps/ctrlProp2.xml" ContentType="application/vnd.ms-excel.controlpropertie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workbookProtection workbookPassword="DA0B" lockStructure="1"/>
  <bookViews>
    <workbookView xWindow="0" yWindow="1665" windowWidth="2190" windowHeight="5580" tabRatio="723"/>
  </bookViews>
  <sheets>
    <sheet name="Agreement" sheetId="20" r:id="rId1"/>
    <sheet name="Instructions" sheetId="1" state="hidden" r:id="rId2"/>
    <sheet name="Definitions" sheetId="21" state="hidden" r:id="rId3"/>
    <sheet name="Project Info" sheetId="2" state="hidden" r:id="rId4"/>
    <sheet name="Inventory" sheetId="3" state="hidden" r:id="rId5"/>
    <sheet name="Pre-Inspection" sheetId="25" state="hidden" r:id="rId6"/>
    <sheet name="Post-Inspection" sheetId="26" state="hidden" r:id="rId7"/>
    <sheet name="Factor Tables" sheetId="11" state="hidden" r:id="rId8"/>
    <sheet name="Baselines" sheetId="14" state="hidden" r:id="rId9"/>
    <sheet name="Early Retirement" sheetId="16" state="hidden" r:id="rId10"/>
    <sheet name="Utility Admin" sheetId="19" state="hidden" r:id="rId11"/>
    <sheet name="Custom Bldg" sheetId="17" state="hidden" r:id="rId12"/>
    <sheet name="Summary" sheetId="6" state="hidden" r:id="rId13"/>
    <sheet name="Reader" sheetId="18" state="hidden" r:id="rId14"/>
    <sheet name="Reader2" sheetId="24" state="hidden" r:id="rId15"/>
  </sheets>
  <definedNames>
    <definedName name="_xlnm._FilterDatabase" localSheetId="4" hidden="1">Inventory!$B$7:$AV$262</definedName>
    <definedName name="_xlnm._FilterDatabase" localSheetId="6" hidden="1">'Post-Inspection'!$B$4:$AA$257</definedName>
    <definedName name="_xlnm._FilterDatabase" localSheetId="5" hidden="1">'Pre-Inspection'!$B$4:$V$257</definedName>
    <definedName name="AptMid">Inventory!$DD$10:$DD$11</definedName>
    <definedName name="BldgType">'Factor Tables'!$B$5:$B$32</definedName>
    <definedName name="ChillerCompType">Baselines!$H$3:$H$6</definedName>
    <definedName name="Clinic">Inventory!$DD$46:$DD$47</definedName>
    <definedName name="CNPProg">'Project Info'!$Z$3:$Z$12</definedName>
    <definedName name="Convenience">Inventory!$DD$99</definedName>
    <definedName name="Custom">Inventory!$DD$161:$DD$168</definedName>
    <definedName name="EntProg">'Project Info'!$AC$3:$AC$4</definedName>
    <definedName name="EPENMProg">'Project Info'!$AB$3:$AB$4</definedName>
    <definedName name="EPEProg">'Project Info'!$AA$3:$AA$6</definedName>
    <definedName name="ERYears">'Early Retirement'!$B$6:$B$33</definedName>
    <definedName name="Hospital">Inventory!$DD$50:$DD$53</definedName>
    <definedName name="HotelLg">Inventory!$DD$14:$DD$20</definedName>
    <definedName name="HotelLgER">Inventory!$DD$24:$DD$29</definedName>
    <definedName name="HotelSm">Inventory!$DD$32:$DD$36</definedName>
    <definedName name="HotelSmER">Inventory!$DD$40:$DD$43</definedName>
    <definedName name="LouveredSides">Baselines!$N$3:$N$5</definedName>
    <definedName name="Nursing">Inventory!$DD$56:$DD$58</definedName>
    <definedName name="OfficeLg">Inventory!$DD$61:$DD$64</definedName>
    <definedName name="OfficeMed">Inventory!$DD$67:$DD$68</definedName>
    <definedName name="OfficeSm">Inventory!$DD$71:$DD$72</definedName>
    <definedName name="OfficeSmZ5">Inventory!$DD$75:$DD$78</definedName>
    <definedName name="OncorProg">'Project Info'!$AD$3</definedName>
    <definedName name="Other">Inventory!$DD$155:$DD$158</definedName>
    <definedName name="PicTable">'Project Info'!$M$2:$N$13</definedName>
    <definedName name="_xlnm.Print_Area" localSheetId="4">Inventory!$B$2:$AW$262</definedName>
    <definedName name="_xlnm.Print_Area" localSheetId="6">'Post-Inspection'!$B$2:$AB$257</definedName>
    <definedName name="_xlnm.Print_Area" localSheetId="5">'Pre-Inspection'!$B$2:$W$257</definedName>
    <definedName name="_xlnm.Print_Area" localSheetId="3">'Project Info'!$A$1:$L$39</definedName>
    <definedName name="Program">'Project Info'!$H$10</definedName>
    <definedName name="ProgramList">'Project Info'!$T$14</definedName>
    <definedName name="PubAss">Inventory!$DD$81:$DD$83</definedName>
    <definedName name="Religious">Inventory!$DD$86:$DD$88</definedName>
    <definedName name="RestFull">Inventory!$DD$91:$DD$92</definedName>
    <definedName name="RestQuick">Inventory!$DD$95:$DD$96</definedName>
    <definedName name="Retail">Inventory!$DD$102:$DD$103</definedName>
    <definedName name="RetailZ5">Inventory!$DD$106:$DD$109</definedName>
    <definedName name="ReverseCycle">Baselines!$K$3:$K$5</definedName>
    <definedName name="SchoolPri">Inventory!$DD$121:$DD$122</definedName>
    <definedName name="SchoolPriZ5">Inventory!$DD$125:$DD$128</definedName>
    <definedName name="SchoolSec">Inventory!$DD$131:$DD$134</definedName>
    <definedName name="Service">Inventory!$DD$142</definedName>
    <definedName name="SharyProg">'Project Info'!$AE$3</definedName>
    <definedName name="State">'Project Info'!$D$10</definedName>
    <definedName name="StateList">'Project Info'!$S$14</definedName>
    <definedName name="States">'Project Info'!$M$2:$M$3</definedName>
    <definedName name="StripMall">Inventory!$DD$112:$DD$113</definedName>
    <definedName name="Supermarket">Inventory!$DD$116:$DD$118</definedName>
    <definedName name="SWEPCOProg">'Project Info'!$W$3</definedName>
    <definedName name="TCCProg">'Project Info'!$X$3</definedName>
    <definedName name="Texas">'Project Info'!$M$2</definedName>
    <definedName name="TNCProg">'Project Info'!$Y$3</definedName>
    <definedName name="TNMPProg">'Project Info'!$AF$3:$AF$8</definedName>
    <definedName name="University">Inventory!$DD$137:$DD$139</definedName>
    <definedName name="Utilities">'Project Info'!$R$3:$R$12</definedName>
    <definedName name="Utility">'Project Info'!$D$6</definedName>
    <definedName name="Warehouse">Inventory!$DD$145:$DD$146</definedName>
    <definedName name="WarehouseZ5">Inventory!$DD$149:$DD$152</definedName>
    <definedName name="WeatherZones">'Project Info'!$P$3:$P$7</definedName>
    <definedName name="WxZn">'Project Info'!$D$8</definedName>
    <definedName name="WxZn1">'Project Info'!$AI$3</definedName>
    <definedName name="WxZn12">'Project Info'!$AJ$3:$AJ$4</definedName>
    <definedName name="WxZn123">'Project Info'!$AK$3:$AK$5</definedName>
    <definedName name="WxZn12345">'Project Info'!$AL$3:$AL$7</definedName>
    <definedName name="WxZn23">'Project Info'!$AM$3:$AM$4</definedName>
    <definedName name="WxZn234">'Project Info'!$AN$3:$AN$5</definedName>
    <definedName name="WxZn24">'Project Info'!$AO$3:$AO$4</definedName>
    <definedName name="WxZn3">'Project Info'!$AP$3</definedName>
    <definedName name="WxZn5">'Project Info'!$AQ$3</definedName>
    <definedName name="WxZnList">'Project Info'!$U$14</definedName>
    <definedName name="WZList">'Project Info'!$U$14</definedName>
    <definedName name="XcelProg">'Project Info'!$AG$3:$AG$4</definedName>
  </definedNames>
  <calcPr calcId="145621"/>
</workbook>
</file>

<file path=xl/calcChain.xml><?xml version="1.0" encoding="utf-8"?>
<calcChain xmlns="http://schemas.openxmlformats.org/spreadsheetml/2006/main">
  <c r="O30" i="19" l="1"/>
  <c r="O31" i="19"/>
  <c r="O32" i="19"/>
  <c r="L155" i="11" l="1"/>
  <c r="K155" i="11"/>
  <c r="J155" i="11"/>
  <c r="F155" i="11"/>
  <c r="E155" i="11"/>
  <c r="D155" i="11"/>
  <c r="C155" i="11"/>
  <c r="N123" i="11"/>
  <c r="M123" i="11"/>
  <c r="L123" i="11"/>
  <c r="K123" i="11"/>
  <c r="J123" i="11"/>
  <c r="F123" i="11"/>
  <c r="E123" i="11"/>
  <c r="D123" i="11"/>
  <c r="C123" i="11"/>
  <c r="N91" i="11"/>
  <c r="M91" i="11"/>
  <c r="L91" i="11"/>
  <c r="K91" i="11"/>
  <c r="J91" i="11"/>
  <c r="F91" i="11"/>
  <c r="E91" i="11"/>
  <c r="D91" i="11"/>
  <c r="C91" i="11"/>
  <c r="N59" i="11"/>
  <c r="M59" i="11"/>
  <c r="L59" i="11"/>
  <c r="K59" i="11"/>
  <c r="J59" i="11"/>
  <c r="F59" i="11"/>
  <c r="E59" i="11"/>
  <c r="D59" i="11"/>
  <c r="C59" i="11"/>
  <c r="N27" i="11"/>
  <c r="M27" i="11"/>
  <c r="L27" i="11"/>
  <c r="K27" i="11"/>
  <c r="J27" i="11"/>
  <c r="F27" i="11"/>
  <c r="E27" i="11"/>
  <c r="D27" i="11"/>
  <c r="C27" i="11"/>
  <c r="CV123" i="14" l="1"/>
  <c r="CV122" i="14"/>
  <c r="CV121" i="14"/>
  <c r="CV120" i="14"/>
  <c r="CV119" i="14"/>
  <c r="CV118" i="14"/>
  <c r="CV117" i="14"/>
  <c r="CV116" i="14"/>
  <c r="CV115" i="14"/>
  <c r="CV114" i="14"/>
  <c r="CV113" i="14"/>
  <c r="CV112" i="14"/>
  <c r="CV111" i="14"/>
  <c r="CV110" i="14"/>
  <c r="CV109" i="14"/>
  <c r="BP503" i="14" l="1"/>
  <c r="BP502" i="14"/>
  <c r="BP501" i="14"/>
  <c r="BP500" i="14"/>
  <c r="BP499" i="14"/>
  <c r="BP498" i="14"/>
  <c r="BP497" i="14"/>
  <c r="BP496" i="14"/>
  <c r="BP495" i="14"/>
  <c r="BP494" i="14"/>
  <c r="BP493" i="14"/>
  <c r="BP492" i="14"/>
  <c r="BP491" i="14"/>
  <c r="BP490" i="14"/>
  <c r="BP489" i="14"/>
  <c r="BP488" i="14"/>
  <c r="BP487" i="14"/>
  <c r="BP486" i="14"/>
  <c r="BP485" i="14"/>
  <c r="BP484" i="14"/>
  <c r="BP483" i="14"/>
  <c r="BP482" i="14"/>
  <c r="BP481" i="14"/>
  <c r="BP480" i="14"/>
  <c r="BP479" i="14"/>
  <c r="BP478" i="14"/>
  <c r="BP477" i="14"/>
  <c r="BP476" i="14"/>
  <c r="BP475" i="14"/>
  <c r="BP474" i="14"/>
  <c r="BP473" i="14"/>
  <c r="BP472" i="14"/>
  <c r="BP471" i="14"/>
  <c r="BP470" i="14"/>
  <c r="BP469" i="14"/>
  <c r="BP468" i="14"/>
  <c r="BP467" i="14"/>
  <c r="BP466" i="14"/>
  <c r="BP465" i="14"/>
  <c r="BP464" i="14"/>
  <c r="BP463" i="14"/>
  <c r="BP462" i="14"/>
  <c r="BP461" i="14"/>
  <c r="BP460" i="14"/>
  <c r="BP459" i="14"/>
  <c r="BP458" i="14"/>
  <c r="BP457" i="14"/>
  <c r="BP456" i="14"/>
  <c r="BP455" i="14"/>
  <c r="BP454" i="14"/>
  <c r="BP453" i="14"/>
  <c r="BP452" i="14"/>
  <c r="BP451" i="14"/>
  <c r="BP450" i="14"/>
  <c r="BP449" i="14"/>
  <c r="BP448" i="14"/>
  <c r="BP447" i="14"/>
  <c r="BP446" i="14"/>
  <c r="BP445" i="14"/>
  <c r="BP444" i="14"/>
  <c r="BP443" i="14"/>
  <c r="BP442" i="14"/>
  <c r="BP441" i="14"/>
  <c r="BP440" i="14"/>
  <c r="BP439" i="14"/>
  <c r="BP438" i="14"/>
  <c r="BP437" i="14"/>
  <c r="BP436" i="14"/>
  <c r="BP435" i="14"/>
  <c r="BP434" i="14"/>
  <c r="BP433" i="14"/>
  <c r="BP432" i="14"/>
  <c r="BP431" i="14"/>
  <c r="BP430" i="14"/>
  <c r="BP429" i="14"/>
  <c r="BP428" i="14"/>
  <c r="BP427" i="14"/>
  <c r="BP426" i="14"/>
  <c r="BP425" i="14"/>
  <c r="BP424" i="14"/>
  <c r="BP423" i="14"/>
  <c r="BP422" i="14"/>
  <c r="BP421" i="14"/>
  <c r="BP420" i="14"/>
  <c r="BP419" i="14"/>
  <c r="BP418" i="14"/>
  <c r="BP417" i="14"/>
  <c r="BP416" i="14"/>
  <c r="BP415" i="14"/>
  <c r="BP414" i="14"/>
  <c r="BP413" i="14"/>
  <c r="BP412" i="14"/>
  <c r="BP411" i="14"/>
  <c r="BP410" i="14"/>
  <c r="BP409" i="14"/>
  <c r="BP408" i="14"/>
  <c r="BP407" i="14"/>
  <c r="BP406" i="14"/>
  <c r="BP405" i="14"/>
  <c r="BP404" i="14"/>
  <c r="BP403" i="14"/>
  <c r="BP402" i="14"/>
  <c r="BP401" i="14"/>
  <c r="BP400" i="14"/>
  <c r="BP399" i="14"/>
  <c r="BP398" i="14"/>
  <c r="BP397" i="14"/>
  <c r="BP396" i="14"/>
  <c r="BP395" i="14"/>
  <c r="BP394" i="14"/>
  <c r="BP393" i="14"/>
  <c r="BP392" i="14"/>
  <c r="BP391" i="14"/>
  <c r="BP390" i="14"/>
  <c r="BP389" i="14"/>
  <c r="BP388" i="14"/>
  <c r="BP387" i="14"/>
  <c r="BP386" i="14"/>
  <c r="BP385" i="14"/>
  <c r="BP384" i="14"/>
  <c r="BP383" i="14"/>
  <c r="BP382" i="14"/>
  <c r="BP381" i="14"/>
  <c r="BP380" i="14"/>
  <c r="BP379" i="14"/>
  <c r="BP378" i="14"/>
  <c r="BP377" i="14"/>
  <c r="BP376" i="14"/>
  <c r="BP375" i="14"/>
  <c r="BP374" i="14"/>
  <c r="BP373" i="14"/>
  <c r="BP372" i="14"/>
  <c r="BP371" i="14"/>
  <c r="BP370" i="14"/>
  <c r="BP369" i="14"/>
  <c r="BP368" i="14"/>
  <c r="BP367" i="14"/>
  <c r="BP366" i="14"/>
  <c r="BP365" i="14"/>
  <c r="BP364" i="14"/>
  <c r="BP363" i="14"/>
  <c r="BP362" i="14"/>
  <c r="BP361" i="14"/>
  <c r="BP360" i="14"/>
  <c r="BP359" i="14"/>
  <c r="BP358" i="14"/>
  <c r="BP357" i="14"/>
  <c r="BP356" i="14"/>
  <c r="BP355" i="14"/>
  <c r="BP354" i="14"/>
  <c r="BP353" i="14"/>
  <c r="BP352" i="14"/>
  <c r="BP351" i="14"/>
  <c r="BP350" i="14"/>
  <c r="BP349" i="14"/>
  <c r="BP348" i="14"/>
  <c r="BP347" i="14"/>
  <c r="BP346" i="14"/>
  <c r="BP345" i="14"/>
  <c r="BP344" i="14"/>
  <c r="BP343" i="14"/>
  <c r="BP342" i="14"/>
  <c r="BP341" i="14"/>
  <c r="BP340" i="14"/>
  <c r="BP339" i="14"/>
  <c r="BP338" i="14"/>
  <c r="BP337" i="14"/>
  <c r="BP336" i="14"/>
  <c r="BP335" i="14"/>
  <c r="BP334" i="14"/>
  <c r="BP333" i="14"/>
  <c r="BP332" i="14"/>
  <c r="BP331" i="14"/>
  <c r="BP330" i="14"/>
  <c r="BP329" i="14"/>
  <c r="BP328" i="14"/>
  <c r="BP327" i="14"/>
  <c r="BP326" i="14"/>
  <c r="BP325" i="14"/>
  <c r="BP324" i="14"/>
  <c r="BP323" i="14"/>
  <c r="BP322" i="14"/>
  <c r="BP321" i="14"/>
  <c r="BP320" i="14"/>
  <c r="BP319" i="14"/>
  <c r="BP318" i="14"/>
  <c r="BP317" i="14"/>
  <c r="BP316" i="14"/>
  <c r="BP315" i="14"/>
  <c r="BP314" i="14"/>
  <c r="BP313" i="14"/>
  <c r="BP312" i="14"/>
  <c r="BP311" i="14"/>
  <c r="BP310" i="14"/>
  <c r="BP309" i="14"/>
  <c r="BP308" i="14"/>
  <c r="BP307" i="14"/>
  <c r="BP306" i="14"/>
  <c r="BP305" i="14"/>
  <c r="BP304" i="14"/>
  <c r="BP303" i="14"/>
  <c r="BP252" i="14"/>
  <c r="BP251" i="14"/>
  <c r="BP250" i="14"/>
  <c r="BP249" i="14"/>
  <c r="BP248" i="14"/>
  <c r="BP247" i="14"/>
  <c r="BP246" i="14"/>
  <c r="BP245" i="14"/>
  <c r="BP244" i="14"/>
  <c r="BP243" i="14"/>
  <c r="BP242" i="14"/>
  <c r="BP241" i="14"/>
  <c r="BP240" i="14"/>
  <c r="BP239" i="14"/>
  <c r="BP238" i="14"/>
  <c r="BP237" i="14"/>
  <c r="BP236" i="14"/>
  <c r="BP235" i="14"/>
  <c r="BP234" i="14"/>
  <c r="BP233" i="14"/>
  <c r="BP232" i="14"/>
  <c r="BP231" i="14"/>
  <c r="BP230" i="14"/>
  <c r="BP229" i="14"/>
  <c r="BP228" i="14"/>
  <c r="BP227" i="14"/>
  <c r="BP226" i="14"/>
  <c r="BP225" i="14"/>
  <c r="BP224" i="14"/>
  <c r="BP223" i="14"/>
  <c r="BP222" i="14"/>
  <c r="BP221" i="14"/>
  <c r="BP220" i="14"/>
  <c r="BP219" i="14"/>
  <c r="BP218" i="14"/>
  <c r="BP217" i="14"/>
  <c r="BP216" i="14"/>
  <c r="BP215" i="14"/>
  <c r="BP214" i="14"/>
  <c r="BP213" i="14"/>
  <c r="BP212" i="14"/>
  <c r="BP211" i="14"/>
  <c r="BP210" i="14"/>
  <c r="BP209" i="14"/>
  <c r="BP208" i="14"/>
  <c r="BP207" i="14"/>
  <c r="BP206" i="14"/>
  <c r="BP205" i="14"/>
  <c r="BP204" i="14"/>
  <c r="BP203" i="14"/>
  <c r="BP202" i="14"/>
  <c r="BP201" i="14"/>
  <c r="BP200" i="14"/>
  <c r="BP199" i="14"/>
  <c r="BP198" i="14"/>
  <c r="BP197" i="14"/>
  <c r="BP196" i="14"/>
  <c r="BP195" i="14"/>
  <c r="BP194" i="14"/>
  <c r="BP193" i="14"/>
  <c r="BP192" i="14"/>
  <c r="BP191" i="14"/>
  <c r="BP190" i="14"/>
  <c r="BP189" i="14"/>
  <c r="BP188" i="14"/>
  <c r="BP187" i="14"/>
  <c r="BP186" i="14"/>
  <c r="BP185" i="14"/>
  <c r="BP184" i="14"/>
  <c r="BP183" i="14"/>
  <c r="BP182" i="14"/>
  <c r="BP181" i="14"/>
  <c r="BP180" i="14"/>
  <c r="BP179" i="14"/>
  <c r="BP178" i="14"/>
  <c r="BP177" i="14"/>
  <c r="BP176" i="14"/>
  <c r="BP175" i="14"/>
  <c r="BP174" i="14"/>
  <c r="BP173" i="14"/>
  <c r="BP172" i="14"/>
  <c r="BP171" i="14"/>
  <c r="BP170" i="14"/>
  <c r="BP169" i="14"/>
  <c r="BP168" i="14"/>
  <c r="BP167" i="14"/>
  <c r="BP166" i="14"/>
  <c r="BP165" i="14"/>
  <c r="BP164" i="14"/>
  <c r="BP163" i="14"/>
  <c r="BP162" i="14"/>
  <c r="BP161" i="14"/>
  <c r="BP160" i="14"/>
  <c r="BP159" i="14"/>
  <c r="BP158" i="14"/>
  <c r="BP157" i="14"/>
  <c r="BP156" i="14"/>
  <c r="BP155" i="14"/>
  <c r="BP154" i="14"/>
  <c r="BP153" i="14"/>
  <c r="BP152" i="14"/>
  <c r="BP151" i="14"/>
  <c r="BP150" i="14"/>
  <c r="BP149" i="14"/>
  <c r="BP148" i="14"/>
  <c r="BP147" i="14"/>
  <c r="BP146" i="14"/>
  <c r="BP145" i="14"/>
  <c r="BP144" i="14"/>
  <c r="BP143" i="14"/>
  <c r="BP142" i="14"/>
  <c r="BP141" i="14"/>
  <c r="BP140" i="14"/>
  <c r="BP139" i="14"/>
  <c r="BP138" i="14"/>
  <c r="BP137" i="14"/>
  <c r="BP136" i="14"/>
  <c r="BP135" i="14"/>
  <c r="BP134" i="14"/>
  <c r="BP133" i="14"/>
  <c r="BP132" i="14"/>
  <c r="BP131" i="14"/>
  <c r="BP130" i="14"/>
  <c r="BP129" i="14"/>
  <c r="BP128" i="14"/>
  <c r="BP127" i="14"/>
  <c r="BP126" i="14"/>
  <c r="BP125" i="14"/>
  <c r="BP124" i="14"/>
  <c r="BP123" i="14"/>
  <c r="BP122" i="14"/>
  <c r="BP121" i="14"/>
  <c r="BP120" i="14"/>
  <c r="BP119" i="14"/>
  <c r="BP118" i="14"/>
  <c r="BP117" i="14"/>
  <c r="BP116" i="14"/>
  <c r="BP115" i="14"/>
  <c r="BP114" i="14"/>
  <c r="BP113" i="14"/>
  <c r="BP112" i="14"/>
  <c r="BP111" i="14"/>
  <c r="BP110" i="14"/>
  <c r="BP109" i="14"/>
  <c r="BP108" i="14"/>
  <c r="BP107" i="14"/>
  <c r="BP106" i="14"/>
  <c r="BP105" i="14"/>
  <c r="BP104" i="14"/>
  <c r="BP103" i="14"/>
  <c r="BP102" i="14"/>
  <c r="BP101" i="14"/>
  <c r="BP100" i="14"/>
  <c r="BP99" i="14"/>
  <c r="BP98" i="14"/>
  <c r="BP97" i="14"/>
  <c r="BP96" i="14"/>
  <c r="BP95" i="14"/>
  <c r="BP94" i="14"/>
  <c r="BP93" i="14"/>
  <c r="BP92" i="14"/>
  <c r="BP91" i="14"/>
  <c r="BP90" i="14"/>
  <c r="BP89" i="14"/>
  <c r="BP88" i="14"/>
  <c r="BP87" i="14"/>
  <c r="BP86" i="14"/>
  <c r="BP85" i="14"/>
  <c r="BP84" i="14"/>
  <c r="BP83" i="14"/>
  <c r="BP82" i="14"/>
  <c r="BP81" i="14"/>
  <c r="BP80" i="14"/>
  <c r="BP79" i="14"/>
  <c r="BP78" i="14"/>
  <c r="BP77" i="14"/>
  <c r="BP76" i="14"/>
  <c r="BP75" i="14"/>
  <c r="BP74" i="14"/>
  <c r="BP73" i="14"/>
  <c r="BP72" i="14"/>
  <c r="BP71" i="14"/>
  <c r="BP70" i="14"/>
  <c r="BP69" i="14"/>
  <c r="BP68" i="14"/>
  <c r="BP67" i="14"/>
  <c r="BP66" i="14"/>
  <c r="BP65" i="14"/>
  <c r="BP64" i="14"/>
  <c r="BP63" i="14"/>
  <c r="BP62" i="14"/>
  <c r="BP61" i="14"/>
  <c r="BP60" i="14"/>
  <c r="BP59" i="14"/>
  <c r="BP58" i="14"/>
  <c r="BP57" i="14"/>
  <c r="BP56" i="14"/>
  <c r="BP55" i="14"/>
  <c r="BP54" i="14"/>
  <c r="BP53" i="14"/>
  <c r="BP52" i="14"/>
  <c r="C7" i="25" l="1"/>
  <c r="AA256" i="26"/>
  <c r="Z256" i="26"/>
  <c r="Y256" i="26"/>
  <c r="X256" i="26"/>
  <c r="W256" i="26"/>
  <c r="V256" i="26"/>
  <c r="U256" i="26"/>
  <c r="T256" i="26"/>
  <c r="S256" i="26"/>
  <c r="L256" i="26"/>
  <c r="K256" i="26"/>
  <c r="J256" i="26"/>
  <c r="I256" i="26"/>
  <c r="H256" i="26"/>
  <c r="G256" i="26"/>
  <c r="F256" i="26"/>
  <c r="E256" i="26"/>
  <c r="AA255" i="26"/>
  <c r="Z255" i="26"/>
  <c r="Y255" i="26"/>
  <c r="X255" i="26"/>
  <c r="W255" i="26"/>
  <c r="V255" i="26"/>
  <c r="U255" i="26"/>
  <c r="T255" i="26"/>
  <c r="S255" i="26"/>
  <c r="L255" i="26"/>
  <c r="K255" i="26"/>
  <c r="J255" i="26"/>
  <c r="I255" i="26"/>
  <c r="H255" i="26"/>
  <c r="G255" i="26"/>
  <c r="F255" i="26"/>
  <c r="E255" i="26"/>
  <c r="AA254" i="26"/>
  <c r="Z254" i="26"/>
  <c r="Y254" i="26"/>
  <c r="X254" i="26"/>
  <c r="W254" i="26"/>
  <c r="V254" i="26"/>
  <c r="U254" i="26"/>
  <c r="T254" i="26"/>
  <c r="S254" i="26"/>
  <c r="L254" i="26"/>
  <c r="K254" i="26"/>
  <c r="J254" i="26"/>
  <c r="I254" i="26"/>
  <c r="H254" i="26"/>
  <c r="G254" i="26"/>
  <c r="F254" i="26"/>
  <c r="E254" i="26"/>
  <c r="AA253" i="26"/>
  <c r="Z253" i="26"/>
  <c r="Y253" i="26"/>
  <c r="X253" i="26"/>
  <c r="W253" i="26"/>
  <c r="V253" i="26"/>
  <c r="U253" i="26"/>
  <c r="T253" i="26"/>
  <c r="S253" i="26"/>
  <c r="L253" i="26"/>
  <c r="K253" i="26"/>
  <c r="J253" i="26"/>
  <c r="I253" i="26"/>
  <c r="H253" i="26"/>
  <c r="G253" i="26"/>
  <c r="F253" i="26"/>
  <c r="E253" i="26"/>
  <c r="AA252" i="26"/>
  <c r="Z252" i="26"/>
  <c r="Y252" i="26"/>
  <c r="X252" i="26"/>
  <c r="W252" i="26"/>
  <c r="V252" i="26"/>
  <c r="U252" i="26"/>
  <c r="T252" i="26"/>
  <c r="S252" i="26"/>
  <c r="L252" i="26"/>
  <c r="K252" i="26"/>
  <c r="J252" i="26"/>
  <c r="I252" i="26"/>
  <c r="H252" i="26"/>
  <c r="G252" i="26"/>
  <c r="F252" i="26"/>
  <c r="E252" i="26"/>
  <c r="AA251" i="26"/>
  <c r="Z251" i="26"/>
  <c r="Y251" i="26"/>
  <c r="X251" i="26"/>
  <c r="W251" i="26"/>
  <c r="V251" i="26"/>
  <c r="U251" i="26"/>
  <c r="T251" i="26"/>
  <c r="S251" i="26"/>
  <c r="L251" i="26"/>
  <c r="K251" i="26"/>
  <c r="J251" i="26"/>
  <c r="I251" i="26"/>
  <c r="H251" i="26"/>
  <c r="G251" i="26"/>
  <c r="F251" i="26"/>
  <c r="E251" i="26"/>
  <c r="AA250" i="26"/>
  <c r="Z250" i="26"/>
  <c r="Y250" i="26"/>
  <c r="X250" i="26"/>
  <c r="W250" i="26"/>
  <c r="V250" i="26"/>
  <c r="U250" i="26"/>
  <c r="T250" i="26"/>
  <c r="S250" i="26"/>
  <c r="L250" i="26"/>
  <c r="K250" i="26"/>
  <c r="J250" i="26"/>
  <c r="I250" i="26"/>
  <c r="H250" i="26"/>
  <c r="G250" i="26"/>
  <c r="F250" i="26"/>
  <c r="E250" i="26"/>
  <c r="AA249" i="26"/>
  <c r="Z249" i="26"/>
  <c r="Y249" i="26"/>
  <c r="X249" i="26"/>
  <c r="W249" i="26"/>
  <c r="V249" i="26"/>
  <c r="U249" i="26"/>
  <c r="T249" i="26"/>
  <c r="S249" i="26"/>
  <c r="L249" i="26"/>
  <c r="K249" i="26"/>
  <c r="J249" i="26"/>
  <c r="I249" i="26"/>
  <c r="H249" i="26"/>
  <c r="G249" i="26"/>
  <c r="F249" i="26"/>
  <c r="E249" i="26"/>
  <c r="AA248" i="26"/>
  <c r="Z248" i="26"/>
  <c r="Y248" i="26"/>
  <c r="X248" i="26"/>
  <c r="W248" i="26"/>
  <c r="V248" i="26"/>
  <c r="U248" i="26"/>
  <c r="T248" i="26"/>
  <c r="S248" i="26"/>
  <c r="L248" i="26"/>
  <c r="K248" i="26"/>
  <c r="J248" i="26"/>
  <c r="I248" i="26"/>
  <c r="H248" i="26"/>
  <c r="G248" i="26"/>
  <c r="F248" i="26"/>
  <c r="E248" i="26"/>
  <c r="AA247" i="26"/>
  <c r="Z247" i="26"/>
  <c r="Y247" i="26"/>
  <c r="X247" i="26"/>
  <c r="W247" i="26"/>
  <c r="V247" i="26"/>
  <c r="U247" i="26"/>
  <c r="T247" i="26"/>
  <c r="S247" i="26"/>
  <c r="L247" i="26"/>
  <c r="K247" i="26"/>
  <c r="J247" i="26"/>
  <c r="I247" i="26"/>
  <c r="H247" i="26"/>
  <c r="G247" i="26"/>
  <c r="F247" i="26"/>
  <c r="E247" i="26"/>
  <c r="AA246" i="26"/>
  <c r="Z246" i="26"/>
  <c r="Y246" i="26"/>
  <c r="X246" i="26"/>
  <c r="W246" i="26"/>
  <c r="V246" i="26"/>
  <c r="U246" i="26"/>
  <c r="T246" i="26"/>
  <c r="S246" i="26"/>
  <c r="L246" i="26"/>
  <c r="K246" i="26"/>
  <c r="J246" i="26"/>
  <c r="I246" i="26"/>
  <c r="H246" i="26"/>
  <c r="G246" i="26"/>
  <c r="F246" i="26"/>
  <c r="E246" i="26"/>
  <c r="AA245" i="26"/>
  <c r="Z245" i="26"/>
  <c r="Y245" i="26"/>
  <c r="X245" i="26"/>
  <c r="W245" i="26"/>
  <c r="V245" i="26"/>
  <c r="U245" i="26"/>
  <c r="T245" i="26"/>
  <c r="S245" i="26"/>
  <c r="L245" i="26"/>
  <c r="K245" i="26"/>
  <c r="J245" i="26"/>
  <c r="I245" i="26"/>
  <c r="H245" i="26"/>
  <c r="G245" i="26"/>
  <c r="F245" i="26"/>
  <c r="E245" i="26"/>
  <c r="AA244" i="26"/>
  <c r="Z244" i="26"/>
  <c r="Y244" i="26"/>
  <c r="X244" i="26"/>
  <c r="W244" i="26"/>
  <c r="V244" i="26"/>
  <c r="U244" i="26"/>
  <c r="T244" i="26"/>
  <c r="S244" i="26"/>
  <c r="L244" i="26"/>
  <c r="K244" i="26"/>
  <c r="J244" i="26"/>
  <c r="I244" i="26"/>
  <c r="H244" i="26"/>
  <c r="G244" i="26"/>
  <c r="F244" i="26"/>
  <c r="E244" i="26"/>
  <c r="AA243" i="26"/>
  <c r="Z243" i="26"/>
  <c r="Y243" i="26"/>
  <c r="X243" i="26"/>
  <c r="W243" i="26"/>
  <c r="V243" i="26"/>
  <c r="U243" i="26"/>
  <c r="T243" i="26"/>
  <c r="S243" i="26"/>
  <c r="L243" i="26"/>
  <c r="K243" i="26"/>
  <c r="J243" i="26"/>
  <c r="I243" i="26"/>
  <c r="H243" i="26"/>
  <c r="G243" i="26"/>
  <c r="F243" i="26"/>
  <c r="E243" i="26"/>
  <c r="AA242" i="26"/>
  <c r="Z242" i="26"/>
  <c r="Y242" i="26"/>
  <c r="X242" i="26"/>
  <c r="W242" i="26"/>
  <c r="V242" i="26"/>
  <c r="U242" i="26"/>
  <c r="T242" i="26"/>
  <c r="S242" i="26"/>
  <c r="L242" i="26"/>
  <c r="K242" i="26"/>
  <c r="J242" i="26"/>
  <c r="I242" i="26"/>
  <c r="H242" i="26"/>
  <c r="G242" i="26"/>
  <c r="F242" i="26"/>
  <c r="E242" i="26"/>
  <c r="AA241" i="26"/>
  <c r="Z241" i="26"/>
  <c r="Y241" i="26"/>
  <c r="X241" i="26"/>
  <c r="W241" i="26"/>
  <c r="V241" i="26"/>
  <c r="U241" i="26"/>
  <c r="T241" i="26"/>
  <c r="S241" i="26"/>
  <c r="L241" i="26"/>
  <c r="K241" i="26"/>
  <c r="J241" i="26"/>
  <c r="I241" i="26"/>
  <c r="H241" i="26"/>
  <c r="G241" i="26"/>
  <c r="F241" i="26"/>
  <c r="E241" i="26"/>
  <c r="AA240" i="26"/>
  <c r="Z240" i="26"/>
  <c r="Y240" i="26"/>
  <c r="X240" i="26"/>
  <c r="W240" i="26"/>
  <c r="V240" i="26"/>
  <c r="U240" i="26"/>
  <c r="T240" i="26"/>
  <c r="S240" i="26"/>
  <c r="L240" i="26"/>
  <c r="K240" i="26"/>
  <c r="J240" i="26"/>
  <c r="I240" i="26"/>
  <c r="H240" i="26"/>
  <c r="G240" i="26"/>
  <c r="F240" i="26"/>
  <c r="E240" i="26"/>
  <c r="AA239" i="26"/>
  <c r="Z239" i="26"/>
  <c r="Y239" i="26"/>
  <c r="X239" i="26"/>
  <c r="W239" i="26"/>
  <c r="V239" i="26"/>
  <c r="U239" i="26"/>
  <c r="T239" i="26"/>
  <c r="S239" i="26"/>
  <c r="L239" i="26"/>
  <c r="K239" i="26"/>
  <c r="J239" i="26"/>
  <c r="I239" i="26"/>
  <c r="H239" i="26"/>
  <c r="G239" i="26"/>
  <c r="F239" i="26"/>
  <c r="E239" i="26"/>
  <c r="AA238" i="26"/>
  <c r="Z238" i="26"/>
  <c r="Y238" i="26"/>
  <c r="X238" i="26"/>
  <c r="W238" i="26"/>
  <c r="V238" i="26"/>
  <c r="U238" i="26"/>
  <c r="T238" i="26"/>
  <c r="S238" i="26"/>
  <c r="L238" i="26"/>
  <c r="K238" i="26"/>
  <c r="J238" i="26"/>
  <c r="I238" i="26"/>
  <c r="H238" i="26"/>
  <c r="G238" i="26"/>
  <c r="F238" i="26"/>
  <c r="E238" i="26"/>
  <c r="AA237" i="26"/>
  <c r="Z237" i="26"/>
  <c r="Y237" i="26"/>
  <c r="X237" i="26"/>
  <c r="W237" i="26"/>
  <c r="V237" i="26"/>
  <c r="U237" i="26"/>
  <c r="T237" i="26"/>
  <c r="S237" i="26"/>
  <c r="L237" i="26"/>
  <c r="K237" i="26"/>
  <c r="J237" i="26"/>
  <c r="I237" i="26"/>
  <c r="H237" i="26"/>
  <c r="G237" i="26"/>
  <c r="F237" i="26"/>
  <c r="E237" i="26"/>
  <c r="AA236" i="26"/>
  <c r="Z236" i="26"/>
  <c r="Y236" i="26"/>
  <c r="X236" i="26"/>
  <c r="W236" i="26"/>
  <c r="V236" i="26"/>
  <c r="U236" i="26"/>
  <c r="T236" i="26"/>
  <c r="S236" i="26"/>
  <c r="L236" i="26"/>
  <c r="K236" i="26"/>
  <c r="J236" i="26"/>
  <c r="I236" i="26"/>
  <c r="H236" i="26"/>
  <c r="G236" i="26"/>
  <c r="F236" i="26"/>
  <c r="E236" i="26"/>
  <c r="AA235" i="26"/>
  <c r="Z235" i="26"/>
  <c r="Y235" i="26"/>
  <c r="X235" i="26"/>
  <c r="W235" i="26"/>
  <c r="V235" i="26"/>
  <c r="U235" i="26"/>
  <c r="T235" i="26"/>
  <c r="S235" i="26"/>
  <c r="L235" i="26"/>
  <c r="K235" i="26"/>
  <c r="J235" i="26"/>
  <c r="I235" i="26"/>
  <c r="H235" i="26"/>
  <c r="G235" i="26"/>
  <c r="F235" i="26"/>
  <c r="E235" i="26"/>
  <c r="AA234" i="26"/>
  <c r="Z234" i="26"/>
  <c r="Y234" i="26"/>
  <c r="X234" i="26"/>
  <c r="W234" i="26"/>
  <c r="V234" i="26"/>
  <c r="U234" i="26"/>
  <c r="T234" i="26"/>
  <c r="S234" i="26"/>
  <c r="L234" i="26"/>
  <c r="K234" i="26"/>
  <c r="J234" i="26"/>
  <c r="I234" i="26"/>
  <c r="H234" i="26"/>
  <c r="G234" i="26"/>
  <c r="F234" i="26"/>
  <c r="E234" i="26"/>
  <c r="AA233" i="26"/>
  <c r="Z233" i="26"/>
  <c r="Y233" i="26"/>
  <c r="X233" i="26"/>
  <c r="W233" i="26"/>
  <c r="V233" i="26"/>
  <c r="U233" i="26"/>
  <c r="T233" i="26"/>
  <c r="S233" i="26"/>
  <c r="L233" i="26"/>
  <c r="K233" i="26"/>
  <c r="J233" i="26"/>
  <c r="I233" i="26"/>
  <c r="H233" i="26"/>
  <c r="G233" i="26"/>
  <c r="F233" i="26"/>
  <c r="E233" i="26"/>
  <c r="AA232" i="26"/>
  <c r="Z232" i="26"/>
  <c r="Y232" i="26"/>
  <c r="X232" i="26"/>
  <c r="W232" i="26"/>
  <c r="V232" i="26"/>
  <c r="U232" i="26"/>
  <c r="T232" i="26"/>
  <c r="S232" i="26"/>
  <c r="L232" i="26"/>
  <c r="K232" i="26"/>
  <c r="J232" i="26"/>
  <c r="I232" i="26"/>
  <c r="H232" i="26"/>
  <c r="G232" i="26"/>
  <c r="F232" i="26"/>
  <c r="E232" i="26"/>
  <c r="AA231" i="26"/>
  <c r="Z231" i="26"/>
  <c r="Y231" i="26"/>
  <c r="X231" i="26"/>
  <c r="W231" i="26"/>
  <c r="V231" i="26"/>
  <c r="U231" i="26"/>
  <c r="T231" i="26"/>
  <c r="S231" i="26"/>
  <c r="L231" i="26"/>
  <c r="K231" i="26"/>
  <c r="J231" i="26"/>
  <c r="I231" i="26"/>
  <c r="H231" i="26"/>
  <c r="G231" i="26"/>
  <c r="F231" i="26"/>
  <c r="E231" i="26"/>
  <c r="AA230" i="26"/>
  <c r="Z230" i="26"/>
  <c r="Y230" i="26"/>
  <c r="X230" i="26"/>
  <c r="W230" i="26"/>
  <c r="V230" i="26"/>
  <c r="U230" i="26"/>
  <c r="T230" i="26"/>
  <c r="S230" i="26"/>
  <c r="L230" i="26"/>
  <c r="K230" i="26"/>
  <c r="J230" i="26"/>
  <c r="I230" i="26"/>
  <c r="H230" i="26"/>
  <c r="G230" i="26"/>
  <c r="F230" i="26"/>
  <c r="E230" i="26"/>
  <c r="AA229" i="26"/>
  <c r="Z229" i="26"/>
  <c r="Y229" i="26"/>
  <c r="X229" i="26"/>
  <c r="W229" i="26"/>
  <c r="V229" i="26"/>
  <c r="U229" i="26"/>
  <c r="T229" i="26"/>
  <c r="S229" i="26"/>
  <c r="L229" i="26"/>
  <c r="K229" i="26"/>
  <c r="J229" i="26"/>
  <c r="I229" i="26"/>
  <c r="H229" i="26"/>
  <c r="G229" i="26"/>
  <c r="F229" i="26"/>
  <c r="E229" i="26"/>
  <c r="AA228" i="26"/>
  <c r="Z228" i="26"/>
  <c r="Y228" i="26"/>
  <c r="X228" i="26"/>
  <c r="W228" i="26"/>
  <c r="V228" i="26"/>
  <c r="U228" i="26"/>
  <c r="T228" i="26"/>
  <c r="S228" i="26"/>
  <c r="L228" i="26"/>
  <c r="K228" i="26"/>
  <c r="J228" i="26"/>
  <c r="I228" i="26"/>
  <c r="H228" i="26"/>
  <c r="G228" i="26"/>
  <c r="F228" i="26"/>
  <c r="E228" i="26"/>
  <c r="AA227" i="26"/>
  <c r="Z227" i="26"/>
  <c r="Y227" i="26"/>
  <c r="X227" i="26"/>
  <c r="W227" i="26"/>
  <c r="V227" i="26"/>
  <c r="U227" i="26"/>
  <c r="T227" i="26"/>
  <c r="S227" i="26"/>
  <c r="L227" i="26"/>
  <c r="K227" i="26"/>
  <c r="J227" i="26"/>
  <c r="I227" i="26"/>
  <c r="H227" i="26"/>
  <c r="G227" i="26"/>
  <c r="F227" i="26"/>
  <c r="E227" i="26"/>
  <c r="AA226" i="26"/>
  <c r="Z226" i="26"/>
  <c r="Y226" i="26"/>
  <c r="X226" i="26"/>
  <c r="W226" i="26"/>
  <c r="V226" i="26"/>
  <c r="U226" i="26"/>
  <c r="T226" i="26"/>
  <c r="S226" i="26"/>
  <c r="L226" i="26"/>
  <c r="K226" i="26"/>
  <c r="J226" i="26"/>
  <c r="I226" i="26"/>
  <c r="H226" i="26"/>
  <c r="G226" i="26"/>
  <c r="F226" i="26"/>
  <c r="E226" i="26"/>
  <c r="AA225" i="26"/>
  <c r="Z225" i="26"/>
  <c r="Y225" i="26"/>
  <c r="X225" i="26"/>
  <c r="W225" i="26"/>
  <c r="V225" i="26"/>
  <c r="U225" i="26"/>
  <c r="T225" i="26"/>
  <c r="S225" i="26"/>
  <c r="L225" i="26"/>
  <c r="K225" i="26"/>
  <c r="J225" i="26"/>
  <c r="I225" i="26"/>
  <c r="H225" i="26"/>
  <c r="G225" i="26"/>
  <c r="F225" i="26"/>
  <c r="E225" i="26"/>
  <c r="AA224" i="26"/>
  <c r="Z224" i="26"/>
  <c r="Y224" i="26"/>
  <c r="X224" i="26"/>
  <c r="W224" i="26"/>
  <c r="V224" i="26"/>
  <c r="U224" i="26"/>
  <c r="T224" i="26"/>
  <c r="S224" i="26"/>
  <c r="L224" i="26"/>
  <c r="K224" i="26"/>
  <c r="J224" i="26"/>
  <c r="I224" i="26"/>
  <c r="H224" i="26"/>
  <c r="G224" i="26"/>
  <c r="F224" i="26"/>
  <c r="E224" i="26"/>
  <c r="AA223" i="26"/>
  <c r="Z223" i="26"/>
  <c r="Y223" i="26"/>
  <c r="X223" i="26"/>
  <c r="W223" i="26"/>
  <c r="V223" i="26"/>
  <c r="U223" i="26"/>
  <c r="T223" i="26"/>
  <c r="S223" i="26"/>
  <c r="L223" i="26"/>
  <c r="K223" i="26"/>
  <c r="J223" i="26"/>
  <c r="I223" i="26"/>
  <c r="H223" i="26"/>
  <c r="G223" i="26"/>
  <c r="F223" i="26"/>
  <c r="E223" i="26"/>
  <c r="AA222" i="26"/>
  <c r="Z222" i="26"/>
  <c r="Y222" i="26"/>
  <c r="X222" i="26"/>
  <c r="W222" i="26"/>
  <c r="V222" i="26"/>
  <c r="U222" i="26"/>
  <c r="T222" i="26"/>
  <c r="S222" i="26"/>
  <c r="L222" i="26"/>
  <c r="K222" i="26"/>
  <c r="J222" i="26"/>
  <c r="I222" i="26"/>
  <c r="H222" i="26"/>
  <c r="G222" i="26"/>
  <c r="F222" i="26"/>
  <c r="E222" i="26"/>
  <c r="AA221" i="26"/>
  <c r="Z221" i="26"/>
  <c r="Y221" i="26"/>
  <c r="X221" i="26"/>
  <c r="W221" i="26"/>
  <c r="V221" i="26"/>
  <c r="U221" i="26"/>
  <c r="T221" i="26"/>
  <c r="S221" i="26"/>
  <c r="L221" i="26"/>
  <c r="K221" i="26"/>
  <c r="J221" i="26"/>
  <c r="I221" i="26"/>
  <c r="H221" i="26"/>
  <c r="G221" i="26"/>
  <c r="F221" i="26"/>
  <c r="E221" i="26"/>
  <c r="AA220" i="26"/>
  <c r="Z220" i="26"/>
  <c r="Y220" i="26"/>
  <c r="X220" i="26"/>
  <c r="W220" i="26"/>
  <c r="V220" i="26"/>
  <c r="U220" i="26"/>
  <c r="T220" i="26"/>
  <c r="S220" i="26"/>
  <c r="L220" i="26"/>
  <c r="K220" i="26"/>
  <c r="J220" i="26"/>
  <c r="I220" i="26"/>
  <c r="H220" i="26"/>
  <c r="G220" i="26"/>
  <c r="F220" i="26"/>
  <c r="E220" i="26"/>
  <c r="AA219" i="26"/>
  <c r="Z219" i="26"/>
  <c r="Y219" i="26"/>
  <c r="X219" i="26"/>
  <c r="W219" i="26"/>
  <c r="V219" i="26"/>
  <c r="U219" i="26"/>
  <c r="T219" i="26"/>
  <c r="S219" i="26"/>
  <c r="L219" i="26"/>
  <c r="K219" i="26"/>
  <c r="J219" i="26"/>
  <c r="I219" i="26"/>
  <c r="H219" i="26"/>
  <c r="G219" i="26"/>
  <c r="F219" i="26"/>
  <c r="E219" i="26"/>
  <c r="AA218" i="26"/>
  <c r="Z218" i="26"/>
  <c r="Y218" i="26"/>
  <c r="X218" i="26"/>
  <c r="W218" i="26"/>
  <c r="V218" i="26"/>
  <c r="U218" i="26"/>
  <c r="T218" i="26"/>
  <c r="S218" i="26"/>
  <c r="L218" i="26"/>
  <c r="K218" i="26"/>
  <c r="J218" i="26"/>
  <c r="I218" i="26"/>
  <c r="H218" i="26"/>
  <c r="G218" i="26"/>
  <c r="F218" i="26"/>
  <c r="E218" i="26"/>
  <c r="AA217" i="26"/>
  <c r="Z217" i="26"/>
  <c r="Y217" i="26"/>
  <c r="X217" i="26"/>
  <c r="W217" i="26"/>
  <c r="V217" i="26"/>
  <c r="U217" i="26"/>
  <c r="T217" i="26"/>
  <c r="S217" i="26"/>
  <c r="L217" i="26"/>
  <c r="K217" i="26"/>
  <c r="J217" i="26"/>
  <c r="I217" i="26"/>
  <c r="H217" i="26"/>
  <c r="G217" i="26"/>
  <c r="F217" i="26"/>
  <c r="E217" i="26"/>
  <c r="AA216" i="26"/>
  <c r="Z216" i="26"/>
  <c r="Y216" i="26"/>
  <c r="X216" i="26"/>
  <c r="W216" i="26"/>
  <c r="V216" i="26"/>
  <c r="U216" i="26"/>
  <c r="T216" i="26"/>
  <c r="S216" i="26"/>
  <c r="L216" i="26"/>
  <c r="K216" i="26"/>
  <c r="J216" i="26"/>
  <c r="I216" i="26"/>
  <c r="H216" i="26"/>
  <c r="G216" i="26"/>
  <c r="F216" i="26"/>
  <c r="E216" i="26"/>
  <c r="AA215" i="26"/>
  <c r="Z215" i="26"/>
  <c r="Y215" i="26"/>
  <c r="X215" i="26"/>
  <c r="W215" i="26"/>
  <c r="V215" i="26"/>
  <c r="U215" i="26"/>
  <c r="T215" i="26"/>
  <c r="S215" i="26"/>
  <c r="L215" i="26"/>
  <c r="K215" i="26"/>
  <c r="J215" i="26"/>
  <c r="I215" i="26"/>
  <c r="H215" i="26"/>
  <c r="G215" i="26"/>
  <c r="F215" i="26"/>
  <c r="E215" i="26"/>
  <c r="AA214" i="26"/>
  <c r="Z214" i="26"/>
  <c r="Y214" i="26"/>
  <c r="X214" i="26"/>
  <c r="W214" i="26"/>
  <c r="V214" i="26"/>
  <c r="U214" i="26"/>
  <c r="T214" i="26"/>
  <c r="S214" i="26"/>
  <c r="L214" i="26"/>
  <c r="K214" i="26"/>
  <c r="J214" i="26"/>
  <c r="I214" i="26"/>
  <c r="H214" i="26"/>
  <c r="G214" i="26"/>
  <c r="F214" i="26"/>
  <c r="E214" i="26"/>
  <c r="AA213" i="26"/>
  <c r="Z213" i="26"/>
  <c r="Y213" i="26"/>
  <c r="X213" i="26"/>
  <c r="W213" i="26"/>
  <c r="V213" i="26"/>
  <c r="U213" i="26"/>
  <c r="T213" i="26"/>
  <c r="S213" i="26"/>
  <c r="L213" i="26"/>
  <c r="K213" i="26"/>
  <c r="J213" i="26"/>
  <c r="I213" i="26"/>
  <c r="H213" i="26"/>
  <c r="G213" i="26"/>
  <c r="F213" i="26"/>
  <c r="E213" i="26"/>
  <c r="AA212" i="26"/>
  <c r="Z212" i="26"/>
  <c r="Y212" i="26"/>
  <c r="X212" i="26"/>
  <c r="W212" i="26"/>
  <c r="V212" i="26"/>
  <c r="U212" i="26"/>
  <c r="T212" i="26"/>
  <c r="S212" i="26"/>
  <c r="L212" i="26"/>
  <c r="K212" i="26"/>
  <c r="J212" i="26"/>
  <c r="I212" i="26"/>
  <c r="H212" i="26"/>
  <c r="G212" i="26"/>
  <c r="F212" i="26"/>
  <c r="E212" i="26"/>
  <c r="AA211" i="26"/>
  <c r="Z211" i="26"/>
  <c r="Y211" i="26"/>
  <c r="X211" i="26"/>
  <c r="W211" i="26"/>
  <c r="V211" i="26"/>
  <c r="U211" i="26"/>
  <c r="T211" i="26"/>
  <c r="S211" i="26"/>
  <c r="L211" i="26"/>
  <c r="K211" i="26"/>
  <c r="J211" i="26"/>
  <c r="I211" i="26"/>
  <c r="H211" i="26"/>
  <c r="G211" i="26"/>
  <c r="F211" i="26"/>
  <c r="E211" i="26"/>
  <c r="AA210" i="26"/>
  <c r="Z210" i="26"/>
  <c r="Y210" i="26"/>
  <c r="X210" i="26"/>
  <c r="W210" i="26"/>
  <c r="V210" i="26"/>
  <c r="U210" i="26"/>
  <c r="T210" i="26"/>
  <c r="S210" i="26"/>
  <c r="L210" i="26"/>
  <c r="K210" i="26"/>
  <c r="J210" i="26"/>
  <c r="I210" i="26"/>
  <c r="H210" i="26"/>
  <c r="G210" i="26"/>
  <c r="F210" i="26"/>
  <c r="E210" i="26"/>
  <c r="AA209" i="26"/>
  <c r="Z209" i="26"/>
  <c r="Y209" i="26"/>
  <c r="X209" i="26"/>
  <c r="W209" i="26"/>
  <c r="V209" i="26"/>
  <c r="U209" i="26"/>
  <c r="T209" i="26"/>
  <c r="S209" i="26"/>
  <c r="L209" i="26"/>
  <c r="K209" i="26"/>
  <c r="J209" i="26"/>
  <c r="I209" i="26"/>
  <c r="H209" i="26"/>
  <c r="G209" i="26"/>
  <c r="F209" i="26"/>
  <c r="E209" i="26"/>
  <c r="AA208" i="26"/>
  <c r="Z208" i="26"/>
  <c r="Y208" i="26"/>
  <c r="X208" i="26"/>
  <c r="W208" i="26"/>
  <c r="V208" i="26"/>
  <c r="U208" i="26"/>
  <c r="T208" i="26"/>
  <c r="S208" i="26"/>
  <c r="L208" i="26"/>
  <c r="K208" i="26"/>
  <c r="J208" i="26"/>
  <c r="I208" i="26"/>
  <c r="H208" i="26"/>
  <c r="G208" i="26"/>
  <c r="F208" i="26"/>
  <c r="E208" i="26"/>
  <c r="AA207" i="26"/>
  <c r="Z207" i="26"/>
  <c r="Y207" i="26"/>
  <c r="X207" i="26"/>
  <c r="W207" i="26"/>
  <c r="V207" i="26"/>
  <c r="U207" i="26"/>
  <c r="T207" i="26"/>
  <c r="S207" i="26"/>
  <c r="L207" i="26"/>
  <c r="K207" i="26"/>
  <c r="J207" i="26"/>
  <c r="I207" i="26"/>
  <c r="H207" i="26"/>
  <c r="G207" i="26"/>
  <c r="F207" i="26"/>
  <c r="E207" i="26"/>
  <c r="AA206" i="26"/>
  <c r="Z206" i="26"/>
  <c r="Y206" i="26"/>
  <c r="X206" i="26"/>
  <c r="W206" i="26"/>
  <c r="V206" i="26"/>
  <c r="U206" i="26"/>
  <c r="T206" i="26"/>
  <c r="S206" i="26"/>
  <c r="L206" i="26"/>
  <c r="K206" i="26"/>
  <c r="J206" i="26"/>
  <c r="I206" i="26"/>
  <c r="H206" i="26"/>
  <c r="G206" i="26"/>
  <c r="F206" i="26"/>
  <c r="E206" i="26"/>
  <c r="AA205" i="26"/>
  <c r="Z205" i="26"/>
  <c r="Y205" i="26"/>
  <c r="X205" i="26"/>
  <c r="W205" i="26"/>
  <c r="V205" i="26"/>
  <c r="U205" i="26"/>
  <c r="T205" i="26"/>
  <c r="S205" i="26"/>
  <c r="L205" i="26"/>
  <c r="K205" i="26"/>
  <c r="J205" i="26"/>
  <c r="I205" i="26"/>
  <c r="H205" i="26"/>
  <c r="G205" i="26"/>
  <c r="F205" i="26"/>
  <c r="E205" i="26"/>
  <c r="AA204" i="26"/>
  <c r="Z204" i="26"/>
  <c r="Y204" i="26"/>
  <c r="X204" i="26"/>
  <c r="W204" i="26"/>
  <c r="V204" i="26"/>
  <c r="U204" i="26"/>
  <c r="T204" i="26"/>
  <c r="S204" i="26"/>
  <c r="L204" i="26"/>
  <c r="K204" i="26"/>
  <c r="J204" i="26"/>
  <c r="I204" i="26"/>
  <c r="H204" i="26"/>
  <c r="G204" i="26"/>
  <c r="F204" i="26"/>
  <c r="E204" i="26"/>
  <c r="AA203" i="26"/>
  <c r="Z203" i="26"/>
  <c r="Y203" i="26"/>
  <c r="X203" i="26"/>
  <c r="W203" i="26"/>
  <c r="V203" i="26"/>
  <c r="U203" i="26"/>
  <c r="T203" i="26"/>
  <c r="S203" i="26"/>
  <c r="L203" i="26"/>
  <c r="K203" i="26"/>
  <c r="J203" i="26"/>
  <c r="I203" i="26"/>
  <c r="H203" i="26"/>
  <c r="G203" i="26"/>
  <c r="F203" i="26"/>
  <c r="E203" i="26"/>
  <c r="AA202" i="26"/>
  <c r="Z202" i="26"/>
  <c r="Y202" i="26"/>
  <c r="X202" i="26"/>
  <c r="W202" i="26"/>
  <c r="V202" i="26"/>
  <c r="U202" i="26"/>
  <c r="T202" i="26"/>
  <c r="S202" i="26"/>
  <c r="L202" i="26"/>
  <c r="K202" i="26"/>
  <c r="J202" i="26"/>
  <c r="I202" i="26"/>
  <c r="H202" i="26"/>
  <c r="G202" i="26"/>
  <c r="F202" i="26"/>
  <c r="E202" i="26"/>
  <c r="AA201" i="26"/>
  <c r="Z201" i="26"/>
  <c r="Y201" i="26"/>
  <c r="X201" i="26"/>
  <c r="W201" i="26"/>
  <c r="V201" i="26"/>
  <c r="U201" i="26"/>
  <c r="T201" i="26"/>
  <c r="S201" i="26"/>
  <c r="L201" i="26"/>
  <c r="K201" i="26"/>
  <c r="J201" i="26"/>
  <c r="I201" i="26"/>
  <c r="H201" i="26"/>
  <c r="G201" i="26"/>
  <c r="F201" i="26"/>
  <c r="E201" i="26"/>
  <c r="AA200" i="26"/>
  <c r="Z200" i="26"/>
  <c r="Y200" i="26"/>
  <c r="X200" i="26"/>
  <c r="W200" i="26"/>
  <c r="V200" i="26"/>
  <c r="U200" i="26"/>
  <c r="T200" i="26"/>
  <c r="S200" i="26"/>
  <c r="L200" i="26"/>
  <c r="K200" i="26"/>
  <c r="J200" i="26"/>
  <c r="I200" i="26"/>
  <c r="H200" i="26"/>
  <c r="G200" i="26"/>
  <c r="F200" i="26"/>
  <c r="E200" i="26"/>
  <c r="AA199" i="26"/>
  <c r="Z199" i="26"/>
  <c r="Y199" i="26"/>
  <c r="X199" i="26"/>
  <c r="W199" i="26"/>
  <c r="V199" i="26"/>
  <c r="U199" i="26"/>
  <c r="T199" i="26"/>
  <c r="S199" i="26"/>
  <c r="L199" i="26"/>
  <c r="K199" i="26"/>
  <c r="J199" i="26"/>
  <c r="I199" i="26"/>
  <c r="H199" i="26"/>
  <c r="G199" i="26"/>
  <c r="F199" i="26"/>
  <c r="E199" i="26"/>
  <c r="AA198" i="26"/>
  <c r="Z198" i="26"/>
  <c r="Y198" i="26"/>
  <c r="X198" i="26"/>
  <c r="W198" i="26"/>
  <c r="V198" i="26"/>
  <c r="U198" i="26"/>
  <c r="T198" i="26"/>
  <c r="S198" i="26"/>
  <c r="L198" i="26"/>
  <c r="K198" i="26"/>
  <c r="J198" i="26"/>
  <c r="I198" i="26"/>
  <c r="H198" i="26"/>
  <c r="G198" i="26"/>
  <c r="F198" i="26"/>
  <c r="E198" i="26"/>
  <c r="AA197" i="26"/>
  <c r="Z197" i="26"/>
  <c r="Y197" i="26"/>
  <c r="X197" i="26"/>
  <c r="W197" i="26"/>
  <c r="V197" i="26"/>
  <c r="U197" i="26"/>
  <c r="T197" i="26"/>
  <c r="S197" i="26"/>
  <c r="L197" i="26"/>
  <c r="K197" i="26"/>
  <c r="J197" i="26"/>
  <c r="I197" i="26"/>
  <c r="H197" i="26"/>
  <c r="G197" i="26"/>
  <c r="F197" i="26"/>
  <c r="E197" i="26"/>
  <c r="AA196" i="26"/>
  <c r="Z196" i="26"/>
  <c r="Y196" i="26"/>
  <c r="X196" i="26"/>
  <c r="W196" i="26"/>
  <c r="V196" i="26"/>
  <c r="U196" i="26"/>
  <c r="T196" i="26"/>
  <c r="S196" i="26"/>
  <c r="L196" i="26"/>
  <c r="K196" i="26"/>
  <c r="J196" i="26"/>
  <c r="I196" i="26"/>
  <c r="H196" i="26"/>
  <c r="G196" i="26"/>
  <c r="F196" i="26"/>
  <c r="E196" i="26"/>
  <c r="AA195" i="26"/>
  <c r="Z195" i="26"/>
  <c r="Y195" i="26"/>
  <c r="X195" i="26"/>
  <c r="W195" i="26"/>
  <c r="V195" i="26"/>
  <c r="U195" i="26"/>
  <c r="T195" i="26"/>
  <c r="S195" i="26"/>
  <c r="L195" i="26"/>
  <c r="K195" i="26"/>
  <c r="J195" i="26"/>
  <c r="I195" i="26"/>
  <c r="H195" i="26"/>
  <c r="G195" i="26"/>
  <c r="F195" i="26"/>
  <c r="E195" i="26"/>
  <c r="AA194" i="26"/>
  <c r="Z194" i="26"/>
  <c r="Y194" i="26"/>
  <c r="X194" i="26"/>
  <c r="W194" i="26"/>
  <c r="V194" i="26"/>
  <c r="U194" i="26"/>
  <c r="T194" i="26"/>
  <c r="S194" i="26"/>
  <c r="L194" i="26"/>
  <c r="K194" i="26"/>
  <c r="J194" i="26"/>
  <c r="I194" i="26"/>
  <c r="H194" i="26"/>
  <c r="G194" i="26"/>
  <c r="F194" i="26"/>
  <c r="E194" i="26"/>
  <c r="AA193" i="26"/>
  <c r="Z193" i="26"/>
  <c r="Y193" i="26"/>
  <c r="X193" i="26"/>
  <c r="W193" i="26"/>
  <c r="V193" i="26"/>
  <c r="U193" i="26"/>
  <c r="T193" i="26"/>
  <c r="S193" i="26"/>
  <c r="L193" i="26"/>
  <c r="K193" i="26"/>
  <c r="J193" i="26"/>
  <c r="I193" i="26"/>
  <c r="H193" i="26"/>
  <c r="G193" i="26"/>
  <c r="F193" i="26"/>
  <c r="E193" i="26"/>
  <c r="AA192" i="26"/>
  <c r="Z192" i="26"/>
  <c r="Y192" i="26"/>
  <c r="X192" i="26"/>
  <c r="W192" i="26"/>
  <c r="V192" i="26"/>
  <c r="U192" i="26"/>
  <c r="T192" i="26"/>
  <c r="S192" i="26"/>
  <c r="L192" i="26"/>
  <c r="K192" i="26"/>
  <c r="J192" i="26"/>
  <c r="I192" i="26"/>
  <c r="H192" i="26"/>
  <c r="G192" i="26"/>
  <c r="F192" i="26"/>
  <c r="E192" i="26"/>
  <c r="AA191" i="26"/>
  <c r="Z191" i="26"/>
  <c r="Y191" i="26"/>
  <c r="X191" i="26"/>
  <c r="W191" i="26"/>
  <c r="V191" i="26"/>
  <c r="U191" i="26"/>
  <c r="T191" i="26"/>
  <c r="S191" i="26"/>
  <c r="L191" i="26"/>
  <c r="K191" i="26"/>
  <c r="J191" i="26"/>
  <c r="I191" i="26"/>
  <c r="H191" i="26"/>
  <c r="G191" i="26"/>
  <c r="F191" i="26"/>
  <c r="E191" i="26"/>
  <c r="AA190" i="26"/>
  <c r="Z190" i="26"/>
  <c r="Y190" i="26"/>
  <c r="X190" i="26"/>
  <c r="W190" i="26"/>
  <c r="V190" i="26"/>
  <c r="U190" i="26"/>
  <c r="T190" i="26"/>
  <c r="S190" i="26"/>
  <c r="L190" i="26"/>
  <c r="K190" i="26"/>
  <c r="J190" i="26"/>
  <c r="I190" i="26"/>
  <c r="H190" i="26"/>
  <c r="G190" i="26"/>
  <c r="F190" i="26"/>
  <c r="E190" i="26"/>
  <c r="AA189" i="26"/>
  <c r="Z189" i="26"/>
  <c r="Y189" i="26"/>
  <c r="X189" i="26"/>
  <c r="W189" i="26"/>
  <c r="V189" i="26"/>
  <c r="U189" i="26"/>
  <c r="T189" i="26"/>
  <c r="S189" i="26"/>
  <c r="L189" i="26"/>
  <c r="K189" i="26"/>
  <c r="J189" i="26"/>
  <c r="I189" i="26"/>
  <c r="H189" i="26"/>
  <c r="G189" i="26"/>
  <c r="F189" i="26"/>
  <c r="E189" i="26"/>
  <c r="AA188" i="26"/>
  <c r="Z188" i="26"/>
  <c r="Y188" i="26"/>
  <c r="X188" i="26"/>
  <c r="W188" i="26"/>
  <c r="V188" i="26"/>
  <c r="U188" i="26"/>
  <c r="T188" i="26"/>
  <c r="S188" i="26"/>
  <c r="L188" i="26"/>
  <c r="K188" i="26"/>
  <c r="J188" i="26"/>
  <c r="I188" i="26"/>
  <c r="H188" i="26"/>
  <c r="G188" i="26"/>
  <c r="F188" i="26"/>
  <c r="E188" i="26"/>
  <c r="AA187" i="26"/>
  <c r="Z187" i="26"/>
  <c r="Y187" i="26"/>
  <c r="X187" i="26"/>
  <c r="W187" i="26"/>
  <c r="V187" i="26"/>
  <c r="U187" i="26"/>
  <c r="T187" i="26"/>
  <c r="S187" i="26"/>
  <c r="L187" i="26"/>
  <c r="K187" i="26"/>
  <c r="J187" i="26"/>
  <c r="I187" i="26"/>
  <c r="H187" i="26"/>
  <c r="G187" i="26"/>
  <c r="F187" i="26"/>
  <c r="E187" i="26"/>
  <c r="AA186" i="26"/>
  <c r="Z186" i="26"/>
  <c r="Y186" i="26"/>
  <c r="X186" i="26"/>
  <c r="W186" i="26"/>
  <c r="V186" i="26"/>
  <c r="U186" i="26"/>
  <c r="T186" i="26"/>
  <c r="S186" i="26"/>
  <c r="L186" i="26"/>
  <c r="K186" i="26"/>
  <c r="J186" i="26"/>
  <c r="I186" i="26"/>
  <c r="H186" i="26"/>
  <c r="G186" i="26"/>
  <c r="F186" i="26"/>
  <c r="E186" i="26"/>
  <c r="AA185" i="26"/>
  <c r="Z185" i="26"/>
  <c r="Y185" i="26"/>
  <c r="X185" i="26"/>
  <c r="W185" i="26"/>
  <c r="V185" i="26"/>
  <c r="U185" i="26"/>
  <c r="T185" i="26"/>
  <c r="S185" i="26"/>
  <c r="L185" i="26"/>
  <c r="K185" i="26"/>
  <c r="J185" i="26"/>
  <c r="I185" i="26"/>
  <c r="H185" i="26"/>
  <c r="G185" i="26"/>
  <c r="F185" i="26"/>
  <c r="E185" i="26"/>
  <c r="AA184" i="26"/>
  <c r="Z184" i="26"/>
  <c r="Y184" i="26"/>
  <c r="X184" i="26"/>
  <c r="W184" i="26"/>
  <c r="V184" i="26"/>
  <c r="U184" i="26"/>
  <c r="T184" i="26"/>
  <c r="S184" i="26"/>
  <c r="L184" i="26"/>
  <c r="K184" i="26"/>
  <c r="J184" i="26"/>
  <c r="I184" i="26"/>
  <c r="H184" i="26"/>
  <c r="G184" i="26"/>
  <c r="F184" i="26"/>
  <c r="E184" i="26"/>
  <c r="AA183" i="26"/>
  <c r="Z183" i="26"/>
  <c r="Y183" i="26"/>
  <c r="X183" i="26"/>
  <c r="W183" i="26"/>
  <c r="V183" i="26"/>
  <c r="U183" i="26"/>
  <c r="T183" i="26"/>
  <c r="S183" i="26"/>
  <c r="L183" i="26"/>
  <c r="K183" i="26"/>
  <c r="J183" i="26"/>
  <c r="I183" i="26"/>
  <c r="H183" i="26"/>
  <c r="G183" i="26"/>
  <c r="F183" i="26"/>
  <c r="E183" i="26"/>
  <c r="AA182" i="26"/>
  <c r="Z182" i="26"/>
  <c r="Y182" i="26"/>
  <c r="X182" i="26"/>
  <c r="W182" i="26"/>
  <c r="V182" i="26"/>
  <c r="U182" i="26"/>
  <c r="T182" i="26"/>
  <c r="S182" i="26"/>
  <c r="L182" i="26"/>
  <c r="K182" i="26"/>
  <c r="J182" i="26"/>
  <c r="I182" i="26"/>
  <c r="H182" i="26"/>
  <c r="G182" i="26"/>
  <c r="F182" i="26"/>
  <c r="E182" i="26"/>
  <c r="AA181" i="26"/>
  <c r="Z181" i="26"/>
  <c r="Y181" i="26"/>
  <c r="X181" i="26"/>
  <c r="W181" i="26"/>
  <c r="V181" i="26"/>
  <c r="U181" i="26"/>
  <c r="T181" i="26"/>
  <c r="S181" i="26"/>
  <c r="L181" i="26"/>
  <c r="K181" i="26"/>
  <c r="J181" i="26"/>
  <c r="I181" i="26"/>
  <c r="H181" i="26"/>
  <c r="G181" i="26"/>
  <c r="F181" i="26"/>
  <c r="E181" i="26"/>
  <c r="AA180" i="26"/>
  <c r="Z180" i="26"/>
  <c r="Y180" i="26"/>
  <c r="X180" i="26"/>
  <c r="W180" i="26"/>
  <c r="V180" i="26"/>
  <c r="U180" i="26"/>
  <c r="T180" i="26"/>
  <c r="S180" i="26"/>
  <c r="L180" i="26"/>
  <c r="K180" i="26"/>
  <c r="J180" i="26"/>
  <c r="I180" i="26"/>
  <c r="H180" i="26"/>
  <c r="G180" i="26"/>
  <c r="F180" i="26"/>
  <c r="E180" i="26"/>
  <c r="AA179" i="26"/>
  <c r="Z179" i="26"/>
  <c r="Y179" i="26"/>
  <c r="X179" i="26"/>
  <c r="W179" i="26"/>
  <c r="V179" i="26"/>
  <c r="U179" i="26"/>
  <c r="T179" i="26"/>
  <c r="S179" i="26"/>
  <c r="L179" i="26"/>
  <c r="K179" i="26"/>
  <c r="J179" i="26"/>
  <c r="I179" i="26"/>
  <c r="H179" i="26"/>
  <c r="G179" i="26"/>
  <c r="F179" i="26"/>
  <c r="E179" i="26"/>
  <c r="AA178" i="26"/>
  <c r="Z178" i="26"/>
  <c r="Y178" i="26"/>
  <c r="X178" i="26"/>
  <c r="W178" i="26"/>
  <c r="V178" i="26"/>
  <c r="U178" i="26"/>
  <c r="T178" i="26"/>
  <c r="S178" i="26"/>
  <c r="L178" i="26"/>
  <c r="K178" i="26"/>
  <c r="J178" i="26"/>
  <c r="I178" i="26"/>
  <c r="H178" i="26"/>
  <c r="G178" i="26"/>
  <c r="F178" i="26"/>
  <c r="E178" i="26"/>
  <c r="AA177" i="26"/>
  <c r="Z177" i="26"/>
  <c r="Y177" i="26"/>
  <c r="X177" i="26"/>
  <c r="W177" i="26"/>
  <c r="V177" i="26"/>
  <c r="U177" i="26"/>
  <c r="T177" i="26"/>
  <c r="S177" i="26"/>
  <c r="L177" i="26"/>
  <c r="K177" i="26"/>
  <c r="J177" i="26"/>
  <c r="I177" i="26"/>
  <c r="H177" i="26"/>
  <c r="G177" i="26"/>
  <c r="F177" i="26"/>
  <c r="E177" i="26"/>
  <c r="AA176" i="26"/>
  <c r="Z176" i="26"/>
  <c r="Y176" i="26"/>
  <c r="X176" i="26"/>
  <c r="W176" i="26"/>
  <c r="V176" i="26"/>
  <c r="U176" i="26"/>
  <c r="T176" i="26"/>
  <c r="S176" i="26"/>
  <c r="L176" i="26"/>
  <c r="K176" i="26"/>
  <c r="J176" i="26"/>
  <c r="I176" i="26"/>
  <c r="H176" i="26"/>
  <c r="G176" i="26"/>
  <c r="F176" i="26"/>
  <c r="E176" i="26"/>
  <c r="AA175" i="26"/>
  <c r="Z175" i="26"/>
  <c r="Y175" i="26"/>
  <c r="X175" i="26"/>
  <c r="W175" i="26"/>
  <c r="V175" i="26"/>
  <c r="U175" i="26"/>
  <c r="T175" i="26"/>
  <c r="S175" i="26"/>
  <c r="L175" i="26"/>
  <c r="K175" i="26"/>
  <c r="J175" i="26"/>
  <c r="I175" i="26"/>
  <c r="H175" i="26"/>
  <c r="G175" i="26"/>
  <c r="F175" i="26"/>
  <c r="E175" i="26"/>
  <c r="AA174" i="26"/>
  <c r="Z174" i="26"/>
  <c r="Y174" i="26"/>
  <c r="X174" i="26"/>
  <c r="W174" i="26"/>
  <c r="V174" i="26"/>
  <c r="U174" i="26"/>
  <c r="T174" i="26"/>
  <c r="S174" i="26"/>
  <c r="L174" i="26"/>
  <c r="K174" i="26"/>
  <c r="J174" i="26"/>
  <c r="I174" i="26"/>
  <c r="H174" i="26"/>
  <c r="G174" i="26"/>
  <c r="F174" i="26"/>
  <c r="E174" i="26"/>
  <c r="AA173" i="26"/>
  <c r="Z173" i="26"/>
  <c r="Y173" i="26"/>
  <c r="X173" i="26"/>
  <c r="W173" i="26"/>
  <c r="V173" i="26"/>
  <c r="U173" i="26"/>
  <c r="T173" i="26"/>
  <c r="S173" i="26"/>
  <c r="L173" i="26"/>
  <c r="K173" i="26"/>
  <c r="J173" i="26"/>
  <c r="I173" i="26"/>
  <c r="H173" i="26"/>
  <c r="G173" i="26"/>
  <c r="F173" i="26"/>
  <c r="E173" i="26"/>
  <c r="AA172" i="26"/>
  <c r="Z172" i="26"/>
  <c r="Y172" i="26"/>
  <c r="X172" i="26"/>
  <c r="W172" i="26"/>
  <c r="V172" i="26"/>
  <c r="U172" i="26"/>
  <c r="T172" i="26"/>
  <c r="S172" i="26"/>
  <c r="L172" i="26"/>
  <c r="K172" i="26"/>
  <c r="J172" i="26"/>
  <c r="I172" i="26"/>
  <c r="H172" i="26"/>
  <c r="G172" i="26"/>
  <c r="F172" i="26"/>
  <c r="E172" i="26"/>
  <c r="AA171" i="26"/>
  <c r="Z171" i="26"/>
  <c r="Y171" i="26"/>
  <c r="X171" i="26"/>
  <c r="W171" i="26"/>
  <c r="V171" i="26"/>
  <c r="U171" i="26"/>
  <c r="T171" i="26"/>
  <c r="S171" i="26"/>
  <c r="L171" i="26"/>
  <c r="K171" i="26"/>
  <c r="J171" i="26"/>
  <c r="I171" i="26"/>
  <c r="H171" i="26"/>
  <c r="G171" i="26"/>
  <c r="F171" i="26"/>
  <c r="E171" i="26"/>
  <c r="AA170" i="26"/>
  <c r="Z170" i="26"/>
  <c r="Y170" i="26"/>
  <c r="X170" i="26"/>
  <c r="W170" i="26"/>
  <c r="V170" i="26"/>
  <c r="U170" i="26"/>
  <c r="T170" i="26"/>
  <c r="S170" i="26"/>
  <c r="L170" i="26"/>
  <c r="K170" i="26"/>
  <c r="J170" i="26"/>
  <c r="I170" i="26"/>
  <c r="H170" i="26"/>
  <c r="G170" i="26"/>
  <c r="F170" i="26"/>
  <c r="E170" i="26"/>
  <c r="AA169" i="26"/>
  <c r="Z169" i="26"/>
  <c r="Y169" i="26"/>
  <c r="X169" i="26"/>
  <c r="W169" i="26"/>
  <c r="V169" i="26"/>
  <c r="U169" i="26"/>
  <c r="T169" i="26"/>
  <c r="S169" i="26"/>
  <c r="L169" i="26"/>
  <c r="K169" i="26"/>
  <c r="J169" i="26"/>
  <c r="I169" i="26"/>
  <c r="H169" i="26"/>
  <c r="G169" i="26"/>
  <c r="F169" i="26"/>
  <c r="E169" i="26"/>
  <c r="AA168" i="26"/>
  <c r="Z168" i="26"/>
  <c r="Y168" i="26"/>
  <c r="X168" i="26"/>
  <c r="W168" i="26"/>
  <c r="V168" i="26"/>
  <c r="U168" i="26"/>
  <c r="T168" i="26"/>
  <c r="S168" i="26"/>
  <c r="L168" i="26"/>
  <c r="K168" i="26"/>
  <c r="J168" i="26"/>
  <c r="I168" i="26"/>
  <c r="H168" i="26"/>
  <c r="G168" i="26"/>
  <c r="F168" i="26"/>
  <c r="E168" i="26"/>
  <c r="AA167" i="26"/>
  <c r="Z167" i="26"/>
  <c r="Y167" i="26"/>
  <c r="X167" i="26"/>
  <c r="W167" i="26"/>
  <c r="V167" i="26"/>
  <c r="U167" i="26"/>
  <c r="T167" i="26"/>
  <c r="S167" i="26"/>
  <c r="L167" i="26"/>
  <c r="K167" i="26"/>
  <c r="J167" i="26"/>
  <c r="I167" i="26"/>
  <c r="H167" i="26"/>
  <c r="G167" i="26"/>
  <c r="F167" i="26"/>
  <c r="E167" i="26"/>
  <c r="AA166" i="26"/>
  <c r="Z166" i="26"/>
  <c r="Y166" i="26"/>
  <c r="X166" i="26"/>
  <c r="W166" i="26"/>
  <c r="V166" i="26"/>
  <c r="U166" i="26"/>
  <c r="T166" i="26"/>
  <c r="S166" i="26"/>
  <c r="L166" i="26"/>
  <c r="K166" i="26"/>
  <c r="J166" i="26"/>
  <c r="I166" i="26"/>
  <c r="H166" i="26"/>
  <c r="G166" i="26"/>
  <c r="F166" i="26"/>
  <c r="E166" i="26"/>
  <c r="AA165" i="26"/>
  <c r="Z165" i="26"/>
  <c r="Y165" i="26"/>
  <c r="X165" i="26"/>
  <c r="W165" i="26"/>
  <c r="V165" i="26"/>
  <c r="U165" i="26"/>
  <c r="T165" i="26"/>
  <c r="S165" i="26"/>
  <c r="L165" i="26"/>
  <c r="K165" i="26"/>
  <c r="J165" i="26"/>
  <c r="I165" i="26"/>
  <c r="H165" i="26"/>
  <c r="G165" i="26"/>
  <c r="F165" i="26"/>
  <c r="E165" i="26"/>
  <c r="AA164" i="26"/>
  <c r="Z164" i="26"/>
  <c r="Y164" i="26"/>
  <c r="X164" i="26"/>
  <c r="W164" i="26"/>
  <c r="V164" i="26"/>
  <c r="U164" i="26"/>
  <c r="T164" i="26"/>
  <c r="S164" i="26"/>
  <c r="L164" i="26"/>
  <c r="K164" i="26"/>
  <c r="J164" i="26"/>
  <c r="I164" i="26"/>
  <c r="H164" i="26"/>
  <c r="G164" i="26"/>
  <c r="F164" i="26"/>
  <c r="E164" i="26"/>
  <c r="AA163" i="26"/>
  <c r="Z163" i="26"/>
  <c r="Y163" i="26"/>
  <c r="X163" i="26"/>
  <c r="W163" i="26"/>
  <c r="V163" i="26"/>
  <c r="U163" i="26"/>
  <c r="T163" i="26"/>
  <c r="S163" i="26"/>
  <c r="L163" i="26"/>
  <c r="K163" i="26"/>
  <c r="J163" i="26"/>
  <c r="I163" i="26"/>
  <c r="H163" i="26"/>
  <c r="G163" i="26"/>
  <c r="F163" i="26"/>
  <c r="E163" i="26"/>
  <c r="AA162" i="26"/>
  <c r="Z162" i="26"/>
  <c r="Y162" i="26"/>
  <c r="X162" i="26"/>
  <c r="W162" i="26"/>
  <c r="V162" i="26"/>
  <c r="U162" i="26"/>
  <c r="T162" i="26"/>
  <c r="S162" i="26"/>
  <c r="L162" i="26"/>
  <c r="K162" i="26"/>
  <c r="J162" i="26"/>
  <c r="I162" i="26"/>
  <c r="H162" i="26"/>
  <c r="G162" i="26"/>
  <c r="F162" i="26"/>
  <c r="E162" i="26"/>
  <c r="AA161" i="26"/>
  <c r="Z161" i="26"/>
  <c r="Y161" i="26"/>
  <c r="X161" i="26"/>
  <c r="W161" i="26"/>
  <c r="V161" i="26"/>
  <c r="U161" i="26"/>
  <c r="T161" i="26"/>
  <c r="S161" i="26"/>
  <c r="L161" i="26"/>
  <c r="K161" i="26"/>
  <c r="J161" i="26"/>
  <c r="I161" i="26"/>
  <c r="H161" i="26"/>
  <c r="G161" i="26"/>
  <c r="F161" i="26"/>
  <c r="E161" i="26"/>
  <c r="AA160" i="26"/>
  <c r="Z160" i="26"/>
  <c r="Y160" i="26"/>
  <c r="X160" i="26"/>
  <c r="W160" i="26"/>
  <c r="V160" i="26"/>
  <c r="U160" i="26"/>
  <c r="T160" i="26"/>
  <c r="S160" i="26"/>
  <c r="L160" i="26"/>
  <c r="K160" i="26"/>
  <c r="J160" i="26"/>
  <c r="I160" i="26"/>
  <c r="H160" i="26"/>
  <c r="G160" i="26"/>
  <c r="F160" i="26"/>
  <c r="E160" i="26"/>
  <c r="AA159" i="26"/>
  <c r="Z159" i="26"/>
  <c r="Y159" i="26"/>
  <c r="X159" i="26"/>
  <c r="W159" i="26"/>
  <c r="V159" i="26"/>
  <c r="U159" i="26"/>
  <c r="T159" i="26"/>
  <c r="S159" i="26"/>
  <c r="L159" i="26"/>
  <c r="K159" i="26"/>
  <c r="J159" i="26"/>
  <c r="I159" i="26"/>
  <c r="H159" i="26"/>
  <c r="G159" i="26"/>
  <c r="F159" i="26"/>
  <c r="E159" i="26"/>
  <c r="AA158" i="26"/>
  <c r="Z158" i="26"/>
  <c r="Y158" i="26"/>
  <c r="X158" i="26"/>
  <c r="W158" i="26"/>
  <c r="V158" i="26"/>
  <c r="U158" i="26"/>
  <c r="T158" i="26"/>
  <c r="S158" i="26"/>
  <c r="L158" i="26"/>
  <c r="K158" i="26"/>
  <c r="J158" i="26"/>
  <c r="I158" i="26"/>
  <c r="H158" i="26"/>
  <c r="G158" i="26"/>
  <c r="F158" i="26"/>
  <c r="E158" i="26"/>
  <c r="AA157" i="26"/>
  <c r="Z157" i="26"/>
  <c r="Y157" i="26"/>
  <c r="X157" i="26"/>
  <c r="W157" i="26"/>
  <c r="V157" i="26"/>
  <c r="U157" i="26"/>
  <c r="T157" i="26"/>
  <c r="S157" i="26"/>
  <c r="L157" i="26"/>
  <c r="K157" i="26"/>
  <c r="J157" i="26"/>
  <c r="I157" i="26"/>
  <c r="H157" i="26"/>
  <c r="G157" i="26"/>
  <c r="F157" i="26"/>
  <c r="E157" i="26"/>
  <c r="AA156" i="26"/>
  <c r="Z156" i="26"/>
  <c r="Y156" i="26"/>
  <c r="X156" i="26"/>
  <c r="W156" i="26"/>
  <c r="V156" i="26"/>
  <c r="U156" i="26"/>
  <c r="T156" i="26"/>
  <c r="S156" i="26"/>
  <c r="L156" i="26"/>
  <c r="K156" i="26"/>
  <c r="J156" i="26"/>
  <c r="I156" i="26"/>
  <c r="H156" i="26"/>
  <c r="G156" i="26"/>
  <c r="F156" i="26"/>
  <c r="E156" i="26"/>
  <c r="AA155" i="26"/>
  <c r="Z155" i="26"/>
  <c r="Y155" i="26"/>
  <c r="X155" i="26"/>
  <c r="W155" i="26"/>
  <c r="V155" i="26"/>
  <c r="U155" i="26"/>
  <c r="T155" i="26"/>
  <c r="S155" i="26"/>
  <c r="L155" i="26"/>
  <c r="K155" i="26"/>
  <c r="J155" i="26"/>
  <c r="I155" i="26"/>
  <c r="H155" i="26"/>
  <c r="G155" i="26"/>
  <c r="F155" i="26"/>
  <c r="E155" i="26"/>
  <c r="AA154" i="26"/>
  <c r="Z154" i="26"/>
  <c r="Y154" i="26"/>
  <c r="X154" i="26"/>
  <c r="W154" i="26"/>
  <c r="V154" i="26"/>
  <c r="U154" i="26"/>
  <c r="T154" i="26"/>
  <c r="S154" i="26"/>
  <c r="L154" i="26"/>
  <c r="K154" i="26"/>
  <c r="J154" i="26"/>
  <c r="I154" i="26"/>
  <c r="H154" i="26"/>
  <c r="G154" i="26"/>
  <c r="F154" i="26"/>
  <c r="E154" i="26"/>
  <c r="AA153" i="26"/>
  <c r="Z153" i="26"/>
  <c r="Y153" i="26"/>
  <c r="X153" i="26"/>
  <c r="W153" i="26"/>
  <c r="V153" i="26"/>
  <c r="U153" i="26"/>
  <c r="T153" i="26"/>
  <c r="S153" i="26"/>
  <c r="L153" i="26"/>
  <c r="K153" i="26"/>
  <c r="J153" i="26"/>
  <c r="I153" i="26"/>
  <c r="H153" i="26"/>
  <c r="G153" i="26"/>
  <c r="F153" i="26"/>
  <c r="E153" i="26"/>
  <c r="AA152" i="26"/>
  <c r="Z152" i="26"/>
  <c r="Y152" i="26"/>
  <c r="X152" i="26"/>
  <c r="W152" i="26"/>
  <c r="V152" i="26"/>
  <c r="U152" i="26"/>
  <c r="T152" i="26"/>
  <c r="S152" i="26"/>
  <c r="L152" i="26"/>
  <c r="K152" i="26"/>
  <c r="J152" i="26"/>
  <c r="I152" i="26"/>
  <c r="H152" i="26"/>
  <c r="G152" i="26"/>
  <c r="F152" i="26"/>
  <c r="E152" i="26"/>
  <c r="AA151" i="26"/>
  <c r="Z151" i="26"/>
  <c r="Y151" i="26"/>
  <c r="X151" i="26"/>
  <c r="W151" i="26"/>
  <c r="V151" i="26"/>
  <c r="U151" i="26"/>
  <c r="T151" i="26"/>
  <c r="S151" i="26"/>
  <c r="L151" i="26"/>
  <c r="K151" i="26"/>
  <c r="J151" i="26"/>
  <c r="I151" i="26"/>
  <c r="H151" i="26"/>
  <c r="G151" i="26"/>
  <c r="F151" i="26"/>
  <c r="E151" i="26"/>
  <c r="AA150" i="26"/>
  <c r="Z150" i="26"/>
  <c r="Y150" i="26"/>
  <c r="X150" i="26"/>
  <c r="W150" i="26"/>
  <c r="V150" i="26"/>
  <c r="U150" i="26"/>
  <c r="T150" i="26"/>
  <c r="S150" i="26"/>
  <c r="L150" i="26"/>
  <c r="K150" i="26"/>
  <c r="J150" i="26"/>
  <c r="I150" i="26"/>
  <c r="H150" i="26"/>
  <c r="G150" i="26"/>
  <c r="F150" i="26"/>
  <c r="E150" i="26"/>
  <c r="AA149" i="26"/>
  <c r="Z149" i="26"/>
  <c r="Y149" i="26"/>
  <c r="X149" i="26"/>
  <c r="W149" i="26"/>
  <c r="V149" i="26"/>
  <c r="U149" i="26"/>
  <c r="T149" i="26"/>
  <c r="S149" i="26"/>
  <c r="L149" i="26"/>
  <c r="K149" i="26"/>
  <c r="J149" i="26"/>
  <c r="I149" i="26"/>
  <c r="H149" i="26"/>
  <c r="G149" i="26"/>
  <c r="F149" i="26"/>
  <c r="E149" i="26"/>
  <c r="AA148" i="26"/>
  <c r="Z148" i="26"/>
  <c r="Y148" i="26"/>
  <c r="X148" i="26"/>
  <c r="W148" i="26"/>
  <c r="V148" i="26"/>
  <c r="U148" i="26"/>
  <c r="T148" i="26"/>
  <c r="S148" i="26"/>
  <c r="L148" i="26"/>
  <c r="K148" i="26"/>
  <c r="J148" i="26"/>
  <c r="I148" i="26"/>
  <c r="H148" i="26"/>
  <c r="G148" i="26"/>
  <c r="F148" i="26"/>
  <c r="E148" i="26"/>
  <c r="AA147" i="26"/>
  <c r="Z147" i="26"/>
  <c r="Y147" i="26"/>
  <c r="X147" i="26"/>
  <c r="W147" i="26"/>
  <c r="V147" i="26"/>
  <c r="U147" i="26"/>
  <c r="T147" i="26"/>
  <c r="S147" i="26"/>
  <c r="L147" i="26"/>
  <c r="K147" i="26"/>
  <c r="J147" i="26"/>
  <c r="I147" i="26"/>
  <c r="H147" i="26"/>
  <c r="G147" i="26"/>
  <c r="F147" i="26"/>
  <c r="E147" i="26"/>
  <c r="AA146" i="26"/>
  <c r="Z146" i="26"/>
  <c r="Y146" i="26"/>
  <c r="X146" i="26"/>
  <c r="W146" i="26"/>
  <c r="V146" i="26"/>
  <c r="U146" i="26"/>
  <c r="T146" i="26"/>
  <c r="S146" i="26"/>
  <c r="L146" i="26"/>
  <c r="K146" i="26"/>
  <c r="J146" i="26"/>
  <c r="I146" i="26"/>
  <c r="H146" i="26"/>
  <c r="G146" i="26"/>
  <c r="F146" i="26"/>
  <c r="E146" i="26"/>
  <c r="AA145" i="26"/>
  <c r="Z145" i="26"/>
  <c r="Y145" i="26"/>
  <c r="X145" i="26"/>
  <c r="W145" i="26"/>
  <c r="V145" i="26"/>
  <c r="U145" i="26"/>
  <c r="T145" i="26"/>
  <c r="S145" i="26"/>
  <c r="L145" i="26"/>
  <c r="K145" i="26"/>
  <c r="J145" i="26"/>
  <c r="I145" i="26"/>
  <c r="H145" i="26"/>
  <c r="G145" i="26"/>
  <c r="F145" i="26"/>
  <c r="E145" i="26"/>
  <c r="AA144" i="26"/>
  <c r="Z144" i="26"/>
  <c r="Y144" i="26"/>
  <c r="X144" i="26"/>
  <c r="W144" i="26"/>
  <c r="V144" i="26"/>
  <c r="U144" i="26"/>
  <c r="T144" i="26"/>
  <c r="S144" i="26"/>
  <c r="L144" i="26"/>
  <c r="K144" i="26"/>
  <c r="J144" i="26"/>
  <c r="I144" i="26"/>
  <c r="H144" i="26"/>
  <c r="G144" i="26"/>
  <c r="F144" i="26"/>
  <c r="E144" i="26"/>
  <c r="AA143" i="26"/>
  <c r="Z143" i="26"/>
  <c r="Y143" i="26"/>
  <c r="X143" i="26"/>
  <c r="W143" i="26"/>
  <c r="V143" i="26"/>
  <c r="U143" i="26"/>
  <c r="T143" i="26"/>
  <c r="S143" i="26"/>
  <c r="L143" i="26"/>
  <c r="K143" i="26"/>
  <c r="J143" i="26"/>
  <c r="I143" i="26"/>
  <c r="H143" i="26"/>
  <c r="G143" i="26"/>
  <c r="F143" i="26"/>
  <c r="E143" i="26"/>
  <c r="AA142" i="26"/>
  <c r="Z142" i="26"/>
  <c r="Y142" i="26"/>
  <c r="X142" i="26"/>
  <c r="W142" i="26"/>
  <c r="V142" i="26"/>
  <c r="U142" i="26"/>
  <c r="T142" i="26"/>
  <c r="S142" i="26"/>
  <c r="L142" i="26"/>
  <c r="K142" i="26"/>
  <c r="J142" i="26"/>
  <c r="I142" i="26"/>
  <c r="H142" i="26"/>
  <c r="G142" i="26"/>
  <c r="F142" i="26"/>
  <c r="E142" i="26"/>
  <c r="AA141" i="26"/>
  <c r="Z141" i="26"/>
  <c r="Y141" i="26"/>
  <c r="X141" i="26"/>
  <c r="W141" i="26"/>
  <c r="V141" i="26"/>
  <c r="U141" i="26"/>
  <c r="T141" i="26"/>
  <c r="S141" i="26"/>
  <c r="L141" i="26"/>
  <c r="K141" i="26"/>
  <c r="J141" i="26"/>
  <c r="I141" i="26"/>
  <c r="H141" i="26"/>
  <c r="G141" i="26"/>
  <c r="F141" i="26"/>
  <c r="E141" i="26"/>
  <c r="AA140" i="26"/>
  <c r="Z140" i="26"/>
  <c r="Y140" i="26"/>
  <c r="X140" i="26"/>
  <c r="W140" i="26"/>
  <c r="V140" i="26"/>
  <c r="U140" i="26"/>
  <c r="T140" i="26"/>
  <c r="S140" i="26"/>
  <c r="L140" i="26"/>
  <c r="K140" i="26"/>
  <c r="J140" i="26"/>
  <c r="I140" i="26"/>
  <c r="H140" i="26"/>
  <c r="G140" i="26"/>
  <c r="F140" i="26"/>
  <c r="E140" i="26"/>
  <c r="AA139" i="26"/>
  <c r="Z139" i="26"/>
  <c r="Y139" i="26"/>
  <c r="X139" i="26"/>
  <c r="W139" i="26"/>
  <c r="V139" i="26"/>
  <c r="U139" i="26"/>
  <c r="T139" i="26"/>
  <c r="S139" i="26"/>
  <c r="L139" i="26"/>
  <c r="K139" i="26"/>
  <c r="J139" i="26"/>
  <c r="I139" i="26"/>
  <c r="H139" i="26"/>
  <c r="G139" i="26"/>
  <c r="F139" i="26"/>
  <c r="E139" i="26"/>
  <c r="AA138" i="26"/>
  <c r="Z138" i="26"/>
  <c r="Y138" i="26"/>
  <c r="X138" i="26"/>
  <c r="W138" i="26"/>
  <c r="V138" i="26"/>
  <c r="U138" i="26"/>
  <c r="T138" i="26"/>
  <c r="S138" i="26"/>
  <c r="L138" i="26"/>
  <c r="K138" i="26"/>
  <c r="J138" i="26"/>
  <c r="I138" i="26"/>
  <c r="H138" i="26"/>
  <c r="G138" i="26"/>
  <c r="F138" i="26"/>
  <c r="E138" i="26"/>
  <c r="AA137" i="26"/>
  <c r="Z137" i="26"/>
  <c r="Y137" i="26"/>
  <c r="X137" i="26"/>
  <c r="W137" i="26"/>
  <c r="V137" i="26"/>
  <c r="U137" i="26"/>
  <c r="T137" i="26"/>
  <c r="S137" i="26"/>
  <c r="L137" i="26"/>
  <c r="K137" i="26"/>
  <c r="J137" i="26"/>
  <c r="I137" i="26"/>
  <c r="H137" i="26"/>
  <c r="G137" i="26"/>
  <c r="F137" i="26"/>
  <c r="E137" i="26"/>
  <c r="AA136" i="26"/>
  <c r="Z136" i="26"/>
  <c r="Y136" i="26"/>
  <c r="X136" i="26"/>
  <c r="W136" i="26"/>
  <c r="V136" i="26"/>
  <c r="U136" i="26"/>
  <c r="T136" i="26"/>
  <c r="S136" i="26"/>
  <c r="L136" i="26"/>
  <c r="K136" i="26"/>
  <c r="J136" i="26"/>
  <c r="I136" i="26"/>
  <c r="H136" i="26"/>
  <c r="G136" i="26"/>
  <c r="F136" i="26"/>
  <c r="E136" i="26"/>
  <c r="AA135" i="26"/>
  <c r="Z135" i="26"/>
  <c r="Y135" i="26"/>
  <c r="X135" i="26"/>
  <c r="W135" i="26"/>
  <c r="V135" i="26"/>
  <c r="U135" i="26"/>
  <c r="T135" i="26"/>
  <c r="S135" i="26"/>
  <c r="L135" i="26"/>
  <c r="K135" i="26"/>
  <c r="J135" i="26"/>
  <c r="I135" i="26"/>
  <c r="H135" i="26"/>
  <c r="G135" i="26"/>
  <c r="F135" i="26"/>
  <c r="E135" i="26"/>
  <c r="AA134" i="26"/>
  <c r="Z134" i="26"/>
  <c r="Y134" i="26"/>
  <c r="X134" i="26"/>
  <c r="W134" i="26"/>
  <c r="V134" i="26"/>
  <c r="U134" i="26"/>
  <c r="T134" i="26"/>
  <c r="S134" i="26"/>
  <c r="L134" i="26"/>
  <c r="K134" i="26"/>
  <c r="J134" i="26"/>
  <c r="I134" i="26"/>
  <c r="H134" i="26"/>
  <c r="G134" i="26"/>
  <c r="F134" i="26"/>
  <c r="E134" i="26"/>
  <c r="AA133" i="26"/>
  <c r="Z133" i="26"/>
  <c r="Y133" i="26"/>
  <c r="X133" i="26"/>
  <c r="W133" i="26"/>
  <c r="V133" i="26"/>
  <c r="U133" i="26"/>
  <c r="T133" i="26"/>
  <c r="S133" i="26"/>
  <c r="L133" i="26"/>
  <c r="K133" i="26"/>
  <c r="J133" i="26"/>
  <c r="I133" i="26"/>
  <c r="H133" i="26"/>
  <c r="G133" i="26"/>
  <c r="F133" i="26"/>
  <c r="E133" i="26"/>
  <c r="AA132" i="26"/>
  <c r="Z132" i="26"/>
  <c r="Y132" i="26"/>
  <c r="X132" i="26"/>
  <c r="W132" i="26"/>
  <c r="V132" i="26"/>
  <c r="U132" i="26"/>
  <c r="T132" i="26"/>
  <c r="S132" i="26"/>
  <c r="L132" i="26"/>
  <c r="K132" i="26"/>
  <c r="J132" i="26"/>
  <c r="I132" i="26"/>
  <c r="H132" i="26"/>
  <c r="G132" i="26"/>
  <c r="F132" i="26"/>
  <c r="E132" i="26"/>
  <c r="AA131" i="26"/>
  <c r="Z131" i="26"/>
  <c r="Y131" i="26"/>
  <c r="X131" i="26"/>
  <c r="W131" i="26"/>
  <c r="V131" i="26"/>
  <c r="U131" i="26"/>
  <c r="T131" i="26"/>
  <c r="S131" i="26"/>
  <c r="L131" i="26"/>
  <c r="K131" i="26"/>
  <c r="J131" i="26"/>
  <c r="I131" i="26"/>
  <c r="H131" i="26"/>
  <c r="G131" i="26"/>
  <c r="F131" i="26"/>
  <c r="E131" i="26"/>
  <c r="AA130" i="26"/>
  <c r="Z130" i="26"/>
  <c r="Y130" i="26"/>
  <c r="X130" i="26"/>
  <c r="W130" i="26"/>
  <c r="V130" i="26"/>
  <c r="U130" i="26"/>
  <c r="T130" i="26"/>
  <c r="S130" i="26"/>
  <c r="L130" i="26"/>
  <c r="K130" i="26"/>
  <c r="J130" i="26"/>
  <c r="I130" i="26"/>
  <c r="H130" i="26"/>
  <c r="G130" i="26"/>
  <c r="F130" i="26"/>
  <c r="E130" i="26"/>
  <c r="AA129" i="26"/>
  <c r="Z129" i="26"/>
  <c r="Y129" i="26"/>
  <c r="X129" i="26"/>
  <c r="W129" i="26"/>
  <c r="V129" i="26"/>
  <c r="U129" i="26"/>
  <c r="T129" i="26"/>
  <c r="S129" i="26"/>
  <c r="L129" i="26"/>
  <c r="K129" i="26"/>
  <c r="J129" i="26"/>
  <c r="I129" i="26"/>
  <c r="H129" i="26"/>
  <c r="G129" i="26"/>
  <c r="F129" i="26"/>
  <c r="E129" i="26"/>
  <c r="AA128" i="26"/>
  <c r="Z128" i="26"/>
  <c r="Y128" i="26"/>
  <c r="X128" i="26"/>
  <c r="W128" i="26"/>
  <c r="V128" i="26"/>
  <c r="U128" i="26"/>
  <c r="T128" i="26"/>
  <c r="S128" i="26"/>
  <c r="L128" i="26"/>
  <c r="K128" i="26"/>
  <c r="J128" i="26"/>
  <c r="I128" i="26"/>
  <c r="H128" i="26"/>
  <c r="G128" i="26"/>
  <c r="F128" i="26"/>
  <c r="E128" i="26"/>
  <c r="AA127" i="26"/>
  <c r="Z127" i="26"/>
  <c r="Y127" i="26"/>
  <c r="X127" i="26"/>
  <c r="W127" i="26"/>
  <c r="V127" i="26"/>
  <c r="U127" i="26"/>
  <c r="T127" i="26"/>
  <c r="S127" i="26"/>
  <c r="L127" i="26"/>
  <c r="K127" i="26"/>
  <c r="J127" i="26"/>
  <c r="I127" i="26"/>
  <c r="H127" i="26"/>
  <c r="G127" i="26"/>
  <c r="F127" i="26"/>
  <c r="E127" i="26"/>
  <c r="AA126" i="26"/>
  <c r="Z126" i="26"/>
  <c r="Y126" i="26"/>
  <c r="X126" i="26"/>
  <c r="W126" i="26"/>
  <c r="V126" i="26"/>
  <c r="U126" i="26"/>
  <c r="T126" i="26"/>
  <c r="S126" i="26"/>
  <c r="L126" i="26"/>
  <c r="K126" i="26"/>
  <c r="J126" i="26"/>
  <c r="I126" i="26"/>
  <c r="H126" i="26"/>
  <c r="G126" i="26"/>
  <c r="F126" i="26"/>
  <c r="E126" i="26"/>
  <c r="AA125" i="26"/>
  <c r="Z125" i="26"/>
  <c r="Y125" i="26"/>
  <c r="X125" i="26"/>
  <c r="W125" i="26"/>
  <c r="V125" i="26"/>
  <c r="U125" i="26"/>
  <c r="T125" i="26"/>
  <c r="S125" i="26"/>
  <c r="L125" i="26"/>
  <c r="K125" i="26"/>
  <c r="J125" i="26"/>
  <c r="I125" i="26"/>
  <c r="H125" i="26"/>
  <c r="G125" i="26"/>
  <c r="F125" i="26"/>
  <c r="E125" i="26"/>
  <c r="AA124" i="26"/>
  <c r="Z124" i="26"/>
  <c r="Y124" i="26"/>
  <c r="X124" i="26"/>
  <c r="W124" i="26"/>
  <c r="V124" i="26"/>
  <c r="U124" i="26"/>
  <c r="T124" i="26"/>
  <c r="S124" i="26"/>
  <c r="L124" i="26"/>
  <c r="K124" i="26"/>
  <c r="J124" i="26"/>
  <c r="I124" i="26"/>
  <c r="H124" i="26"/>
  <c r="G124" i="26"/>
  <c r="F124" i="26"/>
  <c r="E124" i="26"/>
  <c r="AA123" i="26"/>
  <c r="Z123" i="26"/>
  <c r="Y123" i="26"/>
  <c r="X123" i="26"/>
  <c r="W123" i="26"/>
  <c r="V123" i="26"/>
  <c r="U123" i="26"/>
  <c r="T123" i="26"/>
  <c r="S123" i="26"/>
  <c r="L123" i="26"/>
  <c r="K123" i="26"/>
  <c r="J123" i="26"/>
  <c r="I123" i="26"/>
  <c r="H123" i="26"/>
  <c r="G123" i="26"/>
  <c r="F123" i="26"/>
  <c r="E123" i="26"/>
  <c r="AA122" i="26"/>
  <c r="Z122" i="26"/>
  <c r="Y122" i="26"/>
  <c r="X122" i="26"/>
  <c r="W122" i="26"/>
  <c r="V122" i="26"/>
  <c r="U122" i="26"/>
  <c r="T122" i="26"/>
  <c r="S122" i="26"/>
  <c r="L122" i="26"/>
  <c r="K122" i="26"/>
  <c r="J122" i="26"/>
  <c r="I122" i="26"/>
  <c r="H122" i="26"/>
  <c r="G122" i="26"/>
  <c r="F122" i="26"/>
  <c r="E122" i="26"/>
  <c r="AA121" i="26"/>
  <c r="Z121" i="26"/>
  <c r="Y121" i="26"/>
  <c r="X121" i="26"/>
  <c r="W121" i="26"/>
  <c r="V121" i="26"/>
  <c r="U121" i="26"/>
  <c r="T121" i="26"/>
  <c r="S121" i="26"/>
  <c r="L121" i="26"/>
  <c r="K121" i="26"/>
  <c r="J121" i="26"/>
  <c r="I121" i="26"/>
  <c r="H121" i="26"/>
  <c r="G121" i="26"/>
  <c r="F121" i="26"/>
  <c r="E121" i="26"/>
  <c r="AA120" i="26"/>
  <c r="Z120" i="26"/>
  <c r="Y120" i="26"/>
  <c r="X120" i="26"/>
  <c r="W120" i="26"/>
  <c r="V120" i="26"/>
  <c r="U120" i="26"/>
  <c r="T120" i="26"/>
  <c r="S120" i="26"/>
  <c r="L120" i="26"/>
  <c r="K120" i="26"/>
  <c r="J120" i="26"/>
  <c r="I120" i="26"/>
  <c r="H120" i="26"/>
  <c r="G120" i="26"/>
  <c r="F120" i="26"/>
  <c r="E120" i="26"/>
  <c r="AA119" i="26"/>
  <c r="Z119" i="26"/>
  <c r="Y119" i="26"/>
  <c r="X119" i="26"/>
  <c r="W119" i="26"/>
  <c r="V119" i="26"/>
  <c r="U119" i="26"/>
  <c r="T119" i="26"/>
  <c r="S119" i="26"/>
  <c r="L119" i="26"/>
  <c r="K119" i="26"/>
  <c r="J119" i="26"/>
  <c r="I119" i="26"/>
  <c r="H119" i="26"/>
  <c r="G119" i="26"/>
  <c r="F119" i="26"/>
  <c r="E119" i="26"/>
  <c r="AA118" i="26"/>
  <c r="Z118" i="26"/>
  <c r="Y118" i="26"/>
  <c r="X118" i="26"/>
  <c r="W118" i="26"/>
  <c r="V118" i="26"/>
  <c r="U118" i="26"/>
  <c r="T118" i="26"/>
  <c r="S118" i="26"/>
  <c r="L118" i="26"/>
  <c r="K118" i="26"/>
  <c r="J118" i="26"/>
  <c r="I118" i="26"/>
  <c r="H118" i="26"/>
  <c r="G118" i="26"/>
  <c r="F118" i="26"/>
  <c r="E118" i="26"/>
  <c r="AA117" i="26"/>
  <c r="Z117" i="26"/>
  <c r="Y117" i="26"/>
  <c r="X117" i="26"/>
  <c r="W117" i="26"/>
  <c r="V117" i="26"/>
  <c r="U117" i="26"/>
  <c r="T117" i="26"/>
  <c r="S117" i="26"/>
  <c r="L117" i="26"/>
  <c r="K117" i="26"/>
  <c r="J117" i="26"/>
  <c r="I117" i="26"/>
  <c r="H117" i="26"/>
  <c r="G117" i="26"/>
  <c r="F117" i="26"/>
  <c r="E117" i="26"/>
  <c r="AA116" i="26"/>
  <c r="Z116" i="26"/>
  <c r="Y116" i="26"/>
  <c r="X116" i="26"/>
  <c r="W116" i="26"/>
  <c r="V116" i="26"/>
  <c r="U116" i="26"/>
  <c r="T116" i="26"/>
  <c r="S116" i="26"/>
  <c r="L116" i="26"/>
  <c r="K116" i="26"/>
  <c r="J116" i="26"/>
  <c r="I116" i="26"/>
  <c r="H116" i="26"/>
  <c r="G116" i="26"/>
  <c r="F116" i="26"/>
  <c r="E116" i="26"/>
  <c r="AA115" i="26"/>
  <c r="Z115" i="26"/>
  <c r="Y115" i="26"/>
  <c r="X115" i="26"/>
  <c r="W115" i="26"/>
  <c r="V115" i="26"/>
  <c r="U115" i="26"/>
  <c r="T115" i="26"/>
  <c r="S115" i="26"/>
  <c r="L115" i="26"/>
  <c r="K115" i="26"/>
  <c r="J115" i="26"/>
  <c r="I115" i="26"/>
  <c r="H115" i="26"/>
  <c r="G115" i="26"/>
  <c r="F115" i="26"/>
  <c r="E115" i="26"/>
  <c r="AA114" i="26"/>
  <c r="Z114" i="26"/>
  <c r="Y114" i="26"/>
  <c r="X114" i="26"/>
  <c r="W114" i="26"/>
  <c r="V114" i="26"/>
  <c r="U114" i="26"/>
  <c r="T114" i="26"/>
  <c r="S114" i="26"/>
  <c r="L114" i="26"/>
  <c r="K114" i="26"/>
  <c r="J114" i="26"/>
  <c r="I114" i="26"/>
  <c r="H114" i="26"/>
  <c r="G114" i="26"/>
  <c r="F114" i="26"/>
  <c r="E114" i="26"/>
  <c r="AA113" i="26"/>
  <c r="Z113" i="26"/>
  <c r="Y113" i="26"/>
  <c r="X113" i="26"/>
  <c r="W113" i="26"/>
  <c r="V113" i="26"/>
  <c r="U113" i="26"/>
  <c r="T113" i="26"/>
  <c r="S113" i="26"/>
  <c r="L113" i="26"/>
  <c r="K113" i="26"/>
  <c r="J113" i="26"/>
  <c r="I113" i="26"/>
  <c r="H113" i="26"/>
  <c r="G113" i="26"/>
  <c r="F113" i="26"/>
  <c r="E113" i="26"/>
  <c r="AA112" i="26"/>
  <c r="Z112" i="26"/>
  <c r="Y112" i="26"/>
  <c r="X112" i="26"/>
  <c r="W112" i="26"/>
  <c r="V112" i="26"/>
  <c r="U112" i="26"/>
  <c r="T112" i="26"/>
  <c r="S112" i="26"/>
  <c r="L112" i="26"/>
  <c r="K112" i="26"/>
  <c r="J112" i="26"/>
  <c r="I112" i="26"/>
  <c r="H112" i="26"/>
  <c r="G112" i="26"/>
  <c r="F112" i="26"/>
  <c r="E112" i="26"/>
  <c r="AA111" i="26"/>
  <c r="Z111" i="26"/>
  <c r="Y111" i="26"/>
  <c r="X111" i="26"/>
  <c r="W111" i="26"/>
  <c r="V111" i="26"/>
  <c r="U111" i="26"/>
  <c r="T111" i="26"/>
  <c r="S111" i="26"/>
  <c r="L111" i="26"/>
  <c r="K111" i="26"/>
  <c r="J111" i="26"/>
  <c r="I111" i="26"/>
  <c r="H111" i="26"/>
  <c r="G111" i="26"/>
  <c r="F111" i="26"/>
  <c r="E111" i="26"/>
  <c r="AA110" i="26"/>
  <c r="Z110" i="26"/>
  <c r="Y110" i="26"/>
  <c r="X110" i="26"/>
  <c r="W110" i="26"/>
  <c r="V110" i="26"/>
  <c r="U110" i="26"/>
  <c r="T110" i="26"/>
  <c r="S110" i="26"/>
  <c r="L110" i="26"/>
  <c r="K110" i="26"/>
  <c r="J110" i="26"/>
  <c r="I110" i="26"/>
  <c r="H110" i="26"/>
  <c r="G110" i="26"/>
  <c r="F110" i="26"/>
  <c r="E110" i="26"/>
  <c r="AA109" i="26"/>
  <c r="Z109" i="26"/>
  <c r="Y109" i="26"/>
  <c r="X109" i="26"/>
  <c r="W109" i="26"/>
  <c r="V109" i="26"/>
  <c r="U109" i="26"/>
  <c r="T109" i="26"/>
  <c r="S109" i="26"/>
  <c r="L109" i="26"/>
  <c r="K109" i="26"/>
  <c r="J109" i="26"/>
  <c r="I109" i="26"/>
  <c r="H109" i="26"/>
  <c r="G109" i="26"/>
  <c r="F109" i="26"/>
  <c r="E109" i="26"/>
  <c r="AA108" i="26"/>
  <c r="Z108" i="26"/>
  <c r="Y108" i="26"/>
  <c r="X108" i="26"/>
  <c r="W108" i="26"/>
  <c r="V108" i="26"/>
  <c r="U108" i="26"/>
  <c r="T108" i="26"/>
  <c r="S108" i="26"/>
  <c r="L108" i="26"/>
  <c r="K108" i="26"/>
  <c r="J108" i="26"/>
  <c r="I108" i="26"/>
  <c r="H108" i="26"/>
  <c r="G108" i="26"/>
  <c r="F108" i="26"/>
  <c r="E108" i="26"/>
  <c r="AA107" i="26"/>
  <c r="Z107" i="26"/>
  <c r="Y107" i="26"/>
  <c r="X107" i="26"/>
  <c r="W107" i="26"/>
  <c r="V107" i="26"/>
  <c r="U107" i="26"/>
  <c r="T107" i="26"/>
  <c r="S107" i="26"/>
  <c r="L107" i="26"/>
  <c r="K107" i="26"/>
  <c r="J107" i="26"/>
  <c r="I107" i="26"/>
  <c r="H107" i="26"/>
  <c r="G107" i="26"/>
  <c r="F107" i="26"/>
  <c r="E107" i="26"/>
  <c r="AA106" i="26"/>
  <c r="Z106" i="26"/>
  <c r="Y106" i="26"/>
  <c r="X106" i="26"/>
  <c r="W106" i="26"/>
  <c r="V106" i="26"/>
  <c r="U106" i="26"/>
  <c r="T106" i="26"/>
  <c r="S106" i="26"/>
  <c r="L106" i="26"/>
  <c r="K106" i="26"/>
  <c r="J106" i="26"/>
  <c r="I106" i="26"/>
  <c r="H106" i="26"/>
  <c r="G106" i="26"/>
  <c r="F106" i="26"/>
  <c r="E106" i="26"/>
  <c r="AA105" i="26"/>
  <c r="Z105" i="26"/>
  <c r="Y105" i="26"/>
  <c r="X105" i="26"/>
  <c r="W105" i="26"/>
  <c r="V105" i="26"/>
  <c r="U105" i="26"/>
  <c r="T105" i="26"/>
  <c r="S105" i="26"/>
  <c r="L105" i="26"/>
  <c r="K105" i="26"/>
  <c r="J105" i="26"/>
  <c r="I105" i="26"/>
  <c r="H105" i="26"/>
  <c r="G105" i="26"/>
  <c r="F105" i="26"/>
  <c r="E105" i="26"/>
  <c r="AA104" i="26"/>
  <c r="Z104" i="26"/>
  <c r="Y104" i="26"/>
  <c r="X104" i="26"/>
  <c r="W104" i="26"/>
  <c r="V104" i="26"/>
  <c r="U104" i="26"/>
  <c r="T104" i="26"/>
  <c r="S104" i="26"/>
  <c r="L104" i="26"/>
  <c r="K104" i="26"/>
  <c r="J104" i="26"/>
  <c r="I104" i="26"/>
  <c r="H104" i="26"/>
  <c r="G104" i="26"/>
  <c r="F104" i="26"/>
  <c r="E104" i="26"/>
  <c r="AA103" i="26"/>
  <c r="Z103" i="26"/>
  <c r="Y103" i="26"/>
  <c r="X103" i="26"/>
  <c r="W103" i="26"/>
  <c r="V103" i="26"/>
  <c r="U103" i="26"/>
  <c r="T103" i="26"/>
  <c r="S103" i="26"/>
  <c r="L103" i="26"/>
  <c r="K103" i="26"/>
  <c r="J103" i="26"/>
  <c r="I103" i="26"/>
  <c r="H103" i="26"/>
  <c r="G103" i="26"/>
  <c r="F103" i="26"/>
  <c r="E103" i="26"/>
  <c r="AA102" i="26"/>
  <c r="Z102" i="26"/>
  <c r="Y102" i="26"/>
  <c r="X102" i="26"/>
  <c r="W102" i="26"/>
  <c r="V102" i="26"/>
  <c r="U102" i="26"/>
  <c r="T102" i="26"/>
  <c r="S102" i="26"/>
  <c r="L102" i="26"/>
  <c r="K102" i="26"/>
  <c r="J102" i="26"/>
  <c r="I102" i="26"/>
  <c r="H102" i="26"/>
  <c r="G102" i="26"/>
  <c r="F102" i="26"/>
  <c r="E102" i="26"/>
  <c r="AA101" i="26"/>
  <c r="Z101" i="26"/>
  <c r="Y101" i="26"/>
  <c r="X101" i="26"/>
  <c r="W101" i="26"/>
  <c r="V101" i="26"/>
  <c r="U101" i="26"/>
  <c r="T101" i="26"/>
  <c r="S101" i="26"/>
  <c r="L101" i="26"/>
  <c r="K101" i="26"/>
  <c r="J101" i="26"/>
  <c r="I101" i="26"/>
  <c r="H101" i="26"/>
  <c r="G101" i="26"/>
  <c r="F101" i="26"/>
  <c r="E101" i="26"/>
  <c r="AA100" i="26"/>
  <c r="Z100" i="26"/>
  <c r="Y100" i="26"/>
  <c r="X100" i="26"/>
  <c r="W100" i="26"/>
  <c r="V100" i="26"/>
  <c r="U100" i="26"/>
  <c r="T100" i="26"/>
  <c r="S100" i="26"/>
  <c r="L100" i="26"/>
  <c r="K100" i="26"/>
  <c r="J100" i="26"/>
  <c r="I100" i="26"/>
  <c r="H100" i="26"/>
  <c r="G100" i="26"/>
  <c r="F100" i="26"/>
  <c r="E100" i="26"/>
  <c r="AA99" i="26"/>
  <c r="Z99" i="26"/>
  <c r="Y99" i="26"/>
  <c r="X99" i="26"/>
  <c r="W99" i="26"/>
  <c r="V99" i="26"/>
  <c r="U99" i="26"/>
  <c r="T99" i="26"/>
  <c r="S99" i="26"/>
  <c r="L99" i="26"/>
  <c r="K99" i="26"/>
  <c r="J99" i="26"/>
  <c r="I99" i="26"/>
  <c r="H99" i="26"/>
  <c r="G99" i="26"/>
  <c r="F99" i="26"/>
  <c r="E99" i="26"/>
  <c r="AA98" i="26"/>
  <c r="Z98" i="26"/>
  <c r="Y98" i="26"/>
  <c r="X98" i="26"/>
  <c r="W98" i="26"/>
  <c r="V98" i="26"/>
  <c r="U98" i="26"/>
  <c r="T98" i="26"/>
  <c r="S98" i="26"/>
  <c r="L98" i="26"/>
  <c r="K98" i="26"/>
  <c r="J98" i="26"/>
  <c r="I98" i="26"/>
  <c r="H98" i="26"/>
  <c r="G98" i="26"/>
  <c r="F98" i="26"/>
  <c r="E98" i="26"/>
  <c r="AA97" i="26"/>
  <c r="Z97" i="26"/>
  <c r="Y97" i="26"/>
  <c r="X97" i="26"/>
  <c r="W97" i="26"/>
  <c r="V97" i="26"/>
  <c r="U97" i="26"/>
  <c r="T97" i="26"/>
  <c r="S97" i="26"/>
  <c r="L97" i="26"/>
  <c r="K97" i="26"/>
  <c r="J97" i="26"/>
  <c r="I97" i="26"/>
  <c r="H97" i="26"/>
  <c r="G97" i="26"/>
  <c r="F97" i="26"/>
  <c r="E97" i="26"/>
  <c r="AA96" i="26"/>
  <c r="Z96" i="26"/>
  <c r="Y96" i="26"/>
  <c r="X96" i="26"/>
  <c r="W96" i="26"/>
  <c r="V96" i="26"/>
  <c r="U96" i="26"/>
  <c r="T96" i="26"/>
  <c r="S96" i="26"/>
  <c r="L96" i="26"/>
  <c r="K96" i="26"/>
  <c r="J96" i="26"/>
  <c r="I96" i="26"/>
  <c r="H96" i="26"/>
  <c r="G96" i="26"/>
  <c r="F96" i="26"/>
  <c r="E96" i="26"/>
  <c r="AA95" i="26"/>
  <c r="Z95" i="26"/>
  <c r="Y95" i="26"/>
  <c r="X95" i="26"/>
  <c r="W95" i="26"/>
  <c r="V95" i="26"/>
  <c r="U95" i="26"/>
  <c r="T95" i="26"/>
  <c r="S95" i="26"/>
  <c r="L95" i="26"/>
  <c r="K95" i="26"/>
  <c r="J95" i="26"/>
  <c r="I95" i="26"/>
  <c r="H95" i="26"/>
  <c r="G95" i="26"/>
  <c r="F95" i="26"/>
  <c r="E95" i="26"/>
  <c r="AA94" i="26"/>
  <c r="Z94" i="26"/>
  <c r="Y94" i="26"/>
  <c r="X94" i="26"/>
  <c r="W94" i="26"/>
  <c r="V94" i="26"/>
  <c r="U94" i="26"/>
  <c r="T94" i="26"/>
  <c r="S94" i="26"/>
  <c r="L94" i="26"/>
  <c r="K94" i="26"/>
  <c r="J94" i="26"/>
  <c r="I94" i="26"/>
  <c r="H94" i="26"/>
  <c r="G94" i="26"/>
  <c r="F94" i="26"/>
  <c r="E94" i="26"/>
  <c r="AA93" i="26"/>
  <c r="Z93" i="26"/>
  <c r="Y93" i="26"/>
  <c r="X93" i="26"/>
  <c r="W93" i="26"/>
  <c r="V93" i="26"/>
  <c r="U93" i="26"/>
  <c r="T93" i="26"/>
  <c r="S93" i="26"/>
  <c r="L93" i="26"/>
  <c r="K93" i="26"/>
  <c r="J93" i="26"/>
  <c r="I93" i="26"/>
  <c r="H93" i="26"/>
  <c r="G93" i="26"/>
  <c r="F93" i="26"/>
  <c r="E93" i="26"/>
  <c r="AA92" i="26"/>
  <c r="Z92" i="26"/>
  <c r="Y92" i="26"/>
  <c r="X92" i="26"/>
  <c r="W92" i="26"/>
  <c r="V92" i="26"/>
  <c r="U92" i="26"/>
  <c r="T92" i="26"/>
  <c r="S92" i="26"/>
  <c r="L92" i="26"/>
  <c r="K92" i="26"/>
  <c r="J92" i="26"/>
  <c r="I92" i="26"/>
  <c r="H92" i="26"/>
  <c r="G92" i="26"/>
  <c r="F92" i="26"/>
  <c r="E92" i="26"/>
  <c r="AA91" i="26"/>
  <c r="Z91" i="26"/>
  <c r="Y91" i="26"/>
  <c r="X91" i="26"/>
  <c r="W91" i="26"/>
  <c r="V91" i="26"/>
  <c r="U91" i="26"/>
  <c r="T91" i="26"/>
  <c r="S91" i="26"/>
  <c r="L91" i="26"/>
  <c r="K91" i="26"/>
  <c r="J91" i="26"/>
  <c r="I91" i="26"/>
  <c r="H91" i="26"/>
  <c r="G91" i="26"/>
  <c r="F91" i="26"/>
  <c r="E91" i="26"/>
  <c r="AA90" i="26"/>
  <c r="Z90" i="26"/>
  <c r="Y90" i="26"/>
  <c r="X90" i="26"/>
  <c r="W90" i="26"/>
  <c r="V90" i="26"/>
  <c r="U90" i="26"/>
  <c r="T90" i="26"/>
  <c r="S90" i="26"/>
  <c r="L90" i="26"/>
  <c r="K90" i="26"/>
  <c r="J90" i="26"/>
  <c r="I90" i="26"/>
  <c r="H90" i="26"/>
  <c r="G90" i="26"/>
  <c r="F90" i="26"/>
  <c r="E90" i="26"/>
  <c r="AA89" i="26"/>
  <c r="Z89" i="26"/>
  <c r="Y89" i="26"/>
  <c r="X89" i="26"/>
  <c r="W89" i="26"/>
  <c r="V89" i="26"/>
  <c r="U89" i="26"/>
  <c r="T89" i="26"/>
  <c r="S89" i="26"/>
  <c r="L89" i="26"/>
  <c r="K89" i="26"/>
  <c r="J89" i="26"/>
  <c r="I89" i="26"/>
  <c r="H89" i="26"/>
  <c r="G89" i="26"/>
  <c r="F89" i="26"/>
  <c r="E89" i="26"/>
  <c r="AA88" i="26"/>
  <c r="Z88" i="26"/>
  <c r="Y88" i="26"/>
  <c r="X88" i="26"/>
  <c r="W88" i="26"/>
  <c r="V88" i="26"/>
  <c r="U88" i="26"/>
  <c r="T88" i="26"/>
  <c r="S88" i="26"/>
  <c r="L88" i="26"/>
  <c r="K88" i="26"/>
  <c r="J88" i="26"/>
  <c r="I88" i="26"/>
  <c r="H88" i="26"/>
  <c r="G88" i="26"/>
  <c r="F88" i="26"/>
  <c r="E88" i="26"/>
  <c r="AA87" i="26"/>
  <c r="Z87" i="26"/>
  <c r="Y87" i="26"/>
  <c r="X87" i="26"/>
  <c r="W87" i="26"/>
  <c r="V87" i="26"/>
  <c r="U87" i="26"/>
  <c r="T87" i="26"/>
  <c r="S87" i="26"/>
  <c r="L87" i="26"/>
  <c r="K87" i="26"/>
  <c r="J87" i="26"/>
  <c r="I87" i="26"/>
  <c r="H87" i="26"/>
  <c r="G87" i="26"/>
  <c r="F87" i="26"/>
  <c r="E87" i="26"/>
  <c r="AA86" i="26"/>
  <c r="Z86" i="26"/>
  <c r="Y86" i="26"/>
  <c r="X86" i="26"/>
  <c r="W86" i="26"/>
  <c r="V86" i="26"/>
  <c r="U86" i="26"/>
  <c r="T86" i="26"/>
  <c r="S86" i="26"/>
  <c r="L86" i="26"/>
  <c r="K86" i="26"/>
  <c r="J86" i="26"/>
  <c r="I86" i="26"/>
  <c r="H86" i="26"/>
  <c r="G86" i="26"/>
  <c r="F86" i="26"/>
  <c r="E86" i="26"/>
  <c r="AA85" i="26"/>
  <c r="Z85" i="26"/>
  <c r="Y85" i="26"/>
  <c r="X85" i="26"/>
  <c r="W85" i="26"/>
  <c r="V85" i="26"/>
  <c r="U85" i="26"/>
  <c r="T85" i="26"/>
  <c r="S85" i="26"/>
  <c r="L85" i="26"/>
  <c r="K85" i="26"/>
  <c r="J85" i="26"/>
  <c r="I85" i="26"/>
  <c r="H85" i="26"/>
  <c r="G85" i="26"/>
  <c r="F85" i="26"/>
  <c r="E85" i="26"/>
  <c r="AA84" i="26"/>
  <c r="Z84" i="26"/>
  <c r="Y84" i="26"/>
  <c r="X84" i="26"/>
  <c r="W84" i="26"/>
  <c r="V84" i="26"/>
  <c r="U84" i="26"/>
  <c r="T84" i="26"/>
  <c r="S84" i="26"/>
  <c r="L84" i="26"/>
  <c r="K84" i="26"/>
  <c r="J84" i="26"/>
  <c r="I84" i="26"/>
  <c r="H84" i="26"/>
  <c r="G84" i="26"/>
  <c r="F84" i="26"/>
  <c r="E84" i="26"/>
  <c r="AA83" i="26"/>
  <c r="Z83" i="26"/>
  <c r="Y83" i="26"/>
  <c r="X83" i="26"/>
  <c r="W83" i="26"/>
  <c r="V83" i="26"/>
  <c r="U83" i="26"/>
  <c r="T83" i="26"/>
  <c r="S83" i="26"/>
  <c r="L83" i="26"/>
  <c r="K83" i="26"/>
  <c r="J83" i="26"/>
  <c r="I83" i="26"/>
  <c r="H83" i="26"/>
  <c r="G83" i="26"/>
  <c r="F83" i="26"/>
  <c r="E83" i="26"/>
  <c r="AA82" i="26"/>
  <c r="Z82" i="26"/>
  <c r="Y82" i="26"/>
  <c r="X82" i="26"/>
  <c r="W82" i="26"/>
  <c r="V82" i="26"/>
  <c r="U82" i="26"/>
  <c r="T82" i="26"/>
  <c r="S82" i="26"/>
  <c r="L82" i="26"/>
  <c r="K82" i="26"/>
  <c r="J82" i="26"/>
  <c r="I82" i="26"/>
  <c r="H82" i="26"/>
  <c r="G82" i="26"/>
  <c r="F82" i="26"/>
  <c r="E82" i="26"/>
  <c r="AA81" i="26"/>
  <c r="Z81" i="26"/>
  <c r="Y81" i="26"/>
  <c r="X81" i="26"/>
  <c r="W81" i="26"/>
  <c r="V81" i="26"/>
  <c r="U81" i="26"/>
  <c r="T81" i="26"/>
  <c r="S81" i="26"/>
  <c r="L81" i="26"/>
  <c r="K81" i="26"/>
  <c r="J81" i="26"/>
  <c r="I81" i="26"/>
  <c r="H81" i="26"/>
  <c r="G81" i="26"/>
  <c r="F81" i="26"/>
  <c r="E81" i="26"/>
  <c r="AA80" i="26"/>
  <c r="Z80" i="26"/>
  <c r="Y80" i="26"/>
  <c r="X80" i="26"/>
  <c r="W80" i="26"/>
  <c r="V80" i="26"/>
  <c r="U80" i="26"/>
  <c r="T80" i="26"/>
  <c r="S80" i="26"/>
  <c r="L80" i="26"/>
  <c r="K80" i="26"/>
  <c r="J80" i="26"/>
  <c r="I80" i="26"/>
  <c r="H80" i="26"/>
  <c r="G80" i="26"/>
  <c r="F80" i="26"/>
  <c r="E80" i="26"/>
  <c r="AA79" i="26"/>
  <c r="Z79" i="26"/>
  <c r="Y79" i="26"/>
  <c r="X79" i="26"/>
  <c r="W79" i="26"/>
  <c r="V79" i="26"/>
  <c r="U79" i="26"/>
  <c r="T79" i="26"/>
  <c r="S79" i="26"/>
  <c r="L79" i="26"/>
  <c r="K79" i="26"/>
  <c r="J79" i="26"/>
  <c r="I79" i="26"/>
  <c r="H79" i="26"/>
  <c r="G79" i="26"/>
  <c r="F79" i="26"/>
  <c r="E79" i="26"/>
  <c r="AA78" i="26"/>
  <c r="Z78" i="26"/>
  <c r="Y78" i="26"/>
  <c r="X78" i="26"/>
  <c r="W78" i="26"/>
  <c r="V78" i="26"/>
  <c r="U78" i="26"/>
  <c r="T78" i="26"/>
  <c r="S78" i="26"/>
  <c r="L78" i="26"/>
  <c r="K78" i="26"/>
  <c r="J78" i="26"/>
  <c r="I78" i="26"/>
  <c r="H78" i="26"/>
  <c r="G78" i="26"/>
  <c r="F78" i="26"/>
  <c r="E78" i="26"/>
  <c r="AA77" i="26"/>
  <c r="Z77" i="26"/>
  <c r="Y77" i="26"/>
  <c r="X77" i="26"/>
  <c r="W77" i="26"/>
  <c r="V77" i="26"/>
  <c r="U77" i="26"/>
  <c r="T77" i="26"/>
  <c r="S77" i="26"/>
  <c r="L77" i="26"/>
  <c r="K77" i="26"/>
  <c r="J77" i="26"/>
  <c r="I77" i="26"/>
  <c r="H77" i="26"/>
  <c r="G77" i="26"/>
  <c r="F77" i="26"/>
  <c r="E77" i="26"/>
  <c r="AA76" i="26"/>
  <c r="Z76" i="26"/>
  <c r="Y76" i="26"/>
  <c r="X76" i="26"/>
  <c r="W76" i="26"/>
  <c r="V76" i="26"/>
  <c r="U76" i="26"/>
  <c r="T76" i="26"/>
  <c r="S76" i="26"/>
  <c r="L76" i="26"/>
  <c r="K76" i="26"/>
  <c r="J76" i="26"/>
  <c r="I76" i="26"/>
  <c r="H76" i="26"/>
  <c r="G76" i="26"/>
  <c r="F76" i="26"/>
  <c r="E76" i="26"/>
  <c r="AA75" i="26"/>
  <c r="Z75" i="26"/>
  <c r="Y75" i="26"/>
  <c r="X75" i="26"/>
  <c r="W75" i="26"/>
  <c r="V75" i="26"/>
  <c r="U75" i="26"/>
  <c r="T75" i="26"/>
  <c r="S75" i="26"/>
  <c r="L75" i="26"/>
  <c r="K75" i="26"/>
  <c r="J75" i="26"/>
  <c r="I75" i="26"/>
  <c r="H75" i="26"/>
  <c r="G75" i="26"/>
  <c r="F75" i="26"/>
  <c r="E75" i="26"/>
  <c r="AA74" i="26"/>
  <c r="Z74" i="26"/>
  <c r="Y74" i="26"/>
  <c r="X74" i="26"/>
  <c r="W74" i="26"/>
  <c r="V74" i="26"/>
  <c r="U74" i="26"/>
  <c r="T74" i="26"/>
  <c r="S74" i="26"/>
  <c r="L74" i="26"/>
  <c r="K74" i="26"/>
  <c r="J74" i="26"/>
  <c r="I74" i="26"/>
  <c r="H74" i="26"/>
  <c r="G74" i="26"/>
  <c r="F74" i="26"/>
  <c r="E74" i="26"/>
  <c r="AA73" i="26"/>
  <c r="Z73" i="26"/>
  <c r="Y73" i="26"/>
  <c r="X73" i="26"/>
  <c r="W73" i="26"/>
  <c r="V73" i="26"/>
  <c r="U73" i="26"/>
  <c r="T73" i="26"/>
  <c r="S73" i="26"/>
  <c r="L73" i="26"/>
  <c r="K73" i="26"/>
  <c r="J73" i="26"/>
  <c r="I73" i="26"/>
  <c r="H73" i="26"/>
  <c r="G73" i="26"/>
  <c r="F73" i="26"/>
  <c r="E73" i="26"/>
  <c r="AA72" i="26"/>
  <c r="Z72" i="26"/>
  <c r="Y72" i="26"/>
  <c r="X72" i="26"/>
  <c r="W72" i="26"/>
  <c r="V72" i="26"/>
  <c r="U72" i="26"/>
  <c r="T72" i="26"/>
  <c r="S72" i="26"/>
  <c r="L72" i="26"/>
  <c r="K72" i="26"/>
  <c r="J72" i="26"/>
  <c r="I72" i="26"/>
  <c r="H72" i="26"/>
  <c r="G72" i="26"/>
  <c r="F72" i="26"/>
  <c r="E72" i="26"/>
  <c r="AA71" i="26"/>
  <c r="Z71" i="26"/>
  <c r="Y71" i="26"/>
  <c r="X71" i="26"/>
  <c r="W71" i="26"/>
  <c r="V71" i="26"/>
  <c r="U71" i="26"/>
  <c r="T71" i="26"/>
  <c r="S71" i="26"/>
  <c r="L71" i="26"/>
  <c r="K71" i="26"/>
  <c r="J71" i="26"/>
  <c r="I71" i="26"/>
  <c r="H71" i="26"/>
  <c r="G71" i="26"/>
  <c r="F71" i="26"/>
  <c r="E71" i="26"/>
  <c r="AA70" i="26"/>
  <c r="Z70" i="26"/>
  <c r="Y70" i="26"/>
  <c r="X70" i="26"/>
  <c r="W70" i="26"/>
  <c r="V70" i="26"/>
  <c r="U70" i="26"/>
  <c r="T70" i="26"/>
  <c r="S70" i="26"/>
  <c r="L70" i="26"/>
  <c r="K70" i="26"/>
  <c r="J70" i="26"/>
  <c r="I70" i="26"/>
  <c r="H70" i="26"/>
  <c r="G70" i="26"/>
  <c r="F70" i="26"/>
  <c r="E70" i="26"/>
  <c r="AA69" i="26"/>
  <c r="Z69" i="26"/>
  <c r="Y69" i="26"/>
  <c r="X69" i="26"/>
  <c r="W69" i="26"/>
  <c r="V69" i="26"/>
  <c r="U69" i="26"/>
  <c r="T69" i="26"/>
  <c r="S69" i="26"/>
  <c r="L69" i="26"/>
  <c r="K69" i="26"/>
  <c r="J69" i="26"/>
  <c r="I69" i="26"/>
  <c r="H69" i="26"/>
  <c r="G69" i="26"/>
  <c r="F69" i="26"/>
  <c r="E69" i="26"/>
  <c r="AA68" i="26"/>
  <c r="Z68" i="26"/>
  <c r="Y68" i="26"/>
  <c r="X68" i="26"/>
  <c r="W68" i="26"/>
  <c r="V68" i="26"/>
  <c r="U68" i="26"/>
  <c r="T68" i="26"/>
  <c r="S68" i="26"/>
  <c r="L68" i="26"/>
  <c r="K68" i="26"/>
  <c r="J68" i="26"/>
  <c r="I68" i="26"/>
  <c r="H68" i="26"/>
  <c r="G68" i="26"/>
  <c r="F68" i="26"/>
  <c r="E68" i="26"/>
  <c r="AA67" i="26"/>
  <c r="Z67" i="26"/>
  <c r="Y67" i="26"/>
  <c r="X67" i="26"/>
  <c r="W67" i="26"/>
  <c r="V67" i="26"/>
  <c r="U67" i="26"/>
  <c r="T67" i="26"/>
  <c r="S67" i="26"/>
  <c r="L67" i="26"/>
  <c r="K67" i="26"/>
  <c r="J67" i="26"/>
  <c r="I67" i="26"/>
  <c r="H67" i="26"/>
  <c r="G67" i="26"/>
  <c r="F67" i="26"/>
  <c r="E67" i="26"/>
  <c r="AA66" i="26"/>
  <c r="Z66" i="26"/>
  <c r="Y66" i="26"/>
  <c r="X66" i="26"/>
  <c r="W66" i="26"/>
  <c r="V66" i="26"/>
  <c r="U66" i="26"/>
  <c r="T66" i="26"/>
  <c r="S66" i="26"/>
  <c r="L66" i="26"/>
  <c r="K66" i="26"/>
  <c r="J66" i="26"/>
  <c r="I66" i="26"/>
  <c r="H66" i="26"/>
  <c r="G66" i="26"/>
  <c r="F66" i="26"/>
  <c r="E66" i="26"/>
  <c r="AA65" i="26"/>
  <c r="Z65" i="26"/>
  <c r="Y65" i="26"/>
  <c r="X65" i="26"/>
  <c r="W65" i="26"/>
  <c r="V65" i="26"/>
  <c r="U65" i="26"/>
  <c r="T65" i="26"/>
  <c r="S65" i="26"/>
  <c r="L65" i="26"/>
  <c r="K65" i="26"/>
  <c r="J65" i="26"/>
  <c r="I65" i="26"/>
  <c r="H65" i="26"/>
  <c r="G65" i="26"/>
  <c r="F65" i="26"/>
  <c r="E65" i="26"/>
  <c r="AA64" i="26"/>
  <c r="Z64" i="26"/>
  <c r="Y64" i="26"/>
  <c r="X64" i="26"/>
  <c r="W64" i="26"/>
  <c r="V64" i="26"/>
  <c r="U64" i="26"/>
  <c r="T64" i="26"/>
  <c r="S64" i="26"/>
  <c r="L64" i="26"/>
  <c r="K64" i="26"/>
  <c r="J64" i="26"/>
  <c r="I64" i="26"/>
  <c r="H64" i="26"/>
  <c r="G64" i="26"/>
  <c r="F64" i="26"/>
  <c r="E64" i="26"/>
  <c r="AA63" i="26"/>
  <c r="Z63" i="26"/>
  <c r="Y63" i="26"/>
  <c r="X63" i="26"/>
  <c r="W63" i="26"/>
  <c r="V63" i="26"/>
  <c r="U63" i="26"/>
  <c r="T63" i="26"/>
  <c r="S63" i="26"/>
  <c r="L63" i="26"/>
  <c r="K63" i="26"/>
  <c r="J63" i="26"/>
  <c r="I63" i="26"/>
  <c r="H63" i="26"/>
  <c r="G63" i="26"/>
  <c r="F63" i="26"/>
  <c r="E63" i="26"/>
  <c r="AA62" i="26"/>
  <c r="Z62" i="26"/>
  <c r="Y62" i="26"/>
  <c r="X62" i="26"/>
  <c r="W62" i="26"/>
  <c r="V62" i="26"/>
  <c r="U62" i="26"/>
  <c r="T62" i="26"/>
  <c r="S62" i="26"/>
  <c r="L62" i="26"/>
  <c r="K62" i="26"/>
  <c r="J62" i="26"/>
  <c r="I62" i="26"/>
  <c r="H62" i="26"/>
  <c r="G62" i="26"/>
  <c r="F62" i="26"/>
  <c r="E62" i="26"/>
  <c r="AA61" i="26"/>
  <c r="Z61" i="26"/>
  <c r="Y61" i="26"/>
  <c r="X61" i="26"/>
  <c r="W61" i="26"/>
  <c r="V61" i="26"/>
  <c r="U61" i="26"/>
  <c r="T61" i="26"/>
  <c r="S61" i="26"/>
  <c r="L61" i="26"/>
  <c r="K61" i="26"/>
  <c r="J61" i="26"/>
  <c r="I61" i="26"/>
  <c r="H61" i="26"/>
  <c r="G61" i="26"/>
  <c r="F61" i="26"/>
  <c r="E61" i="26"/>
  <c r="AA60" i="26"/>
  <c r="Z60" i="26"/>
  <c r="Y60" i="26"/>
  <c r="X60" i="26"/>
  <c r="W60" i="26"/>
  <c r="V60" i="26"/>
  <c r="U60" i="26"/>
  <c r="T60" i="26"/>
  <c r="S60" i="26"/>
  <c r="L60" i="26"/>
  <c r="K60" i="26"/>
  <c r="J60" i="26"/>
  <c r="I60" i="26"/>
  <c r="H60" i="26"/>
  <c r="G60" i="26"/>
  <c r="F60" i="26"/>
  <c r="E60" i="26"/>
  <c r="AA59" i="26"/>
  <c r="Z59" i="26"/>
  <c r="Y59" i="26"/>
  <c r="X59" i="26"/>
  <c r="W59" i="26"/>
  <c r="V59" i="26"/>
  <c r="U59" i="26"/>
  <c r="T59" i="26"/>
  <c r="S59" i="26"/>
  <c r="L59" i="26"/>
  <c r="K59" i="26"/>
  <c r="J59" i="26"/>
  <c r="I59" i="26"/>
  <c r="H59" i="26"/>
  <c r="G59" i="26"/>
  <c r="F59" i="26"/>
  <c r="E59" i="26"/>
  <c r="AA58" i="26"/>
  <c r="Z58" i="26"/>
  <c r="Y58" i="26"/>
  <c r="X58" i="26"/>
  <c r="W58" i="26"/>
  <c r="V58" i="26"/>
  <c r="U58" i="26"/>
  <c r="T58" i="26"/>
  <c r="S58" i="26"/>
  <c r="L58" i="26"/>
  <c r="K58" i="26"/>
  <c r="J58" i="26"/>
  <c r="I58" i="26"/>
  <c r="H58" i="26"/>
  <c r="G58" i="26"/>
  <c r="F58" i="26"/>
  <c r="E58" i="26"/>
  <c r="AA57" i="26"/>
  <c r="Z57" i="26"/>
  <c r="Y57" i="26"/>
  <c r="X57" i="26"/>
  <c r="W57" i="26"/>
  <c r="V57" i="26"/>
  <c r="U57" i="26"/>
  <c r="T57" i="26"/>
  <c r="S57" i="26"/>
  <c r="L57" i="26"/>
  <c r="K57" i="26"/>
  <c r="J57" i="26"/>
  <c r="I57" i="26"/>
  <c r="H57" i="26"/>
  <c r="G57" i="26"/>
  <c r="F57" i="26"/>
  <c r="E57" i="26"/>
  <c r="AA56" i="26"/>
  <c r="Z56" i="26"/>
  <c r="Y56" i="26"/>
  <c r="X56" i="26"/>
  <c r="W56" i="26"/>
  <c r="V56" i="26"/>
  <c r="U56" i="26"/>
  <c r="T56" i="26"/>
  <c r="S56" i="26"/>
  <c r="L56" i="26"/>
  <c r="K56" i="26"/>
  <c r="J56" i="26"/>
  <c r="I56" i="26"/>
  <c r="H56" i="26"/>
  <c r="G56" i="26"/>
  <c r="F56" i="26"/>
  <c r="E56" i="26"/>
  <c r="AA55" i="26"/>
  <c r="Z55" i="26"/>
  <c r="Y55" i="26"/>
  <c r="X55" i="26"/>
  <c r="W55" i="26"/>
  <c r="V55" i="26"/>
  <c r="U55" i="26"/>
  <c r="T55" i="26"/>
  <c r="S55" i="26"/>
  <c r="L55" i="26"/>
  <c r="K55" i="26"/>
  <c r="J55" i="26"/>
  <c r="I55" i="26"/>
  <c r="H55" i="26"/>
  <c r="G55" i="26"/>
  <c r="F55" i="26"/>
  <c r="E55" i="26"/>
  <c r="AA54" i="26"/>
  <c r="Z54" i="26"/>
  <c r="Y54" i="26"/>
  <c r="X54" i="26"/>
  <c r="W54" i="26"/>
  <c r="V54" i="26"/>
  <c r="U54" i="26"/>
  <c r="T54" i="26"/>
  <c r="S54" i="26"/>
  <c r="L54" i="26"/>
  <c r="K54" i="26"/>
  <c r="J54" i="26"/>
  <c r="I54" i="26"/>
  <c r="H54" i="26"/>
  <c r="G54" i="26"/>
  <c r="F54" i="26"/>
  <c r="E54" i="26"/>
  <c r="AA53" i="26"/>
  <c r="Z53" i="26"/>
  <c r="Y53" i="26"/>
  <c r="X53" i="26"/>
  <c r="W53" i="26"/>
  <c r="V53" i="26"/>
  <c r="U53" i="26"/>
  <c r="T53" i="26"/>
  <c r="S53" i="26"/>
  <c r="L53" i="26"/>
  <c r="K53" i="26"/>
  <c r="J53" i="26"/>
  <c r="I53" i="26"/>
  <c r="H53" i="26"/>
  <c r="G53" i="26"/>
  <c r="F53" i="26"/>
  <c r="E53" i="26"/>
  <c r="AA52" i="26"/>
  <c r="Z52" i="26"/>
  <c r="Y52" i="26"/>
  <c r="X52" i="26"/>
  <c r="W52" i="26"/>
  <c r="V52" i="26"/>
  <c r="U52" i="26"/>
  <c r="T52" i="26"/>
  <c r="S52" i="26"/>
  <c r="L52" i="26"/>
  <c r="K52" i="26"/>
  <c r="J52" i="26"/>
  <c r="I52" i="26"/>
  <c r="H52" i="26"/>
  <c r="G52" i="26"/>
  <c r="F52" i="26"/>
  <c r="E52" i="26"/>
  <c r="AA51" i="26"/>
  <c r="Z51" i="26"/>
  <c r="Y51" i="26"/>
  <c r="X51" i="26"/>
  <c r="W51" i="26"/>
  <c r="V51" i="26"/>
  <c r="U51" i="26"/>
  <c r="T51" i="26"/>
  <c r="S51" i="26"/>
  <c r="L51" i="26"/>
  <c r="K51" i="26"/>
  <c r="J51" i="26"/>
  <c r="I51" i="26"/>
  <c r="H51" i="26"/>
  <c r="G51" i="26"/>
  <c r="F51" i="26"/>
  <c r="E51" i="26"/>
  <c r="AA50" i="26"/>
  <c r="Z50" i="26"/>
  <c r="Y50" i="26"/>
  <c r="X50" i="26"/>
  <c r="W50" i="26"/>
  <c r="V50" i="26"/>
  <c r="U50" i="26"/>
  <c r="T50" i="26"/>
  <c r="S50" i="26"/>
  <c r="L50" i="26"/>
  <c r="K50" i="26"/>
  <c r="J50" i="26"/>
  <c r="I50" i="26"/>
  <c r="H50" i="26"/>
  <c r="G50" i="26"/>
  <c r="F50" i="26"/>
  <c r="E50" i="26"/>
  <c r="AA49" i="26"/>
  <c r="Z49" i="26"/>
  <c r="Y49" i="26"/>
  <c r="X49" i="26"/>
  <c r="W49" i="26"/>
  <c r="V49" i="26"/>
  <c r="U49" i="26"/>
  <c r="T49" i="26"/>
  <c r="S49" i="26"/>
  <c r="L49" i="26"/>
  <c r="K49" i="26"/>
  <c r="J49" i="26"/>
  <c r="I49" i="26"/>
  <c r="H49" i="26"/>
  <c r="G49" i="26"/>
  <c r="F49" i="26"/>
  <c r="E49" i="26"/>
  <c r="AA48" i="26"/>
  <c r="Z48" i="26"/>
  <c r="Y48" i="26"/>
  <c r="X48" i="26"/>
  <c r="W48" i="26"/>
  <c r="V48" i="26"/>
  <c r="U48" i="26"/>
  <c r="T48" i="26"/>
  <c r="S48" i="26"/>
  <c r="L48" i="26"/>
  <c r="K48" i="26"/>
  <c r="J48" i="26"/>
  <c r="I48" i="26"/>
  <c r="H48" i="26"/>
  <c r="G48" i="26"/>
  <c r="F48" i="26"/>
  <c r="E48" i="26"/>
  <c r="AA47" i="26"/>
  <c r="Z47" i="26"/>
  <c r="Y47" i="26"/>
  <c r="X47" i="26"/>
  <c r="W47" i="26"/>
  <c r="V47" i="26"/>
  <c r="U47" i="26"/>
  <c r="T47" i="26"/>
  <c r="S47" i="26"/>
  <c r="L47" i="26"/>
  <c r="K47" i="26"/>
  <c r="J47" i="26"/>
  <c r="I47" i="26"/>
  <c r="H47" i="26"/>
  <c r="G47" i="26"/>
  <c r="F47" i="26"/>
  <c r="E47" i="26"/>
  <c r="AA46" i="26"/>
  <c r="Z46" i="26"/>
  <c r="Y46" i="26"/>
  <c r="X46" i="26"/>
  <c r="W46" i="26"/>
  <c r="V46" i="26"/>
  <c r="U46" i="26"/>
  <c r="T46" i="26"/>
  <c r="S46" i="26"/>
  <c r="L46" i="26"/>
  <c r="K46" i="26"/>
  <c r="J46" i="26"/>
  <c r="I46" i="26"/>
  <c r="H46" i="26"/>
  <c r="G46" i="26"/>
  <c r="F46" i="26"/>
  <c r="E46" i="26"/>
  <c r="AA45" i="26"/>
  <c r="Z45" i="26"/>
  <c r="Y45" i="26"/>
  <c r="X45" i="26"/>
  <c r="W45" i="26"/>
  <c r="V45" i="26"/>
  <c r="U45" i="26"/>
  <c r="T45" i="26"/>
  <c r="S45" i="26"/>
  <c r="L45" i="26"/>
  <c r="K45" i="26"/>
  <c r="J45" i="26"/>
  <c r="I45" i="26"/>
  <c r="H45" i="26"/>
  <c r="G45" i="26"/>
  <c r="F45" i="26"/>
  <c r="E45" i="26"/>
  <c r="AA44" i="26"/>
  <c r="Z44" i="26"/>
  <c r="Y44" i="26"/>
  <c r="X44" i="26"/>
  <c r="W44" i="26"/>
  <c r="V44" i="26"/>
  <c r="U44" i="26"/>
  <c r="T44" i="26"/>
  <c r="S44" i="26"/>
  <c r="L44" i="26"/>
  <c r="K44" i="26"/>
  <c r="J44" i="26"/>
  <c r="I44" i="26"/>
  <c r="H44" i="26"/>
  <c r="G44" i="26"/>
  <c r="F44" i="26"/>
  <c r="E44" i="26"/>
  <c r="AA43" i="26"/>
  <c r="Z43" i="26"/>
  <c r="Y43" i="26"/>
  <c r="X43" i="26"/>
  <c r="W43" i="26"/>
  <c r="V43" i="26"/>
  <c r="U43" i="26"/>
  <c r="T43" i="26"/>
  <c r="S43" i="26"/>
  <c r="L43" i="26"/>
  <c r="K43" i="26"/>
  <c r="J43" i="26"/>
  <c r="I43" i="26"/>
  <c r="H43" i="26"/>
  <c r="G43" i="26"/>
  <c r="F43" i="26"/>
  <c r="E43" i="26"/>
  <c r="AA42" i="26"/>
  <c r="Z42" i="26"/>
  <c r="Y42" i="26"/>
  <c r="X42" i="26"/>
  <c r="W42" i="26"/>
  <c r="V42" i="26"/>
  <c r="U42" i="26"/>
  <c r="T42" i="26"/>
  <c r="S42" i="26"/>
  <c r="L42" i="26"/>
  <c r="K42" i="26"/>
  <c r="J42" i="26"/>
  <c r="I42" i="26"/>
  <c r="H42" i="26"/>
  <c r="G42" i="26"/>
  <c r="F42" i="26"/>
  <c r="E42" i="26"/>
  <c r="AA41" i="26"/>
  <c r="Z41" i="26"/>
  <c r="Y41" i="26"/>
  <c r="X41" i="26"/>
  <c r="W41" i="26"/>
  <c r="V41" i="26"/>
  <c r="U41" i="26"/>
  <c r="T41" i="26"/>
  <c r="S41" i="26"/>
  <c r="L41" i="26"/>
  <c r="K41" i="26"/>
  <c r="J41" i="26"/>
  <c r="I41" i="26"/>
  <c r="H41" i="26"/>
  <c r="G41" i="26"/>
  <c r="F41" i="26"/>
  <c r="E41" i="26"/>
  <c r="AA40" i="26"/>
  <c r="Z40" i="26"/>
  <c r="Y40" i="26"/>
  <c r="X40" i="26"/>
  <c r="W40" i="26"/>
  <c r="V40" i="26"/>
  <c r="U40" i="26"/>
  <c r="T40" i="26"/>
  <c r="S40" i="26"/>
  <c r="L40" i="26"/>
  <c r="K40" i="26"/>
  <c r="J40" i="26"/>
  <c r="I40" i="26"/>
  <c r="H40" i="26"/>
  <c r="G40" i="26"/>
  <c r="F40" i="26"/>
  <c r="E40" i="26"/>
  <c r="AA39" i="26"/>
  <c r="Z39" i="26"/>
  <c r="Y39" i="26"/>
  <c r="X39" i="26"/>
  <c r="W39" i="26"/>
  <c r="V39" i="26"/>
  <c r="U39" i="26"/>
  <c r="T39" i="26"/>
  <c r="S39" i="26"/>
  <c r="L39" i="26"/>
  <c r="K39" i="26"/>
  <c r="J39" i="26"/>
  <c r="I39" i="26"/>
  <c r="H39" i="26"/>
  <c r="G39" i="26"/>
  <c r="F39" i="26"/>
  <c r="E39" i="26"/>
  <c r="AA38" i="26"/>
  <c r="Z38" i="26"/>
  <c r="Y38" i="26"/>
  <c r="X38" i="26"/>
  <c r="W38" i="26"/>
  <c r="V38" i="26"/>
  <c r="U38" i="26"/>
  <c r="T38" i="26"/>
  <c r="S38" i="26"/>
  <c r="L38" i="26"/>
  <c r="K38" i="26"/>
  <c r="J38" i="26"/>
  <c r="I38" i="26"/>
  <c r="H38" i="26"/>
  <c r="G38" i="26"/>
  <c r="F38" i="26"/>
  <c r="E38" i="26"/>
  <c r="AA37" i="26"/>
  <c r="Z37" i="26"/>
  <c r="Y37" i="26"/>
  <c r="X37" i="26"/>
  <c r="W37" i="26"/>
  <c r="V37" i="26"/>
  <c r="U37" i="26"/>
  <c r="T37" i="26"/>
  <c r="S37" i="26"/>
  <c r="L37" i="26"/>
  <c r="K37" i="26"/>
  <c r="J37" i="26"/>
  <c r="I37" i="26"/>
  <c r="H37" i="26"/>
  <c r="G37" i="26"/>
  <c r="F37" i="26"/>
  <c r="E37" i="26"/>
  <c r="AA36" i="26"/>
  <c r="Z36" i="26"/>
  <c r="Y36" i="26"/>
  <c r="X36" i="26"/>
  <c r="W36" i="26"/>
  <c r="V36" i="26"/>
  <c r="U36" i="26"/>
  <c r="T36" i="26"/>
  <c r="S36" i="26"/>
  <c r="L36" i="26"/>
  <c r="K36" i="26"/>
  <c r="J36" i="26"/>
  <c r="I36" i="26"/>
  <c r="H36" i="26"/>
  <c r="G36" i="26"/>
  <c r="F36" i="26"/>
  <c r="E36" i="26"/>
  <c r="AA35" i="26"/>
  <c r="Z35" i="26"/>
  <c r="Y35" i="26"/>
  <c r="X35" i="26"/>
  <c r="W35" i="26"/>
  <c r="V35" i="26"/>
  <c r="U35" i="26"/>
  <c r="T35" i="26"/>
  <c r="S35" i="26"/>
  <c r="L35" i="26"/>
  <c r="K35" i="26"/>
  <c r="J35" i="26"/>
  <c r="I35" i="26"/>
  <c r="H35" i="26"/>
  <c r="G35" i="26"/>
  <c r="F35" i="26"/>
  <c r="E35" i="26"/>
  <c r="AA34" i="26"/>
  <c r="Z34" i="26"/>
  <c r="Y34" i="26"/>
  <c r="X34" i="26"/>
  <c r="W34" i="26"/>
  <c r="V34" i="26"/>
  <c r="U34" i="26"/>
  <c r="T34" i="26"/>
  <c r="S34" i="26"/>
  <c r="L34" i="26"/>
  <c r="K34" i="26"/>
  <c r="J34" i="26"/>
  <c r="I34" i="26"/>
  <c r="H34" i="26"/>
  <c r="G34" i="26"/>
  <c r="F34" i="26"/>
  <c r="E34" i="26"/>
  <c r="AA33" i="26"/>
  <c r="Z33" i="26"/>
  <c r="Y33" i="26"/>
  <c r="X33" i="26"/>
  <c r="W33" i="26"/>
  <c r="V33" i="26"/>
  <c r="U33" i="26"/>
  <c r="T33" i="26"/>
  <c r="S33" i="26"/>
  <c r="L33" i="26"/>
  <c r="K33" i="26"/>
  <c r="J33" i="26"/>
  <c r="I33" i="26"/>
  <c r="H33" i="26"/>
  <c r="G33" i="26"/>
  <c r="F33" i="26"/>
  <c r="E33" i="26"/>
  <c r="AA32" i="26"/>
  <c r="Z32" i="26"/>
  <c r="Y32" i="26"/>
  <c r="X32" i="26"/>
  <c r="W32" i="26"/>
  <c r="V32" i="26"/>
  <c r="U32" i="26"/>
  <c r="T32" i="26"/>
  <c r="S32" i="26"/>
  <c r="L32" i="26"/>
  <c r="K32" i="26"/>
  <c r="J32" i="26"/>
  <c r="I32" i="26"/>
  <c r="H32" i="26"/>
  <c r="G32" i="26"/>
  <c r="F32" i="26"/>
  <c r="E32" i="26"/>
  <c r="AA31" i="26"/>
  <c r="Z31" i="26"/>
  <c r="Y31" i="26"/>
  <c r="X31" i="26"/>
  <c r="W31" i="26"/>
  <c r="V31" i="26"/>
  <c r="U31" i="26"/>
  <c r="T31" i="26"/>
  <c r="S31" i="26"/>
  <c r="L31" i="26"/>
  <c r="K31" i="26"/>
  <c r="J31" i="26"/>
  <c r="I31" i="26"/>
  <c r="H31" i="26"/>
  <c r="G31" i="26"/>
  <c r="F31" i="26"/>
  <c r="E31" i="26"/>
  <c r="AA30" i="26"/>
  <c r="Z30" i="26"/>
  <c r="Y30" i="26"/>
  <c r="X30" i="26"/>
  <c r="W30" i="26"/>
  <c r="V30" i="26"/>
  <c r="U30" i="26"/>
  <c r="T30" i="26"/>
  <c r="S30" i="26"/>
  <c r="L30" i="26"/>
  <c r="K30" i="26"/>
  <c r="J30" i="26"/>
  <c r="I30" i="26"/>
  <c r="H30" i="26"/>
  <c r="G30" i="26"/>
  <c r="F30" i="26"/>
  <c r="E30" i="26"/>
  <c r="AA29" i="26"/>
  <c r="Z29" i="26"/>
  <c r="Y29" i="26"/>
  <c r="X29" i="26"/>
  <c r="W29" i="26"/>
  <c r="V29" i="26"/>
  <c r="U29" i="26"/>
  <c r="T29" i="26"/>
  <c r="S29" i="26"/>
  <c r="L29" i="26"/>
  <c r="K29" i="26"/>
  <c r="J29" i="26"/>
  <c r="I29" i="26"/>
  <c r="H29" i="26"/>
  <c r="G29" i="26"/>
  <c r="F29" i="26"/>
  <c r="E29" i="26"/>
  <c r="AA28" i="26"/>
  <c r="Z28" i="26"/>
  <c r="Y28" i="26"/>
  <c r="X28" i="26"/>
  <c r="W28" i="26"/>
  <c r="V28" i="26"/>
  <c r="U28" i="26"/>
  <c r="T28" i="26"/>
  <c r="S28" i="26"/>
  <c r="L28" i="26"/>
  <c r="K28" i="26"/>
  <c r="J28" i="26"/>
  <c r="I28" i="26"/>
  <c r="H28" i="26"/>
  <c r="G28" i="26"/>
  <c r="F28" i="26"/>
  <c r="E28" i="26"/>
  <c r="AA27" i="26"/>
  <c r="Z27" i="26"/>
  <c r="Y27" i="26"/>
  <c r="X27" i="26"/>
  <c r="W27" i="26"/>
  <c r="V27" i="26"/>
  <c r="U27" i="26"/>
  <c r="T27" i="26"/>
  <c r="S27" i="26"/>
  <c r="L27" i="26"/>
  <c r="K27" i="26"/>
  <c r="J27" i="26"/>
  <c r="I27" i="26"/>
  <c r="H27" i="26"/>
  <c r="G27" i="26"/>
  <c r="F27" i="26"/>
  <c r="E27" i="26"/>
  <c r="AA26" i="26"/>
  <c r="Z26" i="26"/>
  <c r="Y26" i="26"/>
  <c r="X26" i="26"/>
  <c r="W26" i="26"/>
  <c r="V26" i="26"/>
  <c r="U26" i="26"/>
  <c r="T26" i="26"/>
  <c r="S26" i="26"/>
  <c r="L26" i="26"/>
  <c r="K26" i="26"/>
  <c r="J26" i="26"/>
  <c r="I26" i="26"/>
  <c r="H26" i="26"/>
  <c r="G26" i="26"/>
  <c r="F26" i="26"/>
  <c r="E26" i="26"/>
  <c r="AA25" i="26"/>
  <c r="Z25" i="26"/>
  <c r="Y25" i="26"/>
  <c r="X25" i="26"/>
  <c r="W25" i="26"/>
  <c r="V25" i="26"/>
  <c r="U25" i="26"/>
  <c r="T25" i="26"/>
  <c r="S25" i="26"/>
  <c r="L25" i="26"/>
  <c r="K25" i="26"/>
  <c r="J25" i="26"/>
  <c r="I25" i="26"/>
  <c r="H25" i="26"/>
  <c r="G25" i="26"/>
  <c r="F25" i="26"/>
  <c r="E25" i="26"/>
  <c r="AA24" i="26"/>
  <c r="Z24" i="26"/>
  <c r="Y24" i="26"/>
  <c r="X24" i="26"/>
  <c r="W24" i="26"/>
  <c r="V24" i="26"/>
  <c r="U24" i="26"/>
  <c r="T24" i="26"/>
  <c r="S24" i="26"/>
  <c r="L24" i="26"/>
  <c r="K24" i="26"/>
  <c r="J24" i="26"/>
  <c r="I24" i="26"/>
  <c r="H24" i="26"/>
  <c r="G24" i="26"/>
  <c r="F24" i="26"/>
  <c r="E24" i="26"/>
  <c r="AA23" i="26"/>
  <c r="Z23" i="26"/>
  <c r="Y23" i="26"/>
  <c r="X23" i="26"/>
  <c r="W23" i="26"/>
  <c r="V23" i="26"/>
  <c r="U23" i="26"/>
  <c r="T23" i="26"/>
  <c r="S23" i="26"/>
  <c r="L23" i="26"/>
  <c r="K23" i="26"/>
  <c r="J23" i="26"/>
  <c r="I23" i="26"/>
  <c r="H23" i="26"/>
  <c r="G23" i="26"/>
  <c r="F23" i="26"/>
  <c r="E23" i="26"/>
  <c r="AA22" i="26"/>
  <c r="Z22" i="26"/>
  <c r="Y22" i="26"/>
  <c r="X22" i="26"/>
  <c r="W22" i="26"/>
  <c r="V22" i="26"/>
  <c r="U22" i="26"/>
  <c r="T22" i="26"/>
  <c r="S22" i="26"/>
  <c r="L22" i="26"/>
  <c r="K22" i="26"/>
  <c r="J22" i="26"/>
  <c r="I22" i="26"/>
  <c r="H22" i="26"/>
  <c r="G22" i="26"/>
  <c r="F22" i="26"/>
  <c r="E22" i="26"/>
  <c r="AA21" i="26"/>
  <c r="Z21" i="26"/>
  <c r="Y21" i="26"/>
  <c r="X21" i="26"/>
  <c r="W21" i="26"/>
  <c r="V21" i="26"/>
  <c r="U21" i="26"/>
  <c r="T21" i="26"/>
  <c r="S21" i="26"/>
  <c r="L21" i="26"/>
  <c r="K21" i="26"/>
  <c r="J21" i="26"/>
  <c r="I21" i="26"/>
  <c r="H21" i="26"/>
  <c r="G21" i="26"/>
  <c r="F21" i="26"/>
  <c r="E21" i="26"/>
  <c r="AA20" i="26"/>
  <c r="Z20" i="26"/>
  <c r="Y20" i="26"/>
  <c r="X20" i="26"/>
  <c r="W20" i="26"/>
  <c r="V20" i="26"/>
  <c r="U20" i="26"/>
  <c r="T20" i="26"/>
  <c r="S20" i="26"/>
  <c r="L20" i="26"/>
  <c r="K20" i="26"/>
  <c r="J20" i="26"/>
  <c r="I20" i="26"/>
  <c r="H20" i="26"/>
  <c r="G20" i="26"/>
  <c r="F20" i="26"/>
  <c r="E20" i="26"/>
  <c r="AA19" i="26"/>
  <c r="Z19" i="26"/>
  <c r="Y19" i="26"/>
  <c r="X19" i="26"/>
  <c r="W19" i="26"/>
  <c r="V19" i="26"/>
  <c r="U19" i="26"/>
  <c r="T19" i="26"/>
  <c r="S19" i="26"/>
  <c r="L19" i="26"/>
  <c r="K19" i="26"/>
  <c r="J19" i="26"/>
  <c r="I19" i="26"/>
  <c r="H19" i="26"/>
  <c r="G19" i="26"/>
  <c r="F19" i="26"/>
  <c r="E19" i="26"/>
  <c r="AA18" i="26"/>
  <c r="Z18" i="26"/>
  <c r="Y18" i="26"/>
  <c r="X18" i="26"/>
  <c r="W18" i="26"/>
  <c r="V18" i="26"/>
  <c r="U18" i="26"/>
  <c r="T18" i="26"/>
  <c r="S18" i="26"/>
  <c r="L18" i="26"/>
  <c r="K18" i="26"/>
  <c r="J18" i="26"/>
  <c r="I18" i="26"/>
  <c r="H18" i="26"/>
  <c r="G18" i="26"/>
  <c r="F18" i="26"/>
  <c r="E18" i="26"/>
  <c r="AA17" i="26"/>
  <c r="Z17" i="26"/>
  <c r="Y17" i="26"/>
  <c r="X17" i="26"/>
  <c r="W17" i="26"/>
  <c r="V17" i="26"/>
  <c r="U17" i="26"/>
  <c r="T17" i="26"/>
  <c r="S17" i="26"/>
  <c r="L17" i="26"/>
  <c r="K17" i="26"/>
  <c r="J17" i="26"/>
  <c r="I17" i="26"/>
  <c r="H17" i="26"/>
  <c r="G17" i="26"/>
  <c r="F17" i="26"/>
  <c r="E17" i="26"/>
  <c r="AA16" i="26"/>
  <c r="Z16" i="26"/>
  <c r="Y16" i="26"/>
  <c r="X16" i="26"/>
  <c r="W16" i="26"/>
  <c r="V16" i="26"/>
  <c r="U16" i="26"/>
  <c r="T16" i="26"/>
  <c r="S16" i="26"/>
  <c r="L16" i="26"/>
  <c r="K16" i="26"/>
  <c r="J16" i="26"/>
  <c r="I16" i="26"/>
  <c r="H16" i="26"/>
  <c r="G16" i="26"/>
  <c r="F16" i="26"/>
  <c r="E16" i="26"/>
  <c r="AA15" i="26"/>
  <c r="Z15" i="26"/>
  <c r="Y15" i="26"/>
  <c r="X15" i="26"/>
  <c r="W15" i="26"/>
  <c r="V15" i="26"/>
  <c r="U15" i="26"/>
  <c r="T15" i="26"/>
  <c r="S15" i="26"/>
  <c r="L15" i="26"/>
  <c r="K15" i="26"/>
  <c r="J15" i="26"/>
  <c r="I15" i="26"/>
  <c r="H15" i="26"/>
  <c r="G15" i="26"/>
  <c r="F15" i="26"/>
  <c r="E15" i="26"/>
  <c r="AA14" i="26"/>
  <c r="Z14" i="26"/>
  <c r="Y14" i="26"/>
  <c r="X14" i="26"/>
  <c r="W14" i="26"/>
  <c r="V14" i="26"/>
  <c r="U14" i="26"/>
  <c r="T14" i="26"/>
  <c r="S14" i="26"/>
  <c r="L14" i="26"/>
  <c r="K14" i="26"/>
  <c r="J14" i="26"/>
  <c r="I14" i="26"/>
  <c r="H14" i="26"/>
  <c r="G14" i="26"/>
  <c r="F14" i="26"/>
  <c r="E14" i="26"/>
  <c r="AA13" i="26"/>
  <c r="Z13" i="26"/>
  <c r="Y13" i="26"/>
  <c r="X13" i="26"/>
  <c r="W13" i="26"/>
  <c r="V13" i="26"/>
  <c r="U13" i="26"/>
  <c r="T13" i="26"/>
  <c r="S13" i="26"/>
  <c r="L13" i="26"/>
  <c r="K13" i="26"/>
  <c r="J13" i="26"/>
  <c r="I13" i="26"/>
  <c r="H13" i="26"/>
  <c r="G13" i="26"/>
  <c r="F13" i="26"/>
  <c r="E13" i="26"/>
  <c r="AA12" i="26"/>
  <c r="Z12" i="26"/>
  <c r="Y12" i="26"/>
  <c r="X12" i="26"/>
  <c r="W12" i="26"/>
  <c r="V12" i="26"/>
  <c r="U12" i="26"/>
  <c r="T12" i="26"/>
  <c r="S12" i="26"/>
  <c r="L12" i="26"/>
  <c r="K12" i="26"/>
  <c r="J12" i="26"/>
  <c r="I12" i="26"/>
  <c r="H12" i="26"/>
  <c r="G12" i="26"/>
  <c r="F12" i="26"/>
  <c r="E12" i="26"/>
  <c r="AA11" i="26"/>
  <c r="Z11" i="26"/>
  <c r="Y11" i="26"/>
  <c r="X11" i="26"/>
  <c r="W11" i="26"/>
  <c r="V11" i="26"/>
  <c r="U11" i="26"/>
  <c r="T11" i="26"/>
  <c r="S11" i="26"/>
  <c r="L11" i="26"/>
  <c r="K11" i="26"/>
  <c r="J11" i="26"/>
  <c r="I11" i="26"/>
  <c r="H11" i="26"/>
  <c r="G11" i="26"/>
  <c r="F11" i="26"/>
  <c r="E11" i="26"/>
  <c r="AA10" i="26"/>
  <c r="Z10" i="26"/>
  <c r="Y10" i="26"/>
  <c r="X10" i="26"/>
  <c r="W10" i="26"/>
  <c r="V10" i="26"/>
  <c r="U10" i="26"/>
  <c r="T10" i="26"/>
  <c r="S10" i="26"/>
  <c r="L10" i="26"/>
  <c r="K10" i="26"/>
  <c r="J10" i="26"/>
  <c r="I10" i="26"/>
  <c r="H10" i="26"/>
  <c r="G10" i="26"/>
  <c r="F10" i="26"/>
  <c r="E10" i="26"/>
  <c r="AA9" i="26"/>
  <c r="Z9" i="26"/>
  <c r="Y9" i="26"/>
  <c r="X9" i="26"/>
  <c r="W9" i="26"/>
  <c r="V9" i="26"/>
  <c r="U9" i="26"/>
  <c r="T9" i="26"/>
  <c r="S9" i="26"/>
  <c r="L9" i="26"/>
  <c r="K9" i="26"/>
  <c r="J9" i="26"/>
  <c r="I9" i="26"/>
  <c r="H9" i="26"/>
  <c r="G9" i="26"/>
  <c r="F9" i="26"/>
  <c r="E9" i="26"/>
  <c r="AA8" i="26"/>
  <c r="Z8" i="26"/>
  <c r="Y8" i="26"/>
  <c r="X8" i="26"/>
  <c r="W8" i="26"/>
  <c r="V8" i="26"/>
  <c r="U8" i="26"/>
  <c r="T8" i="26"/>
  <c r="S8" i="26"/>
  <c r="L8" i="26"/>
  <c r="K8" i="26"/>
  <c r="J8" i="26"/>
  <c r="I8" i="26"/>
  <c r="H8" i="26"/>
  <c r="G8" i="26"/>
  <c r="F8" i="26"/>
  <c r="E8" i="26"/>
  <c r="AA7" i="26"/>
  <c r="Z7" i="26"/>
  <c r="Y7" i="26"/>
  <c r="X7" i="26"/>
  <c r="W7" i="26"/>
  <c r="V7" i="26"/>
  <c r="U7" i="26"/>
  <c r="T7" i="26"/>
  <c r="S7" i="26"/>
  <c r="L7" i="26"/>
  <c r="K7" i="26"/>
  <c r="J7" i="26"/>
  <c r="I7" i="26"/>
  <c r="H7" i="26"/>
  <c r="G7" i="26"/>
  <c r="F7" i="26"/>
  <c r="E7" i="26"/>
  <c r="D7" i="26"/>
  <c r="C7" i="26"/>
  <c r="V256" i="25"/>
  <c r="U256" i="25"/>
  <c r="T256" i="25"/>
  <c r="S256" i="25"/>
  <c r="R256" i="25"/>
  <c r="Q256" i="25"/>
  <c r="P256" i="25"/>
  <c r="O256" i="25"/>
  <c r="N256" i="25"/>
  <c r="M256" i="25"/>
  <c r="L256" i="25"/>
  <c r="K256" i="25"/>
  <c r="J256" i="25"/>
  <c r="I256" i="25"/>
  <c r="H256" i="25"/>
  <c r="G256" i="25"/>
  <c r="F256" i="25"/>
  <c r="E256" i="25"/>
  <c r="V255" i="25"/>
  <c r="U255" i="25"/>
  <c r="T255" i="25"/>
  <c r="S255" i="25"/>
  <c r="R255" i="25"/>
  <c r="Q255" i="25"/>
  <c r="P255" i="25"/>
  <c r="O255" i="25"/>
  <c r="N255" i="25"/>
  <c r="M255" i="25"/>
  <c r="L255" i="25"/>
  <c r="K255" i="25"/>
  <c r="J255" i="25"/>
  <c r="I255" i="25"/>
  <c r="H255" i="25"/>
  <c r="G255" i="25"/>
  <c r="F255" i="25"/>
  <c r="E255" i="25"/>
  <c r="V254" i="25"/>
  <c r="U254" i="25"/>
  <c r="T254" i="25"/>
  <c r="S254" i="25"/>
  <c r="R254" i="25"/>
  <c r="Q254" i="25"/>
  <c r="P254" i="25"/>
  <c r="O254" i="25"/>
  <c r="N254" i="25"/>
  <c r="M254" i="25"/>
  <c r="L254" i="25"/>
  <c r="K254" i="25"/>
  <c r="J254" i="25"/>
  <c r="I254" i="25"/>
  <c r="H254" i="25"/>
  <c r="G254" i="25"/>
  <c r="F254" i="25"/>
  <c r="E254" i="25"/>
  <c r="V253" i="25"/>
  <c r="U253" i="25"/>
  <c r="T253" i="25"/>
  <c r="S253" i="25"/>
  <c r="R253" i="25"/>
  <c r="Q253" i="25"/>
  <c r="P253" i="25"/>
  <c r="O253" i="25"/>
  <c r="N253" i="25"/>
  <c r="M253" i="25"/>
  <c r="L253" i="25"/>
  <c r="K253" i="25"/>
  <c r="J253" i="25"/>
  <c r="I253" i="25"/>
  <c r="H253" i="25"/>
  <c r="G253" i="25"/>
  <c r="F253" i="25"/>
  <c r="E253" i="25"/>
  <c r="V252" i="25"/>
  <c r="U252" i="25"/>
  <c r="T252" i="25"/>
  <c r="S252" i="25"/>
  <c r="R252" i="25"/>
  <c r="Q252" i="25"/>
  <c r="P252" i="25"/>
  <c r="O252" i="25"/>
  <c r="N252" i="25"/>
  <c r="M252" i="25"/>
  <c r="L252" i="25"/>
  <c r="K252" i="25"/>
  <c r="J252" i="25"/>
  <c r="I252" i="25"/>
  <c r="H252" i="25"/>
  <c r="G252" i="25"/>
  <c r="F252" i="25"/>
  <c r="E252" i="25"/>
  <c r="V251" i="25"/>
  <c r="U251" i="25"/>
  <c r="T251" i="25"/>
  <c r="S251" i="25"/>
  <c r="R251" i="25"/>
  <c r="Q251" i="25"/>
  <c r="P251" i="25"/>
  <c r="O251" i="25"/>
  <c r="N251" i="25"/>
  <c r="M251" i="25"/>
  <c r="L251" i="25"/>
  <c r="K251" i="25"/>
  <c r="J251" i="25"/>
  <c r="I251" i="25"/>
  <c r="H251" i="25"/>
  <c r="G251" i="25"/>
  <c r="F251" i="25"/>
  <c r="E251" i="25"/>
  <c r="V250" i="25"/>
  <c r="U250" i="25"/>
  <c r="T250" i="25"/>
  <c r="S250" i="25"/>
  <c r="R250" i="25"/>
  <c r="Q250" i="25"/>
  <c r="P250" i="25"/>
  <c r="O250" i="25"/>
  <c r="N250" i="25"/>
  <c r="M250" i="25"/>
  <c r="L250" i="25"/>
  <c r="K250" i="25"/>
  <c r="J250" i="25"/>
  <c r="I250" i="25"/>
  <c r="H250" i="25"/>
  <c r="G250" i="25"/>
  <c r="F250" i="25"/>
  <c r="E250" i="25"/>
  <c r="V249" i="25"/>
  <c r="U249" i="25"/>
  <c r="T249" i="25"/>
  <c r="S249" i="25"/>
  <c r="R249" i="25"/>
  <c r="Q249" i="25"/>
  <c r="P249" i="25"/>
  <c r="O249" i="25"/>
  <c r="N249" i="25"/>
  <c r="M249" i="25"/>
  <c r="L249" i="25"/>
  <c r="K249" i="25"/>
  <c r="J249" i="25"/>
  <c r="I249" i="25"/>
  <c r="H249" i="25"/>
  <c r="G249" i="25"/>
  <c r="F249" i="25"/>
  <c r="E249" i="25"/>
  <c r="V248" i="25"/>
  <c r="U248" i="25"/>
  <c r="T248" i="25"/>
  <c r="S248" i="25"/>
  <c r="R248" i="25"/>
  <c r="Q248" i="25"/>
  <c r="P248" i="25"/>
  <c r="O248" i="25"/>
  <c r="N248" i="25"/>
  <c r="M248" i="25"/>
  <c r="L248" i="25"/>
  <c r="K248" i="25"/>
  <c r="J248" i="25"/>
  <c r="I248" i="25"/>
  <c r="H248" i="25"/>
  <c r="G248" i="25"/>
  <c r="F248" i="25"/>
  <c r="E248" i="25"/>
  <c r="V247" i="25"/>
  <c r="U247" i="25"/>
  <c r="T247" i="25"/>
  <c r="S247" i="25"/>
  <c r="R247" i="25"/>
  <c r="Q247" i="25"/>
  <c r="P247" i="25"/>
  <c r="O247" i="25"/>
  <c r="N247" i="25"/>
  <c r="M247" i="25"/>
  <c r="L247" i="25"/>
  <c r="K247" i="25"/>
  <c r="J247" i="25"/>
  <c r="I247" i="25"/>
  <c r="H247" i="25"/>
  <c r="G247" i="25"/>
  <c r="F247" i="25"/>
  <c r="E247" i="25"/>
  <c r="V246" i="25"/>
  <c r="U246" i="25"/>
  <c r="T246" i="25"/>
  <c r="S246" i="25"/>
  <c r="R246" i="25"/>
  <c r="Q246" i="25"/>
  <c r="P246" i="25"/>
  <c r="O246" i="25"/>
  <c r="N246" i="25"/>
  <c r="M246" i="25"/>
  <c r="L246" i="25"/>
  <c r="K246" i="25"/>
  <c r="J246" i="25"/>
  <c r="I246" i="25"/>
  <c r="H246" i="25"/>
  <c r="G246" i="25"/>
  <c r="F246" i="25"/>
  <c r="E246" i="25"/>
  <c r="V245" i="25"/>
  <c r="U245" i="25"/>
  <c r="T245" i="25"/>
  <c r="S245" i="25"/>
  <c r="R245" i="25"/>
  <c r="Q245" i="25"/>
  <c r="P245" i="25"/>
  <c r="O245" i="25"/>
  <c r="N245" i="25"/>
  <c r="M245" i="25"/>
  <c r="L245" i="25"/>
  <c r="K245" i="25"/>
  <c r="J245" i="25"/>
  <c r="I245" i="25"/>
  <c r="H245" i="25"/>
  <c r="G245" i="25"/>
  <c r="F245" i="25"/>
  <c r="E245" i="25"/>
  <c r="V244" i="25"/>
  <c r="U244" i="25"/>
  <c r="T244" i="25"/>
  <c r="S244" i="25"/>
  <c r="R244" i="25"/>
  <c r="Q244" i="25"/>
  <c r="P244" i="25"/>
  <c r="O244" i="25"/>
  <c r="N244" i="25"/>
  <c r="M244" i="25"/>
  <c r="L244" i="25"/>
  <c r="K244" i="25"/>
  <c r="J244" i="25"/>
  <c r="I244" i="25"/>
  <c r="H244" i="25"/>
  <c r="G244" i="25"/>
  <c r="F244" i="25"/>
  <c r="E244" i="25"/>
  <c r="V243" i="25"/>
  <c r="U243" i="25"/>
  <c r="T243" i="25"/>
  <c r="S243" i="25"/>
  <c r="R243" i="25"/>
  <c r="Q243" i="25"/>
  <c r="P243" i="25"/>
  <c r="O243" i="25"/>
  <c r="N243" i="25"/>
  <c r="M243" i="25"/>
  <c r="L243" i="25"/>
  <c r="K243" i="25"/>
  <c r="J243" i="25"/>
  <c r="I243" i="25"/>
  <c r="H243" i="25"/>
  <c r="G243" i="25"/>
  <c r="F243" i="25"/>
  <c r="E243" i="25"/>
  <c r="V242" i="25"/>
  <c r="U242" i="25"/>
  <c r="T242" i="25"/>
  <c r="S242" i="25"/>
  <c r="R242" i="25"/>
  <c r="Q242" i="25"/>
  <c r="P242" i="25"/>
  <c r="O242" i="25"/>
  <c r="N242" i="25"/>
  <c r="M242" i="25"/>
  <c r="L242" i="25"/>
  <c r="K242" i="25"/>
  <c r="J242" i="25"/>
  <c r="I242" i="25"/>
  <c r="H242" i="25"/>
  <c r="G242" i="25"/>
  <c r="F242" i="25"/>
  <c r="E242" i="25"/>
  <c r="V241" i="25"/>
  <c r="U241" i="25"/>
  <c r="T241" i="25"/>
  <c r="S241" i="25"/>
  <c r="R241" i="25"/>
  <c r="Q241" i="25"/>
  <c r="P241" i="25"/>
  <c r="O241" i="25"/>
  <c r="N241" i="25"/>
  <c r="M241" i="25"/>
  <c r="L241" i="25"/>
  <c r="K241" i="25"/>
  <c r="J241" i="25"/>
  <c r="I241" i="25"/>
  <c r="H241" i="25"/>
  <c r="G241" i="25"/>
  <c r="F241" i="25"/>
  <c r="E241" i="25"/>
  <c r="V240" i="25"/>
  <c r="U240" i="25"/>
  <c r="T240" i="25"/>
  <c r="S240" i="25"/>
  <c r="R240" i="25"/>
  <c r="Q240" i="25"/>
  <c r="P240" i="25"/>
  <c r="O240" i="25"/>
  <c r="N240" i="25"/>
  <c r="M240" i="25"/>
  <c r="L240" i="25"/>
  <c r="K240" i="25"/>
  <c r="J240" i="25"/>
  <c r="I240" i="25"/>
  <c r="H240" i="25"/>
  <c r="G240" i="25"/>
  <c r="F240" i="25"/>
  <c r="E240" i="25"/>
  <c r="V239" i="25"/>
  <c r="U239" i="25"/>
  <c r="T239" i="25"/>
  <c r="S239" i="25"/>
  <c r="R239" i="25"/>
  <c r="Q239" i="25"/>
  <c r="P239" i="25"/>
  <c r="O239" i="25"/>
  <c r="N239" i="25"/>
  <c r="M239" i="25"/>
  <c r="L239" i="25"/>
  <c r="K239" i="25"/>
  <c r="J239" i="25"/>
  <c r="I239" i="25"/>
  <c r="H239" i="25"/>
  <c r="G239" i="25"/>
  <c r="F239" i="25"/>
  <c r="E239" i="25"/>
  <c r="V238" i="25"/>
  <c r="U238" i="25"/>
  <c r="T238" i="25"/>
  <c r="S238" i="25"/>
  <c r="R238" i="25"/>
  <c r="Q238" i="25"/>
  <c r="P238" i="25"/>
  <c r="O238" i="25"/>
  <c r="N238" i="25"/>
  <c r="M238" i="25"/>
  <c r="L238" i="25"/>
  <c r="K238" i="25"/>
  <c r="J238" i="25"/>
  <c r="I238" i="25"/>
  <c r="H238" i="25"/>
  <c r="G238" i="25"/>
  <c r="F238" i="25"/>
  <c r="E238" i="25"/>
  <c r="V237" i="25"/>
  <c r="U237" i="25"/>
  <c r="T237" i="25"/>
  <c r="S237" i="25"/>
  <c r="R237" i="25"/>
  <c r="Q237" i="25"/>
  <c r="P237" i="25"/>
  <c r="O237" i="25"/>
  <c r="N237" i="25"/>
  <c r="M237" i="25"/>
  <c r="L237" i="25"/>
  <c r="K237" i="25"/>
  <c r="J237" i="25"/>
  <c r="I237" i="25"/>
  <c r="H237" i="25"/>
  <c r="G237" i="25"/>
  <c r="F237" i="25"/>
  <c r="E237" i="25"/>
  <c r="V236" i="25"/>
  <c r="U236" i="25"/>
  <c r="T236" i="25"/>
  <c r="S236" i="25"/>
  <c r="R236" i="25"/>
  <c r="Q236" i="25"/>
  <c r="P236" i="25"/>
  <c r="O236" i="25"/>
  <c r="N236" i="25"/>
  <c r="M236" i="25"/>
  <c r="L236" i="25"/>
  <c r="K236" i="25"/>
  <c r="J236" i="25"/>
  <c r="I236" i="25"/>
  <c r="H236" i="25"/>
  <c r="G236" i="25"/>
  <c r="F236" i="25"/>
  <c r="E236" i="25"/>
  <c r="V235" i="25"/>
  <c r="U235" i="25"/>
  <c r="T235" i="25"/>
  <c r="S235" i="25"/>
  <c r="R235" i="25"/>
  <c r="Q235" i="25"/>
  <c r="P235" i="25"/>
  <c r="O235" i="25"/>
  <c r="N235" i="25"/>
  <c r="M235" i="25"/>
  <c r="L235" i="25"/>
  <c r="K235" i="25"/>
  <c r="J235" i="25"/>
  <c r="I235" i="25"/>
  <c r="H235" i="25"/>
  <c r="G235" i="25"/>
  <c r="F235" i="25"/>
  <c r="E235" i="25"/>
  <c r="V234" i="25"/>
  <c r="U234" i="25"/>
  <c r="T234" i="25"/>
  <c r="S234" i="25"/>
  <c r="R234" i="25"/>
  <c r="Q234" i="25"/>
  <c r="P234" i="25"/>
  <c r="O234" i="25"/>
  <c r="N234" i="25"/>
  <c r="M234" i="25"/>
  <c r="L234" i="25"/>
  <c r="K234" i="25"/>
  <c r="J234" i="25"/>
  <c r="I234" i="25"/>
  <c r="H234" i="25"/>
  <c r="G234" i="25"/>
  <c r="F234" i="25"/>
  <c r="E234" i="25"/>
  <c r="V233" i="25"/>
  <c r="U233" i="25"/>
  <c r="T233" i="25"/>
  <c r="S233" i="25"/>
  <c r="R233" i="25"/>
  <c r="Q233" i="25"/>
  <c r="P233" i="25"/>
  <c r="O233" i="25"/>
  <c r="N233" i="25"/>
  <c r="M233" i="25"/>
  <c r="L233" i="25"/>
  <c r="K233" i="25"/>
  <c r="J233" i="25"/>
  <c r="I233" i="25"/>
  <c r="H233" i="25"/>
  <c r="G233" i="25"/>
  <c r="F233" i="25"/>
  <c r="E233" i="25"/>
  <c r="V232" i="25"/>
  <c r="U232" i="25"/>
  <c r="T232" i="25"/>
  <c r="S232" i="25"/>
  <c r="R232" i="25"/>
  <c r="Q232" i="25"/>
  <c r="P232" i="25"/>
  <c r="O232" i="25"/>
  <c r="N232" i="25"/>
  <c r="M232" i="25"/>
  <c r="L232" i="25"/>
  <c r="K232" i="25"/>
  <c r="J232" i="25"/>
  <c r="I232" i="25"/>
  <c r="H232" i="25"/>
  <c r="G232" i="25"/>
  <c r="F232" i="25"/>
  <c r="E232" i="25"/>
  <c r="V231" i="25"/>
  <c r="U231" i="25"/>
  <c r="T231" i="25"/>
  <c r="S231" i="25"/>
  <c r="R231" i="25"/>
  <c r="Q231" i="25"/>
  <c r="P231" i="25"/>
  <c r="O231" i="25"/>
  <c r="N231" i="25"/>
  <c r="M231" i="25"/>
  <c r="L231" i="25"/>
  <c r="K231" i="25"/>
  <c r="J231" i="25"/>
  <c r="I231" i="25"/>
  <c r="H231" i="25"/>
  <c r="G231" i="25"/>
  <c r="F231" i="25"/>
  <c r="E231" i="25"/>
  <c r="V230" i="25"/>
  <c r="U230" i="25"/>
  <c r="T230" i="25"/>
  <c r="S230" i="25"/>
  <c r="R230" i="25"/>
  <c r="Q230" i="25"/>
  <c r="P230" i="25"/>
  <c r="O230" i="25"/>
  <c r="N230" i="25"/>
  <c r="M230" i="25"/>
  <c r="L230" i="25"/>
  <c r="K230" i="25"/>
  <c r="J230" i="25"/>
  <c r="I230" i="25"/>
  <c r="H230" i="25"/>
  <c r="G230" i="25"/>
  <c r="F230" i="25"/>
  <c r="E230" i="25"/>
  <c r="V229" i="25"/>
  <c r="U229" i="25"/>
  <c r="T229" i="25"/>
  <c r="S229" i="25"/>
  <c r="R229" i="25"/>
  <c r="Q229" i="25"/>
  <c r="P229" i="25"/>
  <c r="O229" i="25"/>
  <c r="N229" i="25"/>
  <c r="M229" i="25"/>
  <c r="L229" i="25"/>
  <c r="K229" i="25"/>
  <c r="J229" i="25"/>
  <c r="I229" i="25"/>
  <c r="H229" i="25"/>
  <c r="G229" i="25"/>
  <c r="F229" i="25"/>
  <c r="E229" i="25"/>
  <c r="V228" i="25"/>
  <c r="U228" i="25"/>
  <c r="T228" i="25"/>
  <c r="S228" i="25"/>
  <c r="R228" i="25"/>
  <c r="Q228" i="25"/>
  <c r="P228" i="25"/>
  <c r="O228" i="25"/>
  <c r="N228" i="25"/>
  <c r="M228" i="25"/>
  <c r="L228" i="25"/>
  <c r="K228" i="25"/>
  <c r="J228" i="25"/>
  <c r="I228" i="25"/>
  <c r="H228" i="25"/>
  <c r="G228" i="25"/>
  <c r="F228" i="25"/>
  <c r="E228" i="25"/>
  <c r="V227" i="25"/>
  <c r="U227" i="25"/>
  <c r="T227" i="25"/>
  <c r="S227" i="25"/>
  <c r="R227" i="25"/>
  <c r="Q227" i="25"/>
  <c r="P227" i="25"/>
  <c r="O227" i="25"/>
  <c r="N227" i="25"/>
  <c r="M227" i="25"/>
  <c r="L227" i="25"/>
  <c r="K227" i="25"/>
  <c r="J227" i="25"/>
  <c r="I227" i="25"/>
  <c r="H227" i="25"/>
  <c r="G227" i="25"/>
  <c r="F227" i="25"/>
  <c r="E227" i="25"/>
  <c r="V226" i="25"/>
  <c r="U226" i="25"/>
  <c r="T226" i="25"/>
  <c r="S226" i="25"/>
  <c r="R226" i="25"/>
  <c r="Q226" i="25"/>
  <c r="P226" i="25"/>
  <c r="O226" i="25"/>
  <c r="N226" i="25"/>
  <c r="M226" i="25"/>
  <c r="L226" i="25"/>
  <c r="K226" i="25"/>
  <c r="J226" i="25"/>
  <c r="I226" i="25"/>
  <c r="H226" i="25"/>
  <c r="G226" i="25"/>
  <c r="F226" i="25"/>
  <c r="E226" i="25"/>
  <c r="V225" i="25"/>
  <c r="U225" i="25"/>
  <c r="T225" i="25"/>
  <c r="S225" i="25"/>
  <c r="R225" i="25"/>
  <c r="Q225" i="25"/>
  <c r="P225" i="25"/>
  <c r="O225" i="25"/>
  <c r="N225" i="25"/>
  <c r="M225" i="25"/>
  <c r="L225" i="25"/>
  <c r="K225" i="25"/>
  <c r="J225" i="25"/>
  <c r="I225" i="25"/>
  <c r="H225" i="25"/>
  <c r="G225" i="25"/>
  <c r="F225" i="25"/>
  <c r="E225" i="25"/>
  <c r="V224" i="25"/>
  <c r="U224" i="25"/>
  <c r="T224" i="25"/>
  <c r="S224" i="25"/>
  <c r="R224" i="25"/>
  <c r="Q224" i="25"/>
  <c r="P224" i="25"/>
  <c r="O224" i="25"/>
  <c r="N224" i="25"/>
  <c r="M224" i="25"/>
  <c r="L224" i="25"/>
  <c r="K224" i="25"/>
  <c r="J224" i="25"/>
  <c r="I224" i="25"/>
  <c r="H224" i="25"/>
  <c r="G224" i="25"/>
  <c r="F224" i="25"/>
  <c r="E224" i="25"/>
  <c r="V223" i="25"/>
  <c r="U223" i="25"/>
  <c r="T223" i="25"/>
  <c r="S223" i="25"/>
  <c r="R223" i="25"/>
  <c r="Q223" i="25"/>
  <c r="P223" i="25"/>
  <c r="O223" i="25"/>
  <c r="N223" i="25"/>
  <c r="M223" i="25"/>
  <c r="L223" i="25"/>
  <c r="K223" i="25"/>
  <c r="J223" i="25"/>
  <c r="I223" i="25"/>
  <c r="H223" i="25"/>
  <c r="G223" i="25"/>
  <c r="F223" i="25"/>
  <c r="E223" i="25"/>
  <c r="V222" i="25"/>
  <c r="U222" i="25"/>
  <c r="T222" i="25"/>
  <c r="S222" i="25"/>
  <c r="R222" i="25"/>
  <c r="Q222" i="25"/>
  <c r="P222" i="25"/>
  <c r="O222" i="25"/>
  <c r="N222" i="25"/>
  <c r="M222" i="25"/>
  <c r="L222" i="25"/>
  <c r="K222" i="25"/>
  <c r="J222" i="25"/>
  <c r="I222" i="25"/>
  <c r="H222" i="25"/>
  <c r="G222" i="25"/>
  <c r="F222" i="25"/>
  <c r="E222" i="25"/>
  <c r="V221" i="25"/>
  <c r="U221" i="25"/>
  <c r="T221" i="25"/>
  <c r="S221" i="25"/>
  <c r="R221" i="25"/>
  <c r="Q221" i="25"/>
  <c r="P221" i="25"/>
  <c r="O221" i="25"/>
  <c r="N221" i="25"/>
  <c r="M221" i="25"/>
  <c r="L221" i="25"/>
  <c r="K221" i="25"/>
  <c r="J221" i="25"/>
  <c r="I221" i="25"/>
  <c r="H221" i="25"/>
  <c r="G221" i="25"/>
  <c r="F221" i="25"/>
  <c r="E221" i="25"/>
  <c r="V220" i="25"/>
  <c r="U220" i="25"/>
  <c r="T220" i="25"/>
  <c r="S220" i="25"/>
  <c r="R220" i="25"/>
  <c r="Q220" i="25"/>
  <c r="P220" i="25"/>
  <c r="O220" i="25"/>
  <c r="N220" i="25"/>
  <c r="M220" i="25"/>
  <c r="L220" i="25"/>
  <c r="K220" i="25"/>
  <c r="J220" i="25"/>
  <c r="I220" i="25"/>
  <c r="H220" i="25"/>
  <c r="G220" i="25"/>
  <c r="F220" i="25"/>
  <c r="E220" i="25"/>
  <c r="V219" i="25"/>
  <c r="U219" i="25"/>
  <c r="T219" i="25"/>
  <c r="S219" i="25"/>
  <c r="R219" i="25"/>
  <c r="Q219" i="25"/>
  <c r="P219" i="25"/>
  <c r="O219" i="25"/>
  <c r="N219" i="25"/>
  <c r="M219" i="25"/>
  <c r="L219" i="25"/>
  <c r="K219" i="25"/>
  <c r="J219" i="25"/>
  <c r="I219" i="25"/>
  <c r="H219" i="25"/>
  <c r="G219" i="25"/>
  <c r="F219" i="25"/>
  <c r="E219" i="25"/>
  <c r="V218" i="25"/>
  <c r="U218" i="25"/>
  <c r="T218" i="25"/>
  <c r="S218" i="25"/>
  <c r="R218" i="25"/>
  <c r="Q218" i="25"/>
  <c r="P218" i="25"/>
  <c r="O218" i="25"/>
  <c r="N218" i="25"/>
  <c r="M218" i="25"/>
  <c r="L218" i="25"/>
  <c r="K218" i="25"/>
  <c r="J218" i="25"/>
  <c r="I218" i="25"/>
  <c r="H218" i="25"/>
  <c r="G218" i="25"/>
  <c r="F218" i="25"/>
  <c r="E218" i="25"/>
  <c r="V217" i="25"/>
  <c r="U217" i="25"/>
  <c r="T217" i="25"/>
  <c r="S217" i="25"/>
  <c r="R217" i="25"/>
  <c r="Q217" i="25"/>
  <c r="P217" i="25"/>
  <c r="O217" i="25"/>
  <c r="N217" i="25"/>
  <c r="M217" i="25"/>
  <c r="L217" i="25"/>
  <c r="K217" i="25"/>
  <c r="J217" i="25"/>
  <c r="I217" i="25"/>
  <c r="H217" i="25"/>
  <c r="G217" i="25"/>
  <c r="F217" i="25"/>
  <c r="E217" i="25"/>
  <c r="V216" i="25"/>
  <c r="U216" i="25"/>
  <c r="T216" i="25"/>
  <c r="S216" i="25"/>
  <c r="R216" i="25"/>
  <c r="Q216" i="25"/>
  <c r="P216" i="25"/>
  <c r="O216" i="25"/>
  <c r="N216" i="25"/>
  <c r="M216" i="25"/>
  <c r="L216" i="25"/>
  <c r="K216" i="25"/>
  <c r="J216" i="25"/>
  <c r="I216" i="25"/>
  <c r="H216" i="25"/>
  <c r="G216" i="25"/>
  <c r="F216" i="25"/>
  <c r="E216" i="25"/>
  <c r="V215" i="25"/>
  <c r="U215" i="25"/>
  <c r="T215" i="25"/>
  <c r="S215" i="25"/>
  <c r="R215" i="25"/>
  <c r="Q215" i="25"/>
  <c r="P215" i="25"/>
  <c r="O215" i="25"/>
  <c r="N215" i="25"/>
  <c r="M215" i="25"/>
  <c r="L215" i="25"/>
  <c r="K215" i="25"/>
  <c r="J215" i="25"/>
  <c r="I215" i="25"/>
  <c r="H215" i="25"/>
  <c r="G215" i="25"/>
  <c r="F215" i="25"/>
  <c r="E215" i="25"/>
  <c r="V214" i="25"/>
  <c r="U214" i="25"/>
  <c r="T214" i="25"/>
  <c r="S214" i="25"/>
  <c r="R214" i="25"/>
  <c r="Q214" i="25"/>
  <c r="P214" i="25"/>
  <c r="O214" i="25"/>
  <c r="N214" i="25"/>
  <c r="M214" i="25"/>
  <c r="L214" i="25"/>
  <c r="K214" i="25"/>
  <c r="J214" i="25"/>
  <c r="I214" i="25"/>
  <c r="H214" i="25"/>
  <c r="G214" i="25"/>
  <c r="F214" i="25"/>
  <c r="E214" i="25"/>
  <c r="V213" i="25"/>
  <c r="U213" i="25"/>
  <c r="T213" i="25"/>
  <c r="S213" i="25"/>
  <c r="R213" i="25"/>
  <c r="Q213" i="25"/>
  <c r="P213" i="25"/>
  <c r="O213" i="25"/>
  <c r="N213" i="25"/>
  <c r="M213" i="25"/>
  <c r="L213" i="25"/>
  <c r="K213" i="25"/>
  <c r="J213" i="25"/>
  <c r="I213" i="25"/>
  <c r="H213" i="25"/>
  <c r="G213" i="25"/>
  <c r="F213" i="25"/>
  <c r="E213" i="25"/>
  <c r="V212" i="25"/>
  <c r="U212" i="25"/>
  <c r="T212" i="25"/>
  <c r="S212" i="25"/>
  <c r="R212" i="25"/>
  <c r="Q212" i="25"/>
  <c r="P212" i="25"/>
  <c r="O212" i="25"/>
  <c r="N212" i="25"/>
  <c r="M212" i="25"/>
  <c r="L212" i="25"/>
  <c r="K212" i="25"/>
  <c r="J212" i="25"/>
  <c r="I212" i="25"/>
  <c r="H212" i="25"/>
  <c r="G212" i="25"/>
  <c r="F212" i="25"/>
  <c r="E212" i="25"/>
  <c r="V211" i="25"/>
  <c r="U211" i="25"/>
  <c r="T211" i="25"/>
  <c r="S211" i="25"/>
  <c r="R211" i="25"/>
  <c r="Q211" i="25"/>
  <c r="P211" i="25"/>
  <c r="O211" i="25"/>
  <c r="N211" i="25"/>
  <c r="M211" i="25"/>
  <c r="L211" i="25"/>
  <c r="K211" i="25"/>
  <c r="J211" i="25"/>
  <c r="I211" i="25"/>
  <c r="H211" i="25"/>
  <c r="G211" i="25"/>
  <c r="F211" i="25"/>
  <c r="E211" i="25"/>
  <c r="V210" i="25"/>
  <c r="U210" i="25"/>
  <c r="T210" i="25"/>
  <c r="S210" i="25"/>
  <c r="R210" i="25"/>
  <c r="Q210" i="25"/>
  <c r="P210" i="25"/>
  <c r="O210" i="25"/>
  <c r="N210" i="25"/>
  <c r="M210" i="25"/>
  <c r="L210" i="25"/>
  <c r="K210" i="25"/>
  <c r="J210" i="25"/>
  <c r="I210" i="25"/>
  <c r="H210" i="25"/>
  <c r="G210" i="25"/>
  <c r="F210" i="25"/>
  <c r="E210" i="25"/>
  <c r="V209" i="25"/>
  <c r="U209" i="25"/>
  <c r="T209" i="25"/>
  <c r="S209" i="25"/>
  <c r="R209" i="25"/>
  <c r="Q209" i="25"/>
  <c r="P209" i="25"/>
  <c r="O209" i="25"/>
  <c r="N209" i="25"/>
  <c r="M209" i="25"/>
  <c r="L209" i="25"/>
  <c r="K209" i="25"/>
  <c r="J209" i="25"/>
  <c r="I209" i="25"/>
  <c r="H209" i="25"/>
  <c r="G209" i="25"/>
  <c r="F209" i="25"/>
  <c r="E209" i="25"/>
  <c r="V208" i="25"/>
  <c r="U208" i="25"/>
  <c r="T208" i="25"/>
  <c r="S208" i="25"/>
  <c r="R208" i="25"/>
  <c r="Q208" i="25"/>
  <c r="P208" i="25"/>
  <c r="O208" i="25"/>
  <c r="N208" i="25"/>
  <c r="M208" i="25"/>
  <c r="L208" i="25"/>
  <c r="K208" i="25"/>
  <c r="J208" i="25"/>
  <c r="I208" i="25"/>
  <c r="H208" i="25"/>
  <c r="G208" i="25"/>
  <c r="F208" i="25"/>
  <c r="E208" i="25"/>
  <c r="V207" i="25"/>
  <c r="U207" i="25"/>
  <c r="T207" i="25"/>
  <c r="S207" i="25"/>
  <c r="R207" i="25"/>
  <c r="Q207" i="25"/>
  <c r="P207" i="25"/>
  <c r="O207" i="25"/>
  <c r="N207" i="25"/>
  <c r="M207" i="25"/>
  <c r="L207" i="25"/>
  <c r="K207" i="25"/>
  <c r="J207" i="25"/>
  <c r="I207" i="25"/>
  <c r="H207" i="25"/>
  <c r="G207" i="25"/>
  <c r="F207" i="25"/>
  <c r="E207" i="25"/>
  <c r="V206" i="25"/>
  <c r="U206" i="25"/>
  <c r="T206" i="25"/>
  <c r="S206" i="25"/>
  <c r="R206" i="25"/>
  <c r="Q206" i="25"/>
  <c r="P206" i="25"/>
  <c r="O206" i="25"/>
  <c r="N206" i="25"/>
  <c r="M206" i="25"/>
  <c r="L206" i="25"/>
  <c r="K206" i="25"/>
  <c r="J206" i="25"/>
  <c r="I206" i="25"/>
  <c r="H206" i="25"/>
  <c r="G206" i="25"/>
  <c r="F206" i="25"/>
  <c r="E206" i="25"/>
  <c r="V205" i="25"/>
  <c r="U205" i="25"/>
  <c r="T205" i="25"/>
  <c r="S205" i="25"/>
  <c r="R205" i="25"/>
  <c r="Q205" i="25"/>
  <c r="P205" i="25"/>
  <c r="O205" i="25"/>
  <c r="N205" i="25"/>
  <c r="M205" i="25"/>
  <c r="L205" i="25"/>
  <c r="K205" i="25"/>
  <c r="J205" i="25"/>
  <c r="I205" i="25"/>
  <c r="H205" i="25"/>
  <c r="G205" i="25"/>
  <c r="F205" i="25"/>
  <c r="E205" i="25"/>
  <c r="V204" i="25"/>
  <c r="U204" i="25"/>
  <c r="T204" i="25"/>
  <c r="S204" i="25"/>
  <c r="R204" i="25"/>
  <c r="Q204" i="25"/>
  <c r="P204" i="25"/>
  <c r="O204" i="25"/>
  <c r="N204" i="25"/>
  <c r="M204" i="25"/>
  <c r="L204" i="25"/>
  <c r="K204" i="25"/>
  <c r="J204" i="25"/>
  <c r="I204" i="25"/>
  <c r="H204" i="25"/>
  <c r="G204" i="25"/>
  <c r="F204" i="25"/>
  <c r="E204" i="25"/>
  <c r="V203" i="25"/>
  <c r="U203" i="25"/>
  <c r="T203" i="25"/>
  <c r="S203" i="25"/>
  <c r="R203" i="25"/>
  <c r="Q203" i="25"/>
  <c r="P203" i="25"/>
  <c r="O203" i="25"/>
  <c r="N203" i="25"/>
  <c r="M203" i="25"/>
  <c r="L203" i="25"/>
  <c r="K203" i="25"/>
  <c r="J203" i="25"/>
  <c r="I203" i="25"/>
  <c r="H203" i="25"/>
  <c r="G203" i="25"/>
  <c r="F203" i="25"/>
  <c r="E203" i="25"/>
  <c r="V202" i="25"/>
  <c r="U202" i="25"/>
  <c r="T202" i="25"/>
  <c r="S202" i="25"/>
  <c r="R202" i="25"/>
  <c r="Q202" i="25"/>
  <c r="P202" i="25"/>
  <c r="O202" i="25"/>
  <c r="N202" i="25"/>
  <c r="M202" i="25"/>
  <c r="L202" i="25"/>
  <c r="K202" i="25"/>
  <c r="J202" i="25"/>
  <c r="I202" i="25"/>
  <c r="H202" i="25"/>
  <c r="G202" i="25"/>
  <c r="F202" i="25"/>
  <c r="E202" i="25"/>
  <c r="V201" i="25"/>
  <c r="U201" i="25"/>
  <c r="T201" i="25"/>
  <c r="S201" i="25"/>
  <c r="R201" i="25"/>
  <c r="Q201" i="25"/>
  <c r="P201" i="25"/>
  <c r="O201" i="25"/>
  <c r="N201" i="25"/>
  <c r="M201" i="25"/>
  <c r="L201" i="25"/>
  <c r="K201" i="25"/>
  <c r="J201" i="25"/>
  <c r="I201" i="25"/>
  <c r="H201" i="25"/>
  <c r="G201" i="25"/>
  <c r="F201" i="25"/>
  <c r="E201" i="25"/>
  <c r="V200" i="25"/>
  <c r="U200" i="25"/>
  <c r="T200" i="25"/>
  <c r="S200" i="25"/>
  <c r="R200" i="25"/>
  <c r="Q200" i="25"/>
  <c r="P200" i="25"/>
  <c r="O200" i="25"/>
  <c r="N200" i="25"/>
  <c r="M200" i="25"/>
  <c r="L200" i="25"/>
  <c r="K200" i="25"/>
  <c r="J200" i="25"/>
  <c r="I200" i="25"/>
  <c r="H200" i="25"/>
  <c r="G200" i="25"/>
  <c r="F200" i="25"/>
  <c r="E200" i="25"/>
  <c r="V199" i="25"/>
  <c r="U199" i="25"/>
  <c r="T199" i="25"/>
  <c r="S199" i="25"/>
  <c r="R199" i="25"/>
  <c r="Q199" i="25"/>
  <c r="P199" i="25"/>
  <c r="O199" i="25"/>
  <c r="N199" i="25"/>
  <c r="M199" i="25"/>
  <c r="L199" i="25"/>
  <c r="K199" i="25"/>
  <c r="J199" i="25"/>
  <c r="I199" i="25"/>
  <c r="H199" i="25"/>
  <c r="G199" i="25"/>
  <c r="F199" i="25"/>
  <c r="E199" i="25"/>
  <c r="V198" i="25"/>
  <c r="U198" i="25"/>
  <c r="T198" i="25"/>
  <c r="S198" i="25"/>
  <c r="R198" i="25"/>
  <c r="Q198" i="25"/>
  <c r="P198" i="25"/>
  <c r="O198" i="25"/>
  <c r="N198" i="25"/>
  <c r="M198" i="25"/>
  <c r="L198" i="25"/>
  <c r="K198" i="25"/>
  <c r="J198" i="25"/>
  <c r="I198" i="25"/>
  <c r="H198" i="25"/>
  <c r="G198" i="25"/>
  <c r="F198" i="25"/>
  <c r="E198" i="25"/>
  <c r="V197" i="25"/>
  <c r="U197" i="25"/>
  <c r="T197" i="25"/>
  <c r="S197" i="25"/>
  <c r="R197" i="25"/>
  <c r="Q197" i="25"/>
  <c r="P197" i="25"/>
  <c r="O197" i="25"/>
  <c r="N197" i="25"/>
  <c r="M197" i="25"/>
  <c r="L197" i="25"/>
  <c r="K197" i="25"/>
  <c r="J197" i="25"/>
  <c r="I197" i="25"/>
  <c r="H197" i="25"/>
  <c r="G197" i="25"/>
  <c r="F197" i="25"/>
  <c r="E197" i="25"/>
  <c r="V196" i="25"/>
  <c r="U196" i="25"/>
  <c r="T196" i="25"/>
  <c r="S196" i="25"/>
  <c r="R196" i="25"/>
  <c r="Q196" i="25"/>
  <c r="P196" i="25"/>
  <c r="O196" i="25"/>
  <c r="N196" i="25"/>
  <c r="M196" i="25"/>
  <c r="L196" i="25"/>
  <c r="K196" i="25"/>
  <c r="J196" i="25"/>
  <c r="I196" i="25"/>
  <c r="H196" i="25"/>
  <c r="G196" i="25"/>
  <c r="F196" i="25"/>
  <c r="E196" i="25"/>
  <c r="V195" i="25"/>
  <c r="U195" i="25"/>
  <c r="T195" i="25"/>
  <c r="S195" i="25"/>
  <c r="R195" i="25"/>
  <c r="Q195" i="25"/>
  <c r="P195" i="25"/>
  <c r="O195" i="25"/>
  <c r="N195" i="25"/>
  <c r="M195" i="25"/>
  <c r="L195" i="25"/>
  <c r="K195" i="25"/>
  <c r="J195" i="25"/>
  <c r="I195" i="25"/>
  <c r="H195" i="25"/>
  <c r="G195" i="25"/>
  <c r="F195" i="25"/>
  <c r="E195" i="25"/>
  <c r="V194" i="25"/>
  <c r="U194" i="25"/>
  <c r="T194" i="25"/>
  <c r="S194" i="25"/>
  <c r="R194" i="25"/>
  <c r="Q194" i="25"/>
  <c r="P194" i="25"/>
  <c r="O194" i="25"/>
  <c r="N194" i="25"/>
  <c r="M194" i="25"/>
  <c r="L194" i="25"/>
  <c r="K194" i="25"/>
  <c r="J194" i="25"/>
  <c r="I194" i="25"/>
  <c r="H194" i="25"/>
  <c r="G194" i="25"/>
  <c r="F194" i="25"/>
  <c r="E194" i="25"/>
  <c r="V193" i="25"/>
  <c r="U193" i="25"/>
  <c r="T193" i="25"/>
  <c r="S193" i="25"/>
  <c r="R193" i="25"/>
  <c r="Q193" i="25"/>
  <c r="P193" i="25"/>
  <c r="O193" i="25"/>
  <c r="N193" i="25"/>
  <c r="M193" i="25"/>
  <c r="L193" i="25"/>
  <c r="K193" i="25"/>
  <c r="J193" i="25"/>
  <c r="I193" i="25"/>
  <c r="H193" i="25"/>
  <c r="G193" i="25"/>
  <c r="F193" i="25"/>
  <c r="E193" i="25"/>
  <c r="V192" i="25"/>
  <c r="U192" i="25"/>
  <c r="T192" i="25"/>
  <c r="S192" i="25"/>
  <c r="R192" i="25"/>
  <c r="Q192" i="25"/>
  <c r="P192" i="25"/>
  <c r="O192" i="25"/>
  <c r="N192" i="25"/>
  <c r="M192" i="25"/>
  <c r="L192" i="25"/>
  <c r="K192" i="25"/>
  <c r="J192" i="25"/>
  <c r="I192" i="25"/>
  <c r="H192" i="25"/>
  <c r="G192" i="25"/>
  <c r="F192" i="25"/>
  <c r="E192" i="25"/>
  <c r="V191" i="25"/>
  <c r="U191" i="25"/>
  <c r="T191" i="25"/>
  <c r="S191" i="25"/>
  <c r="R191" i="25"/>
  <c r="Q191" i="25"/>
  <c r="P191" i="25"/>
  <c r="O191" i="25"/>
  <c r="N191" i="25"/>
  <c r="M191" i="25"/>
  <c r="L191" i="25"/>
  <c r="K191" i="25"/>
  <c r="J191" i="25"/>
  <c r="I191" i="25"/>
  <c r="H191" i="25"/>
  <c r="G191" i="25"/>
  <c r="F191" i="25"/>
  <c r="E191" i="25"/>
  <c r="V190" i="25"/>
  <c r="U190" i="25"/>
  <c r="T190" i="25"/>
  <c r="S190" i="25"/>
  <c r="R190" i="25"/>
  <c r="Q190" i="25"/>
  <c r="P190" i="25"/>
  <c r="O190" i="25"/>
  <c r="N190" i="25"/>
  <c r="M190" i="25"/>
  <c r="L190" i="25"/>
  <c r="K190" i="25"/>
  <c r="J190" i="25"/>
  <c r="I190" i="25"/>
  <c r="H190" i="25"/>
  <c r="G190" i="25"/>
  <c r="F190" i="25"/>
  <c r="E190" i="25"/>
  <c r="V189" i="25"/>
  <c r="U189" i="25"/>
  <c r="T189" i="25"/>
  <c r="S189" i="25"/>
  <c r="R189" i="25"/>
  <c r="Q189" i="25"/>
  <c r="P189" i="25"/>
  <c r="O189" i="25"/>
  <c r="N189" i="25"/>
  <c r="M189" i="25"/>
  <c r="L189" i="25"/>
  <c r="K189" i="25"/>
  <c r="J189" i="25"/>
  <c r="I189" i="25"/>
  <c r="H189" i="25"/>
  <c r="G189" i="25"/>
  <c r="F189" i="25"/>
  <c r="E189" i="25"/>
  <c r="V188" i="25"/>
  <c r="U188" i="25"/>
  <c r="T188" i="25"/>
  <c r="S188" i="25"/>
  <c r="R188" i="25"/>
  <c r="Q188" i="25"/>
  <c r="P188" i="25"/>
  <c r="O188" i="25"/>
  <c r="N188" i="25"/>
  <c r="M188" i="25"/>
  <c r="L188" i="25"/>
  <c r="K188" i="25"/>
  <c r="J188" i="25"/>
  <c r="I188" i="25"/>
  <c r="H188" i="25"/>
  <c r="G188" i="25"/>
  <c r="F188" i="25"/>
  <c r="E188" i="25"/>
  <c r="V187" i="25"/>
  <c r="U187" i="25"/>
  <c r="T187" i="25"/>
  <c r="S187" i="25"/>
  <c r="R187" i="25"/>
  <c r="Q187" i="25"/>
  <c r="P187" i="25"/>
  <c r="O187" i="25"/>
  <c r="N187" i="25"/>
  <c r="M187" i="25"/>
  <c r="L187" i="25"/>
  <c r="K187" i="25"/>
  <c r="J187" i="25"/>
  <c r="I187" i="25"/>
  <c r="H187" i="25"/>
  <c r="G187" i="25"/>
  <c r="F187" i="25"/>
  <c r="E187" i="25"/>
  <c r="V186" i="25"/>
  <c r="U186" i="25"/>
  <c r="T186" i="25"/>
  <c r="S186" i="25"/>
  <c r="R186" i="25"/>
  <c r="Q186" i="25"/>
  <c r="P186" i="25"/>
  <c r="O186" i="25"/>
  <c r="N186" i="25"/>
  <c r="M186" i="25"/>
  <c r="L186" i="25"/>
  <c r="K186" i="25"/>
  <c r="J186" i="25"/>
  <c r="I186" i="25"/>
  <c r="H186" i="25"/>
  <c r="G186" i="25"/>
  <c r="F186" i="25"/>
  <c r="E186" i="25"/>
  <c r="V185" i="25"/>
  <c r="U185" i="25"/>
  <c r="T185" i="25"/>
  <c r="S185" i="25"/>
  <c r="R185" i="25"/>
  <c r="Q185" i="25"/>
  <c r="P185" i="25"/>
  <c r="O185" i="25"/>
  <c r="N185" i="25"/>
  <c r="M185" i="25"/>
  <c r="L185" i="25"/>
  <c r="K185" i="25"/>
  <c r="J185" i="25"/>
  <c r="I185" i="25"/>
  <c r="H185" i="25"/>
  <c r="G185" i="25"/>
  <c r="F185" i="25"/>
  <c r="E185" i="25"/>
  <c r="V184" i="25"/>
  <c r="U184" i="25"/>
  <c r="T184" i="25"/>
  <c r="S184" i="25"/>
  <c r="R184" i="25"/>
  <c r="Q184" i="25"/>
  <c r="P184" i="25"/>
  <c r="O184" i="25"/>
  <c r="N184" i="25"/>
  <c r="M184" i="25"/>
  <c r="L184" i="25"/>
  <c r="K184" i="25"/>
  <c r="J184" i="25"/>
  <c r="I184" i="25"/>
  <c r="H184" i="25"/>
  <c r="G184" i="25"/>
  <c r="F184" i="25"/>
  <c r="E184" i="25"/>
  <c r="V183" i="25"/>
  <c r="U183" i="25"/>
  <c r="T183" i="25"/>
  <c r="S183" i="25"/>
  <c r="R183" i="25"/>
  <c r="Q183" i="25"/>
  <c r="P183" i="25"/>
  <c r="O183" i="25"/>
  <c r="N183" i="25"/>
  <c r="M183" i="25"/>
  <c r="L183" i="25"/>
  <c r="K183" i="25"/>
  <c r="J183" i="25"/>
  <c r="I183" i="25"/>
  <c r="H183" i="25"/>
  <c r="G183" i="25"/>
  <c r="F183" i="25"/>
  <c r="E183" i="25"/>
  <c r="V182" i="25"/>
  <c r="U182" i="25"/>
  <c r="T182" i="25"/>
  <c r="S182" i="25"/>
  <c r="R182" i="25"/>
  <c r="Q182" i="25"/>
  <c r="P182" i="25"/>
  <c r="O182" i="25"/>
  <c r="N182" i="25"/>
  <c r="M182" i="25"/>
  <c r="L182" i="25"/>
  <c r="K182" i="25"/>
  <c r="J182" i="25"/>
  <c r="I182" i="25"/>
  <c r="H182" i="25"/>
  <c r="G182" i="25"/>
  <c r="F182" i="25"/>
  <c r="E182" i="25"/>
  <c r="V181" i="25"/>
  <c r="U181" i="25"/>
  <c r="T181" i="25"/>
  <c r="S181" i="25"/>
  <c r="R181" i="25"/>
  <c r="Q181" i="25"/>
  <c r="P181" i="25"/>
  <c r="O181" i="25"/>
  <c r="N181" i="25"/>
  <c r="M181" i="25"/>
  <c r="L181" i="25"/>
  <c r="K181" i="25"/>
  <c r="J181" i="25"/>
  <c r="I181" i="25"/>
  <c r="H181" i="25"/>
  <c r="G181" i="25"/>
  <c r="F181" i="25"/>
  <c r="E181" i="25"/>
  <c r="V180" i="25"/>
  <c r="U180" i="25"/>
  <c r="T180" i="25"/>
  <c r="S180" i="25"/>
  <c r="R180" i="25"/>
  <c r="Q180" i="25"/>
  <c r="P180" i="25"/>
  <c r="O180" i="25"/>
  <c r="N180" i="25"/>
  <c r="M180" i="25"/>
  <c r="L180" i="25"/>
  <c r="K180" i="25"/>
  <c r="J180" i="25"/>
  <c r="I180" i="25"/>
  <c r="H180" i="25"/>
  <c r="G180" i="25"/>
  <c r="F180" i="25"/>
  <c r="E180" i="25"/>
  <c r="V179" i="25"/>
  <c r="U179" i="25"/>
  <c r="T179" i="25"/>
  <c r="S179" i="25"/>
  <c r="R179" i="25"/>
  <c r="Q179" i="25"/>
  <c r="P179" i="25"/>
  <c r="O179" i="25"/>
  <c r="N179" i="25"/>
  <c r="M179" i="25"/>
  <c r="L179" i="25"/>
  <c r="K179" i="25"/>
  <c r="J179" i="25"/>
  <c r="I179" i="25"/>
  <c r="H179" i="25"/>
  <c r="G179" i="25"/>
  <c r="F179" i="25"/>
  <c r="E179" i="25"/>
  <c r="V178" i="25"/>
  <c r="U178" i="25"/>
  <c r="T178" i="25"/>
  <c r="S178" i="25"/>
  <c r="R178" i="25"/>
  <c r="Q178" i="25"/>
  <c r="P178" i="25"/>
  <c r="O178" i="25"/>
  <c r="N178" i="25"/>
  <c r="M178" i="25"/>
  <c r="L178" i="25"/>
  <c r="K178" i="25"/>
  <c r="J178" i="25"/>
  <c r="I178" i="25"/>
  <c r="H178" i="25"/>
  <c r="G178" i="25"/>
  <c r="F178" i="25"/>
  <c r="E178" i="25"/>
  <c r="V177" i="25"/>
  <c r="U177" i="25"/>
  <c r="T177" i="25"/>
  <c r="S177" i="25"/>
  <c r="R177" i="25"/>
  <c r="Q177" i="25"/>
  <c r="P177" i="25"/>
  <c r="O177" i="25"/>
  <c r="N177" i="25"/>
  <c r="M177" i="25"/>
  <c r="L177" i="25"/>
  <c r="K177" i="25"/>
  <c r="J177" i="25"/>
  <c r="I177" i="25"/>
  <c r="H177" i="25"/>
  <c r="G177" i="25"/>
  <c r="F177" i="25"/>
  <c r="E177" i="25"/>
  <c r="V176" i="25"/>
  <c r="U176" i="25"/>
  <c r="T176" i="25"/>
  <c r="S176" i="25"/>
  <c r="R176" i="25"/>
  <c r="Q176" i="25"/>
  <c r="P176" i="25"/>
  <c r="O176" i="25"/>
  <c r="N176" i="25"/>
  <c r="M176" i="25"/>
  <c r="L176" i="25"/>
  <c r="K176" i="25"/>
  <c r="J176" i="25"/>
  <c r="I176" i="25"/>
  <c r="H176" i="25"/>
  <c r="G176" i="25"/>
  <c r="F176" i="25"/>
  <c r="E176" i="25"/>
  <c r="V175" i="25"/>
  <c r="U175" i="25"/>
  <c r="T175" i="25"/>
  <c r="S175" i="25"/>
  <c r="R175" i="25"/>
  <c r="Q175" i="25"/>
  <c r="P175" i="25"/>
  <c r="O175" i="25"/>
  <c r="N175" i="25"/>
  <c r="M175" i="25"/>
  <c r="L175" i="25"/>
  <c r="K175" i="25"/>
  <c r="J175" i="25"/>
  <c r="I175" i="25"/>
  <c r="H175" i="25"/>
  <c r="G175" i="25"/>
  <c r="F175" i="25"/>
  <c r="E175" i="25"/>
  <c r="V174" i="25"/>
  <c r="U174" i="25"/>
  <c r="T174" i="25"/>
  <c r="S174" i="25"/>
  <c r="R174" i="25"/>
  <c r="Q174" i="25"/>
  <c r="P174" i="25"/>
  <c r="O174" i="25"/>
  <c r="N174" i="25"/>
  <c r="M174" i="25"/>
  <c r="L174" i="25"/>
  <c r="K174" i="25"/>
  <c r="J174" i="25"/>
  <c r="I174" i="25"/>
  <c r="H174" i="25"/>
  <c r="G174" i="25"/>
  <c r="F174" i="25"/>
  <c r="E174" i="25"/>
  <c r="V173" i="25"/>
  <c r="U173" i="25"/>
  <c r="T173" i="25"/>
  <c r="S173" i="25"/>
  <c r="R173" i="25"/>
  <c r="Q173" i="25"/>
  <c r="P173" i="25"/>
  <c r="O173" i="25"/>
  <c r="N173" i="25"/>
  <c r="M173" i="25"/>
  <c r="L173" i="25"/>
  <c r="K173" i="25"/>
  <c r="J173" i="25"/>
  <c r="I173" i="25"/>
  <c r="H173" i="25"/>
  <c r="G173" i="25"/>
  <c r="F173" i="25"/>
  <c r="E173" i="25"/>
  <c r="V172" i="25"/>
  <c r="U172" i="25"/>
  <c r="T172" i="25"/>
  <c r="S172" i="25"/>
  <c r="R172" i="25"/>
  <c r="Q172" i="25"/>
  <c r="P172" i="25"/>
  <c r="O172" i="25"/>
  <c r="N172" i="25"/>
  <c r="M172" i="25"/>
  <c r="L172" i="25"/>
  <c r="K172" i="25"/>
  <c r="J172" i="25"/>
  <c r="I172" i="25"/>
  <c r="H172" i="25"/>
  <c r="G172" i="25"/>
  <c r="F172" i="25"/>
  <c r="E172" i="25"/>
  <c r="V171" i="25"/>
  <c r="U171" i="25"/>
  <c r="T171" i="25"/>
  <c r="S171" i="25"/>
  <c r="R171" i="25"/>
  <c r="Q171" i="25"/>
  <c r="P171" i="25"/>
  <c r="O171" i="25"/>
  <c r="N171" i="25"/>
  <c r="M171" i="25"/>
  <c r="L171" i="25"/>
  <c r="K171" i="25"/>
  <c r="J171" i="25"/>
  <c r="I171" i="25"/>
  <c r="H171" i="25"/>
  <c r="G171" i="25"/>
  <c r="F171" i="25"/>
  <c r="E171" i="25"/>
  <c r="V170" i="25"/>
  <c r="U170" i="25"/>
  <c r="T170" i="25"/>
  <c r="S170" i="25"/>
  <c r="R170" i="25"/>
  <c r="Q170" i="25"/>
  <c r="P170" i="25"/>
  <c r="O170" i="25"/>
  <c r="N170" i="25"/>
  <c r="M170" i="25"/>
  <c r="L170" i="25"/>
  <c r="K170" i="25"/>
  <c r="J170" i="25"/>
  <c r="I170" i="25"/>
  <c r="H170" i="25"/>
  <c r="G170" i="25"/>
  <c r="F170" i="25"/>
  <c r="E170" i="25"/>
  <c r="V169" i="25"/>
  <c r="U169" i="25"/>
  <c r="T169" i="25"/>
  <c r="S169" i="25"/>
  <c r="R169" i="25"/>
  <c r="Q169" i="25"/>
  <c r="P169" i="25"/>
  <c r="O169" i="25"/>
  <c r="N169" i="25"/>
  <c r="M169" i="25"/>
  <c r="L169" i="25"/>
  <c r="K169" i="25"/>
  <c r="J169" i="25"/>
  <c r="I169" i="25"/>
  <c r="H169" i="25"/>
  <c r="G169" i="25"/>
  <c r="F169" i="25"/>
  <c r="E169" i="25"/>
  <c r="V168" i="25"/>
  <c r="U168" i="25"/>
  <c r="T168" i="25"/>
  <c r="S168" i="25"/>
  <c r="R168" i="25"/>
  <c r="Q168" i="25"/>
  <c r="P168" i="25"/>
  <c r="O168" i="25"/>
  <c r="N168" i="25"/>
  <c r="M168" i="25"/>
  <c r="L168" i="25"/>
  <c r="K168" i="25"/>
  <c r="J168" i="25"/>
  <c r="I168" i="25"/>
  <c r="H168" i="25"/>
  <c r="G168" i="25"/>
  <c r="F168" i="25"/>
  <c r="E168" i="25"/>
  <c r="V167" i="25"/>
  <c r="U167" i="25"/>
  <c r="T167" i="25"/>
  <c r="S167" i="25"/>
  <c r="R167" i="25"/>
  <c r="Q167" i="25"/>
  <c r="P167" i="25"/>
  <c r="O167" i="25"/>
  <c r="N167" i="25"/>
  <c r="M167" i="25"/>
  <c r="L167" i="25"/>
  <c r="K167" i="25"/>
  <c r="J167" i="25"/>
  <c r="I167" i="25"/>
  <c r="H167" i="25"/>
  <c r="G167" i="25"/>
  <c r="F167" i="25"/>
  <c r="E167" i="25"/>
  <c r="V166" i="25"/>
  <c r="U166" i="25"/>
  <c r="T166" i="25"/>
  <c r="S166" i="25"/>
  <c r="R166" i="25"/>
  <c r="Q166" i="25"/>
  <c r="P166" i="25"/>
  <c r="O166" i="25"/>
  <c r="N166" i="25"/>
  <c r="M166" i="25"/>
  <c r="L166" i="25"/>
  <c r="K166" i="25"/>
  <c r="J166" i="25"/>
  <c r="I166" i="25"/>
  <c r="H166" i="25"/>
  <c r="G166" i="25"/>
  <c r="F166" i="25"/>
  <c r="E166" i="25"/>
  <c r="V165" i="25"/>
  <c r="U165" i="25"/>
  <c r="T165" i="25"/>
  <c r="S165" i="25"/>
  <c r="R165" i="25"/>
  <c r="Q165" i="25"/>
  <c r="P165" i="25"/>
  <c r="O165" i="25"/>
  <c r="N165" i="25"/>
  <c r="M165" i="25"/>
  <c r="L165" i="25"/>
  <c r="K165" i="25"/>
  <c r="J165" i="25"/>
  <c r="I165" i="25"/>
  <c r="H165" i="25"/>
  <c r="G165" i="25"/>
  <c r="F165" i="25"/>
  <c r="E165" i="25"/>
  <c r="V164" i="25"/>
  <c r="U164" i="25"/>
  <c r="T164" i="25"/>
  <c r="S164" i="25"/>
  <c r="R164" i="25"/>
  <c r="Q164" i="25"/>
  <c r="P164" i="25"/>
  <c r="O164" i="25"/>
  <c r="N164" i="25"/>
  <c r="M164" i="25"/>
  <c r="L164" i="25"/>
  <c r="K164" i="25"/>
  <c r="J164" i="25"/>
  <c r="I164" i="25"/>
  <c r="H164" i="25"/>
  <c r="G164" i="25"/>
  <c r="F164" i="25"/>
  <c r="E164" i="25"/>
  <c r="V163" i="25"/>
  <c r="U163" i="25"/>
  <c r="T163" i="25"/>
  <c r="S163" i="25"/>
  <c r="R163" i="25"/>
  <c r="Q163" i="25"/>
  <c r="P163" i="25"/>
  <c r="O163" i="25"/>
  <c r="N163" i="25"/>
  <c r="M163" i="25"/>
  <c r="L163" i="25"/>
  <c r="K163" i="25"/>
  <c r="J163" i="25"/>
  <c r="I163" i="25"/>
  <c r="H163" i="25"/>
  <c r="G163" i="25"/>
  <c r="F163" i="25"/>
  <c r="E163" i="25"/>
  <c r="V162" i="25"/>
  <c r="U162" i="25"/>
  <c r="T162" i="25"/>
  <c r="S162" i="25"/>
  <c r="R162" i="25"/>
  <c r="Q162" i="25"/>
  <c r="P162" i="25"/>
  <c r="O162" i="25"/>
  <c r="N162" i="25"/>
  <c r="M162" i="25"/>
  <c r="L162" i="25"/>
  <c r="K162" i="25"/>
  <c r="J162" i="25"/>
  <c r="I162" i="25"/>
  <c r="H162" i="25"/>
  <c r="G162" i="25"/>
  <c r="F162" i="25"/>
  <c r="E162" i="25"/>
  <c r="V161" i="25"/>
  <c r="U161" i="25"/>
  <c r="T161" i="25"/>
  <c r="S161" i="25"/>
  <c r="R161" i="25"/>
  <c r="Q161" i="25"/>
  <c r="P161" i="25"/>
  <c r="O161" i="25"/>
  <c r="N161" i="25"/>
  <c r="M161" i="25"/>
  <c r="L161" i="25"/>
  <c r="K161" i="25"/>
  <c r="J161" i="25"/>
  <c r="I161" i="25"/>
  <c r="H161" i="25"/>
  <c r="G161" i="25"/>
  <c r="F161" i="25"/>
  <c r="E161" i="25"/>
  <c r="V160" i="25"/>
  <c r="U160" i="25"/>
  <c r="T160" i="25"/>
  <c r="S160" i="25"/>
  <c r="R160" i="25"/>
  <c r="Q160" i="25"/>
  <c r="P160" i="25"/>
  <c r="O160" i="25"/>
  <c r="N160" i="25"/>
  <c r="M160" i="25"/>
  <c r="L160" i="25"/>
  <c r="K160" i="25"/>
  <c r="J160" i="25"/>
  <c r="I160" i="25"/>
  <c r="H160" i="25"/>
  <c r="G160" i="25"/>
  <c r="F160" i="25"/>
  <c r="E160" i="25"/>
  <c r="V159" i="25"/>
  <c r="U159" i="25"/>
  <c r="T159" i="25"/>
  <c r="S159" i="25"/>
  <c r="R159" i="25"/>
  <c r="Q159" i="25"/>
  <c r="P159" i="25"/>
  <c r="O159" i="25"/>
  <c r="N159" i="25"/>
  <c r="M159" i="25"/>
  <c r="L159" i="25"/>
  <c r="K159" i="25"/>
  <c r="J159" i="25"/>
  <c r="I159" i="25"/>
  <c r="H159" i="25"/>
  <c r="G159" i="25"/>
  <c r="F159" i="25"/>
  <c r="E159" i="25"/>
  <c r="V158" i="25"/>
  <c r="U158" i="25"/>
  <c r="T158" i="25"/>
  <c r="S158" i="25"/>
  <c r="R158" i="25"/>
  <c r="Q158" i="25"/>
  <c r="P158" i="25"/>
  <c r="O158" i="25"/>
  <c r="N158" i="25"/>
  <c r="M158" i="25"/>
  <c r="L158" i="25"/>
  <c r="K158" i="25"/>
  <c r="J158" i="25"/>
  <c r="I158" i="25"/>
  <c r="H158" i="25"/>
  <c r="G158" i="25"/>
  <c r="F158" i="25"/>
  <c r="E158" i="25"/>
  <c r="V157" i="25"/>
  <c r="U157" i="25"/>
  <c r="T157" i="25"/>
  <c r="S157" i="25"/>
  <c r="R157" i="25"/>
  <c r="Q157" i="25"/>
  <c r="P157" i="25"/>
  <c r="O157" i="25"/>
  <c r="N157" i="25"/>
  <c r="M157" i="25"/>
  <c r="L157" i="25"/>
  <c r="K157" i="25"/>
  <c r="J157" i="25"/>
  <c r="I157" i="25"/>
  <c r="H157" i="25"/>
  <c r="G157" i="25"/>
  <c r="F157" i="25"/>
  <c r="E157" i="25"/>
  <c r="V156" i="25"/>
  <c r="U156" i="25"/>
  <c r="T156" i="25"/>
  <c r="S156" i="25"/>
  <c r="R156" i="25"/>
  <c r="Q156" i="25"/>
  <c r="P156" i="25"/>
  <c r="O156" i="25"/>
  <c r="N156" i="25"/>
  <c r="M156" i="25"/>
  <c r="L156" i="25"/>
  <c r="K156" i="25"/>
  <c r="J156" i="25"/>
  <c r="I156" i="25"/>
  <c r="H156" i="25"/>
  <c r="G156" i="25"/>
  <c r="F156" i="25"/>
  <c r="E156" i="25"/>
  <c r="V155" i="25"/>
  <c r="U155" i="25"/>
  <c r="T155" i="25"/>
  <c r="S155" i="25"/>
  <c r="R155" i="25"/>
  <c r="Q155" i="25"/>
  <c r="P155" i="25"/>
  <c r="O155" i="25"/>
  <c r="N155" i="25"/>
  <c r="M155" i="25"/>
  <c r="L155" i="25"/>
  <c r="K155" i="25"/>
  <c r="J155" i="25"/>
  <c r="I155" i="25"/>
  <c r="H155" i="25"/>
  <c r="G155" i="25"/>
  <c r="F155" i="25"/>
  <c r="E155" i="25"/>
  <c r="V154" i="25"/>
  <c r="U154" i="25"/>
  <c r="T154" i="25"/>
  <c r="S154" i="25"/>
  <c r="R154" i="25"/>
  <c r="Q154" i="25"/>
  <c r="P154" i="25"/>
  <c r="O154" i="25"/>
  <c r="N154" i="25"/>
  <c r="M154" i="25"/>
  <c r="L154" i="25"/>
  <c r="K154" i="25"/>
  <c r="J154" i="25"/>
  <c r="I154" i="25"/>
  <c r="H154" i="25"/>
  <c r="G154" i="25"/>
  <c r="F154" i="25"/>
  <c r="E154" i="25"/>
  <c r="V153" i="25"/>
  <c r="U153" i="25"/>
  <c r="T153" i="25"/>
  <c r="S153" i="25"/>
  <c r="R153" i="25"/>
  <c r="Q153" i="25"/>
  <c r="P153" i="25"/>
  <c r="O153" i="25"/>
  <c r="N153" i="25"/>
  <c r="M153" i="25"/>
  <c r="L153" i="25"/>
  <c r="K153" i="25"/>
  <c r="J153" i="25"/>
  <c r="I153" i="25"/>
  <c r="H153" i="25"/>
  <c r="G153" i="25"/>
  <c r="F153" i="25"/>
  <c r="E153" i="25"/>
  <c r="V152" i="25"/>
  <c r="U152" i="25"/>
  <c r="T152" i="25"/>
  <c r="S152" i="25"/>
  <c r="R152" i="25"/>
  <c r="Q152" i="25"/>
  <c r="P152" i="25"/>
  <c r="O152" i="25"/>
  <c r="N152" i="25"/>
  <c r="M152" i="25"/>
  <c r="L152" i="25"/>
  <c r="K152" i="25"/>
  <c r="J152" i="25"/>
  <c r="I152" i="25"/>
  <c r="H152" i="25"/>
  <c r="G152" i="25"/>
  <c r="F152" i="25"/>
  <c r="E152" i="25"/>
  <c r="V151" i="25"/>
  <c r="U151" i="25"/>
  <c r="T151" i="25"/>
  <c r="S151" i="25"/>
  <c r="R151" i="25"/>
  <c r="Q151" i="25"/>
  <c r="P151" i="25"/>
  <c r="O151" i="25"/>
  <c r="N151" i="25"/>
  <c r="M151" i="25"/>
  <c r="L151" i="25"/>
  <c r="K151" i="25"/>
  <c r="J151" i="25"/>
  <c r="I151" i="25"/>
  <c r="H151" i="25"/>
  <c r="G151" i="25"/>
  <c r="F151" i="25"/>
  <c r="E151" i="25"/>
  <c r="V150" i="25"/>
  <c r="U150" i="25"/>
  <c r="T150" i="25"/>
  <c r="S150" i="25"/>
  <c r="R150" i="25"/>
  <c r="Q150" i="25"/>
  <c r="P150" i="25"/>
  <c r="O150" i="25"/>
  <c r="N150" i="25"/>
  <c r="M150" i="25"/>
  <c r="L150" i="25"/>
  <c r="K150" i="25"/>
  <c r="J150" i="25"/>
  <c r="I150" i="25"/>
  <c r="H150" i="25"/>
  <c r="G150" i="25"/>
  <c r="F150" i="25"/>
  <c r="E150" i="25"/>
  <c r="V149" i="25"/>
  <c r="U149" i="25"/>
  <c r="T149" i="25"/>
  <c r="S149" i="25"/>
  <c r="R149" i="25"/>
  <c r="Q149" i="25"/>
  <c r="P149" i="25"/>
  <c r="O149" i="25"/>
  <c r="N149" i="25"/>
  <c r="M149" i="25"/>
  <c r="L149" i="25"/>
  <c r="K149" i="25"/>
  <c r="J149" i="25"/>
  <c r="I149" i="25"/>
  <c r="H149" i="25"/>
  <c r="G149" i="25"/>
  <c r="F149" i="25"/>
  <c r="E149" i="25"/>
  <c r="V148" i="25"/>
  <c r="U148" i="25"/>
  <c r="T148" i="25"/>
  <c r="S148" i="25"/>
  <c r="R148" i="25"/>
  <c r="Q148" i="25"/>
  <c r="P148" i="25"/>
  <c r="O148" i="25"/>
  <c r="N148" i="25"/>
  <c r="M148" i="25"/>
  <c r="L148" i="25"/>
  <c r="K148" i="25"/>
  <c r="J148" i="25"/>
  <c r="I148" i="25"/>
  <c r="H148" i="25"/>
  <c r="G148" i="25"/>
  <c r="F148" i="25"/>
  <c r="E148" i="25"/>
  <c r="V147" i="25"/>
  <c r="U147" i="25"/>
  <c r="T147" i="25"/>
  <c r="S147" i="25"/>
  <c r="R147" i="25"/>
  <c r="Q147" i="25"/>
  <c r="P147" i="25"/>
  <c r="O147" i="25"/>
  <c r="N147" i="25"/>
  <c r="M147" i="25"/>
  <c r="L147" i="25"/>
  <c r="K147" i="25"/>
  <c r="J147" i="25"/>
  <c r="I147" i="25"/>
  <c r="H147" i="25"/>
  <c r="G147" i="25"/>
  <c r="F147" i="25"/>
  <c r="E147" i="25"/>
  <c r="V146" i="25"/>
  <c r="U146" i="25"/>
  <c r="T146" i="25"/>
  <c r="S146" i="25"/>
  <c r="R146" i="25"/>
  <c r="Q146" i="25"/>
  <c r="P146" i="25"/>
  <c r="O146" i="25"/>
  <c r="N146" i="25"/>
  <c r="M146" i="25"/>
  <c r="L146" i="25"/>
  <c r="K146" i="25"/>
  <c r="J146" i="25"/>
  <c r="I146" i="25"/>
  <c r="H146" i="25"/>
  <c r="G146" i="25"/>
  <c r="F146" i="25"/>
  <c r="E146" i="25"/>
  <c r="V145" i="25"/>
  <c r="U145" i="25"/>
  <c r="T145" i="25"/>
  <c r="S145" i="25"/>
  <c r="R145" i="25"/>
  <c r="Q145" i="25"/>
  <c r="P145" i="25"/>
  <c r="O145" i="25"/>
  <c r="N145" i="25"/>
  <c r="M145" i="25"/>
  <c r="L145" i="25"/>
  <c r="K145" i="25"/>
  <c r="J145" i="25"/>
  <c r="I145" i="25"/>
  <c r="H145" i="25"/>
  <c r="G145" i="25"/>
  <c r="F145" i="25"/>
  <c r="E145" i="25"/>
  <c r="V144" i="25"/>
  <c r="U144" i="25"/>
  <c r="T144" i="25"/>
  <c r="S144" i="25"/>
  <c r="R144" i="25"/>
  <c r="Q144" i="25"/>
  <c r="P144" i="25"/>
  <c r="O144" i="25"/>
  <c r="N144" i="25"/>
  <c r="M144" i="25"/>
  <c r="L144" i="25"/>
  <c r="K144" i="25"/>
  <c r="J144" i="25"/>
  <c r="I144" i="25"/>
  <c r="H144" i="25"/>
  <c r="G144" i="25"/>
  <c r="F144" i="25"/>
  <c r="E144" i="25"/>
  <c r="V143" i="25"/>
  <c r="U143" i="25"/>
  <c r="T143" i="25"/>
  <c r="S143" i="25"/>
  <c r="R143" i="25"/>
  <c r="Q143" i="25"/>
  <c r="P143" i="25"/>
  <c r="O143" i="25"/>
  <c r="N143" i="25"/>
  <c r="M143" i="25"/>
  <c r="L143" i="25"/>
  <c r="K143" i="25"/>
  <c r="J143" i="25"/>
  <c r="I143" i="25"/>
  <c r="H143" i="25"/>
  <c r="G143" i="25"/>
  <c r="F143" i="25"/>
  <c r="E143" i="25"/>
  <c r="V142" i="25"/>
  <c r="U142" i="25"/>
  <c r="T142" i="25"/>
  <c r="S142" i="25"/>
  <c r="R142" i="25"/>
  <c r="Q142" i="25"/>
  <c r="P142" i="25"/>
  <c r="O142" i="25"/>
  <c r="N142" i="25"/>
  <c r="M142" i="25"/>
  <c r="L142" i="25"/>
  <c r="K142" i="25"/>
  <c r="J142" i="25"/>
  <c r="I142" i="25"/>
  <c r="H142" i="25"/>
  <c r="G142" i="25"/>
  <c r="F142" i="25"/>
  <c r="E142" i="25"/>
  <c r="V141" i="25"/>
  <c r="U141" i="25"/>
  <c r="T141" i="25"/>
  <c r="S141" i="25"/>
  <c r="R141" i="25"/>
  <c r="Q141" i="25"/>
  <c r="P141" i="25"/>
  <c r="O141" i="25"/>
  <c r="N141" i="25"/>
  <c r="M141" i="25"/>
  <c r="L141" i="25"/>
  <c r="K141" i="25"/>
  <c r="J141" i="25"/>
  <c r="I141" i="25"/>
  <c r="H141" i="25"/>
  <c r="G141" i="25"/>
  <c r="F141" i="25"/>
  <c r="E141" i="25"/>
  <c r="V140" i="25"/>
  <c r="U140" i="25"/>
  <c r="T140" i="25"/>
  <c r="S140" i="25"/>
  <c r="R140" i="25"/>
  <c r="Q140" i="25"/>
  <c r="P140" i="25"/>
  <c r="O140" i="25"/>
  <c r="N140" i="25"/>
  <c r="M140" i="25"/>
  <c r="L140" i="25"/>
  <c r="K140" i="25"/>
  <c r="J140" i="25"/>
  <c r="I140" i="25"/>
  <c r="H140" i="25"/>
  <c r="G140" i="25"/>
  <c r="F140" i="25"/>
  <c r="E140" i="25"/>
  <c r="V139" i="25"/>
  <c r="U139" i="25"/>
  <c r="T139" i="25"/>
  <c r="S139" i="25"/>
  <c r="R139" i="25"/>
  <c r="Q139" i="25"/>
  <c r="P139" i="25"/>
  <c r="O139" i="25"/>
  <c r="N139" i="25"/>
  <c r="M139" i="25"/>
  <c r="L139" i="25"/>
  <c r="K139" i="25"/>
  <c r="J139" i="25"/>
  <c r="I139" i="25"/>
  <c r="H139" i="25"/>
  <c r="G139" i="25"/>
  <c r="F139" i="25"/>
  <c r="E139" i="25"/>
  <c r="V138" i="25"/>
  <c r="U138" i="25"/>
  <c r="T138" i="25"/>
  <c r="S138" i="25"/>
  <c r="R138" i="25"/>
  <c r="Q138" i="25"/>
  <c r="P138" i="25"/>
  <c r="O138" i="25"/>
  <c r="N138" i="25"/>
  <c r="M138" i="25"/>
  <c r="L138" i="25"/>
  <c r="K138" i="25"/>
  <c r="J138" i="25"/>
  <c r="I138" i="25"/>
  <c r="H138" i="25"/>
  <c r="G138" i="25"/>
  <c r="F138" i="25"/>
  <c r="E138" i="25"/>
  <c r="V137" i="25"/>
  <c r="U137" i="25"/>
  <c r="T137" i="25"/>
  <c r="S137" i="25"/>
  <c r="R137" i="25"/>
  <c r="Q137" i="25"/>
  <c r="P137" i="25"/>
  <c r="O137" i="25"/>
  <c r="N137" i="25"/>
  <c r="M137" i="25"/>
  <c r="L137" i="25"/>
  <c r="K137" i="25"/>
  <c r="J137" i="25"/>
  <c r="I137" i="25"/>
  <c r="H137" i="25"/>
  <c r="G137" i="25"/>
  <c r="F137" i="25"/>
  <c r="E137" i="25"/>
  <c r="V136" i="25"/>
  <c r="U136" i="25"/>
  <c r="T136" i="25"/>
  <c r="S136" i="25"/>
  <c r="R136" i="25"/>
  <c r="Q136" i="25"/>
  <c r="P136" i="25"/>
  <c r="O136" i="25"/>
  <c r="N136" i="25"/>
  <c r="M136" i="25"/>
  <c r="L136" i="25"/>
  <c r="K136" i="25"/>
  <c r="J136" i="25"/>
  <c r="I136" i="25"/>
  <c r="H136" i="25"/>
  <c r="G136" i="25"/>
  <c r="F136" i="25"/>
  <c r="E136" i="25"/>
  <c r="V135" i="25"/>
  <c r="U135" i="25"/>
  <c r="T135" i="25"/>
  <c r="S135" i="25"/>
  <c r="R135" i="25"/>
  <c r="Q135" i="25"/>
  <c r="P135" i="25"/>
  <c r="O135" i="25"/>
  <c r="N135" i="25"/>
  <c r="M135" i="25"/>
  <c r="L135" i="25"/>
  <c r="K135" i="25"/>
  <c r="J135" i="25"/>
  <c r="I135" i="25"/>
  <c r="H135" i="25"/>
  <c r="G135" i="25"/>
  <c r="F135" i="25"/>
  <c r="E135" i="25"/>
  <c r="V134" i="25"/>
  <c r="U134" i="25"/>
  <c r="T134" i="25"/>
  <c r="S134" i="25"/>
  <c r="R134" i="25"/>
  <c r="Q134" i="25"/>
  <c r="P134" i="25"/>
  <c r="O134" i="25"/>
  <c r="N134" i="25"/>
  <c r="M134" i="25"/>
  <c r="L134" i="25"/>
  <c r="K134" i="25"/>
  <c r="J134" i="25"/>
  <c r="I134" i="25"/>
  <c r="H134" i="25"/>
  <c r="G134" i="25"/>
  <c r="F134" i="25"/>
  <c r="E134" i="25"/>
  <c r="V133" i="25"/>
  <c r="U133" i="25"/>
  <c r="T133" i="25"/>
  <c r="S133" i="25"/>
  <c r="R133" i="25"/>
  <c r="Q133" i="25"/>
  <c r="P133" i="25"/>
  <c r="O133" i="25"/>
  <c r="N133" i="25"/>
  <c r="M133" i="25"/>
  <c r="L133" i="25"/>
  <c r="K133" i="25"/>
  <c r="J133" i="25"/>
  <c r="I133" i="25"/>
  <c r="H133" i="25"/>
  <c r="G133" i="25"/>
  <c r="F133" i="25"/>
  <c r="E133" i="25"/>
  <c r="V132" i="25"/>
  <c r="U132" i="25"/>
  <c r="T132" i="25"/>
  <c r="S132" i="25"/>
  <c r="R132" i="25"/>
  <c r="Q132" i="25"/>
  <c r="P132" i="25"/>
  <c r="O132" i="25"/>
  <c r="N132" i="25"/>
  <c r="M132" i="25"/>
  <c r="L132" i="25"/>
  <c r="K132" i="25"/>
  <c r="J132" i="25"/>
  <c r="I132" i="25"/>
  <c r="H132" i="25"/>
  <c r="G132" i="25"/>
  <c r="F132" i="25"/>
  <c r="E132" i="25"/>
  <c r="V131" i="25"/>
  <c r="U131" i="25"/>
  <c r="T131" i="25"/>
  <c r="S131" i="25"/>
  <c r="R131" i="25"/>
  <c r="Q131" i="25"/>
  <c r="P131" i="25"/>
  <c r="O131" i="25"/>
  <c r="N131" i="25"/>
  <c r="M131" i="25"/>
  <c r="L131" i="25"/>
  <c r="K131" i="25"/>
  <c r="J131" i="25"/>
  <c r="I131" i="25"/>
  <c r="H131" i="25"/>
  <c r="G131" i="25"/>
  <c r="F131" i="25"/>
  <c r="E131" i="25"/>
  <c r="V130" i="25"/>
  <c r="U130" i="25"/>
  <c r="T130" i="25"/>
  <c r="S130" i="25"/>
  <c r="R130" i="25"/>
  <c r="Q130" i="25"/>
  <c r="P130" i="25"/>
  <c r="O130" i="25"/>
  <c r="N130" i="25"/>
  <c r="M130" i="25"/>
  <c r="L130" i="25"/>
  <c r="K130" i="25"/>
  <c r="J130" i="25"/>
  <c r="I130" i="25"/>
  <c r="H130" i="25"/>
  <c r="G130" i="25"/>
  <c r="F130" i="25"/>
  <c r="E130" i="25"/>
  <c r="V129" i="25"/>
  <c r="U129" i="25"/>
  <c r="T129" i="25"/>
  <c r="S129" i="25"/>
  <c r="R129" i="25"/>
  <c r="Q129" i="25"/>
  <c r="P129" i="25"/>
  <c r="O129" i="25"/>
  <c r="N129" i="25"/>
  <c r="M129" i="25"/>
  <c r="L129" i="25"/>
  <c r="K129" i="25"/>
  <c r="J129" i="25"/>
  <c r="I129" i="25"/>
  <c r="H129" i="25"/>
  <c r="G129" i="25"/>
  <c r="F129" i="25"/>
  <c r="E129" i="25"/>
  <c r="V128" i="25"/>
  <c r="U128" i="25"/>
  <c r="T128" i="25"/>
  <c r="S128" i="25"/>
  <c r="R128" i="25"/>
  <c r="Q128" i="25"/>
  <c r="P128" i="25"/>
  <c r="O128" i="25"/>
  <c r="N128" i="25"/>
  <c r="M128" i="25"/>
  <c r="L128" i="25"/>
  <c r="K128" i="25"/>
  <c r="J128" i="25"/>
  <c r="I128" i="25"/>
  <c r="H128" i="25"/>
  <c r="G128" i="25"/>
  <c r="F128" i="25"/>
  <c r="E128" i="25"/>
  <c r="V127" i="25"/>
  <c r="U127" i="25"/>
  <c r="T127" i="25"/>
  <c r="S127" i="25"/>
  <c r="R127" i="25"/>
  <c r="Q127" i="25"/>
  <c r="P127" i="25"/>
  <c r="O127" i="25"/>
  <c r="N127" i="25"/>
  <c r="M127" i="25"/>
  <c r="L127" i="25"/>
  <c r="K127" i="25"/>
  <c r="J127" i="25"/>
  <c r="I127" i="25"/>
  <c r="H127" i="25"/>
  <c r="G127" i="25"/>
  <c r="F127" i="25"/>
  <c r="E127" i="25"/>
  <c r="V126" i="25"/>
  <c r="U126" i="25"/>
  <c r="T126" i="25"/>
  <c r="S126" i="25"/>
  <c r="R126" i="25"/>
  <c r="Q126" i="25"/>
  <c r="P126" i="25"/>
  <c r="O126" i="25"/>
  <c r="N126" i="25"/>
  <c r="M126" i="25"/>
  <c r="L126" i="25"/>
  <c r="K126" i="25"/>
  <c r="J126" i="25"/>
  <c r="I126" i="25"/>
  <c r="H126" i="25"/>
  <c r="G126" i="25"/>
  <c r="F126" i="25"/>
  <c r="E126" i="25"/>
  <c r="V125" i="25"/>
  <c r="U125" i="25"/>
  <c r="T125" i="25"/>
  <c r="S125" i="25"/>
  <c r="R125" i="25"/>
  <c r="Q125" i="25"/>
  <c r="P125" i="25"/>
  <c r="O125" i="25"/>
  <c r="N125" i="25"/>
  <c r="M125" i="25"/>
  <c r="L125" i="25"/>
  <c r="K125" i="25"/>
  <c r="J125" i="25"/>
  <c r="I125" i="25"/>
  <c r="H125" i="25"/>
  <c r="G125" i="25"/>
  <c r="F125" i="25"/>
  <c r="E125" i="25"/>
  <c r="V124" i="25"/>
  <c r="U124" i="25"/>
  <c r="T124" i="25"/>
  <c r="S124" i="25"/>
  <c r="R124" i="25"/>
  <c r="Q124" i="25"/>
  <c r="P124" i="25"/>
  <c r="O124" i="25"/>
  <c r="N124" i="25"/>
  <c r="M124" i="25"/>
  <c r="L124" i="25"/>
  <c r="K124" i="25"/>
  <c r="J124" i="25"/>
  <c r="I124" i="25"/>
  <c r="H124" i="25"/>
  <c r="G124" i="25"/>
  <c r="F124" i="25"/>
  <c r="E124" i="25"/>
  <c r="V123" i="25"/>
  <c r="U123" i="25"/>
  <c r="T123" i="25"/>
  <c r="S123" i="25"/>
  <c r="R123" i="25"/>
  <c r="Q123" i="25"/>
  <c r="P123" i="25"/>
  <c r="O123" i="25"/>
  <c r="N123" i="25"/>
  <c r="M123" i="25"/>
  <c r="L123" i="25"/>
  <c r="K123" i="25"/>
  <c r="J123" i="25"/>
  <c r="I123" i="25"/>
  <c r="H123" i="25"/>
  <c r="G123" i="25"/>
  <c r="F123" i="25"/>
  <c r="E123" i="25"/>
  <c r="V122" i="25"/>
  <c r="U122" i="25"/>
  <c r="T122" i="25"/>
  <c r="S122" i="25"/>
  <c r="R122" i="25"/>
  <c r="Q122" i="25"/>
  <c r="P122" i="25"/>
  <c r="O122" i="25"/>
  <c r="N122" i="25"/>
  <c r="M122" i="25"/>
  <c r="L122" i="25"/>
  <c r="K122" i="25"/>
  <c r="J122" i="25"/>
  <c r="I122" i="25"/>
  <c r="H122" i="25"/>
  <c r="G122" i="25"/>
  <c r="F122" i="25"/>
  <c r="E122" i="25"/>
  <c r="V121" i="25"/>
  <c r="U121" i="25"/>
  <c r="T121" i="25"/>
  <c r="S121" i="25"/>
  <c r="R121" i="25"/>
  <c r="Q121" i="25"/>
  <c r="P121" i="25"/>
  <c r="O121" i="25"/>
  <c r="N121" i="25"/>
  <c r="M121" i="25"/>
  <c r="L121" i="25"/>
  <c r="K121" i="25"/>
  <c r="J121" i="25"/>
  <c r="I121" i="25"/>
  <c r="H121" i="25"/>
  <c r="G121" i="25"/>
  <c r="F121" i="25"/>
  <c r="E121" i="25"/>
  <c r="V120" i="25"/>
  <c r="U120" i="25"/>
  <c r="T120" i="25"/>
  <c r="S120" i="25"/>
  <c r="R120" i="25"/>
  <c r="Q120" i="25"/>
  <c r="P120" i="25"/>
  <c r="O120" i="25"/>
  <c r="N120" i="25"/>
  <c r="M120" i="25"/>
  <c r="L120" i="25"/>
  <c r="K120" i="25"/>
  <c r="J120" i="25"/>
  <c r="I120" i="25"/>
  <c r="H120" i="25"/>
  <c r="G120" i="25"/>
  <c r="F120" i="25"/>
  <c r="E120" i="25"/>
  <c r="V119" i="25"/>
  <c r="U119" i="25"/>
  <c r="T119" i="25"/>
  <c r="S119" i="25"/>
  <c r="R119" i="25"/>
  <c r="Q119" i="25"/>
  <c r="P119" i="25"/>
  <c r="O119" i="25"/>
  <c r="N119" i="25"/>
  <c r="M119" i="25"/>
  <c r="L119" i="25"/>
  <c r="K119" i="25"/>
  <c r="J119" i="25"/>
  <c r="I119" i="25"/>
  <c r="H119" i="25"/>
  <c r="G119" i="25"/>
  <c r="F119" i="25"/>
  <c r="E119" i="25"/>
  <c r="V118" i="25"/>
  <c r="U118" i="25"/>
  <c r="T118" i="25"/>
  <c r="S118" i="25"/>
  <c r="R118" i="25"/>
  <c r="Q118" i="25"/>
  <c r="P118" i="25"/>
  <c r="O118" i="25"/>
  <c r="N118" i="25"/>
  <c r="M118" i="25"/>
  <c r="L118" i="25"/>
  <c r="K118" i="25"/>
  <c r="J118" i="25"/>
  <c r="I118" i="25"/>
  <c r="H118" i="25"/>
  <c r="G118" i="25"/>
  <c r="F118" i="25"/>
  <c r="E118" i="25"/>
  <c r="V117" i="25"/>
  <c r="U117" i="25"/>
  <c r="T117" i="25"/>
  <c r="S117" i="25"/>
  <c r="R117" i="25"/>
  <c r="Q117" i="25"/>
  <c r="P117" i="25"/>
  <c r="O117" i="25"/>
  <c r="N117" i="25"/>
  <c r="M117" i="25"/>
  <c r="L117" i="25"/>
  <c r="K117" i="25"/>
  <c r="J117" i="25"/>
  <c r="I117" i="25"/>
  <c r="H117" i="25"/>
  <c r="G117" i="25"/>
  <c r="F117" i="25"/>
  <c r="E117" i="25"/>
  <c r="V116" i="25"/>
  <c r="U116" i="25"/>
  <c r="T116" i="25"/>
  <c r="S116" i="25"/>
  <c r="R116" i="25"/>
  <c r="Q116" i="25"/>
  <c r="P116" i="25"/>
  <c r="O116" i="25"/>
  <c r="N116" i="25"/>
  <c r="M116" i="25"/>
  <c r="L116" i="25"/>
  <c r="K116" i="25"/>
  <c r="J116" i="25"/>
  <c r="I116" i="25"/>
  <c r="H116" i="25"/>
  <c r="G116" i="25"/>
  <c r="F116" i="25"/>
  <c r="E116" i="25"/>
  <c r="V115" i="25"/>
  <c r="U115" i="25"/>
  <c r="T115" i="25"/>
  <c r="S115" i="25"/>
  <c r="R115" i="25"/>
  <c r="Q115" i="25"/>
  <c r="P115" i="25"/>
  <c r="O115" i="25"/>
  <c r="N115" i="25"/>
  <c r="M115" i="25"/>
  <c r="L115" i="25"/>
  <c r="K115" i="25"/>
  <c r="J115" i="25"/>
  <c r="I115" i="25"/>
  <c r="H115" i="25"/>
  <c r="G115" i="25"/>
  <c r="F115" i="25"/>
  <c r="E115" i="25"/>
  <c r="V114" i="25"/>
  <c r="U114" i="25"/>
  <c r="T114" i="25"/>
  <c r="S114" i="25"/>
  <c r="R114" i="25"/>
  <c r="Q114" i="25"/>
  <c r="P114" i="25"/>
  <c r="O114" i="25"/>
  <c r="N114" i="25"/>
  <c r="M114" i="25"/>
  <c r="L114" i="25"/>
  <c r="K114" i="25"/>
  <c r="J114" i="25"/>
  <c r="I114" i="25"/>
  <c r="H114" i="25"/>
  <c r="G114" i="25"/>
  <c r="F114" i="25"/>
  <c r="E114" i="25"/>
  <c r="V113" i="25"/>
  <c r="U113" i="25"/>
  <c r="T113" i="25"/>
  <c r="S113" i="25"/>
  <c r="R113" i="25"/>
  <c r="Q113" i="25"/>
  <c r="P113" i="25"/>
  <c r="O113" i="25"/>
  <c r="N113" i="25"/>
  <c r="M113" i="25"/>
  <c r="L113" i="25"/>
  <c r="K113" i="25"/>
  <c r="J113" i="25"/>
  <c r="I113" i="25"/>
  <c r="H113" i="25"/>
  <c r="G113" i="25"/>
  <c r="F113" i="25"/>
  <c r="E113" i="25"/>
  <c r="V112" i="25"/>
  <c r="U112" i="25"/>
  <c r="T112" i="25"/>
  <c r="S112" i="25"/>
  <c r="R112" i="25"/>
  <c r="Q112" i="25"/>
  <c r="P112" i="25"/>
  <c r="O112" i="25"/>
  <c r="N112" i="25"/>
  <c r="M112" i="25"/>
  <c r="L112" i="25"/>
  <c r="K112" i="25"/>
  <c r="J112" i="25"/>
  <c r="I112" i="25"/>
  <c r="H112" i="25"/>
  <c r="G112" i="25"/>
  <c r="F112" i="25"/>
  <c r="E112" i="25"/>
  <c r="V111" i="25"/>
  <c r="U111" i="25"/>
  <c r="T111" i="25"/>
  <c r="S111" i="25"/>
  <c r="R111" i="25"/>
  <c r="Q111" i="25"/>
  <c r="P111" i="25"/>
  <c r="O111" i="25"/>
  <c r="N111" i="25"/>
  <c r="M111" i="25"/>
  <c r="L111" i="25"/>
  <c r="K111" i="25"/>
  <c r="J111" i="25"/>
  <c r="I111" i="25"/>
  <c r="H111" i="25"/>
  <c r="G111" i="25"/>
  <c r="F111" i="25"/>
  <c r="E111" i="25"/>
  <c r="V110" i="25"/>
  <c r="U110" i="25"/>
  <c r="T110" i="25"/>
  <c r="S110" i="25"/>
  <c r="R110" i="25"/>
  <c r="Q110" i="25"/>
  <c r="P110" i="25"/>
  <c r="O110" i="25"/>
  <c r="N110" i="25"/>
  <c r="M110" i="25"/>
  <c r="L110" i="25"/>
  <c r="K110" i="25"/>
  <c r="J110" i="25"/>
  <c r="I110" i="25"/>
  <c r="H110" i="25"/>
  <c r="G110" i="25"/>
  <c r="F110" i="25"/>
  <c r="E110" i="25"/>
  <c r="V109" i="25"/>
  <c r="U109" i="25"/>
  <c r="T109" i="25"/>
  <c r="S109" i="25"/>
  <c r="R109" i="25"/>
  <c r="Q109" i="25"/>
  <c r="P109" i="25"/>
  <c r="O109" i="25"/>
  <c r="N109" i="25"/>
  <c r="M109" i="25"/>
  <c r="L109" i="25"/>
  <c r="K109" i="25"/>
  <c r="J109" i="25"/>
  <c r="I109" i="25"/>
  <c r="H109" i="25"/>
  <c r="G109" i="25"/>
  <c r="F109" i="25"/>
  <c r="E109" i="25"/>
  <c r="V108" i="25"/>
  <c r="U108" i="25"/>
  <c r="T108" i="25"/>
  <c r="S108" i="25"/>
  <c r="R108" i="25"/>
  <c r="Q108" i="25"/>
  <c r="P108" i="25"/>
  <c r="O108" i="25"/>
  <c r="N108" i="25"/>
  <c r="M108" i="25"/>
  <c r="L108" i="25"/>
  <c r="K108" i="25"/>
  <c r="J108" i="25"/>
  <c r="I108" i="25"/>
  <c r="H108" i="25"/>
  <c r="G108" i="25"/>
  <c r="F108" i="25"/>
  <c r="E108" i="25"/>
  <c r="V107" i="25"/>
  <c r="U107" i="25"/>
  <c r="T107" i="25"/>
  <c r="S107" i="25"/>
  <c r="R107" i="25"/>
  <c r="Q107" i="25"/>
  <c r="P107" i="25"/>
  <c r="O107" i="25"/>
  <c r="N107" i="25"/>
  <c r="M107" i="25"/>
  <c r="L107" i="25"/>
  <c r="K107" i="25"/>
  <c r="J107" i="25"/>
  <c r="I107" i="25"/>
  <c r="H107" i="25"/>
  <c r="G107" i="25"/>
  <c r="F107" i="25"/>
  <c r="E107" i="25"/>
  <c r="V106" i="25"/>
  <c r="U106" i="25"/>
  <c r="T106" i="25"/>
  <c r="S106" i="25"/>
  <c r="R106" i="25"/>
  <c r="Q106" i="25"/>
  <c r="P106" i="25"/>
  <c r="O106" i="25"/>
  <c r="N106" i="25"/>
  <c r="M106" i="25"/>
  <c r="L106" i="25"/>
  <c r="K106" i="25"/>
  <c r="J106" i="25"/>
  <c r="I106" i="25"/>
  <c r="H106" i="25"/>
  <c r="G106" i="25"/>
  <c r="F106" i="25"/>
  <c r="E106" i="25"/>
  <c r="V105" i="25"/>
  <c r="U105" i="25"/>
  <c r="T105" i="25"/>
  <c r="S105" i="25"/>
  <c r="R105" i="25"/>
  <c r="Q105" i="25"/>
  <c r="P105" i="25"/>
  <c r="O105" i="25"/>
  <c r="N105" i="25"/>
  <c r="M105" i="25"/>
  <c r="L105" i="25"/>
  <c r="K105" i="25"/>
  <c r="J105" i="25"/>
  <c r="I105" i="25"/>
  <c r="H105" i="25"/>
  <c r="G105" i="25"/>
  <c r="F105" i="25"/>
  <c r="E105" i="25"/>
  <c r="V104" i="25"/>
  <c r="U104" i="25"/>
  <c r="T104" i="25"/>
  <c r="S104" i="25"/>
  <c r="R104" i="25"/>
  <c r="Q104" i="25"/>
  <c r="P104" i="25"/>
  <c r="O104" i="25"/>
  <c r="N104" i="25"/>
  <c r="M104" i="25"/>
  <c r="L104" i="25"/>
  <c r="K104" i="25"/>
  <c r="J104" i="25"/>
  <c r="I104" i="25"/>
  <c r="H104" i="25"/>
  <c r="G104" i="25"/>
  <c r="F104" i="25"/>
  <c r="E104" i="25"/>
  <c r="V103" i="25"/>
  <c r="U103" i="25"/>
  <c r="T103" i="25"/>
  <c r="S103" i="25"/>
  <c r="R103" i="25"/>
  <c r="Q103" i="25"/>
  <c r="P103" i="25"/>
  <c r="O103" i="25"/>
  <c r="N103" i="25"/>
  <c r="M103" i="25"/>
  <c r="L103" i="25"/>
  <c r="K103" i="25"/>
  <c r="J103" i="25"/>
  <c r="I103" i="25"/>
  <c r="H103" i="25"/>
  <c r="G103" i="25"/>
  <c r="F103" i="25"/>
  <c r="E103" i="25"/>
  <c r="V102" i="25"/>
  <c r="U102" i="25"/>
  <c r="T102" i="25"/>
  <c r="S102" i="25"/>
  <c r="R102" i="25"/>
  <c r="Q102" i="25"/>
  <c r="P102" i="25"/>
  <c r="O102" i="25"/>
  <c r="N102" i="25"/>
  <c r="M102" i="25"/>
  <c r="L102" i="25"/>
  <c r="K102" i="25"/>
  <c r="J102" i="25"/>
  <c r="I102" i="25"/>
  <c r="H102" i="25"/>
  <c r="G102" i="25"/>
  <c r="F102" i="25"/>
  <c r="E102" i="25"/>
  <c r="V101" i="25"/>
  <c r="U101" i="25"/>
  <c r="T101" i="25"/>
  <c r="S101" i="25"/>
  <c r="R101" i="25"/>
  <c r="Q101" i="25"/>
  <c r="P101" i="25"/>
  <c r="O101" i="25"/>
  <c r="N101" i="25"/>
  <c r="M101" i="25"/>
  <c r="L101" i="25"/>
  <c r="K101" i="25"/>
  <c r="J101" i="25"/>
  <c r="I101" i="25"/>
  <c r="H101" i="25"/>
  <c r="G101" i="25"/>
  <c r="F101" i="25"/>
  <c r="E101" i="25"/>
  <c r="V100" i="25"/>
  <c r="U100" i="25"/>
  <c r="T100" i="25"/>
  <c r="S100" i="25"/>
  <c r="R100" i="25"/>
  <c r="Q100" i="25"/>
  <c r="P100" i="25"/>
  <c r="O100" i="25"/>
  <c r="N100" i="25"/>
  <c r="M100" i="25"/>
  <c r="L100" i="25"/>
  <c r="K100" i="25"/>
  <c r="J100" i="25"/>
  <c r="I100" i="25"/>
  <c r="H100" i="25"/>
  <c r="G100" i="25"/>
  <c r="F100" i="25"/>
  <c r="E100" i="25"/>
  <c r="V99" i="25"/>
  <c r="U99" i="25"/>
  <c r="T99" i="25"/>
  <c r="S99" i="25"/>
  <c r="R99" i="25"/>
  <c r="Q99" i="25"/>
  <c r="P99" i="25"/>
  <c r="O99" i="25"/>
  <c r="N99" i="25"/>
  <c r="M99" i="25"/>
  <c r="L99" i="25"/>
  <c r="K99" i="25"/>
  <c r="J99" i="25"/>
  <c r="I99" i="25"/>
  <c r="H99" i="25"/>
  <c r="G99" i="25"/>
  <c r="F99" i="25"/>
  <c r="E99" i="25"/>
  <c r="V98" i="25"/>
  <c r="U98" i="25"/>
  <c r="T98" i="25"/>
  <c r="S98" i="25"/>
  <c r="R98" i="25"/>
  <c r="Q98" i="25"/>
  <c r="P98" i="25"/>
  <c r="O98" i="25"/>
  <c r="N98" i="25"/>
  <c r="M98" i="25"/>
  <c r="L98" i="25"/>
  <c r="K98" i="25"/>
  <c r="J98" i="25"/>
  <c r="I98" i="25"/>
  <c r="H98" i="25"/>
  <c r="G98" i="25"/>
  <c r="F98" i="25"/>
  <c r="E98" i="25"/>
  <c r="V97" i="25"/>
  <c r="U97" i="25"/>
  <c r="T97" i="25"/>
  <c r="S97" i="25"/>
  <c r="R97" i="25"/>
  <c r="Q97" i="25"/>
  <c r="P97" i="25"/>
  <c r="O97" i="25"/>
  <c r="N97" i="25"/>
  <c r="M97" i="25"/>
  <c r="L97" i="25"/>
  <c r="K97" i="25"/>
  <c r="J97" i="25"/>
  <c r="I97" i="25"/>
  <c r="H97" i="25"/>
  <c r="G97" i="25"/>
  <c r="F97" i="25"/>
  <c r="E97" i="25"/>
  <c r="V96" i="25"/>
  <c r="U96" i="25"/>
  <c r="T96" i="25"/>
  <c r="S96" i="25"/>
  <c r="R96" i="25"/>
  <c r="Q96" i="25"/>
  <c r="P96" i="25"/>
  <c r="O96" i="25"/>
  <c r="N96" i="25"/>
  <c r="M96" i="25"/>
  <c r="L96" i="25"/>
  <c r="K96" i="25"/>
  <c r="J96" i="25"/>
  <c r="I96" i="25"/>
  <c r="H96" i="25"/>
  <c r="G96" i="25"/>
  <c r="F96" i="25"/>
  <c r="E96" i="25"/>
  <c r="V95" i="25"/>
  <c r="U95" i="25"/>
  <c r="T95" i="25"/>
  <c r="S95" i="25"/>
  <c r="R95" i="25"/>
  <c r="Q95" i="25"/>
  <c r="P95" i="25"/>
  <c r="O95" i="25"/>
  <c r="N95" i="25"/>
  <c r="M95" i="25"/>
  <c r="L95" i="25"/>
  <c r="K95" i="25"/>
  <c r="J95" i="25"/>
  <c r="I95" i="25"/>
  <c r="H95" i="25"/>
  <c r="G95" i="25"/>
  <c r="F95" i="25"/>
  <c r="E95" i="25"/>
  <c r="V94" i="25"/>
  <c r="U94" i="25"/>
  <c r="T94" i="25"/>
  <c r="S94" i="25"/>
  <c r="R94" i="25"/>
  <c r="Q94" i="25"/>
  <c r="P94" i="25"/>
  <c r="O94" i="25"/>
  <c r="N94" i="25"/>
  <c r="M94" i="25"/>
  <c r="L94" i="25"/>
  <c r="K94" i="25"/>
  <c r="J94" i="25"/>
  <c r="I94" i="25"/>
  <c r="H94" i="25"/>
  <c r="G94" i="25"/>
  <c r="F94" i="25"/>
  <c r="E94" i="25"/>
  <c r="V93" i="25"/>
  <c r="U93" i="25"/>
  <c r="T93" i="25"/>
  <c r="S93" i="25"/>
  <c r="R93" i="25"/>
  <c r="Q93" i="25"/>
  <c r="P93" i="25"/>
  <c r="O93" i="25"/>
  <c r="N93" i="25"/>
  <c r="M93" i="25"/>
  <c r="L93" i="25"/>
  <c r="K93" i="25"/>
  <c r="J93" i="25"/>
  <c r="I93" i="25"/>
  <c r="H93" i="25"/>
  <c r="G93" i="25"/>
  <c r="F93" i="25"/>
  <c r="E93" i="25"/>
  <c r="V92" i="25"/>
  <c r="U92" i="25"/>
  <c r="T92" i="25"/>
  <c r="S92" i="25"/>
  <c r="R92" i="25"/>
  <c r="Q92" i="25"/>
  <c r="P92" i="25"/>
  <c r="O92" i="25"/>
  <c r="N92" i="25"/>
  <c r="M92" i="25"/>
  <c r="L92" i="25"/>
  <c r="K92" i="25"/>
  <c r="J92" i="25"/>
  <c r="I92" i="25"/>
  <c r="H92" i="25"/>
  <c r="G92" i="25"/>
  <c r="F92" i="25"/>
  <c r="E92" i="25"/>
  <c r="V91" i="25"/>
  <c r="U91" i="25"/>
  <c r="T91" i="25"/>
  <c r="S91" i="25"/>
  <c r="R91" i="25"/>
  <c r="Q91" i="25"/>
  <c r="P91" i="25"/>
  <c r="O91" i="25"/>
  <c r="N91" i="25"/>
  <c r="M91" i="25"/>
  <c r="L91" i="25"/>
  <c r="K91" i="25"/>
  <c r="J91" i="25"/>
  <c r="I91" i="25"/>
  <c r="H91" i="25"/>
  <c r="G91" i="25"/>
  <c r="F91" i="25"/>
  <c r="E91" i="25"/>
  <c r="V90" i="25"/>
  <c r="U90" i="25"/>
  <c r="T90" i="25"/>
  <c r="S90" i="25"/>
  <c r="R90" i="25"/>
  <c r="Q90" i="25"/>
  <c r="P90" i="25"/>
  <c r="O90" i="25"/>
  <c r="N90" i="25"/>
  <c r="M90" i="25"/>
  <c r="L90" i="25"/>
  <c r="K90" i="25"/>
  <c r="J90" i="25"/>
  <c r="I90" i="25"/>
  <c r="H90" i="25"/>
  <c r="G90" i="25"/>
  <c r="F90" i="25"/>
  <c r="E90" i="25"/>
  <c r="V89" i="25"/>
  <c r="U89" i="25"/>
  <c r="T89" i="25"/>
  <c r="S89" i="25"/>
  <c r="R89" i="25"/>
  <c r="Q89" i="25"/>
  <c r="P89" i="25"/>
  <c r="O89" i="25"/>
  <c r="N89" i="25"/>
  <c r="M89" i="25"/>
  <c r="L89" i="25"/>
  <c r="K89" i="25"/>
  <c r="J89" i="25"/>
  <c r="I89" i="25"/>
  <c r="H89" i="25"/>
  <c r="G89" i="25"/>
  <c r="F89" i="25"/>
  <c r="E89" i="25"/>
  <c r="V88" i="25"/>
  <c r="U88" i="25"/>
  <c r="T88" i="25"/>
  <c r="S88" i="25"/>
  <c r="R88" i="25"/>
  <c r="Q88" i="25"/>
  <c r="P88" i="25"/>
  <c r="O88" i="25"/>
  <c r="N88" i="25"/>
  <c r="M88" i="25"/>
  <c r="L88" i="25"/>
  <c r="K88" i="25"/>
  <c r="J88" i="25"/>
  <c r="I88" i="25"/>
  <c r="H88" i="25"/>
  <c r="G88" i="25"/>
  <c r="F88" i="25"/>
  <c r="E88" i="25"/>
  <c r="V87" i="25"/>
  <c r="U87" i="25"/>
  <c r="T87" i="25"/>
  <c r="S87" i="25"/>
  <c r="R87" i="25"/>
  <c r="Q87" i="25"/>
  <c r="P87" i="25"/>
  <c r="O87" i="25"/>
  <c r="N87" i="25"/>
  <c r="M87" i="25"/>
  <c r="L87" i="25"/>
  <c r="K87" i="25"/>
  <c r="J87" i="25"/>
  <c r="I87" i="25"/>
  <c r="H87" i="25"/>
  <c r="G87" i="25"/>
  <c r="F87" i="25"/>
  <c r="E87" i="25"/>
  <c r="V86" i="25"/>
  <c r="U86" i="25"/>
  <c r="T86" i="25"/>
  <c r="S86" i="25"/>
  <c r="R86" i="25"/>
  <c r="Q86" i="25"/>
  <c r="P86" i="25"/>
  <c r="O86" i="25"/>
  <c r="N86" i="25"/>
  <c r="M86" i="25"/>
  <c r="L86" i="25"/>
  <c r="K86" i="25"/>
  <c r="J86" i="25"/>
  <c r="I86" i="25"/>
  <c r="H86" i="25"/>
  <c r="G86" i="25"/>
  <c r="F86" i="25"/>
  <c r="E86" i="25"/>
  <c r="V85" i="25"/>
  <c r="U85" i="25"/>
  <c r="T85" i="25"/>
  <c r="S85" i="25"/>
  <c r="R85" i="25"/>
  <c r="Q85" i="25"/>
  <c r="P85" i="25"/>
  <c r="O85" i="25"/>
  <c r="N85" i="25"/>
  <c r="M85" i="25"/>
  <c r="L85" i="25"/>
  <c r="K85" i="25"/>
  <c r="J85" i="25"/>
  <c r="I85" i="25"/>
  <c r="H85" i="25"/>
  <c r="G85" i="25"/>
  <c r="F85" i="25"/>
  <c r="E85" i="25"/>
  <c r="V84" i="25"/>
  <c r="U84" i="25"/>
  <c r="T84" i="25"/>
  <c r="S84" i="25"/>
  <c r="R84" i="25"/>
  <c r="Q84" i="25"/>
  <c r="P84" i="25"/>
  <c r="O84" i="25"/>
  <c r="N84" i="25"/>
  <c r="M84" i="25"/>
  <c r="L84" i="25"/>
  <c r="K84" i="25"/>
  <c r="J84" i="25"/>
  <c r="I84" i="25"/>
  <c r="H84" i="25"/>
  <c r="G84" i="25"/>
  <c r="F84" i="25"/>
  <c r="E84" i="25"/>
  <c r="V83" i="25"/>
  <c r="U83" i="25"/>
  <c r="T83" i="25"/>
  <c r="S83" i="25"/>
  <c r="R83" i="25"/>
  <c r="Q83" i="25"/>
  <c r="P83" i="25"/>
  <c r="O83" i="25"/>
  <c r="N83" i="25"/>
  <c r="M83" i="25"/>
  <c r="L83" i="25"/>
  <c r="K83" i="25"/>
  <c r="J83" i="25"/>
  <c r="I83" i="25"/>
  <c r="H83" i="25"/>
  <c r="G83" i="25"/>
  <c r="F83" i="25"/>
  <c r="E83" i="25"/>
  <c r="V82" i="25"/>
  <c r="U82" i="25"/>
  <c r="T82" i="25"/>
  <c r="S82" i="25"/>
  <c r="R82" i="25"/>
  <c r="Q82" i="25"/>
  <c r="P82" i="25"/>
  <c r="O82" i="25"/>
  <c r="N82" i="25"/>
  <c r="M82" i="25"/>
  <c r="L82" i="25"/>
  <c r="K82" i="25"/>
  <c r="J82" i="25"/>
  <c r="I82" i="25"/>
  <c r="H82" i="25"/>
  <c r="G82" i="25"/>
  <c r="F82" i="25"/>
  <c r="E82" i="25"/>
  <c r="V81" i="25"/>
  <c r="U81" i="25"/>
  <c r="T81" i="25"/>
  <c r="S81" i="25"/>
  <c r="R81" i="25"/>
  <c r="Q81" i="25"/>
  <c r="P81" i="25"/>
  <c r="O81" i="25"/>
  <c r="N81" i="25"/>
  <c r="M81" i="25"/>
  <c r="L81" i="25"/>
  <c r="K81" i="25"/>
  <c r="J81" i="25"/>
  <c r="I81" i="25"/>
  <c r="H81" i="25"/>
  <c r="G81" i="25"/>
  <c r="F81" i="25"/>
  <c r="E81" i="25"/>
  <c r="V80" i="25"/>
  <c r="U80" i="25"/>
  <c r="T80" i="25"/>
  <c r="S80" i="25"/>
  <c r="R80" i="25"/>
  <c r="Q80" i="25"/>
  <c r="P80" i="25"/>
  <c r="O80" i="25"/>
  <c r="N80" i="25"/>
  <c r="M80" i="25"/>
  <c r="L80" i="25"/>
  <c r="K80" i="25"/>
  <c r="J80" i="25"/>
  <c r="I80" i="25"/>
  <c r="H80" i="25"/>
  <c r="G80" i="25"/>
  <c r="F80" i="25"/>
  <c r="E80" i="25"/>
  <c r="V79" i="25"/>
  <c r="U79" i="25"/>
  <c r="T79" i="25"/>
  <c r="S79" i="25"/>
  <c r="R79" i="25"/>
  <c r="Q79" i="25"/>
  <c r="P79" i="25"/>
  <c r="O79" i="25"/>
  <c r="N79" i="25"/>
  <c r="M79" i="25"/>
  <c r="L79" i="25"/>
  <c r="K79" i="25"/>
  <c r="J79" i="25"/>
  <c r="I79" i="25"/>
  <c r="H79" i="25"/>
  <c r="G79" i="25"/>
  <c r="F79" i="25"/>
  <c r="E79" i="25"/>
  <c r="V78" i="25"/>
  <c r="U78" i="25"/>
  <c r="T78" i="25"/>
  <c r="S78" i="25"/>
  <c r="R78" i="25"/>
  <c r="Q78" i="25"/>
  <c r="P78" i="25"/>
  <c r="O78" i="25"/>
  <c r="N78" i="25"/>
  <c r="M78" i="25"/>
  <c r="L78" i="25"/>
  <c r="K78" i="25"/>
  <c r="J78" i="25"/>
  <c r="I78" i="25"/>
  <c r="H78" i="25"/>
  <c r="G78" i="25"/>
  <c r="F78" i="25"/>
  <c r="E78" i="25"/>
  <c r="V77" i="25"/>
  <c r="U77" i="25"/>
  <c r="T77" i="25"/>
  <c r="S77" i="25"/>
  <c r="R77" i="25"/>
  <c r="Q77" i="25"/>
  <c r="P77" i="25"/>
  <c r="O77" i="25"/>
  <c r="N77" i="25"/>
  <c r="M77" i="25"/>
  <c r="L77" i="25"/>
  <c r="K77" i="25"/>
  <c r="J77" i="25"/>
  <c r="I77" i="25"/>
  <c r="H77" i="25"/>
  <c r="G77" i="25"/>
  <c r="F77" i="25"/>
  <c r="E77" i="25"/>
  <c r="V76" i="25"/>
  <c r="U76" i="25"/>
  <c r="T76" i="25"/>
  <c r="S76" i="25"/>
  <c r="R76" i="25"/>
  <c r="Q76" i="25"/>
  <c r="P76" i="25"/>
  <c r="O76" i="25"/>
  <c r="N76" i="25"/>
  <c r="M76" i="25"/>
  <c r="L76" i="25"/>
  <c r="K76" i="25"/>
  <c r="J76" i="25"/>
  <c r="I76" i="25"/>
  <c r="H76" i="25"/>
  <c r="G76" i="25"/>
  <c r="F76" i="25"/>
  <c r="E76" i="25"/>
  <c r="V75" i="25"/>
  <c r="U75" i="25"/>
  <c r="T75" i="25"/>
  <c r="S75" i="25"/>
  <c r="R75" i="25"/>
  <c r="Q75" i="25"/>
  <c r="P75" i="25"/>
  <c r="O75" i="25"/>
  <c r="N75" i="25"/>
  <c r="M75" i="25"/>
  <c r="L75" i="25"/>
  <c r="K75" i="25"/>
  <c r="J75" i="25"/>
  <c r="I75" i="25"/>
  <c r="H75" i="25"/>
  <c r="G75" i="25"/>
  <c r="F75" i="25"/>
  <c r="E75" i="25"/>
  <c r="V74" i="25"/>
  <c r="U74" i="25"/>
  <c r="T74" i="25"/>
  <c r="S74" i="25"/>
  <c r="R74" i="25"/>
  <c r="Q74" i="25"/>
  <c r="P74" i="25"/>
  <c r="O74" i="25"/>
  <c r="N74" i="25"/>
  <c r="M74" i="25"/>
  <c r="L74" i="25"/>
  <c r="K74" i="25"/>
  <c r="J74" i="25"/>
  <c r="I74" i="25"/>
  <c r="H74" i="25"/>
  <c r="G74" i="25"/>
  <c r="F74" i="25"/>
  <c r="E74" i="25"/>
  <c r="V73" i="25"/>
  <c r="U73" i="25"/>
  <c r="T73" i="25"/>
  <c r="S73" i="25"/>
  <c r="R73" i="25"/>
  <c r="Q73" i="25"/>
  <c r="P73" i="25"/>
  <c r="O73" i="25"/>
  <c r="N73" i="25"/>
  <c r="M73" i="25"/>
  <c r="L73" i="25"/>
  <c r="K73" i="25"/>
  <c r="J73" i="25"/>
  <c r="I73" i="25"/>
  <c r="H73" i="25"/>
  <c r="G73" i="25"/>
  <c r="F73" i="25"/>
  <c r="E73" i="25"/>
  <c r="V72" i="25"/>
  <c r="U72" i="25"/>
  <c r="T72" i="25"/>
  <c r="S72" i="25"/>
  <c r="R72" i="25"/>
  <c r="Q72" i="25"/>
  <c r="P72" i="25"/>
  <c r="O72" i="25"/>
  <c r="N72" i="25"/>
  <c r="M72" i="25"/>
  <c r="L72" i="25"/>
  <c r="K72" i="25"/>
  <c r="J72" i="25"/>
  <c r="I72" i="25"/>
  <c r="H72" i="25"/>
  <c r="G72" i="25"/>
  <c r="F72" i="25"/>
  <c r="E72" i="25"/>
  <c r="V71" i="25"/>
  <c r="U71" i="25"/>
  <c r="T71" i="25"/>
  <c r="S71" i="25"/>
  <c r="R71" i="25"/>
  <c r="Q71" i="25"/>
  <c r="P71" i="25"/>
  <c r="O71" i="25"/>
  <c r="N71" i="25"/>
  <c r="M71" i="25"/>
  <c r="L71" i="25"/>
  <c r="K71" i="25"/>
  <c r="J71" i="25"/>
  <c r="I71" i="25"/>
  <c r="H71" i="25"/>
  <c r="G71" i="25"/>
  <c r="F71" i="25"/>
  <c r="E71" i="25"/>
  <c r="V70" i="25"/>
  <c r="U70" i="25"/>
  <c r="T70" i="25"/>
  <c r="S70" i="25"/>
  <c r="R70" i="25"/>
  <c r="Q70" i="25"/>
  <c r="P70" i="25"/>
  <c r="O70" i="25"/>
  <c r="N70" i="25"/>
  <c r="M70" i="25"/>
  <c r="L70" i="25"/>
  <c r="K70" i="25"/>
  <c r="J70" i="25"/>
  <c r="I70" i="25"/>
  <c r="H70" i="25"/>
  <c r="G70" i="25"/>
  <c r="F70" i="25"/>
  <c r="E70" i="25"/>
  <c r="V69" i="25"/>
  <c r="U69" i="25"/>
  <c r="T69" i="25"/>
  <c r="S69" i="25"/>
  <c r="R69" i="25"/>
  <c r="Q69" i="25"/>
  <c r="P69" i="25"/>
  <c r="O69" i="25"/>
  <c r="N69" i="25"/>
  <c r="M69" i="25"/>
  <c r="L69" i="25"/>
  <c r="K69" i="25"/>
  <c r="J69" i="25"/>
  <c r="I69" i="25"/>
  <c r="H69" i="25"/>
  <c r="G69" i="25"/>
  <c r="F69" i="25"/>
  <c r="E69" i="25"/>
  <c r="V68" i="25"/>
  <c r="U68" i="25"/>
  <c r="T68" i="25"/>
  <c r="S68" i="25"/>
  <c r="R68" i="25"/>
  <c r="Q68" i="25"/>
  <c r="P68" i="25"/>
  <c r="O68" i="25"/>
  <c r="N68" i="25"/>
  <c r="M68" i="25"/>
  <c r="L68" i="25"/>
  <c r="K68" i="25"/>
  <c r="J68" i="25"/>
  <c r="I68" i="25"/>
  <c r="H68" i="25"/>
  <c r="G68" i="25"/>
  <c r="F68" i="25"/>
  <c r="E68" i="25"/>
  <c r="V67" i="25"/>
  <c r="U67" i="25"/>
  <c r="T67" i="25"/>
  <c r="S67" i="25"/>
  <c r="R67" i="25"/>
  <c r="Q67" i="25"/>
  <c r="P67" i="25"/>
  <c r="O67" i="25"/>
  <c r="N67" i="25"/>
  <c r="M67" i="25"/>
  <c r="L67" i="25"/>
  <c r="K67" i="25"/>
  <c r="J67" i="25"/>
  <c r="I67" i="25"/>
  <c r="H67" i="25"/>
  <c r="G67" i="25"/>
  <c r="F67" i="25"/>
  <c r="E67" i="25"/>
  <c r="V66" i="25"/>
  <c r="U66" i="25"/>
  <c r="T66" i="25"/>
  <c r="S66" i="25"/>
  <c r="R66" i="25"/>
  <c r="Q66" i="25"/>
  <c r="P66" i="25"/>
  <c r="O66" i="25"/>
  <c r="N66" i="25"/>
  <c r="M66" i="25"/>
  <c r="L66" i="25"/>
  <c r="K66" i="25"/>
  <c r="J66" i="25"/>
  <c r="I66" i="25"/>
  <c r="H66" i="25"/>
  <c r="G66" i="25"/>
  <c r="F66" i="25"/>
  <c r="E66" i="25"/>
  <c r="V65" i="25"/>
  <c r="U65" i="25"/>
  <c r="T65" i="25"/>
  <c r="S65" i="25"/>
  <c r="R65" i="25"/>
  <c r="Q65" i="25"/>
  <c r="P65" i="25"/>
  <c r="O65" i="25"/>
  <c r="N65" i="25"/>
  <c r="M65" i="25"/>
  <c r="L65" i="25"/>
  <c r="K65" i="25"/>
  <c r="J65" i="25"/>
  <c r="I65" i="25"/>
  <c r="H65" i="25"/>
  <c r="G65" i="25"/>
  <c r="F65" i="25"/>
  <c r="E65" i="25"/>
  <c r="V64" i="25"/>
  <c r="U64" i="25"/>
  <c r="T64" i="25"/>
  <c r="S64" i="25"/>
  <c r="R64" i="25"/>
  <c r="Q64" i="25"/>
  <c r="P64" i="25"/>
  <c r="O64" i="25"/>
  <c r="N64" i="25"/>
  <c r="M64" i="25"/>
  <c r="L64" i="25"/>
  <c r="K64" i="25"/>
  <c r="J64" i="25"/>
  <c r="I64" i="25"/>
  <c r="H64" i="25"/>
  <c r="G64" i="25"/>
  <c r="F64" i="25"/>
  <c r="E64" i="25"/>
  <c r="V63" i="25"/>
  <c r="U63" i="25"/>
  <c r="T63" i="25"/>
  <c r="S63" i="25"/>
  <c r="R63" i="25"/>
  <c r="Q63" i="25"/>
  <c r="P63" i="25"/>
  <c r="O63" i="25"/>
  <c r="N63" i="25"/>
  <c r="M63" i="25"/>
  <c r="L63" i="25"/>
  <c r="K63" i="25"/>
  <c r="J63" i="25"/>
  <c r="I63" i="25"/>
  <c r="H63" i="25"/>
  <c r="G63" i="25"/>
  <c r="F63" i="25"/>
  <c r="E63" i="25"/>
  <c r="V62" i="25"/>
  <c r="U62" i="25"/>
  <c r="T62" i="25"/>
  <c r="S62" i="25"/>
  <c r="R62" i="25"/>
  <c r="Q62" i="25"/>
  <c r="P62" i="25"/>
  <c r="O62" i="25"/>
  <c r="N62" i="25"/>
  <c r="M62" i="25"/>
  <c r="L62" i="25"/>
  <c r="K62" i="25"/>
  <c r="J62" i="25"/>
  <c r="I62" i="25"/>
  <c r="H62" i="25"/>
  <c r="G62" i="25"/>
  <c r="F62" i="25"/>
  <c r="E62" i="25"/>
  <c r="V61" i="25"/>
  <c r="U61" i="25"/>
  <c r="T61" i="25"/>
  <c r="S61" i="25"/>
  <c r="R61" i="25"/>
  <c r="Q61" i="25"/>
  <c r="P61" i="25"/>
  <c r="O61" i="25"/>
  <c r="N61" i="25"/>
  <c r="M61" i="25"/>
  <c r="L61" i="25"/>
  <c r="K61" i="25"/>
  <c r="J61" i="25"/>
  <c r="I61" i="25"/>
  <c r="H61" i="25"/>
  <c r="G61" i="25"/>
  <c r="F61" i="25"/>
  <c r="E61" i="25"/>
  <c r="V60" i="25"/>
  <c r="U60" i="25"/>
  <c r="T60" i="25"/>
  <c r="S60" i="25"/>
  <c r="R60" i="25"/>
  <c r="Q60" i="25"/>
  <c r="P60" i="25"/>
  <c r="O60" i="25"/>
  <c r="N60" i="25"/>
  <c r="M60" i="25"/>
  <c r="L60" i="25"/>
  <c r="K60" i="25"/>
  <c r="J60" i="25"/>
  <c r="I60" i="25"/>
  <c r="H60" i="25"/>
  <c r="G60" i="25"/>
  <c r="F60" i="25"/>
  <c r="E60" i="25"/>
  <c r="V59" i="25"/>
  <c r="U59" i="25"/>
  <c r="T59" i="25"/>
  <c r="S59" i="25"/>
  <c r="R59" i="25"/>
  <c r="Q59" i="25"/>
  <c r="P59" i="25"/>
  <c r="O59" i="25"/>
  <c r="N59" i="25"/>
  <c r="M59" i="25"/>
  <c r="L59" i="25"/>
  <c r="K59" i="25"/>
  <c r="J59" i="25"/>
  <c r="I59" i="25"/>
  <c r="H59" i="25"/>
  <c r="G59" i="25"/>
  <c r="F59" i="25"/>
  <c r="E59" i="25"/>
  <c r="V58" i="25"/>
  <c r="U58" i="25"/>
  <c r="T58" i="25"/>
  <c r="S58" i="25"/>
  <c r="R58" i="25"/>
  <c r="Q58" i="25"/>
  <c r="P58" i="25"/>
  <c r="O58" i="25"/>
  <c r="N58" i="25"/>
  <c r="M58" i="25"/>
  <c r="L58" i="25"/>
  <c r="K58" i="25"/>
  <c r="J58" i="25"/>
  <c r="I58" i="25"/>
  <c r="H58" i="25"/>
  <c r="G58" i="25"/>
  <c r="F58" i="25"/>
  <c r="E58" i="25"/>
  <c r="V57" i="25"/>
  <c r="U57" i="25"/>
  <c r="T57" i="25"/>
  <c r="S57" i="25"/>
  <c r="R57" i="25"/>
  <c r="Q57" i="25"/>
  <c r="P57" i="25"/>
  <c r="O57" i="25"/>
  <c r="N57" i="25"/>
  <c r="M57" i="25"/>
  <c r="L57" i="25"/>
  <c r="K57" i="25"/>
  <c r="J57" i="25"/>
  <c r="I57" i="25"/>
  <c r="H57" i="25"/>
  <c r="G57" i="25"/>
  <c r="F57" i="25"/>
  <c r="E57" i="25"/>
  <c r="V56" i="25"/>
  <c r="U56" i="25"/>
  <c r="T56" i="25"/>
  <c r="S56" i="25"/>
  <c r="R56" i="25"/>
  <c r="Q56" i="25"/>
  <c r="P56" i="25"/>
  <c r="O56" i="25"/>
  <c r="N56" i="25"/>
  <c r="M56" i="25"/>
  <c r="L56" i="25"/>
  <c r="K56" i="25"/>
  <c r="J56" i="25"/>
  <c r="I56" i="25"/>
  <c r="H56" i="25"/>
  <c r="G56" i="25"/>
  <c r="F56" i="25"/>
  <c r="E56" i="25"/>
  <c r="V55" i="25"/>
  <c r="U55" i="25"/>
  <c r="T55" i="25"/>
  <c r="S55" i="25"/>
  <c r="R55" i="25"/>
  <c r="Q55" i="25"/>
  <c r="P55" i="25"/>
  <c r="O55" i="25"/>
  <c r="N55" i="25"/>
  <c r="M55" i="25"/>
  <c r="L55" i="25"/>
  <c r="K55" i="25"/>
  <c r="J55" i="25"/>
  <c r="I55" i="25"/>
  <c r="H55" i="25"/>
  <c r="G55" i="25"/>
  <c r="F55" i="25"/>
  <c r="E55" i="25"/>
  <c r="V54" i="25"/>
  <c r="U54" i="25"/>
  <c r="T54" i="25"/>
  <c r="S54" i="25"/>
  <c r="R54" i="25"/>
  <c r="Q54" i="25"/>
  <c r="P54" i="25"/>
  <c r="O54" i="25"/>
  <c r="N54" i="25"/>
  <c r="M54" i="25"/>
  <c r="L54" i="25"/>
  <c r="K54" i="25"/>
  <c r="J54" i="25"/>
  <c r="I54" i="25"/>
  <c r="H54" i="25"/>
  <c r="G54" i="25"/>
  <c r="F54" i="25"/>
  <c r="E54" i="25"/>
  <c r="V53" i="25"/>
  <c r="U53" i="25"/>
  <c r="T53" i="25"/>
  <c r="S53" i="25"/>
  <c r="R53" i="25"/>
  <c r="Q53" i="25"/>
  <c r="P53" i="25"/>
  <c r="O53" i="25"/>
  <c r="N53" i="25"/>
  <c r="M53" i="25"/>
  <c r="L53" i="25"/>
  <c r="K53" i="25"/>
  <c r="J53" i="25"/>
  <c r="I53" i="25"/>
  <c r="H53" i="25"/>
  <c r="G53" i="25"/>
  <c r="F53" i="25"/>
  <c r="E53" i="25"/>
  <c r="V52" i="25"/>
  <c r="U52" i="25"/>
  <c r="T52" i="25"/>
  <c r="S52" i="25"/>
  <c r="R52" i="25"/>
  <c r="Q52" i="25"/>
  <c r="P52" i="25"/>
  <c r="O52" i="25"/>
  <c r="N52" i="25"/>
  <c r="M52" i="25"/>
  <c r="L52" i="25"/>
  <c r="K52" i="25"/>
  <c r="J52" i="25"/>
  <c r="I52" i="25"/>
  <c r="H52" i="25"/>
  <c r="G52" i="25"/>
  <c r="F52" i="25"/>
  <c r="E52" i="25"/>
  <c r="V51" i="25"/>
  <c r="U51" i="25"/>
  <c r="T51" i="25"/>
  <c r="S51" i="25"/>
  <c r="R51" i="25"/>
  <c r="Q51" i="25"/>
  <c r="P51" i="25"/>
  <c r="O51" i="25"/>
  <c r="N51" i="25"/>
  <c r="M51" i="25"/>
  <c r="L51" i="25"/>
  <c r="K51" i="25"/>
  <c r="J51" i="25"/>
  <c r="I51" i="25"/>
  <c r="H51" i="25"/>
  <c r="G51" i="25"/>
  <c r="F51" i="25"/>
  <c r="E51" i="25"/>
  <c r="V50" i="25"/>
  <c r="U50" i="25"/>
  <c r="T50" i="25"/>
  <c r="S50" i="25"/>
  <c r="R50" i="25"/>
  <c r="Q50" i="25"/>
  <c r="P50" i="25"/>
  <c r="O50" i="25"/>
  <c r="N50" i="25"/>
  <c r="M50" i="25"/>
  <c r="L50" i="25"/>
  <c r="K50" i="25"/>
  <c r="J50" i="25"/>
  <c r="I50" i="25"/>
  <c r="H50" i="25"/>
  <c r="G50" i="25"/>
  <c r="F50" i="25"/>
  <c r="E50" i="25"/>
  <c r="V49" i="25"/>
  <c r="U49" i="25"/>
  <c r="T49" i="25"/>
  <c r="S49" i="25"/>
  <c r="R49" i="25"/>
  <c r="Q49" i="25"/>
  <c r="P49" i="25"/>
  <c r="O49" i="25"/>
  <c r="N49" i="25"/>
  <c r="M49" i="25"/>
  <c r="L49" i="25"/>
  <c r="K49" i="25"/>
  <c r="J49" i="25"/>
  <c r="I49" i="25"/>
  <c r="H49" i="25"/>
  <c r="G49" i="25"/>
  <c r="F49" i="25"/>
  <c r="E49" i="25"/>
  <c r="V48" i="25"/>
  <c r="U48" i="25"/>
  <c r="T48" i="25"/>
  <c r="S48" i="25"/>
  <c r="R48" i="25"/>
  <c r="Q48" i="25"/>
  <c r="P48" i="25"/>
  <c r="O48" i="25"/>
  <c r="N48" i="25"/>
  <c r="M48" i="25"/>
  <c r="L48" i="25"/>
  <c r="K48" i="25"/>
  <c r="J48" i="25"/>
  <c r="I48" i="25"/>
  <c r="H48" i="25"/>
  <c r="G48" i="25"/>
  <c r="F48" i="25"/>
  <c r="E48" i="25"/>
  <c r="V47" i="25"/>
  <c r="U47" i="25"/>
  <c r="T47" i="25"/>
  <c r="S47" i="25"/>
  <c r="R47" i="25"/>
  <c r="Q47" i="25"/>
  <c r="P47" i="25"/>
  <c r="O47" i="25"/>
  <c r="N47" i="25"/>
  <c r="M47" i="25"/>
  <c r="L47" i="25"/>
  <c r="K47" i="25"/>
  <c r="J47" i="25"/>
  <c r="I47" i="25"/>
  <c r="H47" i="25"/>
  <c r="G47" i="25"/>
  <c r="F47" i="25"/>
  <c r="E47" i="25"/>
  <c r="V46" i="25"/>
  <c r="U46" i="25"/>
  <c r="T46" i="25"/>
  <c r="S46" i="25"/>
  <c r="R46" i="25"/>
  <c r="Q46" i="25"/>
  <c r="P46" i="25"/>
  <c r="O46" i="25"/>
  <c r="N46" i="25"/>
  <c r="M46" i="25"/>
  <c r="L46" i="25"/>
  <c r="K46" i="25"/>
  <c r="J46" i="25"/>
  <c r="I46" i="25"/>
  <c r="H46" i="25"/>
  <c r="G46" i="25"/>
  <c r="F46" i="25"/>
  <c r="E46" i="25"/>
  <c r="V45" i="25"/>
  <c r="U45" i="25"/>
  <c r="T45" i="25"/>
  <c r="S45" i="25"/>
  <c r="R45" i="25"/>
  <c r="Q45" i="25"/>
  <c r="P45" i="25"/>
  <c r="O45" i="25"/>
  <c r="N45" i="25"/>
  <c r="M45" i="25"/>
  <c r="L45" i="25"/>
  <c r="K45" i="25"/>
  <c r="J45" i="25"/>
  <c r="I45" i="25"/>
  <c r="H45" i="25"/>
  <c r="G45" i="25"/>
  <c r="F45" i="25"/>
  <c r="E45" i="25"/>
  <c r="V44" i="25"/>
  <c r="U44" i="25"/>
  <c r="T44" i="25"/>
  <c r="S44" i="25"/>
  <c r="R44" i="25"/>
  <c r="Q44" i="25"/>
  <c r="P44" i="25"/>
  <c r="O44" i="25"/>
  <c r="N44" i="25"/>
  <c r="M44" i="25"/>
  <c r="L44" i="25"/>
  <c r="K44" i="25"/>
  <c r="J44" i="25"/>
  <c r="I44" i="25"/>
  <c r="H44" i="25"/>
  <c r="G44" i="25"/>
  <c r="F44" i="25"/>
  <c r="E44" i="25"/>
  <c r="V43" i="25"/>
  <c r="U43" i="25"/>
  <c r="T43" i="25"/>
  <c r="S43" i="25"/>
  <c r="R43" i="25"/>
  <c r="Q43" i="25"/>
  <c r="P43" i="25"/>
  <c r="O43" i="25"/>
  <c r="N43" i="25"/>
  <c r="M43" i="25"/>
  <c r="L43" i="25"/>
  <c r="K43" i="25"/>
  <c r="J43" i="25"/>
  <c r="I43" i="25"/>
  <c r="H43" i="25"/>
  <c r="G43" i="25"/>
  <c r="F43" i="25"/>
  <c r="E43" i="25"/>
  <c r="V42" i="25"/>
  <c r="U42" i="25"/>
  <c r="T42" i="25"/>
  <c r="S42" i="25"/>
  <c r="R42" i="25"/>
  <c r="Q42" i="25"/>
  <c r="P42" i="25"/>
  <c r="O42" i="25"/>
  <c r="N42" i="25"/>
  <c r="M42" i="25"/>
  <c r="L42" i="25"/>
  <c r="K42" i="25"/>
  <c r="J42" i="25"/>
  <c r="I42" i="25"/>
  <c r="H42" i="25"/>
  <c r="G42" i="25"/>
  <c r="F42" i="25"/>
  <c r="E42" i="25"/>
  <c r="V41" i="25"/>
  <c r="U41" i="25"/>
  <c r="T41" i="25"/>
  <c r="S41" i="25"/>
  <c r="R41" i="25"/>
  <c r="Q41" i="25"/>
  <c r="P41" i="25"/>
  <c r="O41" i="25"/>
  <c r="N41" i="25"/>
  <c r="M41" i="25"/>
  <c r="L41" i="25"/>
  <c r="K41" i="25"/>
  <c r="J41" i="25"/>
  <c r="I41" i="25"/>
  <c r="H41" i="25"/>
  <c r="G41" i="25"/>
  <c r="F41" i="25"/>
  <c r="E41" i="25"/>
  <c r="V40" i="25"/>
  <c r="U40" i="25"/>
  <c r="T40" i="25"/>
  <c r="S40" i="25"/>
  <c r="R40" i="25"/>
  <c r="Q40" i="25"/>
  <c r="P40" i="25"/>
  <c r="O40" i="25"/>
  <c r="N40" i="25"/>
  <c r="M40" i="25"/>
  <c r="L40" i="25"/>
  <c r="K40" i="25"/>
  <c r="J40" i="25"/>
  <c r="I40" i="25"/>
  <c r="H40" i="25"/>
  <c r="G40" i="25"/>
  <c r="F40" i="25"/>
  <c r="E40" i="25"/>
  <c r="V39" i="25"/>
  <c r="U39" i="25"/>
  <c r="T39" i="25"/>
  <c r="S39" i="25"/>
  <c r="R39" i="25"/>
  <c r="Q39" i="25"/>
  <c r="P39" i="25"/>
  <c r="O39" i="25"/>
  <c r="N39" i="25"/>
  <c r="M39" i="25"/>
  <c r="L39" i="25"/>
  <c r="K39" i="25"/>
  <c r="J39" i="25"/>
  <c r="I39" i="25"/>
  <c r="H39" i="25"/>
  <c r="G39" i="25"/>
  <c r="F39" i="25"/>
  <c r="E39" i="25"/>
  <c r="V38" i="25"/>
  <c r="U38" i="25"/>
  <c r="T38" i="25"/>
  <c r="S38" i="25"/>
  <c r="R38" i="25"/>
  <c r="Q38" i="25"/>
  <c r="P38" i="25"/>
  <c r="O38" i="25"/>
  <c r="N38" i="25"/>
  <c r="M38" i="25"/>
  <c r="L38" i="25"/>
  <c r="K38" i="25"/>
  <c r="J38" i="25"/>
  <c r="I38" i="25"/>
  <c r="H38" i="25"/>
  <c r="G38" i="25"/>
  <c r="F38" i="25"/>
  <c r="E38" i="25"/>
  <c r="V37" i="25"/>
  <c r="U37" i="25"/>
  <c r="T37" i="25"/>
  <c r="S37" i="25"/>
  <c r="R37" i="25"/>
  <c r="Q37" i="25"/>
  <c r="P37" i="25"/>
  <c r="O37" i="25"/>
  <c r="N37" i="25"/>
  <c r="M37" i="25"/>
  <c r="L37" i="25"/>
  <c r="K37" i="25"/>
  <c r="J37" i="25"/>
  <c r="I37" i="25"/>
  <c r="H37" i="25"/>
  <c r="G37" i="25"/>
  <c r="F37" i="25"/>
  <c r="E37" i="25"/>
  <c r="V36" i="25"/>
  <c r="U36" i="25"/>
  <c r="T36" i="25"/>
  <c r="S36" i="25"/>
  <c r="R36" i="25"/>
  <c r="Q36" i="25"/>
  <c r="P36" i="25"/>
  <c r="O36" i="25"/>
  <c r="N36" i="25"/>
  <c r="M36" i="25"/>
  <c r="L36" i="25"/>
  <c r="K36" i="25"/>
  <c r="J36" i="25"/>
  <c r="I36" i="25"/>
  <c r="H36" i="25"/>
  <c r="G36" i="25"/>
  <c r="F36" i="25"/>
  <c r="E36" i="25"/>
  <c r="V35" i="25"/>
  <c r="U35" i="25"/>
  <c r="T35" i="25"/>
  <c r="S35" i="25"/>
  <c r="R35" i="25"/>
  <c r="Q35" i="25"/>
  <c r="P35" i="25"/>
  <c r="O35" i="25"/>
  <c r="N35" i="25"/>
  <c r="M35" i="25"/>
  <c r="L35" i="25"/>
  <c r="K35" i="25"/>
  <c r="J35" i="25"/>
  <c r="I35" i="25"/>
  <c r="H35" i="25"/>
  <c r="G35" i="25"/>
  <c r="F35" i="25"/>
  <c r="E35" i="25"/>
  <c r="V34" i="25"/>
  <c r="U34" i="25"/>
  <c r="T34" i="25"/>
  <c r="S34" i="25"/>
  <c r="R34" i="25"/>
  <c r="Q34" i="25"/>
  <c r="P34" i="25"/>
  <c r="O34" i="25"/>
  <c r="N34" i="25"/>
  <c r="M34" i="25"/>
  <c r="L34" i="25"/>
  <c r="K34" i="25"/>
  <c r="J34" i="25"/>
  <c r="I34" i="25"/>
  <c r="H34" i="25"/>
  <c r="G34" i="25"/>
  <c r="F34" i="25"/>
  <c r="E34" i="25"/>
  <c r="V33" i="25"/>
  <c r="U33" i="25"/>
  <c r="T33" i="25"/>
  <c r="S33" i="25"/>
  <c r="R33" i="25"/>
  <c r="Q33" i="25"/>
  <c r="P33" i="25"/>
  <c r="O33" i="25"/>
  <c r="N33" i="25"/>
  <c r="M33" i="25"/>
  <c r="L33" i="25"/>
  <c r="K33" i="25"/>
  <c r="J33" i="25"/>
  <c r="I33" i="25"/>
  <c r="H33" i="25"/>
  <c r="G33" i="25"/>
  <c r="F33" i="25"/>
  <c r="E33" i="25"/>
  <c r="V32" i="25"/>
  <c r="U32" i="25"/>
  <c r="T32" i="25"/>
  <c r="S32" i="25"/>
  <c r="R32" i="25"/>
  <c r="Q32" i="25"/>
  <c r="P32" i="25"/>
  <c r="O32" i="25"/>
  <c r="N32" i="25"/>
  <c r="M32" i="25"/>
  <c r="L32" i="25"/>
  <c r="K32" i="25"/>
  <c r="J32" i="25"/>
  <c r="I32" i="25"/>
  <c r="H32" i="25"/>
  <c r="G32" i="25"/>
  <c r="F32" i="25"/>
  <c r="E32" i="25"/>
  <c r="V31" i="25"/>
  <c r="U31" i="25"/>
  <c r="T31" i="25"/>
  <c r="S31" i="25"/>
  <c r="R31" i="25"/>
  <c r="Q31" i="25"/>
  <c r="P31" i="25"/>
  <c r="O31" i="25"/>
  <c r="N31" i="25"/>
  <c r="M31" i="25"/>
  <c r="L31" i="25"/>
  <c r="K31" i="25"/>
  <c r="J31" i="25"/>
  <c r="I31" i="25"/>
  <c r="H31" i="25"/>
  <c r="G31" i="25"/>
  <c r="F31" i="25"/>
  <c r="E31" i="25"/>
  <c r="V30" i="25"/>
  <c r="U30" i="25"/>
  <c r="T30" i="25"/>
  <c r="S30" i="25"/>
  <c r="R30" i="25"/>
  <c r="Q30" i="25"/>
  <c r="P30" i="25"/>
  <c r="O30" i="25"/>
  <c r="N30" i="25"/>
  <c r="M30" i="25"/>
  <c r="L30" i="25"/>
  <c r="K30" i="25"/>
  <c r="J30" i="25"/>
  <c r="I30" i="25"/>
  <c r="H30" i="25"/>
  <c r="G30" i="25"/>
  <c r="F30" i="25"/>
  <c r="E30" i="25"/>
  <c r="V29" i="25"/>
  <c r="U29" i="25"/>
  <c r="T29" i="25"/>
  <c r="S29" i="25"/>
  <c r="R29" i="25"/>
  <c r="Q29" i="25"/>
  <c r="P29" i="25"/>
  <c r="O29" i="25"/>
  <c r="N29" i="25"/>
  <c r="M29" i="25"/>
  <c r="L29" i="25"/>
  <c r="K29" i="25"/>
  <c r="J29" i="25"/>
  <c r="I29" i="25"/>
  <c r="H29" i="25"/>
  <c r="G29" i="25"/>
  <c r="F29" i="25"/>
  <c r="E29" i="25"/>
  <c r="V28" i="25"/>
  <c r="U28" i="25"/>
  <c r="T28" i="25"/>
  <c r="S28" i="25"/>
  <c r="R28" i="25"/>
  <c r="Q28" i="25"/>
  <c r="P28" i="25"/>
  <c r="O28" i="25"/>
  <c r="N28" i="25"/>
  <c r="M28" i="25"/>
  <c r="L28" i="25"/>
  <c r="K28" i="25"/>
  <c r="J28" i="25"/>
  <c r="I28" i="25"/>
  <c r="H28" i="25"/>
  <c r="G28" i="25"/>
  <c r="F28" i="25"/>
  <c r="E28" i="25"/>
  <c r="V27" i="25"/>
  <c r="U27" i="25"/>
  <c r="T27" i="25"/>
  <c r="S27" i="25"/>
  <c r="R27" i="25"/>
  <c r="Q27" i="25"/>
  <c r="P27" i="25"/>
  <c r="O27" i="25"/>
  <c r="N27" i="25"/>
  <c r="M27" i="25"/>
  <c r="L27" i="25"/>
  <c r="K27" i="25"/>
  <c r="J27" i="25"/>
  <c r="I27" i="25"/>
  <c r="H27" i="25"/>
  <c r="G27" i="25"/>
  <c r="F27" i="25"/>
  <c r="E27" i="25"/>
  <c r="V26" i="25"/>
  <c r="U26" i="25"/>
  <c r="T26" i="25"/>
  <c r="S26" i="25"/>
  <c r="R26" i="25"/>
  <c r="Q26" i="25"/>
  <c r="P26" i="25"/>
  <c r="O26" i="25"/>
  <c r="N26" i="25"/>
  <c r="M26" i="25"/>
  <c r="L26" i="25"/>
  <c r="K26" i="25"/>
  <c r="J26" i="25"/>
  <c r="I26" i="25"/>
  <c r="H26" i="25"/>
  <c r="G26" i="25"/>
  <c r="F26" i="25"/>
  <c r="E26" i="25"/>
  <c r="V25" i="25"/>
  <c r="U25" i="25"/>
  <c r="T25" i="25"/>
  <c r="S25" i="25"/>
  <c r="R25" i="25"/>
  <c r="Q25" i="25"/>
  <c r="P25" i="25"/>
  <c r="O25" i="25"/>
  <c r="N25" i="25"/>
  <c r="M25" i="25"/>
  <c r="L25" i="25"/>
  <c r="K25" i="25"/>
  <c r="J25" i="25"/>
  <c r="I25" i="25"/>
  <c r="H25" i="25"/>
  <c r="G25" i="25"/>
  <c r="F25" i="25"/>
  <c r="E25" i="25"/>
  <c r="V24" i="25"/>
  <c r="U24" i="25"/>
  <c r="T24" i="25"/>
  <c r="S24" i="25"/>
  <c r="R24" i="25"/>
  <c r="Q24" i="25"/>
  <c r="P24" i="25"/>
  <c r="O24" i="25"/>
  <c r="N24" i="25"/>
  <c r="M24" i="25"/>
  <c r="L24" i="25"/>
  <c r="K24" i="25"/>
  <c r="J24" i="25"/>
  <c r="I24" i="25"/>
  <c r="H24" i="25"/>
  <c r="G24" i="25"/>
  <c r="F24" i="25"/>
  <c r="E24" i="25"/>
  <c r="V23" i="25"/>
  <c r="U23" i="25"/>
  <c r="T23" i="25"/>
  <c r="S23" i="25"/>
  <c r="R23" i="25"/>
  <c r="Q23" i="25"/>
  <c r="P23" i="25"/>
  <c r="O23" i="25"/>
  <c r="N23" i="25"/>
  <c r="M23" i="25"/>
  <c r="L23" i="25"/>
  <c r="K23" i="25"/>
  <c r="J23" i="25"/>
  <c r="I23" i="25"/>
  <c r="H23" i="25"/>
  <c r="G23" i="25"/>
  <c r="F23" i="25"/>
  <c r="E23" i="25"/>
  <c r="V22" i="25"/>
  <c r="U22" i="25"/>
  <c r="T22" i="25"/>
  <c r="S22" i="25"/>
  <c r="R22" i="25"/>
  <c r="Q22" i="25"/>
  <c r="P22" i="25"/>
  <c r="O22" i="25"/>
  <c r="N22" i="25"/>
  <c r="M22" i="25"/>
  <c r="L22" i="25"/>
  <c r="K22" i="25"/>
  <c r="J22" i="25"/>
  <c r="I22" i="25"/>
  <c r="H22" i="25"/>
  <c r="G22" i="25"/>
  <c r="F22" i="25"/>
  <c r="E22" i="25"/>
  <c r="V21" i="25"/>
  <c r="U21" i="25"/>
  <c r="T21" i="25"/>
  <c r="S21" i="25"/>
  <c r="R21" i="25"/>
  <c r="Q21" i="25"/>
  <c r="P21" i="25"/>
  <c r="O21" i="25"/>
  <c r="N21" i="25"/>
  <c r="M21" i="25"/>
  <c r="L21" i="25"/>
  <c r="K21" i="25"/>
  <c r="J21" i="25"/>
  <c r="I21" i="25"/>
  <c r="H21" i="25"/>
  <c r="G21" i="25"/>
  <c r="F21" i="25"/>
  <c r="E21" i="25"/>
  <c r="V20" i="25"/>
  <c r="U20" i="25"/>
  <c r="T20" i="25"/>
  <c r="S20" i="25"/>
  <c r="R20" i="25"/>
  <c r="Q20" i="25"/>
  <c r="P20" i="25"/>
  <c r="O20" i="25"/>
  <c r="N20" i="25"/>
  <c r="M20" i="25"/>
  <c r="L20" i="25"/>
  <c r="K20" i="25"/>
  <c r="J20" i="25"/>
  <c r="I20" i="25"/>
  <c r="H20" i="25"/>
  <c r="G20" i="25"/>
  <c r="F20" i="25"/>
  <c r="E20" i="25"/>
  <c r="V19" i="25"/>
  <c r="U19" i="25"/>
  <c r="T19" i="25"/>
  <c r="S19" i="25"/>
  <c r="R19" i="25"/>
  <c r="Q19" i="25"/>
  <c r="P19" i="25"/>
  <c r="O19" i="25"/>
  <c r="N19" i="25"/>
  <c r="M19" i="25"/>
  <c r="L19" i="25"/>
  <c r="K19" i="25"/>
  <c r="J19" i="25"/>
  <c r="I19" i="25"/>
  <c r="H19" i="25"/>
  <c r="G19" i="25"/>
  <c r="F19" i="25"/>
  <c r="E19" i="25"/>
  <c r="V18" i="25"/>
  <c r="U18" i="25"/>
  <c r="T18" i="25"/>
  <c r="S18" i="25"/>
  <c r="R18" i="25"/>
  <c r="Q18" i="25"/>
  <c r="P18" i="25"/>
  <c r="O18" i="25"/>
  <c r="N18" i="25"/>
  <c r="M18" i="25"/>
  <c r="L18" i="25"/>
  <c r="K18" i="25"/>
  <c r="J18" i="25"/>
  <c r="I18" i="25"/>
  <c r="H18" i="25"/>
  <c r="G18" i="25"/>
  <c r="F18" i="25"/>
  <c r="E18" i="25"/>
  <c r="V17" i="25"/>
  <c r="U17" i="25"/>
  <c r="T17" i="25"/>
  <c r="S17" i="25"/>
  <c r="R17" i="25"/>
  <c r="Q17" i="25"/>
  <c r="P17" i="25"/>
  <c r="O17" i="25"/>
  <c r="N17" i="25"/>
  <c r="M17" i="25"/>
  <c r="L17" i="25"/>
  <c r="K17" i="25"/>
  <c r="J17" i="25"/>
  <c r="I17" i="25"/>
  <c r="H17" i="25"/>
  <c r="G17" i="25"/>
  <c r="F17" i="25"/>
  <c r="E17" i="25"/>
  <c r="V16" i="25"/>
  <c r="U16" i="25"/>
  <c r="T16" i="25"/>
  <c r="S16" i="25"/>
  <c r="R16" i="25"/>
  <c r="Q16" i="25"/>
  <c r="P16" i="25"/>
  <c r="O16" i="25"/>
  <c r="N16" i="25"/>
  <c r="M16" i="25"/>
  <c r="L16" i="25"/>
  <c r="K16" i="25"/>
  <c r="J16" i="25"/>
  <c r="I16" i="25"/>
  <c r="H16" i="25"/>
  <c r="G16" i="25"/>
  <c r="F16" i="25"/>
  <c r="E16" i="25"/>
  <c r="V15" i="25"/>
  <c r="U15" i="25"/>
  <c r="T15" i="25"/>
  <c r="S15" i="25"/>
  <c r="R15" i="25"/>
  <c r="Q15" i="25"/>
  <c r="P15" i="25"/>
  <c r="O15" i="25"/>
  <c r="N15" i="25"/>
  <c r="M15" i="25"/>
  <c r="L15" i="25"/>
  <c r="K15" i="25"/>
  <c r="J15" i="25"/>
  <c r="I15" i="25"/>
  <c r="H15" i="25"/>
  <c r="G15" i="25"/>
  <c r="F15" i="25"/>
  <c r="E15" i="25"/>
  <c r="V14" i="25"/>
  <c r="U14" i="25"/>
  <c r="T14" i="25"/>
  <c r="S14" i="25"/>
  <c r="R14" i="25"/>
  <c r="Q14" i="25"/>
  <c r="P14" i="25"/>
  <c r="O14" i="25"/>
  <c r="N14" i="25"/>
  <c r="M14" i="25"/>
  <c r="L14" i="25"/>
  <c r="K14" i="25"/>
  <c r="J14" i="25"/>
  <c r="I14" i="25"/>
  <c r="H14" i="25"/>
  <c r="G14" i="25"/>
  <c r="F14" i="25"/>
  <c r="E14" i="25"/>
  <c r="V13" i="25"/>
  <c r="U13" i="25"/>
  <c r="T13" i="25"/>
  <c r="S13" i="25"/>
  <c r="R13" i="25"/>
  <c r="Q13" i="25"/>
  <c r="P13" i="25"/>
  <c r="O13" i="25"/>
  <c r="N13" i="25"/>
  <c r="M13" i="25"/>
  <c r="L13" i="25"/>
  <c r="K13" i="25"/>
  <c r="J13" i="25"/>
  <c r="I13" i="25"/>
  <c r="H13" i="25"/>
  <c r="G13" i="25"/>
  <c r="F13" i="25"/>
  <c r="E13" i="25"/>
  <c r="V12" i="25"/>
  <c r="U12" i="25"/>
  <c r="T12" i="25"/>
  <c r="S12" i="25"/>
  <c r="R12" i="25"/>
  <c r="Q12" i="25"/>
  <c r="P12" i="25"/>
  <c r="O12" i="25"/>
  <c r="N12" i="25"/>
  <c r="M12" i="25"/>
  <c r="L12" i="25"/>
  <c r="K12" i="25"/>
  <c r="J12" i="25"/>
  <c r="I12" i="25"/>
  <c r="H12" i="25"/>
  <c r="G12" i="25"/>
  <c r="F12" i="25"/>
  <c r="E12" i="25"/>
  <c r="V11" i="25"/>
  <c r="U11" i="25"/>
  <c r="T11" i="25"/>
  <c r="S11" i="25"/>
  <c r="R11" i="25"/>
  <c r="Q11" i="25"/>
  <c r="P11" i="25"/>
  <c r="O11" i="25"/>
  <c r="N11" i="25"/>
  <c r="M11" i="25"/>
  <c r="L11" i="25"/>
  <c r="K11" i="25"/>
  <c r="J11" i="25"/>
  <c r="I11" i="25"/>
  <c r="H11" i="25"/>
  <c r="G11" i="25"/>
  <c r="F11" i="25"/>
  <c r="E11" i="25"/>
  <c r="V10" i="25"/>
  <c r="U10" i="25"/>
  <c r="T10" i="25"/>
  <c r="S10" i="25"/>
  <c r="R10" i="25"/>
  <c r="Q10" i="25"/>
  <c r="P10" i="25"/>
  <c r="O10" i="25"/>
  <c r="N10" i="25"/>
  <c r="M10" i="25"/>
  <c r="L10" i="25"/>
  <c r="K10" i="25"/>
  <c r="J10" i="25"/>
  <c r="I10" i="25"/>
  <c r="H10" i="25"/>
  <c r="G10" i="25"/>
  <c r="F10" i="25"/>
  <c r="E10" i="25"/>
  <c r="V9" i="25"/>
  <c r="U9" i="25"/>
  <c r="T9" i="25"/>
  <c r="S9" i="25"/>
  <c r="R9" i="25"/>
  <c r="Q9" i="25"/>
  <c r="P9" i="25"/>
  <c r="O9" i="25"/>
  <c r="N9" i="25"/>
  <c r="M9" i="25"/>
  <c r="L9" i="25"/>
  <c r="K9" i="25"/>
  <c r="J9" i="25"/>
  <c r="I9" i="25"/>
  <c r="H9" i="25"/>
  <c r="G9" i="25"/>
  <c r="F9" i="25"/>
  <c r="E9" i="25"/>
  <c r="V8" i="25"/>
  <c r="U8" i="25"/>
  <c r="T8" i="25"/>
  <c r="S8" i="25"/>
  <c r="R8" i="25"/>
  <c r="Q8" i="25"/>
  <c r="P8" i="25"/>
  <c r="O8" i="25"/>
  <c r="N8" i="25"/>
  <c r="M8" i="25"/>
  <c r="L8" i="25"/>
  <c r="K8" i="25"/>
  <c r="J8" i="25"/>
  <c r="I8" i="25"/>
  <c r="H8" i="25"/>
  <c r="G8" i="25"/>
  <c r="F8" i="25"/>
  <c r="E8" i="25"/>
  <c r="V7" i="25"/>
  <c r="U7" i="25"/>
  <c r="T7" i="25"/>
  <c r="S7" i="25"/>
  <c r="R7" i="25"/>
  <c r="Q7" i="25"/>
  <c r="P7" i="25"/>
  <c r="O7" i="25"/>
  <c r="N7" i="25"/>
  <c r="M7" i="25"/>
  <c r="L7" i="25"/>
  <c r="K7" i="25"/>
  <c r="J7" i="25"/>
  <c r="I7" i="25"/>
  <c r="H7" i="25"/>
  <c r="G7" i="25"/>
  <c r="F7" i="25"/>
  <c r="E7" i="25"/>
  <c r="D7" i="25"/>
  <c r="AF32" i="3" l="1"/>
  <c r="N29" i="26" s="1"/>
  <c r="AE32" i="3"/>
  <c r="M29" i="26" s="1"/>
  <c r="AF31" i="3"/>
  <c r="N28" i="26" s="1"/>
  <c r="AE31" i="3"/>
  <c r="M28" i="26" s="1"/>
  <c r="AF30" i="3"/>
  <c r="N27" i="26" s="1"/>
  <c r="AE30" i="3"/>
  <c r="M27" i="26" s="1"/>
  <c r="AF29" i="3"/>
  <c r="N26" i="26" s="1"/>
  <c r="AE29" i="3"/>
  <c r="M26" i="26" s="1"/>
  <c r="AF28" i="3"/>
  <c r="N25" i="26" s="1"/>
  <c r="AE28" i="3"/>
  <c r="M25" i="26" s="1"/>
  <c r="AF27" i="3"/>
  <c r="N24" i="26" s="1"/>
  <c r="AE27" i="3"/>
  <c r="M24" i="26" s="1"/>
  <c r="AF26" i="3"/>
  <c r="N23" i="26" s="1"/>
  <c r="AE26" i="3"/>
  <c r="M23" i="26" s="1"/>
  <c r="AF25" i="3"/>
  <c r="N22" i="26" s="1"/>
  <c r="AE25" i="3"/>
  <c r="M22" i="26" s="1"/>
  <c r="AF24" i="3"/>
  <c r="N21" i="26" s="1"/>
  <c r="AE24" i="3"/>
  <c r="M21" i="26" s="1"/>
  <c r="AF23" i="3"/>
  <c r="N20" i="26" s="1"/>
  <c r="AE23" i="3"/>
  <c r="M20" i="26" s="1"/>
  <c r="AF22" i="3"/>
  <c r="N19" i="26" s="1"/>
  <c r="AE22" i="3"/>
  <c r="M19" i="26" s="1"/>
  <c r="AF21" i="3"/>
  <c r="N18" i="26" s="1"/>
  <c r="AE21" i="3"/>
  <c r="M18" i="26" s="1"/>
  <c r="AF20" i="3"/>
  <c r="N17" i="26" s="1"/>
  <c r="AE20" i="3"/>
  <c r="M17" i="26" s="1"/>
  <c r="AF19" i="3"/>
  <c r="N16" i="26" s="1"/>
  <c r="AE19" i="3"/>
  <c r="M16" i="26" s="1"/>
  <c r="AF18" i="3"/>
  <c r="N15" i="26" s="1"/>
  <c r="AE18" i="3"/>
  <c r="M15" i="26" s="1"/>
  <c r="AF17" i="3"/>
  <c r="N14" i="26" s="1"/>
  <c r="AE17" i="3"/>
  <c r="M14" i="26" s="1"/>
  <c r="AF16" i="3"/>
  <c r="N13" i="26" s="1"/>
  <c r="AE16" i="3"/>
  <c r="M13" i="26" s="1"/>
  <c r="AF15" i="3"/>
  <c r="N12" i="26" s="1"/>
  <c r="AE15" i="3"/>
  <c r="M12" i="26" s="1"/>
  <c r="AF14" i="3"/>
  <c r="N11" i="26" s="1"/>
  <c r="AE14" i="3"/>
  <c r="M11" i="26" s="1"/>
  <c r="AF13" i="3"/>
  <c r="N10" i="26" s="1"/>
  <c r="AE13" i="3"/>
  <c r="M10" i="26" s="1"/>
  <c r="AF12" i="3"/>
  <c r="N9" i="26" s="1"/>
  <c r="AE12" i="3"/>
  <c r="M9" i="26" s="1"/>
  <c r="AF11" i="3"/>
  <c r="N8" i="26" s="1"/>
  <c r="AE11" i="3"/>
  <c r="M8" i="26" s="1"/>
  <c r="CA259" i="3"/>
  <c r="CA258" i="3"/>
  <c r="CA257" i="3"/>
  <c r="CA256" i="3"/>
  <c r="CA255" i="3"/>
  <c r="CA254" i="3"/>
  <c r="CA253" i="3"/>
  <c r="CA252" i="3"/>
  <c r="CA251" i="3"/>
  <c r="CA250" i="3"/>
  <c r="CA249" i="3"/>
  <c r="CA248" i="3"/>
  <c r="CA247" i="3"/>
  <c r="CA246" i="3"/>
  <c r="CA245" i="3"/>
  <c r="CA244" i="3"/>
  <c r="CA243" i="3"/>
  <c r="CA242" i="3"/>
  <c r="CA241" i="3"/>
  <c r="CA240" i="3"/>
  <c r="CA239" i="3"/>
  <c r="CA238" i="3"/>
  <c r="CA237" i="3"/>
  <c r="CA236" i="3"/>
  <c r="CA235" i="3"/>
  <c r="CA234" i="3"/>
  <c r="CA233" i="3"/>
  <c r="CA232" i="3"/>
  <c r="CA231" i="3"/>
  <c r="CA230" i="3"/>
  <c r="CA229" i="3"/>
  <c r="CA228" i="3"/>
  <c r="CA227" i="3"/>
  <c r="CA226" i="3"/>
  <c r="CA225" i="3"/>
  <c r="CA224" i="3"/>
  <c r="CA223" i="3"/>
  <c r="CA222" i="3"/>
  <c r="CA221" i="3"/>
  <c r="CA220" i="3"/>
  <c r="CA219" i="3"/>
  <c r="CA218" i="3"/>
  <c r="CA217" i="3"/>
  <c r="CA216" i="3"/>
  <c r="CA215" i="3"/>
  <c r="CA214" i="3"/>
  <c r="CA213" i="3"/>
  <c r="CA212" i="3"/>
  <c r="CA211" i="3"/>
  <c r="CA210" i="3"/>
  <c r="CA209" i="3"/>
  <c r="CA208" i="3"/>
  <c r="CA207" i="3"/>
  <c r="CA206" i="3"/>
  <c r="CA205" i="3"/>
  <c r="CA204" i="3"/>
  <c r="CA203" i="3"/>
  <c r="CA202" i="3"/>
  <c r="CA201" i="3"/>
  <c r="CA200" i="3"/>
  <c r="CA199" i="3"/>
  <c r="CA198" i="3"/>
  <c r="CA197" i="3"/>
  <c r="CA196" i="3"/>
  <c r="CA195" i="3"/>
  <c r="CA194" i="3"/>
  <c r="CA193" i="3"/>
  <c r="CA192" i="3"/>
  <c r="CA191" i="3"/>
  <c r="CA190" i="3"/>
  <c r="CA189" i="3"/>
  <c r="CA188" i="3"/>
  <c r="CA187" i="3"/>
  <c r="CA186" i="3"/>
  <c r="CA185" i="3"/>
  <c r="CA184" i="3"/>
  <c r="CA183" i="3"/>
  <c r="CA182" i="3"/>
  <c r="CA181" i="3"/>
  <c r="CA180" i="3"/>
  <c r="CA179" i="3"/>
  <c r="CA178" i="3"/>
  <c r="CA177" i="3"/>
  <c r="CA176" i="3"/>
  <c r="CA175" i="3"/>
  <c r="CA174" i="3"/>
  <c r="CA173" i="3"/>
  <c r="CA172" i="3"/>
  <c r="CA171" i="3"/>
  <c r="CA170" i="3"/>
  <c r="CA169" i="3"/>
  <c r="CA168" i="3"/>
  <c r="CA167" i="3"/>
  <c r="CA166" i="3"/>
  <c r="CA165" i="3"/>
  <c r="CA164" i="3"/>
  <c r="CA163" i="3"/>
  <c r="CA162" i="3"/>
  <c r="CA161" i="3"/>
  <c r="CA160" i="3"/>
  <c r="CA159" i="3"/>
  <c r="CA158" i="3"/>
  <c r="CA157" i="3"/>
  <c r="CA156" i="3"/>
  <c r="CA155" i="3"/>
  <c r="CA154" i="3"/>
  <c r="CA153" i="3"/>
  <c r="CA152" i="3"/>
  <c r="CA151" i="3"/>
  <c r="CA150" i="3"/>
  <c r="CA149" i="3"/>
  <c r="CA148" i="3"/>
  <c r="CA147" i="3"/>
  <c r="CA146" i="3"/>
  <c r="CA145" i="3"/>
  <c r="CA144" i="3"/>
  <c r="CA143" i="3"/>
  <c r="CA142" i="3"/>
  <c r="CA141" i="3"/>
  <c r="CA140" i="3"/>
  <c r="CA139" i="3"/>
  <c r="CA138" i="3"/>
  <c r="CA137" i="3"/>
  <c r="CA136" i="3"/>
  <c r="CA135" i="3"/>
  <c r="CA134" i="3"/>
  <c r="CA133" i="3"/>
  <c r="CA132" i="3"/>
  <c r="CA131" i="3"/>
  <c r="CA130" i="3"/>
  <c r="CA129" i="3"/>
  <c r="CA128" i="3"/>
  <c r="CA127" i="3"/>
  <c r="CA126" i="3"/>
  <c r="CA125" i="3"/>
  <c r="CA124" i="3"/>
  <c r="CA123" i="3"/>
  <c r="CA122" i="3"/>
  <c r="CA121" i="3"/>
  <c r="CA120" i="3"/>
  <c r="CA119" i="3"/>
  <c r="CA118" i="3"/>
  <c r="CA117" i="3"/>
  <c r="CA116" i="3"/>
  <c r="CA115" i="3"/>
  <c r="CA114" i="3"/>
  <c r="CA113" i="3"/>
  <c r="CA112" i="3"/>
  <c r="CA111" i="3"/>
  <c r="CA110" i="3"/>
  <c r="CA109" i="3"/>
  <c r="CA108" i="3"/>
  <c r="CA107" i="3"/>
  <c r="CA106" i="3"/>
  <c r="CA105" i="3"/>
  <c r="CA104" i="3"/>
  <c r="CA103" i="3"/>
  <c r="CA102" i="3"/>
  <c r="CA101" i="3"/>
  <c r="CA100" i="3"/>
  <c r="CA99" i="3"/>
  <c r="CA98" i="3"/>
  <c r="CA97" i="3"/>
  <c r="CA96" i="3"/>
  <c r="CA95" i="3"/>
  <c r="CA94" i="3"/>
  <c r="CA93" i="3"/>
  <c r="CA92" i="3"/>
  <c r="CA91" i="3"/>
  <c r="CA90" i="3"/>
  <c r="CA89" i="3"/>
  <c r="CA88" i="3"/>
  <c r="CA87" i="3"/>
  <c r="CA86" i="3"/>
  <c r="CA85" i="3"/>
  <c r="CA84" i="3"/>
  <c r="CA83" i="3"/>
  <c r="CA82" i="3"/>
  <c r="CA81" i="3"/>
  <c r="CA80" i="3"/>
  <c r="CA79" i="3"/>
  <c r="CA78" i="3"/>
  <c r="CA77" i="3"/>
  <c r="CA76" i="3"/>
  <c r="CA75" i="3"/>
  <c r="CA74" i="3"/>
  <c r="CA73" i="3"/>
  <c r="CA72" i="3"/>
  <c r="CA71" i="3"/>
  <c r="CA70" i="3"/>
  <c r="CA69" i="3"/>
  <c r="CA68" i="3"/>
  <c r="CA67" i="3"/>
  <c r="CA66" i="3"/>
  <c r="CA65" i="3"/>
  <c r="CA64" i="3"/>
  <c r="CA63" i="3"/>
  <c r="CA62" i="3"/>
  <c r="CA61" i="3"/>
  <c r="CA60" i="3"/>
  <c r="CA59" i="3"/>
  <c r="CA58" i="3"/>
  <c r="CA57" i="3"/>
  <c r="CA56" i="3"/>
  <c r="CA55" i="3"/>
  <c r="CA54" i="3"/>
  <c r="CA53" i="3"/>
  <c r="CA52" i="3"/>
  <c r="CA51" i="3"/>
  <c r="CA50" i="3"/>
  <c r="CA49" i="3"/>
  <c r="CA48" i="3"/>
  <c r="CA47" i="3"/>
  <c r="CA46" i="3"/>
  <c r="CA45" i="3"/>
  <c r="CA44" i="3"/>
  <c r="CA43" i="3"/>
  <c r="CA42" i="3"/>
  <c r="CA41" i="3"/>
  <c r="CA40" i="3"/>
  <c r="CA39" i="3"/>
  <c r="CA38" i="3"/>
  <c r="CA37" i="3"/>
  <c r="CA36" i="3"/>
  <c r="CA35" i="3"/>
  <c r="CA34" i="3"/>
  <c r="CA33" i="3"/>
  <c r="CA32" i="3"/>
  <c r="CA31" i="3"/>
  <c r="CA30" i="3"/>
  <c r="CA29" i="3"/>
  <c r="CA28" i="3"/>
  <c r="CA27" i="3"/>
  <c r="CA26" i="3"/>
  <c r="CA25" i="3"/>
  <c r="CA24" i="3"/>
  <c r="CA23" i="3"/>
  <c r="CA22" i="3"/>
  <c r="CA21" i="3"/>
  <c r="CA20" i="3"/>
  <c r="CA19" i="3"/>
  <c r="CA18" i="3"/>
  <c r="CA17" i="3"/>
  <c r="CA16" i="3"/>
  <c r="CA15" i="3"/>
  <c r="CA14" i="3"/>
  <c r="CA13" i="3"/>
  <c r="CA12" i="3"/>
  <c r="CA11" i="3"/>
  <c r="CA10" i="3"/>
  <c r="CO10" i="3"/>
  <c r="CO259" i="3"/>
  <c r="CO258" i="3"/>
  <c r="CO257" i="3"/>
  <c r="CO256" i="3"/>
  <c r="CO255" i="3"/>
  <c r="CO254" i="3"/>
  <c r="CO253" i="3"/>
  <c r="CO252" i="3"/>
  <c r="CO251" i="3"/>
  <c r="CO250" i="3"/>
  <c r="CO249" i="3"/>
  <c r="CO248" i="3"/>
  <c r="CO247" i="3"/>
  <c r="CO246" i="3"/>
  <c r="CO245" i="3"/>
  <c r="CO244" i="3"/>
  <c r="CO243" i="3"/>
  <c r="CO242" i="3"/>
  <c r="CO241" i="3"/>
  <c r="CO240" i="3"/>
  <c r="CO239" i="3"/>
  <c r="CO238" i="3"/>
  <c r="CO237" i="3"/>
  <c r="CO236" i="3"/>
  <c r="CO235" i="3"/>
  <c r="CO234" i="3"/>
  <c r="CO233" i="3"/>
  <c r="CO232" i="3"/>
  <c r="CO231" i="3"/>
  <c r="CO230" i="3"/>
  <c r="CO229" i="3"/>
  <c r="CO228" i="3"/>
  <c r="CO227" i="3"/>
  <c r="CO226" i="3"/>
  <c r="CO225" i="3"/>
  <c r="CO224" i="3"/>
  <c r="CO223" i="3"/>
  <c r="CO222" i="3"/>
  <c r="CO221" i="3"/>
  <c r="CO220" i="3"/>
  <c r="CO219" i="3"/>
  <c r="CO218" i="3"/>
  <c r="CO217" i="3"/>
  <c r="CO216" i="3"/>
  <c r="CO215" i="3"/>
  <c r="CO214" i="3"/>
  <c r="CO213" i="3"/>
  <c r="CO212" i="3"/>
  <c r="CO211" i="3"/>
  <c r="CO210" i="3"/>
  <c r="CO209" i="3"/>
  <c r="CO208" i="3"/>
  <c r="CO207" i="3"/>
  <c r="CO206" i="3"/>
  <c r="CO205" i="3"/>
  <c r="CO204" i="3"/>
  <c r="CO203" i="3"/>
  <c r="CO202" i="3"/>
  <c r="CO201" i="3"/>
  <c r="CO200" i="3"/>
  <c r="CO199" i="3"/>
  <c r="CO198" i="3"/>
  <c r="CO197" i="3"/>
  <c r="CO196" i="3"/>
  <c r="CO195" i="3"/>
  <c r="CO194" i="3"/>
  <c r="CO193" i="3"/>
  <c r="CO192" i="3"/>
  <c r="CO191" i="3"/>
  <c r="CO190" i="3"/>
  <c r="CO189" i="3"/>
  <c r="CO188" i="3"/>
  <c r="CO187" i="3"/>
  <c r="CO186" i="3"/>
  <c r="CO185" i="3"/>
  <c r="CO184" i="3"/>
  <c r="CO183" i="3"/>
  <c r="CO182" i="3"/>
  <c r="CO181" i="3"/>
  <c r="CO180" i="3"/>
  <c r="CO179" i="3"/>
  <c r="CO178" i="3"/>
  <c r="CO177" i="3"/>
  <c r="CO176" i="3"/>
  <c r="CO175" i="3"/>
  <c r="CO174" i="3"/>
  <c r="CO173" i="3"/>
  <c r="CO172" i="3"/>
  <c r="CO171" i="3"/>
  <c r="CO170" i="3"/>
  <c r="CO169" i="3"/>
  <c r="CO168" i="3"/>
  <c r="CO167" i="3"/>
  <c r="CO166" i="3"/>
  <c r="CO165" i="3"/>
  <c r="CO164" i="3"/>
  <c r="CO163" i="3"/>
  <c r="CO162" i="3"/>
  <c r="CO161" i="3"/>
  <c r="CO160" i="3"/>
  <c r="CO159" i="3"/>
  <c r="CO158" i="3"/>
  <c r="CO157" i="3"/>
  <c r="CO156" i="3"/>
  <c r="CO155" i="3"/>
  <c r="CO154" i="3"/>
  <c r="CO153" i="3"/>
  <c r="CO152" i="3"/>
  <c r="CO151" i="3"/>
  <c r="CO150" i="3"/>
  <c r="CO149" i="3"/>
  <c r="CO148" i="3"/>
  <c r="CO147" i="3"/>
  <c r="CO146" i="3"/>
  <c r="CO145" i="3"/>
  <c r="CO144" i="3"/>
  <c r="CO143" i="3"/>
  <c r="CO142" i="3"/>
  <c r="CO141" i="3"/>
  <c r="CO140" i="3"/>
  <c r="CO139" i="3"/>
  <c r="CO138" i="3"/>
  <c r="CO137" i="3"/>
  <c r="CO136" i="3"/>
  <c r="CO135" i="3"/>
  <c r="CO134" i="3"/>
  <c r="CO133" i="3"/>
  <c r="CO132" i="3"/>
  <c r="CO131" i="3"/>
  <c r="CO130" i="3"/>
  <c r="CO129" i="3"/>
  <c r="CO128" i="3"/>
  <c r="CO127" i="3"/>
  <c r="CO126" i="3"/>
  <c r="CO125" i="3"/>
  <c r="CO124" i="3"/>
  <c r="CO123" i="3"/>
  <c r="CO122" i="3"/>
  <c r="CO121" i="3"/>
  <c r="CO120" i="3"/>
  <c r="CO119" i="3"/>
  <c r="CO118" i="3"/>
  <c r="CO117" i="3"/>
  <c r="CO116" i="3"/>
  <c r="CO115" i="3"/>
  <c r="CO114" i="3"/>
  <c r="CO113" i="3"/>
  <c r="CO112" i="3"/>
  <c r="CO111" i="3"/>
  <c r="CO110" i="3"/>
  <c r="CO109" i="3"/>
  <c r="CO108" i="3"/>
  <c r="CO107" i="3"/>
  <c r="CO106" i="3"/>
  <c r="CO105" i="3"/>
  <c r="CO104" i="3"/>
  <c r="CO103" i="3"/>
  <c r="CO102" i="3"/>
  <c r="CO101" i="3"/>
  <c r="CO100" i="3"/>
  <c r="CO99" i="3"/>
  <c r="CO98" i="3"/>
  <c r="CO97" i="3"/>
  <c r="CO96" i="3"/>
  <c r="CO95" i="3"/>
  <c r="CO94" i="3"/>
  <c r="CO93" i="3"/>
  <c r="CO92" i="3"/>
  <c r="CO91" i="3"/>
  <c r="CO90" i="3"/>
  <c r="CO89" i="3"/>
  <c r="CO88" i="3"/>
  <c r="CO87" i="3"/>
  <c r="CO86" i="3"/>
  <c r="CO85" i="3"/>
  <c r="CO84" i="3"/>
  <c r="CO83" i="3"/>
  <c r="CO82" i="3"/>
  <c r="CO81" i="3"/>
  <c r="CO80" i="3"/>
  <c r="CO79" i="3"/>
  <c r="CO78" i="3"/>
  <c r="CO77" i="3"/>
  <c r="CO76" i="3"/>
  <c r="CO75" i="3"/>
  <c r="CO74" i="3"/>
  <c r="CO73" i="3"/>
  <c r="CO72" i="3"/>
  <c r="CO71" i="3"/>
  <c r="CO70" i="3"/>
  <c r="CO69" i="3"/>
  <c r="CO68" i="3"/>
  <c r="CO67" i="3"/>
  <c r="CO66" i="3"/>
  <c r="CO65" i="3"/>
  <c r="CO64" i="3"/>
  <c r="CO63" i="3"/>
  <c r="CO62" i="3"/>
  <c r="CO61" i="3"/>
  <c r="CO60" i="3"/>
  <c r="CO59" i="3"/>
  <c r="CO58" i="3"/>
  <c r="CO57" i="3"/>
  <c r="CO56" i="3"/>
  <c r="CO55" i="3"/>
  <c r="CO54" i="3"/>
  <c r="CO53" i="3"/>
  <c r="CO52" i="3"/>
  <c r="CO51" i="3"/>
  <c r="CO50" i="3"/>
  <c r="CO49" i="3"/>
  <c r="CO48" i="3"/>
  <c r="CO47" i="3"/>
  <c r="CO46" i="3"/>
  <c r="CO45" i="3"/>
  <c r="CO44" i="3"/>
  <c r="CO43" i="3"/>
  <c r="CO42" i="3"/>
  <c r="CO41" i="3"/>
  <c r="CO40" i="3"/>
  <c r="CO39" i="3"/>
  <c r="CO38" i="3"/>
  <c r="CO37" i="3"/>
  <c r="CO36" i="3"/>
  <c r="CO35" i="3"/>
  <c r="CO34" i="3"/>
  <c r="CO33" i="3"/>
  <c r="CO32" i="3"/>
  <c r="CO31" i="3"/>
  <c r="CO30" i="3"/>
  <c r="CO29" i="3"/>
  <c r="CO28" i="3"/>
  <c r="CO27" i="3"/>
  <c r="CO26" i="3"/>
  <c r="CO25" i="3"/>
  <c r="CO24" i="3"/>
  <c r="CO23" i="3"/>
  <c r="CO22" i="3"/>
  <c r="CO21" i="3"/>
  <c r="CO20" i="3"/>
  <c r="CO19" i="3"/>
  <c r="CO18" i="3"/>
  <c r="CO17" i="3"/>
  <c r="CO16" i="3"/>
  <c r="CO15" i="3"/>
  <c r="CO14" i="3"/>
  <c r="CO13" i="3"/>
  <c r="CO12" i="3"/>
  <c r="CO11" i="3"/>
  <c r="CQ259" i="3"/>
  <c r="CQ258" i="3"/>
  <c r="CQ257" i="3"/>
  <c r="CQ256" i="3"/>
  <c r="CQ255" i="3"/>
  <c r="CQ254" i="3"/>
  <c r="CQ253" i="3"/>
  <c r="CQ252" i="3"/>
  <c r="CQ251" i="3"/>
  <c r="CQ250" i="3"/>
  <c r="CQ249" i="3"/>
  <c r="CQ248" i="3"/>
  <c r="CQ247" i="3"/>
  <c r="CQ246" i="3"/>
  <c r="CQ245" i="3"/>
  <c r="CQ244" i="3"/>
  <c r="CQ243" i="3"/>
  <c r="CQ242" i="3"/>
  <c r="CQ241" i="3"/>
  <c r="CQ240" i="3"/>
  <c r="CQ239" i="3"/>
  <c r="CQ238" i="3"/>
  <c r="CQ237" i="3"/>
  <c r="CQ236" i="3"/>
  <c r="CQ235" i="3"/>
  <c r="CQ234" i="3"/>
  <c r="CQ233" i="3"/>
  <c r="CQ232" i="3"/>
  <c r="CQ231" i="3"/>
  <c r="CQ230" i="3"/>
  <c r="CQ229" i="3"/>
  <c r="CQ228" i="3"/>
  <c r="CQ227" i="3"/>
  <c r="CQ226" i="3"/>
  <c r="CQ225" i="3"/>
  <c r="CQ224" i="3"/>
  <c r="CQ223" i="3"/>
  <c r="CQ222" i="3"/>
  <c r="CQ221" i="3"/>
  <c r="CQ220" i="3"/>
  <c r="CQ219" i="3"/>
  <c r="CQ218" i="3"/>
  <c r="CQ217" i="3"/>
  <c r="CQ216" i="3"/>
  <c r="CQ215" i="3"/>
  <c r="CQ214" i="3"/>
  <c r="CQ213" i="3"/>
  <c r="CQ212" i="3"/>
  <c r="CQ211" i="3"/>
  <c r="CQ210" i="3"/>
  <c r="CQ209" i="3"/>
  <c r="CQ208" i="3"/>
  <c r="CQ207" i="3"/>
  <c r="CQ206" i="3"/>
  <c r="CQ205" i="3"/>
  <c r="CQ204" i="3"/>
  <c r="CQ203" i="3"/>
  <c r="CQ202" i="3"/>
  <c r="CQ201" i="3"/>
  <c r="CQ200" i="3"/>
  <c r="CQ199" i="3"/>
  <c r="CQ198" i="3"/>
  <c r="CQ197" i="3"/>
  <c r="CQ196" i="3"/>
  <c r="CQ195" i="3"/>
  <c r="CQ194" i="3"/>
  <c r="CQ193" i="3"/>
  <c r="CQ192" i="3"/>
  <c r="CQ191" i="3"/>
  <c r="CQ190" i="3"/>
  <c r="CQ189" i="3"/>
  <c r="CQ188" i="3"/>
  <c r="CQ187" i="3"/>
  <c r="CQ186" i="3"/>
  <c r="CQ185" i="3"/>
  <c r="CQ184" i="3"/>
  <c r="CQ183" i="3"/>
  <c r="CQ182" i="3"/>
  <c r="CQ181" i="3"/>
  <c r="CQ180" i="3"/>
  <c r="CQ179" i="3"/>
  <c r="CQ178" i="3"/>
  <c r="CQ177" i="3"/>
  <c r="CQ176" i="3"/>
  <c r="CQ175" i="3"/>
  <c r="CQ174" i="3"/>
  <c r="CQ173" i="3"/>
  <c r="CQ172" i="3"/>
  <c r="CQ171" i="3"/>
  <c r="CQ170" i="3"/>
  <c r="CQ169" i="3"/>
  <c r="CQ168" i="3"/>
  <c r="CQ167" i="3"/>
  <c r="CQ166" i="3"/>
  <c r="CQ165" i="3"/>
  <c r="CQ164" i="3"/>
  <c r="CQ163" i="3"/>
  <c r="CQ162" i="3"/>
  <c r="CQ161" i="3"/>
  <c r="CQ160" i="3"/>
  <c r="CQ159" i="3"/>
  <c r="CQ158" i="3"/>
  <c r="CQ157" i="3"/>
  <c r="CQ156" i="3"/>
  <c r="CQ155" i="3"/>
  <c r="CQ154" i="3"/>
  <c r="CQ153" i="3"/>
  <c r="CQ152" i="3"/>
  <c r="CQ151" i="3"/>
  <c r="CQ150" i="3"/>
  <c r="CQ149" i="3"/>
  <c r="CQ148" i="3"/>
  <c r="CQ147" i="3"/>
  <c r="CQ146" i="3"/>
  <c r="CQ145" i="3"/>
  <c r="CQ144" i="3"/>
  <c r="CQ143" i="3"/>
  <c r="CQ142" i="3"/>
  <c r="CQ141" i="3"/>
  <c r="CQ140" i="3"/>
  <c r="CQ139" i="3"/>
  <c r="CQ138" i="3"/>
  <c r="CQ137" i="3"/>
  <c r="CQ136" i="3"/>
  <c r="CQ135" i="3"/>
  <c r="CQ134" i="3"/>
  <c r="CQ133" i="3"/>
  <c r="CQ132" i="3"/>
  <c r="CQ131" i="3"/>
  <c r="CQ130" i="3"/>
  <c r="CQ129" i="3"/>
  <c r="CQ128" i="3"/>
  <c r="CQ127" i="3"/>
  <c r="CQ126" i="3"/>
  <c r="CQ125" i="3"/>
  <c r="CQ124" i="3"/>
  <c r="CQ123" i="3"/>
  <c r="CQ122" i="3"/>
  <c r="CQ121" i="3"/>
  <c r="CQ120" i="3"/>
  <c r="CQ119" i="3"/>
  <c r="CQ118" i="3"/>
  <c r="CQ117" i="3"/>
  <c r="CQ116" i="3"/>
  <c r="CQ115" i="3"/>
  <c r="CQ114" i="3"/>
  <c r="CQ113" i="3"/>
  <c r="CQ112" i="3"/>
  <c r="CQ111" i="3"/>
  <c r="CQ110" i="3"/>
  <c r="CQ109" i="3"/>
  <c r="CQ108" i="3"/>
  <c r="CQ107" i="3"/>
  <c r="CQ106" i="3"/>
  <c r="CQ105" i="3"/>
  <c r="CQ104" i="3"/>
  <c r="CQ103" i="3"/>
  <c r="CQ102" i="3"/>
  <c r="CQ101" i="3"/>
  <c r="CQ100" i="3"/>
  <c r="CQ99" i="3"/>
  <c r="CQ98" i="3"/>
  <c r="CQ97" i="3"/>
  <c r="CQ96" i="3"/>
  <c r="CQ95" i="3"/>
  <c r="CQ94" i="3"/>
  <c r="CQ93" i="3"/>
  <c r="CQ92" i="3"/>
  <c r="CQ91" i="3"/>
  <c r="CQ90" i="3"/>
  <c r="CQ89" i="3"/>
  <c r="CQ88" i="3"/>
  <c r="CQ87" i="3"/>
  <c r="CQ86" i="3"/>
  <c r="CQ85" i="3"/>
  <c r="CQ84" i="3"/>
  <c r="CQ83" i="3"/>
  <c r="CQ82" i="3"/>
  <c r="CQ81" i="3"/>
  <c r="CQ80" i="3"/>
  <c r="CQ79" i="3"/>
  <c r="CQ78" i="3"/>
  <c r="CQ77" i="3"/>
  <c r="CQ76" i="3"/>
  <c r="CQ75" i="3"/>
  <c r="CQ74" i="3"/>
  <c r="CQ73" i="3"/>
  <c r="CQ72" i="3"/>
  <c r="CQ71" i="3"/>
  <c r="CQ70" i="3"/>
  <c r="CQ69" i="3"/>
  <c r="CQ68" i="3"/>
  <c r="CQ67" i="3"/>
  <c r="CQ66" i="3"/>
  <c r="CQ65" i="3"/>
  <c r="CQ64" i="3"/>
  <c r="CQ63" i="3"/>
  <c r="CQ62" i="3"/>
  <c r="CQ61" i="3"/>
  <c r="CQ60" i="3"/>
  <c r="CQ59" i="3"/>
  <c r="CQ58" i="3"/>
  <c r="CQ57" i="3"/>
  <c r="CQ56" i="3"/>
  <c r="CQ55" i="3"/>
  <c r="CQ54" i="3"/>
  <c r="CQ53" i="3"/>
  <c r="CQ52" i="3"/>
  <c r="CQ51" i="3"/>
  <c r="CQ50" i="3"/>
  <c r="CQ49" i="3"/>
  <c r="CQ48" i="3"/>
  <c r="CQ47" i="3"/>
  <c r="CQ46" i="3"/>
  <c r="CQ45" i="3"/>
  <c r="CQ44" i="3"/>
  <c r="CQ43" i="3"/>
  <c r="CQ42" i="3"/>
  <c r="CQ41" i="3"/>
  <c r="CQ40" i="3"/>
  <c r="CQ39" i="3"/>
  <c r="CQ38" i="3"/>
  <c r="CQ37" i="3"/>
  <c r="CQ36" i="3"/>
  <c r="CQ35" i="3"/>
  <c r="CQ34" i="3"/>
  <c r="CQ33" i="3"/>
  <c r="CQ32" i="3"/>
  <c r="CQ31" i="3"/>
  <c r="CQ30" i="3"/>
  <c r="CQ29" i="3"/>
  <c r="CQ28" i="3"/>
  <c r="CQ27" i="3"/>
  <c r="CQ26" i="3"/>
  <c r="CQ25" i="3"/>
  <c r="CQ24" i="3"/>
  <c r="CQ23" i="3"/>
  <c r="CQ22" i="3"/>
  <c r="CQ21" i="3"/>
  <c r="CQ20" i="3"/>
  <c r="CQ19" i="3"/>
  <c r="CQ18" i="3"/>
  <c r="CQ17" i="3"/>
  <c r="CQ16" i="3"/>
  <c r="CQ15" i="3"/>
  <c r="CQ14" i="3"/>
  <c r="CQ13" i="3"/>
  <c r="CQ12" i="3"/>
  <c r="CQ11" i="3"/>
  <c r="CQ10" i="3"/>
  <c r="CR259" i="3"/>
  <c r="CR258" i="3"/>
  <c r="CR257" i="3"/>
  <c r="CR256" i="3"/>
  <c r="CR255" i="3"/>
  <c r="CR254" i="3"/>
  <c r="CR253" i="3"/>
  <c r="CR252" i="3"/>
  <c r="CR251" i="3"/>
  <c r="CR250" i="3"/>
  <c r="CR249" i="3"/>
  <c r="CR248" i="3"/>
  <c r="CR247" i="3"/>
  <c r="CR246" i="3"/>
  <c r="CR245" i="3"/>
  <c r="CR244" i="3"/>
  <c r="CR243" i="3"/>
  <c r="CR242" i="3"/>
  <c r="CR241" i="3"/>
  <c r="CR240" i="3"/>
  <c r="CR239" i="3"/>
  <c r="CR238" i="3"/>
  <c r="CR237" i="3"/>
  <c r="CR236" i="3"/>
  <c r="CR235" i="3"/>
  <c r="CR234" i="3"/>
  <c r="CR233" i="3"/>
  <c r="CR232" i="3"/>
  <c r="CR231" i="3"/>
  <c r="CR230" i="3"/>
  <c r="CR229" i="3"/>
  <c r="CR228" i="3"/>
  <c r="CR227" i="3"/>
  <c r="CR226" i="3"/>
  <c r="CR225" i="3"/>
  <c r="CR224" i="3"/>
  <c r="CR223" i="3"/>
  <c r="CR222" i="3"/>
  <c r="CR221" i="3"/>
  <c r="CR220" i="3"/>
  <c r="CR219" i="3"/>
  <c r="CR218" i="3"/>
  <c r="CR217" i="3"/>
  <c r="CR216" i="3"/>
  <c r="CR215" i="3"/>
  <c r="CR214" i="3"/>
  <c r="CR213" i="3"/>
  <c r="CR212" i="3"/>
  <c r="CR211" i="3"/>
  <c r="CR210" i="3"/>
  <c r="CR209" i="3"/>
  <c r="CR208" i="3"/>
  <c r="CR207" i="3"/>
  <c r="CR206" i="3"/>
  <c r="CR205" i="3"/>
  <c r="CR204" i="3"/>
  <c r="CR203" i="3"/>
  <c r="CR202" i="3"/>
  <c r="CR201" i="3"/>
  <c r="CR200" i="3"/>
  <c r="CR199" i="3"/>
  <c r="CR198" i="3"/>
  <c r="CR197" i="3"/>
  <c r="CR196" i="3"/>
  <c r="CR195" i="3"/>
  <c r="CR194" i="3"/>
  <c r="CR193" i="3"/>
  <c r="CR192" i="3"/>
  <c r="CR191" i="3"/>
  <c r="CR190" i="3"/>
  <c r="CR189" i="3"/>
  <c r="CR188" i="3"/>
  <c r="CR187" i="3"/>
  <c r="CR186" i="3"/>
  <c r="CR185" i="3"/>
  <c r="CR184" i="3"/>
  <c r="CR183" i="3"/>
  <c r="CR182" i="3"/>
  <c r="CR181" i="3"/>
  <c r="CR180" i="3"/>
  <c r="CR179" i="3"/>
  <c r="CR178" i="3"/>
  <c r="CR177" i="3"/>
  <c r="CR176" i="3"/>
  <c r="CR175" i="3"/>
  <c r="CR174" i="3"/>
  <c r="CR173" i="3"/>
  <c r="CR172" i="3"/>
  <c r="CR171" i="3"/>
  <c r="CR170" i="3"/>
  <c r="CR169" i="3"/>
  <c r="CR168" i="3"/>
  <c r="CR167" i="3"/>
  <c r="CR166" i="3"/>
  <c r="CR165" i="3"/>
  <c r="CR164" i="3"/>
  <c r="CR163" i="3"/>
  <c r="CR162" i="3"/>
  <c r="CR161" i="3"/>
  <c r="CR160" i="3"/>
  <c r="CR159" i="3"/>
  <c r="CR158" i="3"/>
  <c r="CR157" i="3"/>
  <c r="CR156" i="3"/>
  <c r="CR155" i="3"/>
  <c r="CR154" i="3"/>
  <c r="CR153" i="3"/>
  <c r="CR152" i="3"/>
  <c r="CR151" i="3"/>
  <c r="CR150" i="3"/>
  <c r="CR149" i="3"/>
  <c r="CR148" i="3"/>
  <c r="CR147" i="3"/>
  <c r="CR146" i="3"/>
  <c r="CR145" i="3"/>
  <c r="CR144" i="3"/>
  <c r="CR143" i="3"/>
  <c r="CR142" i="3"/>
  <c r="CR141" i="3"/>
  <c r="CR140" i="3"/>
  <c r="CR139" i="3"/>
  <c r="CR138" i="3"/>
  <c r="CR137" i="3"/>
  <c r="CR136" i="3"/>
  <c r="CR135" i="3"/>
  <c r="CR134" i="3"/>
  <c r="CR133" i="3"/>
  <c r="CR132" i="3"/>
  <c r="CR131" i="3"/>
  <c r="CR130" i="3"/>
  <c r="CR129" i="3"/>
  <c r="CR128" i="3"/>
  <c r="CR127" i="3"/>
  <c r="CR126" i="3"/>
  <c r="CR125" i="3"/>
  <c r="CR124" i="3"/>
  <c r="CR123" i="3"/>
  <c r="CR122" i="3"/>
  <c r="CR121" i="3"/>
  <c r="CR120" i="3"/>
  <c r="CR119" i="3"/>
  <c r="CR118" i="3"/>
  <c r="CR117" i="3"/>
  <c r="CR116" i="3"/>
  <c r="CR115" i="3"/>
  <c r="CR114" i="3"/>
  <c r="CR113" i="3"/>
  <c r="CR112" i="3"/>
  <c r="CR111" i="3"/>
  <c r="CR110" i="3"/>
  <c r="CR109" i="3"/>
  <c r="CR108" i="3"/>
  <c r="CR107" i="3"/>
  <c r="CR106" i="3"/>
  <c r="CR105" i="3"/>
  <c r="CR104" i="3"/>
  <c r="CR103" i="3"/>
  <c r="CR102" i="3"/>
  <c r="CR101" i="3"/>
  <c r="CR100" i="3"/>
  <c r="CR99" i="3"/>
  <c r="CR98" i="3"/>
  <c r="CR97" i="3"/>
  <c r="CR96" i="3"/>
  <c r="CR95" i="3"/>
  <c r="CR94" i="3"/>
  <c r="CR93" i="3"/>
  <c r="CR92" i="3"/>
  <c r="CR91" i="3"/>
  <c r="CR90" i="3"/>
  <c r="CR89" i="3"/>
  <c r="CR88" i="3"/>
  <c r="CR87" i="3"/>
  <c r="CR86" i="3"/>
  <c r="CR85" i="3"/>
  <c r="CR84" i="3"/>
  <c r="CR83" i="3"/>
  <c r="CR82" i="3"/>
  <c r="CR81" i="3"/>
  <c r="CR80" i="3"/>
  <c r="CR79" i="3"/>
  <c r="CR78" i="3"/>
  <c r="CR77" i="3"/>
  <c r="CR76" i="3"/>
  <c r="CR75" i="3"/>
  <c r="CR74" i="3"/>
  <c r="CR73" i="3"/>
  <c r="CR72" i="3"/>
  <c r="CR71" i="3"/>
  <c r="CR70" i="3"/>
  <c r="CR69" i="3"/>
  <c r="CR68" i="3"/>
  <c r="CR67" i="3"/>
  <c r="CR66" i="3"/>
  <c r="CR65" i="3"/>
  <c r="CR64" i="3"/>
  <c r="CR63" i="3"/>
  <c r="CR62" i="3"/>
  <c r="CR61" i="3"/>
  <c r="CR60" i="3"/>
  <c r="CR59" i="3"/>
  <c r="CR58" i="3"/>
  <c r="CR57" i="3"/>
  <c r="CR56" i="3"/>
  <c r="CR55" i="3"/>
  <c r="CR54" i="3"/>
  <c r="CR53" i="3"/>
  <c r="CR52" i="3"/>
  <c r="CR51" i="3"/>
  <c r="CR50" i="3"/>
  <c r="CR49" i="3"/>
  <c r="CR48" i="3"/>
  <c r="CR47" i="3"/>
  <c r="CR46" i="3"/>
  <c r="CR45" i="3"/>
  <c r="CR44" i="3"/>
  <c r="CR43" i="3"/>
  <c r="CR42" i="3"/>
  <c r="CR41" i="3"/>
  <c r="CR40" i="3"/>
  <c r="CR39" i="3"/>
  <c r="CR38" i="3"/>
  <c r="CR37" i="3"/>
  <c r="CR36" i="3"/>
  <c r="CR35" i="3"/>
  <c r="CR34" i="3"/>
  <c r="CR33" i="3"/>
  <c r="CR32" i="3"/>
  <c r="CR31" i="3"/>
  <c r="CR30" i="3"/>
  <c r="CR29" i="3"/>
  <c r="CR28" i="3"/>
  <c r="CR27" i="3"/>
  <c r="CR26" i="3"/>
  <c r="CR25" i="3"/>
  <c r="CR24" i="3"/>
  <c r="CR23" i="3"/>
  <c r="CR22" i="3"/>
  <c r="CR21" i="3"/>
  <c r="CR20" i="3"/>
  <c r="CR19" i="3"/>
  <c r="CR18" i="3"/>
  <c r="CR17" i="3"/>
  <c r="CR16" i="3"/>
  <c r="CR15" i="3"/>
  <c r="CR14" i="3"/>
  <c r="CR13" i="3"/>
  <c r="CR12" i="3"/>
  <c r="CR11" i="3"/>
  <c r="CR10" i="3"/>
  <c r="BX259" i="3" l="1"/>
  <c r="BX258" i="3"/>
  <c r="BX257" i="3"/>
  <c r="BX256" i="3"/>
  <c r="BX255" i="3"/>
  <c r="BX254" i="3"/>
  <c r="BX253" i="3"/>
  <c r="BX252" i="3"/>
  <c r="BX251" i="3"/>
  <c r="BX250" i="3"/>
  <c r="BX249" i="3"/>
  <c r="BX248" i="3"/>
  <c r="BX247" i="3"/>
  <c r="BX246" i="3"/>
  <c r="BX245" i="3"/>
  <c r="BX244" i="3"/>
  <c r="BX243" i="3"/>
  <c r="BX242" i="3"/>
  <c r="BX241" i="3"/>
  <c r="BX240" i="3"/>
  <c r="BX239" i="3"/>
  <c r="BX238" i="3"/>
  <c r="BX237" i="3"/>
  <c r="BX236" i="3"/>
  <c r="BX235" i="3"/>
  <c r="BX234" i="3"/>
  <c r="BX233" i="3"/>
  <c r="BX232" i="3"/>
  <c r="BX231" i="3"/>
  <c r="BX230" i="3"/>
  <c r="BX229" i="3"/>
  <c r="BX228" i="3"/>
  <c r="BX227" i="3"/>
  <c r="BX226" i="3"/>
  <c r="BX225" i="3"/>
  <c r="BX224" i="3"/>
  <c r="BX223" i="3"/>
  <c r="BX222" i="3"/>
  <c r="BX221" i="3"/>
  <c r="BX220" i="3"/>
  <c r="BX219" i="3"/>
  <c r="BX218" i="3"/>
  <c r="BX217" i="3"/>
  <c r="BX216" i="3"/>
  <c r="BX215" i="3"/>
  <c r="BX214" i="3"/>
  <c r="BX213" i="3"/>
  <c r="BX212" i="3"/>
  <c r="BX211" i="3"/>
  <c r="BX210" i="3"/>
  <c r="BX209" i="3"/>
  <c r="BX208" i="3"/>
  <c r="BX207" i="3"/>
  <c r="BX206" i="3"/>
  <c r="BX205" i="3"/>
  <c r="BX204" i="3"/>
  <c r="BX203" i="3"/>
  <c r="BX202" i="3"/>
  <c r="BX201" i="3"/>
  <c r="BX200" i="3"/>
  <c r="BX199" i="3"/>
  <c r="BX198" i="3"/>
  <c r="BX197" i="3"/>
  <c r="BX196" i="3"/>
  <c r="BX195" i="3"/>
  <c r="BX194" i="3"/>
  <c r="BX193" i="3"/>
  <c r="BX192" i="3"/>
  <c r="BX191" i="3"/>
  <c r="BX190" i="3"/>
  <c r="BX189" i="3"/>
  <c r="BX188" i="3"/>
  <c r="BX187" i="3"/>
  <c r="BX186" i="3"/>
  <c r="BX185" i="3"/>
  <c r="BX184" i="3"/>
  <c r="BX183" i="3"/>
  <c r="BX182" i="3"/>
  <c r="BX181" i="3"/>
  <c r="BX180" i="3"/>
  <c r="BX179" i="3"/>
  <c r="BX178" i="3"/>
  <c r="BX177" i="3"/>
  <c r="BX176" i="3"/>
  <c r="BX175" i="3"/>
  <c r="BX174" i="3"/>
  <c r="BX173" i="3"/>
  <c r="BX172" i="3"/>
  <c r="BX171" i="3"/>
  <c r="BX170" i="3"/>
  <c r="BX169" i="3"/>
  <c r="BX168" i="3"/>
  <c r="BX167" i="3"/>
  <c r="BX166" i="3"/>
  <c r="BX165" i="3"/>
  <c r="BX164" i="3"/>
  <c r="BX163" i="3"/>
  <c r="BX162" i="3"/>
  <c r="BX161" i="3"/>
  <c r="BX160" i="3"/>
  <c r="BX159" i="3"/>
  <c r="BX158" i="3"/>
  <c r="BX157" i="3"/>
  <c r="BX156" i="3"/>
  <c r="BX155" i="3"/>
  <c r="BX154" i="3"/>
  <c r="BX153" i="3"/>
  <c r="BX152" i="3"/>
  <c r="BX151" i="3"/>
  <c r="BX150" i="3"/>
  <c r="BX149" i="3"/>
  <c r="BX148" i="3"/>
  <c r="BX147" i="3"/>
  <c r="BX146" i="3"/>
  <c r="BX145" i="3"/>
  <c r="BX144" i="3"/>
  <c r="BX143" i="3"/>
  <c r="BX142" i="3"/>
  <c r="BX141" i="3"/>
  <c r="BX140" i="3"/>
  <c r="BX139" i="3"/>
  <c r="BX138" i="3"/>
  <c r="BX137" i="3"/>
  <c r="BX136" i="3"/>
  <c r="BX135" i="3"/>
  <c r="BX134" i="3"/>
  <c r="BX133" i="3"/>
  <c r="BX132" i="3"/>
  <c r="BX131" i="3"/>
  <c r="BX130" i="3"/>
  <c r="BX129" i="3"/>
  <c r="BX128" i="3"/>
  <c r="BX127" i="3"/>
  <c r="BX126" i="3"/>
  <c r="BX125" i="3"/>
  <c r="BX124" i="3"/>
  <c r="BX123" i="3"/>
  <c r="BX122" i="3"/>
  <c r="BX121" i="3"/>
  <c r="BX120" i="3"/>
  <c r="BX119" i="3"/>
  <c r="BX118" i="3"/>
  <c r="BX117" i="3"/>
  <c r="BX116" i="3"/>
  <c r="BX115" i="3"/>
  <c r="BX114" i="3"/>
  <c r="BX113" i="3"/>
  <c r="BX112" i="3"/>
  <c r="BX111" i="3"/>
  <c r="BX110" i="3"/>
  <c r="BX109" i="3"/>
  <c r="BX108" i="3"/>
  <c r="BX107" i="3"/>
  <c r="BX106" i="3"/>
  <c r="BX105" i="3"/>
  <c r="BX104" i="3"/>
  <c r="BX103" i="3"/>
  <c r="BX102" i="3"/>
  <c r="BX101" i="3"/>
  <c r="BX100" i="3"/>
  <c r="BX99" i="3"/>
  <c r="BX98" i="3"/>
  <c r="BX97" i="3"/>
  <c r="BX96" i="3"/>
  <c r="BX95" i="3"/>
  <c r="BX94" i="3"/>
  <c r="BX93" i="3"/>
  <c r="BX92" i="3"/>
  <c r="BX91" i="3"/>
  <c r="BX90" i="3"/>
  <c r="BX89" i="3"/>
  <c r="BX88" i="3"/>
  <c r="BX87" i="3"/>
  <c r="BX86" i="3"/>
  <c r="BX85" i="3"/>
  <c r="BX84" i="3"/>
  <c r="BX83" i="3"/>
  <c r="BX82" i="3"/>
  <c r="BX81" i="3"/>
  <c r="BX80" i="3"/>
  <c r="BX79" i="3"/>
  <c r="BX78" i="3"/>
  <c r="BX77" i="3"/>
  <c r="BX76" i="3"/>
  <c r="BX75" i="3"/>
  <c r="BX74" i="3"/>
  <c r="BX73" i="3"/>
  <c r="BX72" i="3"/>
  <c r="BX71" i="3"/>
  <c r="BX70" i="3"/>
  <c r="BX69" i="3"/>
  <c r="BX68" i="3"/>
  <c r="BX67" i="3"/>
  <c r="BX66" i="3"/>
  <c r="BX65" i="3"/>
  <c r="BX64" i="3"/>
  <c r="BX63" i="3"/>
  <c r="BX62" i="3"/>
  <c r="BX61" i="3"/>
  <c r="BX60" i="3"/>
  <c r="BX59" i="3"/>
  <c r="BX58" i="3"/>
  <c r="BX57" i="3"/>
  <c r="BX56" i="3"/>
  <c r="BX55" i="3"/>
  <c r="BX54" i="3"/>
  <c r="BX53" i="3"/>
  <c r="BX52" i="3"/>
  <c r="BX51" i="3"/>
  <c r="BX50" i="3"/>
  <c r="BX49" i="3"/>
  <c r="BX48" i="3"/>
  <c r="BX47" i="3"/>
  <c r="BX46" i="3"/>
  <c r="BX45" i="3"/>
  <c r="BX44" i="3"/>
  <c r="BX43" i="3"/>
  <c r="BX42" i="3"/>
  <c r="BX41" i="3"/>
  <c r="BX40" i="3"/>
  <c r="BX39" i="3"/>
  <c r="BX38" i="3"/>
  <c r="BX37" i="3"/>
  <c r="BX36" i="3"/>
  <c r="BX35" i="3"/>
  <c r="BX34" i="3"/>
  <c r="BX33" i="3"/>
  <c r="BX32" i="3"/>
  <c r="BX31" i="3"/>
  <c r="BX30" i="3"/>
  <c r="BX29" i="3"/>
  <c r="BX28" i="3"/>
  <c r="BX27" i="3"/>
  <c r="BX26" i="3"/>
  <c r="BX25" i="3"/>
  <c r="BX24" i="3"/>
  <c r="BX23" i="3"/>
  <c r="BX22" i="3"/>
  <c r="BX21" i="3"/>
  <c r="BX20" i="3"/>
  <c r="BX19" i="3"/>
  <c r="BX18" i="3"/>
  <c r="BX17" i="3"/>
  <c r="BX16" i="3"/>
  <c r="BX15" i="3"/>
  <c r="BX14" i="3"/>
  <c r="BX13" i="3"/>
  <c r="BX12" i="3"/>
  <c r="BX11" i="3"/>
  <c r="BX10" i="3"/>
  <c r="M136" i="11" l="1"/>
  <c r="M133" i="11"/>
  <c r="M155" i="11" s="1"/>
  <c r="Q160" i="11"/>
  <c r="P160" i="11"/>
  <c r="O160" i="11"/>
  <c r="N160" i="11"/>
  <c r="M160" i="11"/>
  <c r="L160" i="11"/>
  <c r="K160" i="11"/>
  <c r="J160" i="11"/>
  <c r="Q159" i="11"/>
  <c r="P159" i="11"/>
  <c r="O159" i="11"/>
  <c r="N159" i="11"/>
  <c r="M159" i="11"/>
  <c r="L159" i="11"/>
  <c r="K159" i="11"/>
  <c r="J159" i="11"/>
  <c r="Q158" i="11"/>
  <c r="P158" i="11"/>
  <c r="O158" i="11"/>
  <c r="N158" i="11"/>
  <c r="M158" i="11"/>
  <c r="L158" i="11"/>
  <c r="K158" i="11"/>
  <c r="J158" i="11"/>
  <c r="Q157" i="11"/>
  <c r="P157" i="11"/>
  <c r="O157" i="11"/>
  <c r="N157" i="11"/>
  <c r="M157" i="11"/>
  <c r="L157" i="11"/>
  <c r="K157" i="11"/>
  <c r="J157" i="11"/>
  <c r="Q156" i="11"/>
  <c r="P156" i="11"/>
  <c r="O156" i="11"/>
  <c r="N156" i="11"/>
  <c r="M156" i="11"/>
  <c r="L156" i="11"/>
  <c r="K156" i="11"/>
  <c r="J156" i="11"/>
  <c r="Q128" i="11"/>
  <c r="P128" i="11"/>
  <c r="O128" i="11"/>
  <c r="N128" i="11"/>
  <c r="M128" i="11"/>
  <c r="L128" i="11"/>
  <c r="K128" i="11"/>
  <c r="J128" i="11"/>
  <c r="Q127" i="11"/>
  <c r="P127" i="11"/>
  <c r="O127" i="11"/>
  <c r="N127" i="11"/>
  <c r="M127" i="11"/>
  <c r="L127" i="11"/>
  <c r="K127" i="11"/>
  <c r="J127" i="11"/>
  <c r="Q126" i="11"/>
  <c r="P126" i="11"/>
  <c r="O126" i="11"/>
  <c r="N126" i="11"/>
  <c r="M126" i="11"/>
  <c r="L126" i="11"/>
  <c r="K126" i="11"/>
  <c r="J126" i="11"/>
  <c r="Q125" i="11"/>
  <c r="P125" i="11"/>
  <c r="O125" i="11"/>
  <c r="N125" i="11"/>
  <c r="M125" i="11"/>
  <c r="L125" i="11"/>
  <c r="K125" i="11"/>
  <c r="J125" i="11"/>
  <c r="Q124" i="11"/>
  <c r="P124" i="11"/>
  <c r="O124" i="11"/>
  <c r="N124" i="11"/>
  <c r="M124" i="11"/>
  <c r="L124" i="11"/>
  <c r="K124" i="11"/>
  <c r="J124" i="11"/>
  <c r="Q96" i="11"/>
  <c r="P96" i="11"/>
  <c r="O96" i="11"/>
  <c r="N96" i="11"/>
  <c r="M96" i="11"/>
  <c r="L96" i="11"/>
  <c r="K96" i="11"/>
  <c r="J96" i="11"/>
  <c r="Q95" i="11"/>
  <c r="P95" i="11"/>
  <c r="O95" i="11"/>
  <c r="N95" i="11"/>
  <c r="M95" i="11"/>
  <c r="L95" i="11"/>
  <c r="K95" i="11"/>
  <c r="J95" i="11"/>
  <c r="Q94" i="11"/>
  <c r="P94" i="11"/>
  <c r="O94" i="11"/>
  <c r="N94" i="11"/>
  <c r="M94" i="11"/>
  <c r="L94" i="11"/>
  <c r="K94" i="11"/>
  <c r="J94" i="11"/>
  <c r="Q93" i="11"/>
  <c r="P93" i="11"/>
  <c r="O93" i="11"/>
  <c r="N93" i="11"/>
  <c r="M93" i="11"/>
  <c r="L93" i="11"/>
  <c r="K93" i="11"/>
  <c r="J93" i="11"/>
  <c r="Q92" i="11"/>
  <c r="P92" i="11"/>
  <c r="O92" i="11"/>
  <c r="N92" i="11"/>
  <c r="M92" i="11"/>
  <c r="L92" i="11"/>
  <c r="K92" i="11"/>
  <c r="J92" i="11"/>
  <c r="Q64" i="11"/>
  <c r="P64" i="11"/>
  <c r="O64" i="11"/>
  <c r="N64" i="11"/>
  <c r="M64" i="11"/>
  <c r="L64" i="11"/>
  <c r="K64" i="11"/>
  <c r="J64" i="11"/>
  <c r="Q63" i="11"/>
  <c r="P63" i="11"/>
  <c r="O63" i="11"/>
  <c r="N63" i="11"/>
  <c r="M63" i="11"/>
  <c r="L63" i="11"/>
  <c r="K63" i="11"/>
  <c r="J63" i="11"/>
  <c r="Q62" i="11"/>
  <c r="P62" i="11"/>
  <c r="O62" i="11"/>
  <c r="N62" i="11"/>
  <c r="M62" i="11"/>
  <c r="L62" i="11"/>
  <c r="K62" i="11"/>
  <c r="J62" i="11"/>
  <c r="Q61" i="11"/>
  <c r="P61" i="11"/>
  <c r="O61" i="11"/>
  <c r="N61" i="11"/>
  <c r="M61" i="11"/>
  <c r="L61" i="11"/>
  <c r="K61" i="11"/>
  <c r="J61" i="11"/>
  <c r="Q60" i="11"/>
  <c r="P60" i="11"/>
  <c r="O60" i="11"/>
  <c r="N60" i="11"/>
  <c r="M60" i="11"/>
  <c r="L60" i="11"/>
  <c r="K60" i="11"/>
  <c r="J60" i="11"/>
  <c r="P32" i="11"/>
  <c r="P31" i="11"/>
  <c r="P30" i="11"/>
  <c r="P29" i="11"/>
  <c r="P28" i="11"/>
  <c r="M32" i="11"/>
  <c r="M31" i="11"/>
  <c r="M30" i="11"/>
  <c r="M29" i="11"/>
  <c r="M28" i="11"/>
  <c r="H160" i="11"/>
  <c r="G160" i="11"/>
  <c r="F160" i="11"/>
  <c r="E160" i="11"/>
  <c r="D160" i="11"/>
  <c r="C160" i="11"/>
  <c r="H159" i="11"/>
  <c r="G159" i="11"/>
  <c r="F159" i="11"/>
  <c r="E159" i="11"/>
  <c r="D159" i="11"/>
  <c r="C159" i="11"/>
  <c r="H158" i="11"/>
  <c r="G158" i="11"/>
  <c r="F158" i="11"/>
  <c r="E158" i="11"/>
  <c r="D158" i="11"/>
  <c r="C158" i="11"/>
  <c r="H157" i="11"/>
  <c r="G157" i="11"/>
  <c r="F157" i="11"/>
  <c r="E157" i="11"/>
  <c r="D157" i="11"/>
  <c r="C157" i="11"/>
  <c r="H156" i="11"/>
  <c r="G156" i="11"/>
  <c r="F156" i="11"/>
  <c r="E156" i="11"/>
  <c r="D156" i="11"/>
  <c r="C156" i="11"/>
  <c r="H128" i="11"/>
  <c r="G128" i="11"/>
  <c r="F128" i="11"/>
  <c r="E128" i="11"/>
  <c r="D128" i="11"/>
  <c r="C128" i="11"/>
  <c r="H127" i="11"/>
  <c r="G127" i="11"/>
  <c r="F127" i="11"/>
  <c r="E127" i="11"/>
  <c r="D127" i="11"/>
  <c r="C127" i="11"/>
  <c r="H126" i="11"/>
  <c r="G126" i="11"/>
  <c r="F126" i="11"/>
  <c r="E126" i="11"/>
  <c r="D126" i="11"/>
  <c r="C126" i="11"/>
  <c r="H125" i="11"/>
  <c r="G125" i="11"/>
  <c r="F125" i="11"/>
  <c r="E125" i="11"/>
  <c r="D125" i="11"/>
  <c r="C125" i="11"/>
  <c r="H124" i="11"/>
  <c r="G124" i="11"/>
  <c r="F124" i="11"/>
  <c r="E124" i="11"/>
  <c r="D124" i="11"/>
  <c r="C124" i="11"/>
  <c r="H96" i="11"/>
  <c r="G96" i="11"/>
  <c r="F96" i="11"/>
  <c r="E96" i="11"/>
  <c r="D96" i="11"/>
  <c r="C96" i="11"/>
  <c r="H95" i="11"/>
  <c r="G95" i="11"/>
  <c r="F95" i="11"/>
  <c r="E95" i="11"/>
  <c r="D95" i="11"/>
  <c r="C95" i="11"/>
  <c r="H94" i="11"/>
  <c r="G94" i="11"/>
  <c r="F94" i="11"/>
  <c r="E94" i="11"/>
  <c r="D94" i="11"/>
  <c r="C94" i="11"/>
  <c r="H93" i="11"/>
  <c r="G93" i="11"/>
  <c r="F93" i="11"/>
  <c r="E93" i="11"/>
  <c r="D93" i="11"/>
  <c r="C93" i="11"/>
  <c r="H92" i="11"/>
  <c r="G92" i="11"/>
  <c r="F92" i="11"/>
  <c r="E92" i="11"/>
  <c r="D92" i="11"/>
  <c r="C92" i="11"/>
  <c r="H64" i="11"/>
  <c r="G64" i="11"/>
  <c r="F64" i="11"/>
  <c r="E64" i="11"/>
  <c r="D64" i="11"/>
  <c r="C64" i="11"/>
  <c r="H63" i="11"/>
  <c r="G63" i="11"/>
  <c r="F63" i="11"/>
  <c r="E63" i="11"/>
  <c r="D63" i="11"/>
  <c r="C63" i="11"/>
  <c r="H62" i="11"/>
  <c r="G62" i="11"/>
  <c r="F62" i="11"/>
  <c r="E62" i="11"/>
  <c r="D62" i="11"/>
  <c r="C62" i="11"/>
  <c r="H61" i="11"/>
  <c r="G61" i="11"/>
  <c r="F61" i="11"/>
  <c r="E61" i="11"/>
  <c r="D61" i="11"/>
  <c r="C61" i="11"/>
  <c r="H60" i="11"/>
  <c r="G60" i="11"/>
  <c r="F60" i="11"/>
  <c r="E60" i="11"/>
  <c r="D60" i="11"/>
  <c r="C60" i="11"/>
  <c r="H32" i="11"/>
  <c r="H31" i="11"/>
  <c r="H30" i="11"/>
  <c r="H29" i="11"/>
  <c r="H28" i="11"/>
  <c r="F32" i="11"/>
  <c r="F31" i="11"/>
  <c r="F30" i="11"/>
  <c r="F29" i="11"/>
  <c r="F28" i="11"/>
  <c r="C28" i="11"/>
  <c r="CN10" i="3" l="1"/>
  <c r="CB10" i="3"/>
  <c r="BZ10" i="3"/>
  <c r="CN259" i="3" l="1"/>
  <c r="CN258" i="3"/>
  <c r="CN257" i="3"/>
  <c r="CN256" i="3"/>
  <c r="CN255" i="3"/>
  <c r="CN254" i="3"/>
  <c r="CN253" i="3"/>
  <c r="CN252" i="3"/>
  <c r="CN251" i="3"/>
  <c r="CN250" i="3"/>
  <c r="CN249" i="3"/>
  <c r="CN248" i="3"/>
  <c r="CN247" i="3"/>
  <c r="CN246" i="3"/>
  <c r="CN245" i="3"/>
  <c r="CN244" i="3"/>
  <c r="CN243" i="3"/>
  <c r="CN242" i="3"/>
  <c r="CN241" i="3"/>
  <c r="CN240" i="3"/>
  <c r="CN239" i="3"/>
  <c r="CN238" i="3"/>
  <c r="CN237" i="3"/>
  <c r="CN236" i="3"/>
  <c r="CN235" i="3"/>
  <c r="CN234" i="3"/>
  <c r="CN233" i="3"/>
  <c r="CN232" i="3"/>
  <c r="CN231" i="3"/>
  <c r="CN230" i="3"/>
  <c r="CN229" i="3"/>
  <c r="CN228" i="3"/>
  <c r="CN227" i="3"/>
  <c r="CN226" i="3"/>
  <c r="CN225" i="3"/>
  <c r="CN224" i="3"/>
  <c r="CN223" i="3"/>
  <c r="CN222" i="3"/>
  <c r="CN221" i="3"/>
  <c r="CN220" i="3"/>
  <c r="CN219" i="3"/>
  <c r="CN218" i="3"/>
  <c r="CN217" i="3"/>
  <c r="CN216" i="3"/>
  <c r="CN215" i="3"/>
  <c r="CN214" i="3"/>
  <c r="CN213" i="3"/>
  <c r="CN212" i="3"/>
  <c r="CN211" i="3"/>
  <c r="CN210" i="3"/>
  <c r="CN209" i="3"/>
  <c r="CN208" i="3"/>
  <c r="CN207" i="3"/>
  <c r="CN206" i="3"/>
  <c r="CN205" i="3"/>
  <c r="CN204" i="3"/>
  <c r="CN203" i="3"/>
  <c r="CN202" i="3"/>
  <c r="CN201" i="3"/>
  <c r="CN200" i="3"/>
  <c r="CN199" i="3"/>
  <c r="CN198" i="3"/>
  <c r="CN197" i="3"/>
  <c r="CN196" i="3"/>
  <c r="CN195" i="3"/>
  <c r="CN194" i="3"/>
  <c r="CN193" i="3"/>
  <c r="CN192" i="3"/>
  <c r="CN191" i="3"/>
  <c r="CN190" i="3"/>
  <c r="CN189" i="3"/>
  <c r="CN188" i="3"/>
  <c r="CN187" i="3"/>
  <c r="CN186" i="3"/>
  <c r="CN185" i="3"/>
  <c r="CN184" i="3"/>
  <c r="CN183" i="3"/>
  <c r="CN182" i="3"/>
  <c r="CN181" i="3"/>
  <c r="CN180" i="3"/>
  <c r="CN179" i="3"/>
  <c r="CN178" i="3"/>
  <c r="CN177" i="3"/>
  <c r="CN176" i="3"/>
  <c r="CN175" i="3"/>
  <c r="CN174" i="3"/>
  <c r="CN173" i="3"/>
  <c r="CN172" i="3"/>
  <c r="CN171" i="3"/>
  <c r="CN170" i="3"/>
  <c r="CN169" i="3"/>
  <c r="CN168" i="3"/>
  <c r="CN167" i="3"/>
  <c r="CN166" i="3"/>
  <c r="CN165" i="3"/>
  <c r="CN164" i="3"/>
  <c r="CN163" i="3"/>
  <c r="CN162" i="3"/>
  <c r="CN161" i="3"/>
  <c r="CN160" i="3"/>
  <c r="CN159" i="3"/>
  <c r="CN158" i="3"/>
  <c r="CN157" i="3"/>
  <c r="CN156" i="3"/>
  <c r="CN155" i="3"/>
  <c r="CN154" i="3"/>
  <c r="CN153" i="3"/>
  <c r="CN152" i="3"/>
  <c r="CN151" i="3"/>
  <c r="CN150" i="3"/>
  <c r="CN149" i="3"/>
  <c r="CN148" i="3"/>
  <c r="CN147" i="3"/>
  <c r="CN146" i="3"/>
  <c r="CN145" i="3"/>
  <c r="CN144" i="3"/>
  <c r="CN143" i="3"/>
  <c r="CN142" i="3"/>
  <c r="CN141" i="3"/>
  <c r="CN140" i="3"/>
  <c r="CN139" i="3"/>
  <c r="CN138" i="3"/>
  <c r="CN137" i="3"/>
  <c r="CN136" i="3"/>
  <c r="CN135" i="3"/>
  <c r="CN134" i="3"/>
  <c r="CN133" i="3"/>
  <c r="CN132" i="3"/>
  <c r="CN131" i="3"/>
  <c r="CN130" i="3"/>
  <c r="CN129" i="3"/>
  <c r="CN128" i="3"/>
  <c r="CN127" i="3"/>
  <c r="CN126" i="3"/>
  <c r="CN125" i="3"/>
  <c r="CN124" i="3"/>
  <c r="CN123" i="3"/>
  <c r="CN122" i="3"/>
  <c r="CN121" i="3"/>
  <c r="CN120" i="3"/>
  <c r="CN119" i="3"/>
  <c r="CN118" i="3"/>
  <c r="CN117" i="3"/>
  <c r="CN116" i="3"/>
  <c r="CN115" i="3"/>
  <c r="CN114" i="3"/>
  <c r="CN113" i="3"/>
  <c r="CN112" i="3"/>
  <c r="CN111" i="3"/>
  <c r="CN110" i="3"/>
  <c r="CN109" i="3"/>
  <c r="CN108" i="3"/>
  <c r="CN107" i="3"/>
  <c r="CN106" i="3"/>
  <c r="CN105" i="3"/>
  <c r="CN104" i="3"/>
  <c r="CN103" i="3"/>
  <c r="CN102" i="3"/>
  <c r="CN101" i="3"/>
  <c r="CN100" i="3"/>
  <c r="CN99" i="3"/>
  <c r="CN98" i="3"/>
  <c r="CN97" i="3"/>
  <c r="CN96" i="3"/>
  <c r="CN95" i="3"/>
  <c r="CN94" i="3"/>
  <c r="CN93" i="3"/>
  <c r="CN92" i="3"/>
  <c r="CN91" i="3"/>
  <c r="CN90" i="3"/>
  <c r="CN89" i="3"/>
  <c r="CN88" i="3"/>
  <c r="CN87" i="3"/>
  <c r="CN86" i="3"/>
  <c r="CN85" i="3"/>
  <c r="CN84" i="3"/>
  <c r="CN83" i="3"/>
  <c r="CN82" i="3"/>
  <c r="CN81" i="3"/>
  <c r="CN80" i="3"/>
  <c r="CN79" i="3"/>
  <c r="CN78" i="3"/>
  <c r="CN77" i="3"/>
  <c r="CN76" i="3"/>
  <c r="CN75" i="3"/>
  <c r="CN74" i="3"/>
  <c r="CN73" i="3"/>
  <c r="CN72" i="3"/>
  <c r="CN71" i="3"/>
  <c r="CN70" i="3"/>
  <c r="CN69" i="3"/>
  <c r="CN68" i="3"/>
  <c r="CN67" i="3"/>
  <c r="CN66" i="3"/>
  <c r="CN65" i="3"/>
  <c r="CN64" i="3"/>
  <c r="CN63" i="3"/>
  <c r="CN62" i="3"/>
  <c r="CN61" i="3"/>
  <c r="CN60" i="3"/>
  <c r="CN59" i="3"/>
  <c r="CN58" i="3"/>
  <c r="CN57" i="3"/>
  <c r="CN56" i="3"/>
  <c r="CN55" i="3"/>
  <c r="CN54" i="3"/>
  <c r="CN53" i="3"/>
  <c r="CN52" i="3"/>
  <c r="CN51" i="3"/>
  <c r="CN50" i="3"/>
  <c r="CN49" i="3"/>
  <c r="CN48" i="3"/>
  <c r="CN47" i="3"/>
  <c r="CN46" i="3"/>
  <c r="CN45" i="3"/>
  <c r="CN44" i="3"/>
  <c r="CN43" i="3"/>
  <c r="CN42" i="3"/>
  <c r="CN41" i="3"/>
  <c r="CN40" i="3"/>
  <c r="CN39" i="3"/>
  <c r="CN38" i="3"/>
  <c r="CN37" i="3"/>
  <c r="CN36" i="3"/>
  <c r="CN35" i="3"/>
  <c r="CN34" i="3"/>
  <c r="CN33" i="3"/>
  <c r="CN32" i="3"/>
  <c r="CN31" i="3"/>
  <c r="CN30" i="3"/>
  <c r="CN29" i="3"/>
  <c r="CN28" i="3"/>
  <c r="CN27" i="3"/>
  <c r="CN26" i="3"/>
  <c r="CN25" i="3"/>
  <c r="CN24" i="3"/>
  <c r="CN23" i="3"/>
  <c r="CN22" i="3"/>
  <c r="CN21" i="3"/>
  <c r="CN20" i="3"/>
  <c r="CN19" i="3"/>
  <c r="CN18" i="3"/>
  <c r="CN17" i="3"/>
  <c r="CN16" i="3"/>
  <c r="CN15" i="3"/>
  <c r="CN14" i="3"/>
  <c r="CN13" i="3"/>
  <c r="CN12" i="3"/>
  <c r="CN11" i="3"/>
  <c r="CB259" i="3"/>
  <c r="CB258" i="3"/>
  <c r="CB257" i="3"/>
  <c r="CB256" i="3"/>
  <c r="CB255" i="3"/>
  <c r="CB254" i="3"/>
  <c r="CB253" i="3"/>
  <c r="CB252" i="3"/>
  <c r="CB251" i="3"/>
  <c r="CB250" i="3"/>
  <c r="CB249" i="3"/>
  <c r="CB248" i="3"/>
  <c r="CB247" i="3"/>
  <c r="CB246" i="3"/>
  <c r="CB245" i="3"/>
  <c r="CB244" i="3"/>
  <c r="CB243" i="3"/>
  <c r="CB242" i="3"/>
  <c r="CB241" i="3"/>
  <c r="CB240" i="3"/>
  <c r="CB239" i="3"/>
  <c r="CB238" i="3"/>
  <c r="CB237" i="3"/>
  <c r="CB236" i="3"/>
  <c r="CB235" i="3"/>
  <c r="CB234" i="3"/>
  <c r="CB233" i="3"/>
  <c r="CB232" i="3"/>
  <c r="CB231" i="3"/>
  <c r="CB230" i="3"/>
  <c r="CB229" i="3"/>
  <c r="CB228" i="3"/>
  <c r="CB227" i="3"/>
  <c r="CB226" i="3"/>
  <c r="CB225" i="3"/>
  <c r="CB224" i="3"/>
  <c r="CB223" i="3"/>
  <c r="CB222" i="3"/>
  <c r="CB221" i="3"/>
  <c r="CB220" i="3"/>
  <c r="CB219" i="3"/>
  <c r="CB218" i="3"/>
  <c r="CB217" i="3"/>
  <c r="CB216" i="3"/>
  <c r="CB215" i="3"/>
  <c r="CB214" i="3"/>
  <c r="CB213" i="3"/>
  <c r="CB212" i="3"/>
  <c r="CB211" i="3"/>
  <c r="CB210" i="3"/>
  <c r="CB209" i="3"/>
  <c r="CB208" i="3"/>
  <c r="CB207" i="3"/>
  <c r="CB206" i="3"/>
  <c r="CB205" i="3"/>
  <c r="CB204" i="3"/>
  <c r="CB203" i="3"/>
  <c r="CB202" i="3"/>
  <c r="CB201" i="3"/>
  <c r="CB200" i="3"/>
  <c r="CB199" i="3"/>
  <c r="CB198" i="3"/>
  <c r="CB197" i="3"/>
  <c r="CB196" i="3"/>
  <c r="CB195" i="3"/>
  <c r="CB194" i="3"/>
  <c r="CB193" i="3"/>
  <c r="CB192" i="3"/>
  <c r="CB191" i="3"/>
  <c r="CB190" i="3"/>
  <c r="CB189" i="3"/>
  <c r="CB188" i="3"/>
  <c r="CB187" i="3"/>
  <c r="CB186" i="3"/>
  <c r="CB185" i="3"/>
  <c r="CB184" i="3"/>
  <c r="CB183" i="3"/>
  <c r="CB182" i="3"/>
  <c r="CB181" i="3"/>
  <c r="CB180" i="3"/>
  <c r="CB179" i="3"/>
  <c r="CB178" i="3"/>
  <c r="CB177" i="3"/>
  <c r="CB176" i="3"/>
  <c r="CB175" i="3"/>
  <c r="CB174" i="3"/>
  <c r="CB173" i="3"/>
  <c r="CB172" i="3"/>
  <c r="CB171" i="3"/>
  <c r="CB170" i="3"/>
  <c r="CB169" i="3"/>
  <c r="CB168" i="3"/>
  <c r="CB167" i="3"/>
  <c r="CB166" i="3"/>
  <c r="CB165" i="3"/>
  <c r="CB164" i="3"/>
  <c r="CB163" i="3"/>
  <c r="CB162" i="3"/>
  <c r="CB161" i="3"/>
  <c r="CB160" i="3"/>
  <c r="CB159" i="3"/>
  <c r="CB158" i="3"/>
  <c r="CB157" i="3"/>
  <c r="CB156" i="3"/>
  <c r="CB155" i="3"/>
  <c r="CB154" i="3"/>
  <c r="CB153" i="3"/>
  <c r="CB152" i="3"/>
  <c r="CB151" i="3"/>
  <c r="CB150" i="3"/>
  <c r="CB149" i="3"/>
  <c r="CB148" i="3"/>
  <c r="CB147" i="3"/>
  <c r="CB146" i="3"/>
  <c r="CB145" i="3"/>
  <c r="CB144" i="3"/>
  <c r="CB143" i="3"/>
  <c r="CB142" i="3"/>
  <c r="CB141" i="3"/>
  <c r="CB140" i="3"/>
  <c r="CB139" i="3"/>
  <c r="CB138" i="3"/>
  <c r="CB137" i="3"/>
  <c r="CB136" i="3"/>
  <c r="CB135" i="3"/>
  <c r="CB134" i="3"/>
  <c r="CB133" i="3"/>
  <c r="CB132" i="3"/>
  <c r="CB131" i="3"/>
  <c r="CB130" i="3"/>
  <c r="CB129" i="3"/>
  <c r="CB128" i="3"/>
  <c r="CB127" i="3"/>
  <c r="CB126" i="3"/>
  <c r="CB125" i="3"/>
  <c r="CB124" i="3"/>
  <c r="CB123" i="3"/>
  <c r="CB122" i="3"/>
  <c r="CB121" i="3"/>
  <c r="CB120" i="3"/>
  <c r="CB119" i="3"/>
  <c r="CB118" i="3"/>
  <c r="CB117" i="3"/>
  <c r="CB116" i="3"/>
  <c r="CB115" i="3"/>
  <c r="CB114" i="3"/>
  <c r="CB113" i="3"/>
  <c r="CB112" i="3"/>
  <c r="CB111" i="3"/>
  <c r="CB110" i="3"/>
  <c r="CB109" i="3"/>
  <c r="CB108" i="3"/>
  <c r="CB107" i="3"/>
  <c r="CB106" i="3"/>
  <c r="CB105" i="3"/>
  <c r="CB104" i="3"/>
  <c r="CB103" i="3"/>
  <c r="CB102" i="3"/>
  <c r="CB101" i="3"/>
  <c r="CB100" i="3"/>
  <c r="CB99" i="3"/>
  <c r="CB98" i="3"/>
  <c r="CB97" i="3"/>
  <c r="CB96" i="3"/>
  <c r="CB95" i="3"/>
  <c r="CB94" i="3"/>
  <c r="CB93" i="3"/>
  <c r="CB92" i="3"/>
  <c r="CB91" i="3"/>
  <c r="CB90" i="3"/>
  <c r="CB89" i="3"/>
  <c r="CB88" i="3"/>
  <c r="CB87" i="3"/>
  <c r="CB86" i="3"/>
  <c r="CB85" i="3"/>
  <c r="CB84" i="3"/>
  <c r="CB83" i="3"/>
  <c r="CB82" i="3"/>
  <c r="CB81" i="3"/>
  <c r="CB80" i="3"/>
  <c r="CB79" i="3"/>
  <c r="CB78" i="3"/>
  <c r="CB77" i="3"/>
  <c r="CB76" i="3"/>
  <c r="CB75" i="3"/>
  <c r="CB74" i="3"/>
  <c r="CB73" i="3"/>
  <c r="CB72" i="3"/>
  <c r="CB71" i="3"/>
  <c r="CB70" i="3"/>
  <c r="CB69" i="3"/>
  <c r="CB68" i="3"/>
  <c r="CB67" i="3"/>
  <c r="CB66" i="3"/>
  <c r="CB65" i="3"/>
  <c r="CB64" i="3"/>
  <c r="CB63" i="3"/>
  <c r="CB62" i="3"/>
  <c r="CB61" i="3"/>
  <c r="CB60" i="3"/>
  <c r="CB59" i="3"/>
  <c r="CB58" i="3"/>
  <c r="CB57" i="3"/>
  <c r="CB56" i="3"/>
  <c r="CB55" i="3"/>
  <c r="CB54" i="3"/>
  <c r="CB53" i="3"/>
  <c r="CB52" i="3"/>
  <c r="CB51" i="3"/>
  <c r="CB50" i="3"/>
  <c r="CB49" i="3"/>
  <c r="CB48" i="3"/>
  <c r="CB47" i="3"/>
  <c r="CB46" i="3"/>
  <c r="CB45" i="3"/>
  <c r="CB44" i="3"/>
  <c r="CB43" i="3"/>
  <c r="CB42" i="3"/>
  <c r="CB41" i="3"/>
  <c r="CB40" i="3"/>
  <c r="CB39" i="3"/>
  <c r="CB38" i="3"/>
  <c r="CB37" i="3"/>
  <c r="CB36" i="3"/>
  <c r="CB35" i="3"/>
  <c r="CB34" i="3"/>
  <c r="CB33" i="3"/>
  <c r="CB32" i="3"/>
  <c r="CB31" i="3"/>
  <c r="CB30" i="3"/>
  <c r="CB29" i="3"/>
  <c r="CB28" i="3"/>
  <c r="CB27" i="3"/>
  <c r="CB26" i="3"/>
  <c r="CB25" i="3"/>
  <c r="CB24" i="3"/>
  <c r="CB23" i="3"/>
  <c r="CB22" i="3"/>
  <c r="CB21" i="3"/>
  <c r="CB20" i="3"/>
  <c r="CB19" i="3"/>
  <c r="CB18" i="3"/>
  <c r="CB17" i="3"/>
  <c r="CB16" i="3"/>
  <c r="CB15" i="3"/>
  <c r="CB14" i="3"/>
  <c r="CB13" i="3"/>
  <c r="CB12" i="3"/>
  <c r="CB11" i="3"/>
  <c r="BZ259" i="3" l="1"/>
  <c r="BZ258" i="3"/>
  <c r="BZ257" i="3"/>
  <c r="BZ256" i="3"/>
  <c r="BZ255" i="3"/>
  <c r="BZ254" i="3"/>
  <c r="BZ253" i="3"/>
  <c r="BZ252" i="3"/>
  <c r="BZ251" i="3"/>
  <c r="BZ250" i="3"/>
  <c r="BZ249" i="3"/>
  <c r="BZ248" i="3"/>
  <c r="BZ247" i="3"/>
  <c r="BZ246" i="3"/>
  <c r="BZ245" i="3"/>
  <c r="BZ244" i="3"/>
  <c r="BZ243" i="3"/>
  <c r="BZ242" i="3"/>
  <c r="BZ241" i="3"/>
  <c r="BZ240" i="3"/>
  <c r="BZ239" i="3"/>
  <c r="BZ238" i="3"/>
  <c r="BZ237" i="3"/>
  <c r="BZ236" i="3"/>
  <c r="BZ235" i="3"/>
  <c r="BZ234" i="3"/>
  <c r="BZ233" i="3"/>
  <c r="BZ232" i="3"/>
  <c r="BZ231" i="3"/>
  <c r="BZ230" i="3"/>
  <c r="BZ229" i="3"/>
  <c r="BZ228" i="3"/>
  <c r="BZ227" i="3"/>
  <c r="BZ226" i="3"/>
  <c r="BZ225" i="3"/>
  <c r="BZ224" i="3"/>
  <c r="BZ223" i="3"/>
  <c r="BZ222" i="3"/>
  <c r="BZ221" i="3"/>
  <c r="BZ220" i="3"/>
  <c r="BZ219" i="3"/>
  <c r="BZ218" i="3"/>
  <c r="BZ217" i="3"/>
  <c r="BZ216" i="3"/>
  <c r="BZ215" i="3"/>
  <c r="BZ214" i="3"/>
  <c r="BZ213" i="3"/>
  <c r="BZ212" i="3"/>
  <c r="BZ211" i="3"/>
  <c r="BZ210" i="3"/>
  <c r="BZ209" i="3"/>
  <c r="BZ208" i="3"/>
  <c r="BZ207" i="3"/>
  <c r="BZ206" i="3"/>
  <c r="BZ205" i="3"/>
  <c r="BZ204" i="3"/>
  <c r="BZ203" i="3"/>
  <c r="BZ202" i="3"/>
  <c r="BZ201" i="3"/>
  <c r="BZ200" i="3"/>
  <c r="BZ199" i="3"/>
  <c r="BZ198" i="3"/>
  <c r="BZ197" i="3"/>
  <c r="BZ196" i="3"/>
  <c r="BZ195" i="3"/>
  <c r="BZ194" i="3"/>
  <c r="BZ193" i="3"/>
  <c r="BZ192" i="3"/>
  <c r="BZ191" i="3"/>
  <c r="BZ190" i="3"/>
  <c r="BZ189" i="3"/>
  <c r="BZ188" i="3"/>
  <c r="BZ187" i="3"/>
  <c r="BZ186" i="3"/>
  <c r="BZ185" i="3"/>
  <c r="BZ184" i="3"/>
  <c r="BZ183" i="3"/>
  <c r="BZ182" i="3"/>
  <c r="BZ181" i="3"/>
  <c r="BZ180" i="3"/>
  <c r="BZ179" i="3"/>
  <c r="BZ178" i="3"/>
  <c r="BZ177" i="3"/>
  <c r="BZ176" i="3"/>
  <c r="BZ175" i="3"/>
  <c r="BZ174" i="3"/>
  <c r="BZ173" i="3"/>
  <c r="BZ172" i="3"/>
  <c r="BZ171" i="3"/>
  <c r="BZ170" i="3"/>
  <c r="BZ169" i="3"/>
  <c r="BZ168" i="3"/>
  <c r="BZ167" i="3"/>
  <c r="BZ166" i="3"/>
  <c r="BZ165" i="3"/>
  <c r="BZ164" i="3"/>
  <c r="BZ163" i="3"/>
  <c r="BZ162" i="3"/>
  <c r="BZ161" i="3"/>
  <c r="BZ160" i="3"/>
  <c r="BZ159" i="3"/>
  <c r="BZ158" i="3"/>
  <c r="BZ157" i="3"/>
  <c r="BZ156" i="3"/>
  <c r="BZ155" i="3"/>
  <c r="BZ154" i="3"/>
  <c r="BZ153" i="3"/>
  <c r="BZ152" i="3"/>
  <c r="BZ151" i="3"/>
  <c r="BZ150" i="3"/>
  <c r="BZ149" i="3"/>
  <c r="BZ148" i="3"/>
  <c r="BZ147" i="3"/>
  <c r="BZ146" i="3"/>
  <c r="BZ145" i="3"/>
  <c r="BZ144" i="3"/>
  <c r="BZ143" i="3"/>
  <c r="BZ142" i="3"/>
  <c r="BZ141" i="3"/>
  <c r="BZ140" i="3"/>
  <c r="BZ139" i="3"/>
  <c r="BZ138" i="3"/>
  <c r="BZ137" i="3"/>
  <c r="BZ136" i="3"/>
  <c r="BZ135" i="3"/>
  <c r="BZ134" i="3"/>
  <c r="BZ133" i="3"/>
  <c r="BZ132" i="3"/>
  <c r="BZ131" i="3"/>
  <c r="BZ130" i="3"/>
  <c r="BZ129" i="3"/>
  <c r="BZ128" i="3"/>
  <c r="BZ127" i="3"/>
  <c r="BZ126" i="3"/>
  <c r="BZ125" i="3"/>
  <c r="BZ124" i="3"/>
  <c r="BZ123" i="3"/>
  <c r="BZ122" i="3"/>
  <c r="BZ121" i="3"/>
  <c r="BZ120" i="3"/>
  <c r="BZ119" i="3"/>
  <c r="BZ118" i="3"/>
  <c r="BZ117" i="3"/>
  <c r="BZ116" i="3"/>
  <c r="BZ115" i="3"/>
  <c r="BZ114" i="3"/>
  <c r="BZ113" i="3"/>
  <c r="BZ112" i="3"/>
  <c r="BZ111" i="3"/>
  <c r="BZ110" i="3"/>
  <c r="BZ109" i="3"/>
  <c r="BZ108" i="3"/>
  <c r="BZ107" i="3"/>
  <c r="BZ106" i="3"/>
  <c r="BZ105" i="3"/>
  <c r="BZ104" i="3"/>
  <c r="BZ103" i="3"/>
  <c r="BZ102" i="3"/>
  <c r="BZ101" i="3"/>
  <c r="BZ100" i="3"/>
  <c r="BZ99" i="3"/>
  <c r="BZ98" i="3"/>
  <c r="BZ97" i="3"/>
  <c r="BZ96" i="3"/>
  <c r="BZ95" i="3"/>
  <c r="BZ94" i="3"/>
  <c r="BZ93" i="3"/>
  <c r="BZ92" i="3"/>
  <c r="BZ91" i="3"/>
  <c r="BZ90" i="3"/>
  <c r="BZ89" i="3"/>
  <c r="BZ88" i="3"/>
  <c r="BZ87" i="3"/>
  <c r="BZ86" i="3"/>
  <c r="BZ85" i="3"/>
  <c r="BZ84" i="3"/>
  <c r="BZ83" i="3"/>
  <c r="BZ82" i="3"/>
  <c r="BZ81" i="3"/>
  <c r="BZ80" i="3"/>
  <c r="BZ79" i="3"/>
  <c r="BZ78" i="3"/>
  <c r="BZ77" i="3"/>
  <c r="BZ76" i="3"/>
  <c r="BZ75" i="3"/>
  <c r="BZ74" i="3"/>
  <c r="BZ73" i="3"/>
  <c r="BZ72" i="3"/>
  <c r="BZ71" i="3"/>
  <c r="BZ70" i="3"/>
  <c r="BZ69" i="3"/>
  <c r="BZ68" i="3"/>
  <c r="BZ67" i="3"/>
  <c r="BZ66" i="3"/>
  <c r="BZ65" i="3"/>
  <c r="BZ64" i="3"/>
  <c r="BZ63" i="3"/>
  <c r="BZ62" i="3"/>
  <c r="BZ61" i="3"/>
  <c r="BZ60" i="3"/>
  <c r="BZ59" i="3"/>
  <c r="BZ58" i="3"/>
  <c r="BZ57" i="3"/>
  <c r="BZ56" i="3"/>
  <c r="BZ55" i="3"/>
  <c r="BZ54" i="3"/>
  <c r="BZ53" i="3"/>
  <c r="BZ52" i="3"/>
  <c r="BZ51" i="3"/>
  <c r="BZ50" i="3"/>
  <c r="BZ49" i="3"/>
  <c r="BZ48" i="3"/>
  <c r="BZ47" i="3"/>
  <c r="BZ46" i="3"/>
  <c r="BZ45" i="3"/>
  <c r="BZ44" i="3"/>
  <c r="BZ43" i="3"/>
  <c r="BZ42" i="3"/>
  <c r="BZ41" i="3"/>
  <c r="BZ40" i="3"/>
  <c r="BZ39" i="3"/>
  <c r="BZ38" i="3"/>
  <c r="BZ37" i="3"/>
  <c r="BZ36" i="3"/>
  <c r="BZ35" i="3"/>
  <c r="BZ34" i="3"/>
  <c r="BZ33" i="3"/>
  <c r="BZ32" i="3"/>
  <c r="BZ31" i="3"/>
  <c r="BZ30" i="3"/>
  <c r="BZ29" i="3"/>
  <c r="BZ28" i="3"/>
  <c r="BZ27" i="3"/>
  <c r="BZ26" i="3"/>
  <c r="BZ25" i="3"/>
  <c r="BZ24" i="3"/>
  <c r="BZ23" i="3"/>
  <c r="BZ22" i="3"/>
  <c r="BZ21" i="3"/>
  <c r="BZ20" i="3"/>
  <c r="BZ19" i="3"/>
  <c r="BZ18" i="3"/>
  <c r="BZ17" i="3"/>
  <c r="BZ16" i="3"/>
  <c r="BZ15" i="3"/>
  <c r="BZ14" i="3"/>
  <c r="BZ13" i="3"/>
  <c r="BZ12" i="3"/>
  <c r="BZ11" i="3"/>
  <c r="CM10" i="3"/>
  <c r="BY10" i="3" s="1"/>
  <c r="D11" i="3"/>
  <c r="AF10" i="3"/>
  <c r="N7" i="26" s="1"/>
  <c r="AE10" i="3"/>
  <c r="D8" i="25" l="1"/>
  <c r="D8" i="26"/>
  <c r="AG10" i="3"/>
  <c r="M7" i="26"/>
  <c r="D12" i="3"/>
  <c r="AH10" i="3"/>
  <c r="S6" i="16"/>
  <c r="R6" i="16"/>
  <c r="BN6" i="16"/>
  <c r="BO6" i="16"/>
  <c r="BP6" i="16"/>
  <c r="BQ6" i="16"/>
  <c r="BR6" i="16"/>
  <c r="BS6" i="16"/>
  <c r="BE6" i="16"/>
  <c r="BD6" i="16"/>
  <c r="BC6" i="16"/>
  <c r="BB6" i="16"/>
  <c r="BA6" i="16"/>
  <c r="AZ6" i="16"/>
  <c r="AY6" i="16"/>
  <c r="AX6" i="16"/>
  <c r="AW6" i="16"/>
  <c r="AV6" i="16"/>
  <c r="AU6" i="16"/>
  <c r="AT6" i="16"/>
  <c r="AS6" i="16"/>
  <c r="AR6" i="16"/>
  <c r="AQ6" i="16"/>
  <c r="AP6" i="16"/>
  <c r="AO6" i="16"/>
  <c r="AN6" i="16"/>
  <c r="AM6" i="16"/>
  <c r="AL6" i="16"/>
  <c r="AK6" i="16"/>
  <c r="AJ6" i="16"/>
  <c r="AI6" i="16"/>
  <c r="AH6" i="16"/>
  <c r="AG6" i="16"/>
  <c r="AF6" i="16"/>
  <c r="D9" i="25" l="1"/>
  <c r="D9" i="26"/>
  <c r="AI10" i="3"/>
  <c r="Q7" i="26" s="1"/>
  <c r="O7" i="26"/>
  <c r="AJ10" i="3"/>
  <c r="R7" i="26" s="1"/>
  <c r="P7" i="26"/>
  <c r="D13" i="3"/>
  <c r="X6" i="16"/>
  <c r="W6" i="16"/>
  <c r="V6" i="16"/>
  <c r="U6" i="16"/>
  <c r="T6" i="16"/>
  <c r="Q6" i="16"/>
  <c r="P6" i="16"/>
  <c r="AB6" i="16"/>
  <c r="AA6" i="16"/>
  <c r="Z6" i="16"/>
  <c r="Y6" i="16"/>
  <c r="AC6" i="16"/>
  <c r="N6" i="16"/>
  <c r="M6" i="16"/>
  <c r="L6" i="16"/>
  <c r="K6" i="16"/>
  <c r="J6" i="16"/>
  <c r="I6" i="16"/>
  <c r="H6" i="16"/>
  <c r="G6" i="16"/>
  <c r="O6" i="16"/>
  <c r="F6" i="16"/>
  <c r="E6" i="16"/>
  <c r="D6" i="16"/>
  <c r="D10" i="25" l="1"/>
  <c r="D10" i="26"/>
  <c r="D14" i="3"/>
  <c r="CZ22" i="14"/>
  <c r="CZ21" i="14"/>
  <c r="CZ20" i="14"/>
  <c r="CZ19" i="14"/>
  <c r="CZ17" i="14"/>
  <c r="CZ16" i="14"/>
  <c r="CZ15" i="14"/>
  <c r="CZ14" i="14"/>
  <c r="CZ12" i="14"/>
  <c r="CZ11" i="14"/>
  <c r="CZ10" i="14"/>
  <c r="CZ9" i="14"/>
  <c r="CZ7" i="14"/>
  <c r="CZ6" i="14"/>
  <c r="CZ5" i="14"/>
  <c r="CZ4" i="14"/>
  <c r="CZ18" i="14"/>
  <c r="CZ13" i="14"/>
  <c r="CZ8" i="14"/>
  <c r="CZ3" i="14"/>
  <c r="D11" i="26" l="1"/>
  <c r="D11" i="25"/>
  <c r="D15" i="3"/>
  <c r="CU22" i="14"/>
  <c r="CU21" i="14"/>
  <c r="CU20" i="14"/>
  <c r="CU19" i="14"/>
  <c r="CU18" i="14"/>
  <c r="CU17" i="14"/>
  <c r="CU16" i="14"/>
  <c r="CU15" i="14"/>
  <c r="CU14" i="14"/>
  <c r="CU13" i="14"/>
  <c r="CU12" i="14"/>
  <c r="CU11" i="14"/>
  <c r="CU10" i="14"/>
  <c r="CU9" i="14"/>
  <c r="CU8" i="14"/>
  <c r="CU7" i="14"/>
  <c r="CU6" i="14"/>
  <c r="CU5" i="14"/>
  <c r="CU4" i="14"/>
  <c r="D12" i="25" l="1"/>
  <c r="D12" i="26"/>
  <c r="D16" i="3"/>
  <c r="CV138" i="14"/>
  <c r="CV137" i="14"/>
  <c r="CV136" i="14"/>
  <c r="CV135" i="14"/>
  <c r="CV134" i="14"/>
  <c r="CV133" i="14"/>
  <c r="CV132" i="14"/>
  <c r="CV131" i="14"/>
  <c r="CV130" i="14"/>
  <c r="CV129" i="14"/>
  <c r="CV128" i="14"/>
  <c r="CV127" i="14"/>
  <c r="CV126" i="14"/>
  <c r="CV125" i="14"/>
  <c r="CV124" i="14"/>
  <c r="CV108" i="14"/>
  <c r="CV107" i="14"/>
  <c r="CV106" i="14"/>
  <c r="CV105" i="14"/>
  <c r="CV104" i="14"/>
  <c r="CV103" i="14"/>
  <c r="CV102" i="14"/>
  <c r="CV101" i="14"/>
  <c r="CV100" i="14"/>
  <c r="CV99" i="14"/>
  <c r="CV98" i="14"/>
  <c r="CV97" i="14"/>
  <c r="CV96" i="14"/>
  <c r="CV95" i="14"/>
  <c r="CV94" i="14"/>
  <c r="CV93" i="14"/>
  <c r="CV92" i="14"/>
  <c r="CV91" i="14"/>
  <c r="CV90" i="14"/>
  <c r="CV89" i="14"/>
  <c r="CV88" i="14"/>
  <c r="CV87" i="14"/>
  <c r="CV86" i="14"/>
  <c r="CV85" i="14"/>
  <c r="CV84" i="14"/>
  <c r="CV83" i="14"/>
  <c r="CV82" i="14"/>
  <c r="CV81" i="14"/>
  <c r="CV80" i="14"/>
  <c r="CV79" i="14"/>
  <c r="CV78" i="14"/>
  <c r="CV77" i="14"/>
  <c r="CV76" i="14"/>
  <c r="CV75" i="14"/>
  <c r="CV74" i="14"/>
  <c r="CV73" i="14"/>
  <c r="CV72" i="14"/>
  <c r="CV71" i="14"/>
  <c r="CV70" i="14"/>
  <c r="CV69" i="14"/>
  <c r="CV68" i="14"/>
  <c r="CV67" i="14"/>
  <c r="CV66" i="14"/>
  <c r="CV65" i="14"/>
  <c r="CV64" i="14"/>
  <c r="CV63" i="14"/>
  <c r="CV62" i="14"/>
  <c r="CV61" i="14"/>
  <c r="CV60" i="14"/>
  <c r="CV59" i="14"/>
  <c r="CV58" i="14"/>
  <c r="CV57" i="14"/>
  <c r="CV56" i="14"/>
  <c r="CV55" i="14"/>
  <c r="CV54" i="14"/>
  <c r="CV53" i="14"/>
  <c r="CV52" i="14"/>
  <c r="CV51" i="14"/>
  <c r="CV50" i="14"/>
  <c r="CV49" i="14"/>
  <c r="CV48" i="14"/>
  <c r="CV47" i="14"/>
  <c r="CV46" i="14"/>
  <c r="CV45" i="14"/>
  <c r="CV44" i="14"/>
  <c r="CV43" i="14"/>
  <c r="CV42" i="14"/>
  <c r="CV41" i="14"/>
  <c r="CV40" i="14"/>
  <c r="CV39" i="14"/>
  <c r="CV38" i="14"/>
  <c r="CV37" i="14"/>
  <c r="CV36" i="14"/>
  <c r="CV35" i="14"/>
  <c r="CV34" i="14"/>
  <c r="CV33" i="14"/>
  <c r="CV32" i="14"/>
  <c r="CV31" i="14"/>
  <c r="CV30" i="14"/>
  <c r="CV29" i="14"/>
  <c r="CV28" i="14"/>
  <c r="CV27" i="14"/>
  <c r="CV26" i="14"/>
  <c r="CV25" i="14"/>
  <c r="CV24" i="14"/>
  <c r="CV23" i="14"/>
  <c r="CV22" i="14"/>
  <c r="CV21" i="14"/>
  <c r="CV20" i="14"/>
  <c r="CV19" i="14"/>
  <c r="CV18" i="14"/>
  <c r="CV17" i="14"/>
  <c r="CV16" i="14"/>
  <c r="CV15" i="14"/>
  <c r="CV14" i="14"/>
  <c r="CV13" i="14"/>
  <c r="CV12" i="14"/>
  <c r="CV11" i="14"/>
  <c r="CV10" i="14"/>
  <c r="CV9" i="14"/>
  <c r="CV8" i="14"/>
  <c r="CV7" i="14"/>
  <c r="CV6" i="14"/>
  <c r="CV5" i="14"/>
  <c r="CV4" i="14"/>
  <c r="CV3" i="14"/>
  <c r="CU3" i="14"/>
  <c r="D13" i="25" l="1"/>
  <c r="D13" i="26"/>
  <c r="D17" i="3"/>
  <c r="C11" i="3"/>
  <c r="AF259" i="3"/>
  <c r="N256" i="26" s="1"/>
  <c r="AF258" i="3"/>
  <c r="N255" i="26" s="1"/>
  <c r="AF257" i="3"/>
  <c r="N254" i="26" s="1"/>
  <c r="AF256" i="3"/>
  <c r="N253" i="26" s="1"/>
  <c r="AF255" i="3"/>
  <c r="N252" i="26" s="1"/>
  <c r="AF254" i="3"/>
  <c r="N251" i="26" s="1"/>
  <c r="AF253" i="3"/>
  <c r="N250" i="26" s="1"/>
  <c r="AF252" i="3"/>
  <c r="N249" i="26" s="1"/>
  <c r="AF251" i="3"/>
  <c r="N248" i="26" s="1"/>
  <c r="AF250" i="3"/>
  <c r="N247" i="26" s="1"/>
  <c r="AF249" i="3"/>
  <c r="N246" i="26" s="1"/>
  <c r="AF248" i="3"/>
  <c r="N245" i="26" s="1"/>
  <c r="AF247" i="3"/>
  <c r="N244" i="26" s="1"/>
  <c r="AF246" i="3"/>
  <c r="N243" i="26" s="1"/>
  <c r="AF245" i="3"/>
  <c r="N242" i="26" s="1"/>
  <c r="AF244" i="3"/>
  <c r="N241" i="26" s="1"/>
  <c r="AF243" i="3"/>
  <c r="N240" i="26" s="1"/>
  <c r="AF242" i="3"/>
  <c r="N239" i="26" s="1"/>
  <c r="AF241" i="3"/>
  <c r="N238" i="26" s="1"/>
  <c r="AF240" i="3"/>
  <c r="N237" i="26" s="1"/>
  <c r="AF239" i="3"/>
  <c r="N236" i="26" s="1"/>
  <c r="AF238" i="3"/>
  <c r="N235" i="26" s="1"/>
  <c r="AF237" i="3"/>
  <c r="N234" i="26" s="1"/>
  <c r="AF236" i="3"/>
  <c r="N233" i="26" s="1"/>
  <c r="AF235" i="3"/>
  <c r="N232" i="26" s="1"/>
  <c r="AF234" i="3"/>
  <c r="N231" i="26" s="1"/>
  <c r="AF233" i="3"/>
  <c r="N230" i="26" s="1"/>
  <c r="AF232" i="3"/>
  <c r="N229" i="26" s="1"/>
  <c r="AF231" i="3"/>
  <c r="N228" i="26" s="1"/>
  <c r="AF230" i="3"/>
  <c r="N227" i="26" s="1"/>
  <c r="AF229" i="3"/>
  <c r="N226" i="26" s="1"/>
  <c r="AF228" i="3"/>
  <c r="N225" i="26" s="1"/>
  <c r="AF227" i="3"/>
  <c r="N224" i="26" s="1"/>
  <c r="AF226" i="3"/>
  <c r="N223" i="26" s="1"/>
  <c r="AF225" i="3"/>
  <c r="N222" i="26" s="1"/>
  <c r="AF224" i="3"/>
  <c r="N221" i="26" s="1"/>
  <c r="AF223" i="3"/>
  <c r="N220" i="26" s="1"/>
  <c r="AF222" i="3"/>
  <c r="N219" i="26" s="1"/>
  <c r="AF221" i="3"/>
  <c r="N218" i="26" s="1"/>
  <c r="AF220" i="3"/>
  <c r="N217" i="26" s="1"/>
  <c r="AF219" i="3"/>
  <c r="N216" i="26" s="1"/>
  <c r="AF218" i="3"/>
  <c r="N215" i="26" s="1"/>
  <c r="AF217" i="3"/>
  <c r="N214" i="26" s="1"/>
  <c r="AF216" i="3"/>
  <c r="N213" i="26" s="1"/>
  <c r="AF215" i="3"/>
  <c r="N212" i="26" s="1"/>
  <c r="AF214" i="3"/>
  <c r="N211" i="26" s="1"/>
  <c r="AF213" i="3"/>
  <c r="N210" i="26" s="1"/>
  <c r="AF212" i="3"/>
  <c r="N209" i="26" s="1"/>
  <c r="AF211" i="3"/>
  <c r="N208" i="26" s="1"/>
  <c r="AF210" i="3"/>
  <c r="N207" i="26" s="1"/>
  <c r="AF209" i="3"/>
  <c r="N206" i="26" s="1"/>
  <c r="AF208" i="3"/>
  <c r="N205" i="26" s="1"/>
  <c r="AF207" i="3"/>
  <c r="N204" i="26" s="1"/>
  <c r="AF206" i="3"/>
  <c r="N203" i="26" s="1"/>
  <c r="AF205" i="3"/>
  <c r="N202" i="26" s="1"/>
  <c r="AF204" i="3"/>
  <c r="N201" i="26" s="1"/>
  <c r="AF203" i="3"/>
  <c r="N200" i="26" s="1"/>
  <c r="AF202" i="3"/>
  <c r="N199" i="26" s="1"/>
  <c r="AF201" i="3"/>
  <c r="N198" i="26" s="1"/>
  <c r="AF200" i="3"/>
  <c r="N197" i="26" s="1"/>
  <c r="AF199" i="3"/>
  <c r="N196" i="26" s="1"/>
  <c r="AF198" i="3"/>
  <c r="N195" i="26" s="1"/>
  <c r="AF197" i="3"/>
  <c r="N194" i="26" s="1"/>
  <c r="AF196" i="3"/>
  <c r="N193" i="26" s="1"/>
  <c r="AF195" i="3"/>
  <c r="N192" i="26" s="1"/>
  <c r="AF194" i="3"/>
  <c r="N191" i="26" s="1"/>
  <c r="AF193" i="3"/>
  <c r="N190" i="26" s="1"/>
  <c r="AF192" i="3"/>
  <c r="N189" i="26" s="1"/>
  <c r="AF191" i="3"/>
  <c r="N188" i="26" s="1"/>
  <c r="AF190" i="3"/>
  <c r="N187" i="26" s="1"/>
  <c r="AF189" i="3"/>
  <c r="N186" i="26" s="1"/>
  <c r="AF188" i="3"/>
  <c r="N185" i="26" s="1"/>
  <c r="AF187" i="3"/>
  <c r="N184" i="26" s="1"/>
  <c r="AF186" i="3"/>
  <c r="N183" i="26" s="1"/>
  <c r="AF185" i="3"/>
  <c r="N182" i="26" s="1"/>
  <c r="AF184" i="3"/>
  <c r="N181" i="26" s="1"/>
  <c r="AF183" i="3"/>
  <c r="N180" i="26" s="1"/>
  <c r="AF182" i="3"/>
  <c r="N179" i="26" s="1"/>
  <c r="AF181" i="3"/>
  <c r="N178" i="26" s="1"/>
  <c r="AF180" i="3"/>
  <c r="N177" i="26" s="1"/>
  <c r="AF179" i="3"/>
  <c r="N176" i="26" s="1"/>
  <c r="AF178" i="3"/>
  <c r="N175" i="26" s="1"/>
  <c r="AF177" i="3"/>
  <c r="N174" i="26" s="1"/>
  <c r="AF176" i="3"/>
  <c r="N173" i="26" s="1"/>
  <c r="AF175" i="3"/>
  <c r="N172" i="26" s="1"/>
  <c r="AF174" i="3"/>
  <c r="N171" i="26" s="1"/>
  <c r="AF173" i="3"/>
  <c r="N170" i="26" s="1"/>
  <c r="AF172" i="3"/>
  <c r="N169" i="26" s="1"/>
  <c r="AF171" i="3"/>
  <c r="N168" i="26" s="1"/>
  <c r="AF170" i="3"/>
  <c r="N167" i="26" s="1"/>
  <c r="AF169" i="3"/>
  <c r="N166" i="26" s="1"/>
  <c r="AF168" i="3"/>
  <c r="N165" i="26" s="1"/>
  <c r="AF167" i="3"/>
  <c r="N164" i="26" s="1"/>
  <c r="AF166" i="3"/>
  <c r="N163" i="26" s="1"/>
  <c r="AF165" i="3"/>
  <c r="N162" i="26" s="1"/>
  <c r="AF164" i="3"/>
  <c r="N161" i="26" s="1"/>
  <c r="AF163" i="3"/>
  <c r="N160" i="26" s="1"/>
  <c r="AF162" i="3"/>
  <c r="N159" i="26" s="1"/>
  <c r="AF161" i="3"/>
  <c r="N158" i="26" s="1"/>
  <c r="AF160" i="3"/>
  <c r="N157" i="26" s="1"/>
  <c r="AF159" i="3"/>
  <c r="N156" i="26" s="1"/>
  <c r="AF158" i="3"/>
  <c r="N155" i="26" s="1"/>
  <c r="AF157" i="3"/>
  <c r="N154" i="26" s="1"/>
  <c r="AF156" i="3"/>
  <c r="N153" i="26" s="1"/>
  <c r="AF155" i="3"/>
  <c r="N152" i="26" s="1"/>
  <c r="AF154" i="3"/>
  <c r="N151" i="26" s="1"/>
  <c r="AF153" i="3"/>
  <c r="N150" i="26" s="1"/>
  <c r="AF152" i="3"/>
  <c r="N149" i="26" s="1"/>
  <c r="AF151" i="3"/>
  <c r="N148" i="26" s="1"/>
  <c r="AF150" i="3"/>
  <c r="N147" i="26" s="1"/>
  <c r="AF149" i="3"/>
  <c r="N146" i="26" s="1"/>
  <c r="AF148" i="3"/>
  <c r="N145" i="26" s="1"/>
  <c r="AF147" i="3"/>
  <c r="N144" i="26" s="1"/>
  <c r="AF146" i="3"/>
  <c r="N143" i="26" s="1"/>
  <c r="AF145" i="3"/>
  <c r="N142" i="26" s="1"/>
  <c r="AF144" i="3"/>
  <c r="N141" i="26" s="1"/>
  <c r="AF143" i="3"/>
  <c r="N140" i="26" s="1"/>
  <c r="AF142" i="3"/>
  <c r="N139" i="26" s="1"/>
  <c r="AF141" i="3"/>
  <c r="N138" i="26" s="1"/>
  <c r="AF140" i="3"/>
  <c r="N137" i="26" s="1"/>
  <c r="AF139" i="3"/>
  <c r="N136" i="26" s="1"/>
  <c r="AF138" i="3"/>
  <c r="N135" i="26" s="1"/>
  <c r="AF137" i="3"/>
  <c r="N134" i="26" s="1"/>
  <c r="AF136" i="3"/>
  <c r="N133" i="26" s="1"/>
  <c r="AF135" i="3"/>
  <c r="N132" i="26" s="1"/>
  <c r="AF134" i="3"/>
  <c r="N131" i="26" s="1"/>
  <c r="AF133" i="3"/>
  <c r="N130" i="26" s="1"/>
  <c r="AF132" i="3"/>
  <c r="N129" i="26" s="1"/>
  <c r="AF131" i="3"/>
  <c r="N128" i="26" s="1"/>
  <c r="AF130" i="3"/>
  <c r="N127" i="26" s="1"/>
  <c r="AF129" i="3"/>
  <c r="N126" i="26" s="1"/>
  <c r="AF128" i="3"/>
  <c r="N125" i="26" s="1"/>
  <c r="AF127" i="3"/>
  <c r="N124" i="26" s="1"/>
  <c r="AF126" i="3"/>
  <c r="N123" i="26" s="1"/>
  <c r="AF125" i="3"/>
  <c r="N122" i="26" s="1"/>
  <c r="AF124" i="3"/>
  <c r="N121" i="26" s="1"/>
  <c r="AF123" i="3"/>
  <c r="N120" i="26" s="1"/>
  <c r="AF122" i="3"/>
  <c r="N119" i="26" s="1"/>
  <c r="AF121" i="3"/>
  <c r="N118" i="26" s="1"/>
  <c r="AF120" i="3"/>
  <c r="N117" i="26" s="1"/>
  <c r="AF119" i="3"/>
  <c r="N116" i="26" s="1"/>
  <c r="AF118" i="3"/>
  <c r="N115" i="26" s="1"/>
  <c r="AF117" i="3"/>
  <c r="N114" i="26" s="1"/>
  <c r="AF116" i="3"/>
  <c r="N113" i="26" s="1"/>
  <c r="AF115" i="3"/>
  <c r="N112" i="26" s="1"/>
  <c r="AF114" i="3"/>
  <c r="N111" i="26" s="1"/>
  <c r="AF113" i="3"/>
  <c r="N110" i="26" s="1"/>
  <c r="AF112" i="3"/>
  <c r="N109" i="26" s="1"/>
  <c r="AF111" i="3"/>
  <c r="N108" i="26" s="1"/>
  <c r="AF110" i="3"/>
  <c r="N107" i="26" s="1"/>
  <c r="AF109" i="3"/>
  <c r="N106" i="26" s="1"/>
  <c r="AF108" i="3"/>
  <c r="N105" i="26" s="1"/>
  <c r="AF107" i="3"/>
  <c r="N104" i="26" s="1"/>
  <c r="AF106" i="3"/>
  <c r="N103" i="26" s="1"/>
  <c r="AF105" i="3"/>
  <c r="N102" i="26" s="1"/>
  <c r="AF104" i="3"/>
  <c r="N101" i="26" s="1"/>
  <c r="AF103" i="3"/>
  <c r="N100" i="26" s="1"/>
  <c r="AF102" i="3"/>
  <c r="N99" i="26" s="1"/>
  <c r="AF101" i="3"/>
  <c r="N98" i="26" s="1"/>
  <c r="AF100" i="3"/>
  <c r="N97" i="26" s="1"/>
  <c r="AF99" i="3"/>
  <c r="N96" i="26" s="1"/>
  <c r="AF98" i="3"/>
  <c r="N95" i="26" s="1"/>
  <c r="AF97" i="3"/>
  <c r="N94" i="26" s="1"/>
  <c r="AF96" i="3"/>
  <c r="N93" i="26" s="1"/>
  <c r="AF95" i="3"/>
  <c r="N92" i="26" s="1"/>
  <c r="AF94" i="3"/>
  <c r="N91" i="26" s="1"/>
  <c r="AF93" i="3"/>
  <c r="N90" i="26" s="1"/>
  <c r="AF92" i="3"/>
  <c r="N89" i="26" s="1"/>
  <c r="AF91" i="3"/>
  <c r="N88" i="26" s="1"/>
  <c r="AF90" i="3"/>
  <c r="N87" i="26" s="1"/>
  <c r="AF89" i="3"/>
  <c r="N86" i="26" s="1"/>
  <c r="AF88" i="3"/>
  <c r="N85" i="26" s="1"/>
  <c r="AF87" i="3"/>
  <c r="N84" i="26" s="1"/>
  <c r="AF86" i="3"/>
  <c r="N83" i="26" s="1"/>
  <c r="AF85" i="3"/>
  <c r="N82" i="26" s="1"/>
  <c r="AF84" i="3"/>
  <c r="N81" i="26" s="1"/>
  <c r="AF83" i="3"/>
  <c r="N80" i="26" s="1"/>
  <c r="AF82" i="3"/>
  <c r="N79" i="26" s="1"/>
  <c r="AF81" i="3"/>
  <c r="N78" i="26" s="1"/>
  <c r="AF80" i="3"/>
  <c r="N77" i="26" s="1"/>
  <c r="AF79" i="3"/>
  <c r="N76" i="26" s="1"/>
  <c r="AF78" i="3"/>
  <c r="N75" i="26" s="1"/>
  <c r="AF77" i="3"/>
  <c r="N74" i="26" s="1"/>
  <c r="AF76" i="3"/>
  <c r="N73" i="26" s="1"/>
  <c r="AF75" i="3"/>
  <c r="N72" i="26" s="1"/>
  <c r="AF74" i="3"/>
  <c r="N71" i="26" s="1"/>
  <c r="AF73" i="3"/>
  <c r="N70" i="26" s="1"/>
  <c r="AF72" i="3"/>
  <c r="N69" i="26" s="1"/>
  <c r="AF71" i="3"/>
  <c r="N68" i="26" s="1"/>
  <c r="AF70" i="3"/>
  <c r="N67" i="26" s="1"/>
  <c r="AF69" i="3"/>
  <c r="N66" i="26" s="1"/>
  <c r="AF68" i="3"/>
  <c r="N65" i="26" s="1"/>
  <c r="AF67" i="3"/>
  <c r="N64" i="26" s="1"/>
  <c r="AF66" i="3"/>
  <c r="N63" i="26" s="1"/>
  <c r="AF65" i="3"/>
  <c r="N62" i="26" s="1"/>
  <c r="AF64" i="3"/>
  <c r="N61" i="26" s="1"/>
  <c r="AF63" i="3"/>
  <c r="N60" i="26" s="1"/>
  <c r="AF62" i="3"/>
  <c r="N59" i="26" s="1"/>
  <c r="AF61" i="3"/>
  <c r="N58" i="26" s="1"/>
  <c r="AF60" i="3"/>
  <c r="N57" i="26" s="1"/>
  <c r="AF59" i="3"/>
  <c r="N56" i="26" s="1"/>
  <c r="AF58" i="3"/>
  <c r="N55" i="26" s="1"/>
  <c r="AF57" i="3"/>
  <c r="N54" i="26" s="1"/>
  <c r="AF56" i="3"/>
  <c r="N53" i="26" s="1"/>
  <c r="AF55" i="3"/>
  <c r="N52" i="26" s="1"/>
  <c r="AF54" i="3"/>
  <c r="N51" i="26" s="1"/>
  <c r="AF53" i="3"/>
  <c r="N50" i="26" s="1"/>
  <c r="AF52" i="3"/>
  <c r="N49" i="26" s="1"/>
  <c r="AF51" i="3"/>
  <c r="N48" i="26" s="1"/>
  <c r="AF50" i="3"/>
  <c r="N47" i="26" s="1"/>
  <c r="AF49" i="3"/>
  <c r="N46" i="26" s="1"/>
  <c r="AF48" i="3"/>
  <c r="N45" i="26" s="1"/>
  <c r="AF47" i="3"/>
  <c r="N44" i="26" s="1"/>
  <c r="AF46" i="3"/>
  <c r="N43" i="26" s="1"/>
  <c r="AF45" i="3"/>
  <c r="N42" i="26" s="1"/>
  <c r="AF44" i="3"/>
  <c r="N41" i="26" s="1"/>
  <c r="AF43" i="3"/>
  <c r="N40" i="26" s="1"/>
  <c r="AF42" i="3"/>
  <c r="N39" i="26" s="1"/>
  <c r="AF41" i="3"/>
  <c r="N38" i="26" s="1"/>
  <c r="AF40" i="3"/>
  <c r="N37" i="26" s="1"/>
  <c r="AF39" i="3"/>
  <c r="N36" i="26" s="1"/>
  <c r="AF38" i="3"/>
  <c r="N35" i="26" s="1"/>
  <c r="AF37" i="3"/>
  <c r="N34" i="26" s="1"/>
  <c r="AF36" i="3"/>
  <c r="N33" i="26" s="1"/>
  <c r="AF35" i="3"/>
  <c r="N32" i="26" s="1"/>
  <c r="AF34" i="3"/>
  <c r="N31" i="26" s="1"/>
  <c r="AF33" i="3"/>
  <c r="N30" i="26" s="1"/>
  <c r="AE3" i="14"/>
  <c r="CE259" i="3"/>
  <c r="CE258" i="3"/>
  <c r="CE257" i="3"/>
  <c r="CE256" i="3"/>
  <c r="CE255" i="3"/>
  <c r="CE254" i="3"/>
  <c r="CE253" i="3"/>
  <c r="CE252" i="3"/>
  <c r="CE251" i="3"/>
  <c r="CE250" i="3"/>
  <c r="CE249" i="3"/>
  <c r="CE248" i="3"/>
  <c r="CE247" i="3"/>
  <c r="CE246" i="3"/>
  <c r="CE245" i="3"/>
  <c r="CE244" i="3"/>
  <c r="CE243" i="3"/>
  <c r="CE242" i="3"/>
  <c r="CE241" i="3"/>
  <c r="CE240" i="3"/>
  <c r="CE239" i="3"/>
  <c r="CE238" i="3"/>
  <c r="CE237" i="3"/>
  <c r="CE236" i="3"/>
  <c r="CE235" i="3"/>
  <c r="CE234" i="3"/>
  <c r="CE233" i="3"/>
  <c r="CE232" i="3"/>
  <c r="CE231" i="3"/>
  <c r="CE230" i="3"/>
  <c r="CE229" i="3"/>
  <c r="CE228" i="3"/>
  <c r="CE227" i="3"/>
  <c r="CE226" i="3"/>
  <c r="CE225" i="3"/>
  <c r="CE224" i="3"/>
  <c r="CE223" i="3"/>
  <c r="CE222" i="3"/>
  <c r="CE221" i="3"/>
  <c r="CE220" i="3"/>
  <c r="CE219" i="3"/>
  <c r="CE218" i="3"/>
  <c r="CE217" i="3"/>
  <c r="CE216" i="3"/>
  <c r="CE215" i="3"/>
  <c r="CE214" i="3"/>
  <c r="CE213" i="3"/>
  <c r="CE212" i="3"/>
  <c r="CE211" i="3"/>
  <c r="CE210" i="3"/>
  <c r="CE209" i="3"/>
  <c r="CE208" i="3"/>
  <c r="CE207" i="3"/>
  <c r="CE206" i="3"/>
  <c r="CE205" i="3"/>
  <c r="CE204" i="3"/>
  <c r="CE203" i="3"/>
  <c r="CE202" i="3"/>
  <c r="CE201" i="3"/>
  <c r="CE200" i="3"/>
  <c r="CE199" i="3"/>
  <c r="CE198" i="3"/>
  <c r="CE197" i="3"/>
  <c r="CE196" i="3"/>
  <c r="CE195" i="3"/>
  <c r="CE194" i="3"/>
  <c r="CE193" i="3"/>
  <c r="CE192" i="3"/>
  <c r="CE191" i="3"/>
  <c r="CE190" i="3"/>
  <c r="CE189" i="3"/>
  <c r="CE188" i="3"/>
  <c r="CE187" i="3"/>
  <c r="CE186" i="3"/>
  <c r="CE185" i="3"/>
  <c r="CE184" i="3"/>
  <c r="CE183" i="3"/>
  <c r="CE182" i="3"/>
  <c r="CE181" i="3"/>
  <c r="CE180" i="3"/>
  <c r="CE179" i="3"/>
  <c r="CE178" i="3"/>
  <c r="CE177" i="3"/>
  <c r="CE176" i="3"/>
  <c r="CE175" i="3"/>
  <c r="CE174" i="3"/>
  <c r="CE173" i="3"/>
  <c r="CE172" i="3"/>
  <c r="CE171" i="3"/>
  <c r="CE170" i="3"/>
  <c r="CE169" i="3"/>
  <c r="CE168" i="3"/>
  <c r="CE167" i="3"/>
  <c r="CE166" i="3"/>
  <c r="CE165" i="3"/>
  <c r="CE164" i="3"/>
  <c r="CE163" i="3"/>
  <c r="CE162" i="3"/>
  <c r="CE161" i="3"/>
  <c r="CE160" i="3"/>
  <c r="CE159" i="3"/>
  <c r="CE158" i="3"/>
  <c r="CE157" i="3"/>
  <c r="CE156" i="3"/>
  <c r="CE155" i="3"/>
  <c r="CE154" i="3"/>
  <c r="CE153" i="3"/>
  <c r="CE152" i="3"/>
  <c r="CE151" i="3"/>
  <c r="CE150" i="3"/>
  <c r="CE149" i="3"/>
  <c r="CE148" i="3"/>
  <c r="CE147" i="3"/>
  <c r="CE146" i="3"/>
  <c r="CE145" i="3"/>
  <c r="CE144" i="3"/>
  <c r="CE143" i="3"/>
  <c r="CE142" i="3"/>
  <c r="CE141" i="3"/>
  <c r="CE140" i="3"/>
  <c r="CE139" i="3"/>
  <c r="CE138" i="3"/>
  <c r="CE137" i="3"/>
  <c r="CE136" i="3"/>
  <c r="CE135" i="3"/>
  <c r="CE134" i="3"/>
  <c r="CE133" i="3"/>
  <c r="CE132" i="3"/>
  <c r="CE131" i="3"/>
  <c r="CE130" i="3"/>
  <c r="CE129" i="3"/>
  <c r="CE128" i="3"/>
  <c r="CE127" i="3"/>
  <c r="CE126" i="3"/>
  <c r="CE125" i="3"/>
  <c r="CE124" i="3"/>
  <c r="CE123" i="3"/>
  <c r="CE122" i="3"/>
  <c r="CE121" i="3"/>
  <c r="CE120" i="3"/>
  <c r="CE119" i="3"/>
  <c r="CE118" i="3"/>
  <c r="CE117" i="3"/>
  <c r="CE116" i="3"/>
  <c r="CE115" i="3"/>
  <c r="CE114" i="3"/>
  <c r="CE113" i="3"/>
  <c r="CE112" i="3"/>
  <c r="CE111" i="3"/>
  <c r="CE110" i="3"/>
  <c r="CE109" i="3"/>
  <c r="CE108" i="3"/>
  <c r="CE107" i="3"/>
  <c r="CE106" i="3"/>
  <c r="CE105" i="3"/>
  <c r="CE104" i="3"/>
  <c r="CE103" i="3"/>
  <c r="CE102" i="3"/>
  <c r="CE101" i="3"/>
  <c r="CE100" i="3"/>
  <c r="CE99" i="3"/>
  <c r="CE98" i="3"/>
  <c r="CE97" i="3"/>
  <c r="CE96" i="3"/>
  <c r="CE95" i="3"/>
  <c r="CE94" i="3"/>
  <c r="CE93" i="3"/>
  <c r="CE92" i="3"/>
  <c r="CE91" i="3"/>
  <c r="CE90" i="3"/>
  <c r="CE89" i="3"/>
  <c r="CE88" i="3"/>
  <c r="CE87" i="3"/>
  <c r="CE86" i="3"/>
  <c r="CE85" i="3"/>
  <c r="CE84" i="3"/>
  <c r="CE83" i="3"/>
  <c r="CE82" i="3"/>
  <c r="CE81" i="3"/>
  <c r="CE80" i="3"/>
  <c r="CE79" i="3"/>
  <c r="CE78" i="3"/>
  <c r="CE77" i="3"/>
  <c r="CE76" i="3"/>
  <c r="CE75" i="3"/>
  <c r="CE74" i="3"/>
  <c r="CE73" i="3"/>
  <c r="CE72" i="3"/>
  <c r="CE71" i="3"/>
  <c r="CE70" i="3"/>
  <c r="CE69" i="3"/>
  <c r="CE68" i="3"/>
  <c r="CE67" i="3"/>
  <c r="CE66" i="3"/>
  <c r="CE65" i="3"/>
  <c r="CE64" i="3"/>
  <c r="CE63" i="3"/>
  <c r="CE62" i="3"/>
  <c r="CE61" i="3"/>
  <c r="CE60" i="3"/>
  <c r="CE59" i="3"/>
  <c r="CE58" i="3"/>
  <c r="CE57" i="3"/>
  <c r="CE56" i="3"/>
  <c r="CE55" i="3"/>
  <c r="CE54" i="3"/>
  <c r="CE53" i="3"/>
  <c r="CE52" i="3"/>
  <c r="CE51" i="3"/>
  <c r="CE50" i="3"/>
  <c r="CE49" i="3"/>
  <c r="CE48" i="3"/>
  <c r="CE47" i="3"/>
  <c r="CE46" i="3"/>
  <c r="CE45" i="3"/>
  <c r="CE44" i="3"/>
  <c r="CE43" i="3"/>
  <c r="CE42" i="3"/>
  <c r="CE41" i="3"/>
  <c r="CE40" i="3"/>
  <c r="CE39" i="3"/>
  <c r="CE38" i="3"/>
  <c r="CE37" i="3"/>
  <c r="CE36" i="3"/>
  <c r="CE35" i="3"/>
  <c r="CE34" i="3"/>
  <c r="CE33" i="3"/>
  <c r="CE32" i="3"/>
  <c r="CE31" i="3"/>
  <c r="CE30" i="3"/>
  <c r="CE29" i="3"/>
  <c r="CE28" i="3"/>
  <c r="CE27" i="3"/>
  <c r="CE26" i="3"/>
  <c r="CE25" i="3"/>
  <c r="CE24" i="3"/>
  <c r="CE23" i="3"/>
  <c r="CE22" i="3"/>
  <c r="CE21" i="3"/>
  <c r="CE20" i="3"/>
  <c r="CE19" i="3"/>
  <c r="CE18" i="3"/>
  <c r="CE17" i="3"/>
  <c r="CE16" i="3"/>
  <c r="CE15" i="3"/>
  <c r="CE14" i="3"/>
  <c r="CE13" i="3"/>
  <c r="CE12" i="3"/>
  <c r="CE11" i="3"/>
  <c r="CL259" i="3"/>
  <c r="CV259" i="3" s="1"/>
  <c r="CM259" i="3"/>
  <c r="AX259" i="3"/>
  <c r="AT259" i="3"/>
  <c r="CL258" i="3"/>
  <c r="CV258" i="3" s="1"/>
  <c r="CM258" i="3"/>
  <c r="AX258" i="3"/>
  <c r="AT258" i="3"/>
  <c r="CM257" i="3"/>
  <c r="CL257" i="3"/>
  <c r="CV257" i="3" s="1"/>
  <c r="AX257" i="3"/>
  <c r="AT257" i="3"/>
  <c r="CM256" i="3"/>
  <c r="CL256" i="3"/>
  <c r="AX256" i="3"/>
  <c r="AT256" i="3"/>
  <c r="CL255" i="3"/>
  <c r="CV255" i="3" s="1"/>
  <c r="CM255" i="3"/>
  <c r="AT255" i="3"/>
  <c r="AX255" i="3"/>
  <c r="CL254" i="3"/>
  <c r="CV254" i="3" s="1"/>
  <c r="CM254" i="3"/>
  <c r="AT254" i="3"/>
  <c r="AX254" i="3"/>
  <c r="CM253" i="3"/>
  <c r="CL253" i="3"/>
  <c r="CV253" i="3" s="1"/>
  <c r="AT253" i="3"/>
  <c r="AX253" i="3"/>
  <c r="CM252" i="3"/>
  <c r="CL252" i="3"/>
  <c r="CV252" i="3" s="1"/>
  <c r="AT252" i="3"/>
  <c r="AX252" i="3"/>
  <c r="CL251" i="3"/>
  <c r="CV251" i="3" s="1"/>
  <c r="CM251" i="3"/>
  <c r="AT251" i="3"/>
  <c r="AX251" i="3"/>
  <c r="CL250" i="3"/>
  <c r="CV250" i="3" s="1"/>
  <c r="CM250" i="3"/>
  <c r="AT250" i="3"/>
  <c r="AX250" i="3"/>
  <c r="CM249" i="3"/>
  <c r="CL249" i="3"/>
  <c r="CV249" i="3" s="1"/>
  <c r="AT249" i="3"/>
  <c r="AX249" i="3"/>
  <c r="CM248" i="3"/>
  <c r="CL248" i="3"/>
  <c r="CV248" i="3" s="1"/>
  <c r="AT248" i="3"/>
  <c r="AX248" i="3"/>
  <c r="CL247" i="3"/>
  <c r="CV247" i="3" s="1"/>
  <c r="CM247" i="3"/>
  <c r="AT247" i="3"/>
  <c r="AX247" i="3"/>
  <c r="CL246" i="3"/>
  <c r="CV246" i="3" s="1"/>
  <c r="CM246" i="3"/>
  <c r="AT246" i="3"/>
  <c r="AX246" i="3"/>
  <c r="CM245" i="3"/>
  <c r="CL245" i="3"/>
  <c r="CV245" i="3" s="1"/>
  <c r="AT245" i="3"/>
  <c r="AX245" i="3"/>
  <c r="CL244" i="3"/>
  <c r="CV244" i="3" s="1"/>
  <c r="CM244" i="3"/>
  <c r="AT244" i="3"/>
  <c r="AX244" i="3"/>
  <c r="CM243" i="3"/>
  <c r="CL243" i="3"/>
  <c r="CV243" i="3" s="1"/>
  <c r="AT243" i="3"/>
  <c r="AX243" i="3"/>
  <c r="CM242" i="3"/>
  <c r="CL242" i="3"/>
  <c r="CV242" i="3" s="1"/>
  <c r="AT242" i="3"/>
  <c r="AX242" i="3"/>
  <c r="CL241" i="3"/>
  <c r="CV241" i="3" s="1"/>
  <c r="CM241" i="3"/>
  <c r="AT241" i="3"/>
  <c r="AX241" i="3"/>
  <c r="CL240" i="3"/>
  <c r="CV240" i="3" s="1"/>
  <c r="CM240" i="3"/>
  <c r="AT240" i="3"/>
  <c r="AX240" i="3"/>
  <c r="CL239" i="3"/>
  <c r="CV239" i="3" s="1"/>
  <c r="CM239" i="3"/>
  <c r="AT239" i="3"/>
  <c r="AX239" i="3"/>
  <c r="CM238" i="3"/>
  <c r="CL238" i="3"/>
  <c r="CV238" i="3" s="1"/>
  <c r="AT238" i="3"/>
  <c r="AX238" i="3"/>
  <c r="CL237" i="3"/>
  <c r="CV237" i="3" s="1"/>
  <c r="CM237" i="3"/>
  <c r="AT237" i="3"/>
  <c r="AX237" i="3"/>
  <c r="CL236" i="3"/>
  <c r="CV236" i="3" s="1"/>
  <c r="CM236" i="3"/>
  <c r="AT236" i="3"/>
  <c r="AX236" i="3"/>
  <c r="CL235" i="3"/>
  <c r="CV235" i="3" s="1"/>
  <c r="CM235" i="3"/>
  <c r="AT235" i="3"/>
  <c r="AX235" i="3"/>
  <c r="CM234" i="3"/>
  <c r="CL234" i="3"/>
  <c r="CV234" i="3" s="1"/>
  <c r="AT234" i="3"/>
  <c r="AX234" i="3"/>
  <c r="CL233" i="3"/>
  <c r="CV233" i="3" s="1"/>
  <c r="AT233" i="3"/>
  <c r="CM233" i="3"/>
  <c r="AX233" i="3"/>
  <c r="CM232" i="3"/>
  <c r="CL232" i="3"/>
  <c r="CV232" i="3" s="1"/>
  <c r="AT232" i="3"/>
  <c r="AX232" i="3"/>
  <c r="CL231" i="3"/>
  <c r="CV231" i="3" s="1"/>
  <c r="CM231" i="3"/>
  <c r="AT231" i="3"/>
  <c r="AX231" i="3"/>
  <c r="CM230" i="3"/>
  <c r="CL230" i="3"/>
  <c r="CV230" i="3" s="1"/>
  <c r="AT230" i="3"/>
  <c r="AX230" i="3"/>
  <c r="CL229" i="3"/>
  <c r="CV229" i="3" s="1"/>
  <c r="CM229" i="3"/>
  <c r="AT229" i="3"/>
  <c r="AX229" i="3"/>
  <c r="CM228" i="3"/>
  <c r="CL228" i="3"/>
  <c r="CV228" i="3" s="1"/>
  <c r="AT228" i="3"/>
  <c r="AX228" i="3"/>
  <c r="CL227" i="3"/>
  <c r="CV227" i="3" s="1"/>
  <c r="CM227" i="3"/>
  <c r="AT227" i="3"/>
  <c r="AX227" i="3"/>
  <c r="CM226" i="3"/>
  <c r="CL226" i="3"/>
  <c r="CV226" i="3" s="1"/>
  <c r="AT226" i="3"/>
  <c r="AX226" i="3"/>
  <c r="CM225" i="3"/>
  <c r="CL225" i="3"/>
  <c r="CV225" i="3" s="1"/>
  <c r="AT225" i="3"/>
  <c r="AX225" i="3"/>
  <c r="CL224" i="3"/>
  <c r="CV224" i="3" s="1"/>
  <c r="CM224" i="3"/>
  <c r="AT224" i="3"/>
  <c r="AX224" i="3"/>
  <c r="CM223" i="3"/>
  <c r="CL223" i="3"/>
  <c r="CV223" i="3" s="1"/>
  <c r="AT223" i="3"/>
  <c r="AX223" i="3"/>
  <c r="CL222" i="3"/>
  <c r="CV222" i="3" s="1"/>
  <c r="CM222" i="3"/>
  <c r="AT222" i="3"/>
  <c r="AX222" i="3"/>
  <c r="CM221" i="3"/>
  <c r="CL221" i="3"/>
  <c r="CV221" i="3" s="1"/>
  <c r="AT221" i="3"/>
  <c r="AX221" i="3"/>
  <c r="CL220" i="3"/>
  <c r="CV220" i="3" s="1"/>
  <c r="CM220" i="3"/>
  <c r="AT220" i="3"/>
  <c r="AX220" i="3"/>
  <c r="CM219" i="3"/>
  <c r="CL219" i="3"/>
  <c r="CV219" i="3" s="1"/>
  <c r="AT219" i="3"/>
  <c r="AX219" i="3"/>
  <c r="CL218" i="3"/>
  <c r="CV218" i="3" s="1"/>
  <c r="CM218" i="3"/>
  <c r="AT218" i="3"/>
  <c r="AX218" i="3"/>
  <c r="CM217" i="3"/>
  <c r="CL217" i="3"/>
  <c r="CV217" i="3" s="1"/>
  <c r="AT217" i="3"/>
  <c r="AX217" i="3"/>
  <c r="CL216" i="3"/>
  <c r="CV216" i="3" s="1"/>
  <c r="CM216" i="3"/>
  <c r="AT216" i="3"/>
  <c r="AX216" i="3"/>
  <c r="CM215" i="3"/>
  <c r="CL215" i="3"/>
  <c r="CV215" i="3" s="1"/>
  <c r="AT215" i="3"/>
  <c r="AX215" i="3"/>
  <c r="CL214" i="3"/>
  <c r="CV214" i="3" s="1"/>
  <c r="CM214" i="3"/>
  <c r="AT214" i="3"/>
  <c r="AX214" i="3"/>
  <c r="CM213" i="3"/>
  <c r="CL213" i="3"/>
  <c r="CV213" i="3" s="1"/>
  <c r="AT213" i="3"/>
  <c r="AX213" i="3"/>
  <c r="CL212" i="3"/>
  <c r="CV212" i="3" s="1"/>
  <c r="CM212" i="3"/>
  <c r="AT212" i="3"/>
  <c r="AX212" i="3"/>
  <c r="CL211" i="3"/>
  <c r="CV211" i="3" s="1"/>
  <c r="CM211" i="3"/>
  <c r="AT211" i="3"/>
  <c r="AX211" i="3"/>
  <c r="CL210" i="3"/>
  <c r="CV210" i="3" s="1"/>
  <c r="CM210" i="3"/>
  <c r="AT210" i="3"/>
  <c r="AX210" i="3"/>
  <c r="CM209" i="3"/>
  <c r="CL209" i="3"/>
  <c r="CV209" i="3" s="1"/>
  <c r="AT209" i="3"/>
  <c r="AX209" i="3"/>
  <c r="CM208" i="3"/>
  <c r="CL208" i="3"/>
  <c r="CV208" i="3" s="1"/>
  <c r="AT208" i="3"/>
  <c r="AX208" i="3"/>
  <c r="CL207" i="3"/>
  <c r="CV207" i="3" s="1"/>
  <c r="CM207" i="3"/>
  <c r="AT207" i="3"/>
  <c r="AX207" i="3"/>
  <c r="CL206" i="3"/>
  <c r="CV206" i="3" s="1"/>
  <c r="CM206" i="3"/>
  <c r="AT206" i="3"/>
  <c r="AX206" i="3"/>
  <c r="CM205" i="3"/>
  <c r="CL205" i="3"/>
  <c r="CV205" i="3" s="1"/>
  <c r="AT205" i="3"/>
  <c r="AX205" i="3"/>
  <c r="CM204" i="3"/>
  <c r="CL204" i="3"/>
  <c r="CV204" i="3" s="1"/>
  <c r="AT204" i="3"/>
  <c r="AX204" i="3"/>
  <c r="CL203" i="3"/>
  <c r="CV203" i="3" s="1"/>
  <c r="CM203" i="3"/>
  <c r="AT203" i="3"/>
  <c r="AX203" i="3"/>
  <c r="CL202" i="3"/>
  <c r="CV202" i="3" s="1"/>
  <c r="CM202" i="3"/>
  <c r="AT202" i="3"/>
  <c r="AX202" i="3"/>
  <c r="CM201" i="3"/>
  <c r="CL201" i="3"/>
  <c r="CV201" i="3" s="1"/>
  <c r="AT201" i="3"/>
  <c r="AX201" i="3"/>
  <c r="CM200" i="3"/>
  <c r="CL200" i="3"/>
  <c r="CV200" i="3" s="1"/>
  <c r="AT200" i="3"/>
  <c r="AX200" i="3"/>
  <c r="CL199" i="3"/>
  <c r="CV199" i="3" s="1"/>
  <c r="CM199" i="3"/>
  <c r="AT199" i="3"/>
  <c r="AX199" i="3"/>
  <c r="CM198" i="3"/>
  <c r="CL198" i="3"/>
  <c r="CV198" i="3" s="1"/>
  <c r="AT198" i="3"/>
  <c r="AX198" i="3"/>
  <c r="CL197" i="3"/>
  <c r="CV197" i="3" s="1"/>
  <c r="CM197" i="3"/>
  <c r="AT197" i="3"/>
  <c r="AX197" i="3"/>
  <c r="CL196" i="3"/>
  <c r="CV196" i="3" s="1"/>
  <c r="CM196" i="3"/>
  <c r="AT196" i="3"/>
  <c r="AX196" i="3"/>
  <c r="CL195" i="3"/>
  <c r="CV195" i="3" s="1"/>
  <c r="AT195" i="3"/>
  <c r="CM195" i="3"/>
  <c r="AX195" i="3"/>
  <c r="CM194" i="3"/>
  <c r="CL194" i="3"/>
  <c r="CV194" i="3" s="1"/>
  <c r="AT194" i="3"/>
  <c r="AX194" i="3"/>
  <c r="CL193" i="3"/>
  <c r="CV193" i="3" s="1"/>
  <c r="CM193" i="3"/>
  <c r="AT193" i="3"/>
  <c r="AX193" i="3"/>
  <c r="CL192" i="3"/>
  <c r="CV192" i="3" s="1"/>
  <c r="CM192" i="3"/>
  <c r="AT192" i="3"/>
  <c r="AX192" i="3"/>
  <c r="CL191" i="3"/>
  <c r="CV191" i="3" s="1"/>
  <c r="CM191" i="3"/>
  <c r="AT191" i="3"/>
  <c r="AX191" i="3"/>
  <c r="CM190" i="3"/>
  <c r="CL190" i="3"/>
  <c r="CV190" i="3" s="1"/>
  <c r="AT190" i="3"/>
  <c r="AX190" i="3"/>
  <c r="CL189" i="3"/>
  <c r="CV189" i="3" s="1"/>
  <c r="CM189" i="3"/>
  <c r="AT189" i="3"/>
  <c r="AX189" i="3"/>
  <c r="CL188" i="3"/>
  <c r="CV188" i="3" s="1"/>
  <c r="CM188" i="3"/>
  <c r="AT188" i="3"/>
  <c r="AX188" i="3"/>
  <c r="CL187" i="3"/>
  <c r="CV187" i="3" s="1"/>
  <c r="CM187" i="3"/>
  <c r="AT187" i="3"/>
  <c r="AX187" i="3"/>
  <c r="CM186" i="3"/>
  <c r="CL186" i="3"/>
  <c r="CV186" i="3" s="1"/>
  <c r="AT186" i="3"/>
  <c r="AX186" i="3"/>
  <c r="CL185" i="3"/>
  <c r="CV185" i="3" s="1"/>
  <c r="CM185" i="3"/>
  <c r="AT185" i="3"/>
  <c r="AX185" i="3"/>
  <c r="CL184" i="3"/>
  <c r="CV184" i="3" s="1"/>
  <c r="CM184" i="3"/>
  <c r="AT184" i="3"/>
  <c r="AX184" i="3"/>
  <c r="CL183" i="3"/>
  <c r="CV183" i="3" s="1"/>
  <c r="CM183" i="3"/>
  <c r="AT183" i="3"/>
  <c r="AX183" i="3"/>
  <c r="CM182" i="3"/>
  <c r="CL182" i="3"/>
  <c r="CV182" i="3" s="1"/>
  <c r="AT182" i="3"/>
  <c r="AX182" i="3"/>
  <c r="CM181" i="3"/>
  <c r="CL181" i="3"/>
  <c r="CV181" i="3" s="1"/>
  <c r="AT181" i="3"/>
  <c r="AX181" i="3"/>
  <c r="CL180" i="3"/>
  <c r="CV180" i="3" s="1"/>
  <c r="CM180" i="3"/>
  <c r="AT180" i="3"/>
  <c r="AX180" i="3"/>
  <c r="CL179" i="3"/>
  <c r="CV179" i="3" s="1"/>
  <c r="CM179" i="3"/>
  <c r="AT179" i="3"/>
  <c r="AX179" i="3"/>
  <c r="CM178" i="3"/>
  <c r="CL178" i="3"/>
  <c r="CV178" i="3" s="1"/>
  <c r="AT178" i="3"/>
  <c r="AX178" i="3"/>
  <c r="CL177" i="3"/>
  <c r="CV177" i="3" s="1"/>
  <c r="CM177" i="3"/>
  <c r="AT177" i="3"/>
  <c r="AX177" i="3"/>
  <c r="CL176" i="3"/>
  <c r="CV176" i="3" s="1"/>
  <c r="CM176" i="3"/>
  <c r="AT176" i="3"/>
  <c r="AX176" i="3"/>
  <c r="CL175" i="3"/>
  <c r="CV175" i="3" s="1"/>
  <c r="AT175" i="3"/>
  <c r="CM175" i="3"/>
  <c r="AX175" i="3"/>
  <c r="CM174" i="3"/>
  <c r="CL174" i="3"/>
  <c r="CV174" i="3" s="1"/>
  <c r="AT174" i="3"/>
  <c r="AX174" i="3"/>
  <c r="CL173" i="3"/>
  <c r="CV173" i="3" s="1"/>
  <c r="CM173" i="3"/>
  <c r="AT173" i="3"/>
  <c r="AX173" i="3"/>
  <c r="CL172" i="3"/>
  <c r="CV172" i="3" s="1"/>
  <c r="CM172" i="3"/>
  <c r="AT172" i="3"/>
  <c r="AX172" i="3"/>
  <c r="CL171" i="3"/>
  <c r="CV171" i="3" s="1"/>
  <c r="CM171" i="3"/>
  <c r="AT171" i="3"/>
  <c r="AX171" i="3"/>
  <c r="CM170" i="3"/>
  <c r="CL170" i="3"/>
  <c r="CV170" i="3" s="1"/>
  <c r="AT170" i="3"/>
  <c r="AX170" i="3"/>
  <c r="CL169" i="3"/>
  <c r="CV169" i="3" s="1"/>
  <c r="CM169" i="3"/>
  <c r="AT169" i="3"/>
  <c r="AX169" i="3"/>
  <c r="CL168" i="3"/>
  <c r="CV168" i="3" s="1"/>
  <c r="CM168" i="3"/>
  <c r="AT168" i="3"/>
  <c r="AX168" i="3"/>
  <c r="CL167" i="3"/>
  <c r="CV167" i="3" s="1"/>
  <c r="CM167" i="3"/>
  <c r="AT167" i="3"/>
  <c r="AX167" i="3"/>
  <c r="CM166" i="3"/>
  <c r="CL166" i="3"/>
  <c r="CV166" i="3" s="1"/>
  <c r="AT166" i="3"/>
  <c r="AX166" i="3"/>
  <c r="CM165" i="3"/>
  <c r="CL165" i="3"/>
  <c r="CV165" i="3" s="1"/>
  <c r="AT165" i="3"/>
  <c r="AX165" i="3"/>
  <c r="CL164" i="3"/>
  <c r="CV164" i="3" s="1"/>
  <c r="CM164" i="3"/>
  <c r="AT164" i="3"/>
  <c r="AX164" i="3"/>
  <c r="CL163" i="3"/>
  <c r="CV163" i="3" s="1"/>
  <c r="CM163" i="3"/>
  <c r="AT163" i="3"/>
  <c r="AX163" i="3"/>
  <c r="CM162" i="3"/>
  <c r="CL162" i="3"/>
  <c r="CV162" i="3" s="1"/>
  <c r="AT162" i="3"/>
  <c r="AX162" i="3"/>
  <c r="CL161" i="3"/>
  <c r="CV161" i="3" s="1"/>
  <c r="CM161" i="3"/>
  <c r="AT161" i="3"/>
  <c r="AX161" i="3"/>
  <c r="CL160" i="3"/>
  <c r="CV160" i="3" s="1"/>
  <c r="CM160" i="3"/>
  <c r="AT160" i="3"/>
  <c r="AX160" i="3"/>
  <c r="CL159" i="3"/>
  <c r="CV159" i="3" s="1"/>
  <c r="CM159" i="3"/>
  <c r="AT159" i="3"/>
  <c r="AX159" i="3"/>
  <c r="CM158" i="3"/>
  <c r="CL158" i="3"/>
  <c r="CV158" i="3" s="1"/>
  <c r="AT158" i="3"/>
  <c r="AX158" i="3"/>
  <c r="CL157" i="3"/>
  <c r="CV157" i="3" s="1"/>
  <c r="CM157" i="3"/>
  <c r="AT157" i="3"/>
  <c r="AX157" i="3"/>
  <c r="CL156" i="3"/>
  <c r="CV156" i="3" s="1"/>
  <c r="CM156" i="3"/>
  <c r="AT156" i="3"/>
  <c r="AX156" i="3"/>
  <c r="CL155" i="3"/>
  <c r="CV155" i="3" s="1"/>
  <c r="CM155" i="3"/>
  <c r="AT155" i="3"/>
  <c r="AX155" i="3"/>
  <c r="CM154" i="3"/>
  <c r="CL154" i="3"/>
  <c r="CV154" i="3" s="1"/>
  <c r="AT154" i="3"/>
  <c r="AX154" i="3"/>
  <c r="CL153" i="3"/>
  <c r="CV153" i="3" s="1"/>
  <c r="CM153" i="3"/>
  <c r="AT153" i="3"/>
  <c r="AX153" i="3"/>
  <c r="CL152" i="3"/>
  <c r="CV152" i="3" s="1"/>
  <c r="CM152" i="3"/>
  <c r="AT152" i="3"/>
  <c r="AX152" i="3"/>
  <c r="CL151" i="3"/>
  <c r="CV151" i="3" s="1"/>
  <c r="CM151" i="3"/>
  <c r="AT151" i="3"/>
  <c r="AX151" i="3"/>
  <c r="CM150" i="3"/>
  <c r="CL150" i="3"/>
  <c r="CV150" i="3" s="1"/>
  <c r="AT150" i="3"/>
  <c r="AX150" i="3"/>
  <c r="CM149" i="3"/>
  <c r="CL149" i="3"/>
  <c r="CV149" i="3" s="1"/>
  <c r="AT149" i="3"/>
  <c r="AX149" i="3"/>
  <c r="CL148" i="3"/>
  <c r="CV148" i="3" s="1"/>
  <c r="CM148" i="3"/>
  <c r="AT148" i="3"/>
  <c r="AX148" i="3"/>
  <c r="CL147" i="3"/>
  <c r="CV147" i="3" s="1"/>
  <c r="CM147" i="3"/>
  <c r="AT147" i="3"/>
  <c r="AX147" i="3"/>
  <c r="CM146" i="3"/>
  <c r="CL146" i="3"/>
  <c r="CV146" i="3" s="1"/>
  <c r="AT146" i="3"/>
  <c r="AX146" i="3"/>
  <c r="CL145" i="3"/>
  <c r="CV145" i="3" s="1"/>
  <c r="CM145" i="3"/>
  <c r="AT145" i="3"/>
  <c r="AX145" i="3"/>
  <c r="CL144" i="3"/>
  <c r="CV144" i="3" s="1"/>
  <c r="CM144" i="3"/>
  <c r="AT144" i="3"/>
  <c r="AX144" i="3"/>
  <c r="CL143" i="3"/>
  <c r="CV143" i="3" s="1"/>
  <c r="AT143" i="3"/>
  <c r="CM143" i="3"/>
  <c r="AX143" i="3"/>
  <c r="CM142" i="3"/>
  <c r="CL142" i="3"/>
  <c r="CV142" i="3" s="1"/>
  <c r="AT142" i="3"/>
  <c r="AX142" i="3"/>
  <c r="CL141" i="3"/>
  <c r="CV141" i="3" s="1"/>
  <c r="CM141" i="3"/>
  <c r="AT141" i="3"/>
  <c r="AX141" i="3"/>
  <c r="CL140" i="3"/>
  <c r="CV140" i="3" s="1"/>
  <c r="CM140" i="3"/>
  <c r="AT140" i="3"/>
  <c r="AX140" i="3"/>
  <c r="CL139" i="3"/>
  <c r="CV139" i="3" s="1"/>
  <c r="CM139" i="3"/>
  <c r="AT139" i="3"/>
  <c r="AX139" i="3"/>
  <c r="CM138" i="3"/>
  <c r="CL138" i="3"/>
  <c r="CV138" i="3" s="1"/>
  <c r="AT138" i="3"/>
  <c r="AX138" i="3"/>
  <c r="CL137" i="3"/>
  <c r="CV137" i="3" s="1"/>
  <c r="CM137" i="3"/>
  <c r="AT137" i="3"/>
  <c r="AX137" i="3"/>
  <c r="CL136" i="3"/>
  <c r="CV136" i="3" s="1"/>
  <c r="CM136" i="3"/>
  <c r="AT136" i="3"/>
  <c r="AX136" i="3"/>
  <c r="CL135" i="3"/>
  <c r="CV135" i="3" s="1"/>
  <c r="CM135" i="3"/>
  <c r="AT135" i="3"/>
  <c r="AX135" i="3"/>
  <c r="CM134" i="3"/>
  <c r="CL134" i="3"/>
  <c r="CV134" i="3" s="1"/>
  <c r="AT134" i="3"/>
  <c r="AX134" i="3"/>
  <c r="CL133" i="3"/>
  <c r="CV133" i="3" s="1"/>
  <c r="CM133" i="3"/>
  <c r="AT133" i="3"/>
  <c r="AX133" i="3"/>
  <c r="CL132" i="3"/>
  <c r="CV132" i="3" s="1"/>
  <c r="CM132" i="3"/>
  <c r="AT132" i="3"/>
  <c r="AX132" i="3"/>
  <c r="CM131" i="3"/>
  <c r="CL131" i="3"/>
  <c r="CV131" i="3" s="1"/>
  <c r="AT131" i="3"/>
  <c r="AX131" i="3"/>
  <c r="CM130" i="3"/>
  <c r="CL130" i="3"/>
  <c r="CV130" i="3" s="1"/>
  <c r="AT130" i="3"/>
  <c r="AX130" i="3"/>
  <c r="CM129" i="3"/>
  <c r="CL129" i="3"/>
  <c r="CV129" i="3" s="1"/>
  <c r="AT129" i="3"/>
  <c r="AX129" i="3"/>
  <c r="CL128" i="3"/>
  <c r="CV128" i="3" s="1"/>
  <c r="CM128" i="3"/>
  <c r="AT128" i="3"/>
  <c r="AX128" i="3"/>
  <c r="CM127" i="3"/>
  <c r="CL127" i="3"/>
  <c r="CV127" i="3" s="1"/>
  <c r="AT127" i="3"/>
  <c r="AX127" i="3"/>
  <c r="CL126" i="3"/>
  <c r="CV126" i="3" s="1"/>
  <c r="CM126" i="3"/>
  <c r="AT126" i="3"/>
  <c r="AX126" i="3"/>
  <c r="CM125" i="3"/>
  <c r="CL125" i="3"/>
  <c r="CV125" i="3" s="1"/>
  <c r="AT125" i="3"/>
  <c r="AX125" i="3"/>
  <c r="CL124" i="3"/>
  <c r="CV124" i="3" s="1"/>
  <c r="CM124" i="3"/>
  <c r="AT124" i="3"/>
  <c r="AX124" i="3"/>
  <c r="CL123" i="3"/>
  <c r="CV123" i="3" s="1"/>
  <c r="CM123" i="3"/>
  <c r="AT123" i="3"/>
  <c r="AX123" i="3"/>
  <c r="CM122" i="3"/>
  <c r="CL122" i="3"/>
  <c r="CV122" i="3" s="1"/>
  <c r="AT122" i="3"/>
  <c r="AX122" i="3"/>
  <c r="CL121" i="3"/>
  <c r="CV121" i="3" s="1"/>
  <c r="CM121" i="3"/>
  <c r="AT121" i="3"/>
  <c r="AX121" i="3"/>
  <c r="CL120" i="3"/>
  <c r="CV120" i="3" s="1"/>
  <c r="CM120" i="3"/>
  <c r="AT120" i="3"/>
  <c r="AX120" i="3"/>
  <c r="CL119" i="3"/>
  <c r="CV119" i="3" s="1"/>
  <c r="CM119" i="3"/>
  <c r="AT119" i="3"/>
  <c r="AX119" i="3"/>
  <c r="CM118" i="3"/>
  <c r="CL118" i="3"/>
  <c r="CV118" i="3" s="1"/>
  <c r="AT118" i="3"/>
  <c r="AX118" i="3"/>
  <c r="CL117" i="3"/>
  <c r="CV117" i="3" s="1"/>
  <c r="CM117" i="3"/>
  <c r="AT117" i="3"/>
  <c r="AX117" i="3"/>
  <c r="CL116" i="3"/>
  <c r="CV116" i="3" s="1"/>
  <c r="CM116" i="3"/>
  <c r="AT116" i="3"/>
  <c r="AX116" i="3"/>
  <c r="CL115" i="3"/>
  <c r="CV115" i="3" s="1"/>
  <c r="CM115" i="3"/>
  <c r="AT115" i="3"/>
  <c r="AX115" i="3"/>
  <c r="CM114" i="3"/>
  <c r="CL114" i="3"/>
  <c r="CV114" i="3" s="1"/>
  <c r="AT114" i="3"/>
  <c r="AX114" i="3"/>
  <c r="CL113" i="3"/>
  <c r="CV113" i="3" s="1"/>
  <c r="CM113" i="3"/>
  <c r="AT113" i="3"/>
  <c r="AX113" i="3"/>
  <c r="CM112" i="3"/>
  <c r="CL112" i="3"/>
  <c r="CV112" i="3" s="1"/>
  <c r="AT112" i="3"/>
  <c r="AX112" i="3"/>
  <c r="CL111" i="3"/>
  <c r="CV111" i="3" s="1"/>
  <c r="CM111" i="3"/>
  <c r="AT111" i="3"/>
  <c r="AX111" i="3"/>
  <c r="CM110" i="3"/>
  <c r="CL110" i="3"/>
  <c r="CV110" i="3" s="1"/>
  <c r="AT110" i="3"/>
  <c r="AX110" i="3"/>
  <c r="CL109" i="3"/>
  <c r="CV109" i="3" s="1"/>
  <c r="CM109" i="3"/>
  <c r="AT109" i="3"/>
  <c r="AX109" i="3"/>
  <c r="CM108" i="3"/>
  <c r="CL108" i="3"/>
  <c r="CV108" i="3" s="1"/>
  <c r="AT108" i="3"/>
  <c r="AX108" i="3"/>
  <c r="CL107" i="3"/>
  <c r="CV107" i="3" s="1"/>
  <c r="CM107" i="3"/>
  <c r="AT107" i="3"/>
  <c r="AX107" i="3"/>
  <c r="CM106" i="3"/>
  <c r="CL106" i="3"/>
  <c r="CV106" i="3" s="1"/>
  <c r="AT106" i="3"/>
  <c r="AX106" i="3"/>
  <c r="CL105" i="3"/>
  <c r="CV105" i="3" s="1"/>
  <c r="CM105" i="3"/>
  <c r="AT105" i="3"/>
  <c r="AX105" i="3"/>
  <c r="CM104" i="3"/>
  <c r="CL104" i="3"/>
  <c r="CV104" i="3" s="1"/>
  <c r="AT104" i="3"/>
  <c r="AX104" i="3"/>
  <c r="CL103" i="3"/>
  <c r="CV103" i="3" s="1"/>
  <c r="CM103" i="3"/>
  <c r="AT103" i="3"/>
  <c r="AX103" i="3"/>
  <c r="CM102" i="3"/>
  <c r="CL102" i="3"/>
  <c r="CV102" i="3" s="1"/>
  <c r="AT102" i="3"/>
  <c r="AX102" i="3"/>
  <c r="CL101" i="3"/>
  <c r="CV101" i="3" s="1"/>
  <c r="CM101" i="3"/>
  <c r="AT101" i="3"/>
  <c r="AX101" i="3"/>
  <c r="CM100" i="3"/>
  <c r="CL100" i="3"/>
  <c r="CV100" i="3" s="1"/>
  <c r="AT100" i="3"/>
  <c r="AX100" i="3"/>
  <c r="CL99" i="3"/>
  <c r="CV99" i="3" s="1"/>
  <c r="CM99" i="3"/>
  <c r="AT99" i="3"/>
  <c r="AX99" i="3"/>
  <c r="CM98" i="3"/>
  <c r="CL98" i="3"/>
  <c r="CV98" i="3" s="1"/>
  <c r="AT98" i="3"/>
  <c r="AX98" i="3"/>
  <c r="CL97" i="3"/>
  <c r="CV97" i="3" s="1"/>
  <c r="CM97" i="3"/>
  <c r="AT97" i="3"/>
  <c r="AX97" i="3"/>
  <c r="CM96" i="3"/>
  <c r="CL96" i="3"/>
  <c r="CV96" i="3" s="1"/>
  <c r="AT96" i="3"/>
  <c r="AX96" i="3"/>
  <c r="CL95" i="3"/>
  <c r="CV95" i="3" s="1"/>
  <c r="CM95" i="3"/>
  <c r="AT95" i="3"/>
  <c r="AX95" i="3"/>
  <c r="CM94" i="3"/>
  <c r="CL94" i="3"/>
  <c r="CV94" i="3" s="1"/>
  <c r="AT94" i="3"/>
  <c r="AX94" i="3"/>
  <c r="CL93" i="3"/>
  <c r="CV93" i="3" s="1"/>
  <c r="CM93" i="3"/>
  <c r="AT93" i="3"/>
  <c r="AX93" i="3"/>
  <c r="CM92" i="3"/>
  <c r="CL92" i="3"/>
  <c r="CV92" i="3" s="1"/>
  <c r="AT92" i="3"/>
  <c r="AX92" i="3"/>
  <c r="CL91" i="3"/>
  <c r="CV91" i="3" s="1"/>
  <c r="CM91" i="3"/>
  <c r="AT91" i="3"/>
  <c r="AX91" i="3"/>
  <c r="CM90" i="3"/>
  <c r="CL90" i="3"/>
  <c r="CV90" i="3" s="1"/>
  <c r="AT90" i="3"/>
  <c r="AX90" i="3"/>
  <c r="CL89" i="3"/>
  <c r="CV89" i="3" s="1"/>
  <c r="CM89" i="3"/>
  <c r="AT89" i="3"/>
  <c r="AX89" i="3"/>
  <c r="CM88" i="3"/>
  <c r="CL88" i="3"/>
  <c r="CV88" i="3" s="1"/>
  <c r="AT88" i="3"/>
  <c r="AX88" i="3"/>
  <c r="CL87" i="3"/>
  <c r="CV87" i="3" s="1"/>
  <c r="CM87" i="3"/>
  <c r="AT87" i="3"/>
  <c r="AX87" i="3"/>
  <c r="CM86" i="3"/>
  <c r="CL86" i="3"/>
  <c r="CV86" i="3" s="1"/>
  <c r="AT86" i="3"/>
  <c r="AX86" i="3"/>
  <c r="CL85" i="3"/>
  <c r="CV85" i="3" s="1"/>
  <c r="CM85" i="3"/>
  <c r="AT85" i="3"/>
  <c r="AX85" i="3"/>
  <c r="CM84" i="3"/>
  <c r="CL84" i="3"/>
  <c r="CV84" i="3" s="1"/>
  <c r="AT84" i="3"/>
  <c r="AX84" i="3"/>
  <c r="CL83" i="3"/>
  <c r="CV83" i="3" s="1"/>
  <c r="CM83" i="3"/>
  <c r="AT83" i="3"/>
  <c r="AX83" i="3"/>
  <c r="CM82" i="3"/>
  <c r="CL82" i="3"/>
  <c r="CV82" i="3" s="1"/>
  <c r="AT82" i="3"/>
  <c r="AX82" i="3"/>
  <c r="CL81" i="3"/>
  <c r="CV81" i="3" s="1"/>
  <c r="CM81" i="3"/>
  <c r="AT81" i="3"/>
  <c r="AX81" i="3"/>
  <c r="CM80" i="3"/>
  <c r="CL80" i="3"/>
  <c r="CV80" i="3" s="1"/>
  <c r="AT80" i="3"/>
  <c r="AX80" i="3"/>
  <c r="CL79" i="3"/>
  <c r="CV79" i="3" s="1"/>
  <c r="CM79" i="3"/>
  <c r="AT79" i="3"/>
  <c r="AX79" i="3"/>
  <c r="CM78" i="3"/>
  <c r="CL78" i="3"/>
  <c r="CV78" i="3" s="1"/>
  <c r="AT78" i="3"/>
  <c r="AX78" i="3"/>
  <c r="CL77" i="3"/>
  <c r="CV77" i="3" s="1"/>
  <c r="CM77" i="3"/>
  <c r="AT77" i="3"/>
  <c r="AX77" i="3"/>
  <c r="CM76" i="3"/>
  <c r="CL76" i="3"/>
  <c r="CV76" i="3" s="1"/>
  <c r="AT76" i="3"/>
  <c r="AX76" i="3"/>
  <c r="CL75" i="3"/>
  <c r="CV75" i="3" s="1"/>
  <c r="CM75" i="3"/>
  <c r="AT75" i="3"/>
  <c r="AX75" i="3"/>
  <c r="CM74" i="3"/>
  <c r="CL74" i="3"/>
  <c r="CV74" i="3" s="1"/>
  <c r="AT74" i="3"/>
  <c r="AX74" i="3"/>
  <c r="CL73" i="3"/>
  <c r="CV73" i="3" s="1"/>
  <c r="CM73" i="3"/>
  <c r="AT73" i="3"/>
  <c r="AX73" i="3"/>
  <c r="CL72" i="3"/>
  <c r="CV72" i="3" s="1"/>
  <c r="CM72" i="3"/>
  <c r="AT72" i="3"/>
  <c r="AX72" i="3"/>
  <c r="CL71" i="3"/>
  <c r="CV71" i="3" s="1"/>
  <c r="CM71" i="3"/>
  <c r="AT71" i="3"/>
  <c r="AX71" i="3"/>
  <c r="CM70" i="3"/>
  <c r="CL70" i="3"/>
  <c r="CV70" i="3" s="1"/>
  <c r="AT70" i="3"/>
  <c r="AX70" i="3"/>
  <c r="CM69" i="3"/>
  <c r="CL69" i="3"/>
  <c r="CV69" i="3" s="1"/>
  <c r="AT69" i="3"/>
  <c r="AX69" i="3"/>
  <c r="CM68" i="3"/>
  <c r="CL68" i="3"/>
  <c r="CV68" i="3" s="1"/>
  <c r="AT68" i="3"/>
  <c r="AX68" i="3"/>
  <c r="CL67" i="3"/>
  <c r="CV67" i="3" s="1"/>
  <c r="CM67" i="3"/>
  <c r="AT67" i="3"/>
  <c r="AX67" i="3"/>
  <c r="CL66" i="3"/>
  <c r="CV66" i="3" s="1"/>
  <c r="CM66" i="3"/>
  <c r="AT66" i="3"/>
  <c r="AX66" i="3"/>
  <c r="CM65" i="3"/>
  <c r="CL65" i="3"/>
  <c r="CV65" i="3" s="1"/>
  <c r="AT65" i="3"/>
  <c r="AX65" i="3"/>
  <c r="CM64" i="3"/>
  <c r="CL64" i="3"/>
  <c r="CV64" i="3" s="1"/>
  <c r="AT64" i="3"/>
  <c r="AX64" i="3"/>
  <c r="CL63" i="3"/>
  <c r="CV63" i="3" s="1"/>
  <c r="CM63" i="3"/>
  <c r="AT63" i="3"/>
  <c r="AX63" i="3"/>
  <c r="CL62" i="3"/>
  <c r="CV62" i="3" s="1"/>
  <c r="CM62" i="3"/>
  <c r="AT62" i="3"/>
  <c r="AX62" i="3"/>
  <c r="CM61" i="3"/>
  <c r="CL61" i="3"/>
  <c r="CV61" i="3" s="1"/>
  <c r="AT61" i="3"/>
  <c r="AX61" i="3"/>
  <c r="CM60" i="3"/>
  <c r="CL60" i="3"/>
  <c r="CV60" i="3" s="1"/>
  <c r="AT60" i="3"/>
  <c r="AX60" i="3"/>
  <c r="CL59" i="3"/>
  <c r="CV59" i="3" s="1"/>
  <c r="CM59" i="3"/>
  <c r="AT59" i="3"/>
  <c r="AX59" i="3"/>
  <c r="AE259" i="3"/>
  <c r="M256" i="26" s="1"/>
  <c r="AE258" i="3"/>
  <c r="M255" i="26" s="1"/>
  <c r="AE257" i="3"/>
  <c r="M254" i="26" s="1"/>
  <c r="AE256" i="3"/>
  <c r="M253" i="26" s="1"/>
  <c r="AE255" i="3"/>
  <c r="M252" i="26" s="1"/>
  <c r="AE254" i="3"/>
  <c r="M251" i="26" s="1"/>
  <c r="AE253" i="3"/>
  <c r="M250" i="26" s="1"/>
  <c r="AE252" i="3"/>
  <c r="M249" i="26" s="1"/>
  <c r="AE251" i="3"/>
  <c r="M248" i="26" s="1"/>
  <c r="AE250" i="3"/>
  <c r="M247" i="26" s="1"/>
  <c r="AE249" i="3"/>
  <c r="M246" i="26" s="1"/>
  <c r="AE248" i="3"/>
  <c r="M245" i="26" s="1"/>
  <c r="AE247" i="3"/>
  <c r="M244" i="26" s="1"/>
  <c r="AE246" i="3"/>
  <c r="M243" i="26" s="1"/>
  <c r="AE245" i="3"/>
  <c r="M242" i="26" s="1"/>
  <c r="AE244" i="3"/>
  <c r="M241" i="26" s="1"/>
  <c r="AE243" i="3"/>
  <c r="M240" i="26" s="1"/>
  <c r="AE242" i="3"/>
  <c r="M239" i="26" s="1"/>
  <c r="AE241" i="3"/>
  <c r="M238" i="26" s="1"/>
  <c r="AE240" i="3"/>
  <c r="M237" i="26" s="1"/>
  <c r="AE239" i="3"/>
  <c r="M236" i="26" s="1"/>
  <c r="AE238" i="3"/>
  <c r="M235" i="26" s="1"/>
  <c r="AE237" i="3"/>
  <c r="M234" i="26" s="1"/>
  <c r="AE236" i="3"/>
  <c r="M233" i="26" s="1"/>
  <c r="AE235" i="3"/>
  <c r="M232" i="26" s="1"/>
  <c r="AE234" i="3"/>
  <c r="M231" i="26" s="1"/>
  <c r="AE233" i="3"/>
  <c r="M230" i="26" s="1"/>
  <c r="AE232" i="3"/>
  <c r="M229" i="26" s="1"/>
  <c r="AE231" i="3"/>
  <c r="M228" i="26" s="1"/>
  <c r="AE230" i="3"/>
  <c r="M227" i="26" s="1"/>
  <c r="AE229" i="3"/>
  <c r="M226" i="26" s="1"/>
  <c r="AE228" i="3"/>
  <c r="M225" i="26" s="1"/>
  <c r="AE227" i="3"/>
  <c r="M224" i="26" s="1"/>
  <c r="AE226" i="3"/>
  <c r="M223" i="26" s="1"/>
  <c r="AE225" i="3"/>
  <c r="M222" i="26" s="1"/>
  <c r="AE224" i="3"/>
  <c r="M221" i="26" s="1"/>
  <c r="AE223" i="3"/>
  <c r="M220" i="26" s="1"/>
  <c r="AE222" i="3"/>
  <c r="M219" i="26" s="1"/>
  <c r="AE221" i="3"/>
  <c r="M218" i="26" s="1"/>
  <c r="AE220" i="3"/>
  <c r="M217" i="26" s="1"/>
  <c r="AE219" i="3"/>
  <c r="M216" i="26" s="1"/>
  <c r="AE218" i="3"/>
  <c r="M215" i="26" s="1"/>
  <c r="AE217" i="3"/>
  <c r="M214" i="26" s="1"/>
  <c r="AE216" i="3"/>
  <c r="M213" i="26" s="1"/>
  <c r="AE215" i="3"/>
  <c r="M212" i="26" s="1"/>
  <c r="AE214" i="3"/>
  <c r="M211" i="26" s="1"/>
  <c r="AE213" i="3"/>
  <c r="M210" i="26" s="1"/>
  <c r="AE212" i="3"/>
  <c r="M209" i="26" s="1"/>
  <c r="AE211" i="3"/>
  <c r="M208" i="26" s="1"/>
  <c r="AE210" i="3"/>
  <c r="M207" i="26" s="1"/>
  <c r="AE209" i="3"/>
  <c r="M206" i="26" s="1"/>
  <c r="AE208" i="3"/>
  <c r="M205" i="26" s="1"/>
  <c r="AE207" i="3"/>
  <c r="M204" i="26" s="1"/>
  <c r="AE206" i="3"/>
  <c r="M203" i="26" s="1"/>
  <c r="AE205" i="3"/>
  <c r="M202" i="26" s="1"/>
  <c r="AE204" i="3"/>
  <c r="M201" i="26" s="1"/>
  <c r="AE203" i="3"/>
  <c r="M200" i="26" s="1"/>
  <c r="AE202" i="3"/>
  <c r="M199" i="26" s="1"/>
  <c r="AE201" i="3"/>
  <c r="M198" i="26" s="1"/>
  <c r="AE200" i="3"/>
  <c r="M197" i="26" s="1"/>
  <c r="AE199" i="3"/>
  <c r="M196" i="26" s="1"/>
  <c r="AE198" i="3"/>
  <c r="M195" i="26" s="1"/>
  <c r="AE197" i="3"/>
  <c r="M194" i="26" s="1"/>
  <c r="AE196" i="3"/>
  <c r="M193" i="26" s="1"/>
  <c r="AE195" i="3"/>
  <c r="M192" i="26" s="1"/>
  <c r="AE194" i="3"/>
  <c r="M191" i="26" s="1"/>
  <c r="AE193" i="3"/>
  <c r="M190" i="26" s="1"/>
  <c r="AE192" i="3"/>
  <c r="M189" i="26" s="1"/>
  <c r="AE191" i="3"/>
  <c r="M188" i="26" s="1"/>
  <c r="AE190" i="3"/>
  <c r="M187" i="26" s="1"/>
  <c r="AE189" i="3"/>
  <c r="M186" i="26" s="1"/>
  <c r="AE188" i="3"/>
  <c r="M185" i="26" s="1"/>
  <c r="AE187" i="3"/>
  <c r="M184" i="26" s="1"/>
  <c r="AE186" i="3"/>
  <c r="M183" i="26" s="1"/>
  <c r="AE185" i="3"/>
  <c r="M182" i="26" s="1"/>
  <c r="AE184" i="3"/>
  <c r="M181" i="26" s="1"/>
  <c r="AE183" i="3"/>
  <c r="M180" i="26" s="1"/>
  <c r="AE182" i="3"/>
  <c r="M179" i="26" s="1"/>
  <c r="AE181" i="3"/>
  <c r="M178" i="26" s="1"/>
  <c r="AE180" i="3"/>
  <c r="M177" i="26" s="1"/>
  <c r="AE179" i="3"/>
  <c r="M176" i="26" s="1"/>
  <c r="AE178" i="3"/>
  <c r="M175" i="26" s="1"/>
  <c r="AE177" i="3"/>
  <c r="M174" i="26" s="1"/>
  <c r="AE176" i="3"/>
  <c r="M173" i="26" s="1"/>
  <c r="AE175" i="3"/>
  <c r="M172" i="26" s="1"/>
  <c r="AE174" i="3"/>
  <c r="M171" i="26" s="1"/>
  <c r="AE173" i="3"/>
  <c r="M170" i="26" s="1"/>
  <c r="AE172" i="3"/>
  <c r="M169" i="26" s="1"/>
  <c r="AE171" i="3"/>
  <c r="M168" i="26" s="1"/>
  <c r="AE170" i="3"/>
  <c r="M167" i="26" s="1"/>
  <c r="AE169" i="3"/>
  <c r="M166" i="26" s="1"/>
  <c r="AE168" i="3"/>
  <c r="M165" i="26" s="1"/>
  <c r="AE167" i="3"/>
  <c r="M164" i="26" s="1"/>
  <c r="AE166" i="3"/>
  <c r="M163" i="26" s="1"/>
  <c r="AE165" i="3"/>
  <c r="M162" i="26" s="1"/>
  <c r="AE164" i="3"/>
  <c r="M161" i="26" s="1"/>
  <c r="AE163" i="3"/>
  <c r="M160" i="26" s="1"/>
  <c r="AE162" i="3"/>
  <c r="M159" i="26" s="1"/>
  <c r="AE161" i="3"/>
  <c r="M158" i="26" s="1"/>
  <c r="AE160" i="3"/>
  <c r="M157" i="26" s="1"/>
  <c r="AE159" i="3"/>
  <c r="M156" i="26" s="1"/>
  <c r="AE158" i="3"/>
  <c r="M155" i="26" s="1"/>
  <c r="AE157" i="3"/>
  <c r="M154" i="26" s="1"/>
  <c r="AE156" i="3"/>
  <c r="M153" i="26" s="1"/>
  <c r="AE155" i="3"/>
  <c r="M152" i="26" s="1"/>
  <c r="AE154" i="3"/>
  <c r="M151" i="26" s="1"/>
  <c r="AE153" i="3"/>
  <c r="M150" i="26" s="1"/>
  <c r="AE152" i="3"/>
  <c r="M149" i="26" s="1"/>
  <c r="AE151" i="3"/>
  <c r="M148" i="26" s="1"/>
  <c r="AE150" i="3"/>
  <c r="M147" i="26" s="1"/>
  <c r="AE149" i="3"/>
  <c r="M146" i="26" s="1"/>
  <c r="AE148" i="3"/>
  <c r="M145" i="26" s="1"/>
  <c r="AE147" i="3"/>
  <c r="M144" i="26" s="1"/>
  <c r="AE146" i="3"/>
  <c r="M143" i="26" s="1"/>
  <c r="AE145" i="3"/>
  <c r="M142" i="26" s="1"/>
  <c r="AE144" i="3"/>
  <c r="M141" i="26" s="1"/>
  <c r="AE143" i="3"/>
  <c r="M140" i="26" s="1"/>
  <c r="AE142" i="3"/>
  <c r="M139" i="26" s="1"/>
  <c r="AE141" i="3"/>
  <c r="M138" i="26" s="1"/>
  <c r="AE140" i="3"/>
  <c r="M137" i="26" s="1"/>
  <c r="AE139" i="3"/>
  <c r="M136" i="26" s="1"/>
  <c r="AE138" i="3"/>
  <c r="M135" i="26" s="1"/>
  <c r="AE137" i="3"/>
  <c r="M134" i="26" s="1"/>
  <c r="AE136" i="3"/>
  <c r="M133" i="26" s="1"/>
  <c r="AE135" i="3"/>
  <c r="M132" i="26" s="1"/>
  <c r="AE134" i="3"/>
  <c r="M131" i="26" s="1"/>
  <c r="AE133" i="3"/>
  <c r="M130" i="26" s="1"/>
  <c r="AE132" i="3"/>
  <c r="M129" i="26" s="1"/>
  <c r="AE131" i="3"/>
  <c r="M128" i="26" s="1"/>
  <c r="AE130" i="3"/>
  <c r="M127" i="26" s="1"/>
  <c r="AE129" i="3"/>
  <c r="M126" i="26" s="1"/>
  <c r="AE128" i="3"/>
  <c r="M125" i="26" s="1"/>
  <c r="AE127" i="3"/>
  <c r="M124" i="26" s="1"/>
  <c r="AE126" i="3"/>
  <c r="M123" i="26" s="1"/>
  <c r="AE125" i="3"/>
  <c r="M122" i="26" s="1"/>
  <c r="AE124" i="3"/>
  <c r="M121" i="26" s="1"/>
  <c r="AE123" i="3"/>
  <c r="M120" i="26" s="1"/>
  <c r="AE122" i="3"/>
  <c r="M119" i="26" s="1"/>
  <c r="AE121" i="3"/>
  <c r="M118" i="26" s="1"/>
  <c r="AE120" i="3"/>
  <c r="M117" i="26" s="1"/>
  <c r="AE119" i="3"/>
  <c r="M116" i="26" s="1"/>
  <c r="AE118" i="3"/>
  <c r="M115" i="26" s="1"/>
  <c r="AE117" i="3"/>
  <c r="M114" i="26" s="1"/>
  <c r="AE116" i="3"/>
  <c r="M113" i="26" s="1"/>
  <c r="AE115" i="3"/>
  <c r="M112" i="26" s="1"/>
  <c r="AE114" i="3"/>
  <c r="M111" i="26" s="1"/>
  <c r="AE113" i="3"/>
  <c r="M110" i="26" s="1"/>
  <c r="AE112" i="3"/>
  <c r="M109" i="26" s="1"/>
  <c r="AE111" i="3"/>
  <c r="M108" i="26" s="1"/>
  <c r="AE110" i="3"/>
  <c r="M107" i="26" s="1"/>
  <c r="AE109" i="3"/>
  <c r="M106" i="26" s="1"/>
  <c r="AE108" i="3"/>
  <c r="M105" i="26" s="1"/>
  <c r="AE107" i="3"/>
  <c r="M104" i="26" s="1"/>
  <c r="AE106" i="3"/>
  <c r="M103" i="26" s="1"/>
  <c r="AE105" i="3"/>
  <c r="M102" i="26" s="1"/>
  <c r="AE104" i="3"/>
  <c r="M101" i="26" s="1"/>
  <c r="AE103" i="3"/>
  <c r="M100" i="26" s="1"/>
  <c r="AE102" i="3"/>
  <c r="M99" i="26" s="1"/>
  <c r="AE101" i="3"/>
  <c r="M98" i="26" s="1"/>
  <c r="AE100" i="3"/>
  <c r="M97" i="26" s="1"/>
  <c r="AE99" i="3"/>
  <c r="M96" i="26" s="1"/>
  <c r="AE98" i="3"/>
  <c r="M95" i="26" s="1"/>
  <c r="AE97" i="3"/>
  <c r="M94" i="26" s="1"/>
  <c r="AE96" i="3"/>
  <c r="M93" i="26" s="1"/>
  <c r="AE95" i="3"/>
  <c r="M92" i="26" s="1"/>
  <c r="AE94" i="3"/>
  <c r="M91" i="26" s="1"/>
  <c r="AE93" i="3"/>
  <c r="M90" i="26" s="1"/>
  <c r="AE92" i="3"/>
  <c r="M89" i="26" s="1"/>
  <c r="AE91" i="3"/>
  <c r="M88" i="26" s="1"/>
  <c r="AE90" i="3"/>
  <c r="M87" i="26" s="1"/>
  <c r="AE89" i="3"/>
  <c r="M86" i="26" s="1"/>
  <c r="AE88" i="3"/>
  <c r="M85" i="26" s="1"/>
  <c r="AE87" i="3"/>
  <c r="M84" i="26" s="1"/>
  <c r="AE86" i="3"/>
  <c r="M83" i="26" s="1"/>
  <c r="AE85" i="3"/>
  <c r="M82" i="26" s="1"/>
  <c r="AE84" i="3"/>
  <c r="M81" i="26" s="1"/>
  <c r="AE83" i="3"/>
  <c r="M80" i="26" s="1"/>
  <c r="AE82" i="3"/>
  <c r="M79" i="26" s="1"/>
  <c r="AE81" i="3"/>
  <c r="M78" i="26" s="1"/>
  <c r="AE80" i="3"/>
  <c r="M77" i="26" s="1"/>
  <c r="AE79" i="3"/>
  <c r="M76" i="26" s="1"/>
  <c r="AE78" i="3"/>
  <c r="M75" i="26" s="1"/>
  <c r="AE77" i="3"/>
  <c r="M74" i="26" s="1"/>
  <c r="AE76" i="3"/>
  <c r="M73" i="26" s="1"/>
  <c r="AE75" i="3"/>
  <c r="M72" i="26" s="1"/>
  <c r="AE74" i="3"/>
  <c r="M71" i="26" s="1"/>
  <c r="AE73" i="3"/>
  <c r="M70" i="26" s="1"/>
  <c r="AE72" i="3"/>
  <c r="M69" i="26" s="1"/>
  <c r="AE71" i="3"/>
  <c r="M68" i="26" s="1"/>
  <c r="AE70" i="3"/>
  <c r="M67" i="26" s="1"/>
  <c r="AE69" i="3"/>
  <c r="M66" i="26" s="1"/>
  <c r="AE68" i="3"/>
  <c r="M65" i="26" s="1"/>
  <c r="AE67" i="3"/>
  <c r="M64" i="26" s="1"/>
  <c r="AE66" i="3"/>
  <c r="M63" i="26" s="1"/>
  <c r="AE65" i="3"/>
  <c r="M62" i="26" s="1"/>
  <c r="AE64" i="3"/>
  <c r="M61" i="26" s="1"/>
  <c r="AE63" i="3"/>
  <c r="M60" i="26" s="1"/>
  <c r="AE62" i="3"/>
  <c r="M59" i="26" s="1"/>
  <c r="AE61" i="3"/>
  <c r="M58" i="26" s="1"/>
  <c r="AE60" i="3"/>
  <c r="M57" i="26" s="1"/>
  <c r="AE59" i="3"/>
  <c r="M56" i="26" s="1"/>
  <c r="CT226" i="3"/>
  <c r="A1" i="6"/>
  <c r="AX14" i="3"/>
  <c r="N136" i="11"/>
  <c r="N155" i="11" s="1"/>
  <c r="CL10" i="3"/>
  <c r="CL58" i="3"/>
  <c r="CV58" i="3" s="1"/>
  <c r="CL57" i="3"/>
  <c r="CV57" i="3" s="1"/>
  <c r="CL56" i="3"/>
  <c r="CV56" i="3" s="1"/>
  <c r="CL55" i="3"/>
  <c r="CV55" i="3" s="1"/>
  <c r="CL54" i="3"/>
  <c r="CV54" i="3" s="1"/>
  <c r="CL53" i="3"/>
  <c r="CV53" i="3" s="1"/>
  <c r="CL52" i="3"/>
  <c r="CV52" i="3" s="1"/>
  <c r="CL51" i="3"/>
  <c r="CV51" i="3" s="1"/>
  <c r="CL50" i="3"/>
  <c r="CV50" i="3" s="1"/>
  <c r="CL49" i="3"/>
  <c r="CV49" i="3" s="1"/>
  <c r="CL48" i="3"/>
  <c r="CV48" i="3" s="1"/>
  <c r="CL47" i="3"/>
  <c r="CV47" i="3" s="1"/>
  <c r="CL46" i="3"/>
  <c r="CV46" i="3" s="1"/>
  <c r="CL45" i="3"/>
  <c r="CV45" i="3" s="1"/>
  <c r="CL44" i="3"/>
  <c r="CV44" i="3" s="1"/>
  <c r="CL43" i="3"/>
  <c r="CV43" i="3" s="1"/>
  <c r="CL42" i="3"/>
  <c r="CV42" i="3" s="1"/>
  <c r="CL41" i="3"/>
  <c r="CV41" i="3" s="1"/>
  <c r="CL40" i="3"/>
  <c r="CV40" i="3" s="1"/>
  <c r="CL39" i="3"/>
  <c r="CV39" i="3" s="1"/>
  <c r="CL38" i="3"/>
  <c r="CV38" i="3" s="1"/>
  <c r="CL37" i="3"/>
  <c r="CV37" i="3" s="1"/>
  <c r="CL36" i="3"/>
  <c r="CV36" i="3" s="1"/>
  <c r="CL35" i="3"/>
  <c r="CV35" i="3" s="1"/>
  <c r="CL34" i="3"/>
  <c r="CV34" i="3" s="1"/>
  <c r="CL33" i="3"/>
  <c r="CV33" i="3" s="1"/>
  <c r="CL32" i="3"/>
  <c r="CV32" i="3" s="1"/>
  <c r="CL31" i="3"/>
  <c r="CV31" i="3" s="1"/>
  <c r="CL30" i="3"/>
  <c r="CV30" i="3" s="1"/>
  <c r="CL29" i="3"/>
  <c r="CV29" i="3" s="1"/>
  <c r="CL28" i="3"/>
  <c r="CV28" i="3" s="1"/>
  <c r="CL27" i="3"/>
  <c r="CV27" i="3" s="1"/>
  <c r="CL26" i="3"/>
  <c r="CV26" i="3" s="1"/>
  <c r="CL25" i="3"/>
  <c r="CV25" i="3" s="1"/>
  <c r="CL24" i="3"/>
  <c r="CV24" i="3" s="1"/>
  <c r="CL23" i="3"/>
  <c r="CV23" i="3" s="1"/>
  <c r="CL22" i="3"/>
  <c r="CV22" i="3" s="1"/>
  <c r="CL21" i="3"/>
  <c r="CV21" i="3" s="1"/>
  <c r="CL20" i="3"/>
  <c r="CV20" i="3" s="1"/>
  <c r="CL19" i="3"/>
  <c r="CL18" i="3"/>
  <c r="CL17" i="3"/>
  <c r="CL16" i="3"/>
  <c r="CL15" i="3"/>
  <c r="CV15" i="3" s="1"/>
  <c r="CL14" i="3"/>
  <c r="CL13" i="3"/>
  <c r="CL12" i="3"/>
  <c r="CL11" i="3"/>
  <c r="AX10" i="3"/>
  <c r="AT10" i="3"/>
  <c r="AX58" i="3"/>
  <c r="AX57" i="3"/>
  <c r="AX56" i="3"/>
  <c r="AX55" i="3"/>
  <c r="AX54" i="3"/>
  <c r="AX53" i="3"/>
  <c r="AX52" i="3"/>
  <c r="AX51" i="3"/>
  <c r="AX50" i="3"/>
  <c r="AX49" i="3"/>
  <c r="AX48" i="3"/>
  <c r="AX47" i="3"/>
  <c r="AX46" i="3"/>
  <c r="AX45" i="3"/>
  <c r="AX44" i="3"/>
  <c r="AX43" i="3"/>
  <c r="AX42" i="3"/>
  <c r="AX41" i="3"/>
  <c r="AX40" i="3"/>
  <c r="AX39" i="3"/>
  <c r="AX38" i="3"/>
  <c r="AX37" i="3"/>
  <c r="AX36" i="3"/>
  <c r="AX35" i="3"/>
  <c r="AX34" i="3"/>
  <c r="AX33" i="3"/>
  <c r="AX32" i="3"/>
  <c r="AX31" i="3"/>
  <c r="AX30" i="3"/>
  <c r="AX29" i="3"/>
  <c r="AX28" i="3"/>
  <c r="AX27" i="3"/>
  <c r="AX26" i="3"/>
  <c r="AX25" i="3"/>
  <c r="AX24" i="3"/>
  <c r="AX23" i="3"/>
  <c r="AX22" i="3"/>
  <c r="AX21" i="3"/>
  <c r="AX20" i="3"/>
  <c r="AX19" i="3"/>
  <c r="AX18" i="3"/>
  <c r="AX17" i="3"/>
  <c r="AX16" i="3"/>
  <c r="AX15" i="3"/>
  <c r="AX13" i="3"/>
  <c r="AX12" i="3"/>
  <c r="AX11" i="3"/>
  <c r="AT58" i="3"/>
  <c r="AT57" i="3"/>
  <c r="AT56" i="3"/>
  <c r="AT55" i="3"/>
  <c r="AT54" i="3"/>
  <c r="AT53" i="3"/>
  <c r="AT52" i="3"/>
  <c r="AT51" i="3"/>
  <c r="AT50" i="3"/>
  <c r="AT49" i="3"/>
  <c r="AT48" i="3"/>
  <c r="AT47" i="3"/>
  <c r="AT46" i="3"/>
  <c r="AT45" i="3"/>
  <c r="AT44" i="3"/>
  <c r="AT43" i="3"/>
  <c r="AT42" i="3"/>
  <c r="AT41" i="3"/>
  <c r="AT40" i="3"/>
  <c r="AT39" i="3"/>
  <c r="AT38" i="3"/>
  <c r="AT37" i="3"/>
  <c r="AT36" i="3"/>
  <c r="AT35" i="3"/>
  <c r="AT34" i="3"/>
  <c r="AT33" i="3"/>
  <c r="AT32" i="3"/>
  <c r="AT31" i="3"/>
  <c r="AT30" i="3"/>
  <c r="AT29" i="3"/>
  <c r="AT28" i="3"/>
  <c r="AT27" i="3"/>
  <c r="AT26" i="3"/>
  <c r="AT25" i="3"/>
  <c r="AT24" i="3"/>
  <c r="AT23" i="3"/>
  <c r="AT22" i="3"/>
  <c r="AT21" i="3"/>
  <c r="AT20" i="3"/>
  <c r="AT19" i="3"/>
  <c r="AT18" i="3"/>
  <c r="AT17" i="3"/>
  <c r="AT16" i="3"/>
  <c r="AT15" i="3"/>
  <c r="AT14" i="3"/>
  <c r="AT13" i="3"/>
  <c r="AT12" i="3"/>
  <c r="AT11" i="3"/>
  <c r="AO2" i="14"/>
  <c r="AN2" i="14"/>
  <c r="AM2" i="14"/>
  <c r="AL2" i="14"/>
  <c r="AK2" i="14"/>
  <c r="AI2" i="14"/>
  <c r="AH2" i="14"/>
  <c r="AG2" i="14"/>
  <c r="AF2" i="14"/>
  <c r="CU138" i="14"/>
  <c r="CU137" i="14"/>
  <c r="CU136" i="14"/>
  <c r="CU135" i="14"/>
  <c r="CU134" i="14"/>
  <c r="CU133" i="14"/>
  <c r="CU132" i="14"/>
  <c r="CU131" i="14"/>
  <c r="CU130" i="14"/>
  <c r="CU129" i="14"/>
  <c r="CU128" i="14"/>
  <c r="CU127" i="14"/>
  <c r="CU126" i="14"/>
  <c r="CU125" i="14"/>
  <c r="CU124" i="14"/>
  <c r="CU123" i="14"/>
  <c r="CU122" i="14"/>
  <c r="CU121" i="14"/>
  <c r="CU120" i="14"/>
  <c r="CU119" i="14"/>
  <c r="CU118" i="14"/>
  <c r="CU117" i="14"/>
  <c r="CU116" i="14"/>
  <c r="CU115" i="14"/>
  <c r="CU114" i="14"/>
  <c r="CU113" i="14"/>
  <c r="CU112" i="14"/>
  <c r="CU111" i="14"/>
  <c r="CU110" i="14"/>
  <c r="CU109" i="14"/>
  <c r="CU108" i="14"/>
  <c r="CU107" i="14"/>
  <c r="CU106" i="14"/>
  <c r="CU105" i="14"/>
  <c r="CU104" i="14"/>
  <c r="CU103" i="14"/>
  <c r="CU102" i="14"/>
  <c r="CU101" i="14"/>
  <c r="CU100" i="14"/>
  <c r="CU99" i="14"/>
  <c r="CU98" i="14"/>
  <c r="CU97" i="14"/>
  <c r="CU96" i="14"/>
  <c r="CU95" i="14"/>
  <c r="CU94" i="14"/>
  <c r="CU93" i="14"/>
  <c r="CU92" i="14"/>
  <c r="CU91" i="14"/>
  <c r="CU90" i="14"/>
  <c r="CU89" i="14"/>
  <c r="CU88" i="14"/>
  <c r="CU87" i="14"/>
  <c r="CU86" i="14"/>
  <c r="CU85" i="14"/>
  <c r="CU84" i="14"/>
  <c r="CU83" i="14"/>
  <c r="CU82" i="14"/>
  <c r="CU81" i="14"/>
  <c r="CU80" i="14"/>
  <c r="CU79" i="14"/>
  <c r="CU78" i="14"/>
  <c r="CU77" i="14"/>
  <c r="CU76" i="14"/>
  <c r="CU75" i="14"/>
  <c r="CU74" i="14"/>
  <c r="CU73" i="14"/>
  <c r="CU72" i="14"/>
  <c r="CU71" i="14"/>
  <c r="CU70" i="14"/>
  <c r="CU69" i="14"/>
  <c r="CU68" i="14"/>
  <c r="CU67" i="14"/>
  <c r="CU66" i="14"/>
  <c r="CU65" i="14"/>
  <c r="CU64" i="14"/>
  <c r="CU63" i="14"/>
  <c r="CU62" i="14"/>
  <c r="CU61" i="14"/>
  <c r="CU60" i="14"/>
  <c r="CU59" i="14"/>
  <c r="CU58" i="14"/>
  <c r="CU57" i="14"/>
  <c r="CU56" i="14"/>
  <c r="CU55" i="14"/>
  <c r="CU54" i="14"/>
  <c r="CU53" i="14"/>
  <c r="CU52" i="14"/>
  <c r="CU51" i="14"/>
  <c r="CU50" i="14"/>
  <c r="CU49" i="14"/>
  <c r="CU48" i="14"/>
  <c r="CU47" i="14"/>
  <c r="CU46" i="14"/>
  <c r="CU45" i="14"/>
  <c r="CU44" i="14"/>
  <c r="CU43" i="14"/>
  <c r="CU42" i="14"/>
  <c r="CU41" i="14"/>
  <c r="CU40" i="14"/>
  <c r="CU39" i="14"/>
  <c r="CU38" i="14"/>
  <c r="CU37" i="14"/>
  <c r="CU36" i="14"/>
  <c r="CU35" i="14"/>
  <c r="CU34" i="14"/>
  <c r="CU33" i="14"/>
  <c r="CU32" i="14"/>
  <c r="CU31" i="14"/>
  <c r="CU30" i="14"/>
  <c r="CU29" i="14"/>
  <c r="CU28" i="14"/>
  <c r="CU27" i="14"/>
  <c r="CU26" i="14"/>
  <c r="CU25" i="14"/>
  <c r="CU24" i="14"/>
  <c r="CU23" i="14"/>
  <c r="R30" i="14"/>
  <c r="S29" i="14"/>
  <c r="R28" i="14"/>
  <c r="S27" i="14"/>
  <c r="R26" i="14"/>
  <c r="S25" i="14"/>
  <c r="R25" i="14"/>
  <c r="S24" i="14"/>
  <c r="R24" i="14"/>
  <c r="S23" i="14"/>
  <c r="R23" i="14"/>
  <c r="S22" i="14"/>
  <c r="R21" i="14"/>
  <c r="S20" i="14"/>
  <c r="R20" i="14"/>
  <c r="S19" i="14"/>
  <c r="R19" i="14"/>
  <c r="S18" i="14"/>
  <c r="R18" i="14"/>
  <c r="S17" i="14"/>
  <c r="R12" i="14"/>
  <c r="S11" i="14"/>
  <c r="R11" i="14"/>
  <c r="S10" i="14"/>
  <c r="R10" i="14"/>
  <c r="S9" i="14"/>
  <c r="R9" i="14"/>
  <c r="S8" i="14"/>
  <c r="R7" i="14"/>
  <c r="S6" i="14"/>
  <c r="R6" i="14"/>
  <c r="S5" i="14"/>
  <c r="R5" i="14"/>
  <c r="S4" i="14"/>
  <c r="R4" i="14"/>
  <c r="S3" i="14"/>
  <c r="O12" i="19"/>
  <c r="O11" i="19"/>
  <c r="O10" i="19"/>
  <c r="O34" i="19"/>
  <c r="O33" i="19"/>
  <c r="O28" i="19"/>
  <c r="O27" i="19"/>
  <c r="O26" i="19"/>
  <c r="O25" i="19"/>
  <c r="O24" i="19"/>
  <c r="O23" i="19"/>
  <c r="O22" i="19"/>
  <c r="O21" i="19"/>
  <c r="O20" i="19"/>
  <c r="O19" i="19"/>
  <c r="O18" i="19"/>
  <c r="O17" i="19"/>
  <c r="O16" i="19"/>
  <c r="O15" i="19"/>
  <c r="O14" i="19"/>
  <c r="O13" i="19"/>
  <c r="O9" i="19"/>
  <c r="O8" i="19"/>
  <c r="O7" i="19"/>
  <c r="O6" i="19"/>
  <c r="O5" i="19"/>
  <c r="O4" i="19"/>
  <c r="S14" i="2"/>
  <c r="CM58" i="3"/>
  <c r="CM57" i="3"/>
  <c r="CM56" i="3"/>
  <c r="CM55" i="3"/>
  <c r="CM54" i="3"/>
  <c r="CM53" i="3"/>
  <c r="CM52" i="3"/>
  <c r="CM51" i="3"/>
  <c r="CM50" i="3"/>
  <c r="CM49" i="3"/>
  <c r="CM48" i="3"/>
  <c r="CM47" i="3"/>
  <c r="CM46" i="3"/>
  <c r="CM45" i="3"/>
  <c r="CM44" i="3"/>
  <c r="CM43" i="3"/>
  <c r="CM42" i="3"/>
  <c r="CM41" i="3"/>
  <c r="CM40" i="3"/>
  <c r="CM39" i="3"/>
  <c r="CM38" i="3"/>
  <c r="CM37" i="3"/>
  <c r="CM36" i="3"/>
  <c r="CM35" i="3"/>
  <c r="CM34" i="3"/>
  <c r="CM33" i="3"/>
  <c r="CM32" i="3"/>
  <c r="CM31" i="3"/>
  <c r="CM30" i="3"/>
  <c r="CM29" i="3"/>
  <c r="CM28" i="3"/>
  <c r="CM27" i="3"/>
  <c r="CM26" i="3"/>
  <c r="CM25" i="3"/>
  <c r="CM24" i="3"/>
  <c r="CM23" i="3"/>
  <c r="CM22" i="3"/>
  <c r="CM21" i="3"/>
  <c r="CM20" i="3"/>
  <c r="CM19" i="3"/>
  <c r="CM18" i="3"/>
  <c r="CM17" i="3"/>
  <c r="CM16" i="3"/>
  <c r="CM15" i="3"/>
  <c r="CM14" i="3"/>
  <c r="CM13" i="3"/>
  <c r="CM12" i="3"/>
  <c r="CM11" i="3"/>
  <c r="AE58" i="3"/>
  <c r="M55" i="26" s="1"/>
  <c r="AE57" i="3"/>
  <c r="M54" i="26" s="1"/>
  <c r="AE56" i="3"/>
  <c r="M53" i="26" s="1"/>
  <c r="AE55" i="3"/>
  <c r="M52" i="26" s="1"/>
  <c r="AE54" i="3"/>
  <c r="M51" i="26" s="1"/>
  <c r="AE53" i="3"/>
  <c r="M50" i="26" s="1"/>
  <c r="AE52" i="3"/>
  <c r="M49" i="26" s="1"/>
  <c r="AE51" i="3"/>
  <c r="M48" i="26" s="1"/>
  <c r="AE50" i="3"/>
  <c r="M47" i="26" s="1"/>
  <c r="AE49" i="3"/>
  <c r="M46" i="26" s="1"/>
  <c r="AE48" i="3"/>
  <c r="M45" i="26" s="1"/>
  <c r="AE47" i="3"/>
  <c r="M44" i="26" s="1"/>
  <c r="AE46" i="3"/>
  <c r="M43" i="26" s="1"/>
  <c r="AE45" i="3"/>
  <c r="M42" i="26" s="1"/>
  <c r="AE44" i="3"/>
  <c r="M41" i="26" s="1"/>
  <c r="AE43" i="3"/>
  <c r="M40" i="26" s="1"/>
  <c r="AE42" i="3"/>
  <c r="M39" i="26" s="1"/>
  <c r="AE41" i="3"/>
  <c r="M38" i="26" s="1"/>
  <c r="AE40" i="3"/>
  <c r="M37" i="26" s="1"/>
  <c r="AE39" i="3"/>
  <c r="M36" i="26" s="1"/>
  <c r="AE38" i="3"/>
  <c r="M35" i="26" s="1"/>
  <c r="AE37" i="3"/>
  <c r="M34" i="26" s="1"/>
  <c r="AE36" i="3"/>
  <c r="M33" i="26" s="1"/>
  <c r="AE35" i="3"/>
  <c r="M32" i="26" s="1"/>
  <c r="AE34" i="3"/>
  <c r="M31" i="26" s="1"/>
  <c r="AE33" i="3"/>
  <c r="M30" i="26" s="1"/>
  <c r="U14" i="2"/>
  <c r="C2" i="6"/>
  <c r="BP302" i="14"/>
  <c r="BP301" i="14"/>
  <c r="BP300" i="14"/>
  <c r="BP299" i="14"/>
  <c r="BP298" i="14"/>
  <c r="BP297" i="14"/>
  <c r="BP296" i="14"/>
  <c r="BP295" i="14"/>
  <c r="BP294" i="14"/>
  <c r="BP293" i="14"/>
  <c r="BP292" i="14"/>
  <c r="BP291" i="14"/>
  <c r="BP290" i="14"/>
  <c r="BP289" i="14"/>
  <c r="BP288" i="14"/>
  <c r="BP287" i="14"/>
  <c r="BP286" i="14"/>
  <c r="BP285" i="14"/>
  <c r="BP284" i="14"/>
  <c r="BP283" i="14"/>
  <c r="BP282" i="14"/>
  <c r="BP281" i="14"/>
  <c r="BP280" i="14"/>
  <c r="BP279" i="14"/>
  <c r="BP278" i="14"/>
  <c r="BP277" i="14"/>
  <c r="BP276" i="14"/>
  <c r="BP275" i="14"/>
  <c r="BP274" i="14"/>
  <c r="BP273" i="14"/>
  <c r="BP51" i="14"/>
  <c r="BP50" i="14"/>
  <c r="BP49" i="14"/>
  <c r="BP48" i="14"/>
  <c r="BP47" i="14"/>
  <c r="BP46" i="14"/>
  <c r="BP45" i="14"/>
  <c r="BP44" i="14"/>
  <c r="BP43" i="14"/>
  <c r="BP42" i="14"/>
  <c r="BP41" i="14"/>
  <c r="BP40" i="14"/>
  <c r="BP39" i="14"/>
  <c r="BP38" i="14"/>
  <c r="BP37" i="14"/>
  <c r="BP36" i="14"/>
  <c r="BP35" i="14"/>
  <c r="BP34" i="14"/>
  <c r="BP33" i="14"/>
  <c r="BP32" i="14"/>
  <c r="BP31" i="14"/>
  <c r="BP30" i="14"/>
  <c r="BP29" i="14"/>
  <c r="BP28" i="14"/>
  <c r="BP27" i="14"/>
  <c r="BP26" i="14"/>
  <c r="BP25" i="14"/>
  <c r="BP24" i="14"/>
  <c r="BP23" i="14"/>
  <c r="BP22" i="14"/>
  <c r="BK10" i="3"/>
  <c r="Q162" i="11"/>
  <c r="I192" i="11"/>
  <c r="B192" i="11"/>
  <c r="I191" i="11"/>
  <c r="B191" i="11"/>
  <c r="I190" i="11"/>
  <c r="B190" i="11"/>
  <c r="I189" i="11"/>
  <c r="B189" i="11"/>
  <c r="I188" i="11"/>
  <c r="B188" i="11"/>
  <c r="I160" i="11"/>
  <c r="I159" i="11"/>
  <c r="I158" i="11"/>
  <c r="I157" i="11"/>
  <c r="I156" i="11"/>
  <c r="B160" i="11"/>
  <c r="B159" i="11"/>
  <c r="B158" i="11"/>
  <c r="B157" i="11"/>
  <c r="B156" i="11"/>
  <c r="B128" i="11"/>
  <c r="B127" i="11"/>
  <c r="B126" i="11"/>
  <c r="B125" i="11"/>
  <c r="B124" i="11"/>
  <c r="I128" i="11"/>
  <c r="I127" i="11"/>
  <c r="I126" i="11"/>
  <c r="I125" i="11"/>
  <c r="I124" i="11"/>
  <c r="I96" i="11"/>
  <c r="I95" i="11"/>
  <c r="I94" i="11"/>
  <c r="I93" i="11"/>
  <c r="I92" i="11"/>
  <c r="B96" i="11"/>
  <c r="B95" i="11"/>
  <c r="B94" i="11"/>
  <c r="B93" i="11"/>
  <c r="B92" i="11"/>
  <c r="B64" i="11"/>
  <c r="B63" i="11"/>
  <c r="B62" i="11"/>
  <c r="B61" i="11"/>
  <c r="B60" i="11"/>
  <c r="I64" i="11"/>
  <c r="I63" i="11"/>
  <c r="I62" i="11"/>
  <c r="I61" i="11"/>
  <c r="I60" i="11"/>
  <c r="I32" i="11"/>
  <c r="I31" i="11"/>
  <c r="I30" i="11"/>
  <c r="I29" i="11"/>
  <c r="I28" i="11"/>
  <c r="B32" i="11"/>
  <c r="B31" i="11"/>
  <c r="B30" i="11"/>
  <c r="B29" i="11"/>
  <c r="B28" i="11"/>
  <c r="T14" i="2"/>
  <c r="B2" i="2"/>
  <c r="I20" i="2"/>
  <c r="C5" i="6" s="1"/>
  <c r="C4" i="19"/>
  <c r="D4" i="19"/>
  <c r="C9" i="6"/>
  <c r="C7" i="6"/>
  <c r="C6" i="6"/>
  <c r="C4" i="6"/>
  <c r="C3" i="6"/>
  <c r="C8" i="6"/>
  <c r="B36" i="2"/>
  <c r="H23" i="2"/>
  <c r="E23" i="2"/>
  <c r="B23" i="2"/>
  <c r="D2" i="2"/>
  <c r="D3" i="2"/>
  <c r="K2" i="2"/>
  <c r="B4" i="19"/>
  <c r="H4" i="19" s="1"/>
  <c r="DD170" i="3"/>
  <c r="Q32" i="11"/>
  <c r="O32" i="11"/>
  <c r="N32" i="11"/>
  <c r="L32" i="11"/>
  <c r="K32" i="11"/>
  <c r="J32" i="11"/>
  <c r="G32" i="11"/>
  <c r="E32" i="11"/>
  <c r="D32" i="11"/>
  <c r="C32" i="11"/>
  <c r="Q31" i="11"/>
  <c r="O31" i="11"/>
  <c r="N31" i="11"/>
  <c r="L31" i="11"/>
  <c r="K31" i="11"/>
  <c r="J31" i="11"/>
  <c r="G31" i="11"/>
  <c r="E31" i="11"/>
  <c r="D31" i="11"/>
  <c r="C31" i="11"/>
  <c r="Q30" i="11"/>
  <c r="O30" i="11"/>
  <c r="N30" i="11"/>
  <c r="L30" i="11"/>
  <c r="K30" i="11"/>
  <c r="J30" i="11"/>
  <c r="G30" i="11"/>
  <c r="E30" i="11"/>
  <c r="D30" i="11"/>
  <c r="C30" i="11"/>
  <c r="Q29" i="11"/>
  <c r="O29" i="11"/>
  <c r="N29" i="11"/>
  <c r="L29" i="11"/>
  <c r="K29" i="11"/>
  <c r="J29" i="11"/>
  <c r="G29" i="11"/>
  <c r="E29" i="11"/>
  <c r="D29" i="11"/>
  <c r="C29" i="11"/>
  <c r="Q28" i="11"/>
  <c r="O28" i="11"/>
  <c r="N28" i="11"/>
  <c r="L28" i="11"/>
  <c r="K28" i="11"/>
  <c r="J28" i="11"/>
  <c r="G28" i="11"/>
  <c r="E28" i="11"/>
  <c r="D28" i="11"/>
  <c r="AW2" i="3"/>
  <c r="Z254" i="14"/>
  <c r="BI254" i="14" s="1"/>
  <c r="BP272" i="14"/>
  <c r="BP271" i="14"/>
  <c r="BP270" i="14"/>
  <c r="BP269" i="14"/>
  <c r="BP268" i="14"/>
  <c r="BP267" i="14"/>
  <c r="BP266" i="14"/>
  <c r="BP265" i="14"/>
  <c r="BP264" i="14"/>
  <c r="BP263" i="14"/>
  <c r="BP262" i="14"/>
  <c r="BP261" i="14"/>
  <c r="BP260" i="14"/>
  <c r="BP259" i="14"/>
  <c r="BP258" i="14"/>
  <c r="BP257" i="14"/>
  <c r="BP256" i="14"/>
  <c r="BP255" i="14"/>
  <c r="BP254" i="14"/>
  <c r="AY10" i="3"/>
  <c r="BD10" i="3" s="1"/>
  <c r="Z3" i="14"/>
  <c r="BP21" i="14"/>
  <c r="BP20" i="14"/>
  <c r="BP19" i="14"/>
  <c r="BP18" i="14"/>
  <c r="BP17" i="14"/>
  <c r="BP16" i="14"/>
  <c r="BP15" i="14"/>
  <c r="BP14" i="14"/>
  <c r="BP13" i="14"/>
  <c r="BP12" i="14"/>
  <c r="BP11" i="14"/>
  <c r="BP10" i="14"/>
  <c r="BP9" i="14"/>
  <c r="BP8" i="14"/>
  <c r="BP7" i="14"/>
  <c r="BP6" i="14"/>
  <c r="BP5" i="14"/>
  <c r="BP4" i="14"/>
  <c r="BP3" i="14"/>
  <c r="CE10" i="3"/>
  <c r="BV11" i="3" l="1"/>
  <c r="BU11" i="3"/>
  <c r="BT93" i="3"/>
  <c r="G182" i="11"/>
  <c r="F187" i="11"/>
  <c r="M187" i="11"/>
  <c r="M186" i="11"/>
  <c r="G187" i="11"/>
  <c r="N187" i="11"/>
  <c r="N186" i="11"/>
  <c r="H187" i="11"/>
  <c r="O187" i="11"/>
  <c r="O186" i="11"/>
  <c r="P187" i="11"/>
  <c r="P186" i="11"/>
  <c r="Q187" i="11"/>
  <c r="Q186" i="11"/>
  <c r="C187" i="11"/>
  <c r="J187" i="11"/>
  <c r="J186" i="11"/>
  <c r="D187" i="11"/>
  <c r="K187" i="11"/>
  <c r="K186" i="11"/>
  <c r="E187" i="11"/>
  <c r="L187" i="11"/>
  <c r="L186" i="11"/>
  <c r="L181" i="11"/>
  <c r="O190" i="11"/>
  <c r="K175" i="11"/>
  <c r="J189" i="11"/>
  <c r="J172" i="11"/>
  <c r="J165" i="11"/>
  <c r="C175" i="11"/>
  <c r="BS15" i="3"/>
  <c r="BS23" i="3"/>
  <c r="BT27" i="3"/>
  <c r="BT35" i="3"/>
  <c r="BT39" i="3"/>
  <c r="BT47" i="3"/>
  <c r="BS51" i="3"/>
  <c r="BT55" i="3"/>
  <c r="BS66" i="3"/>
  <c r="BT67" i="3"/>
  <c r="BT68" i="3"/>
  <c r="BT69" i="3"/>
  <c r="BS70" i="3"/>
  <c r="BT71" i="3"/>
  <c r="BS72" i="3"/>
  <c r="BT74" i="3"/>
  <c r="BS75" i="3"/>
  <c r="BS76" i="3"/>
  <c r="BS79" i="3"/>
  <c r="BS80" i="3"/>
  <c r="BS81" i="3"/>
  <c r="BS83" i="3"/>
  <c r="BT89" i="3"/>
  <c r="BT94" i="3"/>
  <c r="BS95" i="3"/>
  <c r="BS97" i="3"/>
  <c r="BS98" i="3"/>
  <c r="BT99" i="3"/>
  <c r="BS100" i="3"/>
  <c r="BT101" i="3"/>
  <c r="BS102" i="3"/>
  <c r="BT106" i="3"/>
  <c r="BT110" i="3"/>
  <c r="BT115" i="3"/>
  <c r="BT118" i="3"/>
  <c r="BT120" i="3"/>
  <c r="BS125" i="3"/>
  <c r="BT127" i="3"/>
  <c r="BT129" i="3"/>
  <c r="BS135" i="3"/>
  <c r="BT140" i="3"/>
  <c r="BS142" i="3"/>
  <c r="BS151" i="3"/>
  <c r="BS155" i="3"/>
  <c r="BT157" i="3"/>
  <c r="BS161" i="3"/>
  <c r="BS165" i="3"/>
  <c r="BT171" i="3"/>
  <c r="BS180" i="3"/>
  <c r="BS183" i="3"/>
  <c r="BS189" i="3"/>
  <c r="BS193" i="3"/>
  <c r="BT198" i="3"/>
  <c r="BT201" i="3"/>
  <c r="BT223" i="3"/>
  <c r="BS50" i="3"/>
  <c r="BS13" i="3"/>
  <c r="BS17" i="3"/>
  <c r="BS21" i="3"/>
  <c r="BT25" i="3"/>
  <c r="BS29" i="3"/>
  <c r="BT33" i="3"/>
  <c r="BS37" i="3"/>
  <c r="BT41" i="3"/>
  <c r="BS49" i="3"/>
  <c r="BT53" i="3"/>
  <c r="BT57" i="3"/>
  <c r="BS11" i="3"/>
  <c r="BS19" i="3"/>
  <c r="BT43" i="3"/>
  <c r="BT105" i="3"/>
  <c r="BS107" i="3"/>
  <c r="BT113" i="3"/>
  <c r="BT116" i="3"/>
  <c r="BT119" i="3"/>
  <c r="BT126" i="3"/>
  <c r="BT128" i="3"/>
  <c r="BT132" i="3"/>
  <c r="BS139" i="3"/>
  <c r="BT141" i="3"/>
  <c r="BT148" i="3"/>
  <c r="BS154" i="3"/>
  <c r="BS156" i="3"/>
  <c r="BT160" i="3"/>
  <c r="BS163" i="3"/>
  <c r="BS169" i="3"/>
  <c r="BT177" i="3"/>
  <c r="BS181" i="3"/>
  <c r="BS186" i="3"/>
  <c r="BT192" i="3"/>
  <c r="BS196" i="3"/>
  <c r="BS200" i="3"/>
  <c r="BS202" i="3"/>
  <c r="BT204" i="3"/>
  <c r="BS205" i="3"/>
  <c r="BS206" i="3"/>
  <c r="BT207" i="3"/>
  <c r="BS208" i="3"/>
  <c r="BS209" i="3"/>
  <c r="BS210" i="3"/>
  <c r="BT211" i="3"/>
  <c r="BT212" i="3"/>
  <c r="BS215" i="3"/>
  <c r="BS218" i="3"/>
  <c r="BT220" i="3"/>
  <c r="BT224" i="3"/>
  <c r="BS225" i="3"/>
  <c r="BS226" i="3"/>
  <c r="BT228" i="3"/>
  <c r="BS232" i="3"/>
  <c r="BT236" i="3"/>
  <c r="BT237" i="3"/>
  <c r="BS239" i="3"/>
  <c r="BT240" i="3"/>
  <c r="BT247" i="3"/>
  <c r="BS250" i="3"/>
  <c r="BT252" i="3"/>
  <c r="BS254" i="3"/>
  <c r="BT255" i="3"/>
  <c r="C8" i="26"/>
  <c r="C8" i="25"/>
  <c r="CT256" i="3"/>
  <c r="CV256" i="3"/>
  <c r="D14" i="25"/>
  <c r="D14" i="26"/>
  <c r="Q172" i="11"/>
  <c r="Q175" i="11"/>
  <c r="BS14" i="3"/>
  <c r="BT18" i="3"/>
  <c r="BT22" i="3"/>
  <c r="BT26" i="3"/>
  <c r="BT30" i="3"/>
  <c r="BS34" i="3"/>
  <c r="BT42" i="3"/>
  <c r="BT46" i="3"/>
  <c r="BT50" i="3"/>
  <c r="BS54" i="3"/>
  <c r="BT58" i="3"/>
  <c r="BT10" i="3"/>
  <c r="BT257" i="3"/>
  <c r="BS258" i="3"/>
  <c r="BT259" i="3"/>
  <c r="BS12" i="3"/>
  <c r="BS16" i="3"/>
  <c r="BT20" i="3"/>
  <c r="BS24" i="3"/>
  <c r="BS28" i="3"/>
  <c r="BT32" i="3"/>
  <c r="BT36" i="3"/>
  <c r="BT40" i="3"/>
  <c r="BT44" i="3"/>
  <c r="BS48" i="3"/>
  <c r="BS52" i="3"/>
  <c r="BS56" i="3"/>
  <c r="BS143" i="3"/>
  <c r="BT175" i="3"/>
  <c r="BS195" i="3"/>
  <c r="AH11" i="3"/>
  <c r="AG11" i="3"/>
  <c r="CF10" i="3"/>
  <c r="CV10" i="3"/>
  <c r="BI11" i="3"/>
  <c r="CF11" i="3"/>
  <c r="BY11" i="3"/>
  <c r="CV19" i="3"/>
  <c r="CV18" i="3"/>
  <c r="CV17" i="3"/>
  <c r="CV16" i="3"/>
  <c r="CV11" i="3"/>
  <c r="CV14" i="3"/>
  <c r="CV13" i="3"/>
  <c r="CV12" i="3"/>
  <c r="C12" i="3"/>
  <c r="BT54" i="3"/>
  <c r="CU229" i="3"/>
  <c r="CU233" i="3"/>
  <c r="CU241" i="3"/>
  <c r="CU14" i="3"/>
  <c r="CU18" i="3"/>
  <c r="CU22" i="3"/>
  <c r="CU26" i="3"/>
  <c r="CU30" i="3"/>
  <c r="CU34" i="3"/>
  <c r="CU38" i="3"/>
  <c r="CU42" i="3"/>
  <c r="CU46" i="3"/>
  <c r="CU50" i="3"/>
  <c r="CU54" i="3"/>
  <c r="CU58" i="3"/>
  <c r="CU59" i="3"/>
  <c r="CU60" i="3"/>
  <c r="CU61" i="3"/>
  <c r="CU63" i="3"/>
  <c r="CU64" i="3"/>
  <c r="CT65" i="3"/>
  <c r="CU65" i="3"/>
  <c r="CU67" i="3"/>
  <c r="CU68" i="3"/>
  <c r="CU69" i="3"/>
  <c r="CU71" i="3"/>
  <c r="CU75" i="3"/>
  <c r="CU79" i="3"/>
  <c r="CU83" i="3"/>
  <c r="CU87" i="3"/>
  <c r="CU91" i="3"/>
  <c r="CU95" i="3"/>
  <c r="CU99" i="3"/>
  <c r="CU103" i="3"/>
  <c r="CU107" i="3"/>
  <c r="CU111" i="3"/>
  <c r="CU115" i="3"/>
  <c r="CU119" i="3"/>
  <c r="CU123" i="3"/>
  <c r="CU135" i="3"/>
  <c r="CU139" i="3"/>
  <c r="CU143" i="3"/>
  <c r="CU147" i="3"/>
  <c r="CU151" i="3"/>
  <c r="CU155" i="3"/>
  <c r="CU159" i="3"/>
  <c r="CU163" i="3"/>
  <c r="CU167" i="3"/>
  <c r="CU171" i="3"/>
  <c r="CU175" i="3"/>
  <c r="CT179" i="3"/>
  <c r="CU179" i="3"/>
  <c r="CU183" i="3"/>
  <c r="CT187" i="3"/>
  <c r="CU187" i="3"/>
  <c r="CU191" i="3"/>
  <c r="CU195" i="3"/>
  <c r="CU199" i="3"/>
  <c r="CU200" i="3"/>
  <c r="CU201" i="3"/>
  <c r="CU203" i="3"/>
  <c r="CU204" i="3"/>
  <c r="CU205" i="3"/>
  <c r="CU207" i="3"/>
  <c r="CU208" i="3"/>
  <c r="CU209" i="3"/>
  <c r="CU211" i="3"/>
  <c r="CU213" i="3"/>
  <c r="CU217" i="3"/>
  <c r="CU221" i="3"/>
  <c r="CU225" i="3"/>
  <c r="CU227" i="3"/>
  <c r="CU231" i="3"/>
  <c r="CU235" i="3"/>
  <c r="CU239" i="3"/>
  <c r="CU245" i="3"/>
  <c r="CU247" i="3"/>
  <c r="CU248" i="3"/>
  <c r="CT249" i="3"/>
  <c r="CU249" i="3"/>
  <c r="CU251" i="3"/>
  <c r="CU252" i="3"/>
  <c r="CU253" i="3"/>
  <c r="CU255" i="3"/>
  <c r="CU256" i="3"/>
  <c r="CU259" i="3"/>
  <c r="CU11" i="3"/>
  <c r="CU15" i="3"/>
  <c r="CU19" i="3"/>
  <c r="CU23" i="3"/>
  <c r="CU27" i="3"/>
  <c r="CU31" i="3"/>
  <c r="CU35" i="3"/>
  <c r="CU39" i="3"/>
  <c r="CU43" i="3"/>
  <c r="CU47" i="3"/>
  <c r="CU51" i="3"/>
  <c r="CU55" i="3"/>
  <c r="CU10" i="3"/>
  <c r="CU70" i="3"/>
  <c r="CU72" i="3"/>
  <c r="CU74" i="3"/>
  <c r="CU78" i="3"/>
  <c r="CU82" i="3"/>
  <c r="CU86" i="3"/>
  <c r="CU90" i="3"/>
  <c r="CU94" i="3"/>
  <c r="CU98" i="3"/>
  <c r="CU102" i="3"/>
  <c r="CU106" i="3"/>
  <c r="CU110" i="3"/>
  <c r="CU114" i="3"/>
  <c r="CU116" i="3"/>
  <c r="CU118" i="3"/>
  <c r="CU120" i="3"/>
  <c r="CU122" i="3"/>
  <c r="CU124" i="3"/>
  <c r="CU125" i="3"/>
  <c r="CU128" i="3"/>
  <c r="CU129" i="3"/>
  <c r="CU132" i="3"/>
  <c r="CU134" i="3"/>
  <c r="CU136" i="3"/>
  <c r="CU138" i="3"/>
  <c r="CU140" i="3"/>
  <c r="CU142" i="3"/>
  <c r="CU144" i="3"/>
  <c r="CU146" i="3"/>
  <c r="CU148" i="3"/>
  <c r="CU149" i="3"/>
  <c r="CU150" i="3"/>
  <c r="CU152" i="3"/>
  <c r="CU154" i="3"/>
  <c r="CU156" i="3"/>
  <c r="CU158" i="3"/>
  <c r="CU160" i="3"/>
  <c r="CU162" i="3"/>
  <c r="CU164" i="3"/>
  <c r="CU165" i="3"/>
  <c r="CU166" i="3"/>
  <c r="CU168" i="3"/>
  <c r="CU170" i="3"/>
  <c r="CU172" i="3"/>
  <c r="CU174" i="3"/>
  <c r="CU176" i="3"/>
  <c r="CU178" i="3"/>
  <c r="CU180" i="3"/>
  <c r="CU181" i="3"/>
  <c r="CU182" i="3"/>
  <c r="CU184" i="3"/>
  <c r="CU186" i="3"/>
  <c r="CU188" i="3"/>
  <c r="CU190" i="3"/>
  <c r="CT192" i="3"/>
  <c r="CU192" i="3"/>
  <c r="CU194" i="3"/>
  <c r="CU196" i="3"/>
  <c r="CU198" i="3"/>
  <c r="CU212" i="3"/>
  <c r="CU216" i="3"/>
  <c r="CU220" i="3"/>
  <c r="CU224" i="3"/>
  <c r="CT230" i="3"/>
  <c r="CU230" i="3"/>
  <c r="CU234" i="3"/>
  <c r="CU236" i="3"/>
  <c r="CU238" i="3"/>
  <c r="CU240" i="3"/>
  <c r="CU242" i="3"/>
  <c r="CU244" i="3"/>
  <c r="CT257" i="3"/>
  <c r="CU257" i="3"/>
  <c r="CU12" i="3"/>
  <c r="CU16" i="3"/>
  <c r="CU20" i="3"/>
  <c r="CU24" i="3"/>
  <c r="CU28" i="3"/>
  <c r="CU32" i="3"/>
  <c r="CU36" i="3"/>
  <c r="CU40" i="3"/>
  <c r="CU44" i="3"/>
  <c r="CU48" i="3"/>
  <c r="CU52" i="3"/>
  <c r="CU56" i="3"/>
  <c r="CU73" i="3"/>
  <c r="CU77" i="3"/>
  <c r="CU81" i="3"/>
  <c r="CU85" i="3"/>
  <c r="CU89" i="3"/>
  <c r="CU93" i="3"/>
  <c r="CU97" i="3"/>
  <c r="CU101" i="3"/>
  <c r="CU105" i="3"/>
  <c r="CU109" i="3"/>
  <c r="CU113" i="3"/>
  <c r="CU117" i="3"/>
  <c r="CU121" i="3"/>
  <c r="CU127" i="3"/>
  <c r="CU130" i="3"/>
  <c r="CU131" i="3"/>
  <c r="CU133" i="3"/>
  <c r="CU137" i="3"/>
  <c r="CU141" i="3"/>
  <c r="CU145" i="3"/>
  <c r="CU153" i="3"/>
  <c r="CU157" i="3"/>
  <c r="CU161" i="3"/>
  <c r="CU169" i="3"/>
  <c r="CU173" i="3"/>
  <c r="CU177" i="3"/>
  <c r="CU185" i="3"/>
  <c r="CU189" i="3"/>
  <c r="CU193" i="3"/>
  <c r="CU197" i="3"/>
  <c r="CU215" i="3"/>
  <c r="CU219" i="3"/>
  <c r="CU223" i="3"/>
  <c r="CU226" i="3"/>
  <c r="CU237" i="3"/>
  <c r="CU13" i="3"/>
  <c r="CU17" i="3"/>
  <c r="CU21" i="3"/>
  <c r="CU25" i="3"/>
  <c r="CT29" i="3"/>
  <c r="CU29" i="3"/>
  <c r="CU33" i="3"/>
  <c r="CU37" i="3"/>
  <c r="CU41" i="3"/>
  <c r="CU45" i="3"/>
  <c r="CU49" i="3"/>
  <c r="CU53" i="3"/>
  <c r="CU57" i="3"/>
  <c r="CU62" i="3"/>
  <c r="CU66" i="3"/>
  <c r="CU76" i="3"/>
  <c r="CU80" i="3"/>
  <c r="CU84" i="3"/>
  <c r="CU88" i="3"/>
  <c r="CU92" i="3"/>
  <c r="CU96" i="3"/>
  <c r="CU100" i="3"/>
  <c r="CU104" i="3"/>
  <c r="CU108" i="3"/>
  <c r="CU112" i="3"/>
  <c r="CU126" i="3"/>
  <c r="CU202" i="3"/>
  <c r="CU206" i="3"/>
  <c r="CU210" i="3"/>
  <c r="CU214" i="3"/>
  <c r="CU218" i="3"/>
  <c r="CU222" i="3"/>
  <c r="CU228" i="3"/>
  <c r="CU232" i="3"/>
  <c r="CU243" i="3"/>
  <c r="CU246" i="3"/>
  <c r="CU250" i="3"/>
  <c r="CU254" i="3"/>
  <c r="CU258" i="3"/>
  <c r="D182" i="11"/>
  <c r="M192" i="11"/>
  <c r="M188" i="11"/>
  <c r="M183" i="11"/>
  <c r="M179" i="11"/>
  <c r="M175" i="11"/>
  <c r="M171" i="11"/>
  <c r="M167" i="11"/>
  <c r="P191" i="11"/>
  <c r="P182" i="11"/>
  <c r="P178" i="11"/>
  <c r="P174" i="11"/>
  <c r="P170" i="11"/>
  <c r="P166" i="11"/>
  <c r="M191" i="11"/>
  <c r="M182" i="11"/>
  <c r="M178" i="11"/>
  <c r="M174" i="11"/>
  <c r="M170" i="11"/>
  <c r="M166" i="11"/>
  <c r="P190" i="11"/>
  <c r="P185" i="11"/>
  <c r="P181" i="11"/>
  <c r="P177" i="11"/>
  <c r="P173" i="11"/>
  <c r="P169" i="11"/>
  <c r="P165" i="11"/>
  <c r="M190" i="11"/>
  <c r="M185" i="11"/>
  <c r="M181" i="11"/>
  <c r="M177" i="11"/>
  <c r="M173" i="11"/>
  <c r="M169" i="11"/>
  <c r="M165" i="11"/>
  <c r="P189" i="11"/>
  <c r="P184" i="11"/>
  <c r="P180" i="11"/>
  <c r="P176" i="11"/>
  <c r="P172" i="11"/>
  <c r="P168" i="11"/>
  <c r="M189" i="11"/>
  <c r="M184" i="11"/>
  <c r="M180" i="11"/>
  <c r="M176" i="11"/>
  <c r="M172" i="11"/>
  <c r="M168" i="11"/>
  <c r="P192" i="11"/>
  <c r="P188" i="11"/>
  <c r="P183" i="11"/>
  <c r="P179" i="11"/>
  <c r="P175" i="11"/>
  <c r="P171" i="11"/>
  <c r="P167" i="11"/>
  <c r="CT41" i="3"/>
  <c r="BS26" i="3"/>
  <c r="BT49" i="3"/>
  <c r="BS46" i="3"/>
  <c r="BS22" i="3"/>
  <c r="BS171" i="3"/>
  <c r="BT83" i="3"/>
  <c r="BT254" i="3"/>
  <c r="CT19" i="3"/>
  <c r="CT23" i="3"/>
  <c r="CT47" i="3"/>
  <c r="CT55" i="3"/>
  <c r="CT84" i="3"/>
  <c r="CT185" i="3"/>
  <c r="CT205" i="3"/>
  <c r="CT221" i="3"/>
  <c r="CT231" i="3"/>
  <c r="CT14" i="3"/>
  <c r="CT73" i="3"/>
  <c r="CT117" i="3"/>
  <c r="CT121" i="3"/>
  <c r="CT161" i="3"/>
  <c r="CT186" i="3"/>
  <c r="CT206" i="3"/>
  <c r="CT63" i="3"/>
  <c r="CT67" i="3"/>
  <c r="CT68" i="3"/>
  <c r="CT69" i="3"/>
  <c r="CT107" i="3"/>
  <c r="CT189" i="3"/>
  <c r="CT242" i="3"/>
  <c r="CT244" i="3"/>
  <c r="CT130" i="3"/>
  <c r="CT137" i="3"/>
  <c r="CT145" i="3"/>
  <c r="CT153" i="3"/>
  <c r="CT169" i="3"/>
  <c r="CT177" i="3"/>
  <c r="BT193" i="3"/>
  <c r="CT12" i="3"/>
  <c r="CT20" i="3"/>
  <c r="CT24" i="3"/>
  <c r="CT40" i="3"/>
  <c r="CT44" i="3"/>
  <c r="CT48" i="3"/>
  <c r="CT52" i="3"/>
  <c r="CT56" i="3"/>
  <c r="CT61" i="3"/>
  <c r="CT25" i="3"/>
  <c r="CT33" i="3"/>
  <c r="CT49" i="3"/>
  <c r="CT57" i="3"/>
  <c r="CT253" i="3"/>
  <c r="CT182" i="3"/>
  <c r="CT90" i="3"/>
  <c r="CT146" i="3"/>
  <c r="CT174" i="3"/>
  <c r="CT178" i="3"/>
  <c r="CT193" i="3"/>
  <c r="CT197" i="3"/>
  <c r="CT219" i="3"/>
  <c r="CT233" i="3"/>
  <c r="CT237" i="3"/>
  <c r="CT228" i="3"/>
  <c r="CT138" i="3"/>
  <c r="CT241" i="3"/>
  <c r="BT180" i="3"/>
  <c r="CT72" i="3"/>
  <c r="CT115" i="3"/>
  <c r="CT37" i="3"/>
  <c r="CT45" i="3"/>
  <c r="CT243" i="3"/>
  <c r="CT204" i="3"/>
  <c r="CT98" i="3"/>
  <c r="CT175" i="3"/>
  <c r="CT104" i="3"/>
  <c r="CT80" i="3"/>
  <c r="F192" i="11"/>
  <c r="K192" i="11"/>
  <c r="N172" i="11"/>
  <c r="O184" i="11"/>
  <c r="D173" i="11"/>
  <c r="F170" i="11"/>
  <c r="H182" i="11"/>
  <c r="N176" i="11"/>
  <c r="K167" i="11"/>
  <c r="D179" i="11"/>
  <c r="G188" i="11"/>
  <c r="J183" i="11"/>
  <c r="N189" i="11"/>
  <c r="L177" i="11"/>
  <c r="K166" i="11"/>
  <c r="F191" i="11"/>
  <c r="F182" i="11"/>
  <c r="H172" i="11"/>
  <c r="C192" i="11"/>
  <c r="K189" i="11"/>
  <c r="Q176" i="11"/>
  <c r="O165" i="11"/>
  <c r="D191" i="11"/>
  <c r="E177" i="11"/>
  <c r="G167" i="11"/>
  <c r="C165" i="11"/>
  <c r="O188" i="11"/>
  <c r="O179" i="11"/>
  <c r="Q166" i="11"/>
  <c r="D189" i="11"/>
  <c r="D180" i="11"/>
  <c r="H168" i="11"/>
  <c r="G171" i="11"/>
  <c r="L171" i="11"/>
  <c r="E173" i="11"/>
  <c r="O185" i="11"/>
  <c r="C186" i="11"/>
  <c r="G168" i="11"/>
  <c r="E174" i="11"/>
  <c r="H179" i="11"/>
  <c r="H183" i="11"/>
  <c r="G189" i="11"/>
  <c r="J168" i="11"/>
  <c r="K165" i="11"/>
  <c r="K173" i="11"/>
  <c r="K177" i="11"/>
  <c r="O182" i="11"/>
  <c r="L189" i="11"/>
  <c r="C168" i="11"/>
  <c r="D165" i="11"/>
  <c r="G170" i="11"/>
  <c r="F175" i="11"/>
  <c r="F179" i="11"/>
  <c r="D185" i="11"/>
  <c r="D190" i="11"/>
  <c r="J174" i="11"/>
  <c r="J191" i="11"/>
  <c r="O168" i="11"/>
  <c r="O172" i="11"/>
  <c r="K179" i="11"/>
  <c r="K183" i="11"/>
  <c r="N190" i="11"/>
  <c r="N177" i="11"/>
  <c r="N171" i="11"/>
  <c r="L170" i="11"/>
  <c r="J170" i="11"/>
  <c r="L165" i="11"/>
  <c r="E178" i="11"/>
  <c r="D175" i="11"/>
  <c r="E170" i="11"/>
  <c r="C170" i="11"/>
  <c r="E168" i="11"/>
  <c r="E165" i="11"/>
  <c r="C185" i="11"/>
  <c r="K182" i="11"/>
  <c r="J181" i="11"/>
  <c r="G177" i="11"/>
  <c r="L192" i="11"/>
  <c r="J171" i="11"/>
  <c r="D174" i="11"/>
  <c r="L188" i="11"/>
  <c r="L173" i="11"/>
  <c r="H184" i="11"/>
  <c r="C188" i="11"/>
  <c r="C169" i="11"/>
  <c r="C174" i="11"/>
  <c r="D167" i="11"/>
  <c r="G176" i="11"/>
  <c r="E186" i="11"/>
  <c r="J184" i="11"/>
  <c r="O174" i="11"/>
  <c r="Q185" i="11"/>
  <c r="C184" i="11"/>
  <c r="Q180" i="11"/>
  <c r="K176" i="11"/>
  <c r="K174" i="11"/>
  <c r="J190" i="11"/>
  <c r="H189" i="11"/>
  <c r="E179" i="11"/>
  <c r="E171" i="11"/>
  <c r="C183" i="11"/>
  <c r="L183" i="11"/>
  <c r="O173" i="11"/>
  <c r="J188" i="11"/>
  <c r="H186" i="11"/>
  <c r="G175" i="11"/>
  <c r="D166" i="11"/>
  <c r="Q189" i="11"/>
  <c r="K178" i="11"/>
  <c r="J177" i="11"/>
  <c r="F186" i="11"/>
  <c r="F178" i="11"/>
  <c r="G165" i="11"/>
  <c r="D178" i="11"/>
  <c r="O177" i="11"/>
  <c r="D186" i="11"/>
  <c r="C166" i="11"/>
  <c r="C191" i="11"/>
  <c r="D171" i="11"/>
  <c r="H175" i="11"/>
  <c r="G180" i="11"/>
  <c r="F185" i="11"/>
  <c r="F190" i="11"/>
  <c r="J176" i="11"/>
  <c r="O166" i="11"/>
  <c r="Q173" i="11"/>
  <c r="Q177" i="11"/>
  <c r="K185" i="11"/>
  <c r="K190" i="11"/>
  <c r="C176" i="11"/>
  <c r="G166" i="11"/>
  <c r="F171" i="11"/>
  <c r="CT11" i="3" s="1"/>
  <c r="E176" i="11"/>
  <c r="H181" i="11"/>
  <c r="H185" i="11"/>
  <c r="H190" i="11"/>
  <c r="J178" i="11"/>
  <c r="L166" i="11"/>
  <c r="N169" i="11"/>
  <c r="L174" i="11"/>
  <c r="Q179" i="11"/>
  <c r="Q183" i="11"/>
  <c r="K188" i="11"/>
  <c r="L191" i="11"/>
  <c r="N183" i="11"/>
  <c r="N179" i="11"/>
  <c r="N167" i="11"/>
  <c r="E185" i="11"/>
  <c r="F180" i="11"/>
  <c r="N168" i="11"/>
  <c r="L175" i="11"/>
  <c r="J175" i="11"/>
  <c r="K172" i="11"/>
  <c r="F172" i="11"/>
  <c r="D172" i="11"/>
  <c r="H174" i="11"/>
  <c r="Q192" i="11"/>
  <c r="Q170" i="11"/>
  <c r="G185" i="11"/>
  <c r="G169" i="11"/>
  <c r="O181" i="11"/>
  <c r="N170" i="11"/>
  <c r="G183" i="11"/>
  <c r="C181" i="11"/>
  <c r="N184" i="11"/>
  <c r="J169" i="11"/>
  <c r="G173" i="11"/>
  <c r="F184" i="11"/>
  <c r="J167" i="11"/>
  <c r="H171" i="11"/>
  <c r="E182" i="11"/>
  <c r="E191" i="11"/>
  <c r="K169" i="11"/>
  <c r="K181" i="11"/>
  <c r="Q190" i="11"/>
  <c r="F167" i="11"/>
  <c r="E172" i="11"/>
  <c r="D170" i="11"/>
  <c r="K170" i="11"/>
  <c r="L185" i="11"/>
  <c r="N181" i="11"/>
  <c r="O189" i="11"/>
  <c r="L182" i="11"/>
  <c r="Q171" i="11"/>
  <c r="E189" i="11"/>
  <c r="G178" i="11"/>
  <c r="D169" i="11"/>
  <c r="Q181" i="11"/>
  <c r="H192" i="11"/>
  <c r="G172" i="11"/>
  <c r="H166" i="11"/>
  <c r="G181" i="11"/>
  <c r="Q191" i="11"/>
  <c r="G192" i="11"/>
  <c r="F166" i="11"/>
  <c r="L169" i="11"/>
  <c r="E181" i="11"/>
  <c r="C172" i="11"/>
  <c r="F168" i="11"/>
  <c r="L178" i="11"/>
  <c r="N165" i="11"/>
  <c r="L180" i="11"/>
  <c r="N166" i="11"/>
  <c r="N182" i="11"/>
  <c r="Q188" i="11"/>
  <c r="O180" i="11"/>
  <c r="K171" i="11"/>
  <c r="J182" i="11"/>
  <c r="G186" i="11"/>
  <c r="H177" i="11"/>
  <c r="C189" i="11"/>
  <c r="L176" i="11"/>
  <c r="D188" i="11"/>
  <c r="H167" i="11"/>
  <c r="J192" i="11"/>
  <c r="E192" i="11"/>
  <c r="C173" i="11"/>
  <c r="L167" i="11"/>
  <c r="D176" i="11"/>
  <c r="Q178" i="11"/>
  <c r="L172" i="11"/>
  <c r="F165" i="11"/>
  <c r="E175" i="11"/>
  <c r="L168" i="11"/>
  <c r="E180" i="11"/>
  <c r="N180" i="11"/>
  <c r="N173" i="11"/>
  <c r="N185" i="11"/>
  <c r="O176" i="11"/>
  <c r="Q167" i="11"/>
  <c r="J166" i="11"/>
  <c r="F183" i="11"/>
  <c r="G174" i="11"/>
  <c r="N192" i="11"/>
  <c r="Q169" i="11"/>
  <c r="D183" i="11"/>
  <c r="C182" i="11"/>
  <c r="C179" i="11"/>
  <c r="O171" i="11"/>
  <c r="E169" i="11"/>
  <c r="K180" i="11"/>
  <c r="D184" i="11"/>
  <c r="K191" i="11"/>
  <c r="CT126" i="3"/>
  <c r="CT141" i="3"/>
  <c r="CT131" i="3"/>
  <c r="CT102" i="3"/>
  <c r="BT12" i="3"/>
  <c r="BT37" i="3"/>
  <c r="BT24" i="3"/>
  <c r="BT97" i="3"/>
  <c r="BS33" i="3"/>
  <c r="BS129" i="3"/>
  <c r="CT27" i="3"/>
  <c r="CT39" i="3"/>
  <c r="CT238" i="3"/>
  <c r="CT106" i="3"/>
  <c r="CT94" i="3"/>
  <c r="CT120" i="3"/>
  <c r="CT148" i="3"/>
  <c r="CT176" i="3"/>
  <c r="CT180" i="3"/>
  <c r="CT188" i="3"/>
  <c r="CT207" i="3"/>
  <c r="CT220" i="3"/>
  <c r="CT247" i="3"/>
  <c r="BS44" i="3"/>
  <c r="BS32" i="3"/>
  <c r="CT43" i="3"/>
  <c r="CT51" i="3"/>
  <c r="CT201" i="3"/>
  <c r="CT85" i="3"/>
  <c r="CT99" i="3"/>
  <c r="CT116" i="3"/>
  <c r="CT239" i="3"/>
  <c r="BS40" i="3"/>
  <c r="CT234" i="3"/>
  <c r="CT79" i="3"/>
  <c r="CT93" i="3"/>
  <c r="CT103" i="3"/>
  <c r="BS20" i="3"/>
  <c r="BT48" i="3"/>
  <c r="BS36" i="3"/>
  <c r="BT52" i="3"/>
  <c r="CT31" i="3"/>
  <c r="CT232" i="3"/>
  <c r="CT166" i="3"/>
  <c r="CT114" i="3"/>
  <c r="CT125" i="3"/>
  <c r="CT62" i="3"/>
  <c r="BS25" i="3"/>
  <c r="BT226" i="3"/>
  <c r="CT215" i="3"/>
  <c r="CT82" i="3"/>
  <c r="CT91" i="3"/>
  <c r="CT109" i="3"/>
  <c r="CT156" i="3"/>
  <c r="CT251" i="3"/>
  <c r="CT255" i="3"/>
  <c r="CT32" i="3"/>
  <c r="CT92" i="3"/>
  <c r="BS53" i="3"/>
  <c r="BT161" i="3"/>
  <c r="CT150" i="3"/>
  <c r="CT181" i="3"/>
  <c r="CT77" i="3"/>
  <c r="CT83" i="3"/>
  <c r="CT151" i="3"/>
  <c r="CT214" i="3"/>
  <c r="CT224" i="3"/>
  <c r="CT229" i="3"/>
  <c r="CT250" i="3"/>
  <c r="CT258" i="3"/>
  <c r="CT259" i="3"/>
  <c r="BT107" i="3"/>
  <c r="BT75" i="3"/>
  <c r="BT102" i="3"/>
  <c r="BS160" i="3"/>
  <c r="CT149" i="3"/>
  <c r="CT134" i="3"/>
  <c r="CT108" i="3"/>
  <c r="CT110" i="3"/>
  <c r="CT87" i="3"/>
  <c r="CT123" i="3"/>
  <c r="CT133" i="3"/>
  <c r="CT160" i="3"/>
  <c r="BS57" i="3"/>
  <c r="BT23" i="3"/>
  <c r="BT29" i="3"/>
  <c r="BS99" i="3"/>
  <c r="CT213" i="3"/>
  <c r="CT190" i="3"/>
  <c r="CT129" i="3"/>
  <c r="CT88" i="3"/>
  <c r="CT76" i="3"/>
  <c r="CT78" i="3"/>
  <c r="CT101" i="3"/>
  <c r="CT132" i="3"/>
  <c r="CT136" i="3"/>
  <c r="CT143" i="3"/>
  <c r="CT157" i="3"/>
  <c r="CT173" i="3"/>
  <c r="CT195" i="3"/>
  <c r="CT216" i="3"/>
  <c r="CT222" i="3"/>
  <c r="CT112" i="3"/>
  <c r="CT60" i="3"/>
  <c r="BT19" i="3"/>
  <c r="BT156" i="3"/>
  <c r="BS69" i="3"/>
  <c r="CT28" i="3"/>
  <c r="CT34" i="3"/>
  <c r="CT35" i="3"/>
  <c r="CT245" i="3"/>
  <c r="CT252" i="3"/>
  <c r="CT208" i="3"/>
  <c r="CT170" i="3"/>
  <c r="CT162" i="3"/>
  <c r="CT127" i="3"/>
  <c r="CT165" i="3"/>
  <c r="CT100" i="3"/>
  <c r="CT70" i="3"/>
  <c r="CT86" i="3"/>
  <c r="CT75" i="3"/>
  <c r="CT95" i="3"/>
  <c r="CT128" i="3"/>
  <c r="CT144" i="3"/>
  <c r="CT211" i="3"/>
  <c r="CT236" i="3"/>
  <c r="CT58" i="3"/>
  <c r="BS47" i="3"/>
  <c r="BS27" i="3"/>
  <c r="BS212" i="3"/>
  <c r="CT36" i="3"/>
  <c r="CT209" i="3"/>
  <c r="CT225" i="3"/>
  <c r="CT194" i="3"/>
  <c r="CT198" i="3"/>
  <c r="CT122" i="3"/>
  <c r="CT142" i="3"/>
  <c r="CT71" i="3"/>
  <c r="CT111" i="3"/>
  <c r="CT147" i="3"/>
  <c r="CT183" i="3"/>
  <c r="CT199" i="3"/>
  <c r="CT202" i="3"/>
  <c r="CT218" i="3"/>
  <c r="CT246" i="3"/>
  <c r="BS55" i="3"/>
  <c r="BT218" i="3"/>
  <c r="CT26" i="3"/>
  <c r="CT223" i="3"/>
  <c r="CT248" i="3"/>
  <c r="BL10" i="3"/>
  <c r="AY11" i="3"/>
  <c r="BD11" i="3" s="1"/>
  <c r="BK11" i="3"/>
  <c r="BL11" i="3" s="1"/>
  <c r="DD171" i="3"/>
  <c r="BW11" i="3"/>
  <c r="Z4" i="14"/>
  <c r="BI4" i="14" s="1"/>
  <c r="BJ4" i="14" s="1"/>
  <c r="Z255" i="14"/>
  <c r="AA255" i="14" s="1"/>
  <c r="CT66" i="3"/>
  <c r="CT212" i="3"/>
  <c r="BS30" i="3"/>
  <c r="BS39" i="3"/>
  <c r="CT135" i="3"/>
  <c r="CT191" i="3"/>
  <c r="CT196" i="3"/>
  <c r="CT227" i="3"/>
  <c r="CT240" i="3"/>
  <c r="BT143" i="3"/>
  <c r="CT46" i="3"/>
  <c r="CT22" i="3"/>
  <c r="CT18" i="3"/>
  <c r="CT21" i="3"/>
  <c r="CT53" i="3"/>
  <c r="CT118" i="3"/>
  <c r="CT64" i="3"/>
  <c r="BS10" i="3"/>
  <c r="BS58" i="3"/>
  <c r="CT50" i="3"/>
  <c r="CT15" i="3"/>
  <c r="CT17" i="3"/>
  <c r="CT200" i="3"/>
  <c r="CT154" i="3"/>
  <c r="CT158" i="3"/>
  <c r="CT81" i="3"/>
  <c r="CT89" i="3"/>
  <c r="CT96" i="3"/>
  <c r="CT97" i="3"/>
  <c r="CT105" i="3"/>
  <c r="CT113" i="3"/>
  <c r="CT124" i="3"/>
  <c r="CT164" i="3"/>
  <c r="CT172" i="3"/>
  <c r="CT42" i="3"/>
  <c r="CT59" i="3"/>
  <c r="CT140" i="3"/>
  <c r="CT203" i="3"/>
  <c r="CT217" i="3"/>
  <c r="CT254" i="3"/>
  <c r="BT11" i="3"/>
  <c r="BS43" i="3"/>
  <c r="CT54" i="3"/>
  <c r="CT38" i="3"/>
  <c r="CT30" i="3"/>
  <c r="CT74" i="3"/>
  <c r="CT119" i="3"/>
  <c r="CT155" i="3"/>
  <c r="CT159" i="3"/>
  <c r="CT167" i="3"/>
  <c r="CT168" i="3"/>
  <c r="CT235" i="3"/>
  <c r="CT139" i="3"/>
  <c r="CT152" i="3"/>
  <c r="CT163" i="3"/>
  <c r="CT171" i="3"/>
  <c r="CT184" i="3"/>
  <c r="CT210" i="3"/>
  <c r="BB3" i="14"/>
  <c r="BI3" i="14"/>
  <c r="BJ3" i="14" s="1"/>
  <c r="BT17" i="3"/>
  <c r="CT13" i="3"/>
  <c r="CT16" i="3"/>
  <c r="AE255" i="14"/>
  <c r="AE254" i="14"/>
  <c r="AE4" i="14"/>
  <c r="BT14" i="3"/>
  <c r="BW10" i="3"/>
  <c r="C177" i="11"/>
  <c r="N174" i="11"/>
  <c r="E190" i="11"/>
  <c r="O192" i="11"/>
  <c r="O183" i="11"/>
  <c r="O175" i="11"/>
  <c r="O167" i="11"/>
  <c r="J173" i="11"/>
  <c r="E188" i="11"/>
  <c r="H180" i="11"/>
  <c r="F174" i="11"/>
  <c r="D168" i="11"/>
  <c r="C167" i="11"/>
  <c r="Q184" i="11"/>
  <c r="N178" i="11"/>
  <c r="Q168" i="11"/>
  <c r="J179" i="11"/>
  <c r="F189" i="11"/>
  <c r="H178" i="11"/>
  <c r="H170" i="11"/>
  <c r="C190" i="11"/>
  <c r="N191" i="11"/>
  <c r="L190" i="11"/>
  <c r="Q182" i="11"/>
  <c r="Q174" i="11"/>
  <c r="J185" i="11"/>
  <c r="G190" i="11"/>
  <c r="E183" i="11"/>
  <c r="H176" i="11"/>
  <c r="E167" i="11"/>
  <c r="C171" i="11"/>
  <c r="H191" i="11"/>
  <c r="K184" i="11"/>
  <c r="G179" i="11"/>
  <c r="L179" i="11"/>
  <c r="C178" i="11"/>
  <c r="E166" i="11"/>
  <c r="F169" i="11"/>
  <c r="F173" i="11"/>
  <c r="F177" i="11"/>
  <c r="F181" i="11"/>
  <c r="G184" i="11"/>
  <c r="H188" i="11"/>
  <c r="D192" i="11"/>
  <c r="J180" i="11"/>
  <c r="Q165" i="11"/>
  <c r="O170" i="11"/>
  <c r="N175" i="11"/>
  <c r="O178" i="11"/>
  <c r="L184" i="11"/>
  <c r="N188" i="11"/>
  <c r="O191" i="11"/>
  <c r="C180" i="11"/>
  <c r="H165" i="11"/>
  <c r="H169" i="11"/>
  <c r="H173" i="11"/>
  <c r="D177" i="11"/>
  <c r="D181" i="11"/>
  <c r="E184" i="11"/>
  <c r="F188" i="11"/>
  <c r="G191" i="11"/>
  <c r="E4" i="19"/>
  <c r="O169" i="11"/>
  <c r="F176" i="11"/>
  <c r="K168" i="11"/>
  <c r="BS248" i="3"/>
  <c r="BS230" i="3"/>
  <c r="BT222" i="3"/>
  <c r="BT199" i="3"/>
  <c r="BT181" i="3"/>
  <c r="BS153" i="3"/>
  <c r="BT251" i="3"/>
  <c r="BT202" i="3"/>
  <c r="BT165" i="3"/>
  <c r="BS137" i="3"/>
  <c r="BS204" i="3"/>
  <c r="BT144" i="3"/>
  <c r="BS114" i="3"/>
  <c r="BS92" i="3"/>
  <c r="BS68" i="3"/>
  <c r="BS245" i="3"/>
  <c r="BS197" i="3"/>
  <c r="BT136" i="3"/>
  <c r="BS96" i="3"/>
  <c r="BS78" i="3"/>
  <c r="BS237" i="3"/>
  <c r="BT95" i="3"/>
  <c r="BS199" i="3"/>
  <c r="BS122" i="3"/>
  <c r="BT79" i="3"/>
  <c r="BS64" i="3"/>
  <c r="BT206" i="3"/>
  <c r="BS185" i="3"/>
  <c r="BS124" i="3"/>
  <c r="BT87" i="3"/>
  <c r="BS190" i="3"/>
  <c r="BT149" i="3"/>
  <c r="BS110" i="3"/>
  <c r="BT77" i="3"/>
  <c r="BT146" i="3"/>
  <c r="BS87" i="3"/>
  <c r="BT151" i="3"/>
  <c r="BT108" i="3"/>
  <c r="BS91" i="3"/>
  <c r="BS132" i="3"/>
  <c r="BT62" i="3"/>
  <c r="BT145" i="3"/>
  <c r="BT179" i="3"/>
  <c r="BT169" i="3"/>
  <c r="BT242" i="3"/>
  <c r="BS62" i="3"/>
  <c r="BS173" i="3"/>
  <c r="BT78" i="3"/>
  <c r="BT194" i="3"/>
  <c r="BT65" i="3"/>
  <c r="BT88" i="3"/>
  <c r="BS176" i="3"/>
  <c r="BS105" i="3"/>
  <c r="BS227" i="3"/>
  <c r="BT221" i="3"/>
  <c r="BS93" i="3"/>
  <c r="BT134" i="3"/>
  <c r="BT90" i="3"/>
  <c r="BS119" i="3"/>
  <c r="BS121" i="3"/>
  <c r="BS89" i="3"/>
  <c r="BS168" i="3"/>
  <c r="BS251" i="3"/>
  <c r="BT253" i="3"/>
  <c r="BS149" i="3"/>
  <c r="BT80" i="3"/>
  <c r="BS222" i="3"/>
  <c r="BS73" i="3"/>
  <c r="BS241" i="3"/>
  <c r="BT81" i="3"/>
  <c r="BT210" i="3"/>
  <c r="BT227" i="3"/>
  <c r="BS259" i="3"/>
  <c r="BT150" i="3"/>
  <c r="BS133" i="3"/>
  <c r="BT170" i="3"/>
  <c r="BT142" i="3"/>
  <c r="BS191" i="3"/>
  <c r="BT86" i="3"/>
  <c r="BS229" i="3"/>
  <c r="BS256" i="3"/>
  <c r="BS242" i="3"/>
  <c r="BT229" i="3"/>
  <c r="BS221" i="3"/>
  <c r="BT197" i="3"/>
  <c r="BS178" i="3"/>
  <c r="BS131" i="3"/>
  <c r="BT216" i="3"/>
  <c r="BS201" i="3"/>
  <c r="BT152" i="3"/>
  <c r="BS252" i="3"/>
  <c r="BS182" i="3"/>
  <c r="BT133" i="3"/>
  <c r="BS108" i="3"/>
  <c r="BS88" i="3"/>
  <c r="BS65" i="3"/>
  <c r="BS244" i="3"/>
  <c r="BS174" i="3"/>
  <c r="BS118" i="3"/>
  <c r="BS94" i="3"/>
  <c r="BS60" i="3"/>
  <c r="BT231" i="3"/>
  <c r="BS90" i="3"/>
  <c r="BS198" i="3"/>
  <c r="BT121" i="3"/>
  <c r="BS74" i="3"/>
  <c r="BS61" i="3"/>
  <c r="BS194" i="3"/>
  <c r="BS166" i="3"/>
  <c r="BS112" i="3"/>
  <c r="BS82" i="3"/>
  <c r="BT189" i="3"/>
  <c r="BS146" i="3"/>
  <c r="BT109" i="3"/>
  <c r="BT66" i="3"/>
  <c r="BT154" i="3"/>
  <c r="BS109" i="3"/>
  <c r="BT186" i="3"/>
  <c r="BT122" i="3"/>
  <c r="BS71" i="3"/>
  <c r="BT213" i="3"/>
  <c r="BT96" i="3"/>
  <c r="BS184" i="3"/>
  <c r="BT185" i="3"/>
  <c r="BT178" i="3"/>
  <c r="BS247" i="3"/>
  <c r="BS157" i="3"/>
  <c r="BT172" i="3"/>
  <c r="BS103" i="3"/>
  <c r="BT64" i="3"/>
  <c r="BT92" i="3"/>
  <c r="BT112" i="3"/>
  <c r="BT245" i="3"/>
  <c r="BT139" i="3"/>
  <c r="BS144" i="3"/>
  <c r="BT234" i="3"/>
  <c r="BT84" i="3"/>
  <c r="BT166" i="3"/>
  <c r="BT138" i="3"/>
  <c r="BT238" i="3"/>
  <c r="BT137" i="3"/>
  <c r="BT162" i="3"/>
  <c r="BT190" i="3"/>
  <c r="BT258" i="3"/>
  <c r="BS152" i="3"/>
  <c r="BS101" i="3"/>
  <c r="BS214" i="3"/>
  <c r="BT246" i="3"/>
  <c r="BT256" i="3"/>
  <c r="BT59" i="3"/>
  <c r="BT203" i="3"/>
  <c r="BS207" i="3"/>
  <c r="BS236" i="3"/>
  <c r="BT155" i="3"/>
  <c r="BS188" i="3"/>
  <c r="BS63" i="3"/>
  <c r="BS59" i="3"/>
  <c r="BT167" i="3"/>
  <c r="BT250" i="3"/>
  <c r="BS234" i="3"/>
  <c r="BS228" i="3"/>
  <c r="BS219" i="3"/>
  <c r="BT196" i="3"/>
  <c r="BS177" i="3"/>
  <c r="BS257" i="3"/>
  <c r="BT214" i="3"/>
  <c r="BT176" i="3"/>
  <c r="BS145" i="3"/>
  <c r="BT243" i="3"/>
  <c r="BS162" i="3"/>
  <c r="BS127" i="3"/>
  <c r="BS104" i="3"/>
  <c r="BS86" i="3"/>
  <c r="BS249" i="3"/>
  <c r="BS217" i="3"/>
  <c r="BS170" i="3"/>
  <c r="BS116" i="3"/>
  <c r="BS84" i="3"/>
  <c r="BT248" i="3"/>
  <c r="BS120" i="3"/>
  <c r="BT235" i="3"/>
  <c r="BS138" i="3"/>
  <c r="BS106" i="3"/>
  <c r="BT72" i="3"/>
  <c r="BS211" i="3"/>
  <c r="BT188" i="3"/>
  <c r="BS150" i="3"/>
  <c r="BT111" i="3"/>
  <c r="BS223" i="3"/>
  <c r="BS158" i="3"/>
  <c r="BT125" i="3"/>
  <c r="BT103" i="3"/>
  <c r="BT82" i="3"/>
  <c r="BT159" i="3"/>
  <c r="BS117" i="3"/>
  <c r="BS220" i="3"/>
  <c r="BT215" i="3"/>
  <c r="BT104" i="3"/>
  <c r="BS243" i="3"/>
  <c r="BS115" i="3"/>
  <c r="BT219" i="3"/>
  <c r="BS235" i="3"/>
  <c r="BT217" i="3"/>
  <c r="BT63" i="3"/>
  <c r="BS164" i="3"/>
  <c r="BT100" i="3"/>
  <c r="BT158" i="3"/>
  <c r="BT131" i="3"/>
  <c r="BS128" i="3"/>
  <c r="BS123" i="3"/>
  <c r="BT249" i="3"/>
  <c r="BT147" i="3"/>
  <c r="BT183" i="3"/>
  <c r="BT244" i="3"/>
  <c r="BT98" i="3"/>
  <c r="BS224" i="3"/>
  <c r="BS85" i="3"/>
  <c r="BT60" i="3"/>
  <c r="BT174" i="3"/>
  <c r="BT182" i="3"/>
  <c r="BT225" i="3"/>
  <c r="BT205" i="3"/>
  <c r="BS192" i="3"/>
  <c r="BS231" i="3"/>
  <c r="BT163" i="3"/>
  <c r="BT209" i="3"/>
  <c r="BT73" i="3"/>
  <c r="BS148" i="3"/>
  <c r="BS172" i="3"/>
  <c r="BT208" i="3"/>
  <c r="BT233" i="3"/>
  <c r="BT195" i="3"/>
  <c r="BT76" i="3"/>
  <c r="BS130" i="3"/>
  <c r="BS111" i="3"/>
  <c r="BS136" i="3"/>
  <c r="BT124" i="3"/>
  <c r="BS216" i="3"/>
  <c r="BS141" i="3"/>
  <c r="BT15" i="3"/>
  <c r="BS42" i="3"/>
  <c r="BS45" i="3"/>
  <c r="BT31" i="3"/>
  <c r="BT51" i="3"/>
  <c r="BS41" i="3"/>
  <c r="BT13" i="3"/>
  <c r="BS31" i="3"/>
  <c r="BS35" i="3"/>
  <c r="BT45" i="3"/>
  <c r="BS38" i="3"/>
  <c r="BT21" i="3"/>
  <c r="BS18" i="3"/>
  <c r="BT56" i="3"/>
  <c r="BT38" i="3"/>
  <c r="BT28" i="3"/>
  <c r="BT16" i="3"/>
  <c r="BT34" i="3"/>
  <c r="BS167" i="3"/>
  <c r="BS175" i="3"/>
  <c r="BS255" i="3"/>
  <c r="BS203" i="3"/>
  <c r="BT70" i="3"/>
  <c r="BT191" i="3"/>
  <c r="BS159" i="3"/>
  <c r="BT241" i="3"/>
  <c r="BT173" i="3"/>
  <c r="BS246" i="3"/>
  <c r="BS179" i="3"/>
  <c r="BS147" i="3"/>
  <c r="BS126" i="3"/>
  <c r="BT164" i="3"/>
  <c r="BS233" i="3"/>
  <c r="BT200" i="3"/>
  <c r="BS187" i="3"/>
  <c r="BT187" i="3"/>
  <c r="BT130" i="3"/>
  <c r="BT91" i="3"/>
  <c r="BS67" i="3"/>
  <c r="BT153" i="3"/>
  <c r="BS240" i="3"/>
  <c r="BS140" i="3"/>
  <c r="BS77" i="3"/>
  <c r="BT230" i="3"/>
  <c r="BS113" i="3"/>
  <c r="BT61" i="3"/>
  <c r="BT114" i="3"/>
  <c r="BT232" i="3"/>
  <c r="BT239" i="3"/>
  <c r="BT135" i="3"/>
  <c r="BT117" i="3"/>
  <c r="BS134" i="3"/>
  <c r="BT85" i="3"/>
  <c r="BS238" i="3"/>
  <c r="BS213" i="3"/>
  <c r="BT123" i="3"/>
  <c r="BT168" i="3"/>
  <c r="BT184" i="3"/>
  <c r="BS253" i="3"/>
  <c r="F4" i="19"/>
  <c r="BJ254" i="14"/>
  <c r="BC254" i="14"/>
  <c r="BC3" i="14"/>
  <c r="AA254" i="14"/>
  <c r="BM254" i="14"/>
  <c r="AB3" i="14"/>
  <c r="AA3" i="14"/>
  <c r="BM3" i="14"/>
  <c r="BN3" i="14" s="1"/>
  <c r="BO3" i="14" s="1"/>
  <c r="AD254" i="14"/>
  <c r="AD3" i="14"/>
  <c r="BB254" i="14"/>
  <c r="AB254" i="14"/>
  <c r="BV12" i="3" l="1"/>
  <c r="BU12" i="3"/>
  <c r="CK11" i="3"/>
  <c r="AI11" i="3"/>
  <c r="Q8" i="26" s="1"/>
  <c r="O8" i="26"/>
  <c r="AJ11" i="3"/>
  <c r="R8" i="26" s="1"/>
  <c r="P8" i="26"/>
  <c r="C9" i="26"/>
  <c r="C9" i="25"/>
  <c r="AG12" i="3"/>
  <c r="AH12" i="3"/>
  <c r="CK10" i="3"/>
  <c r="BE11" i="3"/>
  <c r="CF12" i="3"/>
  <c r="AE256" i="14"/>
  <c r="AY12" i="3"/>
  <c r="BD12" i="3" s="1"/>
  <c r="AE5" i="14"/>
  <c r="BW12" i="3"/>
  <c r="CK12" i="3" s="1"/>
  <c r="Z5" i="14"/>
  <c r="BB5" i="14" s="1"/>
  <c r="BK12" i="3"/>
  <c r="BL12" i="3" s="1"/>
  <c r="BD3" i="14"/>
  <c r="CJ10" i="3"/>
  <c r="CI11" i="3"/>
  <c r="CJ11" i="3"/>
  <c r="AV11" i="3" s="1"/>
  <c r="BY12" i="3"/>
  <c r="C13" i="3"/>
  <c r="Z256" i="14"/>
  <c r="CT10" i="3"/>
  <c r="CI10" i="3" s="1"/>
  <c r="AA4" i="14"/>
  <c r="AZ4" i="14" s="1"/>
  <c r="BB4" i="14"/>
  <c r="AB4" i="14"/>
  <c r="BM255" i="14"/>
  <c r="BN255" i="14" s="1"/>
  <c r="BO255" i="14" s="1"/>
  <c r="AD4" i="14"/>
  <c r="BI255" i="14"/>
  <c r="BJ255" i="14" s="1"/>
  <c r="BM4" i="14"/>
  <c r="BN4" i="14" s="1"/>
  <c r="BO4" i="14" s="1"/>
  <c r="BC4" i="14"/>
  <c r="BD4" i="14" s="1"/>
  <c r="AB255" i="14"/>
  <c r="BB255" i="14"/>
  <c r="BC255" i="14"/>
  <c r="BD255" i="14" s="1"/>
  <c r="AD255" i="14"/>
  <c r="BQ254" i="14"/>
  <c r="BR254" i="14" s="1"/>
  <c r="BN254" i="14"/>
  <c r="BO254" i="14" s="1"/>
  <c r="DD172" i="3"/>
  <c r="AZ3" i="14"/>
  <c r="BA3" i="14"/>
  <c r="BK3" i="14" s="1"/>
  <c r="AF255" i="14"/>
  <c r="AG255" i="14" s="1"/>
  <c r="AH255" i="14" s="1"/>
  <c r="AI255" i="14" s="1"/>
  <c r="AJ255" i="14" s="1"/>
  <c r="AZ255" i="14"/>
  <c r="BA255" i="14"/>
  <c r="AF254" i="14"/>
  <c r="AG254" i="14" s="1"/>
  <c r="AH254" i="14" s="1"/>
  <c r="AI254" i="14" s="1"/>
  <c r="AJ254" i="14" s="1"/>
  <c r="AZ254" i="14"/>
  <c r="CD254" i="14" s="1"/>
  <c r="BA254" i="14"/>
  <c r="BK254" i="14" s="1"/>
  <c r="BD254" i="14"/>
  <c r="AQ255" i="14"/>
  <c r="AR255" i="14" s="1"/>
  <c r="AS255" i="14" s="1"/>
  <c r="AT255" i="14" s="1"/>
  <c r="AU255" i="14" s="1"/>
  <c r="AX3" i="14"/>
  <c r="AV3" i="14"/>
  <c r="AV254" i="14"/>
  <c r="AC254" i="14"/>
  <c r="AK254" i="14" s="1"/>
  <c r="AL254" i="14" s="1"/>
  <c r="AM254" i="14" s="1"/>
  <c r="AN254" i="14" s="1"/>
  <c r="AO254" i="14" s="1"/>
  <c r="AP254" i="14" s="1"/>
  <c r="AX254" i="14"/>
  <c r="AQ254" i="14"/>
  <c r="AR254" i="14" s="1"/>
  <c r="AS254" i="14" s="1"/>
  <c r="AT254" i="14" s="1"/>
  <c r="AU254" i="14" s="1"/>
  <c r="AV255" i="14"/>
  <c r="AC255" i="14"/>
  <c r="AK255" i="14" s="1"/>
  <c r="AL255" i="14" s="1"/>
  <c r="AM255" i="14" s="1"/>
  <c r="AN255" i="14" s="1"/>
  <c r="AO255" i="14" s="1"/>
  <c r="AP255" i="14" s="1"/>
  <c r="AX255" i="14"/>
  <c r="AF3" i="14"/>
  <c r="AG3" i="14" s="1"/>
  <c r="AH3" i="14" s="1"/>
  <c r="AI3" i="14" s="1"/>
  <c r="AJ3" i="14" s="1"/>
  <c r="AC3" i="14"/>
  <c r="AK3" i="14" s="1"/>
  <c r="AL3" i="14" s="1"/>
  <c r="AM3" i="14" s="1"/>
  <c r="AN3" i="14" s="1"/>
  <c r="AO3" i="14" s="1"/>
  <c r="AP3" i="14" s="1"/>
  <c r="AQ3" i="14"/>
  <c r="AR3" i="14" s="1"/>
  <c r="AS3" i="14" s="1"/>
  <c r="AT3" i="14" s="1"/>
  <c r="BU13" i="3" l="1"/>
  <c r="BV13" i="3"/>
  <c r="Z257" i="14"/>
  <c r="BI257" i="14" s="1"/>
  <c r="BJ257" i="14" s="1"/>
  <c r="C10" i="26"/>
  <c r="C10" i="25"/>
  <c r="AJ12" i="3"/>
  <c r="R9" i="26" s="1"/>
  <c r="P9" i="26"/>
  <c r="AI12" i="3"/>
  <c r="Q9" i="26" s="1"/>
  <c r="O9" i="26"/>
  <c r="BM5" i="14"/>
  <c r="BN5" i="14" s="1"/>
  <c r="BO5" i="14" s="1"/>
  <c r="AH13" i="3"/>
  <c r="AG13" i="3"/>
  <c r="CI12" i="3"/>
  <c r="CJ12" i="3"/>
  <c r="AV12" i="3" s="1"/>
  <c r="Z6" i="14"/>
  <c r="BM6" i="14" s="1"/>
  <c r="BN6" i="14" s="1"/>
  <c r="BO6" i="14" s="1"/>
  <c r="BW13" i="3"/>
  <c r="CK13" i="3" s="1"/>
  <c r="AY13" i="3"/>
  <c r="BD13" i="3" s="1"/>
  <c r="AD5" i="14"/>
  <c r="BK13" i="3"/>
  <c r="BL13" i="3" s="1"/>
  <c r="AB5" i="14"/>
  <c r="AA5" i="14"/>
  <c r="AZ5" i="14" s="1"/>
  <c r="BI5" i="14"/>
  <c r="BJ5" i="14" s="1"/>
  <c r="BC5" i="14"/>
  <c r="BD5" i="14" s="1"/>
  <c r="CF13" i="3"/>
  <c r="BE3" i="14"/>
  <c r="BG3" i="14" s="1"/>
  <c r="BE254" i="14"/>
  <c r="BG254" i="14" s="1"/>
  <c r="BY13" i="3"/>
  <c r="AB256" i="14"/>
  <c r="BI256" i="14"/>
  <c r="BJ256" i="14" s="1"/>
  <c r="BB256" i="14"/>
  <c r="BM256" i="14"/>
  <c r="AD256" i="14"/>
  <c r="BC256" i="14"/>
  <c r="BD256" i="14" s="1"/>
  <c r="AA256" i="14"/>
  <c r="AV256" i="14" s="1"/>
  <c r="C14" i="3"/>
  <c r="AE6" i="14"/>
  <c r="DD173" i="3"/>
  <c r="AE257" i="14"/>
  <c r="AV4" i="14"/>
  <c r="BQ255" i="14"/>
  <c r="BR255" i="14" s="1"/>
  <c r="BU255" i="14" s="1"/>
  <c r="AC4" i="14"/>
  <c r="AK4" i="14" s="1"/>
  <c r="AL4" i="14" s="1"/>
  <c r="AM4" i="14" s="1"/>
  <c r="AN4" i="14" s="1"/>
  <c r="AO4" i="14" s="1"/>
  <c r="AP4" i="14" s="1"/>
  <c r="AQ4" i="14"/>
  <c r="AR4" i="14" s="1"/>
  <c r="AS4" i="14" s="1"/>
  <c r="AT4" i="14" s="1"/>
  <c r="AU4" i="14" s="1"/>
  <c r="AX4" i="14"/>
  <c r="BA4" i="14"/>
  <c r="BK4" i="14" s="1"/>
  <c r="BK255" i="14"/>
  <c r="AF4" i="14"/>
  <c r="AG4" i="14" s="1"/>
  <c r="AH4" i="14" s="1"/>
  <c r="AI4" i="14" s="1"/>
  <c r="AJ4" i="14" s="1"/>
  <c r="CD255" i="14"/>
  <c r="BV254" i="14"/>
  <c r="BX254" i="14" s="1"/>
  <c r="CA254" i="14"/>
  <c r="CB254" i="14" s="1"/>
  <c r="BU254" i="14"/>
  <c r="BZ254" i="14"/>
  <c r="BS254" i="14"/>
  <c r="BT254" i="14"/>
  <c r="BW254" i="14" s="1"/>
  <c r="BE255" i="14"/>
  <c r="BG255" i="14" s="1"/>
  <c r="AW255" i="14"/>
  <c r="AY255" i="14" s="1"/>
  <c r="AW254" i="14"/>
  <c r="AY254" i="14" s="1"/>
  <c r="CH254" i="14" s="1"/>
  <c r="AU3" i="14"/>
  <c r="AW3" i="14" s="1"/>
  <c r="CD3" i="14"/>
  <c r="CD4" i="14"/>
  <c r="AD257" i="14" l="1"/>
  <c r="AA257" i="14"/>
  <c r="AC257" i="14" s="1"/>
  <c r="BB257" i="14"/>
  <c r="AB257" i="14"/>
  <c r="BC257" i="14"/>
  <c r="BD257" i="14" s="1"/>
  <c r="BV14" i="3"/>
  <c r="BU14" i="3"/>
  <c r="BM257" i="14"/>
  <c r="BN257" i="14" s="1"/>
  <c r="BO257" i="14" s="1"/>
  <c r="C11" i="25"/>
  <c r="C11" i="26"/>
  <c r="AJ13" i="3"/>
  <c r="R10" i="26" s="1"/>
  <c r="P10" i="26"/>
  <c r="CD5" i="14"/>
  <c r="BB6" i="14"/>
  <c r="AI13" i="3"/>
  <c r="Q10" i="26" s="1"/>
  <c r="O10" i="26"/>
  <c r="BI6" i="14"/>
  <c r="BJ6" i="14" s="1"/>
  <c r="AH14" i="3"/>
  <c r="AG14" i="3"/>
  <c r="CJ13" i="3"/>
  <c r="AV13" i="3" s="1"/>
  <c r="BC6" i="14"/>
  <c r="BD6" i="14" s="1"/>
  <c r="AB6" i="14"/>
  <c r="AA6" i="14"/>
  <c r="AC6" i="14" s="1"/>
  <c r="AD6" i="14"/>
  <c r="CI13" i="3"/>
  <c r="BW14" i="3"/>
  <c r="CK14" i="3" s="1"/>
  <c r="BI14" i="3"/>
  <c r="AX5" i="14"/>
  <c r="AK5" i="14"/>
  <c r="AL5" i="14" s="1"/>
  <c r="AM5" i="14" s="1"/>
  <c r="AN5" i="14" s="1"/>
  <c r="AO5" i="14" s="1"/>
  <c r="AP5" i="14" s="1"/>
  <c r="BA5" i="14"/>
  <c r="BK5" i="14" s="1"/>
  <c r="AF5" i="14"/>
  <c r="AG5" i="14" s="1"/>
  <c r="AH5" i="14" s="1"/>
  <c r="AI5" i="14" s="1"/>
  <c r="AJ5" i="14" s="1"/>
  <c r="AC5" i="14"/>
  <c r="CF14" i="3"/>
  <c r="AV5" i="14"/>
  <c r="AQ5" i="14"/>
  <c r="AR5" i="14" s="1"/>
  <c r="AS5" i="14" s="1"/>
  <c r="AT5" i="14" s="1"/>
  <c r="AU5" i="14" s="1"/>
  <c r="AE258" i="14"/>
  <c r="Z258" i="14"/>
  <c r="BI258" i="14" s="1"/>
  <c r="BJ258" i="14" s="1"/>
  <c r="BY14" i="3"/>
  <c r="BK14" i="3"/>
  <c r="BL14" i="3" s="1"/>
  <c r="AY14" i="3"/>
  <c r="BD14" i="3" s="1"/>
  <c r="AE7" i="14"/>
  <c r="DD174" i="3"/>
  <c r="C15" i="3"/>
  <c r="BN256" i="14"/>
  <c r="BO256" i="14" s="1"/>
  <c r="BQ256" i="14"/>
  <c r="BR256" i="14" s="1"/>
  <c r="AZ256" i="14"/>
  <c r="AK256" i="14"/>
  <c r="AL256" i="14" s="1"/>
  <c r="AM256" i="14" s="1"/>
  <c r="AN256" i="14" s="1"/>
  <c r="AO256" i="14" s="1"/>
  <c r="AP256" i="14" s="1"/>
  <c r="AF256" i="14"/>
  <c r="AG256" i="14" s="1"/>
  <c r="AH256" i="14" s="1"/>
  <c r="AI256" i="14" s="1"/>
  <c r="AJ256" i="14" s="1"/>
  <c r="AQ256" i="14"/>
  <c r="AR256" i="14" s="1"/>
  <c r="AS256" i="14" s="1"/>
  <c r="BA256" i="14"/>
  <c r="BK256" i="14" s="1"/>
  <c r="AC256" i="14"/>
  <c r="Z7" i="14"/>
  <c r="BB7" i="14" s="1"/>
  <c r="AX256" i="14"/>
  <c r="BT255" i="14"/>
  <c r="BW255" i="14" s="1"/>
  <c r="BZ255" i="14"/>
  <c r="CA255" i="14"/>
  <c r="CB255" i="14" s="1"/>
  <c r="BV255" i="14"/>
  <c r="BX255" i="14" s="1"/>
  <c r="AW4" i="14"/>
  <c r="AY4" i="14" s="1"/>
  <c r="CE4" i="14" s="1"/>
  <c r="BS255" i="14"/>
  <c r="BE4" i="14"/>
  <c r="BG4" i="14" s="1"/>
  <c r="CH255" i="14"/>
  <c r="CM254" i="14"/>
  <c r="BB10" i="3" s="1"/>
  <c r="BE10" i="3" s="1"/>
  <c r="AY3" i="14"/>
  <c r="CH3" i="14" s="1"/>
  <c r="BQ3" i="14"/>
  <c r="BR3" i="14" s="1"/>
  <c r="CF254" i="14"/>
  <c r="CK254" i="14" s="1"/>
  <c r="BA10" i="3" s="1"/>
  <c r="CE255" i="14"/>
  <c r="CF255" i="14"/>
  <c r="CE254" i="14"/>
  <c r="CJ254" i="14" s="1"/>
  <c r="AZ10" i="3" s="1"/>
  <c r="AV257" i="14" l="1"/>
  <c r="AQ257" i="14"/>
  <c r="AR257" i="14" s="1"/>
  <c r="AS257" i="14" s="1"/>
  <c r="AT257" i="14" s="1"/>
  <c r="AU257" i="14" s="1"/>
  <c r="BA257" i="14"/>
  <c r="BK257" i="14" s="1"/>
  <c r="AZ257" i="14"/>
  <c r="BE257" i="14" s="1"/>
  <c r="BG257" i="14" s="1"/>
  <c r="AK257" i="14"/>
  <c r="AL257" i="14" s="1"/>
  <c r="AM257" i="14" s="1"/>
  <c r="AN257" i="14" s="1"/>
  <c r="AO257" i="14" s="1"/>
  <c r="AP257" i="14" s="1"/>
  <c r="AF257" i="14"/>
  <c r="AG257" i="14" s="1"/>
  <c r="AH257" i="14" s="1"/>
  <c r="AI257" i="14" s="1"/>
  <c r="AJ257" i="14" s="1"/>
  <c r="AX257" i="14"/>
  <c r="BQ257" i="14"/>
  <c r="BR257" i="14" s="1"/>
  <c r="BV15" i="3"/>
  <c r="BU15" i="3"/>
  <c r="C12" i="26"/>
  <c r="C12" i="25"/>
  <c r="AI14" i="3"/>
  <c r="Q11" i="26" s="1"/>
  <c r="O11" i="26"/>
  <c r="AJ14" i="3"/>
  <c r="R11" i="26" s="1"/>
  <c r="P11" i="26"/>
  <c r="BW15" i="3"/>
  <c r="CJ15" i="3" s="1"/>
  <c r="AV15" i="3" s="1"/>
  <c r="AJ15" i="3"/>
  <c r="R12" i="26" s="1"/>
  <c r="AI15" i="3"/>
  <c r="Q12" i="26" s="1"/>
  <c r="AH15" i="3"/>
  <c r="P12" i="26" s="1"/>
  <c r="AG15" i="3"/>
  <c r="O12" i="26" s="1"/>
  <c r="AF6" i="14"/>
  <c r="AG6" i="14" s="1"/>
  <c r="AH6" i="14" s="1"/>
  <c r="AI6" i="14" s="1"/>
  <c r="AJ6" i="14" s="1"/>
  <c r="AZ6" i="14"/>
  <c r="CD6" i="14" s="1"/>
  <c r="AQ6" i="14"/>
  <c r="AR6" i="14" s="1"/>
  <c r="AS6" i="14" s="1"/>
  <c r="AT6" i="14" s="1"/>
  <c r="AU6" i="14" s="1"/>
  <c r="AV6" i="14"/>
  <c r="AK6" i="14"/>
  <c r="AL6" i="14" s="1"/>
  <c r="AM6" i="14" s="1"/>
  <c r="AN6" i="14" s="1"/>
  <c r="AO6" i="14" s="1"/>
  <c r="AP6" i="14" s="1"/>
  <c r="BA6" i="14"/>
  <c r="BK6" i="14" s="1"/>
  <c r="CI14" i="3"/>
  <c r="AX6" i="14"/>
  <c r="CJ14" i="3"/>
  <c r="AE8" i="14"/>
  <c r="BE14" i="3"/>
  <c r="BH15" i="3"/>
  <c r="BI15" i="3"/>
  <c r="BK15" i="3"/>
  <c r="BE5" i="14"/>
  <c r="BG5" i="14" s="1"/>
  <c r="Z259" i="14"/>
  <c r="BI259" i="14" s="1"/>
  <c r="BJ259" i="14" s="1"/>
  <c r="AW5" i="14"/>
  <c r="BQ5" i="14" s="1"/>
  <c r="BR5" i="14" s="1"/>
  <c r="CA5" i="14" s="1"/>
  <c r="CF15" i="3"/>
  <c r="BG15" i="3"/>
  <c r="CK15" i="3"/>
  <c r="AA258" i="14"/>
  <c r="AX258" i="14" s="1"/>
  <c r="BB258" i="14"/>
  <c r="AB258" i="14"/>
  <c r="BM258" i="14"/>
  <c r="BN258" i="14" s="1"/>
  <c r="BO258" i="14" s="1"/>
  <c r="BC10" i="3"/>
  <c r="BN10" i="3" s="1"/>
  <c r="BQ4" i="14"/>
  <c r="BR4" i="14" s="1"/>
  <c r="BU4" i="14" s="1"/>
  <c r="BY15" i="3"/>
  <c r="CI15" i="3"/>
  <c r="Z8" i="14"/>
  <c r="BI8" i="14" s="1"/>
  <c r="BJ8" i="14" s="1"/>
  <c r="C16" i="3"/>
  <c r="AD258" i="14"/>
  <c r="BF10" i="3"/>
  <c r="BQ10" i="3" s="1"/>
  <c r="AY15" i="3"/>
  <c r="BD15" i="3" s="1"/>
  <c r="BL15" i="3"/>
  <c r="AE259" i="14"/>
  <c r="BC258" i="14"/>
  <c r="BD258" i="14" s="1"/>
  <c r="BM7" i="14"/>
  <c r="BN7" i="14" s="1"/>
  <c r="BO7" i="14" s="1"/>
  <c r="BC7" i="14"/>
  <c r="BD7" i="14" s="1"/>
  <c r="AT256" i="14"/>
  <c r="AU256" i="14" s="1"/>
  <c r="CD256" i="14"/>
  <c r="BE256" i="14"/>
  <c r="BG256" i="14" s="1"/>
  <c r="AB7" i="14"/>
  <c r="AD7" i="14"/>
  <c r="CA256" i="14"/>
  <c r="CB256" i="14" s="1"/>
  <c r="BT256" i="14"/>
  <c r="BW256" i="14" s="1"/>
  <c r="BV256" i="14"/>
  <c r="BX256" i="14" s="1"/>
  <c r="BI7" i="14"/>
  <c r="BJ7" i="14" s="1"/>
  <c r="AA7" i="14"/>
  <c r="BA7" i="14" s="1"/>
  <c r="BU256" i="14"/>
  <c r="BZ256" i="14"/>
  <c r="BS256" i="14"/>
  <c r="CJ255" i="14"/>
  <c r="AZ11" i="3" s="1"/>
  <c r="CK255" i="14"/>
  <c r="BA11" i="3" s="1"/>
  <c r="CM255" i="14"/>
  <c r="BB11" i="3" s="1"/>
  <c r="CH4" i="14"/>
  <c r="DD175" i="3"/>
  <c r="CF4" i="14"/>
  <c r="CF3" i="14"/>
  <c r="CE3" i="14"/>
  <c r="CA3" i="14"/>
  <c r="BZ3" i="14"/>
  <c r="BV3" i="14"/>
  <c r="BU3" i="14"/>
  <c r="BT3" i="14"/>
  <c r="BS3" i="14"/>
  <c r="CD257" i="14" l="1"/>
  <c r="BV16" i="3"/>
  <c r="BU16" i="3"/>
  <c r="C13" i="26"/>
  <c r="C13" i="25"/>
  <c r="BB259" i="14"/>
  <c r="AH16" i="3"/>
  <c r="AG16" i="3"/>
  <c r="AW6" i="14"/>
  <c r="AY6" i="14" s="1"/>
  <c r="CF6" i="14" s="1"/>
  <c r="BM259" i="14"/>
  <c r="BN259" i="14" s="1"/>
  <c r="BO259" i="14" s="1"/>
  <c r="BE6" i="14"/>
  <c r="BG6" i="14" s="1"/>
  <c r="AB259" i="14"/>
  <c r="BM15" i="3"/>
  <c r="BK16" i="3"/>
  <c r="BI16" i="3"/>
  <c r="BE15" i="3"/>
  <c r="BU5" i="14"/>
  <c r="AC258" i="14"/>
  <c r="AK258" i="14" s="1"/>
  <c r="AL258" i="14" s="1"/>
  <c r="AM258" i="14" s="1"/>
  <c r="AN258" i="14" s="1"/>
  <c r="AO258" i="14" s="1"/>
  <c r="AP258" i="14" s="1"/>
  <c r="AD259" i="14"/>
  <c r="AA259" i="14"/>
  <c r="AX259" i="14" s="1"/>
  <c r="BC259" i="14"/>
  <c r="BD259" i="14" s="1"/>
  <c r="BZ5" i="14"/>
  <c r="CB5" i="14" s="1"/>
  <c r="BS5" i="14"/>
  <c r="BV5" i="14"/>
  <c r="BT5" i="14"/>
  <c r="AY5" i="14"/>
  <c r="CF5" i="14" s="1"/>
  <c r="Z9" i="14"/>
  <c r="AB9" i="14" s="1"/>
  <c r="AV258" i="14"/>
  <c r="BB8" i="14"/>
  <c r="BM8" i="14"/>
  <c r="BN8" i="14" s="1"/>
  <c r="BO8" i="14" s="1"/>
  <c r="BW16" i="3"/>
  <c r="CK16" i="3" s="1"/>
  <c r="CF16" i="3"/>
  <c r="AE9" i="14"/>
  <c r="BC15" i="3"/>
  <c r="BN15" i="3" s="1"/>
  <c r="AF258" i="14"/>
  <c r="AG258" i="14" s="1"/>
  <c r="AH258" i="14" s="1"/>
  <c r="AI258" i="14" s="1"/>
  <c r="AJ258" i="14" s="1"/>
  <c r="BA258" i="14"/>
  <c r="BK258" i="14" s="1"/>
  <c r="AY16" i="3"/>
  <c r="BD16" i="3" s="1"/>
  <c r="C17" i="3"/>
  <c r="BL16" i="3"/>
  <c r="Z260" i="14"/>
  <c r="BI260" i="14" s="1"/>
  <c r="BJ260" i="14" s="1"/>
  <c r="AE260" i="14"/>
  <c r="AQ258" i="14"/>
  <c r="AR258" i="14" s="1"/>
  <c r="AS258" i="14" s="1"/>
  <c r="AT258" i="14" s="1"/>
  <c r="AU258" i="14" s="1"/>
  <c r="AZ258" i="14"/>
  <c r="CD258" i="14" s="1"/>
  <c r="AC7" i="14"/>
  <c r="AZ7" i="14"/>
  <c r="BE7" i="14" s="1"/>
  <c r="BG7" i="14" s="1"/>
  <c r="AA8" i="14"/>
  <c r="AX8" i="14" s="1"/>
  <c r="BC8" i="14"/>
  <c r="BD8" i="14" s="1"/>
  <c r="AD8" i="14"/>
  <c r="BQ258" i="14"/>
  <c r="BR258" i="14" s="1"/>
  <c r="AB8" i="14"/>
  <c r="BC11" i="3"/>
  <c r="BN11" i="3" s="1"/>
  <c r="BW3" i="14"/>
  <c r="CJ3" i="14" s="1"/>
  <c r="CC10" i="3" s="1"/>
  <c r="BG10" i="3" s="1"/>
  <c r="CA4" i="14"/>
  <c r="CB4" i="14" s="1"/>
  <c r="CM4" i="14" s="1"/>
  <c r="BV4" i="14"/>
  <c r="BX4" i="14" s="1"/>
  <c r="CK4" i="14" s="1"/>
  <c r="CD11" i="3" s="1"/>
  <c r="BH11" i="3" s="1"/>
  <c r="BZ4" i="14"/>
  <c r="BS4" i="14"/>
  <c r="BT4" i="14"/>
  <c r="CB3" i="14"/>
  <c r="CM3" i="14" s="1"/>
  <c r="BX3" i="14"/>
  <c r="CK3" i="14" s="1"/>
  <c r="BF11" i="3"/>
  <c r="BQ11" i="3" s="1"/>
  <c r="BY16" i="3"/>
  <c r="BK7" i="14"/>
  <c r="AQ7" i="14"/>
  <c r="AR7" i="14" s="1"/>
  <c r="AS7" i="14" s="1"/>
  <c r="AT7" i="14" s="1"/>
  <c r="AU7" i="14" s="1"/>
  <c r="AX7" i="14"/>
  <c r="AV7" i="14"/>
  <c r="AF7" i="14"/>
  <c r="AG7" i="14" s="1"/>
  <c r="AH7" i="14" s="1"/>
  <c r="AI7" i="14" s="1"/>
  <c r="AJ7" i="14" s="1"/>
  <c r="AK7" i="14"/>
  <c r="AL7" i="14" s="1"/>
  <c r="AM7" i="14" s="1"/>
  <c r="AN7" i="14" s="1"/>
  <c r="AO7" i="14" s="1"/>
  <c r="AP7" i="14" s="1"/>
  <c r="BJ15" i="3"/>
  <c r="BP15" i="3" s="1"/>
  <c r="AW256" i="14"/>
  <c r="AY256" i="14" s="1"/>
  <c r="BU257" i="14"/>
  <c r="BV257" i="14"/>
  <c r="BX257" i="14" s="1"/>
  <c r="CA257" i="14"/>
  <c r="CB257" i="14" s="1"/>
  <c r="BZ257" i="14"/>
  <c r="BS257" i="14"/>
  <c r="BT257" i="14"/>
  <c r="BW257" i="14" s="1"/>
  <c r="DD176" i="3"/>
  <c r="AW257" i="14"/>
  <c r="AY257" i="14" s="1"/>
  <c r="CH257" i="14" s="1"/>
  <c r="BU17" i="3" l="1"/>
  <c r="BV17" i="3"/>
  <c r="BQ6" i="14"/>
  <c r="BR6" i="14" s="1"/>
  <c r="BV6" i="14" s="1"/>
  <c r="BQ259" i="14"/>
  <c r="BR259" i="14" s="1"/>
  <c r="BS259" i="14" s="1"/>
  <c r="AQ259" i="14"/>
  <c r="AR259" i="14" s="1"/>
  <c r="AS259" i="14" s="1"/>
  <c r="AT259" i="14" s="1"/>
  <c r="AU259" i="14" s="1"/>
  <c r="AJ16" i="3"/>
  <c r="R13" i="26" s="1"/>
  <c r="P13" i="26"/>
  <c r="AC259" i="14"/>
  <c r="C14" i="26"/>
  <c r="C14" i="25"/>
  <c r="AI16" i="3"/>
  <c r="Q13" i="26" s="1"/>
  <c r="O13" i="26"/>
  <c r="AH17" i="3"/>
  <c r="AG17" i="3"/>
  <c r="CJ16" i="3"/>
  <c r="AV16" i="3" s="1"/>
  <c r="BX5" i="14"/>
  <c r="CK5" i="14" s="1"/>
  <c r="CD12" i="3" s="1"/>
  <c r="BH12" i="3" s="1"/>
  <c r="BB9" i="14"/>
  <c r="AF259" i="14"/>
  <c r="AG259" i="14" s="1"/>
  <c r="AH259" i="14" s="1"/>
  <c r="AI259" i="14" s="1"/>
  <c r="AJ259" i="14" s="1"/>
  <c r="BA259" i="14"/>
  <c r="BK259" i="14" s="1"/>
  <c r="AK259" i="14"/>
  <c r="AL259" i="14" s="1"/>
  <c r="AM259" i="14" s="1"/>
  <c r="AN259" i="14" s="1"/>
  <c r="AO259" i="14" s="1"/>
  <c r="AP259" i="14" s="1"/>
  <c r="AZ259" i="14"/>
  <c r="CD259" i="14" s="1"/>
  <c r="AV259" i="14"/>
  <c r="BO15" i="3"/>
  <c r="AU15" i="3" s="1"/>
  <c r="CE5" i="14"/>
  <c r="BC9" i="14"/>
  <c r="BD9" i="14" s="1"/>
  <c r="CH5" i="14"/>
  <c r="CM5" i="14" s="1"/>
  <c r="CG12" i="3" s="1"/>
  <c r="BI12" i="3" s="1"/>
  <c r="BE16" i="3"/>
  <c r="Z10" i="14"/>
  <c r="BI10" i="14" s="1"/>
  <c r="BJ10" i="14" s="1"/>
  <c r="BW5" i="14"/>
  <c r="AA9" i="14"/>
  <c r="AV9" i="14" s="1"/>
  <c r="AD9" i="14"/>
  <c r="BI9" i="14"/>
  <c r="BJ9" i="14" s="1"/>
  <c r="C18" i="3"/>
  <c r="BM9" i="14"/>
  <c r="BN9" i="14" s="1"/>
  <c r="BO9" i="14" s="1"/>
  <c r="BM260" i="14"/>
  <c r="BN260" i="14" s="1"/>
  <c r="BO260" i="14" s="1"/>
  <c r="AE10" i="14"/>
  <c r="DD177" i="3"/>
  <c r="CD7" i="14"/>
  <c r="AY17" i="3"/>
  <c r="BD17" i="3" s="1"/>
  <c r="AA260" i="14"/>
  <c r="AZ260" i="14" s="1"/>
  <c r="AE261" i="14"/>
  <c r="BY17" i="3"/>
  <c r="BK17" i="3"/>
  <c r="BL17" i="3" s="1"/>
  <c r="Z261" i="14"/>
  <c r="BI261" i="14" s="1"/>
  <c r="BJ261" i="14" s="1"/>
  <c r="BW17" i="3"/>
  <c r="CI17" i="3" s="1"/>
  <c r="CF17" i="3"/>
  <c r="AZ8" i="14"/>
  <c r="CD8" i="14" s="1"/>
  <c r="CI16" i="3"/>
  <c r="BF15" i="3"/>
  <c r="BQ15" i="3" s="1"/>
  <c r="BR15" i="3" s="1"/>
  <c r="AK8" i="14"/>
  <c r="AL8" i="14" s="1"/>
  <c r="AM8" i="14" s="1"/>
  <c r="AN8" i="14" s="1"/>
  <c r="AO8" i="14" s="1"/>
  <c r="AP8" i="14" s="1"/>
  <c r="BE258" i="14"/>
  <c r="BG258" i="14" s="1"/>
  <c r="BB260" i="14"/>
  <c r="AW258" i="14"/>
  <c r="AY258" i="14" s="1"/>
  <c r="CE258" i="14" s="1"/>
  <c r="AB260" i="14"/>
  <c r="BC260" i="14"/>
  <c r="BD260" i="14" s="1"/>
  <c r="AD260" i="14"/>
  <c r="BM10" i="3"/>
  <c r="BO10" i="3" s="1"/>
  <c r="AC8" i="14"/>
  <c r="AF8" i="14"/>
  <c r="AG8" i="14" s="1"/>
  <c r="AH8" i="14" s="1"/>
  <c r="AI8" i="14" s="1"/>
  <c r="AJ8" i="14" s="1"/>
  <c r="AQ8" i="14"/>
  <c r="AR8" i="14" s="1"/>
  <c r="AS8" i="14" s="1"/>
  <c r="AT8" i="14" s="1"/>
  <c r="AU8" i="14" s="1"/>
  <c r="BA8" i="14"/>
  <c r="BK8" i="14" s="1"/>
  <c r="AV8" i="14"/>
  <c r="CG11" i="3"/>
  <c r="CG10" i="3"/>
  <c r="BI10" i="3" s="1"/>
  <c r="BW4" i="14"/>
  <c r="CJ4" i="14" s="1"/>
  <c r="CC11" i="3" s="1"/>
  <c r="BG11" i="3" s="1"/>
  <c r="CE256" i="14"/>
  <c r="CJ256" i="14" s="1"/>
  <c r="AZ12" i="3" s="1"/>
  <c r="BC12" i="3" s="1"/>
  <c r="BN12" i="3" s="1"/>
  <c r="CH256" i="14"/>
  <c r="CM256" i="14" s="1"/>
  <c r="BB12" i="3" s="1"/>
  <c r="BE12" i="3" s="1"/>
  <c r="CF256" i="14"/>
  <c r="CK256" i="14" s="1"/>
  <c r="BA12" i="3" s="1"/>
  <c r="CD10" i="3"/>
  <c r="CM257" i="14"/>
  <c r="BB13" i="3" s="1"/>
  <c r="BE13" i="3" s="1"/>
  <c r="CF257" i="14"/>
  <c r="CK257" i="14" s="1"/>
  <c r="BA13" i="3" s="1"/>
  <c r="CA258" i="14"/>
  <c r="CB258" i="14" s="1"/>
  <c r="BV258" i="14"/>
  <c r="BX258" i="14" s="1"/>
  <c r="BZ258" i="14"/>
  <c r="BU258" i="14"/>
  <c r="BS258" i="14"/>
  <c r="BT258" i="14"/>
  <c r="BW258" i="14" s="1"/>
  <c r="CE6" i="14"/>
  <c r="CH6" i="14"/>
  <c r="CE257" i="14"/>
  <c r="CJ257" i="14" s="1"/>
  <c r="AZ13" i="3" s="1"/>
  <c r="BC13" i="3" s="1"/>
  <c r="BN13" i="3" s="1"/>
  <c r="AW7" i="14"/>
  <c r="D18" i="3"/>
  <c r="BH10" i="3" l="1"/>
  <c r="BJ10" i="3" s="1"/>
  <c r="BP10" i="3" s="1"/>
  <c r="BR10" i="3" s="1"/>
  <c r="AV10" i="3"/>
  <c r="BZ6" i="14"/>
  <c r="CA6" i="14"/>
  <c r="CB6" i="14" s="1"/>
  <c r="BU10" i="3"/>
  <c r="AU10" i="3" s="1"/>
  <c r="BS6" i="14"/>
  <c r="BU6" i="14"/>
  <c r="BT6" i="14"/>
  <c r="BW6" i="14" s="1"/>
  <c r="CJ6" i="14" s="1"/>
  <c r="CC13" i="3" s="1"/>
  <c r="BV18" i="3"/>
  <c r="BU18" i="3"/>
  <c r="BM10" i="14"/>
  <c r="BN10" i="14" s="1"/>
  <c r="BO10" i="14" s="1"/>
  <c r="BB261" i="14"/>
  <c r="CJ5" i="14"/>
  <c r="CC12" i="3" s="1"/>
  <c r="D15" i="26"/>
  <c r="D15" i="25"/>
  <c r="C15" i="25"/>
  <c r="C15" i="26"/>
  <c r="AJ17" i="3"/>
  <c r="R14" i="26" s="1"/>
  <c r="P14" i="26"/>
  <c r="AI17" i="3"/>
  <c r="Q14" i="26" s="1"/>
  <c r="O14" i="26"/>
  <c r="CK17" i="3"/>
  <c r="Z262" i="14"/>
  <c r="BI262" i="14" s="1"/>
  <c r="BJ262" i="14" s="1"/>
  <c r="AH18" i="3"/>
  <c r="AG18" i="3"/>
  <c r="BJ12" i="3"/>
  <c r="BP12" i="3" s="1"/>
  <c r="AC9" i="14"/>
  <c r="BA9" i="14"/>
  <c r="BK9" i="14" s="1"/>
  <c r="AZ9" i="14"/>
  <c r="BQ260" i="14"/>
  <c r="BR260" i="14" s="1"/>
  <c r="BT260" i="14" s="1"/>
  <c r="BW260" i="14" s="1"/>
  <c r="BB10" i="14"/>
  <c r="BE259" i="14"/>
  <c r="BG259" i="14" s="1"/>
  <c r="AF9" i="14"/>
  <c r="AG9" i="14" s="1"/>
  <c r="AH9" i="14" s="1"/>
  <c r="AI9" i="14" s="1"/>
  <c r="AJ9" i="14" s="1"/>
  <c r="AB10" i="14"/>
  <c r="AQ9" i="14"/>
  <c r="AR9" i="14" s="1"/>
  <c r="AS9" i="14" s="1"/>
  <c r="AT9" i="14" s="1"/>
  <c r="AU9" i="14" s="1"/>
  <c r="AD10" i="14"/>
  <c r="BC10" i="14"/>
  <c r="BD10" i="14" s="1"/>
  <c r="AD261" i="14"/>
  <c r="AK260" i="14"/>
  <c r="AL260" i="14" s="1"/>
  <c r="AM260" i="14" s="1"/>
  <c r="AN260" i="14" s="1"/>
  <c r="AO260" i="14" s="1"/>
  <c r="AP260" i="14" s="1"/>
  <c r="AK9" i="14"/>
  <c r="AL9" i="14" s="1"/>
  <c r="AM9" i="14" s="1"/>
  <c r="AN9" i="14" s="1"/>
  <c r="AO9" i="14" s="1"/>
  <c r="AP9" i="14" s="1"/>
  <c r="AX9" i="14"/>
  <c r="AA10" i="14"/>
  <c r="AZ10" i="14" s="1"/>
  <c r="AQ260" i="14"/>
  <c r="AR260" i="14" s="1"/>
  <c r="AS260" i="14" s="1"/>
  <c r="AT260" i="14" s="1"/>
  <c r="AU260" i="14" s="1"/>
  <c r="AV260" i="14"/>
  <c r="AC260" i="14"/>
  <c r="AX260" i="14"/>
  <c r="CJ17" i="3"/>
  <c r="AV17" i="3" s="1"/>
  <c r="CF18" i="3"/>
  <c r="AY18" i="3"/>
  <c r="BD18" i="3" s="1"/>
  <c r="BW18" i="3"/>
  <c r="CI18" i="3" s="1"/>
  <c r="AE262" i="14"/>
  <c r="Z11" i="14"/>
  <c r="BI11" i="14" s="1"/>
  <c r="BJ11" i="14" s="1"/>
  <c r="BK18" i="3"/>
  <c r="BL18" i="3" s="1"/>
  <c r="AE11" i="14"/>
  <c r="C19" i="3"/>
  <c r="BY18" i="3"/>
  <c r="BC261" i="14"/>
  <c r="BD261" i="14" s="1"/>
  <c r="AA261" i="14"/>
  <c r="AK261" i="14" s="1"/>
  <c r="AL261" i="14" s="1"/>
  <c r="AM261" i="14" s="1"/>
  <c r="AN261" i="14" s="1"/>
  <c r="AO261" i="14" s="1"/>
  <c r="AP261" i="14" s="1"/>
  <c r="BA260" i="14"/>
  <c r="BK260" i="14" s="1"/>
  <c r="BM261" i="14"/>
  <c r="BN261" i="14" s="1"/>
  <c r="BO261" i="14" s="1"/>
  <c r="AB261" i="14"/>
  <c r="AF260" i="14"/>
  <c r="AG260" i="14" s="1"/>
  <c r="AH260" i="14" s="1"/>
  <c r="AI260" i="14" s="1"/>
  <c r="AJ260" i="14" s="1"/>
  <c r="CF258" i="14"/>
  <c r="CK258" i="14" s="1"/>
  <c r="BA14" i="3" s="1"/>
  <c r="BG12" i="3"/>
  <c r="BM12" i="3" s="1"/>
  <c r="BO12" i="3" s="1"/>
  <c r="AU12" i="3" s="1"/>
  <c r="CH258" i="14"/>
  <c r="CM258" i="14" s="1"/>
  <c r="BB14" i="3" s="1"/>
  <c r="AW15" i="3"/>
  <c r="BE8" i="14"/>
  <c r="BG8" i="14" s="1"/>
  <c r="BF13" i="3"/>
  <c r="BQ13" i="3" s="1"/>
  <c r="BF12" i="3"/>
  <c r="BQ12" i="3" s="1"/>
  <c r="BJ11" i="3"/>
  <c r="BP11" i="3" s="1"/>
  <c r="BR11" i="3" s="1"/>
  <c r="BM11" i="3"/>
  <c r="BO11" i="3" s="1"/>
  <c r="AU11" i="3" s="1"/>
  <c r="DD178" i="3"/>
  <c r="D19" i="3"/>
  <c r="CA259" i="14"/>
  <c r="CB259" i="14" s="1"/>
  <c r="BV259" i="14"/>
  <c r="BX259" i="14" s="1"/>
  <c r="BZ259" i="14"/>
  <c r="BU259" i="14"/>
  <c r="BT259" i="14"/>
  <c r="BW259" i="14" s="1"/>
  <c r="BX6" i="14"/>
  <c r="CK6" i="14" s="1"/>
  <c r="CD13" i="3" s="1"/>
  <c r="BH13" i="3" s="1"/>
  <c r="CM6" i="14"/>
  <c r="CG13" i="3" s="1"/>
  <c r="BI13" i="3" s="1"/>
  <c r="CJ258" i="14"/>
  <c r="AZ14" i="3" s="1"/>
  <c r="BC14" i="3" s="1"/>
  <c r="BN14" i="3" s="1"/>
  <c r="AY7" i="14"/>
  <c r="BQ7" i="14"/>
  <c r="BR7" i="14" s="1"/>
  <c r="AW259" i="14"/>
  <c r="AY259" i="14" s="1"/>
  <c r="CE259" i="14" s="1"/>
  <c r="CD260" i="14"/>
  <c r="AW8" i="14"/>
  <c r="BV10" i="3" l="1"/>
  <c r="AW10" i="3" s="1"/>
  <c r="BV19" i="3"/>
  <c r="BU19" i="3"/>
  <c r="BM262" i="14"/>
  <c r="BN262" i="14" s="1"/>
  <c r="BO262" i="14" s="1"/>
  <c r="BA10" i="14"/>
  <c r="BK10" i="14" s="1"/>
  <c r="AQ10" i="14"/>
  <c r="AR10" i="14" s="1"/>
  <c r="AS10" i="14" s="1"/>
  <c r="AT10" i="14" s="1"/>
  <c r="AU10" i="14" s="1"/>
  <c r="AB262" i="14"/>
  <c r="AX10" i="14"/>
  <c r="BE9" i="14"/>
  <c r="BG9" i="14" s="1"/>
  <c r="BB262" i="14"/>
  <c r="AA262" i="14"/>
  <c r="AV262" i="14" s="1"/>
  <c r="D16" i="25"/>
  <c r="D16" i="26"/>
  <c r="AI18" i="3"/>
  <c r="Q15" i="26" s="1"/>
  <c r="O15" i="26"/>
  <c r="C16" i="26"/>
  <c r="C16" i="25"/>
  <c r="AJ18" i="3"/>
  <c r="R15" i="26" s="1"/>
  <c r="P15" i="26"/>
  <c r="AD262" i="14"/>
  <c r="BC262" i="14"/>
  <c r="BD262" i="14" s="1"/>
  <c r="CK18" i="3"/>
  <c r="BR12" i="3"/>
  <c r="AH19" i="3"/>
  <c r="AG19" i="3"/>
  <c r="AC10" i="14"/>
  <c r="AF10" i="14"/>
  <c r="AG10" i="14" s="1"/>
  <c r="AH10" i="14" s="1"/>
  <c r="AI10" i="14" s="1"/>
  <c r="AJ10" i="14" s="1"/>
  <c r="CD9" i="14"/>
  <c r="AV10" i="14"/>
  <c r="BF14" i="3"/>
  <c r="BQ14" i="3" s="1"/>
  <c r="CJ18" i="3"/>
  <c r="AV18" i="3" s="1"/>
  <c r="AK10" i="14"/>
  <c r="AL10" i="14" s="1"/>
  <c r="AM10" i="14" s="1"/>
  <c r="AN10" i="14" s="1"/>
  <c r="AO10" i="14" s="1"/>
  <c r="AP10" i="14" s="1"/>
  <c r="AW9" i="14"/>
  <c r="AY9" i="14" s="1"/>
  <c r="AC261" i="14"/>
  <c r="BQ261" i="14"/>
  <c r="BR261" i="14" s="1"/>
  <c r="BT261" i="14" s="1"/>
  <c r="BW261" i="14" s="1"/>
  <c r="AD11" i="14"/>
  <c r="BM11" i="14"/>
  <c r="BN11" i="14" s="1"/>
  <c r="BO11" i="14" s="1"/>
  <c r="AB11" i="14"/>
  <c r="BB11" i="14"/>
  <c r="AA11" i="14"/>
  <c r="AX11" i="14" s="1"/>
  <c r="C20" i="3"/>
  <c r="BI19" i="3"/>
  <c r="AE12" i="14"/>
  <c r="BC11" i="14"/>
  <c r="BD11" i="14" s="1"/>
  <c r="BY19" i="3"/>
  <c r="BA261" i="14"/>
  <c r="BK261" i="14" s="1"/>
  <c r="CF19" i="3"/>
  <c r="AZ261" i="14"/>
  <c r="AX261" i="14"/>
  <c r="BK19" i="3"/>
  <c r="BL19" i="3" s="1"/>
  <c r="AE263" i="14"/>
  <c r="AV261" i="14"/>
  <c r="AF261" i="14"/>
  <c r="AG261" i="14" s="1"/>
  <c r="AH261" i="14" s="1"/>
  <c r="AI261" i="14" s="1"/>
  <c r="AJ261" i="14" s="1"/>
  <c r="AQ261" i="14"/>
  <c r="AR261" i="14" s="1"/>
  <c r="AS261" i="14" s="1"/>
  <c r="AT261" i="14" s="1"/>
  <c r="AU261" i="14" s="1"/>
  <c r="BW19" i="3"/>
  <c r="CK19" i="3" s="1"/>
  <c r="Z263" i="14"/>
  <c r="BI263" i="14" s="1"/>
  <c r="BJ263" i="14" s="1"/>
  <c r="AY19" i="3"/>
  <c r="BD19" i="3" s="1"/>
  <c r="Z12" i="14"/>
  <c r="AD12" i="14" s="1"/>
  <c r="BE260" i="14"/>
  <c r="BG260" i="14" s="1"/>
  <c r="BG13" i="3"/>
  <c r="BM13" i="3" s="1"/>
  <c r="BO13" i="3" s="1"/>
  <c r="AU13" i="3" s="1"/>
  <c r="BJ13" i="3"/>
  <c r="BP13" i="3" s="1"/>
  <c r="BR13" i="3" s="1"/>
  <c r="AW11" i="3"/>
  <c r="D20" i="3"/>
  <c r="DD179" i="3"/>
  <c r="BS260" i="14"/>
  <c r="CJ259" i="14"/>
  <c r="AZ15" i="3" s="1"/>
  <c r="CA260" i="14"/>
  <c r="CB260" i="14" s="1"/>
  <c r="BV260" i="14"/>
  <c r="BX260" i="14" s="1"/>
  <c r="BU260" i="14"/>
  <c r="BZ260" i="14"/>
  <c r="BV7" i="14"/>
  <c r="BU7" i="14"/>
  <c r="CA7" i="14"/>
  <c r="BZ7" i="14"/>
  <c r="CF7" i="14"/>
  <c r="CH7" i="14"/>
  <c r="CE7" i="14"/>
  <c r="BT7" i="14"/>
  <c r="BS7" i="14"/>
  <c r="AY8" i="14"/>
  <c r="CF8" i="14" s="1"/>
  <c r="BQ8" i="14"/>
  <c r="BR8" i="14" s="1"/>
  <c r="CF259" i="14"/>
  <c r="CK259" i="14" s="1"/>
  <c r="BA15" i="3" s="1"/>
  <c r="CD10" i="14"/>
  <c r="AW260" i="14"/>
  <c r="AY260" i="14" s="1"/>
  <c r="CH260" i="14" s="1"/>
  <c r="CH259" i="14"/>
  <c r="CM259" i="14" s="1"/>
  <c r="BB15" i="3" s="1"/>
  <c r="AX262" i="14" l="1"/>
  <c r="AZ262" i="14"/>
  <c r="BV20" i="3"/>
  <c r="BU20" i="3"/>
  <c r="AW12" i="3"/>
  <c r="AQ262" i="14"/>
  <c r="AR262" i="14" s="1"/>
  <c r="AS262" i="14" s="1"/>
  <c r="AT262" i="14" s="1"/>
  <c r="AU262" i="14" s="1"/>
  <c r="AC262" i="14"/>
  <c r="AF262" i="14"/>
  <c r="BQ262" i="14"/>
  <c r="BR262" i="14" s="1"/>
  <c r="BS262" i="14" s="1"/>
  <c r="BA262" i="14"/>
  <c r="BK262" i="14" s="1"/>
  <c r="AK262" i="14"/>
  <c r="AL262" i="14" s="1"/>
  <c r="AM262" i="14" s="1"/>
  <c r="AN262" i="14" s="1"/>
  <c r="AO262" i="14" s="1"/>
  <c r="AP262" i="14" s="1"/>
  <c r="BE10" i="14"/>
  <c r="BG10" i="14" s="1"/>
  <c r="CI19" i="3"/>
  <c r="C17" i="26"/>
  <c r="C17" i="25"/>
  <c r="CF9" i="14"/>
  <c r="AI19" i="3"/>
  <c r="Q16" i="26" s="1"/>
  <c r="O16" i="26"/>
  <c r="D17" i="25"/>
  <c r="D17" i="26"/>
  <c r="AJ19" i="3"/>
  <c r="R16" i="26" s="1"/>
  <c r="P16" i="26"/>
  <c r="CF20" i="3"/>
  <c r="AH20" i="3"/>
  <c r="P17" i="26" s="1"/>
  <c r="AG20" i="3"/>
  <c r="O17" i="26" s="1"/>
  <c r="AJ20" i="3"/>
  <c r="R17" i="26" s="1"/>
  <c r="AI20" i="3"/>
  <c r="Q17" i="26" s="1"/>
  <c r="AC11" i="14"/>
  <c r="AZ11" i="14"/>
  <c r="CD11" i="14" s="1"/>
  <c r="BQ9" i="14"/>
  <c r="BR9" i="14" s="1"/>
  <c r="BV9" i="14" s="1"/>
  <c r="BX9" i="14" s="1"/>
  <c r="Z13" i="14"/>
  <c r="BM13" i="14" s="1"/>
  <c r="BN13" i="14" s="1"/>
  <c r="BO13" i="14" s="1"/>
  <c r="AB12" i="14"/>
  <c r="AV11" i="14"/>
  <c r="AK11" i="14"/>
  <c r="AL11" i="14" s="1"/>
  <c r="AM11" i="14" s="1"/>
  <c r="AN11" i="14" s="1"/>
  <c r="AO11" i="14" s="1"/>
  <c r="AP11" i="14" s="1"/>
  <c r="BE261" i="14"/>
  <c r="BG261" i="14" s="1"/>
  <c r="BC263" i="14"/>
  <c r="BD263" i="14" s="1"/>
  <c r="AB263" i="14"/>
  <c r="BK20" i="3"/>
  <c r="AE13" i="14"/>
  <c r="CD261" i="14"/>
  <c r="AQ11" i="14"/>
  <c r="AR11" i="14" s="1"/>
  <c r="AS11" i="14" s="1"/>
  <c r="AT11" i="14" s="1"/>
  <c r="AU11" i="14" s="1"/>
  <c r="AY20" i="3"/>
  <c r="BL20" i="3"/>
  <c r="C21" i="3"/>
  <c r="DD180" i="3"/>
  <c r="BY20" i="3"/>
  <c r="BE19" i="3"/>
  <c r="BH20" i="3"/>
  <c r="BI20" i="3"/>
  <c r="AF11" i="14"/>
  <c r="AG11" i="14" s="1"/>
  <c r="AH11" i="14" s="1"/>
  <c r="AI11" i="14" s="1"/>
  <c r="AJ11" i="14" s="1"/>
  <c r="BA11" i="14"/>
  <c r="BK11" i="14" s="1"/>
  <c r="BW20" i="3"/>
  <c r="CI20" i="3" s="1"/>
  <c r="Z264" i="14"/>
  <c r="BI264" i="14" s="1"/>
  <c r="BJ264" i="14" s="1"/>
  <c r="AE264" i="14"/>
  <c r="BG20" i="3"/>
  <c r="BM12" i="14"/>
  <c r="BN12" i="14" s="1"/>
  <c r="BO12" i="14" s="1"/>
  <c r="BB12" i="14"/>
  <c r="AA12" i="14"/>
  <c r="AX12" i="14" s="1"/>
  <c r="BC12" i="14"/>
  <c r="BD12" i="14" s="1"/>
  <c r="CJ19" i="3"/>
  <c r="AV19" i="3" s="1"/>
  <c r="BI12" i="14"/>
  <c r="BJ12" i="14" s="1"/>
  <c r="AA263" i="14"/>
  <c r="BA263" i="14" s="1"/>
  <c r="BK263" i="14" s="1"/>
  <c r="AD263" i="14"/>
  <c r="BB263" i="14"/>
  <c r="BM263" i="14"/>
  <c r="BN263" i="14" s="1"/>
  <c r="BO263" i="14" s="1"/>
  <c r="AW13" i="3"/>
  <c r="CB7" i="14"/>
  <c r="CM7" i="14" s="1"/>
  <c r="CG14" i="3" s="1"/>
  <c r="AV14" i="3" s="1"/>
  <c r="F33" i="6" s="1"/>
  <c r="D21" i="3"/>
  <c r="CE9" i="14"/>
  <c r="CE8" i="14"/>
  <c r="CA8" i="14"/>
  <c r="CB8" i="14" s="1"/>
  <c r="BV8" i="14"/>
  <c r="BX8" i="14" s="1"/>
  <c r="CK8" i="14" s="1"/>
  <c r="CD15" i="3" s="1"/>
  <c r="BU8" i="14"/>
  <c r="BZ8" i="14"/>
  <c r="BS261" i="14"/>
  <c r="CA261" i="14"/>
  <c r="CB261" i="14" s="1"/>
  <c r="BV261" i="14"/>
  <c r="BX261" i="14" s="1"/>
  <c r="BU261" i="14"/>
  <c r="BZ261" i="14"/>
  <c r="CM260" i="14"/>
  <c r="BB16" i="3" s="1"/>
  <c r="BX7" i="14"/>
  <c r="CK7" i="14" s="1"/>
  <c r="CD14" i="3" s="1"/>
  <c r="BH14" i="3" s="1"/>
  <c r="BW7" i="14"/>
  <c r="CH9" i="14"/>
  <c r="CH8" i="14"/>
  <c r="BT8" i="14"/>
  <c r="BW8" i="14" s="1"/>
  <c r="BS8" i="14"/>
  <c r="AW10" i="14"/>
  <c r="AG262" i="14"/>
  <c r="AH262" i="14" s="1"/>
  <c r="AI262" i="14" s="1"/>
  <c r="AJ262" i="14" s="1"/>
  <c r="CE260" i="14"/>
  <c r="CJ260" i="14" s="1"/>
  <c r="AZ16" i="3" s="1"/>
  <c r="BC16" i="3" s="1"/>
  <c r="BN16" i="3" s="1"/>
  <c r="BE262" i="14"/>
  <c r="BG262" i="14" s="1"/>
  <c r="CD262" i="14"/>
  <c r="CF260" i="14"/>
  <c r="CK260" i="14" s="1"/>
  <c r="BA16" i="3" s="1"/>
  <c r="AW261" i="14"/>
  <c r="AY261" i="14" s="1"/>
  <c r="BU21" i="3" l="1"/>
  <c r="BV21" i="3"/>
  <c r="BC20" i="3"/>
  <c r="BD20" i="3"/>
  <c r="BI13" i="14"/>
  <c r="BJ13" i="14" s="1"/>
  <c r="AD13" i="14"/>
  <c r="BC13" i="14"/>
  <c r="BD13" i="14" s="1"/>
  <c r="AB13" i="14"/>
  <c r="AA13" i="14"/>
  <c r="AK13" i="14" s="1"/>
  <c r="AL13" i="14" s="1"/>
  <c r="AM13" i="14" s="1"/>
  <c r="AN13" i="14" s="1"/>
  <c r="AO13" i="14" s="1"/>
  <c r="AP13" i="14" s="1"/>
  <c r="D18" i="25"/>
  <c r="D18" i="26"/>
  <c r="C18" i="26"/>
  <c r="C18" i="25"/>
  <c r="CK9" i="14"/>
  <c r="CD16" i="3" s="1"/>
  <c r="BH16" i="3" s="1"/>
  <c r="BJ16" i="3" s="1"/>
  <c r="BP16" i="3" s="1"/>
  <c r="CF21" i="3"/>
  <c r="AH21" i="3"/>
  <c r="AG21" i="3"/>
  <c r="CA9" i="14"/>
  <c r="CB9" i="14" s="1"/>
  <c r="CM9" i="14" s="1"/>
  <c r="CG16" i="3" s="1"/>
  <c r="BU9" i="14"/>
  <c r="BS9" i="14"/>
  <c r="BZ9" i="14"/>
  <c r="BT9" i="14"/>
  <c r="BW9" i="14" s="1"/>
  <c r="CJ9" i="14" s="1"/>
  <c r="CC16" i="3" s="1"/>
  <c r="BB13" i="14"/>
  <c r="BF16" i="3"/>
  <c r="BQ16" i="3" s="1"/>
  <c r="CJ20" i="3"/>
  <c r="AV20" i="3" s="1"/>
  <c r="CK20" i="3"/>
  <c r="Z14" i="14"/>
  <c r="BB14" i="14" s="1"/>
  <c r="AF263" i="14"/>
  <c r="AG263" i="14" s="1"/>
  <c r="AH263" i="14" s="1"/>
  <c r="AI263" i="14" s="1"/>
  <c r="AJ263" i="14" s="1"/>
  <c r="AF12" i="14"/>
  <c r="AG12" i="14" s="1"/>
  <c r="AH12" i="14" s="1"/>
  <c r="AI12" i="14" s="1"/>
  <c r="AJ12" i="14" s="1"/>
  <c r="CF261" i="14"/>
  <c r="CK261" i="14" s="1"/>
  <c r="BA17" i="3" s="1"/>
  <c r="BM20" i="3"/>
  <c r="BW21" i="3"/>
  <c r="CI21" i="3" s="1"/>
  <c r="BB264" i="14"/>
  <c r="AE14" i="14"/>
  <c r="AA264" i="14"/>
  <c r="AV264" i="14" s="1"/>
  <c r="AY21" i="3"/>
  <c r="AE265" i="14"/>
  <c r="BM264" i="14"/>
  <c r="BN264" i="14" s="1"/>
  <c r="BO264" i="14" s="1"/>
  <c r="BY21" i="3"/>
  <c r="AV12" i="14"/>
  <c r="AC263" i="14"/>
  <c r="BK21" i="3"/>
  <c r="BL21" i="3" s="1"/>
  <c r="C22" i="3"/>
  <c r="BC264" i="14"/>
  <c r="BD264" i="14" s="1"/>
  <c r="AK263" i="14"/>
  <c r="AL263" i="14" s="1"/>
  <c r="AM263" i="14" s="1"/>
  <c r="AN263" i="14" s="1"/>
  <c r="AO263" i="14" s="1"/>
  <c r="AP263" i="14" s="1"/>
  <c r="AK12" i="14"/>
  <c r="AL12" i="14" s="1"/>
  <c r="AM12" i="14" s="1"/>
  <c r="AN12" i="14" s="1"/>
  <c r="AO12" i="14" s="1"/>
  <c r="AP12" i="14" s="1"/>
  <c r="Z265" i="14"/>
  <c r="BI265" i="14" s="1"/>
  <c r="BJ265" i="14" s="1"/>
  <c r="AB264" i="14"/>
  <c r="AD264" i="14"/>
  <c r="BJ20" i="3"/>
  <c r="BP20" i="3" s="1"/>
  <c r="BN20" i="3"/>
  <c r="AV263" i="14"/>
  <c r="AQ263" i="14"/>
  <c r="AR263" i="14" s="1"/>
  <c r="AS263" i="14" s="1"/>
  <c r="AT263" i="14" s="1"/>
  <c r="AU263" i="14" s="1"/>
  <c r="AZ263" i="14"/>
  <c r="BE263" i="14" s="1"/>
  <c r="BG263" i="14" s="1"/>
  <c r="AQ12" i="14"/>
  <c r="AR12" i="14" s="1"/>
  <c r="AS12" i="14" s="1"/>
  <c r="AT12" i="14" s="1"/>
  <c r="AU12" i="14" s="1"/>
  <c r="AZ12" i="14"/>
  <c r="CD12" i="14" s="1"/>
  <c r="BE20" i="3"/>
  <c r="AX263" i="14"/>
  <c r="BE11" i="14"/>
  <c r="BG11" i="14" s="1"/>
  <c r="AC12" i="14"/>
  <c r="BA12" i="14"/>
  <c r="BK12" i="14" s="1"/>
  <c r="BI21" i="3"/>
  <c r="BQ263" i="14"/>
  <c r="BR263" i="14" s="1"/>
  <c r="BT263" i="14" s="1"/>
  <c r="BW263" i="14" s="1"/>
  <c r="BJ14" i="3"/>
  <c r="BP14" i="3" s="1"/>
  <c r="BR14" i="3" s="1"/>
  <c r="DD181" i="3"/>
  <c r="D22" i="3"/>
  <c r="BV262" i="14"/>
  <c r="BX262" i="14" s="1"/>
  <c r="CA262" i="14"/>
  <c r="CB262" i="14" s="1"/>
  <c r="BU262" i="14"/>
  <c r="BZ262" i="14"/>
  <c r="BT262" i="14"/>
  <c r="BW262" i="14" s="1"/>
  <c r="CM8" i="14"/>
  <c r="CG15" i="3" s="1"/>
  <c r="CJ7" i="14"/>
  <c r="CC14" i="3" s="1"/>
  <c r="CJ8" i="14"/>
  <c r="CC15" i="3" s="1"/>
  <c r="AY10" i="14"/>
  <c r="BQ10" i="14"/>
  <c r="BR10" i="14" s="1"/>
  <c r="AW11" i="14"/>
  <c r="AF13" i="14"/>
  <c r="AW262" i="14"/>
  <c r="AY262" i="14" s="1"/>
  <c r="CE262" i="14" s="1"/>
  <c r="CE261" i="14"/>
  <c r="CJ261" i="14" s="1"/>
  <c r="AZ17" i="3" s="1"/>
  <c r="BC17" i="3" s="1"/>
  <c r="BN17" i="3" s="1"/>
  <c r="CH261" i="14"/>
  <c r="CM261" i="14" s="1"/>
  <c r="BB17" i="3" s="1"/>
  <c r="BE17" i="3" s="1"/>
  <c r="AV13" i="14"/>
  <c r="BV22" i="3" l="1"/>
  <c r="BU22" i="3"/>
  <c r="BE21" i="3"/>
  <c r="BD21" i="3"/>
  <c r="AE266" i="14"/>
  <c r="AQ13" i="14"/>
  <c r="AR13" i="14" s="1"/>
  <c r="AS13" i="14" s="1"/>
  <c r="AT13" i="14" s="1"/>
  <c r="AU13" i="14" s="1"/>
  <c r="BA13" i="14"/>
  <c r="BK13" i="14" s="1"/>
  <c r="AC13" i="14"/>
  <c r="AZ13" i="14"/>
  <c r="AX13" i="14"/>
  <c r="BC14" i="14"/>
  <c r="BD14" i="14" s="1"/>
  <c r="BK22" i="3"/>
  <c r="AD14" i="14"/>
  <c r="AI21" i="3"/>
  <c r="Q18" i="26" s="1"/>
  <c r="O18" i="26"/>
  <c r="AJ21" i="3"/>
  <c r="R18" i="26" s="1"/>
  <c r="P18" i="26"/>
  <c r="CJ21" i="3"/>
  <c r="AV21" i="3" s="1"/>
  <c r="C19" i="25"/>
  <c r="C19" i="26"/>
  <c r="D19" i="26"/>
  <c r="D19" i="25"/>
  <c r="Z15" i="14"/>
  <c r="AB15" i="14" s="1"/>
  <c r="AH22" i="3"/>
  <c r="AG22" i="3"/>
  <c r="CK21" i="3"/>
  <c r="BR16" i="3"/>
  <c r="BO20" i="3"/>
  <c r="AU20" i="3" s="1"/>
  <c r="BA264" i="14"/>
  <c r="BK264" i="14" s="1"/>
  <c r="AA14" i="14"/>
  <c r="AV14" i="14" s="1"/>
  <c r="BI14" i="14"/>
  <c r="BJ14" i="14" s="1"/>
  <c r="BM14" i="14"/>
  <c r="BN14" i="14" s="1"/>
  <c r="BO14" i="14" s="1"/>
  <c r="AB14" i="14"/>
  <c r="BM265" i="14"/>
  <c r="BN265" i="14" s="1"/>
  <c r="BO265" i="14" s="1"/>
  <c r="AF264" i="14"/>
  <c r="AG264" i="14" s="1"/>
  <c r="AH264" i="14" s="1"/>
  <c r="AI264" i="14" s="1"/>
  <c r="AJ264" i="14" s="1"/>
  <c r="AZ264" i="14"/>
  <c r="CD264" i="14" s="1"/>
  <c r="AQ264" i="14"/>
  <c r="AR264" i="14" s="1"/>
  <c r="AS264" i="14" s="1"/>
  <c r="AT264" i="14" s="1"/>
  <c r="AU264" i="14" s="1"/>
  <c r="AC264" i="14"/>
  <c r="AK264" i="14"/>
  <c r="AL264" i="14" s="1"/>
  <c r="AM264" i="14" s="1"/>
  <c r="AN264" i="14" s="1"/>
  <c r="AO264" i="14" s="1"/>
  <c r="AP264" i="14" s="1"/>
  <c r="AX264" i="14"/>
  <c r="AY22" i="3"/>
  <c r="BQ264" i="14"/>
  <c r="BR264" i="14" s="1"/>
  <c r="AE15" i="14"/>
  <c r="C23" i="3"/>
  <c r="BF20" i="3"/>
  <c r="BQ20" i="3" s="1"/>
  <c r="BR20" i="3" s="1"/>
  <c r="BI22" i="3"/>
  <c r="BL22" i="3"/>
  <c r="Z266" i="14"/>
  <c r="BI266" i="14" s="1"/>
  <c r="BJ266" i="14" s="1"/>
  <c r="BY22" i="3"/>
  <c r="CF22" i="3"/>
  <c r="BW22" i="3"/>
  <c r="CI22" i="3" s="1"/>
  <c r="AA265" i="14"/>
  <c r="AX265" i="14" s="1"/>
  <c r="BC265" i="14"/>
  <c r="BD265" i="14" s="1"/>
  <c r="BB265" i="14"/>
  <c r="CD263" i="14"/>
  <c r="AB265" i="14"/>
  <c r="AD265" i="14"/>
  <c r="BE12" i="14"/>
  <c r="BG12" i="14" s="1"/>
  <c r="AW12" i="14"/>
  <c r="AY12" i="14" s="1"/>
  <c r="CF12" i="14" s="1"/>
  <c r="BG14" i="3"/>
  <c r="BM14" i="3" s="1"/>
  <c r="BO14" i="3" s="1"/>
  <c r="AU14" i="3" s="1"/>
  <c r="C33" i="6" s="1"/>
  <c r="E33" i="6" s="1"/>
  <c r="BF17" i="3"/>
  <c r="BQ17" i="3" s="1"/>
  <c r="F31" i="6"/>
  <c r="BG16" i="3"/>
  <c r="BM16" i="3" s="1"/>
  <c r="BO16" i="3" s="1"/>
  <c r="AU16" i="3" s="1"/>
  <c r="BS263" i="14"/>
  <c r="CA10" i="14"/>
  <c r="CB10" i="14" s="1"/>
  <c r="BV10" i="14"/>
  <c r="BX10" i="14" s="1"/>
  <c r="BZ10" i="14"/>
  <c r="BU10" i="14"/>
  <c r="CJ262" i="14"/>
  <c r="AZ18" i="3" s="1"/>
  <c r="BC18" i="3" s="1"/>
  <c r="BN18" i="3" s="1"/>
  <c r="CA263" i="14"/>
  <c r="CB263" i="14" s="1"/>
  <c r="BV263" i="14"/>
  <c r="BX263" i="14" s="1"/>
  <c r="BZ263" i="14"/>
  <c r="BU263" i="14"/>
  <c r="CF10" i="14"/>
  <c r="CH10" i="14"/>
  <c r="CE10" i="14"/>
  <c r="AY11" i="14"/>
  <c r="BQ11" i="14"/>
  <c r="BR11" i="14" s="1"/>
  <c r="BT10" i="14"/>
  <c r="BW10" i="14" s="1"/>
  <c r="BS10" i="14"/>
  <c r="D23" i="3"/>
  <c r="DD182" i="3"/>
  <c r="CH262" i="14"/>
  <c r="CM262" i="14" s="1"/>
  <c r="BB18" i="3" s="1"/>
  <c r="BE18" i="3" s="1"/>
  <c r="AG13" i="14"/>
  <c r="AH13" i="14" s="1"/>
  <c r="AI13" i="14" s="1"/>
  <c r="AJ13" i="14" s="1"/>
  <c r="CF262" i="14"/>
  <c r="CK262" i="14" s="1"/>
  <c r="BA18" i="3" s="1"/>
  <c r="AW263" i="14"/>
  <c r="AY263" i="14" s="1"/>
  <c r="CD13" i="14"/>
  <c r="BV23" i="3" l="1"/>
  <c r="BU23" i="3"/>
  <c r="BE22" i="3"/>
  <c r="BD22" i="3"/>
  <c r="BI15" i="14"/>
  <c r="BJ15" i="14" s="1"/>
  <c r="BC15" i="14"/>
  <c r="BD15" i="14" s="1"/>
  <c r="BE13" i="14"/>
  <c r="BG13" i="14" s="1"/>
  <c r="BM15" i="14"/>
  <c r="BN15" i="14" s="1"/>
  <c r="BO15" i="14" s="1"/>
  <c r="AI22" i="3"/>
  <c r="Q19" i="26" s="1"/>
  <c r="O19" i="26"/>
  <c r="BB15" i="14"/>
  <c r="AD15" i="14"/>
  <c r="CJ22" i="3"/>
  <c r="AV22" i="3" s="1"/>
  <c r="C20" i="26"/>
  <c r="C20" i="25"/>
  <c r="AJ22" i="3"/>
  <c r="R19" i="26" s="1"/>
  <c r="P19" i="26"/>
  <c r="AA15" i="14"/>
  <c r="BA15" i="14" s="1"/>
  <c r="BI23" i="3"/>
  <c r="D20" i="25"/>
  <c r="D20" i="26"/>
  <c r="AH23" i="3"/>
  <c r="AG23" i="3"/>
  <c r="BA14" i="14"/>
  <c r="BK14" i="14" s="1"/>
  <c r="AW16" i="3"/>
  <c r="CK22" i="3"/>
  <c r="AW20" i="3"/>
  <c r="BQ12" i="14"/>
  <c r="BR12" i="14" s="1"/>
  <c r="BZ12" i="14" s="1"/>
  <c r="AQ14" i="14"/>
  <c r="AR14" i="14" s="1"/>
  <c r="AS14" i="14" s="1"/>
  <c r="AT14" i="14" s="1"/>
  <c r="AU14" i="14" s="1"/>
  <c r="AF14" i="14"/>
  <c r="AG14" i="14" s="1"/>
  <c r="AH14" i="14" s="1"/>
  <c r="AI14" i="14" s="1"/>
  <c r="AJ14" i="14" s="1"/>
  <c r="AZ14" i="14"/>
  <c r="AX14" i="14"/>
  <c r="AF265" i="14"/>
  <c r="AG265" i="14" s="1"/>
  <c r="AH265" i="14" s="1"/>
  <c r="AI265" i="14" s="1"/>
  <c r="AJ265" i="14" s="1"/>
  <c r="AC14" i="14"/>
  <c r="BB266" i="14"/>
  <c r="BQ265" i="14"/>
  <c r="BR265" i="14" s="1"/>
  <c r="BT265" i="14" s="1"/>
  <c r="BW265" i="14" s="1"/>
  <c r="AK14" i="14"/>
  <c r="AL14" i="14" s="1"/>
  <c r="AM14" i="14" s="1"/>
  <c r="AN14" i="14" s="1"/>
  <c r="AO14" i="14" s="1"/>
  <c r="AP14" i="14" s="1"/>
  <c r="BE264" i="14"/>
  <c r="BG264" i="14" s="1"/>
  <c r="AK265" i="14"/>
  <c r="AL265" i="14" s="1"/>
  <c r="AM265" i="14" s="1"/>
  <c r="AN265" i="14" s="1"/>
  <c r="AO265" i="14" s="1"/>
  <c r="AP265" i="14" s="1"/>
  <c r="BA265" i="14"/>
  <c r="BK265" i="14" s="1"/>
  <c r="AA266" i="14"/>
  <c r="AZ266" i="14" s="1"/>
  <c r="BC266" i="14"/>
  <c r="BD266" i="14" s="1"/>
  <c r="AE16" i="14"/>
  <c r="AC265" i="14"/>
  <c r="AZ265" i="14"/>
  <c r="CD265" i="14" s="1"/>
  <c r="AQ265" i="14"/>
  <c r="AR265" i="14" s="1"/>
  <c r="AS265" i="14" s="1"/>
  <c r="AT265" i="14" s="1"/>
  <c r="AU265" i="14" s="1"/>
  <c r="AV265" i="14"/>
  <c r="AD266" i="14"/>
  <c r="BM266" i="14"/>
  <c r="BN266" i="14" s="1"/>
  <c r="BO266" i="14" s="1"/>
  <c r="AB266" i="14"/>
  <c r="BK23" i="3"/>
  <c r="BL23" i="3" s="1"/>
  <c r="BY23" i="3"/>
  <c r="BW23" i="3"/>
  <c r="CI23" i="3" s="1"/>
  <c r="Z267" i="14"/>
  <c r="BI267" i="14" s="1"/>
  <c r="BJ267" i="14" s="1"/>
  <c r="AE267" i="14"/>
  <c r="CF23" i="3"/>
  <c r="AY23" i="3"/>
  <c r="Z16" i="14"/>
  <c r="AD16" i="14" s="1"/>
  <c r="C24" i="3"/>
  <c r="CH263" i="14"/>
  <c r="CM263" i="14" s="1"/>
  <c r="BB19" i="3" s="1"/>
  <c r="C31" i="6"/>
  <c r="E31" i="6" s="1"/>
  <c r="AW14" i="3"/>
  <c r="BF18" i="3"/>
  <c r="BQ18" i="3" s="1"/>
  <c r="DD183" i="3"/>
  <c r="CM10" i="14"/>
  <c r="CG17" i="3" s="1"/>
  <c r="BI17" i="3" s="1"/>
  <c r="CJ10" i="14"/>
  <c r="CC17" i="3" s="1"/>
  <c r="BV264" i="14"/>
  <c r="BX264" i="14" s="1"/>
  <c r="CA264" i="14"/>
  <c r="CB264" i="14" s="1"/>
  <c r="BU264" i="14"/>
  <c r="BZ264" i="14"/>
  <c r="CE12" i="14"/>
  <c r="BV11" i="14"/>
  <c r="BX11" i="14" s="1"/>
  <c r="CA11" i="14"/>
  <c r="CB11" i="14" s="1"/>
  <c r="BU11" i="14"/>
  <c r="BZ11" i="14"/>
  <c r="CK10" i="14"/>
  <c r="CD17" i="3" s="1"/>
  <c r="BT264" i="14"/>
  <c r="BW264" i="14" s="1"/>
  <c r="CH12" i="14"/>
  <c r="BS264" i="14"/>
  <c r="CE11" i="14"/>
  <c r="CH11" i="14"/>
  <c r="CF11" i="14"/>
  <c r="BT11" i="14"/>
  <c r="BW11" i="14" s="1"/>
  <c r="BS11" i="14"/>
  <c r="D24" i="3"/>
  <c r="AW13" i="14"/>
  <c r="CF263" i="14"/>
  <c r="CK263" i="14" s="1"/>
  <c r="BA19" i="3" s="1"/>
  <c r="CE263" i="14"/>
  <c r="CJ263" i="14" s="1"/>
  <c r="AZ19" i="3" s="1"/>
  <c r="BC19" i="3" s="1"/>
  <c r="BN19" i="3" s="1"/>
  <c r="AW264" i="14"/>
  <c r="AY264" i="14" s="1"/>
  <c r="CE264" i="14" s="1"/>
  <c r="AC15" i="14" l="1"/>
  <c r="AZ15" i="14"/>
  <c r="BV24" i="3"/>
  <c r="BU24" i="3"/>
  <c r="BE23" i="3"/>
  <c r="BD23" i="3"/>
  <c r="BK15" i="14"/>
  <c r="AQ15" i="14"/>
  <c r="AR15" i="14" s="1"/>
  <c r="AS15" i="14" s="1"/>
  <c r="AT15" i="14" s="1"/>
  <c r="AU15" i="14" s="1"/>
  <c r="AK15" i="14"/>
  <c r="AL15" i="14" s="1"/>
  <c r="AM15" i="14" s="1"/>
  <c r="AN15" i="14" s="1"/>
  <c r="AO15" i="14" s="1"/>
  <c r="AP15" i="14" s="1"/>
  <c r="AX15" i="14"/>
  <c r="AV15" i="14"/>
  <c r="AF15" i="14"/>
  <c r="AG15" i="14" s="1"/>
  <c r="AH15" i="14" s="1"/>
  <c r="AI15" i="14" s="1"/>
  <c r="AJ15" i="14" s="1"/>
  <c r="C21" i="26"/>
  <c r="C21" i="25"/>
  <c r="AI23" i="3"/>
  <c r="Q20" i="26" s="1"/>
  <c r="O20" i="26"/>
  <c r="D21" i="25"/>
  <c r="D21" i="26"/>
  <c r="BU12" i="14"/>
  <c r="AJ23" i="3"/>
  <c r="R20" i="26" s="1"/>
  <c r="P20" i="26"/>
  <c r="BS12" i="14"/>
  <c r="AE17" i="14"/>
  <c r="BV12" i="14"/>
  <c r="BX12" i="14" s="1"/>
  <c r="CK12" i="14" s="1"/>
  <c r="CD19" i="3" s="1"/>
  <c r="BH19" i="3" s="1"/>
  <c r="BJ19" i="3" s="1"/>
  <c r="BP19" i="3" s="1"/>
  <c r="BT12" i="14"/>
  <c r="BW12" i="14" s="1"/>
  <c r="CJ12" i="14" s="1"/>
  <c r="CC19" i="3" s="1"/>
  <c r="CA12" i="14"/>
  <c r="CB12" i="14" s="1"/>
  <c r="CM12" i="14" s="1"/>
  <c r="CG19" i="3" s="1"/>
  <c r="BE14" i="14"/>
  <c r="BG14" i="14" s="1"/>
  <c r="AG24" i="3"/>
  <c r="AH24" i="3"/>
  <c r="AB267" i="14"/>
  <c r="Z17" i="14"/>
  <c r="AD17" i="14" s="1"/>
  <c r="AB16" i="14"/>
  <c r="BH17" i="3"/>
  <c r="BJ17" i="3" s="1"/>
  <c r="BP17" i="3" s="1"/>
  <c r="BR17" i="3" s="1"/>
  <c r="CJ23" i="3"/>
  <c r="AV23" i="3" s="1"/>
  <c r="CK23" i="3"/>
  <c r="CD14" i="14"/>
  <c r="BF19" i="3"/>
  <c r="BQ19" i="3" s="1"/>
  <c r="BW24" i="3"/>
  <c r="CK24" i="3" s="1"/>
  <c r="AC266" i="14"/>
  <c r="BA266" i="14"/>
  <c r="BK266" i="14" s="1"/>
  <c r="AV266" i="14"/>
  <c r="AX266" i="14"/>
  <c r="AF266" i="14"/>
  <c r="AG266" i="14" s="1"/>
  <c r="AH266" i="14" s="1"/>
  <c r="AI266" i="14" s="1"/>
  <c r="AJ266" i="14" s="1"/>
  <c r="BM267" i="14"/>
  <c r="BN267" i="14" s="1"/>
  <c r="BO267" i="14" s="1"/>
  <c r="AY24" i="3"/>
  <c r="AK266" i="14"/>
  <c r="AL266" i="14" s="1"/>
  <c r="AM266" i="14" s="1"/>
  <c r="AN266" i="14" s="1"/>
  <c r="AO266" i="14" s="1"/>
  <c r="AP266" i="14" s="1"/>
  <c r="AA267" i="14"/>
  <c r="AX267" i="14" s="1"/>
  <c r="AQ266" i="14"/>
  <c r="AR266" i="14" s="1"/>
  <c r="AS266" i="14" s="1"/>
  <c r="AT266" i="14" s="1"/>
  <c r="AU266" i="14" s="1"/>
  <c r="BE265" i="14"/>
  <c r="BG265" i="14" s="1"/>
  <c r="BQ266" i="14"/>
  <c r="BR266" i="14" s="1"/>
  <c r="BS266" i="14" s="1"/>
  <c r="BI16" i="14"/>
  <c r="BJ16" i="14" s="1"/>
  <c r="BM16" i="14"/>
  <c r="BN16" i="14" s="1"/>
  <c r="BO16" i="14" s="1"/>
  <c r="BC16" i="14"/>
  <c r="BD16" i="14" s="1"/>
  <c r="BY24" i="3"/>
  <c r="AA16" i="14"/>
  <c r="AZ16" i="14" s="1"/>
  <c r="BB16" i="14"/>
  <c r="BI24" i="3"/>
  <c r="BK24" i="3"/>
  <c r="BL24" i="3" s="1"/>
  <c r="C25" i="3"/>
  <c r="BB267" i="14"/>
  <c r="CF24" i="3"/>
  <c r="Z268" i="14"/>
  <c r="BI268" i="14" s="1"/>
  <c r="BJ268" i="14" s="1"/>
  <c r="AE268" i="14"/>
  <c r="AD267" i="14"/>
  <c r="BC267" i="14"/>
  <c r="BD267" i="14" s="1"/>
  <c r="BG17" i="3"/>
  <c r="BM17" i="3" s="1"/>
  <c r="BO17" i="3" s="1"/>
  <c r="AU17" i="3" s="1"/>
  <c r="CJ264" i="14"/>
  <c r="AZ20" i="3" s="1"/>
  <c r="CK11" i="14"/>
  <c r="CD18" i="3" s="1"/>
  <c r="BH18" i="3" s="1"/>
  <c r="CA265" i="14"/>
  <c r="CB265" i="14" s="1"/>
  <c r="BV265" i="14"/>
  <c r="BX265" i="14" s="1"/>
  <c r="BU265" i="14"/>
  <c r="BZ265" i="14"/>
  <c r="BS265" i="14"/>
  <c r="CM11" i="14"/>
  <c r="CG18" i="3" s="1"/>
  <c r="BI18" i="3" s="1"/>
  <c r="AW14" i="14"/>
  <c r="AY14" i="14" s="1"/>
  <c r="CJ11" i="14"/>
  <c r="CC18" i="3" s="1"/>
  <c r="AY13" i="14"/>
  <c r="BQ13" i="14"/>
  <c r="BR13" i="14" s="1"/>
  <c r="DD184" i="3"/>
  <c r="D25" i="3"/>
  <c r="BE15" i="14"/>
  <c r="BG15" i="14" s="1"/>
  <c r="CD15" i="14"/>
  <c r="CF264" i="14"/>
  <c r="CK264" i="14" s="1"/>
  <c r="BA20" i="3" s="1"/>
  <c r="AW265" i="14"/>
  <c r="AY265" i="14" s="1"/>
  <c r="CF265" i="14" s="1"/>
  <c r="CD266" i="14"/>
  <c r="CH264" i="14"/>
  <c r="CM264" i="14" s="1"/>
  <c r="BB20" i="3" s="1"/>
  <c r="BE24" i="3" l="1"/>
  <c r="BD24" i="3"/>
  <c r="BU25" i="3"/>
  <c r="BV25" i="3"/>
  <c r="BC17" i="14"/>
  <c r="BD17" i="14" s="1"/>
  <c r="BM17" i="14"/>
  <c r="BN17" i="14" s="1"/>
  <c r="BO17" i="14" s="1"/>
  <c r="CI24" i="3"/>
  <c r="D22" i="25"/>
  <c r="D22" i="26"/>
  <c r="AI24" i="3"/>
  <c r="Q21" i="26" s="1"/>
  <c r="O21" i="26"/>
  <c r="CJ24" i="3"/>
  <c r="AV24" i="3" s="1"/>
  <c r="C22" i="26"/>
  <c r="C22" i="25"/>
  <c r="BR19" i="3"/>
  <c r="AJ24" i="3"/>
  <c r="R21" i="26" s="1"/>
  <c r="P21" i="26"/>
  <c r="AA268" i="14"/>
  <c r="AF268" i="14" s="1"/>
  <c r="AK267" i="14"/>
  <c r="AL267" i="14" s="1"/>
  <c r="AM267" i="14" s="1"/>
  <c r="AN267" i="14" s="1"/>
  <c r="AO267" i="14" s="1"/>
  <c r="AP267" i="14" s="1"/>
  <c r="BY25" i="3"/>
  <c r="AH25" i="3"/>
  <c r="AG25" i="3"/>
  <c r="AC267" i="14"/>
  <c r="BA267" i="14"/>
  <c r="BK267" i="14" s="1"/>
  <c r="BE266" i="14"/>
  <c r="BG266" i="14" s="1"/>
  <c r="AZ267" i="14"/>
  <c r="AQ267" i="14"/>
  <c r="AR267" i="14" s="1"/>
  <c r="AS267" i="14" s="1"/>
  <c r="AT267" i="14" s="1"/>
  <c r="AU267" i="14" s="1"/>
  <c r="AF267" i="14"/>
  <c r="AG267" i="14" s="1"/>
  <c r="AH267" i="14" s="1"/>
  <c r="AI267" i="14" s="1"/>
  <c r="AJ267" i="14" s="1"/>
  <c r="AB17" i="14"/>
  <c r="AW17" i="3"/>
  <c r="BB17" i="14"/>
  <c r="BI17" i="14"/>
  <c r="BJ17" i="14" s="1"/>
  <c r="AA17" i="14"/>
  <c r="AX17" i="14" s="1"/>
  <c r="C26" i="3"/>
  <c r="AV267" i="14"/>
  <c r="BJ18" i="3"/>
  <c r="BP18" i="3" s="1"/>
  <c r="BR18" i="3" s="1"/>
  <c r="Z18" i="14"/>
  <c r="BI18" i="14" s="1"/>
  <c r="BJ18" i="14" s="1"/>
  <c r="AC16" i="14"/>
  <c r="AW266" i="14"/>
  <c r="AY266" i="14" s="1"/>
  <c r="CE266" i="14" s="1"/>
  <c r="BQ267" i="14"/>
  <c r="BR267" i="14" s="1"/>
  <c r="BT267" i="14" s="1"/>
  <c r="BW267" i="14" s="1"/>
  <c r="AV16" i="14"/>
  <c r="AK16" i="14"/>
  <c r="AL16" i="14" s="1"/>
  <c r="AM16" i="14" s="1"/>
  <c r="AN16" i="14" s="1"/>
  <c r="AO16" i="14" s="1"/>
  <c r="AP16" i="14" s="1"/>
  <c r="BB268" i="14"/>
  <c r="BC268" i="14"/>
  <c r="BD268" i="14" s="1"/>
  <c r="BM268" i="14"/>
  <c r="BN268" i="14" s="1"/>
  <c r="BO268" i="14" s="1"/>
  <c r="AD268" i="14"/>
  <c r="AB268" i="14"/>
  <c r="AF16" i="14"/>
  <c r="AG16" i="14" s="1"/>
  <c r="AH16" i="14" s="1"/>
  <c r="AI16" i="14" s="1"/>
  <c r="AJ16" i="14" s="1"/>
  <c r="BA16" i="14"/>
  <c r="BK16" i="14" s="1"/>
  <c r="AV268" i="14"/>
  <c r="AX16" i="14"/>
  <c r="AQ16" i="14"/>
  <c r="AR16" i="14" s="1"/>
  <c r="AS16" i="14" s="1"/>
  <c r="AT16" i="14" s="1"/>
  <c r="AU16" i="14" s="1"/>
  <c r="CF25" i="3"/>
  <c r="BI25" i="3"/>
  <c r="AE269" i="14"/>
  <c r="AY25" i="3"/>
  <c r="BK25" i="3"/>
  <c r="Z269" i="14"/>
  <c r="BI269" i="14" s="1"/>
  <c r="BJ269" i="14" s="1"/>
  <c r="BW25" i="3"/>
  <c r="CI25" i="3" s="1"/>
  <c r="BL25" i="3"/>
  <c r="AE18" i="14"/>
  <c r="BG18" i="3"/>
  <c r="BM18" i="3" s="1"/>
  <c r="BO18" i="3" s="1"/>
  <c r="AU18" i="3" s="1"/>
  <c r="BG19" i="3"/>
  <c r="BM19" i="3" s="1"/>
  <c r="BO19" i="3" s="1"/>
  <c r="AU19" i="3" s="1"/>
  <c r="BQ14" i="14"/>
  <c r="BR14" i="14" s="1"/>
  <c r="BU14" i="14" s="1"/>
  <c r="DD185" i="3"/>
  <c r="CK265" i="14"/>
  <c r="BA21" i="3" s="1"/>
  <c r="BF21" i="3" s="1"/>
  <c r="BQ21" i="3" s="1"/>
  <c r="CA13" i="14"/>
  <c r="CB13" i="14" s="1"/>
  <c r="BV13" i="14"/>
  <c r="BX13" i="14" s="1"/>
  <c r="BZ13" i="14"/>
  <c r="BU13" i="14"/>
  <c r="CA266" i="14"/>
  <c r="CB266" i="14" s="1"/>
  <c r="BV266" i="14"/>
  <c r="BX266" i="14" s="1"/>
  <c r="BZ266" i="14"/>
  <c r="BU266" i="14"/>
  <c r="BT266" i="14"/>
  <c r="BW266" i="14" s="1"/>
  <c r="CE14" i="14"/>
  <c r="CH14" i="14"/>
  <c r="CF14" i="14"/>
  <c r="CH13" i="14"/>
  <c r="CE13" i="14"/>
  <c r="CF13" i="14"/>
  <c r="AV17" i="14"/>
  <c r="AW15" i="14"/>
  <c r="AY15" i="14" s="1"/>
  <c r="CF15" i="14" s="1"/>
  <c r="BT13" i="14"/>
  <c r="BW13" i="14" s="1"/>
  <c r="BS13" i="14"/>
  <c r="D26" i="3"/>
  <c r="CE265" i="14"/>
  <c r="CJ265" i="14" s="1"/>
  <c r="AZ21" i="3" s="1"/>
  <c r="BC21" i="3" s="1"/>
  <c r="BN21" i="3" s="1"/>
  <c r="CH265" i="14"/>
  <c r="CM265" i="14" s="1"/>
  <c r="BB21" i="3" s="1"/>
  <c r="AQ268" i="14"/>
  <c r="AR268" i="14" s="1"/>
  <c r="AS268" i="14" s="1"/>
  <c r="AT268" i="14" s="1"/>
  <c r="AU268" i="14" s="1"/>
  <c r="CD16" i="14"/>
  <c r="AX268" i="14" l="1"/>
  <c r="BE25" i="3"/>
  <c r="BD25" i="3"/>
  <c r="BV26" i="3"/>
  <c r="BU26" i="3"/>
  <c r="AY26" i="3"/>
  <c r="BD26" i="3" s="1"/>
  <c r="AW19" i="3"/>
  <c r="AB18" i="14"/>
  <c r="AC268" i="14"/>
  <c r="AZ268" i="14"/>
  <c r="CD268" i="14" s="1"/>
  <c r="Z19" i="14"/>
  <c r="AA19" i="14" s="1"/>
  <c r="AK268" i="14"/>
  <c r="AL268" i="14" s="1"/>
  <c r="AM268" i="14" s="1"/>
  <c r="AN268" i="14" s="1"/>
  <c r="AO268" i="14" s="1"/>
  <c r="AP268" i="14" s="1"/>
  <c r="BA268" i="14"/>
  <c r="BK268" i="14" s="1"/>
  <c r="D23" i="26"/>
  <c r="D23" i="25"/>
  <c r="C23" i="25"/>
  <c r="C23" i="26"/>
  <c r="AI25" i="3"/>
  <c r="Q22" i="26" s="1"/>
  <c r="O22" i="26"/>
  <c r="BK26" i="3"/>
  <c r="BL26" i="3" s="1"/>
  <c r="AJ25" i="3"/>
  <c r="R22" i="26" s="1"/>
  <c r="P22" i="26"/>
  <c r="AQ17" i="14"/>
  <c r="AR17" i="14" s="1"/>
  <c r="AS17" i="14" s="1"/>
  <c r="AT17" i="14" s="1"/>
  <c r="AU17" i="14" s="1"/>
  <c r="AZ17" i="14"/>
  <c r="CD17" i="14" s="1"/>
  <c r="AD18" i="14"/>
  <c r="CK25" i="3"/>
  <c r="AH26" i="3"/>
  <c r="AG26" i="3"/>
  <c r="BE267" i="14"/>
  <c r="BG267" i="14" s="1"/>
  <c r="BI26" i="3"/>
  <c r="CD267" i="14"/>
  <c r="CH266" i="14"/>
  <c r="CM266" i="14" s="1"/>
  <c r="BB22" i="3" s="1"/>
  <c r="AW267" i="14"/>
  <c r="AY267" i="14" s="1"/>
  <c r="AD269" i="14"/>
  <c r="BW26" i="3"/>
  <c r="CI26" i="3" s="1"/>
  <c r="AE270" i="14"/>
  <c r="BY26" i="3"/>
  <c r="AE19" i="14"/>
  <c r="C27" i="3"/>
  <c r="Z270" i="14"/>
  <c r="BI270" i="14" s="1"/>
  <c r="BJ270" i="14" s="1"/>
  <c r="CF26" i="3"/>
  <c r="AK17" i="14"/>
  <c r="AL17" i="14" s="1"/>
  <c r="AM17" i="14" s="1"/>
  <c r="AN17" i="14" s="1"/>
  <c r="AO17" i="14" s="1"/>
  <c r="AP17" i="14" s="1"/>
  <c r="BB18" i="14"/>
  <c r="AF17" i="14"/>
  <c r="AG17" i="14" s="1"/>
  <c r="AH17" i="14" s="1"/>
  <c r="AI17" i="14" s="1"/>
  <c r="AJ17" i="14" s="1"/>
  <c r="CF266" i="14"/>
  <c r="CK266" i="14" s="1"/>
  <c r="BA22" i="3" s="1"/>
  <c r="BF22" i="3" s="1"/>
  <c r="BQ22" i="3" s="1"/>
  <c r="AA18" i="14"/>
  <c r="AQ18" i="14" s="1"/>
  <c r="AR18" i="14" s="1"/>
  <c r="AS18" i="14" s="1"/>
  <c r="AT18" i="14" s="1"/>
  <c r="AU18" i="14" s="1"/>
  <c r="BM18" i="14"/>
  <c r="BN18" i="14" s="1"/>
  <c r="BO18" i="14" s="1"/>
  <c r="CJ25" i="3"/>
  <c r="AV25" i="3" s="1"/>
  <c r="AC17" i="14"/>
  <c r="BA17" i="14"/>
  <c r="BK17" i="14" s="1"/>
  <c r="BC18" i="14"/>
  <c r="BD18" i="14" s="1"/>
  <c r="AB269" i="14"/>
  <c r="AA269" i="14"/>
  <c r="AX269" i="14" s="1"/>
  <c r="BC269" i="14"/>
  <c r="BD269" i="14" s="1"/>
  <c r="BE16" i="14"/>
  <c r="BG16" i="14" s="1"/>
  <c r="BQ268" i="14"/>
  <c r="BR268" i="14" s="1"/>
  <c r="BS268" i="14" s="1"/>
  <c r="BM269" i="14"/>
  <c r="BN269" i="14" s="1"/>
  <c r="BO269" i="14" s="1"/>
  <c r="BB269" i="14"/>
  <c r="AW18" i="3"/>
  <c r="BZ14" i="14"/>
  <c r="BS14" i="14"/>
  <c r="BT14" i="14"/>
  <c r="CA14" i="14"/>
  <c r="CB14" i="14" s="1"/>
  <c r="CM14" i="14" s="1"/>
  <c r="CG21" i="3" s="1"/>
  <c r="BV14" i="14"/>
  <c r="BX14" i="14" s="1"/>
  <c r="CK14" i="14" s="1"/>
  <c r="CD21" i="3" s="1"/>
  <c r="BS267" i="14"/>
  <c r="CM13" i="14"/>
  <c r="CG20" i="3" s="1"/>
  <c r="CJ266" i="14"/>
  <c r="AZ22" i="3" s="1"/>
  <c r="BC22" i="3" s="1"/>
  <c r="BN22" i="3" s="1"/>
  <c r="CH15" i="14"/>
  <c r="CK13" i="14"/>
  <c r="CD20" i="3" s="1"/>
  <c r="CA267" i="14"/>
  <c r="CB267" i="14" s="1"/>
  <c r="BV267" i="14"/>
  <c r="BX267" i="14" s="1"/>
  <c r="BU267" i="14"/>
  <c r="BZ267" i="14"/>
  <c r="BQ15" i="14"/>
  <c r="CE15" i="14"/>
  <c r="CJ13" i="14"/>
  <c r="CC20" i="3" s="1"/>
  <c r="D27" i="3"/>
  <c r="DD186" i="3"/>
  <c r="AW16" i="14"/>
  <c r="AG268" i="14"/>
  <c r="AH268" i="14" s="1"/>
  <c r="AI268" i="14" s="1"/>
  <c r="AJ268" i="14" s="1"/>
  <c r="BC19" i="14"/>
  <c r="BD19" i="14" s="1"/>
  <c r="BB270" i="14" l="1"/>
  <c r="BI19" i="14"/>
  <c r="BJ19" i="14" s="1"/>
  <c r="BE26" i="3"/>
  <c r="BV27" i="3"/>
  <c r="BU27" i="3"/>
  <c r="AE20" i="14"/>
  <c r="AB19" i="14"/>
  <c r="Z20" i="14"/>
  <c r="BC20" i="14" s="1"/>
  <c r="BD20" i="14" s="1"/>
  <c r="AD19" i="14"/>
  <c r="BB19" i="14"/>
  <c r="C28" i="3"/>
  <c r="BM19" i="14"/>
  <c r="BN19" i="14" s="1"/>
  <c r="BO19" i="14" s="1"/>
  <c r="CH267" i="14"/>
  <c r="CM267" i="14" s="1"/>
  <c r="BB23" i="3" s="1"/>
  <c r="AV18" i="14"/>
  <c r="AF18" i="14"/>
  <c r="AG18" i="14" s="1"/>
  <c r="AH18" i="14" s="1"/>
  <c r="AI18" i="14" s="1"/>
  <c r="AJ18" i="14" s="1"/>
  <c r="BE268" i="14"/>
  <c r="BG268" i="14" s="1"/>
  <c r="BW27" i="3"/>
  <c r="CI27" i="3" s="1"/>
  <c r="BG27" i="3"/>
  <c r="AI26" i="3"/>
  <c r="Q23" i="26" s="1"/>
  <c r="O23" i="26"/>
  <c r="BM270" i="14"/>
  <c r="BN270" i="14" s="1"/>
  <c r="BO270" i="14" s="1"/>
  <c r="D24" i="25"/>
  <c r="D24" i="26"/>
  <c r="C24" i="26"/>
  <c r="C24" i="25"/>
  <c r="AJ26" i="3"/>
  <c r="R23" i="26" s="1"/>
  <c r="P23" i="26"/>
  <c r="AA270" i="14"/>
  <c r="AK270" i="14" s="1"/>
  <c r="AL270" i="14" s="1"/>
  <c r="AM270" i="14" s="1"/>
  <c r="AN270" i="14" s="1"/>
  <c r="AO270" i="14" s="1"/>
  <c r="AP270" i="14" s="1"/>
  <c r="CF27" i="3"/>
  <c r="AH27" i="3"/>
  <c r="P24" i="26" s="1"/>
  <c r="AG27" i="3"/>
  <c r="O24" i="26" s="1"/>
  <c r="AJ27" i="3"/>
  <c r="R24" i="26" s="1"/>
  <c r="AI27" i="3"/>
  <c r="Q24" i="26" s="1"/>
  <c r="AB270" i="14"/>
  <c r="AD270" i="14"/>
  <c r="BC270" i="14"/>
  <c r="BD270" i="14" s="1"/>
  <c r="BA18" i="14"/>
  <c r="BK18" i="14" s="1"/>
  <c r="AX18" i="14"/>
  <c r="BE17" i="14"/>
  <c r="BG17" i="14" s="1"/>
  <c r="AK18" i="14"/>
  <c r="AL18" i="14" s="1"/>
  <c r="AM18" i="14" s="1"/>
  <c r="AN18" i="14" s="1"/>
  <c r="AO18" i="14" s="1"/>
  <c r="AP18" i="14" s="1"/>
  <c r="AZ18" i="14"/>
  <c r="BE18" i="14" s="1"/>
  <c r="BG18" i="14" s="1"/>
  <c r="AC18" i="14"/>
  <c r="CF267" i="14"/>
  <c r="CK267" i="14" s="1"/>
  <c r="BA23" i="3" s="1"/>
  <c r="BF23" i="3" s="1"/>
  <c r="BQ23" i="3" s="1"/>
  <c r="CE267" i="14"/>
  <c r="CJ267" i="14" s="1"/>
  <c r="AZ23" i="3" s="1"/>
  <c r="BC23" i="3" s="1"/>
  <c r="BN23" i="3" s="1"/>
  <c r="CJ26" i="3"/>
  <c r="AV26" i="3" s="1"/>
  <c r="CK26" i="3"/>
  <c r="AK269" i="14"/>
  <c r="AL269" i="14" s="1"/>
  <c r="AM269" i="14" s="1"/>
  <c r="AN269" i="14" s="1"/>
  <c r="AO269" i="14" s="1"/>
  <c r="AP269" i="14" s="1"/>
  <c r="BK27" i="3"/>
  <c r="Z271" i="14"/>
  <c r="BI271" i="14" s="1"/>
  <c r="BJ271" i="14" s="1"/>
  <c r="BY27" i="3"/>
  <c r="BI27" i="3"/>
  <c r="BA269" i="14"/>
  <c r="BK269" i="14" s="1"/>
  <c r="AY27" i="3"/>
  <c r="BL27" i="3"/>
  <c r="AE271" i="14"/>
  <c r="BH27" i="3"/>
  <c r="BH21" i="3"/>
  <c r="BJ21" i="3" s="1"/>
  <c r="BP21" i="3" s="1"/>
  <c r="BR21" i="3" s="1"/>
  <c r="AZ269" i="14"/>
  <c r="CD269" i="14" s="1"/>
  <c r="AF269" i="14"/>
  <c r="AG269" i="14" s="1"/>
  <c r="AH269" i="14" s="1"/>
  <c r="AI269" i="14" s="1"/>
  <c r="AJ269" i="14" s="1"/>
  <c r="BQ269" i="14"/>
  <c r="BR269" i="14" s="1"/>
  <c r="BT269" i="14" s="1"/>
  <c r="BW269" i="14" s="1"/>
  <c r="AC269" i="14"/>
  <c r="AQ269" i="14"/>
  <c r="AR269" i="14" s="1"/>
  <c r="AS269" i="14" s="1"/>
  <c r="AT269" i="14" s="1"/>
  <c r="AU269" i="14" s="1"/>
  <c r="AV269" i="14"/>
  <c r="BW14" i="14"/>
  <c r="CJ14" i="14" s="1"/>
  <c r="CC21" i="3" s="1"/>
  <c r="DD187" i="3"/>
  <c r="CA268" i="14"/>
  <c r="CB268" i="14" s="1"/>
  <c r="BV268" i="14"/>
  <c r="BX268" i="14" s="1"/>
  <c r="BZ268" i="14"/>
  <c r="BU268" i="14"/>
  <c r="BR15" i="14"/>
  <c r="BT268" i="14"/>
  <c r="BW268" i="14" s="1"/>
  <c r="AY16" i="14"/>
  <c r="BQ16" i="14"/>
  <c r="BR16" i="14" s="1"/>
  <c r="D28" i="3"/>
  <c r="AE21" i="14"/>
  <c r="AX19" i="14"/>
  <c r="BA19" i="14"/>
  <c r="AZ19" i="14"/>
  <c r="AF19" i="14"/>
  <c r="AC19" i="14"/>
  <c r="AQ19" i="14"/>
  <c r="AR19" i="14" s="1"/>
  <c r="AS19" i="14" s="1"/>
  <c r="AT19" i="14" s="1"/>
  <c r="AU19" i="14" s="1"/>
  <c r="AK19" i="14"/>
  <c r="AL19" i="14" s="1"/>
  <c r="AM19" i="14" s="1"/>
  <c r="AN19" i="14" s="1"/>
  <c r="AO19" i="14" s="1"/>
  <c r="AP19" i="14" s="1"/>
  <c r="AV19" i="14"/>
  <c r="AW268" i="14"/>
  <c r="AY268" i="14" s="1"/>
  <c r="CH268" i="14" s="1"/>
  <c r="AW17" i="14"/>
  <c r="AJ28" i="3" l="1"/>
  <c r="R25" i="26" s="1"/>
  <c r="BK19" i="14"/>
  <c r="BI20" i="14"/>
  <c r="BJ20" i="14" s="1"/>
  <c r="BY28" i="3"/>
  <c r="BE27" i="3"/>
  <c r="BD27" i="3"/>
  <c r="AE272" i="14"/>
  <c r="BV28" i="3"/>
  <c r="BU28" i="3"/>
  <c r="C29" i="3"/>
  <c r="BK28" i="3"/>
  <c r="CD18" i="14"/>
  <c r="AY28" i="3"/>
  <c r="BD28" i="3" s="1"/>
  <c r="C25" i="26"/>
  <c r="Z272" i="14"/>
  <c r="BI272" i="14" s="1"/>
  <c r="BJ272" i="14" s="1"/>
  <c r="BL28" i="3"/>
  <c r="CJ27" i="3"/>
  <c r="AV27" i="3" s="1"/>
  <c r="AD20" i="14"/>
  <c r="AH28" i="3"/>
  <c r="P25" i="26" s="1"/>
  <c r="BW28" i="3"/>
  <c r="CI28" i="3" s="1"/>
  <c r="Z21" i="14"/>
  <c r="BI21" i="14" s="1"/>
  <c r="BJ21" i="14" s="1"/>
  <c r="CF28" i="3"/>
  <c r="AG28" i="3"/>
  <c r="O25" i="26" s="1"/>
  <c r="BB20" i="14"/>
  <c r="AI28" i="3"/>
  <c r="Q25" i="26" s="1"/>
  <c r="C25" i="25"/>
  <c r="AQ270" i="14"/>
  <c r="AR270" i="14" s="1"/>
  <c r="AS270" i="14" s="1"/>
  <c r="AT270" i="14" s="1"/>
  <c r="AU270" i="14" s="1"/>
  <c r="BA270" i="14"/>
  <c r="BK270" i="14" s="1"/>
  <c r="BB271" i="14"/>
  <c r="AA20" i="14"/>
  <c r="AK20" i="14" s="1"/>
  <c r="AL20" i="14" s="1"/>
  <c r="AM20" i="14" s="1"/>
  <c r="AN20" i="14" s="1"/>
  <c r="AO20" i="14" s="1"/>
  <c r="AP20" i="14" s="1"/>
  <c r="BM20" i="14"/>
  <c r="BN20" i="14" s="1"/>
  <c r="BO20" i="14" s="1"/>
  <c r="AB20" i="14"/>
  <c r="CK27" i="3"/>
  <c r="BC27" i="3"/>
  <c r="BN27" i="3" s="1"/>
  <c r="AB271" i="14"/>
  <c r="BQ270" i="14"/>
  <c r="BR270" i="14" s="1"/>
  <c r="BS270" i="14" s="1"/>
  <c r="AF270" i="14"/>
  <c r="AG270" i="14" s="1"/>
  <c r="AH270" i="14" s="1"/>
  <c r="AI270" i="14" s="1"/>
  <c r="AJ270" i="14" s="1"/>
  <c r="AZ270" i="14"/>
  <c r="CD270" i="14" s="1"/>
  <c r="BM271" i="14"/>
  <c r="BN271" i="14" s="1"/>
  <c r="BO271" i="14" s="1"/>
  <c r="AX270" i="14"/>
  <c r="BI28" i="3"/>
  <c r="D25" i="25"/>
  <c r="D25" i="26"/>
  <c r="BG28" i="3"/>
  <c r="AC270" i="14"/>
  <c r="BC271" i="14"/>
  <c r="BD271" i="14" s="1"/>
  <c r="AV270" i="14"/>
  <c r="BH28" i="3"/>
  <c r="AA271" i="14"/>
  <c r="AZ271" i="14" s="1"/>
  <c r="AD271" i="14"/>
  <c r="BE269" i="14"/>
  <c r="BG269" i="14" s="1"/>
  <c r="BG21" i="3"/>
  <c r="BM21" i="3" s="1"/>
  <c r="BO21" i="3" s="1"/>
  <c r="AU21" i="3" s="1"/>
  <c r="AW21" i="3" s="1"/>
  <c r="BE28" i="3"/>
  <c r="BJ27" i="3"/>
  <c r="BP27" i="3" s="1"/>
  <c r="BM27" i="3"/>
  <c r="BS269" i="14"/>
  <c r="CA269" i="14"/>
  <c r="CB269" i="14" s="1"/>
  <c r="BV269" i="14"/>
  <c r="BX269" i="14" s="1"/>
  <c r="BZ269" i="14"/>
  <c r="BU269" i="14"/>
  <c r="BV15" i="14"/>
  <c r="CA15" i="14"/>
  <c r="CB15" i="14" s="1"/>
  <c r="CM15" i="14" s="1"/>
  <c r="CG22" i="3" s="1"/>
  <c r="BU15" i="14"/>
  <c r="BZ15" i="14"/>
  <c r="BT15" i="14"/>
  <c r="CM268" i="14"/>
  <c r="BB24" i="3" s="1"/>
  <c r="BV16" i="14"/>
  <c r="CA16" i="14"/>
  <c r="CB16" i="14" s="1"/>
  <c r="BZ16" i="14"/>
  <c r="BU16" i="14"/>
  <c r="BS15" i="14"/>
  <c r="DD188" i="3"/>
  <c r="AW18" i="14"/>
  <c r="BQ18" i="14" s="1"/>
  <c r="BR18" i="14" s="1"/>
  <c r="CF16" i="14"/>
  <c r="CH16" i="14"/>
  <c r="CE16" i="14"/>
  <c r="CE268" i="14"/>
  <c r="CJ268" i="14" s="1"/>
  <c r="AZ24" i="3" s="1"/>
  <c r="BC24" i="3" s="1"/>
  <c r="BN24" i="3" s="1"/>
  <c r="AY17" i="14"/>
  <c r="CF17" i="14" s="1"/>
  <c r="BQ17" i="14"/>
  <c r="BR17" i="14" s="1"/>
  <c r="BT16" i="14"/>
  <c r="BS16" i="14"/>
  <c r="D29" i="3"/>
  <c r="BE19" i="14"/>
  <c r="BG19" i="14" s="1"/>
  <c r="CD19" i="14"/>
  <c r="AG19" i="14"/>
  <c r="AH19" i="14" s="1"/>
  <c r="AI19" i="14" s="1"/>
  <c r="AJ19" i="14" s="1"/>
  <c r="CF268" i="14"/>
  <c r="CK268" i="14" s="1"/>
  <c r="BA24" i="3" s="1"/>
  <c r="BF24" i="3" s="1"/>
  <c r="BQ24" i="3" s="1"/>
  <c r="AW269" i="14"/>
  <c r="AY269" i="14" s="1"/>
  <c r="CE269" i="14" s="1"/>
  <c r="AI29" i="3" l="1"/>
  <c r="Q26" i="26" s="1"/>
  <c r="AA21" i="14"/>
  <c r="AX21" i="14" s="1"/>
  <c r="AB21" i="14"/>
  <c r="BB21" i="14"/>
  <c r="BC21" i="14"/>
  <c r="BD21" i="14" s="1"/>
  <c r="AE22" i="14"/>
  <c r="AD21" i="14"/>
  <c r="BM21" i="14"/>
  <c r="BN21" i="14" s="1"/>
  <c r="BO21" i="14" s="1"/>
  <c r="Z22" i="14"/>
  <c r="AB22" i="14" s="1"/>
  <c r="BC28" i="3"/>
  <c r="BN28" i="3" s="1"/>
  <c r="AY29" i="3"/>
  <c r="BC29" i="3" s="1"/>
  <c r="AE273" i="14"/>
  <c r="AJ29" i="3"/>
  <c r="R26" i="26" s="1"/>
  <c r="C26" i="25"/>
  <c r="BL29" i="3"/>
  <c r="AG29" i="3"/>
  <c r="O26" i="26" s="1"/>
  <c r="BF27" i="3"/>
  <c r="BQ27" i="3" s="1"/>
  <c r="BR27" i="3" s="1"/>
  <c r="AB272" i="14"/>
  <c r="BD29" i="3"/>
  <c r="BK29" i="3"/>
  <c r="C30" i="3"/>
  <c r="AD272" i="14"/>
  <c r="BM272" i="14"/>
  <c r="BN272" i="14" s="1"/>
  <c r="BO272" i="14" s="1"/>
  <c r="BY29" i="3"/>
  <c r="AA272" i="14"/>
  <c r="AX272" i="14" s="1"/>
  <c r="BU29" i="3"/>
  <c r="BV29" i="3"/>
  <c r="BW29" i="3"/>
  <c r="CI29" i="3" s="1"/>
  <c r="Z273" i="14"/>
  <c r="BI273" i="14" s="1"/>
  <c r="BJ273" i="14" s="1"/>
  <c r="BB272" i="14"/>
  <c r="BC272" i="14"/>
  <c r="BD272" i="14" s="1"/>
  <c r="CF29" i="3"/>
  <c r="AH29" i="3"/>
  <c r="P26" i="26" s="1"/>
  <c r="C26" i="26"/>
  <c r="CK28" i="3"/>
  <c r="CJ28" i="3"/>
  <c r="AV28" i="3" s="1"/>
  <c r="AC20" i="14"/>
  <c r="AZ20" i="14"/>
  <c r="CD20" i="14" s="1"/>
  <c r="AX20" i="14"/>
  <c r="BE270" i="14"/>
  <c r="BG270" i="14" s="1"/>
  <c r="AQ20" i="14"/>
  <c r="AR20" i="14" s="1"/>
  <c r="AS20" i="14" s="1"/>
  <c r="AT20" i="14" s="1"/>
  <c r="AU20" i="14" s="1"/>
  <c r="BA20" i="14"/>
  <c r="BK20" i="14" s="1"/>
  <c r="AF20" i="14"/>
  <c r="AG20" i="14" s="1"/>
  <c r="AH20" i="14" s="1"/>
  <c r="AI20" i="14" s="1"/>
  <c r="AJ20" i="14" s="1"/>
  <c r="AV20" i="14"/>
  <c r="BQ271" i="14"/>
  <c r="BR271" i="14" s="1"/>
  <c r="BS271" i="14" s="1"/>
  <c r="BA271" i="14"/>
  <c r="BK271" i="14" s="1"/>
  <c r="BO27" i="3"/>
  <c r="AU27" i="3" s="1"/>
  <c r="CJ269" i="14"/>
  <c r="AZ25" i="3" s="1"/>
  <c r="BC25" i="3" s="1"/>
  <c r="BN25" i="3" s="1"/>
  <c r="AQ271" i="14"/>
  <c r="AR271" i="14" s="1"/>
  <c r="AS271" i="14" s="1"/>
  <c r="AT271" i="14" s="1"/>
  <c r="AU271" i="14" s="1"/>
  <c r="AV271" i="14"/>
  <c r="AC271" i="14"/>
  <c r="BH29" i="3"/>
  <c r="D26" i="25"/>
  <c r="D26" i="26"/>
  <c r="AF271" i="14"/>
  <c r="AG271" i="14" s="1"/>
  <c r="AH271" i="14" s="1"/>
  <c r="AI271" i="14" s="1"/>
  <c r="AJ271" i="14" s="1"/>
  <c r="AX271" i="14"/>
  <c r="AK271" i="14"/>
  <c r="AL271" i="14" s="1"/>
  <c r="AM271" i="14" s="1"/>
  <c r="AN271" i="14" s="1"/>
  <c r="AO271" i="14" s="1"/>
  <c r="AP271" i="14" s="1"/>
  <c r="BI29" i="3"/>
  <c r="BG29" i="3"/>
  <c r="BE29" i="3"/>
  <c r="BX16" i="14"/>
  <c r="CK16" i="14" s="1"/>
  <c r="CD23" i="3" s="1"/>
  <c r="BW16" i="14"/>
  <c r="CJ16" i="14" s="1"/>
  <c r="CC23" i="3" s="1"/>
  <c r="BW15" i="14"/>
  <c r="CJ15" i="14" s="1"/>
  <c r="CC22" i="3" s="1"/>
  <c r="BX15" i="14"/>
  <c r="CK15" i="14" s="1"/>
  <c r="CD22" i="3" s="1"/>
  <c r="BJ28" i="3"/>
  <c r="BP28" i="3" s="1"/>
  <c r="AY18" i="14"/>
  <c r="CF18" i="14" s="1"/>
  <c r="BM28" i="3"/>
  <c r="DD189" i="3"/>
  <c r="BF28" i="3"/>
  <c r="BQ28" i="3" s="1"/>
  <c r="CA17" i="14"/>
  <c r="CB17" i="14" s="1"/>
  <c r="BV17" i="14"/>
  <c r="BU17" i="14"/>
  <c r="BZ17" i="14"/>
  <c r="CM16" i="14"/>
  <c r="CG23" i="3" s="1"/>
  <c r="CA270" i="14"/>
  <c r="CB270" i="14" s="1"/>
  <c r="BV270" i="14"/>
  <c r="BX270" i="14" s="1"/>
  <c r="BU270" i="14"/>
  <c r="BZ270" i="14"/>
  <c r="CA18" i="14"/>
  <c r="CB18" i="14" s="1"/>
  <c r="BV18" i="14"/>
  <c r="BU18" i="14"/>
  <c r="BZ18" i="14"/>
  <c r="BT270" i="14"/>
  <c r="BW270" i="14" s="1"/>
  <c r="CH17" i="14"/>
  <c r="CE17" i="14"/>
  <c r="BT18" i="14"/>
  <c r="BS18" i="14"/>
  <c r="AW19" i="14"/>
  <c r="BT17" i="14"/>
  <c r="BS17" i="14"/>
  <c r="D30" i="3"/>
  <c r="CH269" i="14"/>
  <c r="CM269" i="14" s="1"/>
  <c r="BB25" i="3" s="1"/>
  <c r="CD271" i="14"/>
  <c r="AW270" i="14"/>
  <c r="AY270" i="14" s="1"/>
  <c r="CF270" i="14" s="1"/>
  <c r="AK21" i="14"/>
  <c r="AL21" i="14" s="1"/>
  <c r="AM21" i="14" s="1"/>
  <c r="AN21" i="14" s="1"/>
  <c r="AO21" i="14" s="1"/>
  <c r="AP21" i="14" s="1"/>
  <c r="CF269" i="14"/>
  <c r="CK269" i="14" s="1"/>
  <c r="BA25" i="3" s="1"/>
  <c r="BF25" i="3" s="1"/>
  <c r="BQ25" i="3" s="1"/>
  <c r="AC21" i="14" l="1"/>
  <c r="AV21" i="14"/>
  <c r="AQ21" i="14"/>
  <c r="AR21" i="14" s="1"/>
  <c r="AS21" i="14" s="1"/>
  <c r="AT21" i="14" s="1"/>
  <c r="AU21" i="14" s="1"/>
  <c r="BA21" i="14"/>
  <c r="BK21" i="14" s="1"/>
  <c r="C27" i="25"/>
  <c r="AF21" i="14"/>
  <c r="AG21" i="14" s="1"/>
  <c r="AH21" i="14" s="1"/>
  <c r="AI21" i="14" s="1"/>
  <c r="AJ21" i="14" s="1"/>
  <c r="AZ21" i="14"/>
  <c r="BM22" i="14"/>
  <c r="BN22" i="14" s="1"/>
  <c r="BO22" i="14" s="1"/>
  <c r="BO28" i="3"/>
  <c r="AU28" i="3" s="1"/>
  <c r="BB22" i="14"/>
  <c r="BQ272" i="14"/>
  <c r="BR272" i="14" s="1"/>
  <c r="BT272" i="14" s="1"/>
  <c r="BW272" i="14" s="1"/>
  <c r="AD22" i="14"/>
  <c r="BI22" i="14"/>
  <c r="BJ22" i="14" s="1"/>
  <c r="CK29" i="3"/>
  <c r="AA22" i="14"/>
  <c r="BA22" i="14" s="1"/>
  <c r="BC22" i="14"/>
  <c r="BD22" i="14" s="1"/>
  <c r="CJ29" i="3"/>
  <c r="AV29" i="3" s="1"/>
  <c r="BW30" i="3"/>
  <c r="CJ30" i="3" s="1"/>
  <c r="AV30" i="3" s="1"/>
  <c r="BN29" i="3"/>
  <c r="AB273" i="14"/>
  <c r="AK272" i="14"/>
  <c r="AL272" i="14" s="1"/>
  <c r="AM272" i="14" s="1"/>
  <c r="AN272" i="14" s="1"/>
  <c r="AO272" i="14" s="1"/>
  <c r="AP272" i="14" s="1"/>
  <c r="AY30" i="3"/>
  <c r="BC30" i="3" s="1"/>
  <c r="BC273" i="14"/>
  <c r="BD273" i="14" s="1"/>
  <c r="AZ272" i="14"/>
  <c r="CD272" i="14" s="1"/>
  <c r="Z274" i="14"/>
  <c r="BI274" i="14" s="1"/>
  <c r="BJ274" i="14" s="1"/>
  <c r="AD273" i="14"/>
  <c r="AH30" i="3"/>
  <c r="P27" i="26" s="1"/>
  <c r="BA272" i="14"/>
  <c r="BK272" i="14" s="1"/>
  <c r="Z23" i="14"/>
  <c r="BM23" i="14" s="1"/>
  <c r="BN23" i="14" s="1"/>
  <c r="BO23" i="14" s="1"/>
  <c r="BB273" i="14"/>
  <c r="AI30" i="3"/>
  <c r="Q27" i="26" s="1"/>
  <c r="AV272" i="14"/>
  <c r="AQ272" i="14"/>
  <c r="AR272" i="14" s="1"/>
  <c r="AS272" i="14" s="1"/>
  <c r="AT272" i="14" s="1"/>
  <c r="AU272" i="14" s="1"/>
  <c r="BK30" i="3"/>
  <c r="AE23" i="14"/>
  <c r="C31" i="3"/>
  <c r="AE275" i="14" s="1"/>
  <c r="BI30" i="3"/>
  <c r="CF30" i="3"/>
  <c r="AG30" i="3"/>
  <c r="O27" i="26" s="1"/>
  <c r="BV30" i="3"/>
  <c r="BU30" i="3"/>
  <c r="AC272" i="14"/>
  <c r="AF272" i="14"/>
  <c r="AG272" i="14" s="1"/>
  <c r="AH272" i="14" s="1"/>
  <c r="AI272" i="14" s="1"/>
  <c r="AJ272" i="14" s="1"/>
  <c r="BL30" i="3"/>
  <c r="AE274" i="14"/>
  <c r="AA273" i="14"/>
  <c r="AV273" i="14" s="1"/>
  <c r="BM273" i="14"/>
  <c r="BN273" i="14" s="1"/>
  <c r="BO273" i="14" s="1"/>
  <c r="BY30" i="3"/>
  <c r="AJ30" i="3"/>
  <c r="R27" i="26" s="1"/>
  <c r="C27" i="26"/>
  <c r="BE20" i="14"/>
  <c r="BG20" i="14" s="1"/>
  <c r="BE271" i="14"/>
  <c r="BG271" i="14" s="1"/>
  <c r="AW27" i="3"/>
  <c r="BH30" i="3"/>
  <c r="BG30" i="3"/>
  <c r="C28" i="26"/>
  <c r="D27" i="26"/>
  <c r="D27" i="25"/>
  <c r="BH22" i="3"/>
  <c r="BJ22" i="3" s="1"/>
  <c r="BP22" i="3" s="1"/>
  <c r="BR22" i="3" s="1"/>
  <c r="BG22" i="3"/>
  <c r="BM22" i="3" s="1"/>
  <c r="BO22" i="3" s="1"/>
  <c r="AU22" i="3" s="1"/>
  <c r="BG23" i="3"/>
  <c r="BM23" i="3" s="1"/>
  <c r="BO23" i="3" s="1"/>
  <c r="AU23" i="3" s="1"/>
  <c r="BH23" i="3"/>
  <c r="BJ23" i="3" s="1"/>
  <c r="BP23" i="3" s="1"/>
  <c r="BR23" i="3" s="1"/>
  <c r="BW18" i="14"/>
  <c r="BX18" i="14"/>
  <c r="CK18" i="14" s="1"/>
  <c r="CD25" i="3" s="1"/>
  <c r="BW17" i="14"/>
  <c r="CJ17" i="14" s="1"/>
  <c r="CC24" i="3" s="1"/>
  <c r="BX17" i="14"/>
  <c r="CK17" i="14" s="1"/>
  <c r="CD24" i="3" s="1"/>
  <c r="CK30" i="3"/>
  <c r="BR28" i="3"/>
  <c r="BJ29" i="3"/>
  <c r="BP29" i="3" s="1"/>
  <c r="CH18" i="14"/>
  <c r="CM18" i="14" s="1"/>
  <c r="CG25" i="3" s="1"/>
  <c r="CE18" i="14"/>
  <c r="BM29" i="3"/>
  <c r="DD190" i="3"/>
  <c r="BF29" i="3"/>
  <c r="BQ29" i="3" s="1"/>
  <c r="CK270" i="14"/>
  <c r="BA26" i="3" s="1"/>
  <c r="BF26" i="3" s="1"/>
  <c r="BQ26" i="3" s="1"/>
  <c r="CM17" i="14"/>
  <c r="CG24" i="3" s="1"/>
  <c r="CA271" i="14"/>
  <c r="CB271" i="14" s="1"/>
  <c r="BV271" i="14"/>
  <c r="BX271" i="14" s="1"/>
  <c r="BZ271" i="14"/>
  <c r="BU271" i="14"/>
  <c r="BT271" i="14"/>
  <c r="BW271" i="14" s="1"/>
  <c r="AW271" i="14"/>
  <c r="AY271" i="14" s="1"/>
  <c r="CF271" i="14" s="1"/>
  <c r="AY19" i="14"/>
  <c r="BQ19" i="14"/>
  <c r="BR19" i="14" s="1"/>
  <c r="AW20" i="14"/>
  <c r="D31" i="3"/>
  <c r="CD21" i="14"/>
  <c r="CE270" i="14"/>
  <c r="CJ270" i="14" s="1"/>
  <c r="AZ26" i="3" s="1"/>
  <c r="BC26" i="3" s="1"/>
  <c r="BN26" i="3" s="1"/>
  <c r="CH270" i="14"/>
  <c r="CM270" i="14" s="1"/>
  <c r="BB26" i="3" s="1"/>
  <c r="AH31" i="3" l="1"/>
  <c r="P28" i="26" s="1"/>
  <c r="BE21" i="14"/>
  <c r="BG21" i="14" s="1"/>
  <c r="AW21" i="14"/>
  <c r="BA273" i="14"/>
  <c r="BK273" i="14" s="1"/>
  <c r="AJ31" i="3"/>
  <c r="R28" i="26" s="1"/>
  <c r="AZ22" i="14"/>
  <c r="CD22" i="14" s="1"/>
  <c r="AZ273" i="14"/>
  <c r="AC22" i="14"/>
  <c r="BY31" i="3"/>
  <c r="BK31" i="3"/>
  <c r="AG31" i="3"/>
  <c r="O28" i="26" s="1"/>
  <c r="C28" i="25"/>
  <c r="BW31" i="3"/>
  <c r="CK31" i="3" s="1"/>
  <c r="BK22" i="14"/>
  <c r="Z275" i="14"/>
  <c r="BI275" i="14" s="1"/>
  <c r="BJ275" i="14" s="1"/>
  <c r="CF31" i="3"/>
  <c r="AK22" i="14"/>
  <c r="AL22" i="14" s="1"/>
  <c r="AM22" i="14" s="1"/>
  <c r="AN22" i="14" s="1"/>
  <c r="AO22" i="14" s="1"/>
  <c r="AP22" i="14" s="1"/>
  <c r="AX22" i="14"/>
  <c r="AV22" i="14"/>
  <c r="BO29" i="3"/>
  <c r="AU29" i="3" s="1"/>
  <c r="AF22" i="14"/>
  <c r="AG22" i="14" s="1"/>
  <c r="AH22" i="14" s="1"/>
  <c r="AI22" i="14" s="1"/>
  <c r="AJ22" i="14" s="1"/>
  <c r="AF273" i="14"/>
  <c r="AG273" i="14" s="1"/>
  <c r="AH273" i="14" s="1"/>
  <c r="AI273" i="14" s="1"/>
  <c r="AJ273" i="14" s="1"/>
  <c r="AX273" i="14"/>
  <c r="AQ22" i="14"/>
  <c r="AR22" i="14" s="1"/>
  <c r="AS22" i="14" s="1"/>
  <c r="AT22" i="14" s="1"/>
  <c r="AU22" i="14" s="1"/>
  <c r="AC273" i="14"/>
  <c r="CI30" i="3"/>
  <c r="BB274" i="14"/>
  <c r="AD23" i="14"/>
  <c r="AB274" i="14"/>
  <c r="AA23" i="14"/>
  <c r="BA23" i="14" s="1"/>
  <c r="AA274" i="14"/>
  <c r="AK274" i="14" s="1"/>
  <c r="AL274" i="14" s="1"/>
  <c r="AM274" i="14" s="1"/>
  <c r="AN274" i="14" s="1"/>
  <c r="AO274" i="14" s="1"/>
  <c r="AP274" i="14" s="1"/>
  <c r="BI23" i="14"/>
  <c r="BJ23" i="14" s="1"/>
  <c r="BN30" i="3"/>
  <c r="BC23" i="14"/>
  <c r="BD23" i="14" s="1"/>
  <c r="BB23" i="14"/>
  <c r="BE30" i="3"/>
  <c r="BD30" i="3"/>
  <c r="BE272" i="14"/>
  <c r="BG272" i="14" s="1"/>
  <c r="BL31" i="3"/>
  <c r="Z24" i="14"/>
  <c r="BI24" i="14" s="1"/>
  <c r="BJ24" i="14" s="1"/>
  <c r="C32" i="3"/>
  <c r="BC274" i="14"/>
  <c r="BD274" i="14" s="1"/>
  <c r="AY31" i="3"/>
  <c r="BD31" i="3" s="1"/>
  <c r="AE24" i="14"/>
  <c r="AD274" i="14"/>
  <c r="BM274" i="14"/>
  <c r="BN274" i="14" s="1"/>
  <c r="BO274" i="14" s="1"/>
  <c r="AB23" i="14"/>
  <c r="AI31" i="3"/>
  <c r="Q28" i="26" s="1"/>
  <c r="AQ273" i="14"/>
  <c r="AR273" i="14" s="1"/>
  <c r="AS273" i="14" s="1"/>
  <c r="AT273" i="14" s="1"/>
  <c r="AU273" i="14" s="1"/>
  <c r="BQ273" i="14"/>
  <c r="BR273" i="14" s="1"/>
  <c r="BT273" i="14" s="1"/>
  <c r="BW273" i="14" s="1"/>
  <c r="AK273" i="14"/>
  <c r="AL273" i="14" s="1"/>
  <c r="AM273" i="14" s="1"/>
  <c r="AN273" i="14" s="1"/>
  <c r="AO273" i="14" s="1"/>
  <c r="AP273" i="14" s="1"/>
  <c r="BV31" i="3"/>
  <c r="BU31" i="3"/>
  <c r="BG31" i="3"/>
  <c r="D28" i="25"/>
  <c r="D28" i="26"/>
  <c r="BI31" i="3"/>
  <c r="BH31" i="3"/>
  <c r="AW23" i="3"/>
  <c r="AW22" i="3"/>
  <c r="BH25" i="3"/>
  <c r="BJ25" i="3" s="1"/>
  <c r="BP25" i="3" s="1"/>
  <c r="BR25" i="3" s="1"/>
  <c r="BH24" i="3"/>
  <c r="BJ24" i="3" s="1"/>
  <c r="BP24" i="3" s="1"/>
  <c r="BR24" i="3" s="1"/>
  <c r="BG24" i="3"/>
  <c r="BM24" i="3" s="1"/>
  <c r="BO24" i="3" s="1"/>
  <c r="AU24" i="3" s="1"/>
  <c r="CJ18" i="14"/>
  <c r="CC25" i="3" s="1"/>
  <c r="AW28" i="3"/>
  <c r="CJ31" i="3"/>
  <c r="AV31" i="3" s="1"/>
  <c r="CI31" i="3"/>
  <c r="BJ30" i="3"/>
  <c r="BP30" i="3" s="1"/>
  <c r="BR29" i="3"/>
  <c r="BM30" i="3"/>
  <c r="DD191" i="3"/>
  <c r="CK271" i="14"/>
  <c r="BA27" i="3" s="1"/>
  <c r="BS272" i="14"/>
  <c r="CA272" i="14"/>
  <c r="CB272" i="14" s="1"/>
  <c r="BV272" i="14"/>
  <c r="BX272" i="14" s="1"/>
  <c r="BZ272" i="14"/>
  <c r="BU272" i="14"/>
  <c r="BV19" i="14"/>
  <c r="CA19" i="14"/>
  <c r="CB19" i="14" s="1"/>
  <c r="BZ19" i="14"/>
  <c r="BU19" i="14"/>
  <c r="CH271" i="14"/>
  <c r="CM271" i="14" s="1"/>
  <c r="BB27" i="3" s="1"/>
  <c r="CE19" i="14"/>
  <c r="CF19" i="14"/>
  <c r="CH19" i="14"/>
  <c r="CE271" i="14"/>
  <c r="CJ271" i="14" s="1"/>
  <c r="AZ27" i="3" s="1"/>
  <c r="AY21" i="14"/>
  <c r="CE21" i="14" s="1"/>
  <c r="BQ21" i="14"/>
  <c r="BR21" i="14" s="1"/>
  <c r="BT19" i="14"/>
  <c r="BS19" i="14"/>
  <c r="AY20" i="14"/>
  <c r="BQ20" i="14"/>
  <c r="BR20" i="14" s="1"/>
  <c r="D32" i="3"/>
  <c r="BE22" i="14"/>
  <c r="BG22" i="14" s="1"/>
  <c r="AQ23" i="14"/>
  <c r="AR23" i="14" s="1"/>
  <c r="AS23" i="14" s="1"/>
  <c r="AT23" i="14" s="1"/>
  <c r="AU23" i="14" s="1"/>
  <c r="AW272" i="14"/>
  <c r="AY272" i="14" s="1"/>
  <c r="CE272" i="14" s="1"/>
  <c r="BM275" i="14"/>
  <c r="BN275" i="14" s="1"/>
  <c r="BO275" i="14" s="1"/>
  <c r="AD275" i="14"/>
  <c r="BE273" i="14"/>
  <c r="BG273" i="14" s="1"/>
  <c r="CD273" i="14"/>
  <c r="C29" i="26" l="1"/>
  <c r="AY32" i="3"/>
  <c r="BC32" i="3" s="1"/>
  <c r="C33" i="3"/>
  <c r="BO30" i="3"/>
  <c r="BY32" i="3"/>
  <c r="AH32" i="3"/>
  <c r="P29" i="26" s="1"/>
  <c r="BU32" i="3"/>
  <c r="AZ23" i="14"/>
  <c r="BE23" i="14" s="1"/>
  <c r="BG23" i="14" s="1"/>
  <c r="AV23" i="14"/>
  <c r="BQ274" i="14"/>
  <c r="BR274" i="14" s="1"/>
  <c r="BS274" i="14" s="1"/>
  <c r="CJ272" i="14"/>
  <c r="AZ28" i="3" s="1"/>
  <c r="AF274" i="14"/>
  <c r="AG274" i="14" s="1"/>
  <c r="AH274" i="14" s="1"/>
  <c r="AI274" i="14" s="1"/>
  <c r="AJ274" i="14" s="1"/>
  <c r="BC275" i="14"/>
  <c r="BD275" i="14" s="1"/>
  <c r="AA275" i="14"/>
  <c r="AZ275" i="14" s="1"/>
  <c r="AB275" i="14"/>
  <c r="BB275" i="14"/>
  <c r="AU30" i="3"/>
  <c r="AA24" i="14"/>
  <c r="AV24" i="14" s="1"/>
  <c r="AD24" i="14"/>
  <c r="BC24" i="14"/>
  <c r="BD24" i="14" s="1"/>
  <c r="AX274" i="14"/>
  <c r="BE31" i="3"/>
  <c r="BF31" i="3" s="1"/>
  <c r="BQ31" i="3" s="1"/>
  <c r="BM24" i="14"/>
  <c r="BN24" i="14" s="1"/>
  <c r="BO24" i="14" s="1"/>
  <c r="BK23" i="14"/>
  <c r="AV274" i="14"/>
  <c r="BC31" i="3"/>
  <c r="BN31" i="3" s="1"/>
  <c r="AK23" i="14"/>
  <c r="AL23" i="14" s="1"/>
  <c r="AM23" i="14" s="1"/>
  <c r="AN23" i="14" s="1"/>
  <c r="AO23" i="14" s="1"/>
  <c r="AP23" i="14" s="1"/>
  <c r="AQ274" i="14"/>
  <c r="AR274" i="14" s="1"/>
  <c r="AS274" i="14" s="1"/>
  <c r="AT274" i="14" s="1"/>
  <c r="AU274" i="14" s="1"/>
  <c r="AZ274" i="14"/>
  <c r="AX23" i="14"/>
  <c r="AC274" i="14"/>
  <c r="BA274" i="14"/>
  <c r="BK274" i="14" s="1"/>
  <c r="AF23" i="14"/>
  <c r="AG23" i="14" s="1"/>
  <c r="AH23" i="14" s="1"/>
  <c r="AI23" i="14" s="1"/>
  <c r="AJ23" i="14" s="1"/>
  <c r="AC23" i="14"/>
  <c r="BF30" i="3"/>
  <c r="BQ30" i="3" s="1"/>
  <c r="BR30" i="3" s="1"/>
  <c r="BK32" i="3"/>
  <c r="Z276" i="14"/>
  <c r="BI276" i="14" s="1"/>
  <c r="BJ276" i="14" s="1"/>
  <c r="AE276" i="14"/>
  <c r="CF32" i="3"/>
  <c r="AI32" i="3"/>
  <c r="Q29" i="26" s="1"/>
  <c r="BV32" i="3"/>
  <c r="BL32" i="3"/>
  <c r="Z25" i="14"/>
  <c r="AA25" i="14" s="1"/>
  <c r="AJ32" i="3"/>
  <c r="R29" i="26" s="1"/>
  <c r="C29" i="25"/>
  <c r="BB24" i="14"/>
  <c r="AB24" i="14"/>
  <c r="BW32" i="3"/>
  <c r="CJ32" i="3" s="1"/>
  <c r="AV32" i="3" s="1"/>
  <c r="AE25" i="14"/>
  <c r="AG32" i="3"/>
  <c r="O29" i="26" s="1"/>
  <c r="BU33" i="3"/>
  <c r="BV33" i="3"/>
  <c r="F35" i="6"/>
  <c r="AW24" i="3"/>
  <c r="F36" i="6"/>
  <c r="C30" i="26"/>
  <c r="C30" i="25"/>
  <c r="BG32" i="3"/>
  <c r="D29" i="25"/>
  <c r="D29" i="26"/>
  <c r="BI32" i="3"/>
  <c r="BH32" i="3"/>
  <c r="C35" i="6"/>
  <c r="E35" i="6" s="1"/>
  <c r="BG25" i="3"/>
  <c r="BM25" i="3" s="1"/>
  <c r="BO25" i="3" s="1"/>
  <c r="AU25" i="3" s="1"/>
  <c r="C36" i="6" s="1"/>
  <c r="E36" i="6" s="1"/>
  <c r="BX19" i="14"/>
  <c r="CK19" i="14" s="1"/>
  <c r="CD26" i="3" s="1"/>
  <c r="BW19" i="14"/>
  <c r="CJ19" i="14" s="1"/>
  <c r="CC26" i="3" s="1"/>
  <c r="CF33" i="3"/>
  <c r="AW29" i="3"/>
  <c r="CK32" i="3"/>
  <c r="BJ31" i="3"/>
  <c r="BP31" i="3" s="1"/>
  <c r="BY33" i="3"/>
  <c r="BM31" i="3"/>
  <c r="CH21" i="14"/>
  <c r="BS273" i="14"/>
  <c r="CF21" i="14"/>
  <c r="BV20" i="14"/>
  <c r="BX20" i="14" s="1"/>
  <c r="CA20" i="14"/>
  <c r="CB20" i="14" s="1"/>
  <c r="BZ20" i="14"/>
  <c r="BU20" i="14"/>
  <c r="CA21" i="14"/>
  <c r="CB21" i="14" s="1"/>
  <c r="BV21" i="14"/>
  <c r="BX21" i="14" s="1"/>
  <c r="BU21" i="14"/>
  <c r="BZ21" i="14"/>
  <c r="CM19" i="14"/>
  <c r="CG26" i="3" s="1"/>
  <c r="CA273" i="14"/>
  <c r="CB273" i="14" s="1"/>
  <c r="BV273" i="14"/>
  <c r="BX273" i="14" s="1"/>
  <c r="BZ273" i="14"/>
  <c r="BU273" i="14"/>
  <c r="DD192" i="3"/>
  <c r="CF272" i="14"/>
  <c r="CK272" i="14" s="1"/>
  <c r="BA28" i="3" s="1"/>
  <c r="CH20" i="14"/>
  <c r="CF20" i="14"/>
  <c r="CE20" i="14"/>
  <c r="BT21" i="14"/>
  <c r="BW21" i="14" s="1"/>
  <c r="BS21" i="14"/>
  <c r="BT20" i="14"/>
  <c r="BW20" i="14" s="1"/>
  <c r="BS20" i="14"/>
  <c r="AW22" i="14"/>
  <c r="CH272" i="14"/>
  <c r="CM272" i="14" s="1"/>
  <c r="BB28" i="3" s="1"/>
  <c r="D33" i="3"/>
  <c r="BQ275" i="14"/>
  <c r="AW273" i="14"/>
  <c r="AY273" i="14" s="1"/>
  <c r="CF273" i="14" s="1"/>
  <c r="AE26" i="14"/>
  <c r="C34" i="3"/>
  <c r="Z277" i="14"/>
  <c r="BI277" i="14" s="1"/>
  <c r="AE277" i="14"/>
  <c r="Z26" i="14"/>
  <c r="BL33" i="3"/>
  <c r="AJ33" i="3"/>
  <c r="R30" i="26" s="1"/>
  <c r="BW33" i="3"/>
  <c r="CK33" i="3" s="1"/>
  <c r="BK33" i="3"/>
  <c r="AI33" i="3"/>
  <c r="Q30" i="26" s="1"/>
  <c r="AG33" i="3"/>
  <c r="O30" i="26" s="1"/>
  <c r="AY33" i="3"/>
  <c r="BD33" i="3" s="1"/>
  <c r="AH33" i="3"/>
  <c r="P30" i="26" s="1"/>
  <c r="CD23" i="14" l="1"/>
  <c r="BE32" i="3"/>
  <c r="BD32" i="3"/>
  <c r="AC24" i="14"/>
  <c r="AW23" i="14"/>
  <c r="BE274" i="14"/>
  <c r="BG274" i="14" s="1"/>
  <c r="AF275" i="14"/>
  <c r="AX275" i="14"/>
  <c r="AV275" i="14"/>
  <c r="AK275" i="14"/>
  <c r="AL275" i="14" s="1"/>
  <c r="AM275" i="14" s="1"/>
  <c r="AN275" i="14" s="1"/>
  <c r="AO275" i="14" s="1"/>
  <c r="AP275" i="14" s="1"/>
  <c r="AK24" i="14"/>
  <c r="AL24" i="14" s="1"/>
  <c r="AM24" i="14" s="1"/>
  <c r="AN24" i="14" s="1"/>
  <c r="AO24" i="14" s="1"/>
  <c r="AP24" i="14" s="1"/>
  <c r="BA24" i="14"/>
  <c r="BK24" i="14" s="1"/>
  <c r="BO31" i="3"/>
  <c r="AU31" i="3" s="1"/>
  <c r="CD274" i="14"/>
  <c r="AQ275" i="14"/>
  <c r="AR275" i="14" s="1"/>
  <c r="AS275" i="14" s="1"/>
  <c r="AT275" i="14" s="1"/>
  <c r="AU275" i="14" s="1"/>
  <c r="BA275" i="14"/>
  <c r="BK275" i="14" s="1"/>
  <c r="AQ24" i="14"/>
  <c r="AR24" i="14" s="1"/>
  <c r="AS24" i="14" s="1"/>
  <c r="AT24" i="14" s="1"/>
  <c r="AU24" i="14" s="1"/>
  <c r="AZ24" i="14"/>
  <c r="AX24" i="14"/>
  <c r="AC275" i="14"/>
  <c r="AF24" i="14"/>
  <c r="AB276" i="14"/>
  <c r="BB276" i="14"/>
  <c r="AA276" i="14"/>
  <c r="AX276" i="14" s="1"/>
  <c r="AD276" i="14"/>
  <c r="BM276" i="14"/>
  <c r="BN276" i="14" s="1"/>
  <c r="BO276" i="14" s="1"/>
  <c r="CI32" i="3"/>
  <c r="AW274" i="14"/>
  <c r="AY274" i="14" s="1"/>
  <c r="CF274" i="14" s="1"/>
  <c r="AD25" i="14"/>
  <c r="BN32" i="3"/>
  <c r="BI25" i="14"/>
  <c r="BJ25" i="14" s="1"/>
  <c r="BC276" i="14"/>
  <c r="BD276" i="14" s="1"/>
  <c r="AX25" i="14"/>
  <c r="BC25" i="14"/>
  <c r="BD25" i="14" s="1"/>
  <c r="AB25" i="14"/>
  <c r="BB25" i="14"/>
  <c r="BM25" i="14"/>
  <c r="BN25" i="14" s="1"/>
  <c r="BO25" i="14" s="1"/>
  <c r="BV34" i="3"/>
  <c r="BU34" i="3"/>
  <c r="L32" i="6"/>
  <c r="BG33" i="3"/>
  <c r="D30" i="25"/>
  <c r="D30" i="26"/>
  <c r="BH33" i="3"/>
  <c r="C31" i="25"/>
  <c r="C31" i="26"/>
  <c r="BI33" i="3"/>
  <c r="BG26" i="3"/>
  <c r="BM26" i="3" s="1"/>
  <c r="BO26" i="3" s="1"/>
  <c r="AU26" i="3" s="1"/>
  <c r="AW25" i="3"/>
  <c r="BH26" i="3"/>
  <c r="BJ26" i="3" s="1"/>
  <c r="BP26" i="3" s="1"/>
  <c r="BR26" i="3" s="1"/>
  <c r="BE33" i="3"/>
  <c r="I32" i="6"/>
  <c r="K32" i="6" s="1"/>
  <c r="CF34" i="3"/>
  <c r="AW30" i="3"/>
  <c r="BR31" i="3"/>
  <c r="BJ32" i="3"/>
  <c r="BP32" i="3" s="1"/>
  <c r="BC33" i="3"/>
  <c r="BN33" i="3" s="1"/>
  <c r="CI33" i="3"/>
  <c r="BY34" i="3"/>
  <c r="CJ33" i="3"/>
  <c r="AV33" i="3" s="1"/>
  <c r="BM32" i="3"/>
  <c r="DD193" i="3"/>
  <c r="CM21" i="14"/>
  <c r="CG28" i="3" s="1"/>
  <c r="CK273" i="14"/>
  <c r="BA29" i="3" s="1"/>
  <c r="CK21" i="14"/>
  <c r="CD28" i="3" s="1"/>
  <c r="CK20" i="14"/>
  <c r="CD27" i="3" s="1"/>
  <c r="BR275" i="14"/>
  <c r="BS275" i="14" s="1"/>
  <c r="BT274" i="14"/>
  <c r="BW274" i="14" s="1"/>
  <c r="CA274" i="14"/>
  <c r="CB274" i="14" s="1"/>
  <c r="BV274" i="14"/>
  <c r="BX274" i="14" s="1"/>
  <c r="BZ274" i="14"/>
  <c r="BU274" i="14"/>
  <c r="CM20" i="14"/>
  <c r="CG27" i="3" s="1"/>
  <c r="AY23" i="14"/>
  <c r="CF23" i="14" s="1"/>
  <c r="BQ23" i="14"/>
  <c r="BR23" i="14" s="1"/>
  <c r="CH273" i="14"/>
  <c r="CM273" i="14" s="1"/>
  <c r="BB29" i="3" s="1"/>
  <c r="CJ21" i="14"/>
  <c r="CC28" i="3" s="1"/>
  <c r="AY22" i="14"/>
  <c r="BQ22" i="14"/>
  <c r="BR22" i="14" s="1"/>
  <c r="CJ20" i="14"/>
  <c r="CC27" i="3" s="1"/>
  <c r="D34" i="3"/>
  <c r="BG34" i="3" s="1"/>
  <c r="BJ277" i="14"/>
  <c r="AD277" i="14"/>
  <c r="AB277" i="14"/>
  <c r="AA277" i="14"/>
  <c r="AV277" i="14" s="1"/>
  <c r="BM277" i="14"/>
  <c r="BN277" i="14" s="1"/>
  <c r="BO277" i="14" s="1"/>
  <c r="BB277" i="14"/>
  <c r="BC277" i="14"/>
  <c r="BD277" i="14" s="1"/>
  <c r="BC26" i="14"/>
  <c r="BD26" i="14" s="1"/>
  <c r="BB26" i="14"/>
  <c r="AB26" i="14"/>
  <c r="BM26" i="14"/>
  <c r="BN26" i="14" s="1"/>
  <c r="BO26" i="14" s="1"/>
  <c r="AD26" i="14"/>
  <c r="BI26" i="14"/>
  <c r="BJ26" i="14" s="1"/>
  <c r="AA26" i="14"/>
  <c r="AX26" i="14" s="1"/>
  <c r="C35" i="3"/>
  <c r="AE278" i="14"/>
  <c r="Z27" i="14"/>
  <c r="Z278" i="14"/>
  <c r="BI278" i="14" s="1"/>
  <c r="AE27" i="14"/>
  <c r="BL34" i="3"/>
  <c r="AJ34" i="3"/>
  <c r="R31" i="26" s="1"/>
  <c r="AG34" i="3"/>
  <c r="O31" i="26" s="1"/>
  <c r="AY34" i="3"/>
  <c r="BW34" i="3"/>
  <c r="CK34" i="3" s="1"/>
  <c r="AH34" i="3"/>
  <c r="P31" i="26" s="1"/>
  <c r="AI34" i="3"/>
  <c r="Q31" i="26" s="1"/>
  <c r="BK34" i="3"/>
  <c r="AV25" i="14"/>
  <c r="AZ25" i="14"/>
  <c r="BA25" i="14"/>
  <c r="AF25" i="14"/>
  <c r="AC25" i="14"/>
  <c r="AQ25" i="14"/>
  <c r="AR25" i="14" s="1"/>
  <c r="AS25" i="14" s="1"/>
  <c r="AT25" i="14" s="1"/>
  <c r="AU25" i="14" s="1"/>
  <c r="AK25" i="14"/>
  <c r="AL25" i="14" s="1"/>
  <c r="AM25" i="14" s="1"/>
  <c r="AN25" i="14" s="1"/>
  <c r="AO25" i="14" s="1"/>
  <c r="AP25" i="14" s="1"/>
  <c r="CE273" i="14"/>
  <c r="CJ273" i="14" s="1"/>
  <c r="AZ29" i="3" s="1"/>
  <c r="CD275" i="14"/>
  <c r="CD24" i="14"/>
  <c r="AG275" i="14"/>
  <c r="AH275" i="14" s="1"/>
  <c r="AI275" i="14" s="1"/>
  <c r="AJ275" i="14" s="1"/>
  <c r="AG24" i="14"/>
  <c r="AH24" i="14" s="1"/>
  <c r="AI24" i="14" s="1"/>
  <c r="AJ24" i="14" s="1"/>
  <c r="BF32" i="3" l="1"/>
  <c r="BQ32" i="3" s="1"/>
  <c r="BA276" i="14"/>
  <c r="BK276" i="14" s="1"/>
  <c r="CE274" i="14"/>
  <c r="CJ274" i="14" s="1"/>
  <c r="AZ30" i="3" s="1"/>
  <c r="AK276" i="14"/>
  <c r="AL276" i="14" s="1"/>
  <c r="AM276" i="14" s="1"/>
  <c r="AN276" i="14" s="1"/>
  <c r="AO276" i="14" s="1"/>
  <c r="AP276" i="14" s="1"/>
  <c r="BE275" i="14"/>
  <c r="BG275" i="14" s="1"/>
  <c r="AV276" i="14"/>
  <c r="AC276" i="14"/>
  <c r="BE24" i="14"/>
  <c r="BG24" i="14" s="1"/>
  <c r="AF276" i="14"/>
  <c r="AG276" i="14" s="1"/>
  <c r="AH276" i="14" s="1"/>
  <c r="AI276" i="14" s="1"/>
  <c r="AJ276" i="14" s="1"/>
  <c r="CH274" i="14"/>
  <c r="AQ276" i="14"/>
  <c r="AR276" i="14" s="1"/>
  <c r="AS276" i="14" s="1"/>
  <c r="AT276" i="14" s="1"/>
  <c r="AU276" i="14" s="1"/>
  <c r="AZ276" i="14"/>
  <c r="CD276" i="14" s="1"/>
  <c r="BQ276" i="14"/>
  <c r="BR276" i="14" s="1"/>
  <c r="BS276" i="14" s="1"/>
  <c r="BO32" i="3"/>
  <c r="AU32" i="3" s="1"/>
  <c r="BK25" i="14"/>
  <c r="BD34" i="3"/>
  <c r="BV35" i="3"/>
  <c r="BU35" i="3"/>
  <c r="F34" i="6"/>
  <c r="L33" i="6" s="1"/>
  <c r="AW31" i="3"/>
  <c r="D31" i="26"/>
  <c r="D31" i="25"/>
  <c r="BI34" i="3"/>
  <c r="C32" i="26"/>
  <c r="C32" i="25"/>
  <c r="BH34" i="3"/>
  <c r="AW26" i="3"/>
  <c r="C34" i="6"/>
  <c r="I33" i="6" s="1"/>
  <c r="K33" i="6" s="1"/>
  <c r="BE34" i="3"/>
  <c r="CF35" i="3"/>
  <c r="BJ33" i="3"/>
  <c r="BP33" i="3" s="1"/>
  <c r="BR32" i="3"/>
  <c r="BC34" i="3"/>
  <c r="BN34" i="3" s="1"/>
  <c r="CJ34" i="3"/>
  <c r="AV34" i="3" s="1"/>
  <c r="CI34" i="3"/>
  <c r="BY35" i="3"/>
  <c r="BM33" i="3"/>
  <c r="BO33" i="3" s="1"/>
  <c r="AU33" i="3" s="1"/>
  <c r="BF33" i="3"/>
  <c r="BQ33" i="3" s="1"/>
  <c r="CE23" i="14"/>
  <c r="DD194" i="3"/>
  <c r="CK274" i="14"/>
  <c r="BA30" i="3" s="1"/>
  <c r="CA275" i="14"/>
  <c r="CB275" i="14" s="1"/>
  <c r="BV275" i="14"/>
  <c r="BX275" i="14" s="1"/>
  <c r="BU275" i="14"/>
  <c r="BZ275" i="14"/>
  <c r="CM274" i="14"/>
  <c r="BB30" i="3" s="1"/>
  <c r="BT275" i="14"/>
  <c r="BW275" i="14" s="1"/>
  <c r="BV22" i="14"/>
  <c r="BX22" i="14" s="1"/>
  <c r="CA22" i="14"/>
  <c r="CB22" i="14" s="1"/>
  <c r="BZ22" i="14"/>
  <c r="BU22" i="14"/>
  <c r="CH23" i="14"/>
  <c r="BV23" i="14"/>
  <c r="BX23" i="14" s="1"/>
  <c r="CK23" i="14" s="1"/>
  <c r="CD30" i="3" s="1"/>
  <c r="CA23" i="14"/>
  <c r="CB23" i="14" s="1"/>
  <c r="BZ23" i="14"/>
  <c r="BU23" i="14"/>
  <c r="AX277" i="14"/>
  <c r="AW275" i="14"/>
  <c r="AY275" i="14" s="1"/>
  <c r="CF275" i="14" s="1"/>
  <c r="CH22" i="14"/>
  <c r="CF22" i="14"/>
  <c r="CE22" i="14"/>
  <c r="AW24" i="14"/>
  <c r="AY24" i="14" s="1"/>
  <c r="CH24" i="14" s="1"/>
  <c r="BT23" i="14"/>
  <c r="BW23" i="14" s="1"/>
  <c r="BS23" i="14"/>
  <c r="BT22" i="14"/>
  <c r="BW22" i="14" s="1"/>
  <c r="BS22" i="14"/>
  <c r="AV26" i="14"/>
  <c r="D35" i="3"/>
  <c r="BI35" i="3" s="1"/>
  <c r="BM278" i="14"/>
  <c r="BN278" i="14" s="1"/>
  <c r="BO278" i="14" s="1"/>
  <c r="BJ278" i="14"/>
  <c r="BB278" i="14"/>
  <c r="BC278" i="14"/>
  <c r="BD278" i="14" s="1"/>
  <c r="AD278" i="14"/>
  <c r="AB278" i="14"/>
  <c r="AA278" i="14"/>
  <c r="AX278" i="14" s="1"/>
  <c r="C36" i="3"/>
  <c r="AE279" i="14"/>
  <c r="Z279" i="14"/>
  <c r="BI279" i="14" s="1"/>
  <c r="AE28" i="14"/>
  <c r="Z28" i="14"/>
  <c r="BW35" i="3"/>
  <c r="CI35" i="3" s="1"/>
  <c r="AI35" i="3"/>
  <c r="Q32" i="26" s="1"/>
  <c r="AY35" i="3"/>
  <c r="AH35" i="3"/>
  <c r="P32" i="26" s="1"/>
  <c r="BL35" i="3"/>
  <c r="AJ35" i="3"/>
  <c r="R32" i="26" s="1"/>
  <c r="BK35" i="3"/>
  <c r="AG35" i="3"/>
  <c r="O32" i="26" s="1"/>
  <c r="AC277" i="14"/>
  <c r="AZ277" i="14"/>
  <c r="BA277" i="14"/>
  <c r="BK277" i="14" s="1"/>
  <c r="AK277" i="14"/>
  <c r="AL277" i="14" s="1"/>
  <c r="AM277" i="14" s="1"/>
  <c r="AN277" i="14" s="1"/>
  <c r="AO277" i="14" s="1"/>
  <c r="AP277" i="14" s="1"/>
  <c r="AF277" i="14"/>
  <c r="AQ277" i="14"/>
  <c r="AR277" i="14" s="1"/>
  <c r="AS277" i="14" s="1"/>
  <c r="AT277" i="14" s="1"/>
  <c r="AU277" i="14" s="1"/>
  <c r="BI27" i="14"/>
  <c r="BJ27" i="14" s="1"/>
  <c r="BC27" i="14"/>
  <c r="BD27" i="14" s="1"/>
  <c r="BM27" i="14"/>
  <c r="BN27" i="14" s="1"/>
  <c r="BO27" i="14" s="1"/>
  <c r="AD27" i="14"/>
  <c r="BB27" i="14"/>
  <c r="AA27" i="14"/>
  <c r="AV27" i="14" s="1"/>
  <c r="AB27" i="14"/>
  <c r="BE25" i="14"/>
  <c r="BG25" i="14" s="1"/>
  <c r="CD25" i="14"/>
  <c r="AG25" i="14"/>
  <c r="AH25" i="14" s="1"/>
  <c r="AI25" i="14" s="1"/>
  <c r="AJ25" i="14" s="1"/>
  <c r="AK26" i="14"/>
  <c r="AL26" i="14" s="1"/>
  <c r="AM26" i="14" s="1"/>
  <c r="AN26" i="14" s="1"/>
  <c r="AO26" i="14" s="1"/>
  <c r="AP26" i="14" s="1"/>
  <c r="AZ26" i="14"/>
  <c r="BA26" i="14"/>
  <c r="BK26" i="14" s="1"/>
  <c r="AQ26" i="14"/>
  <c r="AR26" i="14" s="1"/>
  <c r="AS26" i="14" s="1"/>
  <c r="AT26" i="14" s="1"/>
  <c r="AU26" i="14" s="1"/>
  <c r="AF26" i="14"/>
  <c r="AC26" i="14"/>
  <c r="BQ277" i="14"/>
  <c r="BE276" i="14" l="1"/>
  <c r="BG276" i="14" s="1"/>
  <c r="CK275" i="14"/>
  <c r="BA31" i="3" s="1"/>
  <c r="BD35" i="3"/>
  <c r="BV36" i="3"/>
  <c r="BU36" i="3"/>
  <c r="BG35" i="3"/>
  <c r="C33" i="26"/>
  <c r="C33" i="25"/>
  <c r="BH35" i="3"/>
  <c r="D32" i="25"/>
  <c r="D32" i="26"/>
  <c r="E34" i="6"/>
  <c r="BE35" i="3"/>
  <c r="CK35" i="3"/>
  <c r="CF36" i="3"/>
  <c r="AW32" i="3"/>
  <c r="BR33" i="3"/>
  <c r="BJ34" i="3"/>
  <c r="BP34" i="3" s="1"/>
  <c r="BC35" i="3"/>
  <c r="BN35" i="3" s="1"/>
  <c r="CJ35" i="3"/>
  <c r="AV35" i="3" s="1"/>
  <c r="BY36" i="3"/>
  <c r="BM34" i="3"/>
  <c r="BO34" i="3" s="1"/>
  <c r="AU34" i="3" s="1"/>
  <c r="BF34" i="3"/>
  <c r="BQ34" i="3" s="1"/>
  <c r="CF24" i="14"/>
  <c r="CA276" i="14"/>
  <c r="CB276" i="14" s="1"/>
  <c r="BV276" i="14"/>
  <c r="BX276" i="14" s="1"/>
  <c r="BU276" i="14"/>
  <c r="BZ276" i="14"/>
  <c r="CE24" i="14"/>
  <c r="CM23" i="14"/>
  <c r="CG30" i="3" s="1"/>
  <c r="BT276" i="14"/>
  <c r="BW276" i="14" s="1"/>
  <c r="BR277" i="14"/>
  <c r="BS277" i="14" s="1"/>
  <c r="CM22" i="14"/>
  <c r="CG29" i="3" s="1"/>
  <c r="CK22" i="14"/>
  <c r="CD29" i="3" s="1"/>
  <c r="CE275" i="14"/>
  <c r="CJ275" i="14" s="1"/>
  <c r="AZ31" i="3" s="1"/>
  <c r="CH275" i="14"/>
  <c r="CM275" i="14" s="1"/>
  <c r="BB31" i="3" s="1"/>
  <c r="BQ24" i="14"/>
  <c r="DD195" i="3"/>
  <c r="AW276" i="14"/>
  <c r="AY276" i="14" s="1"/>
  <c r="CH276" i="14" s="1"/>
  <c r="CJ22" i="14"/>
  <c r="CC29" i="3" s="1"/>
  <c r="CJ23" i="14"/>
  <c r="CC30" i="3" s="1"/>
  <c r="AW25" i="14"/>
  <c r="D36" i="3"/>
  <c r="AZ27" i="14"/>
  <c r="BA27" i="14"/>
  <c r="BK27" i="14" s="1"/>
  <c r="AQ27" i="14"/>
  <c r="AR27" i="14" s="1"/>
  <c r="AS27" i="14" s="1"/>
  <c r="AT27" i="14" s="1"/>
  <c r="AU27" i="14" s="1"/>
  <c r="AK27" i="14"/>
  <c r="AL27" i="14" s="1"/>
  <c r="AM27" i="14" s="1"/>
  <c r="AN27" i="14" s="1"/>
  <c r="AO27" i="14" s="1"/>
  <c r="AP27" i="14" s="1"/>
  <c r="AF27" i="14"/>
  <c r="AC27" i="14"/>
  <c r="BE277" i="14"/>
  <c r="BG277" i="14" s="1"/>
  <c r="CD277" i="14"/>
  <c r="AE280" i="14"/>
  <c r="C37" i="3"/>
  <c r="AE29" i="14"/>
  <c r="Z29" i="14"/>
  <c r="Z280" i="14"/>
  <c r="BI280" i="14" s="1"/>
  <c r="AH36" i="3"/>
  <c r="P33" i="26" s="1"/>
  <c r="BK36" i="3"/>
  <c r="AY36" i="3"/>
  <c r="BD36" i="3" s="1"/>
  <c r="BL36" i="3"/>
  <c r="AG36" i="3"/>
  <c r="O33" i="26" s="1"/>
  <c r="AJ36" i="3"/>
  <c r="R33" i="26" s="1"/>
  <c r="BW36" i="3"/>
  <c r="CK36" i="3" s="1"/>
  <c r="AI36" i="3"/>
  <c r="Q33" i="26" s="1"/>
  <c r="BQ278" i="14"/>
  <c r="AG277" i="14"/>
  <c r="AH277" i="14" s="1"/>
  <c r="AI277" i="14" s="1"/>
  <c r="AJ277" i="14" s="1"/>
  <c r="BE26" i="14"/>
  <c r="BG26" i="14" s="1"/>
  <c r="CD26" i="14"/>
  <c r="AX27" i="14"/>
  <c r="BJ279" i="14"/>
  <c r="BC279" i="14"/>
  <c r="BD279" i="14" s="1"/>
  <c r="AB279" i="14"/>
  <c r="AA279" i="14"/>
  <c r="AX279" i="14" s="1"/>
  <c r="BB279" i="14"/>
  <c r="BM279" i="14"/>
  <c r="BN279" i="14" s="1"/>
  <c r="BO279" i="14" s="1"/>
  <c r="AD279" i="14"/>
  <c r="AV278" i="14"/>
  <c r="AZ278" i="14"/>
  <c r="BA278" i="14"/>
  <c r="BK278" i="14" s="1"/>
  <c r="AF278" i="14"/>
  <c r="AG278" i="14" s="1"/>
  <c r="AH278" i="14" s="1"/>
  <c r="AI278" i="14" s="1"/>
  <c r="AJ278" i="14" s="1"/>
  <c r="AQ278" i="14"/>
  <c r="AR278" i="14" s="1"/>
  <c r="AS278" i="14" s="1"/>
  <c r="AT278" i="14" s="1"/>
  <c r="AU278" i="14" s="1"/>
  <c r="AK278" i="14"/>
  <c r="AL278" i="14" s="1"/>
  <c r="AM278" i="14" s="1"/>
  <c r="AN278" i="14" s="1"/>
  <c r="AO278" i="14" s="1"/>
  <c r="AP278" i="14" s="1"/>
  <c r="AC278" i="14"/>
  <c r="AG26" i="14"/>
  <c r="AH26" i="14" s="1"/>
  <c r="AI26" i="14" s="1"/>
  <c r="AJ26" i="14" s="1"/>
  <c r="BM28" i="14"/>
  <c r="BN28" i="14" s="1"/>
  <c r="BO28" i="14" s="1"/>
  <c r="BB28" i="14"/>
  <c r="BI28" i="14"/>
  <c r="BJ28" i="14" s="1"/>
  <c r="AA28" i="14"/>
  <c r="AV28" i="14" s="1"/>
  <c r="AB28" i="14"/>
  <c r="AD28" i="14"/>
  <c r="BC28" i="14"/>
  <c r="BD28" i="14" s="1"/>
  <c r="BU37" i="3" l="1"/>
  <c r="BV37" i="3"/>
  <c r="AW33" i="3"/>
  <c r="BH36" i="3"/>
  <c r="D33" i="25"/>
  <c r="D33" i="26"/>
  <c r="C34" i="26"/>
  <c r="C34" i="25"/>
  <c r="BI36" i="3"/>
  <c r="BG36" i="3"/>
  <c r="BE36" i="3"/>
  <c r="CF37" i="3"/>
  <c r="BJ35" i="3"/>
  <c r="BP35" i="3" s="1"/>
  <c r="BR34" i="3"/>
  <c r="BC36" i="3"/>
  <c r="BN36" i="3" s="1"/>
  <c r="BY37" i="3"/>
  <c r="CJ36" i="3"/>
  <c r="AV36" i="3" s="1"/>
  <c r="CI36" i="3"/>
  <c r="BM35" i="3"/>
  <c r="BO35" i="3" s="1"/>
  <c r="AU35" i="3" s="1"/>
  <c r="BF35" i="3"/>
  <c r="BQ35" i="3" s="1"/>
  <c r="DD196" i="3"/>
  <c r="BT277" i="14"/>
  <c r="BW277" i="14" s="1"/>
  <c r="BR24" i="14"/>
  <c r="CM276" i="14"/>
  <c r="BB32" i="3" s="1"/>
  <c r="BR278" i="14"/>
  <c r="BT278" i="14" s="1"/>
  <c r="BW278" i="14" s="1"/>
  <c r="CA277" i="14"/>
  <c r="CB277" i="14" s="1"/>
  <c r="BV277" i="14"/>
  <c r="BX277" i="14" s="1"/>
  <c r="BZ277" i="14"/>
  <c r="BU277" i="14"/>
  <c r="CF276" i="14"/>
  <c r="CK276" i="14" s="1"/>
  <c r="BA32" i="3" s="1"/>
  <c r="CE276" i="14"/>
  <c r="CJ276" i="14" s="1"/>
  <c r="AZ32" i="3" s="1"/>
  <c r="AX28" i="14"/>
  <c r="AW277" i="14"/>
  <c r="AY277" i="14" s="1"/>
  <c r="CE277" i="14" s="1"/>
  <c r="AW278" i="14"/>
  <c r="AY278" i="14" s="1"/>
  <c r="AY25" i="14"/>
  <c r="BQ25" i="14"/>
  <c r="BR25" i="14" s="1"/>
  <c r="D37" i="3"/>
  <c r="BG37" i="3" s="1"/>
  <c r="BE278" i="14"/>
  <c r="BG278" i="14" s="1"/>
  <c r="CD278" i="14"/>
  <c r="BQ279" i="14"/>
  <c r="AB29" i="14"/>
  <c r="AD29" i="14"/>
  <c r="BI29" i="14"/>
  <c r="BJ29" i="14" s="1"/>
  <c r="BM29" i="14"/>
  <c r="BN29" i="14" s="1"/>
  <c r="BO29" i="14" s="1"/>
  <c r="AA29" i="14"/>
  <c r="BB29" i="14"/>
  <c r="BC29" i="14"/>
  <c r="BD29" i="14" s="1"/>
  <c r="BB280" i="14"/>
  <c r="AA280" i="14"/>
  <c r="AX280" i="14" s="1"/>
  <c r="AD280" i="14"/>
  <c r="BC280" i="14"/>
  <c r="BD280" i="14" s="1"/>
  <c r="BJ280" i="14"/>
  <c r="BM280" i="14"/>
  <c r="BN280" i="14" s="1"/>
  <c r="BO280" i="14" s="1"/>
  <c r="AB280" i="14"/>
  <c r="AE30" i="14"/>
  <c r="AE281" i="14"/>
  <c r="Z281" i="14"/>
  <c r="BI281" i="14" s="1"/>
  <c r="Z30" i="14"/>
  <c r="C38" i="3"/>
  <c r="BW37" i="3"/>
  <c r="CI37" i="3" s="1"/>
  <c r="AG37" i="3"/>
  <c r="O34" i="26" s="1"/>
  <c r="BL37" i="3"/>
  <c r="AJ37" i="3"/>
  <c r="R34" i="26" s="1"/>
  <c r="AY37" i="3"/>
  <c r="AI37" i="3"/>
  <c r="Q34" i="26" s="1"/>
  <c r="AH37" i="3"/>
  <c r="P34" i="26" s="1"/>
  <c r="BK37" i="3"/>
  <c r="AC28" i="14"/>
  <c r="AZ28" i="14"/>
  <c r="BA28" i="14"/>
  <c r="BK28" i="14" s="1"/>
  <c r="AF28" i="14"/>
  <c r="AQ28" i="14"/>
  <c r="AR28" i="14" s="1"/>
  <c r="AS28" i="14" s="1"/>
  <c r="AT28" i="14" s="1"/>
  <c r="AU28" i="14" s="1"/>
  <c r="AK28" i="14"/>
  <c r="AL28" i="14" s="1"/>
  <c r="AM28" i="14" s="1"/>
  <c r="AN28" i="14" s="1"/>
  <c r="AO28" i="14" s="1"/>
  <c r="AP28" i="14" s="1"/>
  <c r="AW26" i="14"/>
  <c r="AV279" i="14"/>
  <c r="AZ279" i="14"/>
  <c r="BA279" i="14"/>
  <c r="BK279" i="14" s="1"/>
  <c r="AC279" i="14"/>
  <c r="AF279" i="14"/>
  <c r="AG279" i="14" s="1"/>
  <c r="AH279" i="14" s="1"/>
  <c r="AI279" i="14" s="1"/>
  <c r="AJ279" i="14" s="1"/>
  <c r="AK279" i="14"/>
  <c r="AL279" i="14" s="1"/>
  <c r="AM279" i="14" s="1"/>
  <c r="AN279" i="14" s="1"/>
  <c r="AO279" i="14" s="1"/>
  <c r="AP279" i="14" s="1"/>
  <c r="AQ279" i="14"/>
  <c r="AR279" i="14" s="1"/>
  <c r="AS279" i="14" s="1"/>
  <c r="AT279" i="14" s="1"/>
  <c r="AU279" i="14" s="1"/>
  <c r="AG27" i="14"/>
  <c r="AH27" i="14" s="1"/>
  <c r="AI27" i="14" s="1"/>
  <c r="AJ27" i="14" s="1"/>
  <c r="BE27" i="14"/>
  <c r="BG27" i="14" s="1"/>
  <c r="CD27" i="14"/>
  <c r="BD37" i="3" l="1"/>
  <c r="BV38" i="3"/>
  <c r="BU38" i="3"/>
  <c r="BH37" i="3"/>
  <c r="D34" i="25"/>
  <c r="D34" i="26"/>
  <c r="C35" i="25"/>
  <c r="C35" i="26"/>
  <c r="BI37" i="3"/>
  <c r="BE37" i="3"/>
  <c r="CK37" i="3"/>
  <c r="AW34" i="3"/>
  <c r="CF38" i="3"/>
  <c r="BR35" i="3"/>
  <c r="BC37" i="3"/>
  <c r="BN37" i="3" s="1"/>
  <c r="CJ37" i="3"/>
  <c r="AV37" i="3" s="1"/>
  <c r="BY38" i="3"/>
  <c r="BJ36" i="3"/>
  <c r="BP36" i="3" s="1"/>
  <c r="BM36" i="3"/>
  <c r="BO36" i="3" s="1"/>
  <c r="AU36" i="3" s="1"/>
  <c r="BF36" i="3"/>
  <c r="BQ36" i="3" s="1"/>
  <c r="CJ277" i="14"/>
  <c r="AZ33" i="3" s="1"/>
  <c r="BS278" i="14"/>
  <c r="DD197" i="3"/>
  <c r="BR279" i="14"/>
  <c r="BT279" i="14" s="1"/>
  <c r="BW279" i="14" s="1"/>
  <c r="CA25" i="14"/>
  <c r="CB25" i="14" s="1"/>
  <c r="BV25" i="14"/>
  <c r="BX25" i="14" s="1"/>
  <c r="BU25" i="14"/>
  <c r="BZ25" i="14"/>
  <c r="BV24" i="14"/>
  <c r="BX24" i="14" s="1"/>
  <c r="CK24" i="14" s="1"/>
  <c r="CD31" i="3" s="1"/>
  <c r="CA24" i="14"/>
  <c r="CB24" i="14" s="1"/>
  <c r="CM24" i="14" s="1"/>
  <c r="CG31" i="3" s="1"/>
  <c r="BZ24" i="14"/>
  <c r="BU24" i="14"/>
  <c r="BT24" i="14"/>
  <c r="BW24" i="14" s="1"/>
  <c r="CJ24" i="14" s="1"/>
  <c r="CC31" i="3" s="1"/>
  <c r="CF277" i="14"/>
  <c r="CK277" i="14" s="1"/>
  <c r="BA33" i="3" s="1"/>
  <c r="BS24" i="14"/>
  <c r="CA278" i="14"/>
  <c r="CB278" i="14" s="1"/>
  <c r="BV278" i="14"/>
  <c r="BX278" i="14" s="1"/>
  <c r="BU278" i="14"/>
  <c r="BZ278" i="14"/>
  <c r="CH277" i="14"/>
  <c r="CM277" i="14" s="1"/>
  <c r="BB33" i="3" s="1"/>
  <c r="CH25" i="14"/>
  <c r="CF25" i="14"/>
  <c r="CE25" i="14"/>
  <c r="AW279" i="14"/>
  <c r="AY279" i="14" s="1"/>
  <c r="AY26" i="14"/>
  <c r="CF26" i="14" s="1"/>
  <c r="BQ26" i="14"/>
  <c r="BR26" i="14" s="1"/>
  <c r="BT25" i="14"/>
  <c r="BW25" i="14" s="1"/>
  <c r="BS25" i="14"/>
  <c r="D38" i="3"/>
  <c r="AG28" i="14"/>
  <c r="AH28" i="14" s="1"/>
  <c r="AI28" i="14" s="1"/>
  <c r="AJ28" i="14" s="1"/>
  <c r="AB281" i="14"/>
  <c r="BC281" i="14"/>
  <c r="BD281" i="14" s="1"/>
  <c r="BM281" i="14"/>
  <c r="BN281" i="14" s="1"/>
  <c r="BO281" i="14" s="1"/>
  <c r="BJ281" i="14"/>
  <c r="AD281" i="14"/>
  <c r="BB281" i="14"/>
  <c r="AA281" i="14"/>
  <c r="AX281" i="14" s="1"/>
  <c r="BQ280" i="14"/>
  <c r="AC280" i="14"/>
  <c r="BA280" i="14"/>
  <c r="BK280" i="14" s="1"/>
  <c r="AZ280" i="14"/>
  <c r="AQ280" i="14"/>
  <c r="AR280" i="14" s="1"/>
  <c r="AS280" i="14" s="1"/>
  <c r="AT280" i="14" s="1"/>
  <c r="AU280" i="14" s="1"/>
  <c r="AF280" i="14"/>
  <c r="AG280" i="14" s="1"/>
  <c r="AH280" i="14" s="1"/>
  <c r="AI280" i="14" s="1"/>
  <c r="AJ280" i="14" s="1"/>
  <c r="AK280" i="14"/>
  <c r="AL280" i="14" s="1"/>
  <c r="AM280" i="14" s="1"/>
  <c r="AN280" i="14" s="1"/>
  <c r="AO280" i="14" s="1"/>
  <c r="AP280" i="14" s="1"/>
  <c r="AX29" i="14"/>
  <c r="AZ29" i="14"/>
  <c r="BA29" i="14"/>
  <c r="BK29" i="14" s="1"/>
  <c r="AK29" i="14"/>
  <c r="AL29" i="14" s="1"/>
  <c r="AM29" i="14" s="1"/>
  <c r="AN29" i="14" s="1"/>
  <c r="AO29" i="14" s="1"/>
  <c r="AP29" i="14" s="1"/>
  <c r="AC29" i="14"/>
  <c r="AF29" i="14"/>
  <c r="AG29" i="14" s="1"/>
  <c r="AH29" i="14" s="1"/>
  <c r="AI29" i="14" s="1"/>
  <c r="AJ29" i="14" s="1"/>
  <c r="AQ29" i="14"/>
  <c r="AR29" i="14" s="1"/>
  <c r="AS29" i="14" s="1"/>
  <c r="AT29" i="14" s="1"/>
  <c r="AU29" i="14" s="1"/>
  <c r="CH278" i="14"/>
  <c r="CE278" i="14"/>
  <c r="CJ278" i="14" s="1"/>
  <c r="AZ34" i="3" s="1"/>
  <c r="CF278" i="14"/>
  <c r="AV280" i="14"/>
  <c r="BE279" i="14"/>
  <c r="BG279" i="14" s="1"/>
  <c r="CD279" i="14"/>
  <c r="BE28" i="14"/>
  <c r="BG28" i="14" s="1"/>
  <c r="CD28" i="14"/>
  <c r="C39" i="3"/>
  <c r="AE282" i="14"/>
  <c r="Z31" i="14"/>
  <c r="Z282" i="14"/>
  <c r="BI282" i="14" s="1"/>
  <c r="AE31" i="14"/>
  <c r="BW38" i="3"/>
  <c r="CJ38" i="3" s="1"/>
  <c r="AV38" i="3" s="1"/>
  <c r="AI38" i="3"/>
  <c r="Q35" i="26" s="1"/>
  <c r="BK38" i="3"/>
  <c r="BL38" i="3"/>
  <c r="AJ38" i="3"/>
  <c r="R35" i="26" s="1"/>
  <c r="AH38" i="3"/>
  <c r="P35" i="26" s="1"/>
  <c r="AG38" i="3"/>
  <c r="O35" i="26" s="1"/>
  <c r="AY38" i="3"/>
  <c r="BD38" i="3" s="1"/>
  <c r="AW27" i="14"/>
  <c r="BB30" i="14"/>
  <c r="AD30" i="14"/>
  <c r="BI30" i="14"/>
  <c r="BJ30" i="14" s="1"/>
  <c r="BC30" i="14"/>
  <c r="BD30" i="14" s="1"/>
  <c r="AB30" i="14"/>
  <c r="BM30" i="14"/>
  <c r="BN30" i="14" s="1"/>
  <c r="BO30" i="14" s="1"/>
  <c r="AA30" i="14"/>
  <c r="AX30" i="14" s="1"/>
  <c r="AV29" i="14"/>
  <c r="BV39" i="3" l="1"/>
  <c r="BU39" i="3"/>
  <c r="AW35" i="3"/>
  <c r="BJ37" i="3"/>
  <c r="BP37" i="3" s="1"/>
  <c r="BH38" i="3"/>
  <c r="D35" i="26"/>
  <c r="D35" i="25"/>
  <c r="C36" i="26"/>
  <c r="C36" i="25"/>
  <c r="BG38" i="3"/>
  <c r="BM38" i="3" s="1"/>
  <c r="BI38" i="3"/>
  <c r="BE38" i="3"/>
  <c r="CF39" i="3"/>
  <c r="CK38" i="3"/>
  <c r="BC38" i="3"/>
  <c r="BN38" i="3" s="1"/>
  <c r="CI38" i="3"/>
  <c r="BY39" i="3"/>
  <c r="BR36" i="3"/>
  <c r="BM37" i="3"/>
  <c r="BO37" i="3" s="1"/>
  <c r="AU37" i="3" s="1"/>
  <c r="BF37" i="3"/>
  <c r="BQ37" i="3" s="1"/>
  <c r="BS279" i="14"/>
  <c r="CE26" i="14"/>
  <c r="CK278" i="14"/>
  <c r="BA34" i="3" s="1"/>
  <c r="BR280" i="14"/>
  <c r="BT280" i="14" s="1"/>
  <c r="BW280" i="14" s="1"/>
  <c r="CA26" i="14"/>
  <c r="CB26" i="14" s="1"/>
  <c r="BV26" i="14"/>
  <c r="BX26" i="14" s="1"/>
  <c r="CK26" i="14" s="1"/>
  <c r="CD33" i="3" s="1"/>
  <c r="BZ26" i="14"/>
  <c r="BU26" i="14"/>
  <c r="CM278" i="14"/>
  <c r="BB34" i="3" s="1"/>
  <c r="CM25" i="14"/>
  <c r="CG32" i="3" s="1"/>
  <c r="CA279" i="14"/>
  <c r="CB279" i="14" s="1"/>
  <c r="BV279" i="14"/>
  <c r="BX279" i="14" s="1"/>
  <c r="BZ279" i="14"/>
  <c r="BU279" i="14"/>
  <c r="CK25" i="14"/>
  <c r="CD32" i="3" s="1"/>
  <c r="CH26" i="14"/>
  <c r="DD198" i="3"/>
  <c r="AY27" i="14"/>
  <c r="BQ27" i="14"/>
  <c r="BR27" i="14" s="1"/>
  <c r="BT26" i="14"/>
  <c r="BW26" i="14" s="1"/>
  <c r="BS26" i="14"/>
  <c r="AW280" i="14"/>
  <c r="AY280" i="14" s="1"/>
  <c r="CJ25" i="14"/>
  <c r="CC32" i="3" s="1"/>
  <c r="D39" i="3"/>
  <c r="BC282" i="14"/>
  <c r="BD282" i="14" s="1"/>
  <c r="AB282" i="14"/>
  <c r="BJ282" i="14"/>
  <c r="BM282" i="14"/>
  <c r="BN282" i="14" s="1"/>
  <c r="BO282" i="14" s="1"/>
  <c r="AD282" i="14"/>
  <c r="BB282" i="14"/>
  <c r="AA282" i="14"/>
  <c r="AX282" i="14" s="1"/>
  <c r="C40" i="3"/>
  <c r="AE283" i="14"/>
  <c r="Z283" i="14"/>
  <c r="BI283" i="14" s="1"/>
  <c r="AE32" i="14"/>
  <c r="Z32" i="14"/>
  <c r="BW39" i="3"/>
  <c r="CI39" i="3" s="1"/>
  <c r="AI39" i="3"/>
  <c r="Q36" i="26" s="1"/>
  <c r="BL39" i="3"/>
  <c r="AJ39" i="3"/>
  <c r="R36" i="26" s="1"/>
  <c r="AY39" i="3"/>
  <c r="AG39" i="3"/>
  <c r="O36" i="26" s="1"/>
  <c r="AH39" i="3"/>
  <c r="P36" i="26" s="1"/>
  <c r="BK39" i="3"/>
  <c r="AW29" i="14"/>
  <c r="BE280" i="14"/>
  <c r="BG280" i="14" s="1"/>
  <c r="CD280" i="14"/>
  <c r="AV281" i="14"/>
  <c r="AZ281" i="14"/>
  <c r="BA281" i="14"/>
  <c r="BK281" i="14" s="1"/>
  <c r="AQ281" i="14"/>
  <c r="AR281" i="14" s="1"/>
  <c r="AS281" i="14" s="1"/>
  <c r="AT281" i="14" s="1"/>
  <c r="AU281" i="14" s="1"/>
  <c r="AC281" i="14"/>
  <c r="AF281" i="14"/>
  <c r="AG281" i="14" s="1"/>
  <c r="AH281" i="14" s="1"/>
  <c r="AI281" i="14" s="1"/>
  <c r="AJ281" i="14" s="1"/>
  <c r="AK281" i="14"/>
  <c r="AL281" i="14" s="1"/>
  <c r="AM281" i="14" s="1"/>
  <c r="AN281" i="14" s="1"/>
  <c r="AO281" i="14" s="1"/>
  <c r="AP281" i="14" s="1"/>
  <c r="BQ281" i="14"/>
  <c r="BB31" i="14"/>
  <c r="BC31" i="14"/>
  <c r="BD31" i="14" s="1"/>
  <c r="BI31" i="14"/>
  <c r="BJ31" i="14" s="1"/>
  <c r="AA31" i="14"/>
  <c r="AX31" i="14" s="1"/>
  <c r="AB31" i="14"/>
  <c r="AD31" i="14"/>
  <c r="BM31" i="14"/>
  <c r="BN31" i="14" s="1"/>
  <c r="BO31" i="14" s="1"/>
  <c r="CH279" i="14"/>
  <c r="CE279" i="14"/>
  <c r="CJ279" i="14" s="1"/>
  <c r="AZ35" i="3" s="1"/>
  <c r="CF279" i="14"/>
  <c r="AW28" i="14"/>
  <c r="AV30" i="14"/>
  <c r="AZ30" i="14"/>
  <c r="BA30" i="14"/>
  <c r="BK30" i="14" s="1"/>
  <c r="AF30" i="14"/>
  <c r="AQ30" i="14"/>
  <c r="AR30" i="14" s="1"/>
  <c r="AS30" i="14" s="1"/>
  <c r="AT30" i="14" s="1"/>
  <c r="AU30" i="14" s="1"/>
  <c r="AK30" i="14"/>
  <c r="AL30" i="14" s="1"/>
  <c r="AM30" i="14" s="1"/>
  <c r="AN30" i="14" s="1"/>
  <c r="AO30" i="14" s="1"/>
  <c r="AP30" i="14" s="1"/>
  <c r="AC30" i="14"/>
  <c r="BE29" i="14"/>
  <c r="BG29" i="14" s="1"/>
  <c r="CD29" i="14"/>
  <c r="BD39" i="3" l="1"/>
  <c r="BV40" i="3"/>
  <c r="BU40" i="3"/>
  <c r="BR37" i="3"/>
  <c r="C37" i="26"/>
  <c r="C37" i="25"/>
  <c r="BG39" i="3"/>
  <c r="D36" i="25"/>
  <c r="D36" i="26"/>
  <c r="BI39" i="3"/>
  <c r="BH39" i="3"/>
  <c r="BE39" i="3"/>
  <c r="CK39" i="3"/>
  <c r="AW36" i="3"/>
  <c r="CF40" i="3"/>
  <c r="CJ39" i="3"/>
  <c r="AV39" i="3" s="1"/>
  <c r="BC39" i="3"/>
  <c r="BN39" i="3" s="1"/>
  <c r="BF38" i="3"/>
  <c r="BQ38" i="3" s="1"/>
  <c r="BY40" i="3"/>
  <c r="BJ38" i="3"/>
  <c r="BP38" i="3" s="1"/>
  <c r="CK279" i="14"/>
  <c r="BA35" i="3" s="1"/>
  <c r="CM26" i="14"/>
  <c r="CG33" i="3" s="1"/>
  <c r="BS280" i="14"/>
  <c r="CM279" i="14"/>
  <c r="BB35" i="3" s="1"/>
  <c r="BR281" i="14"/>
  <c r="BS281" i="14" s="1"/>
  <c r="BV27" i="14"/>
  <c r="BX27" i="14" s="1"/>
  <c r="CA27" i="14"/>
  <c r="CB27" i="14" s="1"/>
  <c r="BU27" i="14"/>
  <c r="BZ27" i="14"/>
  <c r="CA280" i="14"/>
  <c r="CB280" i="14" s="1"/>
  <c r="BV280" i="14"/>
  <c r="BX280" i="14" s="1"/>
  <c r="BZ280" i="14"/>
  <c r="BU280" i="14"/>
  <c r="CH27" i="14"/>
  <c r="CF27" i="14"/>
  <c r="CE27" i="14"/>
  <c r="CJ26" i="14"/>
  <c r="CC33" i="3" s="1"/>
  <c r="AY29" i="14"/>
  <c r="CH29" i="14" s="1"/>
  <c r="BQ29" i="14"/>
  <c r="BR29" i="14" s="1"/>
  <c r="BT27" i="14"/>
  <c r="BW27" i="14" s="1"/>
  <c r="BS27" i="14"/>
  <c r="AY28" i="14"/>
  <c r="CH28" i="14" s="1"/>
  <c r="BQ28" i="14"/>
  <c r="BR28" i="14" s="1"/>
  <c r="D40" i="3"/>
  <c r="DD199" i="3"/>
  <c r="BE30" i="14"/>
  <c r="BG30" i="14" s="1"/>
  <c r="CD30" i="14"/>
  <c r="AD32" i="14"/>
  <c r="BI32" i="14"/>
  <c r="BJ32" i="14" s="1"/>
  <c r="BC32" i="14"/>
  <c r="BD32" i="14" s="1"/>
  <c r="BB32" i="14"/>
  <c r="AB32" i="14"/>
  <c r="BM32" i="14"/>
  <c r="BN32" i="14" s="1"/>
  <c r="BO32" i="14" s="1"/>
  <c r="AA32" i="14"/>
  <c r="AG30" i="14"/>
  <c r="AH30" i="14" s="1"/>
  <c r="AI30" i="14" s="1"/>
  <c r="AJ30" i="14" s="1"/>
  <c r="AZ31" i="14"/>
  <c r="BA31" i="14"/>
  <c r="BK31" i="14" s="1"/>
  <c r="AF31" i="14"/>
  <c r="AG31" i="14" s="1"/>
  <c r="AH31" i="14" s="1"/>
  <c r="AI31" i="14" s="1"/>
  <c r="AJ31" i="14" s="1"/>
  <c r="AC31" i="14"/>
  <c r="AQ31" i="14"/>
  <c r="AR31" i="14" s="1"/>
  <c r="AS31" i="14" s="1"/>
  <c r="AT31" i="14" s="1"/>
  <c r="AU31" i="14" s="1"/>
  <c r="AK31" i="14"/>
  <c r="AL31" i="14" s="1"/>
  <c r="AM31" i="14" s="1"/>
  <c r="AN31" i="14" s="1"/>
  <c r="AO31" i="14" s="1"/>
  <c r="AP31" i="14" s="1"/>
  <c r="AW281" i="14"/>
  <c r="AY281" i="14" s="1"/>
  <c r="BE281" i="14"/>
  <c r="BG281" i="14" s="1"/>
  <c r="CD281" i="14"/>
  <c r="AE284" i="14"/>
  <c r="C41" i="3"/>
  <c r="AE33" i="14"/>
  <c r="Z33" i="14"/>
  <c r="Z284" i="14"/>
  <c r="BI284" i="14" s="1"/>
  <c r="BW40" i="3"/>
  <c r="CJ40" i="3" s="1"/>
  <c r="AV40" i="3" s="1"/>
  <c r="AI40" i="3"/>
  <c r="Q37" i="26" s="1"/>
  <c r="BK40" i="3"/>
  <c r="BL40" i="3"/>
  <c r="AJ40" i="3"/>
  <c r="R37" i="26" s="1"/>
  <c r="AH40" i="3"/>
  <c r="P37" i="26" s="1"/>
  <c r="AG40" i="3"/>
  <c r="O37" i="26" s="1"/>
  <c r="AY40" i="3"/>
  <c r="AV31" i="14"/>
  <c r="BQ282" i="14"/>
  <c r="BO38" i="3"/>
  <c r="AU38" i="3" s="1"/>
  <c r="CH280" i="14"/>
  <c r="CF280" i="14"/>
  <c r="CE280" i="14"/>
  <c r="CJ280" i="14" s="1"/>
  <c r="AZ36" i="3" s="1"/>
  <c r="BJ283" i="14"/>
  <c r="BB283" i="14"/>
  <c r="AA283" i="14"/>
  <c r="AX283" i="14" s="1"/>
  <c r="BM283" i="14"/>
  <c r="BN283" i="14" s="1"/>
  <c r="BO283" i="14" s="1"/>
  <c r="AD283" i="14"/>
  <c r="BC283" i="14"/>
  <c r="BD283" i="14" s="1"/>
  <c r="AB283" i="14"/>
  <c r="AV282" i="14"/>
  <c r="AZ282" i="14"/>
  <c r="BA282" i="14"/>
  <c r="BK282" i="14" s="1"/>
  <c r="AF282" i="14"/>
  <c r="AG282" i="14" s="1"/>
  <c r="AH282" i="14" s="1"/>
  <c r="AI282" i="14" s="1"/>
  <c r="AJ282" i="14" s="1"/>
  <c r="AC282" i="14"/>
  <c r="AK282" i="14"/>
  <c r="AL282" i="14" s="1"/>
  <c r="AM282" i="14" s="1"/>
  <c r="AN282" i="14" s="1"/>
  <c r="AO282" i="14" s="1"/>
  <c r="AP282" i="14" s="1"/>
  <c r="AQ282" i="14"/>
  <c r="AR282" i="14" s="1"/>
  <c r="AS282" i="14" s="1"/>
  <c r="AT282" i="14" s="1"/>
  <c r="AU282" i="14" s="1"/>
  <c r="BD40" i="3" l="1"/>
  <c r="BU41" i="3"/>
  <c r="BV41" i="3"/>
  <c r="AW37" i="3"/>
  <c r="C38" i="26"/>
  <c r="C38" i="25"/>
  <c r="BH40" i="3"/>
  <c r="D37" i="25"/>
  <c r="D37" i="26"/>
  <c r="BI40" i="3"/>
  <c r="BG40" i="3"/>
  <c r="BE40" i="3"/>
  <c r="CF41" i="3"/>
  <c r="CK40" i="3"/>
  <c r="BC40" i="3"/>
  <c r="BN40" i="3" s="1"/>
  <c r="BR38" i="3"/>
  <c r="CI40" i="3"/>
  <c r="BY41" i="3"/>
  <c r="BJ39" i="3"/>
  <c r="BP39" i="3" s="1"/>
  <c r="BM39" i="3"/>
  <c r="BO39" i="3" s="1"/>
  <c r="AU39" i="3" s="1"/>
  <c r="BF39" i="3"/>
  <c r="BQ39" i="3" s="1"/>
  <c r="CM27" i="14"/>
  <c r="CG34" i="3" s="1"/>
  <c r="CE28" i="14"/>
  <c r="DD200" i="3"/>
  <c r="CK280" i="14"/>
  <c r="BA36" i="3" s="1"/>
  <c r="CM280" i="14"/>
  <c r="BB36" i="3" s="1"/>
  <c r="CK27" i="14"/>
  <c r="CD34" i="3" s="1"/>
  <c r="CF28" i="14"/>
  <c r="CA28" i="14"/>
  <c r="CB28" i="14" s="1"/>
  <c r="CM28" i="14" s="1"/>
  <c r="CG35" i="3" s="1"/>
  <c r="BV28" i="14"/>
  <c r="BX28" i="14" s="1"/>
  <c r="BZ28" i="14"/>
  <c r="BU28" i="14"/>
  <c r="CA281" i="14"/>
  <c r="CB281" i="14" s="1"/>
  <c r="BV281" i="14"/>
  <c r="BX281" i="14" s="1"/>
  <c r="BZ281" i="14"/>
  <c r="BU281" i="14"/>
  <c r="CE29" i="14"/>
  <c r="BR282" i="14"/>
  <c r="BS282" i="14" s="1"/>
  <c r="BV29" i="14"/>
  <c r="BX29" i="14" s="1"/>
  <c r="CA29" i="14"/>
  <c r="CB29" i="14" s="1"/>
  <c r="CM29" i="14" s="1"/>
  <c r="CG36" i="3" s="1"/>
  <c r="BZ29" i="14"/>
  <c r="BU29" i="14"/>
  <c r="BT281" i="14"/>
  <c r="BW281" i="14" s="1"/>
  <c r="CF29" i="14"/>
  <c r="CJ27" i="14"/>
  <c r="CC34" i="3" s="1"/>
  <c r="BT28" i="14"/>
  <c r="BW28" i="14" s="1"/>
  <c r="BS28" i="14"/>
  <c r="CF281" i="14"/>
  <c r="AW30" i="14"/>
  <c r="BT29" i="14"/>
  <c r="BW29" i="14" s="1"/>
  <c r="BS29" i="14"/>
  <c r="D41" i="3"/>
  <c r="BI41" i="3" s="1"/>
  <c r="AK32" i="14"/>
  <c r="AL32" i="14" s="1"/>
  <c r="AM32" i="14" s="1"/>
  <c r="AN32" i="14" s="1"/>
  <c r="AO32" i="14" s="1"/>
  <c r="AP32" i="14" s="1"/>
  <c r="AZ32" i="14"/>
  <c r="BA32" i="14"/>
  <c r="BK32" i="14" s="1"/>
  <c r="AF32" i="14"/>
  <c r="AQ32" i="14"/>
  <c r="AR32" i="14" s="1"/>
  <c r="AS32" i="14" s="1"/>
  <c r="AT32" i="14" s="1"/>
  <c r="AU32" i="14" s="1"/>
  <c r="AC32" i="14"/>
  <c r="BC33" i="14"/>
  <c r="BD33" i="14" s="1"/>
  <c r="BI33" i="14"/>
  <c r="BJ33" i="14" s="1"/>
  <c r="AB33" i="14"/>
  <c r="BB33" i="14"/>
  <c r="BM33" i="14"/>
  <c r="BN33" i="14" s="1"/>
  <c r="BO33" i="14" s="1"/>
  <c r="AA33" i="14"/>
  <c r="AD33" i="14"/>
  <c r="AV32" i="14"/>
  <c r="BE31" i="14"/>
  <c r="BG31" i="14" s="1"/>
  <c r="CD31" i="14"/>
  <c r="BE282" i="14"/>
  <c r="BG282" i="14" s="1"/>
  <c r="CD282" i="14"/>
  <c r="BQ283" i="14"/>
  <c r="AX32" i="14"/>
  <c r="AW282" i="14"/>
  <c r="AY282" i="14" s="1"/>
  <c r="AV283" i="14"/>
  <c r="AZ283" i="14"/>
  <c r="BA283" i="14"/>
  <c r="BK283" i="14" s="1"/>
  <c r="AC283" i="14"/>
  <c r="AQ283" i="14"/>
  <c r="AR283" i="14" s="1"/>
  <c r="AS283" i="14" s="1"/>
  <c r="AT283" i="14" s="1"/>
  <c r="AU283" i="14" s="1"/>
  <c r="AF283" i="14"/>
  <c r="AG283" i="14" s="1"/>
  <c r="AH283" i="14" s="1"/>
  <c r="AI283" i="14" s="1"/>
  <c r="AJ283" i="14" s="1"/>
  <c r="AK283" i="14"/>
  <c r="AL283" i="14" s="1"/>
  <c r="AM283" i="14" s="1"/>
  <c r="AN283" i="14" s="1"/>
  <c r="AO283" i="14" s="1"/>
  <c r="AP283" i="14" s="1"/>
  <c r="BJ284" i="14"/>
  <c r="BC284" i="14"/>
  <c r="BD284" i="14" s="1"/>
  <c r="AD284" i="14"/>
  <c r="AB284" i="14"/>
  <c r="BB284" i="14"/>
  <c r="AA284" i="14"/>
  <c r="BM284" i="14"/>
  <c r="BN284" i="14" s="1"/>
  <c r="BO284" i="14" s="1"/>
  <c r="C42" i="3"/>
  <c r="AE34" i="14"/>
  <c r="AE285" i="14"/>
  <c r="Z285" i="14"/>
  <c r="BI285" i="14" s="1"/>
  <c r="Z34" i="14"/>
  <c r="BW41" i="3"/>
  <c r="CI41" i="3" s="1"/>
  <c r="AG41" i="3"/>
  <c r="O38" i="26" s="1"/>
  <c r="BK41" i="3"/>
  <c r="AH41" i="3"/>
  <c r="P38" i="26" s="1"/>
  <c r="BL41" i="3"/>
  <c r="AI41" i="3"/>
  <c r="Q38" i="26" s="1"/>
  <c r="AY41" i="3"/>
  <c r="AJ41" i="3"/>
  <c r="R38" i="26" s="1"/>
  <c r="CE281" i="14"/>
  <c r="CH281" i="14"/>
  <c r="AW31" i="14"/>
  <c r="BD41" i="3" l="1"/>
  <c r="BV42" i="3"/>
  <c r="BU42" i="3"/>
  <c r="C39" i="25"/>
  <c r="C39" i="26"/>
  <c r="BH41" i="3"/>
  <c r="D38" i="25"/>
  <c r="D38" i="26"/>
  <c r="BG41" i="3"/>
  <c r="BE41" i="3"/>
  <c r="AW38" i="3"/>
  <c r="CF42" i="3"/>
  <c r="CJ41" i="3"/>
  <c r="AV41" i="3" s="1"/>
  <c r="CK41" i="3"/>
  <c r="BC41" i="3"/>
  <c r="BN41" i="3" s="1"/>
  <c r="BR39" i="3"/>
  <c r="BY42" i="3"/>
  <c r="BJ40" i="3"/>
  <c r="BP40" i="3" s="1"/>
  <c r="BF40" i="3"/>
  <c r="BQ40" i="3" s="1"/>
  <c r="BM40" i="3"/>
  <c r="BO40" i="3" s="1"/>
  <c r="AU40" i="3" s="1"/>
  <c r="DD201" i="3"/>
  <c r="CJ28" i="14"/>
  <c r="CC35" i="3" s="1"/>
  <c r="CJ281" i="14"/>
  <c r="AZ37" i="3" s="1"/>
  <c r="CK281" i="14"/>
  <c r="BA37" i="3" s="1"/>
  <c r="CK29" i="14"/>
  <c r="CD36" i="3" s="1"/>
  <c r="CA282" i="14"/>
  <c r="CB282" i="14" s="1"/>
  <c r="BV282" i="14"/>
  <c r="BX282" i="14" s="1"/>
  <c r="BZ282" i="14"/>
  <c r="BU282" i="14"/>
  <c r="CK28" i="14"/>
  <c r="CD35" i="3" s="1"/>
  <c r="BR283" i="14"/>
  <c r="BS283" i="14" s="1"/>
  <c r="BT282" i="14"/>
  <c r="BW282" i="14" s="1"/>
  <c r="CM281" i="14"/>
  <c r="BB37" i="3" s="1"/>
  <c r="CJ29" i="14"/>
  <c r="CC36" i="3" s="1"/>
  <c r="AY31" i="14"/>
  <c r="CF31" i="14" s="1"/>
  <c r="BQ31" i="14"/>
  <c r="BR31" i="14" s="1"/>
  <c r="AY30" i="14"/>
  <c r="BQ30" i="14"/>
  <c r="BR30" i="14" s="1"/>
  <c r="D42" i="3"/>
  <c r="AX33" i="14"/>
  <c r="AZ33" i="14"/>
  <c r="BA33" i="14"/>
  <c r="BK33" i="14" s="1"/>
  <c r="AQ33" i="14"/>
  <c r="AR33" i="14" s="1"/>
  <c r="AS33" i="14" s="1"/>
  <c r="AT33" i="14" s="1"/>
  <c r="AU33" i="14" s="1"/>
  <c r="AC33" i="14"/>
  <c r="AK33" i="14"/>
  <c r="AL33" i="14" s="1"/>
  <c r="AM33" i="14" s="1"/>
  <c r="AN33" i="14" s="1"/>
  <c r="AO33" i="14" s="1"/>
  <c r="AP33" i="14" s="1"/>
  <c r="AF33" i="14"/>
  <c r="AG32" i="14"/>
  <c r="AH32" i="14" s="1"/>
  <c r="AI32" i="14" s="1"/>
  <c r="AJ32" i="14" s="1"/>
  <c r="C43" i="3"/>
  <c r="AE286" i="14"/>
  <c r="Z35" i="14"/>
  <c r="Z286" i="14"/>
  <c r="BI286" i="14" s="1"/>
  <c r="AE35" i="14"/>
  <c r="BW42" i="3"/>
  <c r="CK42" i="3" s="1"/>
  <c r="AI42" i="3"/>
  <c r="Q39" i="26" s="1"/>
  <c r="BK42" i="3"/>
  <c r="BL42" i="3"/>
  <c r="AJ42" i="3"/>
  <c r="R39" i="26" s="1"/>
  <c r="AY42" i="3"/>
  <c r="AH42" i="3"/>
  <c r="P39" i="26" s="1"/>
  <c r="AG42" i="3"/>
  <c r="O39" i="26" s="1"/>
  <c r="BE283" i="14"/>
  <c r="BG283" i="14" s="1"/>
  <c r="CD283" i="14"/>
  <c r="AV33" i="14"/>
  <c r="BB34" i="14"/>
  <c r="BC34" i="14"/>
  <c r="BD34" i="14" s="1"/>
  <c r="BM34" i="14"/>
  <c r="BN34" i="14" s="1"/>
  <c r="BO34" i="14" s="1"/>
  <c r="BI34" i="14"/>
  <c r="BJ34" i="14" s="1"/>
  <c r="AB34" i="14"/>
  <c r="AA34" i="14"/>
  <c r="AV34" i="14" s="1"/>
  <c r="AD34" i="14"/>
  <c r="BA284" i="14"/>
  <c r="BK284" i="14" s="1"/>
  <c r="AZ284" i="14"/>
  <c r="AK284" i="14"/>
  <c r="AL284" i="14" s="1"/>
  <c r="AM284" i="14" s="1"/>
  <c r="AN284" i="14" s="1"/>
  <c r="AO284" i="14" s="1"/>
  <c r="AP284" i="14" s="1"/>
  <c r="AC284" i="14"/>
  <c r="AF284" i="14"/>
  <c r="AG284" i="14" s="1"/>
  <c r="AH284" i="14" s="1"/>
  <c r="AI284" i="14" s="1"/>
  <c r="AJ284" i="14" s="1"/>
  <c r="AQ284" i="14"/>
  <c r="AR284" i="14" s="1"/>
  <c r="AS284" i="14" s="1"/>
  <c r="AT284" i="14" s="1"/>
  <c r="AU284" i="14" s="1"/>
  <c r="BJ285" i="14"/>
  <c r="BM285" i="14"/>
  <c r="BN285" i="14" s="1"/>
  <c r="BO285" i="14" s="1"/>
  <c r="BB285" i="14"/>
  <c r="AA285" i="14"/>
  <c r="AB285" i="14"/>
  <c r="AD285" i="14"/>
  <c r="BC285" i="14"/>
  <c r="BD285" i="14" s="1"/>
  <c r="AX284" i="14"/>
  <c r="AV284" i="14"/>
  <c r="CE282" i="14"/>
  <c r="CH282" i="14"/>
  <c r="CF282" i="14"/>
  <c r="BE32" i="14"/>
  <c r="BG32" i="14" s="1"/>
  <c r="CD32" i="14"/>
  <c r="BQ284" i="14"/>
  <c r="AW283" i="14"/>
  <c r="AY283" i="14" s="1"/>
  <c r="BD42" i="3" l="1"/>
  <c r="BV43" i="3"/>
  <c r="BU43" i="3"/>
  <c r="C40" i="26"/>
  <c r="C40" i="25"/>
  <c r="BI42" i="3"/>
  <c r="D39" i="26"/>
  <c r="D39" i="25"/>
  <c r="BH42" i="3"/>
  <c r="BG42" i="3"/>
  <c r="BE42" i="3"/>
  <c r="CJ42" i="3"/>
  <c r="AV42" i="3" s="1"/>
  <c r="CF43" i="3"/>
  <c r="AW39" i="3"/>
  <c r="BJ41" i="3"/>
  <c r="BP41" i="3" s="1"/>
  <c r="BC42" i="3"/>
  <c r="BN42" i="3" s="1"/>
  <c r="BR40" i="3"/>
  <c r="CI42" i="3"/>
  <c r="BY43" i="3"/>
  <c r="BM41" i="3"/>
  <c r="BO41" i="3" s="1"/>
  <c r="AU41" i="3" s="1"/>
  <c r="BF41" i="3"/>
  <c r="BQ41" i="3" s="1"/>
  <c r="CH31" i="14"/>
  <c r="CE31" i="14"/>
  <c r="CK282" i="14"/>
  <c r="BA38" i="3" s="1"/>
  <c r="BR284" i="14"/>
  <c r="CM282" i="14"/>
  <c r="BB38" i="3" s="1"/>
  <c r="BV31" i="14"/>
  <c r="BX31" i="14" s="1"/>
  <c r="CK31" i="14" s="1"/>
  <c r="CD38" i="3" s="1"/>
  <c r="CA31" i="14"/>
  <c r="CB31" i="14" s="1"/>
  <c r="BZ31" i="14"/>
  <c r="BU31" i="14"/>
  <c r="CA283" i="14"/>
  <c r="CB283" i="14" s="1"/>
  <c r="BV283" i="14"/>
  <c r="BX283" i="14" s="1"/>
  <c r="BZ283" i="14"/>
  <c r="BU283" i="14"/>
  <c r="CA30" i="14"/>
  <c r="CB30" i="14" s="1"/>
  <c r="BV30" i="14"/>
  <c r="BX30" i="14" s="1"/>
  <c r="BZ30" i="14"/>
  <c r="BU30" i="14"/>
  <c r="CJ282" i="14"/>
  <c r="AZ38" i="3" s="1"/>
  <c r="BT283" i="14"/>
  <c r="BW283" i="14" s="1"/>
  <c r="CE30" i="14"/>
  <c r="CF30" i="14"/>
  <c r="CH30" i="14"/>
  <c r="DD202" i="3"/>
  <c r="BS284" i="14"/>
  <c r="BT30" i="14"/>
  <c r="BW30" i="14" s="1"/>
  <c r="BS30" i="14"/>
  <c r="BT31" i="14"/>
  <c r="BW31" i="14" s="1"/>
  <c r="BS31" i="14"/>
  <c r="D43" i="3"/>
  <c r="BG43" i="3" s="1"/>
  <c r="BE284" i="14"/>
  <c r="BG284" i="14" s="1"/>
  <c r="CD284" i="14"/>
  <c r="AB286" i="14"/>
  <c r="BM286" i="14"/>
  <c r="BN286" i="14" s="1"/>
  <c r="BO286" i="14" s="1"/>
  <c r="AD286" i="14"/>
  <c r="BC286" i="14"/>
  <c r="BD286" i="14" s="1"/>
  <c r="BJ286" i="14"/>
  <c r="AA286" i="14"/>
  <c r="AX286" i="14" s="1"/>
  <c r="BB286" i="14"/>
  <c r="C44" i="3"/>
  <c r="AE287" i="14"/>
  <c r="Z287" i="14"/>
  <c r="BI287" i="14" s="1"/>
  <c r="AE36" i="14"/>
  <c r="Z36" i="14"/>
  <c r="BW43" i="3"/>
  <c r="CI43" i="3" s="1"/>
  <c r="AI43" i="3"/>
  <c r="Q40" i="26" s="1"/>
  <c r="AY43" i="3"/>
  <c r="AG43" i="3"/>
  <c r="O40" i="26" s="1"/>
  <c r="BL43" i="3"/>
  <c r="AH43" i="3"/>
  <c r="P40" i="26" s="1"/>
  <c r="BK43" i="3"/>
  <c r="AJ43" i="3"/>
  <c r="R40" i="26" s="1"/>
  <c r="AW284" i="14"/>
  <c r="AY284" i="14" s="1"/>
  <c r="CF283" i="14"/>
  <c r="CH283" i="14"/>
  <c r="CE283" i="14"/>
  <c r="BB35" i="14"/>
  <c r="BM35" i="14"/>
  <c r="BN35" i="14" s="1"/>
  <c r="BO35" i="14" s="1"/>
  <c r="BI35" i="14"/>
  <c r="BJ35" i="14" s="1"/>
  <c r="AB35" i="14"/>
  <c r="BC35" i="14"/>
  <c r="BD35" i="14" s="1"/>
  <c r="AD35" i="14"/>
  <c r="AA35" i="14"/>
  <c r="AG33" i="14"/>
  <c r="AH33" i="14" s="1"/>
  <c r="AI33" i="14" s="1"/>
  <c r="AJ33" i="14" s="1"/>
  <c r="AV285" i="14"/>
  <c r="AZ285" i="14"/>
  <c r="BA285" i="14"/>
  <c r="BK285" i="14" s="1"/>
  <c r="AC285" i="14"/>
  <c r="AQ285" i="14"/>
  <c r="AR285" i="14" s="1"/>
  <c r="AS285" i="14" s="1"/>
  <c r="AT285" i="14" s="1"/>
  <c r="AU285" i="14" s="1"/>
  <c r="AK285" i="14"/>
  <c r="AL285" i="14" s="1"/>
  <c r="AM285" i="14" s="1"/>
  <c r="AN285" i="14" s="1"/>
  <c r="AO285" i="14" s="1"/>
  <c r="AP285" i="14" s="1"/>
  <c r="AF285" i="14"/>
  <c r="AG285" i="14" s="1"/>
  <c r="AH285" i="14" s="1"/>
  <c r="AI285" i="14" s="1"/>
  <c r="AJ285" i="14" s="1"/>
  <c r="BQ285" i="14"/>
  <c r="BE33" i="14"/>
  <c r="BG33" i="14" s="1"/>
  <c r="CD33" i="14"/>
  <c r="AX285" i="14"/>
  <c r="AX34" i="14"/>
  <c r="AZ34" i="14"/>
  <c r="BA34" i="14"/>
  <c r="BK34" i="14" s="1"/>
  <c r="AF34" i="14"/>
  <c r="AQ34" i="14"/>
  <c r="AR34" i="14" s="1"/>
  <c r="AS34" i="14" s="1"/>
  <c r="AT34" i="14" s="1"/>
  <c r="AU34" i="14" s="1"/>
  <c r="AK34" i="14"/>
  <c r="AL34" i="14" s="1"/>
  <c r="AM34" i="14" s="1"/>
  <c r="AN34" i="14" s="1"/>
  <c r="AO34" i="14" s="1"/>
  <c r="AP34" i="14" s="1"/>
  <c r="AC34" i="14"/>
  <c r="AW32" i="14"/>
  <c r="BD43" i="3" l="1"/>
  <c r="BV44" i="3"/>
  <c r="BU44" i="3"/>
  <c r="C41" i="26"/>
  <c r="C41" i="25"/>
  <c r="BH43" i="3"/>
  <c r="D40" i="25"/>
  <c r="D40" i="26"/>
  <c r="BI43" i="3"/>
  <c r="BE43" i="3"/>
  <c r="CK43" i="3"/>
  <c r="CF44" i="3"/>
  <c r="AW40" i="3"/>
  <c r="BR41" i="3"/>
  <c r="BC43" i="3"/>
  <c r="BN43" i="3" s="1"/>
  <c r="BY44" i="3"/>
  <c r="CJ43" i="3"/>
  <c r="AV43" i="3" s="1"/>
  <c r="BJ42" i="3"/>
  <c r="BP42" i="3" s="1"/>
  <c r="CJ283" i="14"/>
  <c r="AZ39" i="3" s="1"/>
  <c r="BM42" i="3"/>
  <c r="BO42" i="3" s="1"/>
  <c r="AU42" i="3" s="1"/>
  <c r="BF42" i="3"/>
  <c r="BQ42" i="3" s="1"/>
  <c r="DD203" i="3"/>
  <c r="CM31" i="14"/>
  <c r="CG38" i="3" s="1"/>
  <c r="CM283" i="14"/>
  <c r="BB39" i="3" s="1"/>
  <c r="CK283" i="14"/>
  <c r="BA39" i="3" s="1"/>
  <c r="BR285" i="14"/>
  <c r="CM30" i="14"/>
  <c r="CG37" i="3" s="1"/>
  <c r="CA284" i="14"/>
  <c r="CB284" i="14" s="1"/>
  <c r="BV284" i="14"/>
  <c r="BX284" i="14" s="1"/>
  <c r="BZ284" i="14"/>
  <c r="BU284" i="14"/>
  <c r="CK30" i="14"/>
  <c r="CD37" i="3" s="1"/>
  <c r="BT284" i="14"/>
  <c r="BW284" i="14" s="1"/>
  <c r="CE284" i="14"/>
  <c r="AV286" i="14"/>
  <c r="CJ31" i="14"/>
  <c r="CC38" i="3" s="1"/>
  <c r="AW33" i="14"/>
  <c r="BQ33" i="14" s="1"/>
  <c r="BR33" i="14" s="1"/>
  <c r="AY32" i="14"/>
  <c r="CH32" i="14" s="1"/>
  <c r="BQ32" i="14"/>
  <c r="BR32" i="14" s="1"/>
  <c r="CJ30" i="14"/>
  <c r="CC37" i="3" s="1"/>
  <c r="D44" i="3"/>
  <c r="BI44" i="3" s="1"/>
  <c r="BE34" i="14"/>
  <c r="BG34" i="14" s="1"/>
  <c r="CD34" i="14"/>
  <c r="AW285" i="14"/>
  <c r="AY285" i="14" s="1"/>
  <c r="BM287" i="14"/>
  <c r="BN287" i="14" s="1"/>
  <c r="BO287" i="14" s="1"/>
  <c r="AB287" i="14"/>
  <c r="BB287" i="14"/>
  <c r="AA287" i="14"/>
  <c r="AV287" i="14" s="1"/>
  <c r="AD287" i="14"/>
  <c r="BJ287" i="14"/>
  <c r="BC287" i="14"/>
  <c r="BD287" i="14" s="1"/>
  <c r="AG34" i="14"/>
  <c r="AH34" i="14" s="1"/>
  <c r="AI34" i="14" s="1"/>
  <c r="AJ34" i="14" s="1"/>
  <c r="BE285" i="14"/>
  <c r="BG285" i="14" s="1"/>
  <c r="CD285" i="14"/>
  <c r="BM36" i="14"/>
  <c r="BN36" i="14" s="1"/>
  <c r="BO36" i="14" s="1"/>
  <c r="AB36" i="14"/>
  <c r="BC36" i="14"/>
  <c r="BD36" i="14" s="1"/>
  <c r="BI36" i="14"/>
  <c r="BJ36" i="14" s="1"/>
  <c r="BB36" i="14"/>
  <c r="AA36" i="14"/>
  <c r="AX36" i="14" s="1"/>
  <c r="AD36" i="14"/>
  <c r="AZ286" i="14"/>
  <c r="BA286" i="14"/>
  <c r="BK286" i="14" s="1"/>
  <c r="AF286" i="14"/>
  <c r="AG286" i="14" s="1"/>
  <c r="AH286" i="14" s="1"/>
  <c r="AI286" i="14" s="1"/>
  <c r="AJ286" i="14" s="1"/>
  <c r="AK286" i="14"/>
  <c r="AL286" i="14" s="1"/>
  <c r="AM286" i="14" s="1"/>
  <c r="AN286" i="14" s="1"/>
  <c r="AO286" i="14" s="1"/>
  <c r="AP286" i="14" s="1"/>
  <c r="AQ286" i="14"/>
  <c r="AR286" i="14" s="1"/>
  <c r="AS286" i="14" s="1"/>
  <c r="AT286" i="14" s="1"/>
  <c r="AU286" i="14" s="1"/>
  <c r="AC286" i="14"/>
  <c r="BQ286" i="14"/>
  <c r="CH284" i="14"/>
  <c r="CF284" i="14"/>
  <c r="AV35" i="14"/>
  <c r="BA35" i="14"/>
  <c r="BK35" i="14" s="1"/>
  <c r="AZ35" i="14"/>
  <c r="AF35" i="14"/>
  <c r="AC35" i="14"/>
  <c r="AK35" i="14"/>
  <c r="AL35" i="14" s="1"/>
  <c r="AM35" i="14" s="1"/>
  <c r="AN35" i="14" s="1"/>
  <c r="AO35" i="14" s="1"/>
  <c r="AP35" i="14" s="1"/>
  <c r="AQ35" i="14"/>
  <c r="AR35" i="14" s="1"/>
  <c r="AS35" i="14" s="1"/>
  <c r="AT35" i="14" s="1"/>
  <c r="AU35" i="14" s="1"/>
  <c r="AX35" i="14"/>
  <c r="AE288" i="14"/>
  <c r="C45" i="3"/>
  <c r="AE37" i="14"/>
  <c r="Z37" i="14"/>
  <c r="Z288" i="14"/>
  <c r="BI288" i="14" s="1"/>
  <c r="AG44" i="3"/>
  <c r="O41" i="26" s="1"/>
  <c r="AJ44" i="3"/>
  <c r="R41" i="26" s="1"/>
  <c r="AY44" i="3"/>
  <c r="BL44" i="3"/>
  <c r="BW44" i="3"/>
  <c r="CK44" i="3" s="1"/>
  <c r="AI44" i="3"/>
  <c r="Q41" i="26" s="1"/>
  <c r="BK44" i="3"/>
  <c r="AH44" i="3"/>
  <c r="P41" i="26" s="1"/>
  <c r="BD44" i="3" l="1"/>
  <c r="BU45" i="3"/>
  <c r="BV45" i="3"/>
  <c r="BG44" i="3"/>
  <c r="C42" i="26"/>
  <c r="C42" i="25"/>
  <c r="BH44" i="3"/>
  <c r="D41" i="25"/>
  <c r="D41" i="26"/>
  <c r="BE44" i="3"/>
  <c r="CF45" i="3"/>
  <c r="AW41" i="3"/>
  <c r="BJ43" i="3"/>
  <c r="BP43" i="3" s="1"/>
  <c r="BC44" i="3"/>
  <c r="BN44" i="3" s="1"/>
  <c r="CJ44" i="3"/>
  <c r="AV44" i="3" s="1"/>
  <c r="BY45" i="3"/>
  <c r="CI44" i="3"/>
  <c r="BR42" i="3"/>
  <c r="BM43" i="3"/>
  <c r="BO43" i="3" s="1"/>
  <c r="AU43" i="3" s="1"/>
  <c r="DD204" i="3"/>
  <c r="BF43" i="3"/>
  <c r="BQ43" i="3" s="1"/>
  <c r="AY33" i="14"/>
  <c r="CH33" i="14" s="1"/>
  <c r="CJ284" i="14"/>
  <c r="AZ40" i="3" s="1"/>
  <c r="AX287" i="14"/>
  <c r="CM284" i="14"/>
  <c r="BB40" i="3" s="1"/>
  <c r="CE32" i="14"/>
  <c r="CK284" i="14"/>
  <c r="BA40" i="3" s="1"/>
  <c r="BV285" i="14"/>
  <c r="BX285" i="14" s="1"/>
  <c r="CA285" i="14"/>
  <c r="CB285" i="14" s="1"/>
  <c r="BU285" i="14"/>
  <c r="BZ285" i="14"/>
  <c r="CF32" i="14"/>
  <c r="BT285" i="14"/>
  <c r="BW285" i="14" s="1"/>
  <c r="BV33" i="14"/>
  <c r="BX33" i="14" s="1"/>
  <c r="CA33" i="14"/>
  <c r="CB33" i="14" s="1"/>
  <c r="BU33" i="14"/>
  <c r="BZ33" i="14"/>
  <c r="BR286" i="14"/>
  <c r="BS285" i="14"/>
  <c r="CA32" i="14"/>
  <c r="CB32" i="14" s="1"/>
  <c r="CM32" i="14" s="1"/>
  <c r="CG39" i="3" s="1"/>
  <c r="BV32" i="14"/>
  <c r="BX32" i="14" s="1"/>
  <c r="BU32" i="14"/>
  <c r="BZ32" i="14"/>
  <c r="AW286" i="14"/>
  <c r="AY286" i="14" s="1"/>
  <c r="CE285" i="14"/>
  <c r="AW34" i="14"/>
  <c r="BT32" i="14"/>
  <c r="BW32" i="14" s="1"/>
  <c r="BS32" i="14"/>
  <c r="BT33" i="14"/>
  <c r="BW33" i="14" s="1"/>
  <c r="BS33" i="14"/>
  <c r="D45" i="3"/>
  <c r="BH45" i="3" s="1"/>
  <c r="BM37" i="14"/>
  <c r="BN37" i="14" s="1"/>
  <c r="BO37" i="14" s="1"/>
  <c r="BI37" i="14"/>
  <c r="BJ37" i="14" s="1"/>
  <c r="BC37" i="14"/>
  <c r="BD37" i="14" s="1"/>
  <c r="AB37" i="14"/>
  <c r="BB37" i="14"/>
  <c r="AA37" i="14"/>
  <c r="AV37" i="14" s="1"/>
  <c r="AD37" i="14"/>
  <c r="BE35" i="14"/>
  <c r="BG35" i="14" s="1"/>
  <c r="CD35" i="14"/>
  <c r="BE286" i="14"/>
  <c r="BG286" i="14" s="1"/>
  <c r="CD286" i="14"/>
  <c r="AV36" i="14"/>
  <c r="AZ36" i="14"/>
  <c r="BA36" i="14"/>
  <c r="BK36" i="14" s="1"/>
  <c r="AK36" i="14"/>
  <c r="AL36" i="14" s="1"/>
  <c r="AM36" i="14" s="1"/>
  <c r="AN36" i="14" s="1"/>
  <c r="AO36" i="14" s="1"/>
  <c r="AP36" i="14" s="1"/>
  <c r="AQ36" i="14"/>
  <c r="AR36" i="14" s="1"/>
  <c r="AS36" i="14" s="1"/>
  <c r="AT36" i="14" s="1"/>
  <c r="AU36" i="14" s="1"/>
  <c r="AC36" i="14"/>
  <c r="AF36" i="14"/>
  <c r="BQ287" i="14"/>
  <c r="BJ288" i="14"/>
  <c r="BB288" i="14"/>
  <c r="AD288" i="14"/>
  <c r="BC288" i="14"/>
  <c r="BD288" i="14" s="1"/>
  <c r="AB288" i="14"/>
  <c r="AA288" i="14"/>
  <c r="AX288" i="14" s="1"/>
  <c r="BM288" i="14"/>
  <c r="BN288" i="14" s="1"/>
  <c r="BO288" i="14" s="1"/>
  <c r="AE289" i="14"/>
  <c r="AE38" i="14"/>
  <c r="C46" i="3"/>
  <c r="Z289" i="14"/>
  <c r="BI289" i="14" s="1"/>
  <c r="Z38" i="14"/>
  <c r="BW45" i="3"/>
  <c r="CI45" i="3" s="1"/>
  <c r="AI45" i="3"/>
  <c r="Q42" i="26" s="1"/>
  <c r="BK45" i="3"/>
  <c r="AG45" i="3"/>
  <c r="O42" i="26" s="1"/>
  <c r="AH45" i="3"/>
  <c r="P42" i="26" s="1"/>
  <c r="AY45" i="3"/>
  <c r="AJ45" i="3"/>
  <c r="R42" i="26" s="1"/>
  <c r="BL45" i="3"/>
  <c r="CF285" i="14"/>
  <c r="CH285" i="14"/>
  <c r="AK287" i="14"/>
  <c r="AL287" i="14" s="1"/>
  <c r="AM287" i="14" s="1"/>
  <c r="AN287" i="14" s="1"/>
  <c r="AO287" i="14" s="1"/>
  <c r="AP287" i="14" s="1"/>
  <c r="AZ287" i="14"/>
  <c r="BA287" i="14"/>
  <c r="BK287" i="14" s="1"/>
  <c r="AC287" i="14"/>
  <c r="AF287" i="14"/>
  <c r="AQ287" i="14"/>
  <c r="AR287" i="14" s="1"/>
  <c r="AS287" i="14" s="1"/>
  <c r="AT287" i="14" s="1"/>
  <c r="AU287" i="14" s="1"/>
  <c r="AG35" i="14"/>
  <c r="AH35" i="14" s="1"/>
  <c r="AI35" i="14" s="1"/>
  <c r="AJ35" i="14" s="1"/>
  <c r="BD45" i="3" l="1"/>
  <c r="BV46" i="3"/>
  <c r="BU46" i="3"/>
  <c r="BI45" i="3"/>
  <c r="C43" i="25"/>
  <c r="C43" i="26"/>
  <c r="BG45" i="3"/>
  <c r="D42" i="25"/>
  <c r="D42" i="26"/>
  <c r="BE45" i="3"/>
  <c r="CK45" i="3"/>
  <c r="AW42" i="3"/>
  <c r="CF46" i="3"/>
  <c r="BR43" i="3"/>
  <c r="BJ44" i="3"/>
  <c r="BP44" i="3" s="1"/>
  <c r="BC45" i="3"/>
  <c r="BN45" i="3" s="1"/>
  <c r="CJ45" i="3"/>
  <c r="AV45" i="3" s="1"/>
  <c r="BY46" i="3"/>
  <c r="BF44" i="3"/>
  <c r="BQ44" i="3" s="1"/>
  <c r="CE33" i="14"/>
  <c r="CJ33" i="14" s="1"/>
  <c r="CC40" i="3" s="1"/>
  <c r="BM44" i="3"/>
  <c r="BO44" i="3" s="1"/>
  <c r="AU44" i="3" s="1"/>
  <c r="CM33" i="14"/>
  <c r="CG40" i="3" s="1"/>
  <c r="CF33" i="14"/>
  <c r="CK33" i="14" s="1"/>
  <c r="CD40" i="3" s="1"/>
  <c r="CK285" i="14"/>
  <c r="BA41" i="3" s="1"/>
  <c r="CA286" i="14"/>
  <c r="CB286" i="14" s="1"/>
  <c r="BV286" i="14"/>
  <c r="BX286" i="14" s="1"/>
  <c r="BU286" i="14"/>
  <c r="BZ286" i="14"/>
  <c r="BR287" i="14"/>
  <c r="BS287" i="14" s="1"/>
  <c r="BS286" i="14"/>
  <c r="CK32" i="14"/>
  <c r="CD39" i="3" s="1"/>
  <c r="BT286" i="14"/>
  <c r="BW286" i="14" s="1"/>
  <c r="CM285" i="14"/>
  <c r="BB41" i="3" s="1"/>
  <c r="CJ285" i="14"/>
  <c r="AZ41" i="3" s="1"/>
  <c r="DD205" i="3"/>
  <c r="AX37" i="14"/>
  <c r="CJ32" i="14"/>
  <c r="CC39" i="3" s="1"/>
  <c r="AW35" i="14"/>
  <c r="AY34" i="14"/>
  <c r="BQ34" i="14"/>
  <c r="BR34" i="14" s="1"/>
  <c r="D46" i="3"/>
  <c r="BG46" i="3" s="1"/>
  <c r="AG36" i="14"/>
  <c r="AH36" i="14" s="1"/>
  <c r="AI36" i="14" s="1"/>
  <c r="AJ36" i="14" s="1"/>
  <c r="AG287" i="14"/>
  <c r="AH287" i="14" s="1"/>
  <c r="AI287" i="14" s="1"/>
  <c r="AJ287" i="14" s="1"/>
  <c r="BJ289" i="14"/>
  <c r="BM289" i="14"/>
  <c r="BN289" i="14" s="1"/>
  <c r="BO289" i="14" s="1"/>
  <c r="AD289" i="14"/>
  <c r="AA289" i="14"/>
  <c r="AX289" i="14" s="1"/>
  <c r="BC289" i="14"/>
  <c r="BD289" i="14" s="1"/>
  <c r="AB289" i="14"/>
  <c r="BB289" i="14"/>
  <c r="BE36" i="14"/>
  <c r="BG36" i="14" s="1"/>
  <c r="CD36" i="14"/>
  <c r="C47" i="3"/>
  <c r="AE290" i="14"/>
  <c r="Z39" i="14"/>
  <c r="Z290" i="14"/>
  <c r="BI290" i="14" s="1"/>
  <c r="AE39" i="14"/>
  <c r="AG46" i="3"/>
  <c r="O43" i="26" s="1"/>
  <c r="BK46" i="3"/>
  <c r="BL46" i="3"/>
  <c r="AJ46" i="3"/>
  <c r="R43" i="26" s="1"/>
  <c r="AY46" i="3"/>
  <c r="BW46" i="3"/>
  <c r="CK46" i="3" s="1"/>
  <c r="AI46" i="3"/>
  <c r="Q43" i="26" s="1"/>
  <c r="AH46" i="3"/>
  <c r="P43" i="26" s="1"/>
  <c r="BQ288" i="14"/>
  <c r="AF37" i="14"/>
  <c r="AZ37" i="14"/>
  <c r="BA37" i="14"/>
  <c r="BK37" i="14" s="1"/>
  <c r="AK37" i="14"/>
  <c r="AL37" i="14" s="1"/>
  <c r="AM37" i="14" s="1"/>
  <c r="AN37" i="14" s="1"/>
  <c r="AO37" i="14" s="1"/>
  <c r="AP37" i="14" s="1"/>
  <c r="AC37" i="14"/>
  <c r="AQ37" i="14"/>
  <c r="AR37" i="14" s="1"/>
  <c r="AS37" i="14" s="1"/>
  <c r="AT37" i="14" s="1"/>
  <c r="AU37" i="14" s="1"/>
  <c r="BE287" i="14"/>
  <c r="BG287" i="14" s="1"/>
  <c r="CD287" i="14"/>
  <c r="BB38" i="14"/>
  <c r="AD38" i="14"/>
  <c r="BI38" i="14"/>
  <c r="BJ38" i="14" s="1"/>
  <c r="BC38" i="14"/>
  <c r="BD38" i="14" s="1"/>
  <c r="AB38" i="14"/>
  <c r="BM38" i="14"/>
  <c r="BN38" i="14" s="1"/>
  <c r="BO38" i="14" s="1"/>
  <c r="AA38" i="14"/>
  <c r="AX38" i="14" s="1"/>
  <c r="AV288" i="14"/>
  <c r="BA288" i="14"/>
  <c r="BK288" i="14" s="1"/>
  <c r="AZ288" i="14"/>
  <c r="AQ288" i="14"/>
  <c r="AR288" i="14" s="1"/>
  <c r="AS288" i="14" s="1"/>
  <c r="AT288" i="14" s="1"/>
  <c r="AU288" i="14" s="1"/>
  <c r="AC288" i="14"/>
  <c r="AF288" i="14"/>
  <c r="AG288" i="14" s="1"/>
  <c r="AH288" i="14" s="1"/>
  <c r="AI288" i="14" s="1"/>
  <c r="AJ288" i="14" s="1"/>
  <c r="AK288" i="14"/>
  <c r="AL288" i="14" s="1"/>
  <c r="AM288" i="14" s="1"/>
  <c r="AN288" i="14" s="1"/>
  <c r="AO288" i="14" s="1"/>
  <c r="AP288" i="14" s="1"/>
  <c r="CE286" i="14"/>
  <c r="CF286" i="14"/>
  <c r="CH286" i="14"/>
  <c r="BD46" i="3" l="1"/>
  <c r="BV47" i="3"/>
  <c r="BU47" i="3"/>
  <c r="AW43" i="3"/>
  <c r="BH46" i="3"/>
  <c r="C44" i="26"/>
  <c r="C44" i="25"/>
  <c r="D43" i="26"/>
  <c r="D43" i="25"/>
  <c r="BI46" i="3"/>
  <c r="BE46" i="3"/>
  <c r="CF47" i="3"/>
  <c r="BR44" i="3"/>
  <c r="BC46" i="3"/>
  <c r="BN46" i="3" s="1"/>
  <c r="BJ45" i="3"/>
  <c r="BP45" i="3" s="1"/>
  <c r="CI46" i="3"/>
  <c r="CJ46" i="3"/>
  <c r="AV46" i="3" s="1"/>
  <c r="BY47" i="3"/>
  <c r="BM45" i="3"/>
  <c r="BO45" i="3" s="1"/>
  <c r="AU45" i="3" s="1"/>
  <c r="BF45" i="3"/>
  <c r="BQ45" i="3" s="1"/>
  <c r="DD206" i="3"/>
  <c r="CK286" i="14"/>
  <c r="BA42" i="3" s="1"/>
  <c r="CA287" i="14"/>
  <c r="CB287" i="14" s="1"/>
  <c r="BV287" i="14"/>
  <c r="BX287" i="14" s="1"/>
  <c r="BU287" i="14"/>
  <c r="BZ287" i="14"/>
  <c r="BR288" i="14"/>
  <c r="BT288" i="14" s="1"/>
  <c r="BW288" i="14" s="1"/>
  <c r="BT287" i="14"/>
  <c r="BW287" i="14" s="1"/>
  <c r="CJ286" i="14"/>
  <c r="AZ42" i="3" s="1"/>
  <c r="CA34" i="14"/>
  <c r="CB34" i="14" s="1"/>
  <c r="BV34" i="14"/>
  <c r="BX34" i="14" s="1"/>
  <c r="BZ34" i="14"/>
  <c r="BU34" i="14"/>
  <c r="CM286" i="14"/>
  <c r="BB42" i="3" s="1"/>
  <c r="CF34" i="14"/>
  <c r="CH34" i="14"/>
  <c r="CE34" i="14"/>
  <c r="AV38" i="14"/>
  <c r="BT34" i="14"/>
  <c r="BW34" i="14" s="1"/>
  <c r="BS34" i="14"/>
  <c r="AY35" i="14"/>
  <c r="BQ35" i="14"/>
  <c r="BR35" i="14" s="1"/>
  <c r="D47" i="3"/>
  <c r="BE37" i="14"/>
  <c r="BG37" i="14" s="1"/>
  <c r="CD37" i="14"/>
  <c r="AW36" i="14"/>
  <c r="AV289" i="14"/>
  <c r="AZ289" i="14"/>
  <c r="BA289" i="14"/>
  <c r="BK289" i="14" s="1"/>
  <c r="AK289" i="14"/>
  <c r="AL289" i="14" s="1"/>
  <c r="AM289" i="14" s="1"/>
  <c r="AN289" i="14" s="1"/>
  <c r="AO289" i="14" s="1"/>
  <c r="AP289" i="14" s="1"/>
  <c r="AQ289" i="14"/>
  <c r="AR289" i="14" s="1"/>
  <c r="AS289" i="14" s="1"/>
  <c r="AT289" i="14" s="1"/>
  <c r="AU289" i="14" s="1"/>
  <c r="AC289" i="14"/>
  <c r="AF289" i="14"/>
  <c r="AW288" i="14"/>
  <c r="AY288" i="14" s="1"/>
  <c r="AZ38" i="14"/>
  <c r="BA38" i="14"/>
  <c r="BK38" i="14" s="1"/>
  <c r="AQ38" i="14"/>
  <c r="AR38" i="14" s="1"/>
  <c r="AS38" i="14" s="1"/>
  <c r="AT38" i="14" s="1"/>
  <c r="AU38" i="14" s="1"/>
  <c r="AK38" i="14"/>
  <c r="AL38" i="14" s="1"/>
  <c r="AM38" i="14" s="1"/>
  <c r="AN38" i="14" s="1"/>
  <c r="AO38" i="14" s="1"/>
  <c r="AP38" i="14" s="1"/>
  <c r="AC38" i="14"/>
  <c r="AF38" i="14"/>
  <c r="AG37" i="14"/>
  <c r="AH37" i="14" s="1"/>
  <c r="AI37" i="14" s="1"/>
  <c r="AJ37" i="14" s="1"/>
  <c r="BC290" i="14"/>
  <c r="BD290" i="14" s="1"/>
  <c r="AB290" i="14"/>
  <c r="BJ290" i="14"/>
  <c r="BB290" i="14"/>
  <c r="BM290" i="14"/>
  <c r="BN290" i="14" s="1"/>
  <c r="BO290" i="14" s="1"/>
  <c r="AD290" i="14"/>
  <c r="AA290" i="14"/>
  <c r="AV290" i="14" s="1"/>
  <c r="C48" i="3"/>
  <c r="AE291" i="14"/>
  <c r="Z291" i="14"/>
  <c r="BI291" i="14" s="1"/>
  <c r="AE40" i="14"/>
  <c r="Z40" i="14"/>
  <c r="BW47" i="3"/>
  <c r="CK47" i="3" s="1"/>
  <c r="AG47" i="3"/>
  <c r="O44" i="26" s="1"/>
  <c r="AH47" i="3"/>
  <c r="P44" i="26" s="1"/>
  <c r="AY47" i="3"/>
  <c r="AJ47" i="3"/>
  <c r="R44" i="26" s="1"/>
  <c r="BL47" i="3"/>
  <c r="BK47" i="3"/>
  <c r="AI47" i="3"/>
  <c r="Q44" i="26" s="1"/>
  <c r="BQ289" i="14"/>
  <c r="BE288" i="14"/>
  <c r="BG288" i="14" s="1"/>
  <c r="CD288" i="14"/>
  <c r="BB39" i="14"/>
  <c r="AA39" i="14"/>
  <c r="AX39" i="14" s="1"/>
  <c r="BI39" i="14"/>
  <c r="BJ39" i="14" s="1"/>
  <c r="BM39" i="14"/>
  <c r="BN39" i="14" s="1"/>
  <c r="BO39" i="14" s="1"/>
  <c r="AB39" i="14"/>
  <c r="BC39" i="14"/>
  <c r="BD39" i="14" s="1"/>
  <c r="AD39" i="14"/>
  <c r="AW287" i="14"/>
  <c r="AY287" i="14" s="1"/>
  <c r="CE287" i="14" s="1"/>
  <c r="BD47" i="3" l="1"/>
  <c r="BV48" i="3"/>
  <c r="BU48" i="3"/>
  <c r="AW44" i="3"/>
  <c r="BI47" i="3"/>
  <c r="D44" i="25"/>
  <c r="D44" i="26"/>
  <c r="C45" i="26"/>
  <c r="C45" i="25"/>
  <c r="BH47" i="3"/>
  <c r="BG47" i="3"/>
  <c r="DD207" i="3"/>
  <c r="BE47" i="3"/>
  <c r="CF48" i="3"/>
  <c r="BR45" i="3"/>
  <c r="BC47" i="3"/>
  <c r="BN47" i="3" s="1"/>
  <c r="CJ47" i="3"/>
  <c r="AV47" i="3" s="1"/>
  <c r="CI47" i="3"/>
  <c r="BY48" i="3"/>
  <c r="BJ46" i="3"/>
  <c r="BP46" i="3" s="1"/>
  <c r="CJ287" i="14"/>
  <c r="AZ43" i="3" s="1"/>
  <c r="BM46" i="3"/>
  <c r="BO46" i="3" s="1"/>
  <c r="AU46" i="3" s="1"/>
  <c r="BF46" i="3"/>
  <c r="BQ46" i="3" s="1"/>
  <c r="BS288" i="14"/>
  <c r="CK34" i="14"/>
  <c r="CD41" i="3" s="1"/>
  <c r="BV35" i="14"/>
  <c r="BX35" i="14" s="1"/>
  <c r="CA35" i="14"/>
  <c r="CB35" i="14" s="1"/>
  <c r="BU35" i="14"/>
  <c r="BZ35" i="14"/>
  <c r="CA288" i="14"/>
  <c r="CB288" i="14" s="1"/>
  <c r="BV288" i="14"/>
  <c r="BX288" i="14" s="1"/>
  <c r="BZ288" i="14"/>
  <c r="BU288" i="14"/>
  <c r="BR289" i="14"/>
  <c r="CM34" i="14"/>
  <c r="CG41" i="3" s="1"/>
  <c r="CE35" i="14"/>
  <c r="CH35" i="14"/>
  <c r="CF35" i="14"/>
  <c r="CJ34" i="14"/>
  <c r="CC41" i="3" s="1"/>
  <c r="BT35" i="14"/>
  <c r="BW35" i="14" s="1"/>
  <c r="BS35" i="14"/>
  <c r="AY36" i="14"/>
  <c r="CH36" i="14" s="1"/>
  <c r="BQ36" i="14"/>
  <c r="BR36" i="14" s="1"/>
  <c r="D48" i="3"/>
  <c r="BG48" i="3" s="1"/>
  <c r="BI40" i="14"/>
  <c r="BJ40" i="14" s="1"/>
  <c r="BM40" i="14"/>
  <c r="BN40" i="14" s="1"/>
  <c r="BO40" i="14" s="1"/>
  <c r="AA40" i="14"/>
  <c r="AX40" i="14" s="1"/>
  <c r="AD40" i="14"/>
  <c r="BB40" i="14"/>
  <c r="BC40" i="14"/>
  <c r="BD40" i="14" s="1"/>
  <c r="AB40" i="14"/>
  <c r="AE292" i="14"/>
  <c r="C49" i="3"/>
  <c r="AE41" i="14"/>
  <c r="Z41" i="14"/>
  <c r="Z292" i="14"/>
  <c r="BI292" i="14" s="1"/>
  <c r="AG48" i="3"/>
  <c r="O45" i="26" s="1"/>
  <c r="BL48" i="3"/>
  <c r="BK48" i="3"/>
  <c r="AJ48" i="3"/>
  <c r="R45" i="26" s="1"/>
  <c r="AY48" i="3"/>
  <c r="BW48" i="3"/>
  <c r="CI48" i="3" s="1"/>
  <c r="AI48" i="3"/>
  <c r="Q45" i="26" s="1"/>
  <c r="AH48" i="3"/>
  <c r="P45" i="26" s="1"/>
  <c r="BQ290" i="14"/>
  <c r="AG38" i="14"/>
  <c r="AH38" i="14" s="1"/>
  <c r="AI38" i="14" s="1"/>
  <c r="AJ38" i="14" s="1"/>
  <c r="AW38" i="14" s="1"/>
  <c r="BE289" i="14"/>
  <c r="BG289" i="14" s="1"/>
  <c r="CD289" i="14"/>
  <c r="AG289" i="14"/>
  <c r="AH289" i="14" s="1"/>
  <c r="AI289" i="14" s="1"/>
  <c r="AJ289" i="14" s="1"/>
  <c r="CF287" i="14"/>
  <c r="CK287" i="14" s="1"/>
  <c r="BA43" i="3" s="1"/>
  <c r="CH288" i="14"/>
  <c r="CF288" i="14"/>
  <c r="CE288" i="14"/>
  <c r="CJ288" i="14" s="1"/>
  <c r="AZ44" i="3" s="1"/>
  <c r="AX290" i="14"/>
  <c r="AW37" i="14"/>
  <c r="BE38" i="14"/>
  <c r="BG38" i="14" s="1"/>
  <c r="CD38" i="14"/>
  <c r="BA39" i="14"/>
  <c r="BK39" i="14" s="1"/>
  <c r="AZ39" i="14"/>
  <c r="AQ39" i="14"/>
  <c r="AR39" i="14" s="1"/>
  <c r="AS39" i="14" s="1"/>
  <c r="AT39" i="14" s="1"/>
  <c r="AU39" i="14" s="1"/>
  <c r="AK39" i="14"/>
  <c r="AL39" i="14" s="1"/>
  <c r="AM39" i="14" s="1"/>
  <c r="AN39" i="14" s="1"/>
  <c r="AO39" i="14" s="1"/>
  <c r="AP39" i="14" s="1"/>
  <c r="AF39" i="14"/>
  <c r="AC39" i="14"/>
  <c r="CH287" i="14"/>
  <c r="CM287" i="14" s="1"/>
  <c r="BB43" i="3" s="1"/>
  <c r="BJ291" i="14"/>
  <c r="AD291" i="14"/>
  <c r="BC291" i="14"/>
  <c r="BD291" i="14" s="1"/>
  <c r="BM291" i="14"/>
  <c r="BN291" i="14" s="1"/>
  <c r="BO291" i="14" s="1"/>
  <c r="BB291" i="14"/>
  <c r="AB291" i="14"/>
  <c r="AA291" i="14"/>
  <c r="AV291" i="14" s="1"/>
  <c r="AZ290" i="14"/>
  <c r="BA290" i="14"/>
  <c r="BK290" i="14" s="1"/>
  <c r="AF290" i="14"/>
  <c r="AQ290" i="14"/>
  <c r="AR290" i="14" s="1"/>
  <c r="AS290" i="14" s="1"/>
  <c r="AT290" i="14" s="1"/>
  <c r="AU290" i="14" s="1"/>
  <c r="AC290" i="14"/>
  <c r="AK290" i="14"/>
  <c r="AL290" i="14" s="1"/>
  <c r="AM290" i="14" s="1"/>
  <c r="AN290" i="14" s="1"/>
  <c r="AO290" i="14" s="1"/>
  <c r="AP290" i="14" s="1"/>
  <c r="AV39" i="14"/>
  <c r="BD48" i="3" l="1"/>
  <c r="BU49" i="3"/>
  <c r="BV49" i="3"/>
  <c r="BI48" i="3"/>
  <c r="D45" i="25"/>
  <c r="D45" i="26"/>
  <c r="C46" i="26"/>
  <c r="C46" i="25"/>
  <c r="BH48" i="3"/>
  <c r="BE48" i="3"/>
  <c r="CK48" i="3"/>
  <c r="AW45" i="3"/>
  <c r="CF49" i="3"/>
  <c r="BJ47" i="3"/>
  <c r="BP47" i="3" s="1"/>
  <c r="BC48" i="3"/>
  <c r="BN48" i="3" s="1"/>
  <c r="BY49" i="3"/>
  <c r="CJ48" i="3"/>
  <c r="AV48" i="3" s="1"/>
  <c r="BR46" i="3"/>
  <c r="BF47" i="3"/>
  <c r="BQ47" i="3" s="1"/>
  <c r="BM47" i="3"/>
  <c r="BO47" i="3" s="1"/>
  <c r="AU47" i="3" s="1"/>
  <c r="DD208" i="3"/>
  <c r="CK288" i="14"/>
  <c r="BA44" i="3" s="1"/>
  <c r="CA36" i="14"/>
  <c r="CB36" i="14" s="1"/>
  <c r="CM36" i="14" s="1"/>
  <c r="CG43" i="3" s="1"/>
  <c r="BV36" i="14"/>
  <c r="BX36" i="14" s="1"/>
  <c r="BZ36" i="14"/>
  <c r="BU36" i="14"/>
  <c r="BV289" i="14"/>
  <c r="BX289" i="14" s="1"/>
  <c r="CA289" i="14"/>
  <c r="CB289" i="14" s="1"/>
  <c r="BU289" i="14"/>
  <c r="BZ289" i="14"/>
  <c r="BR290" i="14"/>
  <c r="BS290" i="14" s="1"/>
  <c r="BT289" i="14"/>
  <c r="BW289" i="14" s="1"/>
  <c r="CM35" i="14"/>
  <c r="CG42" i="3" s="1"/>
  <c r="BS289" i="14"/>
  <c r="CM288" i="14"/>
  <c r="BB44" i="3" s="1"/>
  <c r="CK35" i="14"/>
  <c r="CD42" i="3" s="1"/>
  <c r="CF36" i="14"/>
  <c r="CE36" i="14"/>
  <c r="AW289" i="14"/>
  <c r="AY289" i="14" s="1"/>
  <c r="CF289" i="14" s="1"/>
  <c r="AV40" i="14"/>
  <c r="AY38" i="14"/>
  <c r="CH38" i="14" s="1"/>
  <c r="BQ38" i="14"/>
  <c r="BR38" i="14" s="1"/>
  <c r="CJ35" i="14"/>
  <c r="CC42" i="3" s="1"/>
  <c r="BT36" i="14"/>
  <c r="BW36" i="14" s="1"/>
  <c r="BS36" i="14"/>
  <c r="AY37" i="14"/>
  <c r="BQ37" i="14"/>
  <c r="BR37" i="14" s="1"/>
  <c r="D49" i="3"/>
  <c r="BE290" i="14"/>
  <c r="BG290" i="14" s="1"/>
  <c r="CD290" i="14"/>
  <c r="BQ291" i="14"/>
  <c r="AB41" i="14"/>
  <c r="AD41" i="14"/>
  <c r="BI41" i="14"/>
  <c r="BJ41" i="14" s="1"/>
  <c r="BM41" i="14"/>
  <c r="BN41" i="14" s="1"/>
  <c r="BO41" i="14" s="1"/>
  <c r="BB41" i="14"/>
  <c r="AA41" i="14"/>
  <c r="BC41" i="14"/>
  <c r="BD41" i="14" s="1"/>
  <c r="AQ40" i="14"/>
  <c r="AR40" i="14" s="1"/>
  <c r="AS40" i="14" s="1"/>
  <c r="AT40" i="14" s="1"/>
  <c r="AU40" i="14" s="1"/>
  <c r="AZ40" i="14"/>
  <c r="BA40" i="14"/>
  <c r="BK40" i="14" s="1"/>
  <c r="AK40" i="14"/>
  <c r="AL40" i="14" s="1"/>
  <c r="AM40" i="14" s="1"/>
  <c r="AN40" i="14" s="1"/>
  <c r="AO40" i="14" s="1"/>
  <c r="AP40" i="14" s="1"/>
  <c r="AC40" i="14"/>
  <c r="AF40" i="14"/>
  <c r="AX291" i="14"/>
  <c r="AZ291" i="14"/>
  <c r="BA291" i="14"/>
  <c r="BK291" i="14" s="1"/>
  <c r="AF291" i="14"/>
  <c r="AG291" i="14" s="1"/>
  <c r="AH291" i="14" s="1"/>
  <c r="AI291" i="14" s="1"/>
  <c r="AJ291" i="14" s="1"/>
  <c r="AC291" i="14"/>
  <c r="AK291" i="14"/>
  <c r="AL291" i="14" s="1"/>
  <c r="AM291" i="14" s="1"/>
  <c r="AN291" i="14" s="1"/>
  <c r="AO291" i="14" s="1"/>
  <c r="AP291" i="14" s="1"/>
  <c r="AQ291" i="14"/>
  <c r="AR291" i="14" s="1"/>
  <c r="AS291" i="14" s="1"/>
  <c r="AT291" i="14" s="1"/>
  <c r="AU291" i="14" s="1"/>
  <c r="BE39" i="14"/>
  <c r="BG39" i="14" s="1"/>
  <c r="CD39" i="14"/>
  <c r="AG290" i="14"/>
  <c r="AH290" i="14" s="1"/>
  <c r="AI290" i="14" s="1"/>
  <c r="AJ290" i="14" s="1"/>
  <c r="AG39" i="14"/>
  <c r="AH39" i="14" s="1"/>
  <c r="AI39" i="14" s="1"/>
  <c r="AJ39" i="14" s="1"/>
  <c r="AB292" i="14"/>
  <c r="AA292" i="14"/>
  <c r="AX292" i="14" s="1"/>
  <c r="BJ292" i="14"/>
  <c r="BM292" i="14"/>
  <c r="BN292" i="14" s="1"/>
  <c r="BO292" i="14" s="1"/>
  <c r="BB292" i="14"/>
  <c r="AD292" i="14"/>
  <c r="BC292" i="14"/>
  <c r="BD292" i="14" s="1"/>
  <c r="AE42" i="14"/>
  <c r="C50" i="3"/>
  <c r="Z293" i="14"/>
  <c r="BI293" i="14" s="1"/>
  <c r="AE293" i="14"/>
  <c r="Z42" i="14"/>
  <c r="BW49" i="3"/>
  <c r="CI49" i="3" s="1"/>
  <c r="AI49" i="3"/>
  <c r="Q46" i="26" s="1"/>
  <c r="AY49" i="3"/>
  <c r="AG49" i="3"/>
  <c r="O46" i="26" s="1"/>
  <c r="BK49" i="3"/>
  <c r="AH49" i="3"/>
  <c r="P46" i="26" s="1"/>
  <c r="AJ49" i="3"/>
  <c r="R46" i="26" s="1"/>
  <c r="BL49" i="3"/>
  <c r="BD49" i="3" l="1"/>
  <c r="BV50" i="3"/>
  <c r="BU50" i="3"/>
  <c r="C47" i="25"/>
  <c r="C47" i="26"/>
  <c r="BI49" i="3"/>
  <c r="D46" i="25"/>
  <c r="D46" i="26"/>
  <c r="BG49" i="3"/>
  <c r="BH49" i="3"/>
  <c r="BE49" i="3"/>
  <c r="CK49" i="3"/>
  <c r="CF50" i="3"/>
  <c r="AW46" i="3"/>
  <c r="BR47" i="3"/>
  <c r="BC49" i="3"/>
  <c r="BN49" i="3" s="1"/>
  <c r="BJ48" i="3"/>
  <c r="BP48" i="3" s="1"/>
  <c r="BY50" i="3"/>
  <c r="CJ49" i="3"/>
  <c r="AV49" i="3" s="1"/>
  <c r="BM48" i="3"/>
  <c r="BO48" i="3" s="1"/>
  <c r="AU48" i="3" s="1"/>
  <c r="BF48" i="3"/>
  <c r="BQ48" i="3" s="1"/>
  <c r="DD209" i="3"/>
  <c r="CF38" i="14"/>
  <c r="CK289" i="14"/>
  <c r="BA45" i="3" s="1"/>
  <c r="CE38" i="14"/>
  <c r="CK36" i="14"/>
  <c r="CD43" i="3" s="1"/>
  <c r="CA38" i="14"/>
  <c r="CB38" i="14" s="1"/>
  <c r="CM38" i="14" s="1"/>
  <c r="CG45" i="3" s="1"/>
  <c r="BV38" i="14"/>
  <c r="BX38" i="14" s="1"/>
  <c r="BZ38" i="14"/>
  <c r="BU38" i="14"/>
  <c r="CA290" i="14"/>
  <c r="CB290" i="14" s="1"/>
  <c r="BV290" i="14"/>
  <c r="BX290" i="14" s="1"/>
  <c r="BU290" i="14"/>
  <c r="BZ290" i="14"/>
  <c r="BR291" i="14"/>
  <c r="CA37" i="14"/>
  <c r="CB37" i="14" s="1"/>
  <c r="BV37" i="14"/>
  <c r="BX37" i="14" s="1"/>
  <c r="BZ37" i="14"/>
  <c r="BU37" i="14"/>
  <c r="BT290" i="14"/>
  <c r="BW290" i="14" s="1"/>
  <c r="CE289" i="14"/>
  <c r="CJ289" i="14" s="1"/>
  <c r="AZ45" i="3" s="1"/>
  <c r="CH289" i="14"/>
  <c r="CM289" i="14" s="1"/>
  <c r="BB45" i="3" s="1"/>
  <c r="CF37" i="14"/>
  <c r="CH37" i="14"/>
  <c r="CE37" i="14"/>
  <c r="CJ36" i="14"/>
  <c r="CC43" i="3" s="1"/>
  <c r="AW290" i="14"/>
  <c r="AY290" i="14" s="1"/>
  <c r="CE290" i="14" s="1"/>
  <c r="BT37" i="14"/>
  <c r="BW37" i="14" s="1"/>
  <c r="BS37" i="14"/>
  <c r="BT38" i="14"/>
  <c r="BW38" i="14" s="1"/>
  <c r="BS38" i="14"/>
  <c r="AW291" i="14"/>
  <c r="AY291" i="14" s="1"/>
  <c r="D50" i="3"/>
  <c r="BG50" i="3" s="1"/>
  <c r="AG40" i="14"/>
  <c r="AH40" i="14" s="1"/>
  <c r="AI40" i="14" s="1"/>
  <c r="AJ40" i="14" s="1"/>
  <c r="BE40" i="14"/>
  <c r="BG40" i="14" s="1"/>
  <c r="CD40" i="14"/>
  <c r="AC41" i="14"/>
  <c r="AZ41" i="14"/>
  <c r="BA41" i="14"/>
  <c r="BK41" i="14" s="1"/>
  <c r="AK41" i="14"/>
  <c r="AL41" i="14" s="1"/>
  <c r="AM41" i="14" s="1"/>
  <c r="AN41" i="14" s="1"/>
  <c r="AO41" i="14" s="1"/>
  <c r="AP41" i="14" s="1"/>
  <c r="AF41" i="14"/>
  <c r="AQ41" i="14"/>
  <c r="AR41" i="14" s="1"/>
  <c r="AS41" i="14" s="1"/>
  <c r="AT41" i="14" s="1"/>
  <c r="AU41" i="14" s="1"/>
  <c r="AA293" i="14"/>
  <c r="AX293" i="14" s="1"/>
  <c r="BB293" i="14"/>
  <c r="AD293" i="14"/>
  <c r="BJ293" i="14"/>
  <c r="BC293" i="14"/>
  <c r="BD293" i="14" s="1"/>
  <c r="BM293" i="14"/>
  <c r="BN293" i="14" s="1"/>
  <c r="BO293" i="14" s="1"/>
  <c r="AB293" i="14"/>
  <c r="AW39" i="14"/>
  <c r="C51" i="3"/>
  <c r="AE294" i="14"/>
  <c r="Z43" i="14"/>
  <c r="Z294" i="14"/>
  <c r="BI294" i="14" s="1"/>
  <c r="AE43" i="14"/>
  <c r="AG50" i="3"/>
  <c r="O47" i="26" s="1"/>
  <c r="BL50" i="3"/>
  <c r="AJ50" i="3"/>
  <c r="R47" i="26" s="1"/>
  <c r="AI50" i="3"/>
  <c r="Q47" i="26" s="1"/>
  <c r="BK50" i="3"/>
  <c r="AH50" i="3"/>
  <c r="P47" i="26" s="1"/>
  <c r="BW50" i="3"/>
  <c r="CK50" i="3" s="1"/>
  <c r="AY50" i="3"/>
  <c r="BQ292" i="14"/>
  <c r="BC42" i="14"/>
  <c r="BD42" i="14" s="1"/>
  <c r="BM42" i="14"/>
  <c r="BN42" i="14" s="1"/>
  <c r="BO42" i="14" s="1"/>
  <c r="AB42" i="14"/>
  <c r="BB42" i="14"/>
  <c r="AA42" i="14"/>
  <c r="AV42" i="14" s="1"/>
  <c r="BI42" i="14"/>
  <c r="BJ42" i="14" s="1"/>
  <c r="AD42" i="14"/>
  <c r="AV292" i="14"/>
  <c r="BA292" i="14"/>
  <c r="BK292" i="14" s="1"/>
  <c r="AZ292" i="14"/>
  <c r="AC292" i="14"/>
  <c r="AQ292" i="14"/>
  <c r="AR292" i="14" s="1"/>
  <c r="AS292" i="14" s="1"/>
  <c r="AT292" i="14" s="1"/>
  <c r="AU292" i="14" s="1"/>
  <c r="AF292" i="14"/>
  <c r="AG292" i="14" s="1"/>
  <c r="AH292" i="14" s="1"/>
  <c r="AI292" i="14" s="1"/>
  <c r="AJ292" i="14" s="1"/>
  <c r="AK292" i="14"/>
  <c r="AL292" i="14" s="1"/>
  <c r="AM292" i="14" s="1"/>
  <c r="AN292" i="14" s="1"/>
  <c r="AO292" i="14" s="1"/>
  <c r="AP292" i="14" s="1"/>
  <c r="BE291" i="14"/>
  <c r="BG291" i="14" s="1"/>
  <c r="CD291" i="14"/>
  <c r="AV41" i="14"/>
  <c r="AX41" i="14"/>
  <c r="BD50" i="3" l="1"/>
  <c r="BV51" i="3"/>
  <c r="BU51" i="3"/>
  <c r="AW47" i="3"/>
  <c r="BJ49" i="3"/>
  <c r="BP49" i="3" s="1"/>
  <c r="C48" i="26"/>
  <c r="C48" i="25"/>
  <c r="BH50" i="3"/>
  <c r="D47" i="26"/>
  <c r="D47" i="25"/>
  <c r="BI50" i="3"/>
  <c r="BE50" i="3"/>
  <c r="CI50" i="3"/>
  <c r="CF51" i="3"/>
  <c r="BR48" i="3"/>
  <c r="BC50" i="3"/>
  <c r="BN50" i="3" s="1"/>
  <c r="CJ50" i="3"/>
  <c r="AV50" i="3" s="1"/>
  <c r="BY51" i="3"/>
  <c r="BM49" i="3"/>
  <c r="BO49" i="3" s="1"/>
  <c r="AU49" i="3" s="1"/>
  <c r="BF49" i="3"/>
  <c r="BQ49" i="3" s="1"/>
  <c r="CK38" i="14"/>
  <c r="CD45" i="3" s="1"/>
  <c r="CM37" i="14"/>
  <c r="CG44" i="3" s="1"/>
  <c r="CJ290" i="14"/>
  <c r="AZ46" i="3" s="1"/>
  <c r="CA291" i="14"/>
  <c r="CB291" i="14" s="1"/>
  <c r="BV291" i="14"/>
  <c r="BX291" i="14" s="1"/>
  <c r="BU291" i="14"/>
  <c r="BZ291" i="14"/>
  <c r="BS291" i="14"/>
  <c r="BT291" i="14"/>
  <c r="BW291" i="14" s="1"/>
  <c r="BR292" i="14"/>
  <c r="CK37" i="14"/>
  <c r="CD44" i="3" s="1"/>
  <c r="CF290" i="14"/>
  <c r="CK290" i="14" s="1"/>
  <c r="BA46" i="3" s="1"/>
  <c r="CH290" i="14"/>
  <c r="CM290" i="14" s="1"/>
  <c r="BB46" i="3" s="1"/>
  <c r="CJ38" i="14"/>
  <c r="CC45" i="3" s="1"/>
  <c r="DD210" i="3"/>
  <c r="CJ37" i="14"/>
  <c r="CC44" i="3" s="1"/>
  <c r="AY39" i="14"/>
  <c r="BQ39" i="14"/>
  <c r="BR39" i="14" s="1"/>
  <c r="D51" i="3"/>
  <c r="CH291" i="14"/>
  <c r="CF291" i="14"/>
  <c r="CE291" i="14"/>
  <c r="BI43" i="14"/>
  <c r="BJ43" i="14" s="1"/>
  <c r="BB43" i="14"/>
  <c r="BM43" i="14"/>
  <c r="BN43" i="14" s="1"/>
  <c r="BO43" i="14" s="1"/>
  <c r="BC43" i="14"/>
  <c r="BD43" i="14" s="1"/>
  <c r="AA43" i="14"/>
  <c r="AV43" i="14" s="1"/>
  <c r="AB43" i="14"/>
  <c r="AD43" i="14"/>
  <c r="C52" i="3"/>
  <c r="AE295" i="14"/>
  <c r="Z295" i="14"/>
  <c r="BI295" i="14" s="1"/>
  <c r="AE44" i="14"/>
  <c r="Z44" i="14"/>
  <c r="BL51" i="3"/>
  <c r="AJ51" i="3"/>
  <c r="R48" i="26" s="1"/>
  <c r="BW51" i="3"/>
  <c r="CI51" i="3" s="1"/>
  <c r="AI51" i="3"/>
  <c r="Q48" i="26" s="1"/>
  <c r="BK51" i="3"/>
  <c r="AH51" i="3"/>
  <c r="P48" i="26" s="1"/>
  <c r="AY51" i="3"/>
  <c r="AG51" i="3"/>
  <c r="O48" i="26" s="1"/>
  <c r="BE292" i="14"/>
  <c r="BG292" i="14" s="1"/>
  <c r="CD292" i="14"/>
  <c r="BQ293" i="14"/>
  <c r="BE41" i="14"/>
  <c r="BG41" i="14" s="1"/>
  <c r="CD41" i="14"/>
  <c r="AW40" i="14"/>
  <c r="AB294" i="14"/>
  <c r="BC294" i="14"/>
  <c r="BD294" i="14" s="1"/>
  <c r="BJ294" i="14"/>
  <c r="AA294" i="14"/>
  <c r="AX294" i="14" s="1"/>
  <c r="BM294" i="14"/>
  <c r="BN294" i="14" s="1"/>
  <c r="BO294" i="14" s="1"/>
  <c r="BB294" i="14"/>
  <c r="AD294" i="14"/>
  <c r="AW292" i="14"/>
  <c r="AY292" i="14" s="1"/>
  <c r="AX42" i="14"/>
  <c r="AZ42" i="14"/>
  <c r="BA42" i="14"/>
  <c r="BK42" i="14" s="1"/>
  <c r="AF42" i="14"/>
  <c r="AQ42" i="14"/>
  <c r="AR42" i="14" s="1"/>
  <c r="AS42" i="14" s="1"/>
  <c r="AT42" i="14" s="1"/>
  <c r="AU42" i="14" s="1"/>
  <c r="AK42" i="14"/>
  <c r="AL42" i="14" s="1"/>
  <c r="AM42" i="14" s="1"/>
  <c r="AN42" i="14" s="1"/>
  <c r="AO42" i="14" s="1"/>
  <c r="AP42" i="14" s="1"/>
  <c r="AC42" i="14"/>
  <c r="AV293" i="14"/>
  <c r="AZ293" i="14"/>
  <c r="BA293" i="14"/>
  <c r="BK293" i="14" s="1"/>
  <c r="AF293" i="14"/>
  <c r="AK293" i="14"/>
  <c r="AL293" i="14" s="1"/>
  <c r="AM293" i="14" s="1"/>
  <c r="AN293" i="14" s="1"/>
  <c r="AO293" i="14" s="1"/>
  <c r="AP293" i="14" s="1"/>
  <c r="AQ293" i="14"/>
  <c r="AR293" i="14" s="1"/>
  <c r="AS293" i="14" s="1"/>
  <c r="AT293" i="14" s="1"/>
  <c r="AU293" i="14" s="1"/>
  <c r="AC293" i="14"/>
  <c r="AG41" i="14"/>
  <c r="AH41" i="14" s="1"/>
  <c r="AI41" i="14" s="1"/>
  <c r="AJ41" i="14" s="1"/>
  <c r="BD51" i="3" l="1"/>
  <c r="BR49" i="3"/>
  <c r="BV52" i="3"/>
  <c r="BU52" i="3"/>
  <c r="AW48" i="3"/>
  <c r="BG51" i="3"/>
  <c r="D48" i="25"/>
  <c r="D48" i="26"/>
  <c r="C49" i="26"/>
  <c r="C49" i="25"/>
  <c r="BI51" i="3"/>
  <c r="BH51" i="3"/>
  <c r="BE51" i="3"/>
  <c r="CK51" i="3"/>
  <c r="CF52" i="3"/>
  <c r="BC51" i="3"/>
  <c r="BN51" i="3" s="1"/>
  <c r="CJ51" i="3"/>
  <c r="AV51" i="3" s="1"/>
  <c r="BY52" i="3"/>
  <c r="BJ50" i="3"/>
  <c r="BP50" i="3" s="1"/>
  <c r="BF50" i="3"/>
  <c r="BQ50" i="3" s="1"/>
  <c r="CK291" i="14"/>
  <c r="BA47" i="3" s="1"/>
  <c r="BM50" i="3"/>
  <c r="BO50" i="3" s="1"/>
  <c r="AU50" i="3" s="1"/>
  <c r="CJ291" i="14"/>
  <c r="AZ47" i="3" s="1"/>
  <c r="CA292" i="14"/>
  <c r="CB292" i="14" s="1"/>
  <c r="BV292" i="14"/>
  <c r="BX292" i="14" s="1"/>
  <c r="BZ292" i="14"/>
  <c r="BU292" i="14"/>
  <c r="BT292" i="14"/>
  <c r="BW292" i="14" s="1"/>
  <c r="BS292" i="14"/>
  <c r="CM291" i="14"/>
  <c r="BB47" i="3" s="1"/>
  <c r="BR293" i="14"/>
  <c r="BT293" i="14" s="1"/>
  <c r="BW293" i="14" s="1"/>
  <c r="BV39" i="14"/>
  <c r="BX39" i="14" s="1"/>
  <c r="CA39" i="14"/>
  <c r="CB39" i="14" s="1"/>
  <c r="BZ39" i="14"/>
  <c r="BU39" i="14"/>
  <c r="DD211" i="3"/>
  <c r="CH39" i="14"/>
  <c r="CF39" i="14"/>
  <c r="CE39" i="14"/>
  <c r="AW49" i="3"/>
  <c r="AY40" i="14"/>
  <c r="BQ40" i="14"/>
  <c r="BR40" i="14" s="1"/>
  <c r="BT39" i="14"/>
  <c r="BW39" i="14" s="1"/>
  <c r="BS39" i="14"/>
  <c r="AW41" i="14"/>
  <c r="D52" i="3"/>
  <c r="BI52" i="3" s="1"/>
  <c r="AG293" i="14"/>
  <c r="AH293" i="14" s="1"/>
  <c r="AI293" i="14" s="1"/>
  <c r="AJ293" i="14" s="1"/>
  <c r="BE42" i="14"/>
  <c r="BG42" i="14" s="1"/>
  <c r="CD42" i="14"/>
  <c r="AV294" i="14"/>
  <c r="AZ294" i="14"/>
  <c r="BA294" i="14"/>
  <c r="BK294" i="14" s="1"/>
  <c r="AK294" i="14"/>
  <c r="AL294" i="14" s="1"/>
  <c r="AM294" i="14" s="1"/>
  <c r="AN294" i="14" s="1"/>
  <c r="AO294" i="14" s="1"/>
  <c r="AP294" i="14" s="1"/>
  <c r="AC294" i="14"/>
  <c r="AQ294" i="14"/>
  <c r="AR294" i="14" s="1"/>
  <c r="AS294" i="14" s="1"/>
  <c r="AT294" i="14" s="1"/>
  <c r="AU294" i="14" s="1"/>
  <c r="AF294" i="14"/>
  <c r="AE296" i="14"/>
  <c r="C53" i="3"/>
  <c r="AE45" i="14"/>
  <c r="Z45" i="14"/>
  <c r="Z296" i="14"/>
  <c r="BI296" i="14" s="1"/>
  <c r="BW52" i="3"/>
  <c r="CK52" i="3" s="1"/>
  <c r="AI52" i="3"/>
  <c r="Q49" i="26" s="1"/>
  <c r="BK52" i="3"/>
  <c r="AG52" i="3"/>
  <c r="O49" i="26" s="1"/>
  <c r="AH52" i="3"/>
  <c r="P49" i="26" s="1"/>
  <c r="AJ52" i="3"/>
  <c r="R49" i="26" s="1"/>
  <c r="BL52" i="3"/>
  <c r="AY52" i="3"/>
  <c r="BQ294" i="14"/>
  <c r="CH292" i="14"/>
  <c r="CF292" i="14"/>
  <c r="AX43" i="14"/>
  <c r="AZ43" i="14"/>
  <c r="BA43" i="14"/>
  <c r="BK43" i="14" s="1"/>
  <c r="AQ43" i="14"/>
  <c r="AR43" i="14" s="1"/>
  <c r="AS43" i="14" s="1"/>
  <c r="AT43" i="14" s="1"/>
  <c r="AU43" i="14" s="1"/>
  <c r="AF43" i="14"/>
  <c r="AC43" i="14"/>
  <c r="AK43" i="14"/>
  <c r="AL43" i="14" s="1"/>
  <c r="AM43" i="14" s="1"/>
  <c r="AN43" i="14" s="1"/>
  <c r="AO43" i="14" s="1"/>
  <c r="AP43" i="14" s="1"/>
  <c r="BB44" i="14"/>
  <c r="AB44" i="14"/>
  <c r="BI44" i="14"/>
  <c r="BJ44" i="14" s="1"/>
  <c r="BM44" i="14"/>
  <c r="BN44" i="14" s="1"/>
  <c r="BO44" i="14" s="1"/>
  <c r="AA44" i="14"/>
  <c r="AD44" i="14"/>
  <c r="BC44" i="14"/>
  <c r="BD44" i="14" s="1"/>
  <c r="BE293" i="14"/>
  <c r="BG293" i="14" s="1"/>
  <c r="CD293" i="14"/>
  <c r="AG42" i="14"/>
  <c r="AH42" i="14" s="1"/>
  <c r="AI42" i="14" s="1"/>
  <c r="AJ42" i="14" s="1"/>
  <c r="CE292" i="14"/>
  <c r="BM295" i="14"/>
  <c r="BN295" i="14" s="1"/>
  <c r="BO295" i="14" s="1"/>
  <c r="BB295" i="14"/>
  <c r="AA295" i="14"/>
  <c r="AD295" i="14"/>
  <c r="BJ295" i="14"/>
  <c r="AB295" i="14"/>
  <c r="BC295" i="14"/>
  <c r="BD295" i="14" s="1"/>
  <c r="BD52" i="3" l="1"/>
  <c r="BU53" i="3"/>
  <c r="BV53" i="3"/>
  <c r="C50" i="26"/>
  <c r="C50" i="25"/>
  <c r="BH52" i="3"/>
  <c r="D49" i="25"/>
  <c r="D49" i="26"/>
  <c r="BJ51" i="3"/>
  <c r="BP51" i="3" s="1"/>
  <c r="BG52" i="3"/>
  <c r="BE52" i="3"/>
  <c r="CF53" i="3"/>
  <c r="BC52" i="3"/>
  <c r="BN52" i="3" s="1"/>
  <c r="CI52" i="3"/>
  <c r="CJ52" i="3"/>
  <c r="AV52" i="3" s="1"/>
  <c r="BY53" i="3"/>
  <c r="BR50" i="3"/>
  <c r="BS293" i="14"/>
  <c r="BF51" i="3"/>
  <c r="BQ51" i="3" s="1"/>
  <c r="BM51" i="3"/>
  <c r="BO51" i="3" s="1"/>
  <c r="AU51" i="3" s="1"/>
  <c r="CJ292" i="14"/>
  <c r="AZ48" i="3" s="1"/>
  <c r="DD212" i="3"/>
  <c r="CK39" i="14"/>
  <c r="CD46" i="3" s="1"/>
  <c r="CK292" i="14"/>
  <c r="BA48" i="3" s="1"/>
  <c r="CM39" i="14"/>
  <c r="CG46" i="3" s="1"/>
  <c r="CA293" i="14"/>
  <c r="CB293" i="14" s="1"/>
  <c r="BV293" i="14"/>
  <c r="BX293" i="14" s="1"/>
  <c r="BU293" i="14"/>
  <c r="BZ293" i="14"/>
  <c r="BR294" i="14"/>
  <c r="BS294" i="14" s="1"/>
  <c r="CA40" i="14"/>
  <c r="CB40" i="14" s="1"/>
  <c r="BV40" i="14"/>
  <c r="BX40" i="14" s="1"/>
  <c r="BU40" i="14"/>
  <c r="BZ40" i="14"/>
  <c r="CM292" i="14"/>
  <c r="BB48" i="3" s="1"/>
  <c r="AW42" i="14"/>
  <c r="AY42" i="14" s="1"/>
  <c r="CH42" i="14" s="1"/>
  <c r="CH40" i="14"/>
  <c r="CE40" i="14"/>
  <c r="CF40" i="14"/>
  <c r="CJ39" i="14"/>
  <c r="CC46" i="3" s="1"/>
  <c r="BT40" i="14"/>
  <c r="BW40" i="14" s="1"/>
  <c r="BS40" i="14"/>
  <c r="AY41" i="14"/>
  <c r="BQ41" i="14"/>
  <c r="BR41" i="14" s="1"/>
  <c r="D53" i="3"/>
  <c r="AZ44" i="14"/>
  <c r="BA44" i="14"/>
  <c r="BK44" i="14" s="1"/>
  <c r="AK44" i="14"/>
  <c r="AL44" i="14" s="1"/>
  <c r="AM44" i="14" s="1"/>
  <c r="AN44" i="14" s="1"/>
  <c r="AO44" i="14" s="1"/>
  <c r="AP44" i="14" s="1"/>
  <c r="AC44" i="14"/>
  <c r="AF44" i="14"/>
  <c r="AG44" i="14" s="1"/>
  <c r="AH44" i="14" s="1"/>
  <c r="AI44" i="14" s="1"/>
  <c r="AJ44" i="14" s="1"/>
  <c r="AQ44" i="14"/>
  <c r="AR44" i="14" s="1"/>
  <c r="AS44" i="14" s="1"/>
  <c r="AT44" i="14" s="1"/>
  <c r="AU44" i="14" s="1"/>
  <c r="AG43" i="14"/>
  <c r="AH43" i="14" s="1"/>
  <c r="AI43" i="14" s="1"/>
  <c r="AJ43" i="14" s="1"/>
  <c r="AX44" i="14"/>
  <c r="BB45" i="14"/>
  <c r="BI45" i="14"/>
  <c r="BJ45" i="14" s="1"/>
  <c r="BM45" i="14"/>
  <c r="BN45" i="14" s="1"/>
  <c r="BO45" i="14" s="1"/>
  <c r="AA45" i="14"/>
  <c r="AV45" i="14" s="1"/>
  <c r="AB45" i="14"/>
  <c r="BC45" i="14"/>
  <c r="BD45" i="14" s="1"/>
  <c r="AD45" i="14"/>
  <c r="AV44" i="14"/>
  <c r="BE294" i="14"/>
  <c r="BG294" i="14" s="1"/>
  <c r="CD294" i="14"/>
  <c r="AW293" i="14"/>
  <c r="AY293" i="14" s="1"/>
  <c r="CF293" i="14" s="1"/>
  <c r="AQ295" i="14"/>
  <c r="AR295" i="14" s="1"/>
  <c r="AS295" i="14" s="1"/>
  <c r="AT295" i="14" s="1"/>
  <c r="AU295" i="14" s="1"/>
  <c r="AZ295" i="14"/>
  <c r="BA295" i="14"/>
  <c r="BK295" i="14" s="1"/>
  <c r="AK295" i="14"/>
  <c r="AL295" i="14" s="1"/>
  <c r="AM295" i="14" s="1"/>
  <c r="AN295" i="14" s="1"/>
  <c r="AO295" i="14" s="1"/>
  <c r="AP295" i="14" s="1"/>
  <c r="AC295" i="14"/>
  <c r="AF295" i="14"/>
  <c r="AV295" i="14"/>
  <c r="AG294" i="14"/>
  <c r="AH294" i="14" s="1"/>
  <c r="AI294" i="14" s="1"/>
  <c r="AJ294" i="14" s="1"/>
  <c r="BQ295" i="14"/>
  <c r="AX295" i="14"/>
  <c r="BE43" i="14"/>
  <c r="BG43" i="14" s="1"/>
  <c r="CD43" i="14"/>
  <c r="BJ296" i="14"/>
  <c r="AB296" i="14"/>
  <c r="BB296" i="14"/>
  <c r="BM296" i="14"/>
  <c r="BN296" i="14" s="1"/>
  <c r="BO296" i="14" s="1"/>
  <c r="AA296" i="14"/>
  <c r="AV296" i="14" s="1"/>
  <c r="AD296" i="14"/>
  <c r="BC296" i="14"/>
  <c r="BD296" i="14" s="1"/>
  <c r="AE46" i="14"/>
  <c r="AE297" i="14"/>
  <c r="Z297" i="14"/>
  <c r="BI297" i="14" s="1"/>
  <c r="Z46" i="14"/>
  <c r="C54" i="3"/>
  <c r="AG53" i="3"/>
  <c r="O50" i="26" s="1"/>
  <c r="AY53" i="3"/>
  <c r="BL53" i="3"/>
  <c r="AJ53" i="3"/>
  <c r="R50" i="26" s="1"/>
  <c r="BW53" i="3"/>
  <c r="CK53" i="3" s="1"/>
  <c r="AI53" i="3"/>
  <c r="Q50" i="26" s="1"/>
  <c r="BK53" i="3"/>
  <c r="AH53" i="3"/>
  <c r="P50" i="26" s="1"/>
  <c r="BD53" i="3" l="1"/>
  <c r="BV54" i="3"/>
  <c r="BU54" i="3"/>
  <c r="BR51" i="3"/>
  <c r="BI53" i="3"/>
  <c r="D50" i="25"/>
  <c r="D50" i="26"/>
  <c r="C51" i="25"/>
  <c r="C51" i="26"/>
  <c r="BG53" i="3"/>
  <c r="BH53" i="3"/>
  <c r="BE53" i="3"/>
  <c r="CF54" i="3"/>
  <c r="AW50" i="3"/>
  <c r="BC53" i="3"/>
  <c r="BN53" i="3" s="1"/>
  <c r="CJ53" i="3"/>
  <c r="AV53" i="3" s="1"/>
  <c r="CI53" i="3"/>
  <c r="BY54" i="3"/>
  <c r="BJ52" i="3"/>
  <c r="BP52" i="3" s="1"/>
  <c r="BM52" i="3"/>
  <c r="BO52" i="3" s="1"/>
  <c r="AU52" i="3" s="1"/>
  <c r="BF52" i="3"/>
  <c r="BQ52" i="3" s="1"/>
  <c r="BQ42" i="14"/>
  <c r="BR42" i="14" s="1"/>
  <c r="BU42" i="14" s="1"/>
  <c r="CE42" i="14"/>
  <c r="CM40" i="14"/>
  <c r="CG47" i="3" s="1"/>
  <c r="CK293" i="14"/>
  <c r="BA49" i="3" s="1"/>
  <c r="BT294" i="14"/>
  <c r="BW294" i="14" s="1"/>
  <c r="BR295" i="14"/>
  <c r="BT295" i="14" s="1"/>
  <c r="BW295" i="14" s="1"/>
  <c r="CA294" i="14"/>
  <c r="CB294" i="14" s="1"/>
  <c r="BV294" i="14"/>
  <c r="BX294" i="14" s="1"/>
  <c r="BZ294" i="14"/>
  <c r="BU294" i="14"/>
  <c r="CA41" i="14"/>
  <c r="CB41" i="14" s="1"/>
  <c r="BV41" i="14"/>
  <c r="BX41" i="14" s="1"/>
  <c r="BZ41" i="14"/>
  <c r="BU41" i="14"/>
  <c r="CK40" i="14"/>
  <c r="CD47" i="3" s="1"/>
  <c r="AX45" i="14"/>
  <c r="CF42" i="14"/>
  <c r="CH293" i="14"/>
  <c r="CM293" i="14" s="1"/>
  <c r="BB49" i="3" s="1"/>
  <c r="CE41" i="14"/>
  <c r="CH41" i="14"/>
  <c r="CF41" i="14"/>
  <c r="DD213" i="3"/>
  <c r="BT41" i="14"/>
  <c r="BW41" i="14" s="1"/>
  <c r="BS41" i="14"/>
  <c r="CE293" i="14"/>
  <c r="CJ293" i="14" s="1"/>
  <c r="AZ49" i="3" s="1"/>
  <c r="AW294" i="14"/>
  <c r="AY294" i="14" s="1"/>
  <c r="CH294" i="14" s="1"/>
  <c r="CJ40" i="14"/>
  <c r="CC47" i="3" s="1"/>
  <c r="D54" i="3"/>
  <c r="BH54" i="3" s="1"/>
  <c r="AC45" i="14"/>
  <c r="AZ45" i="14"/>
  <c r="BA45" i="14"/>
  <c r="BK45" i="14" s="1"/>
  <c r="AQ45" i="14"/>
  <c r="AR45" i="14" s="1"/>
  <c r="AS45" i="14" s="1"/>
  <c r="AT45" i="14" s="1"/>
  <c r="AU45" i="14" s="1"/>
  <c r="AF45" i="14"/>
  <c r="AK45" i="14"/>
  <c r="AL45" i="14" s="1"/>
  <c r="AM45" i="14" s="1"/>
  <c r="AN45" i="14" s="1"/>
  <c r="AO45" i="14" s="1"/>
  <c r="AP45" i="14" s="1"/>
  <c r="AB46" i="14"/>
  <c r="BI46" i="14"/>
  <c r="BJ46" i="14" s="1"/>
  <c r="AA46" i="14"/>
  <c r="AX46" i="14" s="1"/>
  <c r="BB46" i="14"/>
  <c r="AD46" i="14"/>
  <c r="BC46" i="14"/>
  <c r="BD46" i="14" s="1"/>
  <c r="BM46" i="14"/>
  <c r="BN46" i="14" s="1"/>
  <c r="BO46" i="14" s="1"/>
  <c r="AX296" i="14"/>
  <c r="BQ296" i="14"/>
  <c r="AG295" i="14"/>
  <c r="AH295" i="14" s="1"/>
  <c r="AI295" i="14" s="1"/>
  <c r="AJ295" i="14" s="1"/>
  <c r="AC296" i="14"/>
  <c r="BA296" i="14"/>
  <c r="BK296" i="14" s="1"/>
  <c r="AZ296" i="14"/>
  <c r="AQ296" i="14"/>
  <c r="AR296" i="14" s="1"/>
  <c r="AS296" i="14" s="1"/>
  <c r="AT296" i="14" s="1"/>
  <c r="AU296" i="14" s="1"/>
  <c r="AK296" i="14"/>
  <c r="AL296" i="14" s="1"/>
  <c r="AM296" i="14" s="1"/>
  <c r="AN296" i="14" s="1"/>
  <c r="AO296" i="14" s="1"/>
  <c r="AP296" i="14" s="1"/>
  <c r="AF296" i="14"/>
  <c r="BJ297" i="14"/>
  <c r="AD297" i="14"/>
  <c r="AA297" i="14"/>
  <c r="AX297" i="14" s="1"/>
  <c r="AB297" i="14"/>
  <c r="BC297" i="14"/>
  <c r="BD297" i="14" s="1"/>
  <c r="BB297" i="14"/>
  <c r="BM297" i="14"/>
  <c r="BN297" i="14" s="1"/>
  <c r="BO297" i="14" s="1"/>
  <c r="C55" i="3"/>
  <c r="AE298" i="14"/>
  <c r="Z47" i="14"/>
  <c r="Z298" i="14"/>
  <c r="BI298" i="14" s="1"/>
  <c r="AE47" i="14"/>
  <c r="BW54" i="3"/>
  <c r="CI54" i="3" s="1"/>
  <c r="AG54" i="3"/>
  <c r="O51" i="26" s="1"/>
  <c r="AY54" i="3"/>
  <c r="AH54" i="3"/>
  <c r="P51" i="26" s="1"/>
  <c r="AJ54" i="3"/>
  <c r="R51" i="26" s="1"/>
  <c r="BL54" i="3"/>
  <c r="BK54" i="3"/>
  <c r="AI54" i="3"/>
  <c r="Q51" i="26" s="1"/>
  <c r="BE295" i="14"/>
  <c r="BG295" i="14" s="1"/>
  <c r="CD295" i="14"/>
  <c r="AW43" i="14"/>
  <c r="AW44" i="14"/>
  <c r="BE44" i="14"/>
  <c r="BG44" i="14" s="1"/>
  <c r="CD44" i="14"/>
  <c r="BD54" i="3" l="1"/>
  <c r="BV55" i="3"/>
  <c r="BU55" i="3"/>
  <c r="AW51" i="3"/>
  <c r="C52" i="26"/>
  <c r="C52" i="25"/>
  <c r="BG54" i="3"/>
  <c r="D51" i="26"/>
  <c r="D51" i="25"/>
  <c r="BI54" i="3"/>
  <c r="BJ54" i="3" s="1"/>
  <c r="BP54" i="3" s="1"/>
  <c r="BE54" i="3"/>
  <c r="CK54" i="3"/>
  <c r="CF55" i="3"/>
  <c r="BC54" i="3"/>
  <c r="BN54" i="3" s="1"/>
  <c r="BR52" i="3"/>
  <c r="BY55" i="3"/>
  <c r="CJ54" i="3"/>
  <c r="AV54" i="3" s="1"/>
  <c r="BJ53" i="3"/>
  <c r="BP53" i="3" s="1"/>
  <c r="BM53" i="3"/>
  <c r="BO53" i="3" s="1"/>
  <c r="AU53" i="3" s="1"/>
  <c r="BF53" i="3"/>
  <c r="BQ53" i="3" s="1"/>
  <c r="BV42" i="14"/>
  <c r="BX42" i="14" s="1"/>
  <c r="CK42" i="14" s="1"/>
  <c r="CD49" i="3" s="1"/>
  <c r="CA42" i="14"/>
  <c r="CB42" i="14" s="1"/>
  <c r="CM42" i="14" s="1"/>
  <c r="CG49" i="3" s="1"/>
  <c r="BT42" i="14"/>
  <c r="BW42" i="14" s="1"/>
  <c r="CJ42" i="14" s="1"/>
  <c r="CC49" i="3" s="1"/>
  <c r="BS42" i="14"/>
  <c r="BZ42" i="14"/>
  <c r="CM41" i="14"/>
  <c r="CG48" i="3" s="1"/>
  <c r="BR296" i="14"/>
  <c r="CM294" i="14"/>
  <c r="BB50" i="3" s="1"/>
  <c r="CA295" i="14"/>
  <c r="CB295" i="14" s="1"/>
  <c r="BV295" i="14"/>
  <c r="BX295" i="14" s="1"/>
  <c r="BU295" i="14"/>
  <c r="BZ295" i="14"/>
  <c r="BS295" i="14"/>
  <c r="CK41" i="14"/>
  <c r="CD48" i="3" s="1"/>
  <c r="AV46" i="14"/>
  <c r="CE294" i="14"/>
  <c r="CJ294" i="14" s="1"/>
  <c r="AZ50" i="3" s="1"/>
  <c r="AV297" i="14"/>
  <c r="AY44" i="14"/>
  <c r="CE44" i="14" s="1"/>
  <c r="BQ44" i="14"/>
  <c r="BR44" i="14" s="1"/>
  <c r="CJ41" i="14"/>
  <c r="CC48" i="3" s="1"/>
  <c r="AY43" i="14"/>
  <c r="BQ43" i="14"/>
  <c r="BR43" i="14" s="1"/>
  <c r="CF294" i="14"/>
  <c r="CK294" i="14" s="1"/>
  <c r="BA50" i="3" s="1"/>
  <c r="D55" i="3"/>
  <c r="DD214" i="3"/>
  <c r="BB298" i="14"/>
  <c r="AD298" i="14"/>
  <c r="BJ298" i="14"/>
  <c r="AA298" i="14"/>
  <c r="AV298" i="14" s="1"/>
  <c r="BC298" i="14"/>
  <c r="BD298" i="14" s="1"/>
  <c r="AB298" i="14"/>
  <c r="BM298" i="14"/>
  <c r="BN298" i="14" s="1"/>
  <c r="BO298" i="14" s="1"/>
  <c r="C56" i="3"/>
  <c r="AE299" i="14"/>
  <c r="Z299" i="14"/>
  <c r="BI299" i="14" s="1"/>
  <c r="AE48" i="14"/>
  <c r="Z48" i="14"/>
  <c r="AG55" i="3"/>
  <c r="O52" i="26" s="1"/>
  <c r="BL55" i="3"/>
  <c r="AJ55" i="3"/>
  <c r="R52" i="26" s="1"/>
  <c r="AI55" i="3"/>
  <c r="Q52" i="26" s="1"/>
  <c r="AY55" i="3"/>
  <c r="BW55" i="3"/>
  <c r="CI55" i="3" s="1"/>
  <c r="BK55" i="3"/>
  <c r="AH55" i="3"/>
  <c r="P52" i="26" s="1"/>
  <c r="BQ297" i="14"/>
  <c r="AZ297" i="14"/>
  <c r="BA297" i="14"/>
  <c r="BK297" i="14" s="1"/>
  <c r="AQ297" i="14"/>
  <c r="AR297" i="14" s="1"/>
  <c r="AS297" i="14" s="1"/>
  <c r="AT297" i="14" s="1"/>
  <c r="AU297" i="14" s="1"/>
  <c r="AC297" i="14"/>
  <c r="AF297" i="14"/>
  <c r="AK297" i="14"/>
  <c r="AL297" i="14" s="1"/>
  <c r="AM297" i="14" s="1"/>
  <c r="AN297" i="14" s="1"/>
  <c r="AO297" i="14" s="1"/>
  <c r="AP297" i="14" s="1"/>
  <c r="BE296" i="14"/>
  <c r="BG296" i="14" s="1"/>
  <c r="CD296" i="14"/>
  <c r="AG296" i="14"/>
  <c r="AH296" i="14" s="1"/>
  <c r="AI296" i="14" s="1"/>
  <c r="AJ296" i="14" s="1"/>
  <c r="AW296" i="14" s="1"/>
  <c r="AY296" i="14" s="1"/>
  <c r="AZ46" i="14"/>
  <c r="BA46" i="14"/>
  <c r="BK46" i="14" s="1"/>
  <c r="AQ46" i="14"/>
  <c r="AR46" i="14" s="1"/>
  <c r="AS46" i="14" s="1"/>
  <c r="AT46" i="14" s="1"/>
  <c r="AU46" i="14" s="1"/>
  <c r="AC46" i="14"/>
  <c r="AK46" i="14"/>
  <c r="AL46" i="14" s="1"/>
  <c r="AM46" i="14" s="1"/>
  <c r="AN46" i="14" s="1"/>
  <c r="AO46" i="14" s="1"/>
  <c r="AP46" i="14" s="1"/>
  <c r="AF46" i="14"/>
  <c r="BE45" i="14"/>
  <c r="BG45" i="14" s="1"/>
  <c r="CD45" i="14"/>
  <c r="BI47" i="14"/>
  <c r="BJ47" i="14" s="1"/>
  <c r="AA47" i="14"/>
  <c r="AX47" i="14" s="1"/>
  <c r="AD47" i="14"/>
  <c r="BC47" i="14"/>
  <c r="BD47" i="14" s="1"/>
  <c r="BM47" i="14"/>
  <c r="BN47" i="14" s="1"/>
  <c r="BO47" i="14" s="1"/>
  <c r="BB47" i="14"/>
  <c r="AB47" i="14"/>
  <c r="AW295" i="14"/>
  <c r="AY295" i="14" s="1"/>
  <c r="CE295" i="14" s="1"/>
  <c r="CJ295" i="14" s="1"/>
  <c r="AZ51" i="3" s="1"/>
  <c r="AG45" i="14"/>
  <c r="AH45" i="14" s="1"/>
  <c r="AI45" i="14" s="1"/>
  <c r="AJ45" i="14" s="1"/>
  <c r="BD55" i="3" l="1"/>
  <c r="BV56" i="3"/>
  <c r="BU56" i="3"/>
  <c r="C53" i="26"/>
  <c r="C53" i="25"/>
  <c r="BH55" i="3"/>
  <c r="D52" i="25"/>
  <c r="D52" i="26"/>
  <c r="BI55" i="3"/>
  <c r="BG55" i="3"/>
  <c r="BE55" i="3"/>
  <c r="AW52" i="3"/>
  <c r="CK55" i="3"/>
  <c r="CF56" i="3"/>
  <c r="BC55" i="3"/>
  <c r="BN55" i="3" s="1"/>
  <c r="BY56" i="3"/>
  <c r="CJ55" i="3"/>
  <c r="AV55" i="3" s="1"/>
  <c r="BR53" i="3"/>
  <c r="BM54" i="3"/>
  <c r="BO54" i="3" s="1"/>
  <c r="AU54" i="3" s="1"/>
  <c r="BF54" i="3"/>
  <c r="BQ54" i="3" s="1"/>
  <c r="BR54" i="3" s="1"/>
  <c r="DD215" i="3"/>
  <c r="CF44" i="14"/>
  <c r="CH44" i="14"/>
  <c r="CA296" i="14"/>
  <c r="CB296" i="14" s="1"/>
  <c r="BV296" i="14"/>
  <c r="BX296" i="14" s="1"/>
  <c r="BU296" i="14"/>
  <c r="BZ296" i="14"/>
  <c r="BT296" i="14"/>
  <c r="BW296" i="14" s="1"/>
  <c r="BV43" i="14"/>
  <c r="BX43" i="14" s="1"/>
  <c r="CA43" i="14"/>
  <c r="CB43" i="14" s="1"/>
  <c r="BZ43" i="14"/>
  <c r="BU43" i="14"/>
  <c r="CA44" i="14"/>
  <c r="CB44" i="14" s="1"/>
  <c r="BV44" i="14"/>
  <c r="BX44" i="14" s="1"/>
  <c r="BU44" i="14"/>
  <c r="BZ44" i="14"/>
  <c r="BS296" i="14"/>
  <c r="BR297" i="14"/>
  <c r="AX298" i="14"/>
  <c r="CF43" i="14"/>
  <c r="CE43" i="14"/>
  <c r="CH43" i="14"/>
  <c r="BT44" i="14"/>
  <c r="BW44" i="14" s="1"/>
  <c r="CJ44" i="14" s="1"/>
  <c r="CC51" i="3" s="1"/>
  <c r="BS44" i="14"/>
  <c r="CH295" i="14"/>
  <c r="CM295" i="14" s="1"/>
  <c r="BB51" i="3" s="1"/>
  <c r="BT43" i="14"/>
  <c r="BW43" i="14" s="1"/>
  <c r="BS43" i="14"/>
  <c r="D56" i="3"/>
  <c r="BG56" i="3" s="1"/>
  <c r="AZ298" i="14"/>
  <c r="BA298" i="14"/>
  <c r="BK298" i="14" s="1"/>
  <c r="AC298" i="14"/>
  <c r="AK298" i="14"/>
  <c r="AL298" i="14" s="1"/>
  <c r="AM298" i="14" s="1"/>
  <c r="AN298" i="14" s="1"/>
  <c r="AO298" i="14" s="1"/>
  <c r="AP298" i="14" s="1"/>
  <c r="AF298" i="14"/>
  <c r="AG298" i="14" s="1"/>
  <c r="AH298" i="14" s="1"/>
  <c r="AI298" i="14" s="1"/>
  <c r="AJ298" i="14" s="1"/>
  <c r="AQ298" i="14"/>
  <c r="AR298" i="14" s="1"/>
  <c r="AS298" i="14" s="1"/>
  <c r="AT298" i="14" s="1"/>
  <c r="AU298" i="14" s="1"/>
  <c r="CH296" i="14"/>
  <c r="CF296" i="14"/>
  <c r="CE296" i="14"/>
  <c r="AG297" i="14"/>
  <c r="AH297" i="14" s="1"/>
  <c r="AI297" i="14" s="1"/>
  <c r="AJ297" i="14" s="1"/>
  <c r="BE297" i="14"/>
  <c r="BG297" i="14" s="1"/>
  <c r="CD297" i="14"/>
  <c r="BJ299" i="14"/>
  <c r="AD299" i="14"/>
  <c r="BB299" i="14"/>
  <c r="AA299" i="14"/>
  <c r="AV299" i="14" s="1"/>
  <c r="BC299" i="14"/>
  <c r="BD299" i="14" s="1"/>
  <c r="BM299" i="14"/>
  <c r="BN299" i="14" s="1"/>
  <c r="BO299" i="14" s="1"/>
  <c r="AB299" i="14"/>
  <c r="BQ298" i="14"/>
  <c r="AK47" i="14"/>
  <c r="AL47" i="14" s="1"/>
  <c r="AM47" i="14" s="1"/>
  <c r="AN47" i="14" s="1"/>
  <c r="AO47" i="14" s="1"/>
  <c r="AP47" i="14" s="1"/>
  <c r="AZ47" i="14"/>
  <c r="BA47" i="14"/>
  <c r="BK47" i="14" s="1"/>
  <c r="AQ47" i="14"/>
  <c r="AR47" i="14" s="1"/>
  <c r="AS47" i="14" s="1"/>
  <c r="AT47" i="14" s="1"/>
  <c r="AU47" i="14" s="1"/>
  <c r="AC47" i="14"/>
  <c r="AF47" i="14"/>
  <c r="AG46" i="14"/>
  <c r="AH46" i="14" s="1"/>
  <c r="AI46" i="14" s="1"/>
  <c r="AJ46" i="14" s="1"/>
  <c r="BI48" i="14"/>
  <c r="BJ48" i="14" s="1"/>
  <c r="AA48" i="14"/>
  <c r="AX48" i="14" s="1"/>
  <c r="BB48" i="14"/>
  <c r="BM48" i="14"/>
  <c r="BN48" i="14" s="1"/>
  <c r="BO48" i="14" s="1"/>
  <c r="AB48" i="14"/>
  <c r="BC48" i="14"/>
  <c r="BD48" i="14" s="1"/>
  <c r="AD48" i="14"/>
  <c r="AW45" i="14"/>
  <c r="CF295" i="14"/>
  <c r="CK295" i="14" s="1"/>
  <c r="BA51" i="3" s="1"/>
  <c r="AV47" i="14"/>
  <c r="BE46" i="14"/>
  <c r="BG46" i="14" s="1"/>
  <c r="CD46" i="14"/>
  <c r="AE300" i="14"/>
  <c r="C57" i="3"/>
  <c r="AE49" i="14"/>
  <c r="Z49" i="14"/>
  <c r="Z300" i="14"/>
  <c r="BI300" i="14" s="1"/>
  <c r="BW56" i="3"/>
  <c r="CI56" i="3" s="1"/>
  <c r="AI56" i="3"/>
  <c r="Q53" i="26" s="1"/>
  <c r="BK56" i="3"/>
  <c r="AG56" i="3"/>
  <c r="O53" i="26" s="1"/>
  <c r="AH56" i="3"/>
  <c r="P53" i="26" s="1"/>
  <c r="BL56" i="3"/>
  <c r="AY56" i="3"/>
  <c r="AJ56" i="3"/>
  <c r="R53" i="26" s="1"/>
  <c r="BD56" i="3" l="1"/>
  <c r="BU57" i="3"/>
  <c r="BV57" i="3"/>
  <c r="BI56" i="3"/>
  <c r="D53" i="25"/>
  <c r="D53" i="26"/>
  <c r="C54" i="26"/>
  <c r="C54" i="25"/>
  <c r="BH56" i="3"/>
  <c r="BE56" i="3"/>
  <c r="AW53" i="3"/>
  <c r="CF57" i="3"/>
  <c r="CK56" i="3"/>
  <c r="BJ55" i="3"/>
  <c r="BP55" i="3" s="1"/>
  <c r="BC56" i="3"/>
  <c r="BN56" i="3" s="1"/>
  <c r="CJ56" i="3"/>
  <c r="AV56" i="3" s="1"/>
  <c r="BY57" i="3"/>
  <c r="BM55" i="3"/>
  <c r="BO55" i="3" s="1"/>
  <c r="AU55" i="3" s="1"/>
  <c r="BF55" i="3"/>
  <c r="BQ55" i="3" s="1"/>
  <c r="DD216" i="3"/>
  <c r="AX299" i="14"/>
  <c r="CK44" i="14"/>
  <c r="CD51" i="3" s="1"/>
  <c r="CM44" i="14"/>
  <c r="CG51" i="3" s="1"/>
  <c r="CK296" i="14"/>
  <c r="BA52" i="3" s="1"/>
  <c r="CA297" i="14"/>
  <c r="CB297" i="14" s="1"/>
  <c r="BV297" i="14"/>
  <c r="BX297" i="14" s="1"/>
  <c r="BZ297" i="14"/>
  <c r="BU297" i="14"/>
  <c r="CM43" i="14"/>
  <c r="CG50" i="3" s="1"/>
  <c r="BS297" i="14"/>
  <c r="BT297" i="14"/>
  <c r="BW297" i="14" s="1"/>
  <c r="CK43" i="14"/>
  <c r="CD50" i="3" s="1"/>
  <c r="BR298" i="14"/>
  <c r="CJ296" i="14"/>
  <c r="AZ52" i="3" s="1"/>
  <c r="CM296" i="14"/>
  <c r="BB52" i="3" s="1"/>
  <c r="AV48" i="14"/>
  <c r="CJ43" i="14"/>
  <c r="CC50" i="3" s="1"/>
  <c r="AW298" i="14"/>
  <c r="AY298" i="14" s="1"/>
  <c r="AW54" i="3"/>
  <c r="AY45" i="14"/>
  <c r="CF45" i="14" s="1"/>
  <c r="BQ45" i="14"/>
  <c r="BR45" i="14" s="1"/>
  <c r="D57" i="3"/>
  <c r="BG57" i="3" s="1"/>
  <c r="BQ299" i="14"/>
  <c r="AZ48" i="14"/>
  <c r="BA48" i="14"/>
  <c r="BK48" i="14" s="1"/>
  <c r="AC48" i="14"/>
  <c r="AQ48" i="14"/>
  <c r="AR48" i="14" s="1"/>
  <c r="AS48" i="14" s="1"/>
  <c r="AT48" i="14" s="1"/>
  <c r="AU48" i="14" s="1"/>
  <c r="AF48" i="14"/>
  <c r="AK48" i="14"/>
  <c r="AL48" i="14" s="1"/>
  <c r="AM48" i="14" s="1"/>
  <c r="AN48" i="14" s="1"/>
  <c r="AO48" i="14" s="1"/>
  <c r="AP48" i="14" s="1"/>
  <c r="AG47" i="14"/>
  <c r="AH47" i="14" s="1"/>
  <c r="AI47" i="14" s="1"/>
  <c r="AJ47" i="14" s="1"/>
  <c r="C58" i="3"/>
  <c r="AE50" i="14"/>
  <c r="AE301" i="14"/>
  <c r="Z301" i="14"/>
  <c r="BI301" i="14" s="1"/>
  <c r="Z50" i="14"/>
  <c r="AJ57" i="3"/>
  <c r="R54" i="26" s="1"/>
  <c r="BL57" i="3"/>
  <c r="AG57" i="3"/>
  <c r="O54" i="26" s="1"/>
  <c r="BK57" i="3"/>
  <c r="AI57" i="3"/>
  <c r="Q54" i="26" s="1"/>
  <c r="BW57" i="3"/>
  <c r="CK57" i="3" s="1"/>
  <c r="AH57" i="3"/>
  <c r="P54" i="26" s="1"/>
  <c r="AY57" i="3"/>
  <c r="BE47" i="14"/>
  <c r="BG47" i="14" s="1"/>
  <c r="CD47" i="14"/>
  <c r="AF299" i="14"/>
  <c r="AZ299" i="14"/>
  <c r="BA299" i="14"/>
  <c r="BK299" i="14" s="1"/>
  <c r="AC299" i="14"/>
  <c r="AQ299" i="14"/>
  <c r="AR299" i="14" s="1"/>
  <c r="AS299" i="14" s="1"/>
  <c r="AT299" i="14" s="1"/>
  <c r="AU299" i="14" s="1"/>
  <c r="AK299" i="14"/>
  <c r="AL299" i="14" s="1"/>
  <c r="AM299" i="14" s="1"/>
  <c r="AN299" i="14" s="1"/>
  <c r="AO299" i="14" s="1"/>
  <c r="AP299" i="14" s="1"/>
  <c r="BE298" i="14"/>
  <c r="BG298" i="14" s="1"/>
  <c r="CD298" i="14"/>
  <c r="AD300" i="14"/>
  <c r="BM300" i="14"/>
  <c r="BN300" i="14" s="1"/>
  <c r="BO300" i="14" s="1"/>
  <c r="BJ300" i="14"/>
  <c r="BB300" i="14"/>
  <c r="BC300" i="14"/>
  <c r="BD300" i="14" s="1"/>
  <c r="AA300" i="14"/>
  <c r="AB300" i="14"/>
  <c r="BM49" i="14"/>
  <c r="BN49" i="14" s="1"/>
  <c r="BO49" i="14" s="1"/>
  <c r="BI49" i="14"/>
  <c r="BJ49" i="14" s="1"/>
  <c r="AB49" i="14"/>
  <c r="BB49" i="14"/>
  <c r="BC49" i="14"/>
  <c r="BD49" i="14" s="1"/>
  <c r="AD49" i="14"/>
  <c r="AA49" i="14"/>
  <c r="AV49" i="14" s="1"/>
  <c r="AW46" i="14"/>
  <c r="AW297" i="14"/>
  <c r="AY297" i="14" s="1"/>
  <c r="CH297" i="14" s="1"/>
  <c r="BD57" i="3" l="1"/>
  <c r="BV58" i="3"/>
  <c r="BU58" i="3"/>
  <c r="C55" i="25"/>
  <c r="C55" i="26"/>
  <c r="BI57" i="3"/>
  <c r="D54" i="25"/>
  <c r="D54" i="26"/>
  <c r="BH57" i="3"/>
  <c r="BE57" i="3"/>
  <c r="BR55" i="3"/>
  <c r="CF58" i="3"/>
  <c r="BC57" i="3"/>
  <c r="BN57" i="3" s="1"/>
  <c r="CI57" i="3"/>
  <c r="CJ57" i="3"/>
  <c r="AV57" i="3" s="1"/>
  <c r="BY58" i="3"/>
  <c r="BJ56" i="3"/>
  <c r="BP56" i="3" s="1"/>
  <c r="BM56" i="3"/>
  <c r="BO56" i="3" s="1"/>
  <c r="AU56" i="3" s="1"/>
  <c r="BF56" i="3"/>
  <c r="BQ56" i="3" s="1"/>
  <c r="DD217" i="3"/>
  <c r="CM297" i="14"/>
  <c r="BB53" i="3" s="1"/>
  <c r="CA45" i="14"/>
  <c r="CB45" i="14" s="1"/>
  <c r="BV45" i="14"/>
  <c r="BX45" i="14" s="1"/>
  <c r="CK45" i="14" s="1"/>
  <c r="CD52" i="3" s="1"/>
  <c r="BZ45" i="14"/>
  <c r="BU45" i="14"/>
  <c r="CA298" i="14"/>
  <c r="CB298" i="14" s="1"/>
  <c r="BV298" i="14"/>
  <c r="BX298" i="14" s="1"/>
  <c r="BZ298" i="14"/>
  <c r="BU298" i="14"/>
  <c r="BR299" i="14"/>
  <c r="BS298" i="14"/>
  <c r="BT298" i="14"/>
  <c r="BW298" i="14" s="1"/>
  <c r="CE45" i="14"/>
  <c r="CH45" i="14"/>
  <c r="CF297" i="14"/>
  <c r="CK297" i="14" s="1"/>
  <c r="BA53" i="3" s="1"/>
  <c r="AY46" i="14"/>
  <c r="CH46" i="14" s="1"/>
  <c r="BQ46" i="14"/>
  <c r="BR46" i="14" s="1"/>
  <c r="BT45" i="14"/>
  <c r="BW45" i="14" s="1"/>
  <c r="BS45" i="14"/>
  <c r="AW47" i="14"/>
  <c r="D58" i="3"/>
  <c r="BH58" i="3" s="1"/>
  <c r="AC300" i="14"/>
  <c r="BA300" i="14"/>
  <c r="BK300" i="14" s="1"/>
  <c r="AZ300" i="14"/>
  <c r="AK300" i="14"/>
  <c r="AL300" i="14" s="1"/>
  <c r="AM300" i="14" s="1"/>
  <c r="AN300" i="14" s="1"/>
  <c r="AO300" i="14" s="1"/>
  <c r="AP300" i="14" s="1"/>
  <c r="AF300" i="14"/>
  <c r="AQ300" i="14"/>
  <c r="AR300" i="14" s="1"/>
  <c r="AS300" i="14" s="1"/>
  <c r="AT300" i="14" s="1"/>
  <c r="AU300" i="14" s="1"/>
  <c r="BQ300" i="14"/>
  <c r="AG299" i="14"/>
  <c r="AH299" i="14" s="1"/>
  <c r="AI299" i="14" s="1"/>
  <c r="AJ299" i="14" s="1"/>
  <c r="CE297" i="14"/>
  <c r="CJ297" i="14" s="1"/>
  <c r="AZ53" i="3" s="1"/>
  <c r="AG48" i="14"/>
  <c r="AH48" i="14" s="1"/>
  <c r="AI48" i="14" s="1"/>
  <c r="AJ48" i="14" s="1"/>
  <c r="BE48" i="14"/>
  <c r="BG48" i="14" s="1"/>
  <c r="CD48" i="14"/>
  <c r="BJ301" i="14"/>
  <c r="BC301" i="14"/>
  <c r="BD301" i="14" s="1"/>
  <c r="AD301" i="14"/>
  <c r="AA301" i="14"/>
  <c r="AV301" i="14" s="1"/>
  <c r="BM301" i="14"/>
  <c r="BN301" i="14" s="1"/>
  <c r="BO301" i="14" s="1"/>
  <c r="AB301" i="14"/>
  <c r="BB301" i="14"/>
  <c r="AX300" i="14"/>
  <c r="CH298" i="14"/>
  <c r="CF298" i="14"/>
  <c r="CE298" i="14"/>
  <c r="BC50" i="14"/>
  <c r="BD50" i="14" s="1"/>
  <c r="BB50" i="14"/>
  <c r="BI50" i="14"/>
  <c r="BJ50" i="14" s="1"/>
  <c r="AD50" i="14"/>
  <c r="AB50" i="14"/>
  <c r="BM50" i="14"/>
  <c r="BN50" i="14" s="1"/>
  <c r="BO50" i="14" s="1"/>
  <c r="AA50" i="14"/>
  <c r="AV50" i="14" s="1"/>
  <c r="AX49" i="14"/>
  <c r="AZ49" i="14"/>
  <c r="BA49" i="14"/>
  <c r="BK49" i="14" s="1"/>
  <c r="AC49" i="14"/>
  <c r="AQ49" i="14"/>
  <c r="AR49" i="14" s="1"/>
  <c r="AS49" i="14" s="1"/>
  <c r="AT49" i="14" s="1"/>
  <c r="AU49" i="14" s="1"/>
  <c r="AF49" i="14"/>
  <c r="AK49" i="14"/>
  <c r="AL49" i="14" s="1"/>
  <c r="AM49" i="14" s="1"/>
  <c r="AN49" i="14" s="1"/>
  <c r="AO49" i="14" s="1"/>
  <c r="AP49" i="14" s="1"/>
  <c r="BE299" i="14"/>
  <c r="BG299" i="14" s="1"/>
  <c r="CD299" i="14"/>
  <c r="C59" i="3"/>
  <c r="AE302" i="14"/>
  <c r="Z51" i="14"/>
  <c r="Z302" i="14"/>
  <c r="BI302" i="14" s="1"/>
  <c r="AE51" i="14"/>
  <c r="BW58" i="3"/>
  <c r="CJ58" i="3" s="1"/>
  <c r="AV58" i="3" s="1"/>
  <c r="AI58" i="3"/>
  <c r="Q55" i="26" s="1"/>
  <c r="BK58" i="3"/>
  <c r="AH58" i="3"/>
  <c r="P55" i="26" s="1"/>
  <c r="AG58" i="3"/>
  <c r="O55" i="26" s="1"/>
  <c r="AJ58" i="3"/>
  <c r="R55" i="26" s="1"/>
  <c r="AY58" i="3"/>
  <c r="BL58" i="3"/>
  <c r="AV300" i="14"/>
  <c r="BD58" i="3" l="1"/>
  <c r="BV59" i="3"/>
  <c r="BU59" i="3"/>
  <c r="AW55" i="3"/>
  <c r="BJ57" i="3"/>
  <c r="BP57" i="3" s="1"/>
  <c r="Z303" i="14"/>
  <c r="AE303" i="14"/>
  <c r="AE52" i="14"/>
  <c r="Z52" i="14"/>
  <c r="C56" i="26"/>
  <c r="C56" i="25"/>
  <c r="BI58" i="3"/>
  <c r="D55" i="26"/>
  <c r="D55" i="25"/>
  <c r="BG58" i="3"/>
  <c r="BM58" i="3" s="1"/>
  <c r="BE58" i="3"/>
  <c r="CK58" i="3"/>
  <c r="CF59" i="3"/>
  <c r="BC58" i="3"/>
  <c r="BN58" i="3" s="1"/>
  <c r="BR56" i="3"/>
  <c r="CI58" i="3"/>
  <c r="BY59" i="3"/>
  <c r="BM57" i="3"/>
  <c r="BO57" i="3" s="1"/>
  <c r="AU57" i="3" s="1"/>
  <c r="BF57" i="3"/>
  <c r="BQ57" i="3" s="1"/>
  <c r="CK298" i="14"/>
  <c r="BA54" i="3" s="1"/>
  <c r="CJ298" i="14"/>
  <c r="AZ54" i="3" s="1"/>
  <c r="BR300" i="14"/>
  <c r="BT300" i="14" s="1"/>
  <c r="BW300" i="14" s="1"/>
  <c r="CM298" i="14"/>
  <c r="BB54" i="3" s="1"/>
  <c r="CM45" i="14"/>
  <c r="CG52" i="3" s="1"/>
  <c r="BV299" i="14"/>
  <c r="BX299" i="14" s="1"/>
  <c r="CA299" i="14"/>
  <c r="CB299" i="14" s="1"/>
  <c r="BZ299" i="14"/>
  <c r="BU299" i="14"/>
  <c r="BS299" i="14"/>
  <c r="CA46" i="14"/>
  <c r="CB46" i="14" s="1"/>
  <c r="CM46" i="14" s="1"/>
  <c r="CG53" i="3" s="1"/>
  <c r="BV46" i="14"/>
  <c r="BX46" i="14" s="1"/>
  <c r="BU46" i="14"/>
  <c r="BZ46" i="14"/>
  <c r="BT299" i="14"/>
  <c r="BW299" i="14" s="1"/>
  <c r="DD218" i="3"/>
  <c r="AX301" i="14"/>
  <c r="CJ45" i="14"/>
  <c r="CC52" i="3" s="1"/>
  <c r="CE46" i="14"/>
  <c r="CF46" i="14"/>
  <c r="AY47" i="14"/>
  <c r="BQ47" i="14"/>
  <c r="BR47" i="14" s="1"/>
  <c r="BT46" i="14"/>
  <c r="BW46" i="14" s="1"/>
  <c r="BS46" i="14"/>
  <c r="AW48" i="14"/>
  <c r="D59" i="3"/>
  <c r="AX50" i="14"/>
  <c r="AZ50" i="14"/>
  <c r="BA50" i="14"/>
  <c r="BK50" i="14" s="1"/>
  <c r="AF50" i="14"/>
  <c r="AQ50" i="14"/>
  <c r="AR50" i="14" s="1"/>
  <c r="AS50" i="14" s="1"/>
  <c r="AT50" i="14" s="1"/>
  <c r="AU50" i="14" s="1"/>
  <c r="AK50" i="14"/>
  <c r="AL50" i="14" s="1"/>
  <c r="AM50" i="14" s="1"/>
  <c r="AN50" i="14" s="1"/>
  <c r="AO50" i="14" s="1"/>
  <c r="AP50" i="14" s="1"/>
  <c r="AC50" i="14"/>
  <c r="AW299" i="14"/>
  <c r="AY299" i="14" s="1"/>
  <c r="CF299" i="14" s="1"/>
  <c r="BE300" i="14"/>
  <c r="BG300" i="14" s="1"/>
  <c r="CD300" i="14"/>
  <c r="AD51" i="14"/>
  <c r="BB51" i="14"/>
  <c r="BC51" i="14"/>
  <c r="BD51" i="14" s="1"/>
  <c r="BM51" i="14"/>
  <c r="BN51" i="14" s="1"/>
  <c r="BO51" i="14" s="1"/>
  <c r="BI51" i="14"/>
  <c r="BJ51" i="14" s="1"/>
  <c r="AB51" i="14"/>
  <c r="AA51" i="14"/>
  <c r="AV51" i="14" s="1"/>
  <c r="BQ301" i="14"/>
  <c r="AA302" i="14"/>
  <c r="AB302" i="14"/>
  <c r="BB302" i="14"/>
  <c r="BC302" i="14"/>
  <c r="BD302" i="14" s="1"/>
  <c r="BJ302" i="14"/>
  <c r="BM302" i="14"/>
  <c r="BN302" i="14" s="1"/>
  <c r="BO302" i="14" s="1"/>
  <c r="AD302" i="14"/>
  <c r="C60" i="3"/>
  <c r="BL59" i="3"/>
  <c r="BK59" i="3"/>
  <c r="AY59" i="3"/>
  <c r="AH59" i="3"/>
  <c r="P56" i="26" s="1"/>
  <c r="AG59" i="3"/>
  <c r="O56" i="26" s="1"/>
  <c r="BW59" i="3"/>
  <c r="CK59" i="3" s="1"/>
  <c r="AI59" i="3"/>
  <c r="Q56" i="26" s="1"/>
  <c r="AJ59" i="3"/>
  <c r="R56" i="26" s="1"/>
  <c r="AG49" i="14"/>
  <c r="AH49" i="14" s="1"/>
  <c r="AI49" i="14" s="1"/>
  <c r="AJ49" i="14" s="1"/>
  <c r="BE49" i="14"/>
  <c r="BG49" i="14" s="1"/>
  <c r="CD49" i="14"/>
  <c r="AZ301" i="14"/>
  <c r="BA301" i="14"/>
  <c r="BK301" i="14" s="1"/>
  <c r="AC301" i="14"/>
  <c r="AF301" i="14"/>
  <c r="AQ301" i="14"/>
  <c r="AR301" i="14" s="1"/>
  <c r="AS301" i="14" s="1"/>
  <c r="AT301" i="14" s="1"/>
  <c r="AU301" i="14" s="1"/>
  <c r="AK301" i="14"/>
  <c r="AL301" i="14" s="1"/>
  <c r="AM301" i="14" s="1"/>
  <c r="AN301" i="14" s="1"/>
  <c r="AO301" i="14" s="1"/>
  <c r="AP301" i="14" s="1"/>
  <c r="AG300" i="14"/>
  <c r="AH300" i="14" s="1"/>
  <c r="AI300" i="14" s="1"/>
  <c r="AJ300" i="14" s="1"/>
  <c r="BD59" i="3" l="1"/>
  <c r="BV60" i="3"/>
  <c r="BU60" i="3"/>
  <c r="BR57" i="3"/>
  <c r="Z304" i="14"/>
  <c r="AE304" i="14"/>
  <c r="AE53" i="14"/>
  <c r="Z53" i="14"/>
  <c r="BM52" i="14"/>
  <c r="AB52" i="14"/>
  <c r="AA52" i="14"/>
  <c r="BI52" i="14"/>
  <c r="BJ52" i="14" s="1"/>
  <c r="BC52" i="14"/>
  <c r="BD52" i="14" s="1"/>
  <c r="BB52" i="14"/>
  <c r="AD52" i="14"/>
  <c r="BM303" i="14"/>
  <c r="BI303" i="14"/>
  <c r="BJ303" i="14" s="1"/>
  <c r="AA303" i="14"/>
  <c r="AV303" i="14" s="1"/>
  <c r="AB303" i="14"/>
  <c r="BC303" i="14"/>
  <c r="BD303" i="14" s="1"/>
  <c r="AD303" i="14"/>
  <c r="BB303" i="14"/>
  <c r="BH59" i="3"/>
  <c r="D56" i="25"/>
  <c r="D56" i="26"/>
  <c r="C57" i="26"/>
  <c r="C57" i="25"/>
  <c r="BG59" i="3"/>
  <c r="BM59" i="3" s="1"/>
  <c r="BI59" i="3"/>
  <c r="BE59" i="3"/>
  <c r="AW56" i="3"/>
  <c r="CF60" i="3"/>
  <c r="BC59" i="3"/>
  <c r="BN59" i="3" s="1"/>
  <c r="BY60" i="3"/>
  <c r="CI59" i="3"/>
  <c r="CJ59" i="3"/>
  <c r="AV59" i="3" s="1"/>
  <c r="BJ58" i="3"/>
  <c r="BP58" i="3" s="1"/>
  <c r="BS300" i="14"/>
  <c r="BF58" i="3"/>
  <c r="BQ58" i="3" s="1"/>
  <c r="D60" i="3"/>
  <c r="BI60" i="3" s="1"/>
  <c r="CK299" i="14"/>
  <c r="BA55" i="3" s="1"/>
  <c r="BV47" i="14"/>
  <c r="BX47" i="14" s="1"/>
  <c r="CA47" i="14"/>
  <c r="CB47" i="14" s="1"/>
  <c r="BU47" i="14"/>
  <c r="BZ47" i="14"/>
  <c r="CK46" i="14"/>
  <c r="CD53" i="3" s="1"/>
  <c r="BR301" i="14"/>
  <c r="BS301" i="14" s="1"/>
  <c r="CA300" i="14"/>
  <c r="CB300" i="14" s="1"/>
  <c r="BV300" i="14"/>
  <c r="BX300" i="14" s="1"/>
  <c r="BU300" i="14"/>
  <c r="BZ300" i="14"/>
  <c r="CH47" i="14"/>
  <c r="CE47" i="14"/>
  <c r="CF47" i="14"/>
  <c r="CE299" i="14"/>
  <c r="CJ299" i="14" s="1"/>
  <c r="AZ55" i="3" s="1"/>
  <c r="DD219" i="3"/>
  <c r="CJ46" i="14"/>
  <c r="CC53" i="3" s="1"/>
  <c r="BT47" i="14"/>
  <c r="BW47" i="14" s="1"/>
  <c r="BS47" i="14"/>
  <c r="AY48" i="14"/>
  <c r="BQ48" i="14"/>
  <c r="BR48" i="14" s="1"/>
  <c r="CH299" i="14"/>
  <c r="CM299" i="14" s="1"/>
  <c r="BB55" i="3" s="1"/>
  <c r="C61" i="3"/>
  <c r="BW60" i="3"/>
  <c r="CJ60" i="3" s="1"/>
  <c r="AV60" i="3" s="1"/>
  <c r="BL60" i="3"/>
  <c r="AG60" i="3"/>
  <c r="O57" i="26" s="1"/>
  <c r="AH60" i="3"/>
  <c r="P57" i="26" s="1"/>
  <c r="AY60" i="3"/>
  <c r="BD60" i="3" s="1"/>
  <c r="BK60" i="3"/>
  <c r="AJ60" i="3"/>
  <c r="R57" i="26" s="1"/>
  <c r="AI60" i="3"/>
  <c r="Q57" i="26" s="1"/>
  <c r="AV302" i="14"/>
  <c r="AZ302" i="14"/>
  <c r="BA302" i="14"/>
  <c r="BK302" i="14" s="1"/>
  <c r="AK302" i="14"/>
  <c r="AL302" i="14" s="1"/>
  <c r="AM302" i="14" s="1"/>
  <c r="AN302" i="14" s="1"/>
  <c r="AO302" i="14" s="1"/>
  <c r="AP302" i="14" s="1"/>
  <c r="AQ302" i="14"/>
  <c r="AR302" i="14" s="1"/>
  <c r="AS302" i="14" s="1"/>
  <c r="AT302" i="14" s="1"/>
  <c r="AU302" i="14" s="1"/>
  <c r="AF302" i="14"/>
  <c r="AC302" i="14"/>
  <c r="AG50" i="14"/>
  <c r="AH50" i="14" s="1"/>
  <c r="AI50" i="14" s="1"/>
  <c r="AJ50" i="14" s="1"/>
  <c r="AG301" i="14"/>
  <c r="AH301" i="14" s="1"/>
  <c r="AI301" i="14" s="1"/>
  <c r="AJ301" i="14" s="1"/>
  <c r="AX302" i="14"/>
  <c r="BO58" i="3"/>
  <c r="AU58" i="3" s="1"/>
  <c r="BE301" i="14"/>
  <c r="BG301" i="14" s="1"/>
  <c r="CD301" i="14"/>
  <c r="AX51" i="14"/>
  <c r="BA51" i="14"/>
  <c r="BK51" i="14" s="1"/>
  <c r="AZ51" i="14"/>
  <c r="AF51" i="14"/>
  <c r="AK51" i="14"/>
  <c r="AL51" i="14" s="1"/>
  <c r="AM51" i="14" s="1"/>
  <c r="AN51" i="14" s="1"/>
  <c r="AO51" i="14" s="1"/>
  <c r="AP51" i="14" s="1"/>
  <c r="AC51" i="14"/>
  <c r="AQ51" i="14"/>
  <c r="AR51" i="14" s="1"/>
  <c r="AS51" i="14" s="1"/>
  <c r="AT51" i="14" s="1"/>
  <c r="AU51" i="14" s="1"/>
  <c r="BE50" i="14"/>
  <c r="BG50" i="14" s="1"/>
  <c r="CD50" i="14"/>
  <c r="AW300" i="14"/>
  <c r="AY300" i="14" s="1"/>
  <c r="CH300" i="14" s="1"/>
  <c r="AW49" i="14"/>
  <c r="BQ302" i="14"/>
  <c r="BU61" i="3" l="1"/>
  <c r="BV61" i="3"/>
  <c r="AW57" i="3"/>
  <c r="AX303" i="14"/>
  <c r="AZ52" i="14"/>
  <c r="AC52" i="14"/>
  <c r="BA52" i="14"/>
  <c r="BK52" i="14" s="1"/>
  <c r="AQ52" i="14"/>
  <c r="AR52" i="14" s="1"/>
  <c r="AS52" i="14" s="1"/>
  <c r="AT52" i="14" s="1"/>
  <c r="AU52" i="14" s="1"/>
  <c r="AK52" i="14"/>
  <c r="AL52" i="14" s="1"/>
  <c r="AM52" i="14" s="1"/>
  <c r="AN52" i="14" s="1"/>
  <c r="AO52" i="14" s="1"/>
  <c r="AP52" i="14" s="1"/>
  <c r="AF52" i="14"/>
  <c r="AE305" i="14"/>
  <c r="Z305" i="14"/>
  <c r="AE54" i="14"/>
  <c r="Z54" i="14"/>
  <c r="AB53" i="14"/>
  <c r="BI53" i="14"/>
  <c r="BJ53" i="14" s="1"/>
  <c r="BC53" i="14"/>
  <c r="BD53" i="14" s="1"/>
  <c r="AA53" i="14"/>
  <c r="AX53" i="14" s="1"/>
  <c r="AD53" i="14"/>
  <c r="BM53" i="14"/>
  <c r="BB53" i="14"/>
  <c r="BQ303" i="14"/>
  <c r="BR303" i="14" s="1"/>
  <c r="BN303" i="14"/>
  <c r="BO303" i="14" s="1"/>
  <c r="AX52" i="14"/>
  <c r="AF303" i="14"/>
  <c r="AG303" i="14" s="1"/>
  <c r="AH303" i="14" s="1"/>
  <c r="AI303" i="14" s="1"/>
  <c r="AJ303" i="14" s="1"/>
  <c r="AK303" i="14"/>
  <c r="AL303" i="14" s="1"/>
  <c r="AM303" i="14" s="1"/>
  <c r="AN303" i="14" s="1"/>
  <c r="AO303" i="14" s="1"/>
  <c r="AP303" i="14" s="1"/>
  <c r="AC303" i="14"/>
  <c r="AQ303" i="14"/>
  <c r="AR303" i="14" s="1"/>
  <c r="AS303" i="14" s="1"/>
  <c r="AT303" i="14" s="1"/>
  <c r="AU303" i="14" s="1"/>
  <c r="AZ303" i="14"/>
  <c r="BA303" i="14"/>
  <c r="BK303" i="14" s="1"/>
  <c r="AV52" i="14"/>
  <c r="BN52" i="14"/>
  <c r="BO52" i="14" s="1"/>
  <c r="BC304" i="14"/>
  <c r="BD304" i="14" s="1"/>
  <c r="BM304" i="14"/>
  <c r="BI304" i="14"/>
  <c r="BJ304" i="14" s="1"/>
  <c r="AB304" i="14"/>
  <c r="AD304" i="14"/>
  <c r="BB304" i="14"/>
  <c r="AA304" i="14"/>
  <c r="AX304" i="14" s="1"/>
  <c r="BH60" i="3"/>
  <c r="BG60" i="3"/>
  <c r="BM60" i="3" s="1"/>
  <c r="C58" i="26"/>
  <c r="C58" i="25"/>
  <c r="DD220" i="3"/>
  <c r="D57" i="25"/>
  <c r="D57" i="26"/>
  <c r="BE60" i="3"/>
  <c r="CF61" i="3"/>
  <c r="CK60" i="3"/>
  <c r="BJ59" i="3"/>
  <c r="BP59" i="3" s="1"/>
  <c r="BC60" i="3"/>
  <c r="BN60" i="3" s="1"/>
  <c r="CI60" i="3"/>
  <c r="BR58" i="3"/>
  <c r="BY61" i="3"/>
  <c r="BF59" i="3"/>
  <c r="BQ59" i="3" s="1"/>
  <c r="D61" i="3"/>
  <c r="BG61" i="3" s="1"/>
  <c r="CK47" i="14"/>
  <c r="CD54" i="3" s="1"/>
  <c r="BR302" i="14"/>
  <c r="BS302" i="14" s="1"/>
  <c r="CA301" i="14"/>
  <c r="CB301" i="14" s="1"/>
  <c r="BV301" i="14"/>
  <c r="BX301" i="14" s="1"/>
  <c r="BZ301" i="14"/>
  <c r="BU301" i="14"/>
  <c r="CA48" i="14"/>
  <c r="CB48" i="14" s="1"/>
  <c r="BV48" i="14"/>
  <c r="BX48" i="14" s="1"/>
  <c r="BU48" i="14"/>
  <c r="BZ48" i="14"/>
  <c r="CM300" i="14"/>
  <c r="BB56" i="3" s="1"/>
  <c r="BT301" i="14"/>
  <c r="BW301" i="14" s="1"/>
  <c r="CM47" i="14"/>
  <c r="CG54" i="3" s="1"/>
  <c r="CH48" i="14"/>
  <c r="CE48" i="14"/>
  <c r="CF48" i="14"/>
  <c r="CF300" i="14"/>
  <c r="CK300" i="14" s="1"/>
  <c r="BA56" i="3" s="1"/>
  <c r="CJ47" i="14"/>
  <c r="CC54" i="3" s="1"/>
  <c r="AY49" i="14"/>
  <c r="CH49" i="14" s="1"/>
  <c r="BQ49" i="14"/>
  <c r="BR49" i="14" s="1"/>
  <c r="CE300" i="14"/>
  <c r="CJ300" i="14" s="1"/>
  <c r="AZ56" i="3" s="1"/>
  <c r="AW301" i="14"/>
  <c r="AY301" i="14" s="1"/>
  <c r="CF301" i="14" s="1"/>
  <c r="BT48" i="14"/>
  <c r="BW48" i="14" s="1"/>
  <c r="BS48" i="14"/>
  <c r="BE51" i="14"/>
  <c r="BG51" i="14" s="1"/>
  <c r="CD51" i="14"/>
  <c r="BO59" i="3"/>
  <c r="AU59" i="3" s="1"/>
  <c r="C62" i="3"/>
  <c r="BW61" i="3"/>
  <c r="CJ61" i="3" s="1"/>
  <c r="AV61" i="3" s="1"/>
  <c r="BL61" i="3"/>
  <c r="AJ61" i="3"/>
  <c r="R58" i="26" s="1"/>
  <c r="AY61" i="3"/>
  <c r="BD61" i="3" s="1"/>
  <c r="AG61" i="3"/>
  <c r="O58" i="26" s="1"/>
  <c r="AH61" i="3"/>
  <c r="P58" i="26" s="1"/>
  <c r="BK61" i="3"/>
  <c r="AI61" i="3"/>
  <c r="Q58" i="26" s="1"/>
  <c r="AG302" i="14"/>
  <c r="AH302" i="14" s="1"/>
  <c r="AI302" i="14" s="1"/>
  <c r="AJ302" i="14" s="1"/>
  <c r="BE302" i="14"/>
  <c r="BG302" i="14" s="1"/>
  <c r="CD302" i="14"/>
  <c r="AW50" i="14"/>
  <c r="AG51" i="14"/>
  <c r="AH51" i="14" s="1"/>
  <c r="AI51" i="14" s="1"/>
  <c r="AJ51" i="14" s="1"/>
  <c r="BV62" i="3" l="1"/>
  <c r="BU62" i="3"/>
  <c r="DD221" i="3"/>
  <c r="AV53" i="14"/>
  <c r="BI61" i="3"/>
  <c r="BN304" i="14"/>
  <c r="BO304" i="14" s="1"/>
  <c r="BQ304" i="14"/>
  <c r="BR304" i="14" s="1"/>
  <c r="CD303" i="14"/>
  <c r="BE303" i="14"/>
  <c r="BG303" i="14" s="1"/>
  <c r="BN53" i="14"/>
  <c r="BO53" i="14" s="1"/>
  <c r="AQ304" i="14"/>
  <c r="AR304" i="14" s="1"/>
  <c r="AS304" i="14" s="1"/>
  <c r="AT304" i="14" s="1"/>
  <c r="AU304" i="14" s="1"/>
  <c r="AF304" i="14"/>
  <c r="AC304" i="14"/>
  <c r="AZ304" i="14"/>
  <c r="BA304" i="14"/>
  <c r="BK304" i="14" s="1"/>
  <c r="AK304" i="14"/>
  <c r="AL304" i="14" s="1"/>
  <c r="AM304" i="14" s="1"/>
  <c r="AN304" i="14" s="1"/>
  <c r="AO304" i="14" s="1"/>
  <c r="AP304" i="14" s="1"/>
  <c r="AZ53" i="14"/>
  <c r="AK53" i="14"/>
  <c r="AL53" i="14" s="1"/>
  <c r="AM53" i="14" s="1"/>
  <c r="AN53" i="14" s="1"/>
  <c r="AO53" i="14" s="1"/>
  <c r="AP53" i="14" s="1"/>
  <c r="AC53" i="14"/>
  <c r="BA53" i="14"/>
  <c r="BK53" i="14" s="1"/>
  <c r="AQ53" i="14"/>
  <c r="AR53" i="14" s="1"/>
  <c r="AS53" i="14" s="1"/>
  <c r="AT53" i="14" s="1"/>
  <c r="AU53" i="14" s="1"/>
  <c r="AF53" i="14"/>
  <c r="AG53" i="14" s="1"/>
  <c r="AH53" i="14" s="1"/>
  <c r="AI53" i="14" s="1"/>
  <c r="AJ53" i="14" s="1"/>
  <c r="BM54" i="14"/>
  <c r="AB54" i="14"/>
  <c r="BI54" i="14"/>
  <c r="BJ54" i="14" s="1"/>
  <c r="AA54" i="14"/>
  <c r="AX54" i="14" s="1"/>
  <c r="BC54" i="14"/>
  <c r="BD54" i="14" s="1"/>
  <c r="AD54" i="14"/>
  <c r="BB54" i="14"/>
  <c r="BS303" i="14"/>
  <c r="BU303" i="14"/>
  <c r="BZ303" i="14"/>
  <c r="BB305" i="14"/>
  <c r="AD305" i="14"/>
  <c r="BM305" i="14"/>
  <c r="AA305" i="14"/>
  <c r="BI305" i="14"/>
  <c r="BJ305" i="14" s="1"/>
  <c r="AB305" i="14"/>
  <c r="BC305" i="14"/>
  <c r="BD305" i="14" s="1"/>
  <c r="AG52" i="14"/>
  <c r="AH52" i="14" s="1"/>
  <c r="AI52" i="14" s="1"/>
  <c r="AJ52" i="14" s="1"/>
  <c r="AE55" i="14"/>
  <c r="Z55" i="14"/>
  <c r="AE306" i="14"/>
  <c r="Z306" i="14"/>
  <c r="AW303" i="14"/>
  <c r="AY303" i="14" s="1"/>
  <c r="AV304" i="14"/>
  <c r="BV303" i="14"/>
  <c r="BX303" i="14" s="1"/>
  <c r="BT303" i="14"/>
  <c r="BW303" i="14" s="1"/>
  <c r="CA303" i="14"/>
  <c r="CB303" i="14" s="1"/>
  <c r="CD52" i="14"/>
  <c r="BE52" i="14"/>
  <c r="BG52" i="14" s="1"/>
  <c r="BH61" i="3"/>
  <c r="D58" i="25"/>
  <c r="D58" i="26"/>
  <c r="C59" i="25"/>
  <c r="C59" i="26"/>
  <c r="BE61" i="3"/>
  <c r="CK61" i="3"/>
  <c r="CF62" i="3"/>
  <c r="AW58" i="3"/>
  <c r="BJ60" i="3"/>
  <c r="BP60" i="3" s="1"/>
  <c r="BR59" i="3"/>
  <c r="BC61" i="3"/>
  <c r="BN61" i="3" s="1"/>
  <c r="CI61" i="3"/>
  <c r="BY62" i="3"/>
  <c r="BM61" i="3"/>
  <c r="BF60" i="3"/>
  <c r="BQ60" i="3" s="1"/>
  <c r="D62" i="3"/>
  <c r="CK301" i="14"/>
  <c r="BA57" i="3" s="1"/>
  <c r="CM48" i="14"/>
  <c r="CG55" i="3" s="1"/>
  <c r="CA302" i="14"/>
  <c r="CB302" i="14" s="1"/>
  <c r="BV302" i="14"/>
  <c r="BX302" i="14" s="1"/>
  <c r="BZ302" i="14"/>
  <c r="BU302" i="14"/>
  <c r="BT302" i="14"/>
  <c r="BW302" i="14" s="1"/>
  <c r="CF49" i="14"/>
  <c r="CE49" i="14"/>
  <c r="BV49" i="14"/>
  <c r="BX49" i="14" s="1"/>
  <c r="CA49" i="14"/>
  <c r="CB49" i="14" s="1"/>
  <c r="CM49" i="14" s="1"/>
  <c r="CG56" i="3" s="1"/>
  <c r="BZ49" i="14"/>
  <c r="BU49" i="14"/>
  <c r="CK48" i="14"/>
  <c r="CD55" i="3" s="1"/>
  <c r="CE301" i="14"/>
  <c r="CJ301" i="14" s="1"/>
  <c r="AZ57" i="3" s="1"/>
  <c r="CH301" i="14"/>
  <c r="CM301" i="14" s="1"/>
  <c r="BB57" i="3" s="1"/>
  <c r="BT49" i="14"/>
  <c r="BW49" i="14" s="1"/>
  <c r="BS49" i="14"/>
  <c r="AW51" i="14"/>
  <c r="AY50" i="14"/>
  <c r="CH50" i="14" s="1"/>
  <c r="BQ50" i="14"/>
  <c r="BR50" i="14" s="1"/>
  <c r="CJ48" i="14"/>
  <c r="CC55" i="3" s="1"/>
  <c r="BO60" i="3"/>
  <c r="AU60" i="3" s="1"/>
  <c r="AW302" i="14"/>
  <c r="AY302" i="14" s="1"/>
  <c r="CH302" i="14" s="1"/>
  <c r="C63" i="3"/>
  <c r="BW62" i="3"/>
  <c r="CJ62" i="3" s="1"/>
  <c r="AV62" i="3" s="1"/>
  <c r="BL62" i="3"/>
  <c r="BK62" i="3"/>
  <c r="AY62" i="3"/>
  <c r="AI62" i="3"/>
  <c r="Q59" i="26" s="1"/>
  <c r="AG62" i="3"/>
  <c r="O59" i="26" s="1"/>
  <c r="AH62" i="3"/>
  <c r="P59" i="26" s="1"/>
  <c r="AJ62" i="3"/>
  <c r="R59" i="26" s="1"/>
  <c r="BD62" i="3" l="1"/>
  <c r="BV63" i="3"/>
  <c r="BU63" i="3"/>
  <c r="AW52" i="14"/>
  <c r="BA305" i="14"/>
  <c r="BK305" i="14" s="1"/>
  <c r="AK305" i="14"/>
  <c r="AL305" i="14" s="1"/>
  <c r="AM305" i="14" s="1"/>
  <c r="AN305" i="14" s="1"/>
  <c r="AO305" i="14" s="1"/>
  <c r="AP305" i="14" s="1"/>
  <c r="AQ305" i="14"/>
  <c r="AR305" i="14" s="1"/>
  <c r="AS305" i="14" s="1"/>
  <c r="AT305" i="14" s="1"/>
  <c r="AU305" i="14" s="1"/>
  <c r="AZ305" i="14"/>
  <c r="AC305" i="14"/>
  <c r="AF305" i="14"/>
  <c r="AG305" i="14" s="1"/>
  <c r="AH305" i="14" s="1"/>
  <c r="AI305" i="14" s="1"/>
  <c r="AJ305" i="14" s="1"/>
  <c r="BN54" i="14"/>
  <c r="BO54" i="14" s="1"/>
  <c r="CE303" i="14"/>
  <c r="CJ303" i="14" s="1"/>
  <c r="CH303" i="14"/>
  <c r="CM303" i="14" s="1"/>
  <c r="CF303" i="14"/>
  <c r="CK303" i="14" s="1"/>
  <c r="AE307" i="14"/>
  <c r="Z307" i="14"/>
  <c r="AE56" i="14"/>
  <c r="Z56" i="14"/>
  <c r="AB55" i="14"/>
  <c r="BI55" i="14"/>
  <c r="BJ55" i="14" s="1"/>
  <c r="BC55" i="14"/>
  <c r="BD55" i="14" s="1"/>
  <c r="AA55" i="14"/>
  <c r="AV55" i="14" s="1"/>
  <c r="AD55" i="14"/>
  <c r="BM55" i="14"/>
  <c r="BB55" i="14"/>
  <c r="BQ305" i="14"/>
  <c r="BR305" i="14" s="1"/>
  <c r="BN305" i="14"/>
  <c r="BO305" i="14" s="1"/>
  <c r="AV305" i="14"/>
  <c r="AW53" i="14"/>
  <c r="BV304" i="14"/>
  <c r="BX304" i="14" s="1"/>
  <c r="BT304" i="14"/>
  <c r="BW304" i="14" s="1"/>
  <c r="CA304" i="14"/>
  <c r="CB304" i="14" s="1"/>
  <c r="AX305" i="14"/>
  <c r="AF54" i="14"/>
  <c r="AG54" i="14" s="1"/>
  <c r="AH54" i="14" s="1"/>
  <c r="AI54" i="14" s="1"/>
  <c r="AJ54" i="14" s="1"/>
  <c r="BA54" i="14"/>
  <c r="BK54" i="14" s="1"/>
  <c r="AQ54" i="14"/>
  <c r="AR54" i="14" s="1"/>
  <c r="AS54" i="14" s="1"/>
  <c r="AT54" i="14" s="1"/>
  <c r="AU54" i="14" s="1"/>
  <c r="AK54" i="14"/>
  <c r="AL54" i="14" s="1"/>
  <c r="AM54" i="14" s="1"/>
  <c r="AN54" i="14" s="1"/>
  <c r="AO54" i="14" s="1"/>
  <c r="AP54" i="14" s="1"/>
  <c r="AZ54" i="14"/>
  <c r="AC54" i="14"/>
  <c r="CD304" i="14"/>
  <c r="BE304" i="14"/>
  <c r="BG304" i="14" s="1"/>
  <c r="BI306" i="14"/>
  <c r="BJ306" i="14" s="1"/>
  <c r="BM306" i="14"/>
  <c r="AB306" i="14"/>
  <c r="AD306" i="14"/>
  <c r="BC306" i="14"/>
  <c r="BD306" i="14" s="1"/>
  <c r="BB306" i="14"/>
  <c r="AA306" i="14"/>
  <c r="AX306" i="14" s="1"/>
  <c r="AV54" i="14"/>
  <c r="BE53" i="14"/>
  <c r="BG53" i="14" s="1"/>
  <c r="CD53" i="14"/>
  <c r="AG304" i="14"/>
  <c r="AH304" i="14" s="1"/>
  <c r="AI304" i="14" s="1"/>
  <c r="AJ304" i="14" s="1"/>
  <c r="BS304" i="14"/>
  <c r="BU304" i="14"/>
  <c r="BZ304" i="14"/>
  <c r="C60" i="26"/>
  <c r="C60" i="25"/>
  <c r="BG62" i="3"/>
  <c r="BM62" i="3" s="1"/>
  <c r="D59" i="26"/>
  <c r="D59" i="25"/>
  <c r="BH62" i="3"/>
  <c r="BI62" i="3"/>
  <c r="BE62" i="3"/>
  <c r="AW59" i="3"/>
  <c r="CK62" i="3"/>
  <c r="CF63" i="3"/>
  <c r="BR60" i="3"/>
  <c r="BJ61" i="3"/>
  <c r="BP61" i="3" s="1"/>
  <c r="BC62" i="3"/>
  <c r="BN62" i="3" s="1"/>
  <c r="CI62" i="3"/>
  <c r="BY63" i="3"/>
  <c r="DD222" i="3"/>
  <c r="BF61" i="3"/>
  <c r="BQ61" i="3" s="1"/>
  <c r="CE302" i="14"/>
  <c r="CJ302" i="14" s="1"/>
  <c r="AZ58" i="3" s="1"/>
  <c r="D63" i="3"/>
  <c r="CE50" i="14"/>
  <c r="CA50" i="14"/>
  <c r="CB50" i="14" s="1"/>
  <c r="CM50" i="14" s="1"/>
  <c r="CG57" i="3" s="1"/>
  <c r="BV50" i="14"/>
  <c r="BX50" i="14" s="1"/>
  <c r="BZ50" i="14"/>
  <c r="BU50" i="14"/>
  <c r="CJ49" i="14"/>
  <c r="CC56" i="3" s="1"/>
  <c r="CK49" i="14"/>
  <c r="CD56" i="3" s="1"/>
  <c r="CM302" i="14"/>
  <c r="BB58" i="3" s="1"/>
  <c r="CF302" i="14"/>
  <c r="CK302" i="14" s="1"/>
  <c r="BA58" i="3" s="1"/>
  <c r="CF50" i="14"/>
  <c r="BT50" i="14"/>
  <c r="BW50" i="14" s="1"/>
  <c r="BS50" i="14"/>
  <c r="AY51" i="14"/>
  <c r="BQ51" i="14"/>
  <c r="BR51" i="14" s="1"/>
  <c r="C64" i="3"/>
  <c r="BK63" i="3"/>
  <c r="AY63" i="3"/>
  <c r="AH63" i="3"/>
  <c r="P60" i="26" s="1"/>
  <c r="BW63" i="3"/>
  <c r="CK63" i="3" s="1"/>
  <c r="AG63" i="3"/>
  <c r="O60" i="26" s="1"/>
  <c r="BL63" i="3"/>
  <c r="AJ63" i="3"/>
  <c r="R60" i="26" s="1"/>
  <c r="AI63" i="3"/>
  <c r="Q60" i="26" s="1"/>
  <c r="BO61" i="3"/>
  <c r="AU61" i="3" s="1"/>
  <c r="BD63" i="3" l="1"/>
  <c r="BV64" i="3"/>
  <c r="BU64" i="3"/>
  <c r="AY53" i="14"/>
  <c r="CH53" i="14" s="1"/>
  <c r="BQ53" i="14"/>
  <c r="BR53" i="14" s="1"/>
  <c r="AY52" i="14"/>
  <c r="CF52" i="14" s="1"/>
  <c r="BQ52" i="14"/>
  <c r="BR52" i="14" s="1"/>
  <c r="AW60" i="3"/>
  <c r="AX55" i="14"/>
  <c r="AE308" i="14"/>
  <c r="Z308" i="14"/>
  <c r="AE57" i="14"/>
  <c r="Z57" i="14"/>
  <c r="AV306" i="14"/>
  <c r="AK306" i="14"/>
  <c r="AL306" i="14" s="1"/>
  <c r="AM306" i="14" s="1"/>
  <c r="AN306" i="14" s="1"/>
  <c r="AO306" i="14" s="1"/>
  <c r="AP306" i="14" s="1"/>
  <c r="AF306" i="14"/>
  <c r="AG306" i="14" s="1"/>
  <c r="AH306" i="14" s="1"/>
  <c r="AI306" i="14" s="1"/>
  <c r="AJ306" i="14" s="1"/>
  <c r="BA306" i="14"/>
  <c r="BK306" i="14" s="1"/>
  <c r="AC306" i="14"/>
  <c r="AZ306" i="14"/>
  <c r="AQ306" i="14"/>
  <c r="AR306" i="14" s="1"/>
  <c r="AS306" i="14" s="1"/>
  <c r="AT306" i="14" s="1"/>
  <c r="AU306" i="14" s="1"/>
  <c r="BV305" i="14"/>
  <c r="BX305" i="14" s="1"/>
  <c r="BT305" i="14"/>
  <c r="BW305" i="14" s="1"/>
  <c r="CA305" i="14"/>
  <c r="CB305" i="14" s="1"/>
  <c r="BM56" i="14"/>
  <c r="AB56" i="14"/>
  <c r="AA56" i="14"/>
  <c r="AV56" i="14" s="1"/>
  <c r="BI56" i="14"/>
  <c r="BJ56" i="14" s="1"/>
  <c r="BC56" i="14"/>
  <c r="BD56" i="14" s="1"/>
  <c r="AD56" i="14"/>
  <c r="BB56" i="14"/>
  <c r="AW304" i="14"/>
  <c r="AY304" i="14" s="1"/>
  <c r="CH304" i="14" s="1"/>
  <c r="CM304" i="14" s="1"/>
  <c r="BB60" i="3" s="1"/>
  <c r="AD307" i="14"/>
  <c r="BB307" i="14"/>
  <c r="AB307" i="14"/>
  <c r="BI307" i="14"/>
  <c r="BJ307" i="14" s="1"/>
  <c r="BM307" i="14"/>
  <c r="BC307" i="14"/>
  <c r="BD307" i="14" s="1"/>
  <c r="AA307" i="14"/>
  <c r="AV307" i="14" s="1"/>
  <c r="BS305" i="14"/>
  <c r="BU305" i="14"/>
  <c r="BZ305" i="14"/>
  <c r="BN55" i="14"/>
  <c r="BO55" i="14" s="1"/>
  <c r="AW305" i="14"/>
  <c r="AY305" i="14" s="1"/>
  <c r="BN306" i="14"/>
  <c r="BO306" i="14" s="1"/>
  <c r="BQ306" i="14"/>
  <c r="BR306" i="14" s="1"/>
  <c r="CD54" i="14"/>
  <c r="BE54" i="14"/>
  <c r="BG54" i="14" s="1"/>
  <c r="AW54" i="14"/>
  <c r="AZ55" i="14"/>
  <c r="AC55" i="14"/>
  <c r="AK55" i="14"/>
  <c r="AL55" i="14" s="1"/>
  <c r="AM55" i="14" s="1"/>
  <c r="AN55" i="14" s="1"/>
  <c r="AO55" i="14" s="1"/>
  <c r="AP55" i="14" s="1"/>
  <c r="BA55" i="14"/>
  <c r="BK55" i="14" s="1"/>
  <c r="AQ55" i="14"/>
  <c r="AR55" i="14" s="1"/>
  <c r="AS55" i="14" s="1"/>
  <c r="AT55" i="14" s="1"/>
  <c r="AU55" i="14" s="1"/>
  <c r="AF55" i="14"/>
  <c r="AG55" i="14" s="1"/>
  <c r="AH55" i="14" s="1"/>
  <c r="AI55" i="14" s="1"/>
  <c r="AJ55" i="14" s="1"/>
  <c r="BE305" i="14"/>
  <c r="BG305" i="14" s="1"/>
  <c r="CD305" i="14"/>
  <c r="C61" i="26"/>
  <c r="C61" i="25"/>
  <c r="BG63" i="3"/>
  <c r="BM63" i="3" s="1"/>
  <c r="D60" i="25"/>
  <c r="D60" i="26"/>
  <c r="BI63" i="3"/>
  <c r="BH63" i="3"/>
  <c r="BE63" i="3"/>
  <c r="CF64" i="3"/>
  <c r="BR61" i="3"/>
  <c r="BJ62" i="3"/>
  <c r="BP62" i="3" s="1"/>
  <c r="BC63" i="3"/>
  <c r="BN63" i="3" s="1"/>
  <c r="CJ63" i="3"/>
  <c r="AV63" i="3" s="1"/>
  <c r="BY64" i="3"/>
  <c r="CI63" i="3"/>
  <c r="DD223" i="3"/>
  <c r="BF62" i="3"/>
  <c r="BQ62" i="3" s="1"/>
  <c r="D64" i="3"/>
  <c r="BG64" i="3" s="1"/>
  <c r="BV51" i="14"/>
  <c r="BX51" i="14" s="1"/>
  <c r="CA51" i="14"/>
  <c r="CB51" i="14" s="1"/>
  <c r="BU51" i="14"/>
  <c r="BZ51" i="14"/>
  <c r="CK50" i="14"/>
  <c r="CD57" i="3" s="1"/>
  <c r="CF51" i="14"/>
  <c r="CE51" i="14"/>
  <c r="CH51" i="14"/>
  <c r="CJ50" i="14"/>
  <c r="CC57" i="3" s="1"/>
  <c r="BT51" i="14"/>
  <c r="BW51" i="14" s="1"/>
  <c r="BS51" i="14"/>
  <c r="BO62" i="3"/>
  <c r="AU62" i="3" s="1"/>
  <c r="C65" i="3"/>
  <c r="BW64" i="3"/>
  <c r="CJ64" i="3" s="1"/>
  <c r="AV64" i="3" s="1"/>
  <c r="BK64" i="3"/>
  <c r="AY64" i="3"/>
  <c r="BD64" i="3" s="1"/>
  <c r="AG64" i="3"/>
  <c r="O61" i="26" s="1"/>
  <c r="BL64" i="3"/>
  <c r="AH64" i="3"/>
  <c r="P61" i="26" s="1"/>
  <c r="AI64" i="3"/>
  <c r="Q61" i="26" s="1"/>
  <c r="AJ64" i="3"/>
  <c r="R61" i="26" s="1"/>
  <c r="CE52" i="14" l="1"/>
  <c r="CH52" i="14"/>
  <c r="CF53" i="14"/>
  <c r="CE53" i="14"/>
  <c r="BU65" i="3"/>
  <c r="BV65" i="3"/>
  <c r="AW61" i="3"/>
  <c r="BU53" i="14"/>
  <c r="BT53" i="14"/>
  <c r="BW53" i="14" s="1"/>
  <c r="CA53" i="14"/>
  <c r="CB53" i="14" s="1"/>
  <c r="CM53" i="14" s="1"/>
  <c r="CG60" i="3" s="1"/>
  <c r="BS53" i="14"/>
  <c r="BZ53" i="14"/>
  <c r="BV53" i="14"/>
  <c r="BX53" i="14" s="1"/>
  <c r="AY54" i="14"/>
  <c r="CF54" i="14" s="1"/>
  <c r="BQ54" i="14"/>
  <c r="BR54" i="14" s="1"/>
  <c r="BT52" i="14"/>
  <c r="BW52" i="14" s="1"/>
  <c r="CJ52" i="14" s="1"/>
  <c r="BS52" i="14"/>
  <c r="CA52" i="14"/>
  <c r="CB52" i="14" s="1"/>
  <c r="BU52" i="14"/>
  <c r="BV52" i="14"/>
  <c r="BX52" i="14" s="1"/>
  <c r="CK52" i="14" s="1"/>
  <c r="BZ52" i="14"/>
  <c r="DD224" i="3"/>
  <c r="AX307" i="14"/>
  <c r="AE309" i="14"/>
  <c r="Z309" i="14"/>
  <c r="AE58" i="14"/>
  <c r="Z58" i="14"/>
  <c r="CF305" i="14"/>
  <c r="CK305" i="14" s="1"/>
  <c r="BA61" i="3" s="1"/>
  <c r="CE305" i="14"/>
  <c r="CJ305" i="14" s="1"/>
  <c r="AZ61" i="3" s="1"/>
  <c r="CH305" i="14"/>
  <c r="CM305" i="14" s="1"/>
  <c r="BB61" i="3" s="1"/>
  <c r="AX56" i="14"/>
  <c r="CE304" i="14"/>
  <c r="CJ304" i="14" s="1"/>
  <c r="AZ60" i="3" s="1"/>
  <c r="BE55" i="14"/>
  <c r="BG55" i="14" s="1"/>
  <c r="CD55" i="14"/>
  <c r="BZ306" i="14"/>
  <c r="CA306" i="14"/>
  <c r="CB306" i="14" s="1"/>
  <c r="BT306" i="14"/>
  <c r="BW306" i="14" s="1"/>
  <c r="BV306" i="14"/>
  <c r="BX306" i="14" s="1"/>
  <c r="BQ307" i="14"/>
  <c r="BR307" i="14" s="1"/>
  <c r="BN307" i="14"/>
  <c r="BO307" i="14" s="1"/>
  <c r="BN56" i="14"/>
  <c r="BO56" i="14" s="1"/>
  <c r="AW306" i="14"/>
  <c r="AY306" i="14" s="1"/>
  <c r="AB57" i="14"/>
  <c r="BI57" i="14"/>
  <c r="BJ57" i="14" s="1"/>
  <c r="BC57" i="14"/>
  <c r="BD57" i="14" s="1"/>
  <c r="AA57" i="14"/>
  <c r="AX57" i="14" s="1"/>
  <c r="BM57" i="14"/>
  <c r="AD57" i="14"/>
  <c r="BB57" i="14"/>
  <c r="BS306" i="14"/>
  <c r="BU306" i="14"/>
  <c r="CF304" i="14"/>
  <c r="CK304" i="14" s="1"/>
  <c r="BA60" i="3" s="1"/>
  <c r="AW55" i="14"/>
  <c r="BA307" i="14"/>
  <c r="BK307" i="14" s="1"/>
  <c r="AF307" i="14"/>
  <c r="AQ307" i="14"/>
  <c r="AR307" i="14" s="1"/>
  <c r="AS307" i="14" s="1"/>
  <c r="AT307" i="14" s="1"/>
  <c r="AU307" i="14" s="1"/>
  <c r="AZ307" i="14"/>
  <c r="AC307" i="14"/>
  <c r="AK307" i="14"/>
  <c r="AL307" i="14" s="1"/>
  <c r="AM307" i="14" s="1"/>
  <c r="AN307" i="14" s="1"/>
  <c r="AO307" i="14" s="1"/>
  <c r="AP307" i="14" s="1"/>
  <c r="AF56" i="14"/>
  <c r="AG56" i="14" s="1"/>
  <c r="AH56" i="14" s="1"/>
  <c r="AI56" i="14" s="1"/>
  <c r="AJ56" i="14" s="1"/>
  <c r="AZ56" i="14"/>
  <c r="AQ56" i="14"/>
  <c r="AR56" i="14" s="1"/>
  <c r="AS56" i="14" s="1"/>
  <c r="AT56" i="14" s="1"/>
  <c r="AU56" i="14" s="1"/>
  <c r="AK56" i="14"/>
  <c r="AL56" i="14" s="1"/>
  <c r="AM56" i="14" s="1"/>
  <c r="AN56" i="14" s="1"/>
  <c r="AO56" i="14" s="1"/>
  <c r="AP56" i="14" s="1"/>
  <c r="AC56" i="14"/>
  <c r="BA56" i="14"/>
  <c r="BK56" i="14" s="1"/>
  <c r="CD306" i="14"/>
  <c r="BE306" i="14"/>
  <c r="BG306" i="14" s="1"/>
  <c r="BM308" i="14"/>
  <c r="BB308" i="14"/>
  <c r="AA308" i="14"/>
  <c r="AX308" i="14" s="1"/>
  <c r="BC308" i="14"/>
  <c r="BD308" i="14" s="1"/>
  <c r="BI308" i="14"/>
  <c r="BJ308" i="14" s="1"/>
  <c r="AD308" i="14"/>
  <c r="AB308" i="14"/>
  <c r="C62" i="26"/>
  <c r="C62" i="25"/>
  <c r="BI64" i="3"/>
  <c r="D61" i="25"/>
  <c r="D61" i="26"/>
  <c r="BH64" i="3"/>
  <c r="BE64" i="3"/>
  <c r="CK64" i="3"/>
  <c r="CF65" i="3"/>
  <c r="BJ63" i="3"/>
  <c r="BP63" i="3" s="1"/>
  <c r="BR62" i="3"/>
  <c r="BC64" i="3"/>
  <c r="BN64" i="3" s="1"/>
  <c r="CI64" i="3"/>
  <c r="BY65" i="3"/>
  <c r="BM64" i="3"/>
  <c r="BF63" i="3"/>
  <c r="BQ63" i="3" s="1"/>
  <c r="D65" i="3"/>
  <c r="CM51" i="14"/>
  <c r="CG58" i="3" s="1"/>
  <c r="CK51" i="14"/>
  <c r="CD58" i="3" s="1"/>
  <c r="CJ51" i="14"/>
  <c r="CC58" i="3" s="1"/>
  <c r="BO63" i="3"/>
  <c r="AU63" i="3" s="1"/>
  <c r="C66" i="3"/>
  <c r="BL65" i="3"/>
  <c r="BW65" i="3"/>
  <c r="CI65" i="3" s="1"/>
  <c r="BK65" i="3"/>
  <c r="AY65" i="3"/>
  <c r="AJ65" i="3"/>
  <c r="R62" i="26" s="1"/>
  <c r="AG65" i="3"/>
  <c r="O62" i="26" s="1"/>
  <c r="AH65" i="3"/>
  <c r="P62" i="26" s="1"/>
  <c r="AI65" i="3"/>
  <c r="Q62" i="26" s="1"/>
  <c r="CM52" i="14" l="1"/>
  <c r="CJ53" i="14"/>
  <c r="CC60" i="3" s="1"/>
  <c r="CK53" i="14"/>
  <c r="CD60" i="3" s="1"/>
  <c r="CH54" i="14"/>
  <c r="BD65" i="3"/>
  <c r="BV66" i="3"/>
  <c r="BU66" i="3"/>
  <c r="CE54" i="14"/>
  <c r="AY55" i="14"/>
  <c r="CH55" i="14" s="1"/>
  <c r="BQ55" i="14"/>
  <c r="BR55" i="14" s="1"/>
  <c r="BU54" i="14"/>
  <c r="BV54" i="14"/>
  <c r="BX54" i="14" s="1"/>
  <c r="CK54" i="14" s="1"/>
  <c r="CD61" i="3" s="1"/>
  <c r="CA54" i="14"/>
  <c r="CB54" i="14" s="1"/>
  <c r="BZ54" i="14"/>
  <c r="BS54" i="14"/>
  <c r="BT54" i="14"/>
  <c r="BW54" i="14" s="1"/>
  <c r="AV57" i="14"/>
  <c r="BN57" i="14"/>
  <c r="BO57" i="14" s="1"/>
  <c r="BI309" i="14"/>
  <c r="BJ309" i="14" s="1"/>
  <c r="AB309" i="14"/>
  <c r="BM309" i="14"/>
  <c r="BB309" i="14"/>
  <c r="BC309" i="14"/>
  <c r="BD309" i="14" s="1"/>
  <c r="AD309" i="14"/>
  <c r="AA309" i="14"/>
  <c r="AV309" i="14" s="1"/>
  <c r="BA308" i="14"/>
  <c r="BK308" i="14" s="1"/>
  <c r="AF308" i="14"/>
  <c r="AC308" i="14"/>
  <c r="AQ308" i="14"/>
  <c r="AR308" i="14" s="1"/>
  <c r="AS308" i="14" s="1"/>
  <c r="AT308" i="14" s="1"/>
  <c r="AU308" i="14" s="1"/>
  <c r="AK308" i="14"/>
  <c r="AL308" i="14" s="1"/>
  <c r="AM308" i="14" s="1"/>
  <c r="AN308" i="14" s="1"/>
  <c r="AO308" i="14" s="1"/>
  <c r="AP308" i="14" s="1"/>
  <c r="AZ308" i="14"/>
  <c r="CE306" i="14"/>
  <c r="CJ306" i="14" s="1"/>
  <c r="AZ62" i="3" s="1"/>
  <c r="CH306" i="14"/>
  <c r="CM306" i="14" s="1"/>
  <c r="BB62" i="3" s="1"/>
  <c r="AW56" i="14"/>
  <c r="AG307" i="14"/>
  <c r="AH307" i="14" s="1"/>
  <c r="AI307" i="14" s="1"/>
  <c r="AJ307" i="14" s="1"/>
  <c r="AZ57" i="14"/>
  <c r="AC57" i="14"/>
  <c r="AK57" i="14"/>
  <c r="AL57" i="14" s="1"/>
  <c r="AM57" i="14" s="1"/>
  <c r="AN57" i="14" s="1"/>
  <c r="AO57" i="14" s="1"/>
  <c r="AP57" i="14" s="1"/>
  <c r="BA57" i="14"/>
  <c r="BK57" i="14" s="1"/>
  <c r="AQ57" i="14"/>
  <c r="AR57" i="14" s="1"/>
  <c r="AS57" i="14" s="1"/>
  <c r="AT57" i="14" s="1"/>
  <c r="AU57" i="14" s="1"/>
  <c r="AF57" i="14"/>
  <c r="AG57" i="14" s="1"/>
  <c r="AH57" i="14" s="1"/>
  <c r="AI57" i="14" s="1"/>
  <c r="AJ57" i="14" s="1"/>
  <c r="CF306" i="14"/>
  <c r="CK306" i="14" s="1"/>
  <c r="BA62" i="3" s="1"/>
  <c r="CA307" i="14"/>
  <c r="CB307" i="14" s="1"/>
  <c r="BV307" i="14"/>
  <c r="BX307" i="14" s="1"/>
  <c r="BT307" i="14"/>
  <c r="BW307" i="14" s="1"/>
  <c r="AV308" i="14"/>
  <c r="BM58" i="14"/>
  <c r="AB58" i="14"/>
  <c r="AA58" i="14"/>
  <c r="BI58" i="14"/>
  <c r="BJ58" i="14" s="1"/>
  <c r="BC58" i="14"/>
  <c r="BD58" i="14" s="1"/>
  <c r="BB58" i="14"/>
  <c r="AD58" i="14"/>
  <c r="Z310" i="14"/>
  <c r="AE310" i="14"/>
  <c r="AE59" i="14"/>
  <c r="Z59" i="14"/>
  <c r="BN308" i="14"/>
  <c r="BO308" i="14" s="1"/>
  <c r="BQ308" i="14"/>
  <c r="BR308" i="14" s="1"/>
  <c r="CD56" i="14"/>
  <c r="BE56" i="14"/>
  <c r="BG56" i="14" s="1"/>
  <c r="BE307" i="14"/>
  <c r="BG307" i="14" s="1"/>
  <c r="CD307" i="14"/>
  <c r="BS307" i="14"/>
  <c r="BU307" i="14"/>
  <c r="BZ307" i="14"/>
  <c r="BI65" i="3"/>
  <c r="D62" i="25"/>
  <c r="D62" i="26"/>
  <c r="BH65" i="3"/>
  <c r="C63" i="25"/>
  <c r="C63" i="26"/>
  <c r="BG65" i="3"/>
  <c r="BM65" i="3" s="1"/>
  <c r="BE65" i="3"/>
  <c r="BR63" i="3"/>
  <c r="CK65" i="3"/>
  <c r="CF66" i="3"/>
  <c r="AW62" i="3"/>
  <c r="BJ64" i="3"/>
  <c r="BP64" i="3" s="1"/>
  <c r="BC65" i="3"/>
  <c r="BN65" i="3" s="1"/>
  <c r="CJ65" i="3"/>
  <c r="AV65" i="3" s="1"/>
  <c r="BY66" i="3"/>
  <c r="DD225" i="3"/>
  <c r="BF64" i="3"/>
  <c r="BQ64" i="3" s="1"/>
  <c r="D66" i="3"/>
  <c r="BO64" i="3"/>
  <c r="AU64" i="3" s="1"/>
  <c r="C67" i="3"/>
  <c r="BL66" i="3"/>
  <c r="BW66" i="3"/>
  <c r="CK66" i="3" s="1"/>
  <c r="AY66" i="3"/>
  <c r="BK66" i="3"/>
  <c r="AI66" i="3"/>
  <c r="Q63" i="26" s="1"/>
  <c r="AG66" i="3"/>
  <c r="O63" i="26" s="1"/>
  <c r="AH66" i="3"/>
  <c r="P63" i="26" s="1"/>
  <c r="AJ66" i="3"/>
  <c r="R63" i="26" s="1"/>
  <c r="BD66" i="3" l="1"/>
  <c r="CF55" i="14"/>
  <c r="CM54" i="14"/>
  <c r="CG61" i="3" s="1"/>
  <c r="CJ54" i="14"/>
  <c r="CC61" i="3" s="1"/>
  <c r="BV67" i="3"/>
  <c r="BU67" i="3"/>
  <c r="CE55" i="14"/>
  <c r="BZ55" i="14"/>
  <c r="BV55" i="14"/>
  <c r="BX55" i="14" s="1"/>
  <c r="BT55" i="14"/>
  <c r="BW55" i="14" s="1"/>
  <c r="CA55" i="14"/>
  <c r="CB55" i="14" s="1"/>
  <c r="CM55" i="14" s="1"/>
  <c r="CG62" i="3" s="1"/>
  <c r="BU55" i="14"/>
  <c r="BS55" i="14"/>
  <c r="AW63" i="3"/>
  <c r="AY56" i="14"/>
  <c r="CE56" i="14" s="1"/>
  <c r="BQ56" i="14"/>
  <c r="BR56" i="14" s="1"/>
  <c r="AW307" i="14"/>
  <c r="AY307" i="14" s="1"/>
  <c r="CE307" i="14" s="1"/>
  <c r="CJ307" i="14" s="1"/>
  <c r="AZ63" i="3" s="1"/>
  <c r="BV308" i="14"/>
  <c r="BX308" i="14" s="1"/>
  <c r="BT308" i="14"/>
  <c r="BW308" i="14" s="1"/>
  <c r="CA308" i="14"/>
  <c r="CB308" i="14" s="1"/>
  <c r="AQ58" i="14"/>
  <c r="AR58" i="14" s="1"/>
  <c r="AS58" i="14" s="1"/>
  <c r="AT58" i="14" s="1"/>
  <c r="AU58" i="14" s="1"/>
  <c r="AF58" i="14"/>
  <c r="AG58" i="14" s="1"/>
  <c r="AH58" i="14" s="1"/>
  <c r="AI58" i="14" s="1"/>
  <c r="AJ58" i="14" s="1"/>
  <c r="AZ58" i="14"/>
  <c r="AC58" i="14"/>
  <c r="BA58" i="14"/>
  <c r="BK58" i="14" s="1"/>
  <c r="AK58" i="14"/>
  <c r="AL58" i="14" s="1"/>
  <c r="AM58" i="14" s="1"/>
  <c r="AN58" i="14" s="1"/>
  <c r="AO58" i="14" s="1"/>
  <c r="AP58" i="14" s="1"/>
  <c r="BN309" i="14"/>
  <c r="BO309" i="14" s="1"/>
  <c r="BQ309" i="14"/>
  <c r="BR309" i="14" s="1"/>
  <c r="AX58" i="14"/>
  <c r="BE57" i="14"/>
  <c r="BG57" i="14" s="1"/>
  <c r="CD57" i="14"/>
  <c r="AV58" i="14"/>
  <c r="BM310" i="14"/>
  <c r="BI310" i="14"/>
  <c r="BJ310" i="14" s="1"/>
  <c r="AB310" i="14"/>
  <c r="AD310" i="14"/>
  <c r="BB310" i="14"/>
  <c r="BC310" i="14"/>
  <c r="BD310" i="14" s="1"/>
  <c r="AA310" i="14"/>
  <c r="AV310" i="14" s="1"/>
  <c r="BN58" i="14"/>
  <c r="BO58" i="14" s="1"/>
  <c r="Z311" i="14"/>
  <c r="AE311" i="14"/>
  <c r="AE60" i="14"/>
  <c r="Z60" i="14"/>
  <c r="AB59" i="14"/>
  <c r="BI59" i="14"/>
  <c r="BJ59" i="14" s="1"/>
  <c r="BC59" i="14"/>
  <c r="BD59" i="14" s="1"/>
  <c r="AA59" i="14"/>
  <c r="AX59" i="14" s="1"/>
  <c r="BM59" i="14"/>
  <c r="BB59" i="14"/>
  <c r="AD59" i="14"/>
  <c r="CD308" i="14"/>
  <c r="BE308" i="14"/>
  <c r="BG308" i="14" s="1"/>
  <c r="BA309" i="14"/>
  <c r="BK309" i="14" s="1"/>
  <c r="AK309" i="14"/>
  <c r="AQ309" i="14"/>
  <c r="AR309" i="14" s="1"/>
  <c r="AS309" i="14" s="1"/>
  <c r="AT309" i="14" s="1"/>
  <c r="AU309" i="14" s="1"/>
  <c r="AC309" i="14"/>
  <c r="AZ309" i="14"/>
  <c r="AL309" i="14"/>
  <c r="AM309" i="14" s="1"/>
  <c r="AN309" i="14" s="1"/>
  <c r="AO309" i="14" s="1"/>
  <c r="AP309" i="14" s="1"/>
  <c r="AF309" i="14"/>
  <c r="AG309" i="14" s="1"/>
  <c r="AH309" i="14" s="1"/>
  <c r="AI309" i="14" s="1"/>
  <c r="AJ309" i="14" s="1"/>
  <c r="AW57" i="14"/>
  <c r="BU308" i="14"/>
  <c r="BZ308" i="14"/>
  <c r="BS308" i="14"/>
  <c r="AG308" i="14"/>
  <c r="AH308" i="14" s="1"/>
  <c r="AI308" i="14" s="1"/>
  <c r="AJ308" i="14" s="1"/>
  <c r="AX309" i="14"/>
  <c r="DD226" i="3"/>
  <c r="D63" i="26"/>
  <c r="D63" i="25"/>
  <c r="BI66" i="3"/>
  <c r="BG66" i="3"/>
  <c r="BM66" i="3" s="1"/>
  <c r="BH66" i="3"/>
  <c r="C64" i="26"/>
  <c r="C64" i="25"/>
  <c r="BE66" i="3"/>
  <c r="CF67" i="3"/>
  <c r="BR64" i="3"/>
  <c r="BC66" i="3"/>
  <c r="BN66" i="3" s="1"/>
  <c r="CI66" i="3"/>
  <c r="CJ66" i="3"/>
  <c r="AV66" i="3" s="1"/>
  <c r="BY67" i="3"/>
  <c r="BJ65" i="3"/>
  <c r="BP65" i="3" s="1"/>
  <c r="D67" i="3"/>
  <c r="BG67" i="3" s="1"/>
  <c r="BF65" i="3"/>
  <c r="BQ65" i="3" s="1"/>
  <c r="BO65" i="3"/>
  <c r="AU65" i="3" s="1"/>
  <c r="C68" i="3"/>
  <c r="BL67" i="3"/>
  <c r="BW67" i="3"/>
  <c r="CI67" i="3" s="1"/>
  <c r="BK67" i="3"/>
  <c r="AH67" i="3"/>
  <c r="P64" i="26" s="1"/>
  <c r="AY67" i="3"/>
  <c r="AG67" i="3"/>
  <c r="O64" i="26" s="1"/>
  <c r="AJ67" i="3"/>
  <c r="R64" i="26" s="1"/>
  <c r="AI67" i="3"/>
  <c r="Q64" i="26" s="1"/>
  <c r="CK55" i="14" l="1"/>
  <c r="CD62" i="3" s="1"/>
  <c r="BD67" i="3"/>
  <c r="CH56" i="14"/>
  <c r="BV68" i="3"/>
  <c r="BU68" i="3"/>
  <c r="CJ55" i="14"/>
  <c r="CC62" i="3" s="1"/>
  <c r="CF56" i="14"/>
  <c r="AW64" i="3"/>
  <c r="BZ56" i="14"/>
  <c r="BV56" i="14"/>
  <c r="BX56" i="14" s="1"/>
  <c r="CA56" i="14"/>
  <c r="CB56" i="14" s="1"/>
  <c r="CM56" i="14" s="1"/>
  <c r="CG63" i="3" s="1"/>
  <c r="BU56" i="14"/>
  <c r="BT56" i="14"/>
  <c r="BW56" i="14" s="1"/>
  <c r="CJ56" i="14" s="1"/>
  <c r="CC63" i="3" s="1"/>
  <c r="BS56" i="14"/>
  <c r="AY57" i="14"/>
  <c r="CE57" i="14" s="1"/>
  <c r="BQ57" i="14"/>
  <c r="BR57" i="14" s="1"/>
  <c r="CF307" i="14"/>
  <c r="CK307" i="14" s="1"/>
  <c r="BA63" i="3" s="1"/>
  <c r="AX310" i="14"/>
  <c r="AV59" i="14"/>
  <c r="CH307" i="14"/>
  <c r="CM307" i="14" s="1"/>
  <c r="BB63" i="3" s="1"/>
  <c r="BN310" i="14"/>
  <c r="BO310" i="14" s="1"/>
  <c r="BQ310" i="14"/>
  <c r="BR310" i="14" s="1"/>
  <c r="BZ309" i="14"/>
  <c r="BS309" i="14"/>
  <c r="BU309" i="14"/>
  <c r="BE58" i="14"/>
  <c r="BG58" i="14" s="1"/>
  <c r="CD58" i="14"/>
  <c r="Z312" i="14"/>
  <c r="AE61" i="14"/>
  <c r="AE312" i="14"/>
  <c r="Z61" i="14"/>
  <c r="AD311" i="14"/>
  <c r="BM311" i="14"/>
  <c r="AA311" i="14"/>
  <c r="AV311" i="14" s="1"/>
  <c r="BI311" i="14"/>
  <c r="BJ311" i="14" s="1"/>
  <c r="BB311" i="14"/>
  <c r="BC311" i="14"/>
  <c r="BD311" i="14" s="1"/>
  <c r="AB311" i="14"/>
  <c r="AW309" i="14"/>
  <c r="AY309" i="14" s="1"/>
  <c r="AZ59" i="14"/>
  <c r="AC59" i="14"/>
  <c r="AK59" i="14"/>
  <c r="AL59" i="14" s="1"/>
  <c r="AM59" i="14" s="1"/>
  <c r="AN59" i="14" s="1"/>
  <c r="AO59" i="14" s="1"/>
  <c r="AP59" i="14" s="1"/>
  <c r="BA59" i="14"/>
  <c r="BK59" i="14" s="1"/>
  <c r="AQ59" i="14"/>
  <c r="AR59" i="14" s="1"/>
  <c r="AS59" i="14" s="1"/>
  <c r="AT59" i="14" s="1"/>
  <c r="AU59" i="14" s="1"/>
  <c r="AF59" i="14"/>
  <c r="AG59" i="14" s="1"/>
  <c r="AH59" i="14" s="1"/>
  <c r="AI59" i="14" s="1"/>
  <c r="AJ59" i="14" s="1"/>
  <c r="BT309" i="14"/>
  <c r="BW309" i="14" s="1"/>
  <c r="CA309" i="14"/>
  <c r="CB309" i="14" s="1"/>
  <c r="BV309" i="14"/>
  <c r="BX309" i="14" s="1"/>
  <c r="BN59" i="14"/>
  <c r="BO59" i="14" s="1"/>
  <c r="AW58" i="14"/>
  <c r="AW308" i="14"/>
  <c r="AY308" i="14" s="1"/>
  <c r="CE308" i="14" s="1"/>
  <c r="CJ308" i="14" s="1"/>
  <c r="AZ64" i="3" s="1"/>
  <c r="CD309" i="14"/>
  <c r="BE309" i="14"/>
  <c r="BG309" i="14" s="1"/>
  <c r="BM60" i="14"/>
  <c r="AB60" i="14"/>
  <c r="AA60" i="14"/>
  <c r="BI60" i="14"/>
  <c r="BJ60" i="14" s="1"/>
  <c r="BC60" i="14"/>
  <c r="BD60" i="14" s="1"/>
  <c r="AD60" i="14"/>
  <c r="BB60" i="14"/>
  <c r="AQ310" i="14"/>
  <c r="AR310" i="14" s="1"/>
  <c r="AS310" i="14" s="1"/>
  <c r="AT310" i="14" s="1"/>
  <c r="AU310" i="14" s="1"/>
  <c r="AK310" i="14"/>
  <c r="AL310" i="14" s="1"/>
  <c r="AM310" i="14" s="1"/>
  <c r="AN310" i="14" s="1"/>
  <c r="AO310" i="14" s="1"/>
  <c r="AP310" i="14" s="1"/>
  <c r="AZ310" i="14"/>
  <c r="AC310" i="14"/>
  <c r="AF310" i="14"/>
  <c r="AG310" i="14" s="1"/>
  <c r="AH310" i="14" s="1"/>
  <c r="AI310" i="14" s="1"/>
  <c r="AJ310" i="14" s="1"/>
  <c r="BA310" i="14"/>
  <c r="BK310" i="14" s="1"/>
  <c r="CH57" i="14"/>
  <c r="C65" i="26"/>
  <c r="C65" i="25"/>
  <c r="BI67" i="3"/>
  <c r="D64" i="25"/>
  <c r="D64" i="26"/>
  <c r="BH67" i="3"/>
  <c r="BE67" i="3"/>
  <c r="CK67" i="3"/>
  <c r="CF68" i="3"/>
  <c r="BJ66" i="3"/>
  <c r="BP66" i="3" s="1"/>
  <c r="BC67" i="3"/>
  <c r="BN67" i="3" s="1"/>
  <c r="CJ67" i="3"/>
  <c r="AV67" i="3" s="1"/>
  <c r="BY68" i="3"/>
  <c r="BR65" i="3"/>
  <c r="BM67" i="3"/>
  <c r="D68" i="3"/>
  <c r="BH68" i="3" s="1"/>
  <c r="DD227" i="3"/>
  <c r="BF66" i="3"/>
  <c r="BQ66" i="3" s="1"/>
  <c r="BO66" i="3"/>
  <c r="AU66" i="3" s="1"/>
  <c r="C69" i="3"/>
  <c r="BW68" i="3"/>
  <c r="CI68" i="3" s="1"/>
  <c r="BL68" i="3"/>
  <c r="AY68" i="3"/>
  <c r="AG68" i="3"/>
  <c r="O65" i="26" s="1"/>
  <c r="AH68" i="3"/>
  <c r="P65" i="26" s="1"/>
  <c r="AI68" i="3"/>
  <c r="Q65" i="26" s="1"/>
  <c r="AJ68" i="3"/>
  <c r="R65" i="26" s="1"/>
  <c r="BK68" i="3"/>
  <c r="BD68" i="3" l="1"/>
  <c r="CF57" i="14"/>
  <c r="CK56" i="14"/>
  <c r="CD63" i="3" s="1"/>
  <c r="BU69" i="3"/>
  <c r="BV69" i="3"/>
  <c r="AY58" i="14"/>
  <c r="CH58" i="14" s="1"/>
  <c r="BQ58" i="14"/>
  <c r="BR58" i="14" s="1"/>
  <c r="CA57" i="14"/>
  <c r="CB57" i="14" s="1"/>
  <c r="CM57" i="14" s="1"/>
  <c r="CG64" i="3" s="1"/>
  <c r="BZ57" i="14"/>
  <c r="BV57" i="14"/>
  <c r="BX57" i="14" s="1"/>
  <c r="CK57" i="14" s="1"/>
  <c r="CD64" i="3" s="1"/>
  <c r="BU57" i="14"/>
  <c r="BS57" i="14"/>
  <c r="BT57" i="14"/>
  <c r="BW57" i="14" s="1"/>
  <c r="CJ57" i="14" s="1"/>
  <c r="CC64" i="3" s="1"/>
  <c r="CH308" i="14"/>
  <c r="CM308" i="14" s="1"/>
  <c r="BB64" i="3" s="1"/>
  <c r="AX311" i="14"/>
  <c r="CE309" i="14"/>
  <c r="CJ309" i="14" s="1"/>
  <c r="AZ65" i="3" s="1"/>
  <c r="AQ60" i="14"/>
  <c r="AR60" i="14" s="1"/>
  <c r="AS60" i="14" s="1"/>
  <c r="AT60" i="14" s="1"/>
  <c r="AU60" i="14" s="1"/>
  <c r="AF60" i="14"/>
  <c r="AG60" i="14" s="1"/>
  <c r="AH60" i="14" s="1"/>
  <c r="AI60" i="14" s="1"/>
  <c r="AJ60" i="14" s="1"/>
  <c r="AZ60" i="14"/>
  <c r="AK60" i="14"/>
  <c r="AL60" i="14" s="1"/>
  <c r="AM60" i="14" s="1"/>
  <c r="AN60" i="14" s="1"/>
  <c r="AO60" i="14" s="1"/>
  <c r="AP60" i="14" s="1"/>
  <c r="BA60" i="14"/>
  <c r="BK60" i="14" s="1"/>
  <c r="AC60" i="14"/>
  <c r="BQ311" i="14"/>
  <c r="BR311" i="14" s="1"/>
  <c r="BN311" i="14"/>
  <c r="BO311" i="14" s="1"/>
  <c r="AX60" i="14"/>
  <c r="CF308" i="14"/>
  <c r="CK308" i="14" s="1"/>
  <c r="BA64" i="3" s="1"/>
  <c r="CH309" i="14"/>
  <c r="CM309" i="14" s="1"/>
  <c r="BB65" i="3" s="1"/>
  <c r="CF309" i="14"/>
  <c r="CK309" i="14" s="1"/>
  <c r="BA65" i="3" s="1"/>
  <c r="AV60" i="14"/>
  <c r="BE59" i="14"/>
  <c r="BG59" i="14" s="1"/>
  <c r="CD59" i="14"/>
  <c r="AF311" i="14"/>
  <c r="AG311" i="14" s="1"/>
  <c r="AH311" i="14" s="1"/>
  <c r="AI311" i="14" s="1"/>
  <c r="AJ311" i="14" s="1"/>
  <c r="AC311" i="14"/>
  <c r="AZ311" i="14"/>
  <c r="AK311" i="14"/>
  <c r="AL311" i="14" s="1"/>
  <c r="AM311" i="14" s="1"/>
  <c r="AN311" i="14" s="1"/>
  <c r="AO311" i="14" s="1"/>
  <c r="AP311" i="14" s="1"/>
  <c r="AQ311" i="14"/>
  <c r="AR311" i="14" s="1"/>
  <c r="AS311" i="14" s="1"/>
  <c r="AT311" i="14" s="1"/>
  <c r="AU311" i="14" s="1"/>
  <c r="BA311" i="14"/>
  <c r="BK311" i="14" s="1"/>
  <c r="BT310" i="14"/>
  <c r="BW310" i="14" s="1"/>
  <c r="BV310" i="14"/>
  <c r="BX310" i="14" s="1"/>
  <c r="CA310" i="14"/>
  <c r="CB310" i="14" s="1"/>
  <c r="AW310" i="14"/>
  <c r="AY310" i="14" s="1"/>
  <c r="BZ310" i="14"/>
  <c r="BU310" i="14"/>
  <c r="BS310" i="14"/>
  <c r="Z313" i="14"/>
  <c r="AE313" i="14"/>
  <c r="AE62" i="14"/>
  <c r="Z62" i="14"/>
  <c r="AW59" i="14"/>
  <c r="AD312" i="14"/>
  <c r="AA312" i="14"/>
  <c r="AX312" i="14" s="1"/>
  <c r="BM312" i="14"/>
  <c r="BB312" i="14"/>
  <c r="BC312" i="14"/>
  <c r="BD312" i="14" s="1"/>
  <c r="BI312" i="14"/>
  <c r="BJ312" i="14" s="1"/>
  <c r="AB312" i="14"/>
  <c r="CD310" i="14"/>
  <c r="BE310" i="14"/>
  <c r="BG310" i="14" s="1"/>
  <c r="BN60" i="14"/>
  <c r="BO60" i="14" s="1"/>
  <c r="AB61" i="14"/>
  <c r="BI61" i="14"/>
  <c r="BJ61" i="14" s="1"/>
  <c r="BC61" i="14"/>
  <c r="BD61" i="14" s="1"/>
  <c r="AA61" i="14"/>
  <c r="AX61" i="14" s="1"/>
  <c r="BM61" i="14"/>
  <c r="AD61" i="14"/>
  <c r="BB61" i="14"/>
  <c r="BI68" i="3"/>
  <c r="D65" i="25"/>
  <c r="D65" i="26"/>
  <c r="C66" i="26"/>
  <c r="C66" i="25"/>
  <c r="BG68" i="3"/>
  <c r="BM68" i="3" s="1"/>
  <c r="BE68" i="3"/>
  <c r="CF69" i="3"/>
  <c r="CK68" i="3"/>
  <c r="AW65" i="3"/>
  <c r="BR66" i="3"/>
  <c r="DD228" i="3"/>
  <c r="BC68" i="3"/>
  <c r="BN68" i="3" s="1"/>
  <c r="BY69" i="3"/>
  <c r="CJ68" i="3"/>
  <c r="AV68" i="3" s="1"/>
  <c r="BJ67" i="3"/>
  <c r="BP67" i="3" s="1"/>
  <c r="BF67" i="3"/>
  <c r="BQ67" i="3" s="1"/>
  <c r="D69" i="3"/>
  <c r="BI69" i="3" s="1"/>
  <c r="BO67" i="3"/>
  <c r="AU67" i="3" s="1"/>
  <c r="C70" i="3"/>
  <c r="BK69" i="3"/>
  <c r="AY69" i="3"/>
  <c r="AJ69" i="3"/>
  <c r="R66" i="26" s="1"/>
  <c r="AG69" i="3"/>
  <c r="O66" i="26" s="1"/>
  <c r="BW69" i="3"/>
  <c r="CJ69" i="3" s="1"/>
  <c r="AV69" i="3" s="1"/>
  <c r="BL69" i="3"/>
  <c r="AH69" i="3"/>
  <c r="P66" i="26" s="1"/>
  <c r="AI69" i="3"/>
  <c r="Q66" i="26" s="1"/>
  <c r="BD69" i="3" l="1"/>
  <c r="CF58" i="14"/>
  <c r="CE58" i="14"/>
  <c r="BV70" i="3"/>
  <c r="BU70" i="3"/>
  <c r="BU58" i="14"/>
  <c r="CA58" i="14"/>
  <c r="CB58" i="14" s="1"/>
  <c r="CM58" i="14" s="1"/>
  <c r="CG65" i="3" s="1"/>
  <c r="BV58" i="14"/>
  <c r="BX58" i="14" s="1"/>
  <c r="BZ58" i="14"/>
  <c r="BT58" i="14"/>
  <c r="BW58" i="14" s="1"/>
  <c r="BS58" i="14"/>
  <c r="AW66" i="3"/>
  <c r="AY59" i="14"/>
  <c r="CF59" i="14" s="1"/>
  <c r="BQ59" i="14"/>
  <c r="BR59" i="14" s="1"/>
  <c r="BN61" i="14"/>
  <c r="BO61" i="14" s="1"/>
  <c r="BA312" i="14"/>
  <c r="BK312" i="14" s="1"/>
  <c r="AZ312" i="14"/>
  <c r="AK312" i="14"/>
  <c r="AL312" i="14" s="1"/>
  <c r="AM312" i="14" s="1"/>
  <c r="AN312" i="14" s="1"/>
  <c r="AO312" i="14" s="1"/>
  <c r="AP312" i="14" s="1"/>
  <c r="AQ312" i="14"/>
  <c r="AR312" i="14" s="1"/>
  <c r="AS312" i="14" s="1"/>
  <c r="AT312" i="14" s="1"/>
  <c r="AU312" i="14" s="1"/>
  <c r="AF312" i="14"/>
  <c r="AG312" i="14" s="1"/>
  <c r="AH312" i="14" s="1"/>
  <c r="AI312" i="14" s="1"/>
  <c r="AJ312" i="14" s="1"/>
  <c r="AC312" i="14"/>
  <c r="BM62" i="14"/>
  <c r="AB62" i="14"/>
  <c r="BI62" i="14"/>
  <c r="BJ62" i="14" s="1"/>
  <c r="AA62" i="14"/>
  <c r="AV62" i="14" s="1"/>
  <c r="BC62" i="14"/>
  <c r="BD62" i="14" s="1"/>
  <c r="BB62" i="14"/>
  <c r="AD62" i="14"/>
  <c r="AV312" i="14"/>
  <c r="CA311" i="14"/>
  <c r="CB311" i="14" s="1"/>
  <c r="BV311" i="14"/>
  <c r="BX311" i="14" s="1"/>
  <c r="BT311" i="14"/>
  <c r="BW311" i="14" s="1"/>
  <c r="BE60" i="14"/>
  <c r="BG60" i="14" s="1"/>
  <c r="CD60" i="14"/>
  <c r="CH310" i="14"/>
  <c r="CM310" i="14" s="1"/>
  <c r="BB66" i="3" s="1"/>
  <c r="CF310" i="14"/>
  <c r="CK310" i="14" s="1"/>
  <c r="BA66" i="3" s="1"/>
  <c r="CE310" i="14"/>
  <c r="CJ310" i="14" s="1"/>
  <c r="AZ66" i="3" s="1"/>
  <c r="BE311" i="14"/>
  <c r="BG311" i="14" s="1"/>
  <c r="CD311" i="14"/>
  <c r="AW60" i="14"/>
  <c r="Z314" i="14"/>
  <c r="AE314" i="14"/>
  <c r="AE63" i="14"/>
  <c r="Z63" i="14"/>
  <c r="AZ61" i="14"/>
  <c r="AC61" i="14"/>
  <c r="AK61" i="14"/>
  <c r="AL61" i="14" s="1"/>
  <c r="AM61" i="14" s="1"/>
  <c r="AN61" i="14" s="1"/>
  <c r="AO61" i="14" s="1"/>
  <c r="AP61" i="14" s="1"/>
  <c r="BA61" i="14"/>
  <c r="BK61" i="14" s="1"/>
  <c r="AQ61" i="14"/>
  <c r="AR61" i="14" s="1"/>
  <c r="AS61" i="14" s="1"/>
  <c r="AT61" i="14" s="1"/>
  <c r="AU61" i="14" s="1"/>
  <c r="AF61" i="14"/>
  <c r="BQ312" i="14"/>
  <c r="BR312" i="14" s="1"/>
  <c r="BN312" i="14"/>
  <c r="BO312" i="14" s="1"/>
  <c r="BB313" i="14"/>
  <c r="BM313" i="14"/>
  <c r="AB313" i="14"/>
  <c r="AD313" i="14"/>
  <c r="AA313" i="14"/>
  <c r="BC313" i="14"/>
  <c r="BD313" i="14" s="1"/>
  <c r="BI313" i="14"/>
  <c r="BJ313" i="14" s="1"/>
  <c r="AV61" i="14"/>
  <c r="AW311" i="14"/>
  <c r="AY311" i="14" s="1"/>
  <c r="BU311" i="14"/>
  <c r="BZ311" i="14"/>
  <c r="BS311" i="14"/>
  <c r="C67" i="25"/>
  <c r="C67" i="26"/>
  <c r="BG69" i="3"/>
  <c r="BM69" i="3" s="1"/>
  <c r="D66" i="25"/>
  <c r="D66" i="26"/>
  <c r="BH69" i="3"/>
  <c r="BE69" i="3"/>
  <c r="CI69" i="3"/>
  <c r="CK69" i="3"/>
  <c r="CF70" i="3"/>
  <c r="BC69" i="3"/>
  <c r="BN69" i="3" s="1"/>
  <c r="DD229" i="3"/>
  <c r="BY70" i="3"/>
  <c r="BJ68" i="3"/>
  <c r="BP68" i="3" s="1"/>
  <c r="BR67" i="3"/>
  <c r="BF68" i="3"/>
  <c r="BQ68" i="3" s="1"/>
  <c r="D70" i="3"/>
  <c r="DD230" i="3" s="1"/>
  <c r="BO68" i="3"/>
  <c r="AU68" i="3" s="1"/>
  <c r="C71" i="3"/>
  <c r="BW70" i="3"/>
  <c r="CI70" i="3" s="1"/>
  <c r="BL70" i="3"/>
  <c r="BK70" i="3"/>
  <c r="AI70" i="3"/>
  <c r="Q67" i="26" s="1"/>
  <c r="AG70" i="3"/>
  <c r="O67" i="26" s="1"/>
  <c r="AJ70" i="3"/>
  <c r="R67" i="26" s="1"/>
  <c r="AY70" i="3"/>
  <c r="AH70" i="3"/>
  <c r="P67" i="26" s="1"/>
  <c r="CH59" i="14" l="1"/>
  <c r="CK58" i="14"/>
  <c r="CD65" i="3" s="1"/>
  <c r="CE59" i="14"/>
  <c r="CJ58" i="14"/>
  <c r="CC65" i="3" s="1"/>
  <c r="BD70" i="3"/>
  <c r="BV71" i="3"/>
  <c r="BU71" i="3"/>
  <c r="AY60" i="14"/>
  <c r="CF60" i="14" s="1"/>
  <c r="BQ60" i="14"/>
  <c r="BR60" i="14" s="1"/>
  <c r="BZ59" i="14"/>
  <c r="BV59" i="14"/>
  <c r="BX59" i="14" s="1"/>
  <c r="CK59" i="14" s="1"/>
  <c r="CD66" i="3" s="1"/>
  <c r="BT59" i="14"/>
  <c r="BW59" i="14" s="1"/>
  <c r="CA59" i="14"/>
  <c r="CB59" i="14" s="1"/>
  <c r="CM59" i="14" s="1"/>
  <c r="CG66" i="3" s="1"/>
  <c r="BU59" i="14"/>
  <c r="BS59" i="14"/>
  <c r="AX62" i="14"/>
  <c r="BA313" i="14"/>
  <c r="BK313" i="14" s="1"/>
  <c r="AQ313" i="14"/>
  <c r="AR313" i="14" s="1"/>
  <c r="AS313" i="14" s="1"/>
  <c r="AT313" i="14" s="1"/>
  <c r="AU313" i="14" s="1"/>
  <c r="AF313" i="14"/>
  <c r="AK313" i="14"/>
  <c r="AL313" i="14" s="1"/>
  <c r="AM313" i="14" s="1"/>
  <c r="AN313" i="14" s="1"/>
  <c r="AO313" i="14" s="1"/>
  <c r="AP313" i="14" s="1"/>
  <c r="AZ313" i="14"/>
  <c r="AC313" i="14"/>
  <c r="BE61" i="14"/>
  <c r="BG61" i="14" s="1"/>
  <c r="CD61" i="14"/>
  <c r="BZ312" i="14"/>
  <c r="BU312" i="14"/>
  <c r="BS312" i="14"/>
  <c r="AV313" i="14"/>
  <c r="BM314" i="14"/>
  <c r="AD314" i="14"/>
  <c r="BB314" i="14"/>
  <c r="AB314" i="14"/>
  <c r="AA314" i="14"/>
  <c r="AV314" i="14" s="1"/>
  <c r="BC314" i="14"/>
  <c r="BD314" i="14" s="1"/>
  <c r="BI314" i="14"/>
  <c r="BJ314" i="14" s="1"/>
  <c r="BN62" i="14"/>
  <c r="BO62" i="14" s="1"/>
  <c r="CD312" i="14"/>
  <c r="BE312" i="14"/>
  <c r="BG312" i="14" s="1"/>
  <c r="AE315" i="14"/>
  <c r="Z315" i="14"/>
  <c r="AE64" i="14"/>
  <c r="Z64" i="14"/>
  <c r="BN313" i="14"/>
  <c r="BO313" i="14" s="1"/>
  <c r="BQ313" i="14"/>
  <c r="BR313" i="14" s="1"/>
  <c r="AX313" i="14"/>
  <c r="BT312" i="14"/>
  <c r="BW312" i="14" s="1"/>
  <c r="CA312" i="14"/>
  <c r="CB312" i="14" s="1"/>
  <c r="BV312" i="14"/>
  <c r="BX312" i="14" s="1"/>
  <c r="AG61" i="14"/>
  <c r="AH61" i="14" s="1"/>
  <c r="AI61" i="14" s="1"/>
  <c r="AJ61" i="14" s="1"/>
  <c r="AB63" i="14"/>
  <c r="BI63" i="14"/>
  <c r="BJ63" i="14" s="1"/>
  <c r="BC63" i="14"/>
  <c r="BD63" i="14" s="1"/>
  <c r="AA63" i="14"/>
  <c r="AV63" i="14" s="1"/>
  <c r="BM63" i="14"/>
  <c r="BB63" i="14"/>
  <c r="AD63" i="14"/>
  <c r="CH311" i="14"/>
  <c r="CM311" i="14" s="1"/>
  <c r="BB67" i="3" s="1"/>
  <c r="CF311" i="14"/>
  <c r="CK311" i="14" s="1"/>
  <c r="BA67" i="3" s="1"/>
  <c r="CE311" i="14"/>
  <c r="CJ311" i="14" s="1"/>
  <c r="AZ67" i="3" s="1"/>
  <c r="AF62" i="14"/>
  <c r="AZ62" i="14"/>
  <c r="AK62" i="14"/>
  <c r="AL62" i="14" s="1"/>
  <c r="AM62" i="14" s="1"/>
  <c r="AN62" i="14" s="1"/>
  <c r="AO62" i="14" s="1"/>
  <c r="AP62" i="14" s="1"/>
  <c r="AQ62" i="14"/>
  <c r="AR62" i="14" s="1"/>
  <c r="AS62" i="14" s="1"/>
  <c r="AT62" i="14" s="1"/>
  <c r="AU62" i="14" s="1"/>
  <c r="AC62" i="14"/>
  <c r="BA62" i="14"/>
  <c r="BK62" i="14" s="1"/>
  <c r="AW312" i="14"/>
  <c r="AY312" i="14" s="1"/>
  <c r="BI70" i="3"/>
  <c r="D67" i="26"/>
  <c r="D67" i="25"/>
  <c r="BH70" i="3"/>
  <c r="C68" i="26"/>
  <c r="C68" i="25"/>
  <c r="BG70" i="3"/>
  <c r="BM70" i="3" s="1"/>
  <c r="BE70" i="3"/>
  <c r="CK70" i="3"/>
  <c r="CF71" i="3"/>
  <c r="AW67" i="3"/>
  <c r="BC70" i="3"/>
  <c r="BN70" i="3" s="1"/>
  <c r="BJ69" i="3"/>
  <c r="BP69" i="3" s="1"/>
  <c r="BY71" i="3"/>
  <c r="CJ70" i="3"/>
  <c r="AV70" i="3" s="1"/>
  <c r="BR68" i="3"/>
  <c r="BF69" i="3"/>
  <c r="BQ69" i="3" s="1"/>
  <c r="D71" i="3"/>
  <c r="BI71" i="3" s="1"/>
  <c r="C72" i="3"/>
  <c r="BL71" i="3"/>
  <c r="BK71" i="3"/>
  <c r="BW71" i="3"/>
  <c r="CJ71" i="3" s="1"/>
  <c r="AV71" i="3" s="1"/>
  <c r="AH71" i="3"/>
  <c r="P68" i="26" s="1"/>
  <c r="AY71" i="3"/>
  <c r="AG71" i="3"/>
  <c r="O68" i="26" s="1"/>
  <c r="AI71" i="3"/>
  <c r="Q68" i="26" s="1"/>
  <c r="AJ71" i="3"/>
  <c r="R68" i="26" s="1"/>
  <c r="BO69" i="3"/>
  <c r="AU69" i="3" s="1"/>
  <c r="CH60" i="14" l="1"/>
  <c r="CE60" i="14"/>
  <c r="CJ59" i="14"/>
  <c r="CC66" i="3" s="1"/>
  <c r="BD71" i="3"/>
  <c r="BV72" i="3"/>
  <c r="BU72" i="3"/>
  <c r="BT60" i="14"/>
  <c r="BW60" i="14" s="1"/>
  <c r="CA60" i="14"/>
  <c r="CB60" i="14" s="1"/>
  <c r="BZ60" i="14"/>
  <c r="BV60" i="14"/>
  <c r="BX60" i="14" s="1"/>
  <c r="CK60" i="14" s="1"/>
  <c r="CD67" i="3" s="1"/>
  <c r="BS60" i="14"/>
  <c r="BU60" i="14"/>
  <c r="AX314" i="14"/>
  <c r="AX63" i="14"/>
  <c r="CE312" i="14"/>
  <c r="CJ312" i="14" s="1"/>
  <c r="AZ68" i="3" s="1"/>
  <c r="CF312" i="14"/>
  <c r="CK312" i="14" s="1"/>
  <c r="BA68" i="3" s="1"/>
  <c r="CH312" i="14"/>
  <c r="CM312" i="14" s="1"/>
  <c r="BB68" i="3" s="1"/>
  <c r="AZ63" i="14"/>
  <c r="AK63" i="14"/>
  <c r="AL63" i="14" s="1"/>
  <c r="AM63" i="14" s="1"/>
  <c r="AN63" i="14" s="1"/>
  <c r="AO63" i="14" s="1"/>
  <c r="AP63" i="14" s="1"/>
  <c r="AC63" i="14"/>
  <c r="BA63" i="14"/>
  <c r="BK63" i="14" s="1"/>
  <c r="AF63" i="14"/>
  <c r="AQ63" i="14"/>
  <c r="AR63" i="14" s="1"/>
  <c r="AS63" i="14" s="1"/>
  <c r="AT63" i="14" s="1"/>
  <c r="AU63" i="14" s="1"/>
  <c r="BV313" i="14"/>
  <c r="BX313" i="14" s="1"/>
  <c r="CA313" i="14"/>
  <c r="CB313" i="14" s="1"/>
  <c r="BT313" i="14"/>
  <c r="BW313" i="14" s="1"/>
  <c r="AG62" i="14"/>
  <c r="AH62" i="14" s="1"/>
  <c r="AI62" i="14" s="1"/>
  <c r="AJ62" i="14" s="1"/>
  <c r="CD62" i="14"/>
  <c r="BE62" i="14"/>
  <c r="BG62" i="14" s="1"/>
  <c r="BN63" i="14"/>
  <c r="BO63" i="14" s="1"/>
  <c r="BB64" i="14"/>
  <c r="BM64" i="14"/>
  <c r="AB64" i="14"/>
  <c r="BI64" i="14"/>
  <c r="BJ64" i="14" s="1"/>
  <c r="AA64" i="14"/>
  <c r="BC64" i="14"/>
  <c r="BD64" i="14" s="1"/>
  <c r="AD64" i="14"/>
  <c r="AW61" i="14"/>
  <c r="AG313" i="14"/>
  <c r="AH313" i="14" s="1"/>
  <c r="AI313" i="14" s="1"/>
  <c r="AJ313" i="14" s="1"/>
  <c r="Z316" i="14"/>
  <c r="AE316" i="14"/>
  <c r="AE65" i="14"/>
  <c r="Z65" i="14"/>
  <c r="BB315" i="14"/>
  <c r="BM315" i="14"/>
  <c r="AA315" i="14"/>
  <c r="AX315" i="14" s="1"/>
  <c r="BC315" i="14"/>
  <c r="BD315" i="14" s="1"/>
  <c r="AB315" i="14"/>
  <c r="BI315" i="14"/>
  <c r="BJ315" i="14" s="1"/>
  <c r="AD315" i="14"/>
  <c r="CD313" i="14"/>
  <c r="BE313" i="14"/>
  <c r="BG313" i="14" s="1"/>
  <c r="BZ313" i="14"/>
  <c r="BU313" i="14"/>
  <c r="BS313" i="14"/>
  <c r="BA314" i="14"/>
  <c r="BK314" i="14" s="1"/>
  <c r="AF314" i="14"/>
  <c r="AK314" i="14"/>
  <c r="AL314" i="14" s="1"/>
  <c r="AM314" i="14" s="1"/>
  <c r="AN314" i="14" s="1"/>
  <c r="AO314" i="14" s="1"/>
  <c r="AP314" i="14" s="1"/>
  <c r="AQ314" i="14"/>
  <c r="AR314" i="14" s="1"/>
  <c r="AS314" i="14" s="1"/>
  <c r="AT314" i="14" s="1"/>
  <c r="AU314" i="14" s="1"/>
  <c r="AZ314" i="14"/>
  <c r="AC314" i="14"/>
  <c r="BN314" i="14"/>
  <c r="BO314" i="14" s="1"/>
  <c r="BQ314" i="14"/>
  <c r="BR314" i="14" s="1"/>
  <c r="BH71" i="3"/>
  <c r="D68" i="25"/>
  <c r="D68" i="26"/>
  <c r="C69" i="26"/>
  <c r="C69" i="25"/>
  <c r="BG71" i="3"/>
  <c r="BM71" i="3" s="1"/>
  <c r="BE71" i="3"/>
  <c r="BR69" i="3"/>
  <c r="CK71" i="3"/>
  <c r="AW68" i="3"/>
  <c r="CF72" i="3"/>
  <c r="BC71" i="3"/>
  <c r="BN71" i="3" s="1"/>
  <c r="CI71" i="3"/>
  <c r="BY72" i="3"/>
  <c r="DD231" i="3"/>
  <c r="BJ70" i="3"/>
  <c r="BP70" i="3" s="1"/>
  <c r="BF70" i="3"/>
  <c r="BQ70" i="3" s="1"/>
  <c r="D72" i="3"/>
  <c r="BI72" i="3" s="1"/>
  <c r="BO70" i="3"/>
  <c r="AU70" i="3" s="1"/>
  <c r="C73" i="3"/>
  <c r="BK72" i="3"/>
  <c r="AY72" i="3"/>
  <c r="BD72" i="3" s="1"/>
  <c r="BW72" i="3"/>
  <c r="CJ72" i="3" s="1"/>
  <c r="AV72" i="3" s="1"/>
  <c r="BL72" i="3"/>
  <c r="AG72" i="3"/>
  <c r="O69" i="26" s="1"/>
  <c r="AH72" i="3"/>
  <c r="P69" i="26" s="1"/>
  <c r="AI72" i="3"/>
  <c r="Q69" i="26" s="1"/>
  <c r="AJ72" i="3"/>
  <c r="R69" i="26" s="1"/>
  <c r="CM60" i="14" l="1"/>
  <c r="CG67" i="3" s="1"/>
  <c r="CJ60" i="14"/>
  <c r="CC67" i="3" s="1"/>
  <c r="BU73" i="3"/>
  <c r="BV73" i="3"/>
  <c r="AW69" i="3"/>
  <c r="AY61" i="14"/>
  <c r="CH61" i="14" s="1"/>
  <c r="BQ61" i="14"/>
  <c r="BR61" i="14" s="1"/>
  <c r="BE63" i="14"/>
  <c r="BG63" i="14" s="1"/>
  <c r="AW313" i="14"/>
  <c r="AY313" i="14" s="1"/>
  <c r="CH313" i="14" s="1"/>
  <c r="CM313" i="14" s="1"/>
  <c r="BB69" i="3" s="1"/>
  <c r="BC316" i="14"/>
  <c r="BD316" i="14" s="1"/>
  <c r="BB316" i="14"/>
  <c r="BI316" i="14"/>
  <c r="BJ316" i="14" s="1"/>
  <c r="AD316" i="14"/>
  <c r="AA316" i="14"/>
  <c r="AV316" i="14" s="1"/>
  <c r="AB316" i="14"/>
  <c r="BM316" i="14"/>
  <c r="AZ64" i="14"/>
  <c r="AF64" i="14"/>
  <c r="AG64" i="14" s="1"/>
  <c r="AH64" i="14" s="1"/>
  <c r="AI64" i="14" s="1"/>
  <c r="AJ64" i="14" s="1"/>
  <c r="AC64" i="14"/>
  <c r="BA64" i="14"/>
  <c r="BK64" i="14" s="1"/>
  <c r="AQ64" i="14"/>
  <c r="AR64" i="14" s="1"/>
  <c r="AS64" i="14" s="1"/>
  <c r="AT64" i="14" s="1"/>
  <c r="AU64" i="14" s="1"/>
  <c r="AK64" i="14"/>
  <c r="AL64" i="14" s="1"/>
  <c r="AM64" i="14" s="1"/>
  <c r="AN64" i="14" s="1"/>
  <c r="AO64" i="14" s="1"/>
  <c r="AP64" i="14" s="1"/>
  <c r="BM65" i="14"/>
  <c r="BI65" i="14"/>
  <c r="BJ65" i="14" s="1"/>
  <c r="AB65" i="14"/>
  <c r="AA65" i="14"/>
  <c r="AX65" i="14" s="1"/>
  <c r="BC65" i="14"/>
  <c r="BD65" i="14" s="1"/>
  <c r="BB65" i="14"/>
  <c r="AD65" i="14"/>
  <c r="AX64" i="14"/>
  <c r="Z317" i="14"/>
  <c r="AE317" i="14"/>
  <c r="Z66" i="14"/>
  <c r="AE66" i="14"/>
  <c r="BN315" i="14"/>
  <c r="BO315" i="14" s="1"/>
  <c r="BQ315" i="14"/>
  <c r="BR315" i="14" s="1"/>
  <c r="BN64" i="14"/>
  <c r="BO64" i="14" s="1"/>
  <c r="CD63" i="14"/>
  <c r="BT314" i="14"/>
  <c r="BW314" i="14" s="1"/>
  <c r="BV314" i="14"/>
  <c r="BX314" i="14" s="1"/>
  <c r="CA314" i="14"/>
  <c r="CB314" i="14" s="1"/>
  <c r="CD314" i="14"/>
  <c r="BE314" i="14"/>
  <c r="BG314" i="14" s="1"/>
  <c r="BZ314" i="14"/>
  <c r="BS314" i="14"/>
  <c r="BU314" i="14"/>
  <c r="AV64" i="14"/>
  <c r="AG314" i="14"/>
  <c r="AH314" i="14" s="1"/>
  <c r="AI314" i="14" s="1"/>
  <c r="AJ314" i="14" s="1"/>
  <c r="CE313" i="14"/>
  <c r="CJ313" i="14" s="1"/>
  <c r="AZ69" i="3" s="1"/>
  <c r="AV315" i="14"/>
  <c r="BA315" i="14"/>
  <c r="BK315" i="14" s="1"/>
  <c r="AK315" i="14"/>
  <c r="AL315" i="14" s="1"/>
  <c r="AM315" i="14" s="1"/>
  <c r="AN315" i="14" s="1"/>
  <c r="AO315" i="14" s="1"/>
  <c r="AP315" i="14" s="1"/>
  <c r="AQ315" i="14"/>
  <c r="AR315" i="14" s="1"/>
  <c r="AS315" i="14" s="1"/>
  <c r="AT315" i="14" s="1"/>
  <c r="AU315" i="14" s="1"/>
  <c r="AZ315" i="14"/>
  <c r="AF315" i="14"/>
  <c r="AG315" i="14" s="1"/>
  <c r="AH315" i="14" s="1"/>
  <c r="AI315" i="14" s="1"/>
  <c r="AJ315" i="14" s="1"/>
  <c r="AC315" i="14"/>
  <c r="AG63" i="14"/>
  <c r="AH63" i="14" s="1"/>
  <c r="AI63" i="14" s="1"/>
  <c r="AJ63" i="14" s="1"/>
  <c r="AW62" i="14"/>
  <c r="D69" i="25"/>
  <c r="D69" i="26"/>
  <c r="BG72" i="3"/>
  <c r="BM72" i="3" s="1"/>
  <c r="BH72" i="3"/>
  <c r="C70" i="26"/>
  <c r="C70" i="25"/>
  <c r="BE72" i="3"/>
  <c r="CK72" i="3"/>
  <c r="CF73" i="3"/>
  <c r="CI72" i="3"/>
  <c r="DD232" i="3"/>
  <c r="BC72" i="3"/>
  <c r="BN72" i="3" s="1"/>
  <c r="BY73" i="3"/>
  <c r="BJ71" i="3"/>
  <c r="BP71" i="3" s="1"/>
  <c r="BR70" i="3"/>
  <c r="BF71" i="3"/>
  <c r="BQ71" i="3" s="1"/>
  <c r="D73" i="3"/>
  <c r="C74" i="3"/>
  <c r="BW73" i="3"/>
  <c r="CK73" i="3" s="1"/>
  <c r="BL73" i="3"/>
  <c r="AJ73" i="3"/>
  <c r="R70" i="26" s="1"/>
  <c r="AG73" i="3"/>
  <c r="O70" i="26" s="1"/>
  <c r="BK73" i="3"/>
  <c r="AY73" i="3"/>
  <c r="AI73" i="3"/>
  <c r="Q70" i="26" s="1"/>
  <c r="AH73" i="3"/>
  <c r="P70" i="26" s="1"/>
  <c r="BO71" i="3"/>
  <c r="AU71" i="3" s="1"/>
  <c r="CF61" i="14" l="1"/>
  <c r="CE61" i="14"/>
  <c r="BD73" i="3"/>
  <c r="BV74" i="3"/>
  <c r="BU74" i="3"/>
  <c r="AY62" i="14"/>
  <c r="CF62" i="14" s="1"/>
  <c r="BQ62" i="14"/>
  <c r="BR62" i="14" s="1"/>
  <c r="BV61" i="14"/>
  <c r="BX61" i="14" s="1"/>
  <c r="BU61" i="14"/>
  <c r="BT61" i="14"/>
  <c r="BW61" i="14" s="1"/>
  <c r="BS61" i="14"/>
  <c r="CA61" i="14"/>
  <c r="CB61" i="14" s="1"/>
  <c r="CM61" i="14" s="1"/>
  <c r="CG68" i="3" s="1"/>
  <c r="BZ61" i="14"/>
  <c r="AX316" i="14"/>
  <c r="AV65" i="14"/>
  <c r="CF313" i="14"/>
  <c r="CK313" i="14" s="1"/>
  <c r="BA69" i="3" s="1"/>
  <c r="AE318" i="14"/>
  <c r="Z318" i="14"/>
  <c r="Z67" i="14"/>
  <c r="AE67" i="14"/>
  <c r="AW64" i="14"/>
  <c r="AW315" i="14"/>
  <c r="AY315" i="14" s="1"/>
  <c r="BS315" i="14"/>
  <c r="BT315" i="14"/>
  <c r="BW315" i="14" s="1"/>
  <c r="BV315" i="14"/>
  <c r="BX315" i="14" s="1"/>
  <c r="CA315" i="14"/>
  <c r="CB315" i="14" s="1"/>
  <c r="BQ316" i="14"/>
  <c r="BR316" i="14" s="1"/>
  <c r="BN316" i="14"/>
  <c r="BO316" i="14" s="1"/>
  <c r="CD315" i="14"/>
  <c r="BE315" i="14"/>
  <c r="BG315" i="14" s="1"/>
  <c r="BU315" i="14"/>
  <c r="BZ315" i="14"/>
  <c r="BM317" i="14"/>
  <c r="AB317" i="14"/>
  <c r="AD317" i="14"/>
  <c r="BB317" i="14"/>
  <c r="AA317" i="14"/>
  <c r="AX317" i="14" s="1"/>
  <c r="BC317" i="14"/>
  <c r="BD317" i="14" s="1"/>
  <c r="BI317" i="14"/>
  <c r="BJ317" i="14" s="1"/>
  <c r="BN65" i="14"/>
  <c r="BO65" i="14" s="1"/>
  <c r="AW314" i="14"/>
  <c r="AY314" i="14" s="1"/>
  <c r="CF314" i="14" s="1"/>
  <c r="CK314" i="14" s="1"/>
  <c r="BA70" i="3" s="1"/>
  <c r="BC66" i="14"/>
  <c r="BD66" i="14" s="1"/>
  <c r="BI66" i="14"/>
  <c r="BJ66" i="14" s="1"/>
  <c r="AA66" i="14"/>
  <c r="AX66" i="14" s="1"/>
  <c r="BB66" i="14"/>
  <c r="BM66" i="14"/>
  <c r="AB66" i="14"/>
  <c r="AD66" i="14"/>
  <c r="AQ65" i="14"/>
  <c r="AR65" i="14" s="1"/>
  <c r="AS65" i="14" s="1"/>
  <c r="AT65" i="14" s="1"/>
  <c r="AU65" i="14" s="1"/>
  <c r="AK65" i="14"/>
  <c r="AL65" i="14" s="1"/>
  <c r="AM65" i="14" s="1"/>
  <c r="AN65" i="14" s="1"/>
  <c r="AO65" i="14" s="1"/>
  <c r="AP65" i="14" s="1"/>
  <c r="AF65" i="14"/>
  <c r="AC65" i="14"/>
  <c r="AZ65" i="14"/>
  <c r="BA65" i="14"/>
  <c r="BK65" i="14" s="1"/>
  <c r="AW63" i="14"/>
  <c r="CD64" i="14"/>
  <c r="BE64" i="14"/>
  <c r="BG64" i="14" s="1"/>
  <c r="BA316" i="14"/>
  <c r="BK316" i="14" s="1"/>
  <c r="AZ316" i="14"/>
  <c r="AQ316" i="14"/>
  <c r="AR316" i="14" s="1"/>
  <c r="AS316" i="14" s="1"/>
  <c r="AT316" i="14" s="1"/>
  <c r="AU316" i="14" s="1"/>
  <c r="AK316" i="14"/>
  <c r="AL316" i="14" s="1"/>
  <c r="AM316" i="14" s="1"/>
  <c r="AN316" i="14" s="1"/>
  <c r="AO316" i="14" s="1"/>
  <c r="AP316" i="14" s="1"/>
  <c r="AC316" i="14"/>
  <c r="AF316" i="14"/>
  <c r="AG316" i="14" s="1"/>
  <c r="AH316" i="14" s="1"/>
  <c r="AI316" i="14" s="1"/>
  <c r="AJ316" i="14" s="1"/>
  <c r="C71" i="25"/>
  <c r="C71" i="26"/>
  <c r="BI73" i="3"/>
  <c r="D70" i="25"/>
  <c r="D70" i="26"/>
  <c r="BH73" i="3"/>
  <c r="BG73" i="3"/>
  <c r="BM73" i="3" s="1"/>
  <c r="BE73" i="3"/>
  <c r="AW70" i="3"/>
  <c r="CF74" i="3"/>
  <c r="BC73" i="3"/>
  <c r="BN73" i="3" s="1"/>
  <c r="BR71" i="3"/>
  <c r="CJ73" i="3"/>
  <c r="AV73" i="3" s="1"/>
  <c r="CI73" i="3"/>
  <c r="BY74" i="3"/>
  <c r="BJ72" i="3"/>
  <c r="BP72" i="3" s="1"/>
  <c r="DD233" i="3"/>
  <c r="BF72" i="3"/>
  <c r="BQ72" i="3" s="1"/>
  <c r="D74" i="3"/>
  <c r="BO72" i="3"/>
  <c r="AU72" i="3" s="1"/>
  <c r="C75" i="3"/>
  <c r="BW74" i="3"/>
  <c r="CK74" i="3" s="1"/>
  <c r="BL74" i="3"/>
  <c r="BK74" i="3"/>
  <c r="AY74" i="3"/>
  <c r="AI74" i="3"/>
  <c r="Q71" i="26" s="1"/>
  <c r="AG74" i="3"/>
  <c r="O71" i="26" s="1"/>
  <c r="AH74" i="3"/>
  <c r="P71" i="26" s="1"/>
  <c r="AJ74" i="3"/>
  <c r="R71" i="26" s="1"/>
  <c r="CJ61" i="14" l="1"/>
  <c r="CC68" i="3" s="1"/>
  <c r="CK61" i="14"/>
  <c r="CD68" i="3" s="1"/>
  <c r="CE62" i="14"/>
  <c r="CH62" i="14"/>
  <c r="BD74" i="3"/>
  <c r="BV75" i="3"/>
  <c r="BU75" i="3"/>
  <c r="AY63" i="14"/>
  <c r="CE63" i="14" s="1"/>
  <c r="BQ63" i="14"/>
  <c r="BR63" i="14" s="1"/>
  <c r="BV62" i="14"/>
  <c r="BX62" i="14" s="1"/>
  <c r="CK62" i="14" s="1"/>
  <c r="CD69" i="3" s="1"/>
  <c r="CA62" i="14"/>
  <c r="CB62" i="14" s="1"/>
  <c r="BU62" i="14"/>
  <c r="BZ62" i="14"/>
  <c r="BT62" i="14"/>
  <c r="BW62" i="14" s="1"/>
  <c r="BS62" i="14"/>
  <c r="AY64" i="14"/>
  <c r="CE64" i="14" s="1"/>
  <c r="BQ64" i="14"/>
  <c r="BR64" i="14" s="1"/>
  <c r="CE314" i="14"/>
  <c r="CJ314" i="14" s="1"/>
  <c r="AZ70" i="3" s="1"/>
  <c r="CE315" i="14"/>
  <c r="CJ315" i="14" s="1"/>
  <c r="AZ71" i="3" s="1"/>
  <c r="CA316" i="14"/>
  <c r="CB316" i="14" s="1"/>
  <c r="BV316" i="14"/>
  <c r="BX316" i="14" s="1"/>
  <c r="BT316" i="14"/>
  <c r="BW316" i="14" s="1"/>
  <c r="BM67" i="14"/>
  <c r="AA67" i="14"/>
  <c r="AX67" i="14" s="1"/>
  <c r="BI67" i="14"/>
  <c r="BJ67" i="14" s="1"/>
  <c r="AB67" i="14"/>
  <c r="BC67" i="14"/>
  <c r="BD67" i="14" s="1"/>
  <c r="BB67" i="14"/>
  <c r="AD67" i="14"/>
  <c r="BN66" i="14"/>
  <c r="BO66" i="14" s="1"/>
  <c r="BA317" i="14"/>
  <c r="BK317" i="14" s="1"/>
  <c r="AZ317" i="14"/>
  <c r="AQ317" i="14"/>
  <c r="AR317" i="14" s="1"/>
  <c r="AS317" i="14" s="1"/>
  <c r="AT317" i="14" s="1"/>
  <c r="AU317" i="14" s="1"/>
  <c r="AF317" i="14"/>
  <c r="AK317" i="14"/>
  <c r="AL317" i="14" s="1"/>
  <c r="AM317" i="14" s="1"/>
  <c r="AN317" i="14" s="1"/>
  <c r="AO317" i="14" s="1"/>
  <c r="AP317" i="14" s="1"/>
  <c r="AC317" i="14"/>
  <c r="BN317" i="14"/>
  <c r="BO317" i="14" s="1"/>
  <c r="BQ317" i="14"/>
  <c r="BR317" i="14" s="1"/>
  <c r="BU316" i="14"/>
  <c r="BS316" i="14"/>
  <c r="BZ316" i="14"/>
  <c r="CH314" i="14"/>
  <c r="CM314" i="14" s="1"/>
  <c r="BB70" i="3" s="1"/>
  <c r="AG65" i="14"/>
  <c r="AH65" i="14" s="1"/>
  <c r="AI65" i="14" s="1"/>
  <c r="AJ65" i="14" s="1"/>
  <c r="AD318" i="14"/>
  <c r="BB318" i="14"/>
  <c r="BM318" i="14"/>
  <c r="BI318" i="14"/>
  <c r="BJ318" i="14" s="1"/>
  <c r="AA318" i="14"/>
  <c r="BC318" i="14"/>
  <c r="BD318" i="14" s="1"/>
  <c r="AB318" i="14"/>
  <c r="Z319" i="14"/>
  <c r="AE319" i="14"/>
  <c r="AE68" i="14"/>
  <c r="Z68" i="14"/>
  <c r="AW316" i="14"/>
  <c r="AY316" i="14" s="1"/>
  <c r="CD316" i="14"/>
  <c r="BE316" i="14"/>
  <c r="BG316" i="14" s="1"/>
  <c r="BE65" i="14"/>
  <c r="BG65" i="14" s="1"/>
  <c r="CD65" i="14"/>
  <c r="AF66" i="14"/>
  <c r="AC66" i="14"/>
  <c r="AZ66" i="14"/>
  <c r="BA66" i="14"/>
  <c r="BK66" i="14" s="1"/>
  <c r="AQ66" i="14"/>
  <c r="AR66" i="14" s="1"/>
  <c r="AS66" i="14" s="1"/>
  <c r="AT66" i="14" s="1"/>
  <c r="AU66" i="14" s="1"/>
  <c r="AK66" i="14"/>
  <c r="AL66" i="14" s="1"/>
  <c r="AM66" i="14" s="1"/>
  <c r="AN66" i="14" s="1"/>
  <c r="AO66" i="14" s="1"/>
  <c r="AP66" i="14" s="1"/>
  <c r="AV66" i="14"/>
  <c r="CH315" i="14"/>
  <c r="CM315" i="14" s="1"/>
  <c r="BB71" i="3" s="1"/>
  <c r="CF315" i="14"/>
  <c r="CK315" i="14" s="1"/>
  <c r="BA71" i="3" s="1"/>
  <c r="AV317" i="14"/>
  <c r="D71" i="26"/>
  <c r="D71" i="25"/>
  <c r="BI74" i="3"/>
  <c r="BH74" i="3"/>
  <c r="C72" i="26"/>
  <c r="C72" i="25"/>
  <c r="DD234" i="3"/>
  <c r="BG74" i="3"/>
  <c r="BM74" i="3" s="1"/>
  <c r="BE74" i="3"/>
  <c r="AW71" i="3"/>
  <c r="CF75" i="3"/>
  <c r="BC74" i="3"/>
  <c r="BN74" i="3" s="1"/>
  <c r="BY75" i="3"/>
  <c r="CI74" i="3"/>
  <c r="CJ74" i="3"/>
  <c r="AV74" i="3" s="1"/>
  <c r="BR72" i="3"/>
  <c r="BJ73" i="3"/>
  <c r="BP73" i="3" s="1"/>
  <c r="D75" i="3"/>
  <c r="BI75" i="3" s="1"/>
  <c r="BF73" i="3"/>
  <c r="BQ73" i="3" s="1"/>
  <c r="BO73" i="3"/>
  <c r="AU73" i="3" s="1"/>
  <c r="C76" i="3"/>
  <c r="BW75" i="3"/>
  <c r="CJ75" i="3" s="1"/>
  <c r="AV75" i="3" s="1"/>
  <c r="BK75" i="3"/>
  <c r="AY75" i="3"/>
  <c r="AH75" i="3"/>
  <c r="P72" i="26" s="1"/>
  <c r="AG75" i="3"/>
  <c r="O72" i="26" s="1"/>
  <c r="AI75" i="3"/>
  <c r="Q72" i="26" s="1"/>
  <c r="BL75" i="3"/>
  <c r="AJ75" i="3"/>
  <c r="R72" i="26" s="1"/>
  <c r="CF64" i="14" l="1"/>
  <c r="CF63" i="14"/>
  <c r="CJ62" i="14"/>
  <c r="CC69" i="3" s="1"/>
  <c r="CM62" i="14"/>
  <c r="CG69" i="3" s="1"/>
  <c r="CH64" i="14"/>
  <c r="CH63" i="14"/>
  <c r="BD75" i="3"/>
  <c r="BV76" i="3"/>
  <c r="BU76" i="3"/>
  <c r="BU63" i="14"/>
  <c r="BV63" i="14"/>
  <c r="BX63" i="14" s="1"/>
  <c r="BS63" i="14"/>
  <c r="BT63" i="14"/>
  <c r="BW63" i="14" s="1"/>
  <c r="CJ63" i="14" s="1"/>
  <c r="CC70" i="3" s="1"/>
  <c r="BZ63" i="14"/>
  <c r="CA63" i="14"/>
  <c r="CB63" i="14" s="1"/>
  <c r="BT64" i="14"/>
  <c r="BW64" i="14" s="1"/>
  <c r="CJ64" i="14" s="1"/>
  <c r="CC71" i="3" s="1"/>
  <c r="BS64" i="14"/>
  <c r="CA64" i="14"/>
  <c r="CB64" i="14" s="1"/>
  <c r="BZ64" i="14"/>
  <c r="BV64" i="14"/>
  <c r="BX64" i="14" s="1"/>
  <c r="BU64" i="14"/>
  <c r="CE316" i="14"/>
  <c r="CJ316" i="14" s="1"/>
  <c r="AZ72" i="3" s="1"/>
  <c r="AV67" i="14"/>
  <c r="BB319" i="14"/>
  <c r="BM319" i="14"/>
  <c r="AA319" i="14"/>
  <c r="AV319" i="14" s="1"/>
  <c r="AB319" i="14"/>
  <c r="AD319" i="14"/>
  <c r="BC319" i="14"/>
  <c r="BD319" i="14" s="1"/>
  <c r="BI319" i="14"/>
  <c r="BJ319" i="14" s="1"/>
  <c r="AC318" i="14"/>
  <c r="AK318" i="14"/>
  <c r="AL318" i="14" s="1"/>
  <c r="AM318" i="14" s="1"/>
  <c r="AN318" i="14" s="1"/>
  <c r="AO318" i="14" s="1"/>
  <c r="AP318" i="14" s="1"/>
  <c r="AZ318" i="14"/>
  <c r="AF318" i="14"/>
  <c r="BA318" i="14"/>
  <c r="BK318" i="14" s="1"/>
  <c r="AQ318" i="14"/>
  <c r="AR318" i="14" s="1"/>
  <c r="AS318" i="14" s="1"/>
  <c r="AT318" i="14" s="1"/>
  <c r="AU318" i="14" s="1"/>
  <c r="AV318" i="14"/>
  <c r="AB68" i="14"/>
  <c r="BI68" i="14"/>
  <c r="BJ68" i="14" s="1"/>
  <c r="BC68" i="14"/>
  <c r="BD68" i="14" s="1"/>
  <c r="AA68" i="14"/>
  <c r="BB68" i="14"/>
  <c r="AD68" i="14"/>
  <c r="BM68" i="14"/>
  <c r="AX318" i="14"/>
  <c r="CH316" i="14"/>
  <c r="CM316" i="14" s="1"/>
  <c r="BB72" i="3" s="1"/>
  <c r="CF316" i="14"/>
  <c r="CK316" i="14" s="1"/>
  <c r="BA72" i="3" s="1"/>
  <c r="BN318" i="14"/>
  <c r="BO318" i="14" s="1"/>
  <c r="BQ318" i="14"/>
  <c r="BR318" i="14" s="1"/>
  <c r="CD317" i="14"/>
  <c r="BE317" i="14"/>
  <c r="BG317" i="14" s="1"/>
  <c r="BN67" i="14"/>
  <c r="BO67" i="14" s="1"/>
  <c r="BV317" i="14"/>
  <c r="BX317" i="14" s="1"/>
  <c r="CA317" i="14"/>
  <c r="CB317" i="14" s="1"/>
  <c r="BT317" i="14"/>
  <c r="BW317" i="14" s="1"/>
  <c r="AG317" i="14"/>
  <c r="AH317" i="14" s="1"/>
  <c r="AI317" i="14" s="1"/>
  <c r="AJ317" i="14" s="1"/>
  <c r="AE320" i="14"/>
  <c r="Z320" i="14"/>
  <c r="Z69" i="14"/>
  <c r="AE69" i="14"/>
  <c r="AG66" i="14"/>
  <c r="AH66" i="14" s="1"/>
  <c r="AI66" i="14" s="1"/>
  <c r="AJ66" i="14" s="1"/>
  <c r="CD66" i="14"/>
  <c r="BE66" i="14"/>
  <c r="BG66" i="14" s="1"/>
  <c r="BZ317" i="14"/>
  <c r="BU317" i="14"/>
  <c r="BS317" i="14"/>
  <c r="AK67" i="14"/>
  <c r="AL67" i="14" s="1"/>
  <c r="AM67" i="14" s="1"/>
  <c r="AN67" i="14" s="1"/>
  <c r="AO67" i="14" s="1"/>
  <c r="AP67" i="14" s="1"/>
  <c r="AC67" i="14"/>
  <c r="BA67" i="14"/>
  <c r="BK67" i="14" s="1"/>
  <c r="AF67" i="14"/>
  <c r="AG67" i="14" s="1"/>
  <c r="AH67" i="14" s="1"/>
  <c r="AI67" i="14" s="1"/>
  <c r="AJ67" i="14" s="1"/>
  <c r="AZ67" i="14"/>
  <c r="AQ67" i="14"/>
  <c r="AR67" i="14" s="1"/>
  <c r="AS67" i="14" s="1"/>
  <c r="AT67" i="14" s="1"/>
  <c r="AU67" i="14" s="1"/>
  <c r="AW65" i="14"/>
  <c r="C73" i="26"/>
  <c r="C73" i="25"/>
  <c r="BG75" i="3"/>
  <c r="BM75" i="3" s="1"/>
  <c r="D72" i="25"/>
  <c r="D72" i="26"/>
  <c r="BH75" i="3"/>
  <c r="BE75" i="3"/>
  <c r="AW72" i="3"/>
  <c r="CK75" i="3"/>
  <c r="CF76" i="3"/>
  <c r="BJ74" i="3"/>
  <c r="BP74" i="3" s="1"/>
  <c r="BC75" i="3"/>
  <c r="BN75" i="3" s="1"/>
  <c r="CI75" i="3"/>
  <c r="BY76" i="3"/>
  <c r="BR73" i="3"/>
  <c r="DD235" i="3"/>
  <c r="BF74" i="3"/>
  <c r="BQ74" i="3" s="1"/>
  <c r="D76" i="3"/>
  <c r="C77" i="3"/>
  <c r="BK76" i="3"/>
  <c r="AY76" i="3"/>
  <c r="BL76" i="3"/>
  <c r="BW76" i="3"/>
  <c r="CK76" i="3" s="1"/>
  <c r="AG76" i="3"/>
  <c r="O73" i="26" s="1"/>
  <c r="AH76" i="3"/>
  <c r="P73" i="26" s="1"/>
  <c r="AI76" i="3"/>
  <c r="Q73" i="26" s="1"/>
  <c r="AJ76" i="3"/>
  <c r="R73" i="26" s="1"/>
  <c r="BO74" i="3"/>
  <c r="AU74" i="3" s="1"/>
  <c r="CK64" i="14" l="1"/>
  <c r="CD71" i="3" s="1"/>
  <c r="BD76" i="3"/>
  <c r="CK63" i="14"/>
  <c r="CD70" i="3" s="1"/>
  <c r="CM64" i="14"/>
  <c r="CG71" i="3" s="1"/>
  <c r="CM63" i="14"/>
  <c r="CG70" i="3" s="1"/>
  <c r="BU77" i="3"/>
  <c r="BV77" i="3"/>
  <c r="AY65" i="14"/>
  <c r="CE65" i="14" s="1"/>
  <c r="BQ65" i="14"/>
  <c r="BR65" i="14" s="1"/>
  <c r="AW66" i="14"/>
  <c r="BM69" i="14"/>
  <c r="AB69" i="14"/>
  <c r="BI69" i="14"/>
  <c r="BJ69" i="14" s="1"/>
  <c r="BC69" i="14"/>
  <c r="BD69" i="14" s="1"/>
  <c r="AA69" i="14"/>
  <c r="AX69" i="14" s="1"/>
  <c r="AD69" i="14"/>
  <c r="BB69" i="14"/>
  <c r="AX319" i="14"/>
  <c r="BE318" i="14"/>
  <c r="BG318" i="14" s="1"/>
  <c r="CD318" i="14"/>
  <c r="BN319" i="14"/>
  <c r="BO319" i="14" s="1"/>
  <c r="BQ319" i="14"/>
  <c r="BR319" i="14" s="1"/>
  <c r="AW67" i="14"/>
  <c r="AW317" i="14"/>
  <c r="AY317" i="14" s="1"/>
  <c r="CH317" i="14" s="1"/>
  <c r="CM317" i="14" s="1"/>
  <c r="BB73" i="3" s="1"/>
  <c r="BN68" i="14"/>
  <c r="BO68" i="14" s="1"/>
  <c r="AK68" i="14"/>
  <c r="AL68" i="14" s="1"/>
  <c r="AM68" i="14" s="1"/>
  <c r="AN68" i="14" s="1"/>
  <c r="AO68" i="14" s="1"/>
  <c r="AP68" i="14" s="1"/>
  <c r="AC68" i="14"/>
  <c r="BA68" i="14"/>
  <c r="BK68" i="14" s="1"/>
  <c r="AF68" i="14"/>
  <c r="AG68" i="14" s="1"/>
  <c r="AH68" i="14" s="1"/>
  <c r="AI68" i="14" s="1"/>
  <c r="AJ68" i="14" s="1"/>
  <c r="AQ68" i="14"/>
  <c r="AR68" i="14" s="1"/>
  <c r="AS68" i="14" s="1"/>
  <c r="AT68" i="14" s="1"/>
  <c r="AU68" i="14" s="1"/>
  <c r="AZ68" i="14"/>
  <c r="AK319" i="14"/>
  <c r="AL319" i="14" s="1"/>
  <c r="AM319" i="14" s="1"/>
  <c r="AN319" i="14" s="1"/>
  <c r="AO319" i="14" s="1"/>
  <c r="AP319" i="14" s="1"/>
  <c r="AF319" i="14"/>
  <c r="BA319" i="14"/>
  <c r="BK319" i="14" s="1"/>
  <c r="AC319" i="14"/>
  <c r="AQ319" i="14"/>
  <c r="AR319" i="14" s="1"/>
  <c r="AS319" i="14" s="1"/>
  <c r="AT319" i="14" s="1"/>
  <c r="AU319" i="14" s="1"/>
  <c r="AZ319" i="14"/>
  <c r="AA320" i="14"/>
  <c r="AV320" i="14" s="1"/>
  <c r="BC320" i="14"/>
  <c r="BD320" i="14" s="1"/>
  <c r="BM320" i="14"/>
  <c r="BI320" i="14"/>
  <c r="BJ320" i="14" s="1"/>
  <c r="BB320" i="14"/>
  <c r="AB320" i="14"/>
  <c r="AD320" i="14"/>
  <c r="CA318" i="14"/>
  <c r="CB318" i="14" s="1"/>
  <c r="BT318" i="14"/>
  <c r="BW318" i="14" s="1"/>
  <c r="BV318" i="14"/>
  <c r="BX318" i="14" s="1"/>
  <c r="AE321" i="14"/>
  <c r="Z321" i="14"/>
  <c r="Z70" i="14"/>
  <c r="AE70" i="14"/>
  <c r="BE67" i="14"/>
  <c r="BG67" i="14" s="1"/>
  <c r="CD67" i="14"/>
  <c r="AV68" i="14"/>
  <c r="BS318" i="14"/>
  <c r="BU318" i="14"/>
  <c r="BZ318" i="14"/>
  <c r="AX68" i="14"/>
  <c r="AG318" i="14"/>
  <c r="AH318" i="14" s="1"/>
  <c r="AI318" i="14" s="1"/>
  <c r="AJ318" i="14" s="1"/>
  <c r="D73" i="25"/>
  <c r="D73" i="26"/>
  <c r="DD236" i="3"/>
  <c r="BG76" i="3"/>
  <c r="BM76" i="3" s="1"/>
  <c r="BI76" i="3"/>
  <c r="C74" i="26"/>
  <c r="C74" i="25"/>
  <c r="BH76" i="3"/>
  <c r="BE76" i="3"/>
  <c r="AW73" i="3"/>
  <c r="CF77" i="3"/>
  <c r="BR74" i="3"/>
  <c r="BJ75" i="3"/>
  <c r="BP75" i="3" s="1"/>
  <c r="BC76" i="3"/>
  <c r="BN76" i="3" s="1"/>
  <c r="CI76" i="3"/>
  <c r="CJ76" i="3"/>
  <c r="AV76" i="3" s="1"/>
  <c r="BY77" i="3"/>
  <c r="BF75" i="3"/>
  <c r="BQ75" i="3" s="1"/>
  <c r="D77" i="3"/>
  <c r="C78" i="3"/>
  <c r="BW77" i="3"/>
  <c r="CI77" i="3" s="1"/>
  <c r="BL77" i="3"/>
  <c r="AY77" i="3"/>
  <c r="BD77" i="3" s="1"/>
  <c r="BK77" i="3"/>
  <c r="AJ77" i="3"/>
  <c r="R74" i="26" s="1"/>
  <c r="AG77" i="3"/>
  <c r="O74" i="26" s="1"/>
  <c r="AI77" i="3"/>
  <c r="Q74" i="26" s="1"/>
  <c r="AH77" i="3"/>
  <c r="P74" i="26" s="1"/>
  <c r="BO75" i="3"/>
  <c r="AU75" i="3" s="1"/>
  <c r="CH65" i="14" l="1"/>
  <c r="CF65" i="14"/>
  <c r="BV78" i="3"/>
  <c r="BU78" i="3"/>
  <c r="AY66" i="14"/>
  <c r="CF66" i="14" s="1"/>
  <c r="BQ66" i="14"/>
  <c r="BR66" i="14" s="1"/>
  <c r="BT65" i="14"/>
  <c r="BW65" i="14" s="1"/>
  <c r="CJ65" i="14" s="1"/>
  <c r="CC72" i="3" s="1"/>
  <c r="BS65" i="14"/>
  <c r="CA65" i="14"/>
  <c r="CB65" i="14" s="1"/>
  <c r="CM65" i="14" s="1"/>
  <c r="CG72" i="3" s="1"/>
  <c r="BZ65" i="14"/>
  <c r="BU65" i="14"/>
  <c r="BV65" i="14"/>
  <c r="BX65" i="14" s="1"/>
  <c r="AY67" i="14"/>
  <c r="CE67" i="14" s="1"/>
  <c r="BQ67" i="14"/>
  <c r="BR67" i="14" s="1"/>
  <c r="AX320" i="14"/>
  <c r="CF317" i="14"/>
  <c r="CK317" i="14" s="1"/>
  <c r="BA73" i="3" s="1"/>
  <c r="AV69" i="14"/>
  <c r="CE317" i="14"/>
  <c r="CJ317" i="14" s="1"/>
  <c r="AZ73" i="3" s="1"/>
  <c r="AE322" i="14"/>
  <c r="Z71" i="14"/>
  <c r="AE71" i="14"/>
  <c r="Z322" i="14"/>
  <c r="AD321" i="14"/>
  <c r="BB321" i="14"/>
  <c r="BM321" i="14"/>
  <c r="AB321" i="14"/>
  <c r="BI321" i="14"/>
  <c r="BJ321" i="14" s="1"/>
  <c r="BC321" i="14"/>
  <c r="BD321" i="14" s="1"/>
  <c r="AA321" i="14"/>
  <c r="CD319" i="14"/>
  <c r="BE319" i="14"/>
  <c r="BG319" i="14" s="1"/>
  <c r="BS319" i="14"/>
  <c r="BU319" i="14"/>
  <c r="BZ319" i="14"/>
  <c r="AW318" i="14"/>
  <c r="AY318" i="14" s="1"/>
  <c r="CE318" i="14" s="1"/>
  <c r="CJ318" i="14" s="1"/>
  <c r="AZ74" i="3" s="1"/>
  <c r="BA69" i="14"/>
  <c r="BK69" i="14" s="1"/>
  <c r="AQ69" i="14"/>
  <c r="AR69" i="14" s="1"/>
  <c r="AS69" i="14" s="1"/>
  <c r="AT69" i="14" s="1"/>
  <c r="AU69" i="14" s="1"/>
  <c r="AC69" i="14"/>
  <c r="AK69" i="14"/>
  <c r="AL69" i="14" s="1"/>
  <c r="AM69" i="14" s="1"/>
  <c r="AN69" i="14" s="1"/>
  <c r="AO69" i="14" s="1"/>
  <c r="AP69" i="14" s="1"/>
  <c r="AZ69" i="14"/>
  <c r="AF69" i="14"/>
  <c r="AG69" i="14" s="1"/>
  <c r="AH69" i="14" s="1"/>
  <c r="AI69" i="14" s="1"/>
  <c r="AJ69" i="14" s="1"/>
  <c r="BN69" i="14"/>
  <c r="BO69" i="14" s="1"/>
  <c r="BN320" i="14"/>
  <c r="BO320" i="14" s="1"/>
  <c r="BQ320" i="14"/>
  <c r="BR320" i="14" s="1"/>
  <c r="CD68" i="14"/>
  <c r="BE68" i="14"/>
  <c r="BG68" i="14" s="1"/>
  <c r="AB70" i="14"/>
  <c r="BC70" i="14"/>
  <c r="BD70" i="14" s="1"/>
  <c r="BI70" i="14"/>
  <c r="BJ70" i="14" s="1"/>
  <c r="AA70" i="14"/>
  <c r="AV70" i="14" s="1"/>
  <c r="BB70" i="14"/>
  <c r="AD70" i="14"/>
  <c r="BM70" i="14"/>
  <c r="AK320" i="14"/>
  <c r="AL320" i="14" s="1"/>
  <c r="AM320" i="14" s="1"/>
  <c r="AN320" i="14" s="1"/>
  <c r="AO320" i="14" s="1"/>
  <c r="AP320" i="14" s="1"/>
  <c r="AZ320" i="14"/>
  <c r="BA320" i="14"/>
  <c r="BK320" i="14" s="1"/>
  <c r="AF320" i="14"/>
  <c r="AG320" i="14" s="1"/>
  <c r="AH320" i="14" s="1"/>
  <c r="AI320" i="14" s="1"/>
  <c r="AJ320" i="14" s="1"/>
  <c r="AC320" i="14"/>
  <c r="AQ320" i="14"/>
  <c r="AR320" i="14" s="1"/>
  <c r="AS320" i="14" s="1"/>
  <c r="AT320" i="14" s="1"/>
  <c r="AU320" i="14" s="1"/>
  <c r="AG319" i="14"/>
  <c r="AH319" i="14" s="1"/>
  <c r="AI319" i="14" s="1"/>
  <c r="AJ319" i="14" s="1"/>
  <c r="AW68" i="14"/>
  <c r="CA319" i="14"/>
  <c r="CB319" i="14" s="1"/>
  <c r="BV319" i="14"/>
  <c r="BX319" i="14" s="1"/>
  <c r="BT319" i="14"/>
  <c r="BW319" i="14" s="1"/>
  <c r="BG77" i="3"/>
  <c r="BM77" i="3" s="1"/>
  <c r="D74" i="25"/>
  <c r="D74" i="26"/>
  <c r="C75" i="25"/>
  <c r="C75" i="26"/>
  <c r="BI77" i="3"/>
  <c r="BH77" i="3"/>
  <c r="DD237" i="3"/>
  <c r="BE77" i="3"/>
  <c r="AW74" i="3"/>
  <c r="CF78" i="3"/>
  <c r="CK77" i="3"/>
  <c r="BR75" i="3"/>
  <c r="BC77" i="3"/>
  <c r="BN77" i="3" s="1"/>
  <c r="BY78" i="3"/>
  <c r="CJ77" i="3"/>
  <c r="AV77" i="3" s="1"/>
  <c r="BJ76" i="3"/>
  <c r="BP76" i="3" s="1"/>
  <c r="BF76" i="3"/>
  <c r="BQ76" i="3" s="1"/>
  <c r="D78" i="3"/>
  <c r="C79" i="3"/>
  <c r="BW78" i="3"/>
  <c r="CK78" i="3" s="1"/>
  <c r="BL78" i="3"/>
  <c r="AY78" i="3"/>
  <c r="BK78" i="3"/>
  <c r="AI78" i="3"/>
  <c r="Q75" i="26" s="1"/>
  <c r="AG78" i="3"/>
  <c r="O75" i="26" s="1"/>
  <c r="AH78" i="3"/>
  <c r="P75" i="26" s="1"/>
  <c r="AJ78" i="3"/>
  <c r="R75" i="26" s="1"/>
  <c r="BO76" i="3"/>
  <c r="AU76" i="3" s="1"/>
  <c r="BD78" i="3" l="1"/>
  <c r="CF67" i="14"/>
  <c r="CE66" i="14"/>
  <c r="CH67" i="14"/>
  <c r="CH66" i="14"/>
  <c r="CK65" i="14"/>
  <c r="CD72" i="3" s="1"/>
  <c r="BV79" i="3"/>
  <c r="BU79" i="3"/>
  <c r="AW75" i="3"/>
  <c r="AY68" i="14"/>
  <c r="CH68" i="14" s="1"/>
  <c r="BQ68" i="14"/>
  <c r="BR68" i="14" s="1"/>
  <c r="CA66" i="14"/>
  <c r="CB66" i="14" s="1"/>
  <c r="BZ66" i="14"/>
  <c r="BS66" i="14"/>
  <c r="BT66" i="14"/>
  <c r="BW66" i="14" s="1"/>
  <c r="BV66" i="14"/>
  <c r="BX66" i="14" s="1"/>
  <c r="CK66" i="14" s="1"/>
  <c r="CD73" i="3" s="1"/>
  <c r="BU66" i="14"/>
  <c r="BT67" i="14"/>
  <c r="BW67" i="14" s="1"/>
  <c r="CJ67" i="14" s="1"/>
  <c r="CC74" i="3" s="1"/>
  <c r="BV67" i="14"/>
  <c r="BX67" i="14" s="1"/>
  <c r="BU67" i="14"/>
  <c r="BS67" i="14"/>
  <c r="BZ67" i="14"/>
  <c r="CA67" i="14"/>
  <c r="CB67" i="14" s="1"/>
  <c r="CH318" i="14"/>
  <c r="CM318" i="14" s="1"/>
  <c r="BB74" i="3" s="1"/>
  <c r="BN70" i="14"/>
  <c r="BO70" i="14" s="1"/>
  <c r="BZ320" i="14"/>
  <c r="BU320" i="14"/>
  <c r="BS320" i="14"/>
  <c r="AV321" i="14"/>
  <c r="AQ321" i="14"/>
  <c r="AR321" i="14" s="1"/>
  <c r="AS321" i="14" s="1"/>
  <c r="AT321" i="14" s="1"/>
  <c r="AU321" i="14" s="1"/>
  <c r="AC321" i="14"/>
  <c r="BA321" i="14"/>
  <c r="BK321" i="14" s="1"/>
  <c r="AF321" i="14"/>
  <c r="AG321" i="14" s="1"/>
  <c r="AH321" i="14" s="1"/>
  <c r="AI321" i="14" s="1"/>
  <c r="AJ321" i="14" s="1"/>
  <c r="AZ321" i="14"/>
  <c r="AK321" i="14"/>
  <c r="AL321" i="14" s="1"/>
  <c r="AM321" i="14" s="1"/>
  <c r="AN321" i="14" s="1"/>
  <c r="AO321" i="14" s="1"/>
  <c r="AP321" i="14" s="1"/>
  <c r="BN321" i="14"/>
  <c r="BO321" i="14" s="1"/>
  <c r="BQ321" i="14"/>
  <c r="BR321" i="14" s="1"/>
  <c r="BM71" i="14"/>
  <c r="BI71" i="14"/>
  <c r="BJ71" i="14" s="1"/>
  <c r="AA71" i="14"/>
  <c r="AX71" i="14" s="1"/>
  <c r="AB71" i="14"/>
  <c r="BC71" i="14"/>
  <c r="BD71" i="14" s="1"/>
  <c r="AD71" i="14"/>
  <c r="BB71" i="14"/>
  <c r="Z323" i="14"/>
  <c r="AE323" i="14"/>
  <c r="Z72" i="14"/>
  <c r="AE72" i="14"/>
  <c r="CA320" i="14"/>
  <c r="CB320" i="14" s="1"/>
  <c r="BV320" i="14"/>
  <c r="BX320" i="14" s="1"/>
  <c r="BT320" i="14"/>
  <c r="BW320" i="14" s="1"/>
  <c r="AX321" i="14"/>
  <c r="AK70" i="14"/>
  <c r="AL70" i="14" s="1"/>
  <c r="AM70" i="14" s="1"/>
  <c r="AN70" i="14" s="1"/>
  <c r="AO70" i="14" s="1"/>
  <c r="AP70" i="14" s="1"/>
  <c r="AZ70" i="14"/>
  <c r="AQ70" i="14"/>
  <c r="AR70" i="14" s="1"/>
  <c r="AS70" i="14" s="1"/>
  <c r="AT70" i="14" s="1"/>
  <c r="AU70" i="14" s="1"/>
  <c r="AC70" i="14"/>
  <c r="BA70" i="14"/>
  <c r="BK70" i="14" s="1"/>
  <c r="AF70" i="14"/>
  <c r="CD320" i="14"/>
  <c r="BE320" i="14"/>
  <c r="BG320" i="14" s="1"/>
  <c r="AW69" i="14"/>
  <c r="CF318" i="14"/>
  <c r="CK318" i="14" s="1"/>
  <c r="BA74" i="3" s="1"/>
  <c r="AW320" i="14"/>
  <c r="AY320" i="14" s="1"/>
  <c r="AX70" i="14"/>
  <c r="CD69" i="14"/>
  <c r="BE69" i="14"/>
  <c r="BG69" i="14" s="1"/>
  <c r="BB322" i="14"/>
  <c r="AD322" i="14"/>
  <c r="BM322" i="14"/>
  <c r="BC322" i="14"/>
  <c r="BD322" i="14" s="1"/>
  <c r="BI322" i="14"/>
  <c r="BJ322" i="14" s="1"/>
  <c r="AB322" i="14"/>
  <c r="AA322" i="14"/>
  <c r="AX322" i="14" s="1"/>
  <c r="AW319" i="14"/>
  <c r="AY319" i="14" s="1"/>
  <c r="CE319" i="14" s="1"/>
  <c r="CJ319" i="14" s="1"/>
  <c r="AZ75" i="3" s="1"/>
  <c r="D75" i="26"/>
  <c r="D75" i="25"/>
  <c r="C76" i="26"/>
  <c r="C76" i="25"/>
  <c r="BG78" i="3"/>
  <c r="BM78" i="3" s="1"/>
  <c r="BH78" i="3"/>
  <c r="BI78" i="3"/>
  <c r="BE78" i="3"/>
  <c r="CF79" i="3"/>
  <c r="BC78" i="3"/>
  <c r="BN78" i="3" s="1"/>
  <c r="DD238" i="3"/>
  <c r="CJ78" i="3"/>
  <c r="AV78" i="3" s="1"/>
  <c r="BY79" i="3"/>
  <c r="CI78" i="3"/>
  <c r="BJ77" i="3"/>
  <c r="BP77" i="3" s="1"/>
  <c r="BR76" i="3"/>
  <c r="D79" i="3"/>
  <c r="BF77" i="3"/>
  <c r="BQ77" i="3" s="1"/>
  <c r="C80" i="3"/>
  <c r="BK79" i="3"/>
  <c r="AY79" i="3"/>
  <c r="BD79" i="3" s="1"/>
  <c r="BW79" i="3"/>
  <c r="CK79" i="3" s="1"/>
  <c r="BL79" i="3"/>
  <c r="AH79" i="3"/>
  <c r="P76" i="26" s="1"/>
  <c r="AG79" i="3"/>
  <c r="O76" i="26" s="1"/>
  <c r="AI79" i="3"/>
  <c r="Q76" i="26" s="1"/>
  <c r="AJ79" i="3"/>
  <c r="R76" i="26" s="1"/>
  <c r="BO77" i="3"/>
  <c r="AU77" i="3" s="1"/>
  <c r="CK67" i="14" l="1"/>
  <c r="CD74" i="3" s="1"/>
  <c r="CJ66" i="14"/>
  <c r="CC73" i="3" s="1"/>
  <c r="CM66" i="14"/>
  <c r="CG73" i="3" s="1"/>
  <c r="CM67" i="14"/>
  <c r="CG74" i="3" s="1"/>
  <c r="CE68" i="14"/>
  <c r="BV80" i="3"/>
  <c r="BU80" i="3"/>
  <c r="AV71" i="14"/>
  <c r="CF68" i="14"/>
  <c r="AY69" i="14"/>
  <c r="CE69" i="14" s="1"/>
  <c r="BQ69" i="14"/>
  <c r="BR69" i="14" s="1"/>
  <c r="BV68" i="14"/>
  <c r="BX68" i="14" s="1"/>
  <c r="BS68" i="14"/>
  <c r="CA68" i="14"/>
  <c r="CB68" i="14" s="1"/>
  <c r="CM68" i="14" s="1"/>
  <c r="CG75" i="3" s="1"/>
  <c r="BZ68" i="14"/>
  <c r="BT68" i="14"/>
  <c r="BW68" i="14" s="1"/>
  <c r="BU68" i="14"/>
  <c r="BM323" i="14"/>
  <c r="BB323" i="14"/>
  <c r="AA323" i="14"/>
  <c r="BC323" i="14"/>
  <c r="BD323" i="14" s="1"/>
  <c r="AB323" i="14"/>
  <c r="BI323" i="14"/>
  <c r="BJ323" i="14" s="1"/>
  <c r="AD323" i="14"/>
  <c r="BV321" i="14"/>
  <c r="BX321" i="14" s="1"/>
  <c r="CA321" i="14"/>
  <c r="CB321" i="14" s="1"/>
  <c r="BT321" i="14"/>
  <c r="BW321" i="14" s="1"/>
  <c r="AK322" i="14"/>
  <c r="AL322" i="14" s="1"/>
  <c r="AM322" i="14" s="1"/>
  <c r="AN322" i="14" s="1"/>
  <c r="AO322" i="14" s="1"/>
  <c r="AP322" i="14" s="1"/>
  <c r="AC322" i="14"/>
  <c r="BA322" i="14"/>
  <c r="BK322" i="14" s="1"/>
  <c r="AF322" i="14"/>
  <c r="AG322" i="14" s="1"/>
  <c r="AH322" i="14" s="1"/>
  <c r="AI322" i="14" s="1"/>
  <c r="AJ322" i="14" s="1"/>
  <c r="AZ322" i="14"/>
  <c r="AQ322" i="14"/>
  <c r="AR322" i="14" s="1"/>
  <c r="AS322" i="14" s="1"/>
  <c r="AT322" i="14" s="1"/>
  <c r="AU322" i="14" s="1"/>
  <c r="CF319" i="14"/>
  <c r="CK319" i="14" s="1"/>
  <c r="BA75" i="3" s="1"/>
  <c r="BE70" i="14"/>
  <c r="BG70" i="14" s="1"/>
  <c r="CD70" i="14"/>
  <c r="Z324" i="14"/>
  <c r="AE73" i="14"/>
  <c r="AE324" i="14"/>
  <c r="Z73" i="14"/>
  <c r="BN322" i="14"/>
  <c r="BO322" i="14" s="1"/>
  <c r="BQ322" i="14"/>
  <c r="BR322" i="14" s="1"/>
  <c r="CH319" i="14"/>
  <c r="CM319" i="14" s="1"/>
  <c r="BB75" i="3" s="1"/>
  <c r="AV322" i="14"/>
  <c r="AG70" i="14"/>
  <c r="AH70" i="14" s="1"/>
  <c r="AI70" i="14" s="1"/>
  <c r="AJ70" i="14" s="1"/>
  <c r="AB72" i="14"/>
  <c r="BI72" i="14"/>
  <c r="BJ72" i="14" s="1"/>
  <c r="AA72" i="14"/>
  <c r="BC72" i="14"/>
  <c r="BD72" i="14" s="1"/>
  <c r="BB72" i="14"/>
  <c r="BM72" i="14"/>
  <c r="AD72" i="14"/>
  <c r="CH69" i="14"/>
  <c r="AW321" i="14"/>
  <c r="AY321" i="14" s="1"/>
  <c r="CF320" i="14"/>
  <c r="CK320" i="14" s="1"/>
  <c r="BA76" i="3" s="1"/>
  <c r="CH320" i="14"/>
  <c r="CM320" i="14" s="1"/>
  <c r="BB76" i="3" s="1"/>
  <c r="CE320" i="14"/>
  <c r="CJ320" i="14" s="1"/>
  <c r="AZ76" i="3" s="1"/>
  <c r="AZ71" i="14"/>
  <c r="AQ71" i="14"/>
  <c r="AR71" i="14" s="1"/>
  <c r="AS71" i="14" s="1"/>
  <c r="AT71" i="14" s="1"/>
  <c r="AU71" i="14" s="1"/>
  <c r="AC71" i="14"/>
  <c r="BA71" i="14"/>
  <c r="BK71" i="14" s="1"/>
  <c r="AF71" i="14"/>
  <c r="AK71" i="14"/>
  <c r="AL71" i="14" s="1"/>
  <c r="AM71" i="14" s="1"/>
  <c r="AN71" i="14" s="1"/>
  <c r="AO71" i="14" s="1"/>
  <c r="AP71" i="14" s="1"/>
  <c r="BZ321" i="14"/>
  <c r="BS321" i="14"/>
  <c r="BU321" i="14"/>
  <c r="BN71" i="14"/>
  <c r="BO71" i="14" s="1"/>
  <c r="CD321" i="14"/>
  <c r="BE321" i="14"/>
  <c r="BG321" i="14" s="1"/>
  <c r="BJ78" i="3"/>
  <c r="BP78" i="3" s="1"/>
  <c r="C77" i="26"/>
  <c r="C77" i="25"/>
  <c r="BG79" i="3"/>
  <c r="BM79" i="3" s="1"/>
  <c r="D76" i="25"/>
  <c r="D76" i="26"/>
  <c r="BI79" i="3"/>
  <c r="BH79" i="3"/>
  <c r="BE79" i="3"/>
  <c r="CF80" i="3"/>
  <c r="AW76" i="3"/>
  <c r="BC79" i="3"/>
  <c r="BN79" i="3" s="1"/>
  <c r="BY80" i="3"/>
  <c r="CJ79" i="3"/>
  <c r="AV79" i="3" s="1"/>
  <c r="CI79" i="3"/>
  <c r="BR77" i="3"/>
  <c r="DD239" i="3"/>
  <c r="BF78" i="3"/>
  <c r="BQ78" i="3" s="1"/>
  <c r="D80" i="3"/>
  <c r="BG80" i="3" s="1"/>
  <c r="C81" i="3"/>
  <c r="BW80" i="3"/>
  <c r="CI80" i="3" s="1"/>
  <c r="BL80" i="3"/>
  <c r="BK80" i="3"/>
  <c r="AY80" i="3"/>
  <c r="AG80" i="3"/>
  <c r="O77" i="26" s="1"/>
  <c r="AH80" i="3"/>
  <c r="P77" i="26" s="1"/>
  <c r="AJ80" i="3"/>
  <c r="R77" i="26" s="1"/>
  <c r="AI80" i="3"/>
  <c r="Q77" i="26" s="1"/>
  <c r="BO78" i="3"/>
  <c r="AU78" i="3" s="1"/>
  <c r="CF69" i="14" l="1"/>
  <c r="CJ68" i="14"/>
  <c r="CC75" i="3" s="1"/>
  <c r="BD80" i="3"/>
  <c r="CK68" i="14"/>
  <c r="CD75" i="3" s="1"/>
  <c r="BU81" i="3"/>
  <c r="BV81" i="3"/>
  <c r="BV69" i="14"/>
  <c r="BX69" i="14" s="1"/>
  <c r="BZ69" i="14"/>
  <c r="BS69" i="14"/>
  <c r="BT69" i="14"/>
  <c r="BW69" i="14" s="1"/>
  <c r="CJ69" i="14" s="1"/>
  <c r="CC76" i="3" s="1"/>
  <c r="BU69" i="14"/>
  <c r="CA69" i="14"/>
  <c r="CB69" i="14" s="1"/>
  <c r="CM69" i="14" s="1"/>
  <c r="CG76" i="3" s="1"/>
  <c r="CD71" i="14"/>
  <c r="BE71" i="14"/>
  <c r="BG71" i="14" s="1"/>
  <c r="AK72" i="14"/>
  <c r="AL72" i="14" s="1"/>
  <c r="AM72" i="14" s="1"/>
  <c r="AN72" i="14" s="1"/>
  <c r="AO72" i="14" s="1"/>
  <c r="AP72" i="14" s="1"/>
  <c r="AC72" i="14"/>
  <c r="BA72" i="14"/>
  <c r="BK72" i="14" s="1"/>
  <c r="AF72" i="14"/>
  <c r="AQ72" i="14"/>
  <c r="AR72" i="14" s="1"/>
  <c r="AS72" i="14" s="1"/>
  <c r="AT72" i="14" s="1"/>
  <c r="AU72" i="14" s="1"/>
  <c r="AZ72" i="14"/>
  <c r="BM73" i="14"/>
  <c r="AA73" i="14"/>
  <c r="AX73" i="14" s="1"/>
  <c r="BC73" i="14"/>
  <c r="BD73" i="14" s="1"/>
  <c r="AB73" i="14"/>
  <c r="BI73" i="14"/>
  <c r="BJ73" i="14" s="1"/>
  <c r="BB73" i="14"/>
  <c r="AD73" i="14"/>
  <c r="AV72" i="14"/>
  <c r="AX72" i="14"/>
  <c r="BV322" i="14"/>
  <c r="BX322" i="14" s="1"/>
  <c r="CA322" i="14"/>
  <c r="CB322" i="14" s="1"/>
  <c r="BT322" i="14"/>
  <c r="BW322" i="14" s="1"/>
  <c r="CD322" i="14"/>
  <c r="BE322" i="14"/>
  <c r="BG322" i="14" s="1"/>
  <c r="BN323" i="14"/>
  <c r="BO323" i="14" s="1"/>
  <c r="BQ323" i="14"/>
  <c r="BR323" i="14" s="1"/>
  <c r="AE325" i="14"/>
  <c r="Z325" i="14"/>
  <c r="Z74" i="14"/>
  <c r="AE74" i="14"/>
  <c r="BN72" i="14"/>
  <c r="BO72" i="14" s="1"/>
  <c r="AV323" i="14"/>
  <c r="AQ323" i="14"/>
  <c r="AR323" i="14" s="1"/>
  <c r="AS323" i="14" s="1"/>
  <c r="AT323" i="14" s="1"/>
  <c r="AU323" i="14" s="1"/>
  <c r="AZ323" i="14"/>
  <c r="BA323" i="14"/>
  <c r="BK323" i="14" s="1"/>
  <c r="AC323" i="14"/>
  <c r="AF323" i="14"/>
  <c r="AG323" i="14" s="1"/>
  <c r="AH323" i="14" s="1"/>
  <c r="AI323" i="14" s="1"/>
  <c r="AJ323" i="14" s="1"/>
  <c r="AK323" i="14"/>
  <c r="AL323" i="14" s="1"/>
  <c r="AM323" i="14" s="1"/>
  <c r="AN323" i="14" s="1"/>
  <c r="AO323" i="14" s="1"/>
  <c r="AP323" i="14" s="1"/>
  <c r="CF321" i="14"/>
  <c r="CK321" i="14" s="1"/>
  <c r="BA77" i="3" s="1"/>
  <c r="CH321" i="14"/>
  <c r="CM321" i="14" s="1"/>
  <c r="BB77" i="3" s="1"/>
  <c r="CE321" i="14"/>
  <c r="CJ321" i="14" s="1"/>
  <c r="AZ77" i="3" s="1"/>
  <c r="AG71" i="14"/>
  <c r="AH71" i="14" s="1"/>
  <c r="AI71" i="14" s="1"/>
  <c r="AJ71" i="14" s="1"/>
  <c r="BZ322" i="14"/>
  <c r="BS322" i="14"/>
  <c r="BU322" i="14"/>
  <c r="BM324" i="14"/>
  <c r="AA324" i="14"/>
  <c r="AX324" i="14" s="1"/>
  <c r="BB324" i="14"/>
  <c r="AD324" i="14"/>
  <c r="BC324" i="14"/>
  <c r="BD324" i="14" s="1"/>
  <c r="AB324" i="14"/>
  <c r="BI324" i="14"/>
  <c r="BJ324" i="14" s="1"/>
  <c r="AW322" i="14"/>
  <c r="AY322" i="14" s="1"/>
  <c r="AX323" i="14"/>
  <c r="AW70" i="14"/>
  <c r="BR78" i="3"/>
  <c r="C78" i="26"/>
  <c r="C78" i="25"/>
  <c r="BI80" i="3"/>
  <c r="D77" i="25"/>
  <c r="D77" i="26"/>
  <c r="BH80" i="3"/>
  <c r="BE80" i="3"/>
  <c r="CF81" i="3"/>
  <c r="CK80" i="3"/>
  <c r="AW77" i="3"/>
  <c r="BM80" i="3"/>
  <c r="BC80" i="3"/>
  <c r="BN80" i="3" s="1"/>
  <c r="BY81" i="3"/>
  <c r="CJ80" i="3"/>
  <c r="AV80" i="3" s="1"/>
  <c r="DD240" i="3"/>
  <c r="BJ79" i="3"/>
  <c r="BP79" i="3" s="1"/>
  <c r="D81" i="3"/>
  <c r="BF79" i="3"/>
  <c r="BQ79" i="3" s="1"/>
  <c r="C82" i="3"/>
  <c r="BW81" i="3"/>
  <c r="CK81" i="3" s="1"/>
  <c r="BK81" i="3"/>
  <c r="AY81" i="3"/>
  <c r="AJ81" i="3"/>
  <c r="R78" i="26" s="1"/>
  <c r="AG81" i="3"/>
  <c r="O78" i="26" s="1"/>
  <c r="AH81" i="3"/>
  <c r="P78" i="26" s="1"/>
  <c r="BL81" i="3"/>
  <c r="AI81" i="3"/>
  <c r="Q78" i="26" s="1"/>
  <c r="BO79" i="3"/>
  <c r="AU79" i="3" s="1"/>
  <c r="CK69" i="14" l="1"/>
  <c r="CD76" i="3" s="1"/>
  <c r="BD81" i="3"/>
  <c r="BV82" i="3"/>
  <c r="BU82" i="3"/>
  <c r="AW78" i="3"/>
  <c r="AY70" i="14"/>
  <c r="CF70" i="14" s="1"/>
  <c r="BQ70" i="14"/>
  <c r="BR70" i="14" s="1"/>
  <c r="BA324" i="14"/>
  <c r="BK324" i="14" s="1"/>
  <c r="AQ324" i="14"/>
  <c r="AR324" i="14" s="1"/>
  <c r="AS324" i="14" s="1"/>
  <c r="AT324" i="14" s="1"/>
  <c r="AU324" i="14" s="1"/>
  <c r="AK324" i="14"/>
  <c r="AL324" i="14" s="1"/>
  <c r="AM324" i="14" s="1"/>
  <c r="AN324" i="14" s="1"/>
  <c r="AO324" i="14" s="1"/>
  <c r="AP324" i="14" s="1"/>
  <c r="AC324" i="14"/>
  <c r="AZ324" i="14"/>
  <c r="AF324" i="14"/>
  <c r="CH322" i="14"/>
  <c r="CM322" i="14" s="1"/>
  <c r="BB78" i="3" s="1"/>
  <c r="CF322" i="14"/>
  <c r="CK322" i="14" s="1"/>
  <c r="BA78" i="3" s="1"/>
  <c r="AV324" i="14"/>
  <c r="BN324" i="14"/>
  <c r="BO324" i="14" s="1"/>
  <c r="BQ324" i="14"/>
  <c r="BR324" i="14" s="1"/>
  <c r="AW71" i="14"/>
  <c r="CA323" i="14"/>
  <c r="CB323" i="14" s="1"/>
  <c r="BV323" i="14"/>
  <c r="BX323" i="14" s="1"/>
  <c r="BT323" i="14"/>
  <c r="BW323" i="14" s="1"/>
  <c r="AF73" i="14"/>
  <c r="AG73" i="14" s="1"/>
  <c r="AH73" i="14" s="1"/>
  <c r="AI73" i="14" s="1"/>
  <c r="AJ73" i="14" s="1"/>
  <c r="AZ73" i="14"/>
  <c r="AK73" i="14"/>
  <c r="AL73" i="14" s="1"/>
  <c r="AM73" i="14" s="1"/>
  <c r="AN73" i="14" s="1"/>
  <c r="AO73" i="14" s="1"/>
  <c r="AP73" i="14" s="1"/>
  <c r="AQ73" i="14"/>
  <c r="AR73" i="14" s="1"/>
  <c r="AS73" i="14" s="1"/>
  <c r="AT73" i="14" s="1"/>
  <c r="AU73" i="14" s="1"/>
  <c r="AC73" i="14"/>
  <c r="BA73" i="14"/>
  <c r="BK73" i="14" s="1"/>
  <c r="AB74" i="14"/>
  <c r="BI74" i="14"/>
  <c r="BJ74" i="14" s="1"/>
  <c r="AA74" i="14"/>
  <c r="AX74" i="14" s="1"/>
  <c r="BC74" i="14"/>
  <c r="BD74" i="14" s="1"/>
  <c r="BB74" i="14"/>
  <c r="AD74" i="14"/>
  <c r="BM74" i="14"/>
  <c r="BU323" i="14"/>
  <c r="BS323" i="14"/>
  <c r="BZ323" i="14"/>
  <c r="AV73" i="14"/>
  <c r="BN73" i="14"/>
  <c r="BO73" i="14" s="1"/>
  <c r="AW323" i="14"/>
  <c r="AY323" i="14" s="1"/>
  <c r="CD72" i="14"/>
  <c r="BE72" i="14"/>
  <c r="BG72" i="14" s="1"/>
  <c r="CE322" i="14"/>
  <c r="CJ322" i="14" s="1"/>
  <c r="AZ78" i="3" s="1"/>
  <c r="Z326" i="14"/>
  <c r="AE75" i="14"/>
  <c r="AE326" i="14"/>
  <c r="Z75" i="14"/>
  <c r="BE323" i="14"/>
  <c r="BG323" i="14" s="1"/>
  <c r="CD323" i="14"/>
  <c r="BB325" i="14"/>
  <c r="AB325" i="14"/>
  <c r="BM325" i="14"/>
  <c r="AD325" i="14"/>
  <c r="AA325" i="14"/>
  <c r="BI325" i="14"/>
  <c r="BJ325" i="14" s="1"/>
  <c r="BC325" i="14"/>
  <c r="BD325" i="14" s="1"/>
  <c r="AG72" i="14"/>
  <c r="AH72" i="14" s="1"/>
  <c r="AI72" i="14" s="1"/>
  <c r="AJ72" i="14" s="1"/>
  <c r="C79" i="25"/>
  <c r="C79" i="26"/>
  <c r="BH81" i="3"/>
  <c r="D78" i="25"/>
  <c r="D78" i="26"/>
  <c r="BG81" i="3"/>
  <c r="BM81" i="3" s="1"/>
  <c r="BI81" i="3"/>
  <c r="BE81" i="3"/>
  <c r="CF82" i="3"/>
  <c r="BC81" i="3"/>
  <c r="BN81" i="3" s="1"/>
  <c r="BJ80" i="3"/>
  <c r="BP80" i="3" s="1"/>
  <c r="CI81" i="3"/>
  <c r="CJ81" i="3"/>
  <c r="AV81" i="3" s="1"/>
  <c r="BY82" i="3"/>
  <c r="BR79" i="3"/>
  <c r="DD241" i="3"/>
  <c r="BF80" i="3"/>
  <c r="BQ80" i="3" s="1"/>
  <c r="D82" i="3"/>
  <c r="C83" i="3"/>
  <c r="BK82" i="3"/>
  <c r="AY82" i="3"/>
  <c r="BW82" i="3"/>
  <c r="CK82" i="3" s="1"/>
  <c r="BL82" i="3"/>
  <c r="AI82" i="3"/>
  <c r="Q79" i="26" s="1"/>
  <c r="AG82" i="3"/>
  <c r="O79" i="26" s="1"/>
  <c r="AH82" i="3"/>
  <c r="P79" i="26" s="1"/>
  <c r="AJ82" i="3"/>
  <c r="R79" i="26" s="1"/>
  <c r="BO80" i="3"/>
  <c r="AU80" i="3" s="1"/>
  <c r="CH70" i="14" l="1"/>
  <c r="BD82" i="3"/>
  <c r="BV83" i="3"/>
  <c r="BU83" i="3"/>
  <c r="CE70" i="14"/>
  <c r="AY71" i="14"/>
  <c r="CF71" i="14" s="1"/>
  <c r="BQ71" i="14"/>
  <c r="BR71" i="14" s="1"/>
  <c r="BV70" i="14"/>
  <c r="BX70" i="14" s="1"/>
  <c r="CK70" i="14" s="1"/>
  <c r="CD77" i="3" s="1"/>
  <c r="BU70" i="14"/>
  <c r="CA70" i="14"/>
  <c r="CB70" i="14" s="1"/>
  <c r="BT70" i="14"/>
  <c r="BW70" i="14" s="1"/>
  <c r="BS70" i="14"/>
  <c r="BZ70" i="14"/>
  <c r="CH71" i="14"/>
  <c r="AQ325" i="14"/>
  <c r="AR325" i="14" s="1"/>
  <c r="AS325" i="14" s="1"/>
  <c r="AT325" i="14" s="1"/>
  <c r="AU325" i="14" s="1"/>
  <c r="AF325" i="14"/>
  <c r="AC325" i="14"/>
  <c r="BA325" i="14"/>
  <c r="BK325" i="14" s="1"/>
  <c r="AZ325" i="14"/>
  <c r="AK325" i="14"/>
  <c r="AL325" i="14" s="1"/>
  <c r="AM325" i="14" s="1"/>
  <c r="AN325" i="14" s="1"/>
  <c r="AO325" i="14" s="1"/>
  <c r="AP325" i="14" s="1"/>
  <c r="AW72" i="14"/>
  <c r="BE73" i="14"/>
  <c r="BG73" i="14" s="1"/>
  <c r="CD73" i="14"/>
  <c r="BV324" i="14"/>
  <c r="BX324" i="14" s="1"/>
  <c r="BT324" i="14"/>
  <c r="BW324" i="14" s="1"/>
  <c r="CA324" i="14"/>
  <c r="CB324" i="14" s="1"/>
  <c r="AX325" i="14"/>
  <c r="BB326" i="14"/>
  <c r="BM326" i="14"/>
  <c r="AD326" i="14"/>
  <c r="AA326" i="14"/>
  <c r="AV326" i="14" s="1"/>
  <c r="BC326" i="14"/>
  <c r="BD326" i="14" s="1"/>
  <c r="AB326" i="14"/>
  <c r="BI326" i="14"/>
  <c r="BJ326" i="14" s="1"/>
  <c r="BN74" i="14"/>
  <c r="BO74" i="14" s="1"/>
  <c r="AW73" i="14"/>
  <c r="BS324" i="14"/>
  <c r="BZ324" i="14"/>
  <c r="BU324" i="14"/>
  <c r="CD324" i="14"/>
  <c r="BE324" i="14"/>
  <c r="BG324" i="14" s="1"/>
  <c r="BN325" i="14"/>
  <c r="BO325" i="14" s="1"/>
  <c r="BQ325" i="14"/>
  <c r="BR325" i="14" s="1"/>
  <c r="BM75" i="14"/>
  <c r="BI75" i="14"/>
  <c r="BJ75" i="14" s="1"/>
  <c r="AA75" i="14"/>
  <c r="AV75" i="14" s="1"/>
  <c r="AB75" i="14"/>
  <c r="BC75" i="14"/>
  <c r="BD75" i="14" s="1"/>
  <c r="BB75" i="14"/>
  <c r="AD75" i="14"/>
  <c r="AZ74" i="14"/>
  <c r="BA74" i="14"/>
  <c r="BK74" i="14" s="1"/>
  <c r="AC74" i="14"/>
  <c r="AQ74" i="14"/>
  <c r="AR74" i="14" s="1"/>
  <c r="AS74" i="14" s="1"/>
  <c r="AT74" i="14" s="1"/>
  <c r="AU74" i="14" s="1"/>
  <c r="AF74" i="14"/>
  <c r="AG74" i="14" s="1"/>
  <c r="AH74" i="14" s="1"/>
  <c r="AI74" i="14" s="1"/>
  <c r="AJ74" i="14" s="1"/>
  <c r="AK74" i="14"/>
  <c r="AL74" i="14" s="1"/>
  <c r="AM74" i="14" s="1"/>
  <c r="AN74" i="14" s="1"/>
  <c r="AO74" i="14" s="1"/>
  <c r="AP74" i="14" s="1"/>
  <c r="AV74" i="14"/>
  <c r="Z327" i="14"/>
  <c r="AE327" i="14"/>
  <c r="AE76" i="14"/>
  <c r="Z76" i="14"/>
  <c r="CH323" i="14"/>
  <c r="CM323" i="14" s="1"/>
  <c r="BB79" i="3" s="1"/>
  <c r="CF323" i="14"/>
  <c r="CK323" i="14" s="1"/>
  <c r="BA79" i="3" s="1"/>
  <c r="CE323" i="14"/>
  <c r="CJ323" i="14" s="1"/>
  <c r="AZ79" i="3" s="1"/>
  <c r="AV325" i="14"/>
  <c r="AG324" i="14"/>
  <c r="AH324" i="14" s="1"/>
  <c r="AI324" i="14" s="1"/>
  <c r="AJ324" i="14" s="1"/>
  <c r="BJ81" i="3"/>
  <c r="BP81" i="3" s="1"/>
  <c r="BG82" i="3"/>
  <c r="BM82" i="3" s="1"/>
  <c r="D79" i="26"/>
  <c r="D79" i="25"/>
  <c r="BH82" i="3"/>
  <c r="C80" i="26"/>
  <c r="C80" i="25"/>
  <c r="BI82" i="3"/>
  <c r="BE82" i="3"/>
  <c r="AW79" i="3"/>
  <c r="CF83" i="3"/>
  <c r="BC82" i="3"/>
  <c r="BN82" i="3" s="1"/>
  <c r="BR80" i="3"/>
  <c r="CI82" i="3"/>
  <c r="CJ82" i="3"/>
  <c r="AV82" i="3" s="1"/>
  <c r="BY83" i="3"/>
  <c r="DD242" i="3"/>
  <c r="D83" i="3"/>
  <c r="BF81" i="3"/>
  <c r="BQ81" i="3" s="1"/>
  <c r="BO81" i="3"/>
  <c r="AU81" i="3" s="1"/>
  <c r="C84" i="3"/>
  <c r="BK83" i="3"/>
  <c r="AY83" i="3"/>
  <c r="AH83" i="3"/>
  <c r="P80" i="26" s="1"/>
  <c r="BL83" i="3"/>
  <c r="AG83" i="3"/>
  <c r="O80" i="26" s="1"/>
  <c r="BW83" i="3"/>
  <c r="CI83" i="3" s="1"/>
  <c r="AJ83" i="3"/>
  <c r="R80" i="26" s="1"/>
  <c r="AI83" i="3"/>
  <c r="Q80" i="26" s="1"/>
  <c r="CM70" i="14" l="1"/>
  <c r="CG77" i="3" s="1"/>
  <c r="CE71" i="14"/>
  <c r="BD83" i="3"/>
  <c r="BV84" i="3"/>
  <c r="BU84" i="3"/>
  <c r="CJ70" i="14"/>
  <c r="CC77" i="3" s="1"/>
  <c r="AY73" i="14"/>
  <c r="CH73" i="14" s="1"/>
  <c r="BQ73" i="14"/>
  <c r="BR73" i="14" s="1"/>
  <c r="BS71" i="14"/>
  <c r="BZ71" i="14"/>
  <c r="CA71" i="14"/>
  <c r="CB71" i="14" s="1"/>
  <c r="CM71" i="14" s="1"/>
  <c r="CG78" i="3" s="1"/>
  <c r="BU71" i="14"/>
  <c r="BV71" i="14"/>
  <c r="BX71" i="14" s="1"/>
  <c r="CK71" i="14" s="1"/>
  <c r="CD78" i="3" s="1"/>
  <c r="BT71" i="14"/>
  <c r="BW71" i="14" s="1"/>
  <c r="AY72" i="14"/>
  <c r="BQ72" i="14"/>
  <c r="BR72" i="14" s="1"/>
  <c r="AX75" i="14"/>
  <c r="BN75" i="14"/>
  <c r="BO75" i="14" s="1"/>
  <c r="AK326" i="14"/>
  <c r="AL326" i="14" s="1"/>
  <c r="AM326" i="14" s="1"/>
  <c r="AN326" i="14" s="1"/>
  <c r="AO326" i="14" s="1"/>
  <c r="AP326" i="14" s="1"/>
  <c r="AQ326" i="14"/>
  <c r="AR326" i="14" s="1"/>
  <c r="AS326" i="14" s="1"/>
  <c r="AT326" i="14" s="1"/>
  <c r="AU326" i="14" s="1"/>
  <c r="AF326" i="14"/>
  <c r="AG326" i="14" s="1"/>
  <c r="AH326" i="14" s="1"/>
  <c r="AI326" i="14" s="1"/>
  <c r="AJ326" i="14" s="1"/>
  <c r="AZ326" i="14"/>
  <c r="AC326" i="14"/>
  <c r="BA326" i="14"/>
  <c r="BK326" i="14" s="1"/>
  <c r="BB327" i="14"/>
  <c r="BM327" i="14"/>
  <c r="AA327" i="14"/>
  <c r="BC327" i="14"/>
  <c r="BD327" i="14" s="1"/>
  <c r="AD327" i="14"/>
  <c r="AB327" i="14"/>
  <c r="BI327" i="14"/>
  <c r="BJ327" i="14" s="1"/>
  <c r="AW74" i="14"/>
  <c r="BE74" i="14"/>
  <c r="BG74" i="14" s="1"/>
  <c r="CD74" i="14"/>
  <c r="BV325" i="14"/>
  <c r="BX325" i="14" s="1"/>
  <c r="CA325" i="14"/>
  <c r="CB325" i="14" s="1"/>
  <c r="BT325" i="14"/>
  <c r="BW325" i="14" s="1"/>
  <c r="AW324" i="14"/>
  <c r="AY324" i="14" s="1"/>
  <c r="CF324" i="14" s="1"/>
  <c r="CK324" i="14" s="1"/>
  <c r="BA80" i="3" s="1"/>
  <c r="BE325" i="14"/>
  <c r="BG325" i="14" s="1"/>
  <c r="CD325" i="14"/>
  <c r="AG325" i="14"/>
  <c r="AH325" i="14" s="1"/>
  <c r="AI325" i="14" s="1"/>
  <c r="AJ325" i="14" s="1"/>
  <c r="Z328" i="14"/>
  <c r="AE328" i="14"/>
  <c r="AE77" i="14"/>
  <c r="Z77" i="14"/>
  <c r="AB76" i="14"/>
  <c r="BC76" i="14"/>
  <c r="BD76" i="14" s="1"/>
  <c r="BI76" i="14"/>
  <c r="BJ76" i="14" s="1"/>
  <c r="AA76" i="14"/>
  <c r="AX76" i="14" s="1"/>
  <c r="BB76" i="14"/>
  <c r="AD76" i="14"/>
  <c r="BM76" i="14"/>
  <c r="AK75" i="14"/>
  <c r="AL75" i="14" s="1"/>
  <c r="AM75" i="14" s="1"/>
  <c r="AN75" i="14" s="1"/>
  <c r="AO75" i="14" s="1"/>
  <c r="AP75" i="14" s="1"/>
  <c r="AC75" i="14"/>
  <c r="BA75" i="14"/>
  <c r="BK75" i="14" s="1"/>
  <c r="AF75" i="14"/>
  <c r="AQ75" i="14"/>
  <c r="AR75" i="14" s="1"/>
  <c r="AS75" i="14" s="1"/>
  <c r="AT75" i="14" s="1"/>
  <c r="AU75" i="14" s="1"/>
  <c r="AZ75" i="14"/>
  <c r="BZ325" i="14"/>
  <c r="BS325" i="14"/>
  <c r="BU325" i="14"/>
  <c r="AX326" i="14"/>
  <c r="BN326" i="14"/>
  <c r="BO326" i="14" s="1"/>
  <c r="BQ326" i="14"/>
  <c r="BR326" i="14" s="1"/>
  <c r="BR81" i="3"/>
  <c r="C81" i="26"/>
  <c r="C81" i="25"/>
  <c r="BI83" i="3"/>
  <c r="D80" i="25"/>
  <c r="D80" i="26"/>
  <c r="BH83" i="3"/>
  <c r="BG83" i="3"/>
  <c r="BM83" i="3" s="1"/>
  <c r="BE83" i="3"/>
  <c r="CK83" i="3"/>
  <c r="CF84" i="3"/>
  <c r="AW80" i="3"/>
  <c r="BJ82" i="3"/>
  <c r="BP82" i="3" s="1"/>
  <c r="BC83" i="3"/>
  <c r="BN83" i="3" s="1"/>
  <c r="BY84" i="3"/>
  <c r="CJ83" i="3"/>
  <c r="AV83" i="3" s="1"/>
  <c r="DD243" i="3"/>
  <c r="BF82" i="3"/>
  <c r="BQ82" i="3" s="1"/>
  <c r="D84" i="3"/>
  <c r="C85" i="3"/>
  <c r="BW84" i="3"/>
  <c r="CK84" i="3" s="1"/>
  <c r="BK84" i="3"/>
  <c r="AY84" i="3"/>
  <c r="AG84" i="3"/>
  <c r="O81" i="26" s="1"/>
  <c r="AH84" i="3"/>
  <c r="P81" i="26" s="1"/>
  <c r="AI84" i="3"/>
  <c r="Q81" i="26" s="1"/>
  <c r="BL84" i="3"/>
  <c r="AJ84" i="3"/>
  <c r="R81" i="26" s="1"/>
  <c r="BO82" i="3"/>
  <c r="AU82" i="3" s="1"/>
  <c r="CF73" i="14" l="1"/>
  <c r="CJ71" i="14"/>
  <c r="CC78" i="3" s="1"/>
  <c r="CE73" i="14"/>
  <c r="BD84" i="3"/>
  <c r="BU85" i="3"/>
  <c r="BV85" i="3"/>
  <c r="CH72" i="14"/>
  <c r="CF72" i="14"/>
  <c r="CE72" i="14"/>
  <c r="AW81" i="3"/>
  <c r="AY74" i="14"/>
  <c r="CF74" i="14" s="1"/>
  <c r="BQ74" i="14"/>
  <c r="BR74" i="14" s="1"/>
  <c r="BS73" i="14"/>
  <c r="BT73" i="14"/>
  <c r="BW73" i="14" s="1"/>
  <c r="BZ73" i="14"/>
  <c r="BV73" i="14"/>
  <c r="BX73" i="14" s="1"/>
  <c r="CK73" i="14" s="1"/>
  <c r="CD80" i="3" s="1"/>
  <c r="BU73" i="14"/>
  <c r="CA73" i="14"/>
  <c r="CB73" i="14" s="1"/>
  <c r="CM73" i="14" s="1"/>
  <c r="CG80" i="3" s="1"/>
  <c r="BU72" i="14"/>
  <c r="BT72" i="14"/>
  <c r="BW72" i="14" s="1"/>
  <c r="BZ72" i="14"/>
  <c r="BS72" i="14"/>
  <c r="CA72" i="14"/>
  <c r="CB72" i="14" s="1"/>
  <c r="BV72" i="14"/>
  <c r="BX72" i="14" s="1"/>
  <c r="AW325" i="14"/>
  <c r="AY325" i="14" s="1"/>
  <c r="CE325" i="14" s="1"/>
  <c r="CJ325" i="14" s="1"/>
  <c r="AZ81" i="3" s="1"/>
  <c r="CE324" i="14"/>
  <c r="CJ324" i="14" s="1"/>
  <c r="AZ80" i="3" s="1"/>
  <c r="AG75" i="14"/>
  <c r="AH75" i="14" s="1"/>
  <c r="AI75" i="14" s="1"/>
  <c r="AJ75" i="14" s="1"/>
  <c r="BN76" i="14"/>
  <c r="BO76" i="14" s="1"/>
  <c r="BM77" i="14"/>
  <c r="AA77" i="14"/>
  <c r="AV77" i="14" s="1"/>
  <c r="AB77" i="14"/>
  <c r="BC77" i="14"/>
  <c r="BD77" i="14" s="1"/>
  <c r="BI77" i="14"/>
  <c r="BJ77" i="14" s="1"/>
  <c r="AD77" i="14"/>
  <c r="BB77" i="14"/>
  <c r="BA327" i="14"/>
  <c r="BK327" i="14" s="1"/>
  <c r="AF327" i="14"/>
  <c r="AQ327" i="14"/>
  <c r="AR327" i="14" s="1"/>
  <c r="AS327" i="14" s="1"/>
  <c r="AT327" i="14" s="1"/>
  <c r="AU327" i="14" s="1"/>
  <c r="AZ327" i="14"/>
  <c r="AK327" i="14"/>
  <c r="AL327" i="14" s="1"/>
  <c r="AM327" i="14" s="1"/>
  <c r="AN327" i="14" s="1"/>
  <c r="AO327" i="14" s="1"/>
  <c r="AP327" i="14" s="1"/>
  <c r="AC327" i="14"/>
  <c r="CH324" i="14"/>
  <c r="CM324" i="14" s="1"/>
  <c r="BB80" i="3" s="1"/>
  <c r="AV327" i="14"/>
  <c r="Z329" i="14"/>
  <c r="AE78" i="14"/>
  <c r="AE329" i="14"/>
  <c r="Z78" i="14"/>
  <c r="BU326" i="14"/>
  <c r="BZ326" i="14"/>
  <c r="BS326" i="14"/>
  <c r="BE75" i="14"/>
  <c r="BG75" i="14" s="1"/>
  <c r="CD75" i="14"/>
  <c r="AX327" i="14"/>
  <c r="CD326" i="14"/>
  <c r="BE326" i="14"/>
  <c r="BG326" i="14" s="1"/>
  <c r="BI328" i="14"/>
  <c r="BJ328" i="14" s="1"/>
  <c r="AD328" i="14"/>
  <c r="BB328" i="14"/>
  <c r="AA328" i="14"/>
  <c r="AV328" i="14" s="1"/>
  <c r="BC328" i="14"/>
  <c r="BD328" i="14" s="1"/>
  <c r="AB328" i="14"/>
  <c r="BM328" i="14"/>
  <c r="BV326" i="14"/>
  <c r="BX326" i="14" s="1"/>
  <c r="BT326" i="14"/>
  <c r="BW326" i="14" s="1"/>
  <c r="CA326" i="14"/>
  <c r="CB326" i="14" s="1"/>
  <c r="AC76" i="14"/>
  <c r="BA76" i="14"/>
  <c r="BK76" i="14" s="1"/>
  <c r="AK76" i="14"/>
  <c r="AL76" i="14" s="1"/>
  <c r="AM76" i="14" s="1"/>
  <c r="AN76" i="14" s="1"/>
  <c r="AO76" i="14" s="1"/>
  <c r="AP76" i="14" s="1"/>
  <c r="AF76" i="14"/>
  <c r="AG76" i="14" s="1"/>
  <c r="AH76" i="14" s="1"/>
  <c r="AI76" i="14" s="1"/>
  <c r="AJ76" i="14" s="1"/>
  <c r="AQ76" i="14"/>
  <c r="AR76" i="14" s="1"/>
  <c r="AS76" i="14" s="1"/>
  <c r="AT76" i="14" s="1"/>
  <c r="AU76" i="14" s="1"/>
  <c r="AZ76" i="14"/>
  <c r="AW326" i="14"/>
  <c r="AY326" i="14" s="1"/>
  <c r="BN327" i="14"/>
  <c r="BO327" i="14" s="1"/>
  <c r="BQ327" i="14"/>
  <c r="BR327" i="14" s="1"/>
  <c r="AV76" i="14"/>
  <c r="C82" i="26"/>
  <c r="C82" i="25"/>
  <c r="BH84" i="3"/>
  <c r="D81" i="25"/>
  <c r="D81" i="26"/>
  <c r="BG84" i="3"/>
  <c r="BM84" i="3" s="1"/>
  <c r="BI84" i="3"/>
  <c r="BE84" i="3"/>
  <c r="CF85" i="3"/>
  <c r="BR82" i="3"/>
  <c r="DD244" i="3"/>
  <c r="BC84" i="3"/>
  <c r="BN84" i="3" s="1"/>
  <c r="BJ83" i="3"/>
  <c r="BP83" i="3" s="1"/>
  <c r="CJ84" i="3"/>
  <c r="AV84" i="3" s="1"/>
  <c r="CI84" i="3"/>
  <c r="BY85" i="3"/>
  <c r="BF83" i="3"/>
  <c r="BQ83" i="3" s="1"/>
  <c r="D85" i="3"/>
  <c r="BG85" i="3" s="1"/>
  <c r="C86" i="3"/>
  <c r="BL85" i="3"/>
  <c r="BW85" i="3"/>
  <c r="CK85" i="3" s="1"/>
  <c r="AY85" i="3"/>
  <c r="BD85" i="3" s="1"/>
  <c r="BK85" i="3"/>
  <c r="AJ85" i="3"/>
  <c r="R82" i="26" s="1"/>
  <c r="AG85" i="3"/>
  <c r="O82" i="26" s="1"/>
  <c r="AH85" i="3"/>
  <c r="P82" i="26" s="1"/>
  <c r="AI85" i="3"/>
  <c r="Q82" i="26" s="1"/>
  <c r="BO83" i="3"/>
  <c r="AU83" i="3" s="1"/>
  <c r="CK72" i="14" l="1"/>
  <c r="CD79" i="3" s="1"/>
  <c r="CJ73" i="14"/>
  <c r="CC80" i="3" s="1"/>
  <c r="CE74" i="14"/>
  <c r="CH74" i="14"/>
  <c r="CM72" i="14"/>
  <c r="CG79" i="3" s="1"/>
  <c r="BV86" i="3"/>
  <c r="BU86" i="3"/>
  <c r="CJ72" i="14"/>
  <c r="CC79" i="3" s="1"/>
  <c r="AW82" i="3"/>
  <c r="BT74" i="14"/>
  <c r="BW74" i="14" s="1"/>
  <c r="BU74" i="14"/>
  <c r="BS74" i="14"/>
  <c r="BZ74" i="14"/>
  <c r="BV74" i="14"/>
  <c r="BX74" i="14" s="1"/>
  <c r="CK74" i="14" s="1"/>
  <c r="CD81" i="3" s="1"/>
  <c r="CA74" i="14"/>
  <c r="CB74" i="14" s="1"/>
  <c r="CH325" i="14"/>
  <c r="CM325" i="14" s="1"/>
  <c r="BB81" i="3" s="1"/>
  <c r="CF325" i="14"/>
  <c r="CK325" i="14" s="1"/>
  <c r="BA81" i="3" s="1"/>
  <c r="BU327" i="14"/>
  <c r="BZ327" i="14"/>
  <c r="CH326" i="14"/>
  <c r="CM326" i="14" s="1"/>
  <c r="BB82" i="3" s="1"/>
  <c r="CF326" i="14"/>
  <c r="CK326" i="14" s="1"/>
  <c r="BA82" i="3" s="1"/>
  <c r="CE326" i="14"/>
  <c r="CJ326" i="14" s="1"/>
  <c r="AZ82" i="3" s="1"/>
  <c r="BN77" i="14"/>
  <c r="BO77" i="14" s="1"/>
  <c r="BS327" i="14"/>
  <c r="BT327" i="14"/>
  <c r="BW327" i="14" s="1"/>
  <c r="CA327" i="14"/>
  <c r="CB327" i="14" s="1"/>
  <c r="BV327" i="14"/>
  <c r="BX327" i="14" s="1"/>
  <c r="BQ328" i="14"/>
  <c r="BR328" i="14" s="1"/>
  <c r="BN328" i="14"/>
  <c r="BO328" i="14" s="1"/>
  <c r="AC328" i="14"/>
  <c r="AK328" i="14"/>
  <c r="AL328" i="14" s="1"/>
  <c r="AM328" i="14" s="1"/>
  <c r="AN328" i="14" s="1"/>
  <c r="AO328" i="14" s="1"/>
  <c r="AP328" i="14" s="1"/>
  <c r="AF328" i="14"/>
  <c r="AG328" i="14" s="1"/>
  <c r="AH328" i="14" s="1"/>
  <c r="AI328" i="14" s="1"/>
  <c r="AJ328" i="14" s="1"/>
  <c r="AZ328" i="14"/>
  <c r="BA328" i="14"/>
  <c r="BK328" i="14" s="1"/>
  <c r="AQ328" i="14"/>
  <c r="AR328" i="14" s="1"/>
  <c r="AS328" i="14" s="1"/>
  <c r="AT328" i="14" s="1"/>
  <c r="AU328" i="14" s="1"/>
  <c r="AB78" i="14"/>
  <c r="BC78" i="14"/>
  <c r="BD78" i="14" s="1"/>
  <c r="AA78" i="14"/>
  <c r="AX78" i="14" s="1"/>
  <c r="BI78" i="14"/>
  <c r="BJ78" i="14" s="1"/>
  <c r="BB78" i="14"/>
  <c r="AD78" i="14"/>
  <c r="BM78" i="14"/>
  <c r="AQ77" i="14"/>
  <c r="AR77" i="14" s="1"/>
  <c r="AS77" i="14" s="1"/>
  <c r="AT77" i="14" s="1"/>
  <c r="AU77" i="14" s="1"/>
  <c r="BA77" i="14"/>
  <c r="BK77" i="14" s="1"/>
  <c r="AC77" i="14"/>
  <c r="AZ77" i="14"/>
  <c r="AK77" i="14"/>
  <c r="AL77" i="14" s="1"/>
  <c r="AM77" i="14" s="1"/>
  <c r="AN77" i="14" s="1"/>
  <c r="AO77" i="14" s="1"/>
  <c r="AP77" i="14" s="1"/>
  <c r="AF77" i="14"/>
  <c r="AG77" i="14" s="1"/>
  <c r="AH77" i="14" s="1"/>
  <c r="AI77" i="14" s="1"/>
  <c r="AJ77" i="14" s="1"/>
  <c r="AW75" i="14"/>
  <c r="Z330" i="14"/>
  <c r="Z79" i="14"/>
  <c r="AE330" i="14"/>
  <c r="AE79" i="14"/>
  <c r="AW76" i="14"/>
  <c r="CD327" i="14"/>
  <c r="BE327" i="14"/>
  <c r="BG327" i="14" s="1"/>
  <c r="BE76" i="14"/>
  <c r="BG76" i="14" s="1"/>
  <c r="CD76" i="14"/>
  <c r="AX328" i="14"/>
  <c r="BB329" i="14"/>
  <c r="BM329" i="14"/>
  <c r="AB329" i="14"/>
  <c r="AD329" i="14"/>
  <c r="BC329" i="14"/>
  <c r="BD329" i="14" s="1"/>
  <c r="BI329" i="14"/>
  <c r="BJ329" i="14" s="1"/>
  <c r="AA329" i="14"/>
  <c r="AV329" i="14" s="1"/>
  <c r="AG327" i="14"/>
  <c r="AH327" i="14" s="1"/>
  <c r="AI327" i="14" s="1"/>
  <c r="AJ327" i="14" s="1"/>
  <c r="AX77" i="14"/>
  <c r="BH85" i="3"/>
  <c r="C83" i="25"/>
  <c r="C83" i="26"/>
  <c r="BI85" i="3"/>
  <c r="D82" i="25"/>
  <c r="D82" i="26"/>
  <c r="BE85" i="3"/>
  <c r="CF86" i="3"/>
  <c r="BC85" i="3"/>
  <c r="BN85" i="3" s="1"/>
  <c r="DD245" i="3"/>
  <c r="BR83" i="3"/>
  <c r="BY86" i="3"/>
  <c r="CJ85" i="3"/>
  <c r="AV85" i="3" s="1"/>
  <c r="CI85" i="3"/>
  <c r="BJ84" i="3"/>
  <c r="BP84" i="3" s="1"/>
  <c r="BM85" i="3"/>
  <c r="BF84" i="3"/>
  <c r="BQ84" i="3" s="1"/>
  <c r="D86" i="3"/>
  <c r="BO84" i="3"/>
  <c r="AU84" i="3" s="1"/>
  <c r="C87" i="3"/>
  <c r="BK86" i="3"/>
  <c r="BL86" i="3"/>
  <c r="AI86" i="3"/>
  <c r="Q83" i="26" s="1"/>
  <c r="BW86" i="3"/>
  <c r="CJ86" i="3" s="1"/>
  <c r="AV86" i="3" s="1"/>
  <c r="AY86" i="3"/>
  <c r="AG86" i="3"/>
  <c r="O83" i="26" s="1"/>
  <c r="AJ86" i="3"/>
  <c r="R83" i="26" s="1"/>
  <c r="AH86" i="3"/>
  <c r="P83" i="26" s="1"/>
  <c r="BD86" i="3" l="1"/>
  <c r="CJ74" i="14"/>
  <c r="CC81" i="3" s="1"/>
  <c r="CM74" i="14"/>
  <c r="CG81" i="3" s="1"/>
  <c r="BV87" i="3"/>
  <c r="BU87" i="3"/>
  <c r="AY76" i="14"/>
  <c r="CE76" i="14" s="1"/>
  <c r="BQ76" i="14"/>
  <c r="BR76" i="14" s="1"/>
  <c r="AY75" i="14"/>
  <c r="CE75" i="14" s="1"/>
  <c r="BQ75" i="14"/>
  <c r="BR75" i="14" s="1"/>
  <c r="AX329" i="14"/>
  <c r="AV78" i="14"/>
  <c r="AW327" i="14"/>
  <c r="AY327" i="14" s="1"/>
  <c r="CH327" i="14" s="1"/>
  <c r="CM327" i="14" s="1"/>
  <c r="BB83" i="3" s="1"/>
  <c r="BM330" i="14"/>
  <c r="AD330" i="14"/>
  <c r="BB330" i="14"/>
  <c r="AA330" i="14"/>
  <c r="AX330" i="14" s="1"/>
  <c r="BI330" i="14"/>
  <c r="BJ330" i="14" s="1"/>
  <c r="AB330" i="14"/>
  <c r="BC330" i="14"/>
  <c r="BD330" i="14" s="1"/>
  <c r="BV328" i="14"/>
  <c r="BX328" i="14" s="1"/>
  <c r="BT328" i="14"/>
  <c r="BW328" i="14" s="1"/>
  <c r="CA328" i="14"/>
  <c r="CB328" i="14" s="1"/>
  <c r="AC329" i="14"/>
  <c r="AZ329" i="14"/>
  <c r="AQ329" i="14"/>
  <c r="AR329" i="14" s="1"/>
  <c r="AS329" i="14" s="1"/>
  <c r="AT329" i="14" s="1"/>
  <c r="AU329" i="14" s="1"/>
  <c r="BA329" i="14"/>
  <c r="BK329" i="14" s="1"/>
  <c r="AF329" i="14"/>
  <c r="AG329" i="14" s="1"/>
  <c r="AH329" i="14" s="1"/>
  <c r="AI329" i="14" s="1"/>
  <c r="AJ329" i="14" s="1"/>
  <c r="AK329" i="14"/>
  <c r="AL329" i="14" s="1"/>
  <c r="AM329" i="14" s="1"/>
  <c r="AN329" i="14" s="1"/>
  <c r="AO329" i="14" s="1"/>
  <c r="AP329" i="14" s="1"/>
  <c r="AE331" i="14"/>
  <c r="AE80" i="14"/>
  <c r="Z80" i="14"/>
  <c r="Z331" i="14"/>
  <c r="BN329" i="14"/>
  <c r="BO329" i="14" s="1"/>
  <c r="BQ329" i="14"/>
  <c r="BR329" i="14" s="1"/>
  <c r="CD77" i="14"/>
  <c r="BE77" i="14"/>
  <c r="BG77" i="14" s="1"/>
  <c r="BM79" i="14"/>
  <c r="BC79" i="14"/>
  <c r="BD79" i="14" s="1"/>
  <c r="BI79" i="14"/>
  <c r="BJ79" i="14" s="1"/>
  <c r="AA79" i="14"/>
  <c r="AV79" i="14" s="1"/>
  <c r="AB79" i="14"/>
  <c r="AD79" i="14"/>
  <c r="BB79" i="14"/>
  <c r="AW77" i="14"/>
  <c r="BS328" i="14"/>
  <c r="BZ328" i="14"/>
  <c r="BU328" i="14"/>
  <c r="BN78" i="14"/>
  <c r="BO78" i="14" s="1"/>
  <c r="CD328" i="14"/>
  <c r="BE328" i="14"/>
  <c r="BG328" i="14" s="1"/>
  <c r="BA78" i="14"/>
  <c r="BK78" i="14" s="1"/>
  <c r="AQ78" i="14"/>
  <c r="AR78" i="14" s="1"/>
  <c r="AS78" i="14" s="1"/>
  <c r="AT78" i="14" s="1"/>
  <c r="AU78" i="14" s="1"/>
  <c r="AK78" i="14"/>
  <c r="AL78" i="14" s="1"/>
  <c r="AM78" i="14" s="1"/>
  <c r="AN78" i="14" s="1"/>
  <c r="AO78" i="14" s="1"/>
  <c r="AP78" i="14" s="1"/>
  <c r="AZ78" i="14"/>
  <c r="AF78" i="14"/>
  <c r="AG78" i="14" s="1"/>
  <c r="AH78" i="14" s="1"/>
  <c r="AI78" i="14" s="1"/>
  <c r="AJ78" i="14" s="1"/>
  <c r="AC78" i="14"/>
  <c r="AW328" i="14"/>
  <c r="AY328" i="14" s="1"/>
  <c r="BH86" i="3"/>
  <c r="D83" i="26"/>
  <c r="D83" i="25"/>
  <c r="C84" i="26"/>
  <c r="C84" i="25"/>
  <c r="BI86" i="3"/>
  <c r="BG86" i="3"/>
  <c r="BM86" i="3" s="1"/>
  <c r="BE86" i="3"/>
  <c r="AW83" i="3"/>
  <c r="CF87" i="3"/>
  <c r="CK86" i="3"/>
  <c r="BJ85" i="3"/>
  <c r="BP85" i="3" s="1"/>
  <c r="BC86" i="3"/>
  <c r="BN86" i="3" s="1"/>
  <c r="CI86" i="3"/>
  <c r="BY87" i="3"/>
  <c r="BR84" i="3"/>
  <c r="DD246" i="3"/>
  <c r="D87" i="3"/>
  <c r="BF85" i="3"/>
  <c r="BQ85" i="3" s="1"/>
  <c r="C88" i="3"/>
  <c r="BW87" i="3"/>
  <c r="CI87" i="3" s="1"/>
  <c r="BL87" i="3"/>
  <c r="BK87" i="3"/>
  <c r="AY87" i="3"/>
  <c r="AH87" i="3"/>
  <c r="P84" i="26" s="1"/>
  <c r="AG87" i="3"/>
  <c r="O84" i="26" s="1"/>
  <c r="AI87" i="3"/>
  <c r="Q84" i="26" s="1"/>
  <c r="AJ87" i="3"/>
  <c r="R84" i="26" s="1"/>
  <c r="BO85" i="3"/>
  <c r="AU85" i="3" s="1"/>
  <c r="CH76" i="14" l="1"/>
  <c r="CF76" i="14"/>
  <c r="CF327" i="14"/>
  <c r="CK327" i="14" s="1"/>
  <c r="BA83" i="3" s="1"/>
  <c r="CH75" i="14"/>
  <c r="BD87" i="3"/>
  <c r="BV88" i="3"/>
  <c r="BU88" i="3"/>
  <c r="CE327" i="14"/>
  <c r="CJ327" i="14" s="1"/>
  <c r="AZ83" i="3" s="1"/>
  <c r="CF75" i="14"/>
  <c r="AY77" i="14"/>
  <c r="CH77" i="14" s="1"/>
  <c r="BQ77" i="14"/>
  <c r="BR77" i="14" s="1"/>
  <c r="BU76" i="14"/>
  <c r="CA76" i="14"/>
  <c r="CB76" i="14" s="1"/>
  <c r="CM76" i="14" s="1"/>
  <c r="CG83" i="3" s="1"/>
  <c r="BZ76" i="14"/>
  <c r="BS76" i="14"/>
  <c r="BV76" i="14"/>
  <c r="BX76" i="14" s="1"/>
  <c r="BT76" i="14"/>
  <c r="BW76" i="14" s="1"/>
  <c r="CJ76" i="14" s="1"/>
  <c r="CC83" i="3" s="1"/>
  <c r="CA75" i="14"/>
  <c r="CB75" i="14" s="1"/>
  <c r="BS75" i="14"/>
  <c r="BV75" i="14"/>
  <c r="BX75" i="14" s="1"/>
  <c r="BZ75" i="14"/>
  <c r="BT75" i="14"/>
  <c r="BW75" i="14" s="1"/>
  <c r="CJ75" i="14" s="1"/>
  <c r="CC82" i="3" s="1"/>
  <c r="BU75" i="14"/>
  <c r="CD78" i="14"/>
  <c r="BE78" i="14"/>
  <c r="BG78" i="14" s="1"/>
  <c r="AZ79" i="14"/>
  <c r="AQ79" i="14"/>
  <c r="AR79" i="14" s="1"/>
  <c r="AS79" i="14" s="1"/>
  <c r="AT79" i="14" s="1"/>
  <c r="AU79" i="14" s="1"/>
  <c r="AF79" i="14"/>
  <c r="AG79" i="14" s="1"/>
  <c r="AH79" i="14" s="1"/>
  <c r="AI79" i="14" s="1"/>
  <c r="AJ79" i="14" s="1"/>
  <c r="AC79" i="14"/>
  <c r="BA79" i="14"/>
  <c r="BK79" i="14" s="1"/>
  <c r="AK79" i="14"/>
  <c r="AL79" i="14" s="1"/>
  <c r="AM79" i="14" s="1"/>
  <c r="AN79" i="14" s="1"/>
  <c r="AO79" i="14" s="1"/>
  <c r="AP79" i="14" s="1"/>
  <c r="AC330" i="14"/>
  <c r="AZ330" i="14"/>
  <c r="AK330" i="14"/>
  <c r="AL330" i="14" s="1"/>
  <c r="AM330" i="14" s="1"/>
  <c r="AN330" i="14" s="1"/>
  <c r="AO330" i="14" s="1"/>
  <c r="AP330" i="14" s="1"/>
  <c r="AQ330" i="14"/>
  <c r="AR330" i="14" s="1"/>
  <c r="AS330" i="14" s="1"/>
  <c r="AT330" i="14" s="1"/>
  <c r="AU330" i="14" s="1"/>
  <c r="AF330" i="14"/>
  <c r="AG330" i="14" s="1"/>
  <c r="AH330" i="14" s="1"/>
  <c r="AI330" i="14" s="1"/>
  <c r="AJ330" i="14" s="1"/>
  <c r="BA330" i="14"/>
  <c r="BK330" i="14" s="1"/>
  <c r="Z332" i="14"/>
  <c r="AE332" i="14"/>
  <c r="AE81" i="14"/>
  <c r="Z81" i="14"/>
  <c r="AW78" i="14"/>
  <c r="CE328" i="14"/>
  <c r="CJ328" i="14" s="1"/>
  <c r="AZ84" i="3" s="1"/>
  <c r="CH328" i="14"/>
  <c r="CM328" i="14" s="1"/>
  <c r="BB84" i="3" s="1"/>
  <c r="CF328" i="14"/>
  <c r="CK328" i="14" s="1"/>
  <c r="BA84" i="3" s="1"/>
  <c r="BN79" i="14"/>
  <c r="BO79" i="14" s="1"/>
  <c r="BS329" i="14"/>
  <c r="BU329" i="14"/>
  <c r="BZ329" i="14"/>
  <c r="BE329" i="14"/>
  <c r="BG329" i="14" s="1"/>
  <c r="CD329" i="14"/>
  <c r="BB331" i="14"/>
  <c r="BM331" i="14"/>
  <c r="AA331" i="14"/>
  <c r="AD331" i="14"/>
  <c r="BC331" i="14"/>
  <c r="BD331" i="14" s="1"/>
  <c r="BI331" i="14"/>
  <c r="BJ331" i="14" s="1"/>
  <c r="AB331" i="14"/>
  <c r="BN330" i="14"/>
  <c r="BO330" i="14" s="1"/>
  <c r="BQ330" i="14"/>
  <c r="BR330" i="14" s="1"/>
  <c r="AB80" i="14"/>
  <c r="BI80" i="14"/>
  <c r="BJ80" i="14" s="1"/>
  <c r="BC80" i="14"/>
  <c r="BD80" i="14" s="1"/>
  <c r="AA80" i="14"/>
  <c r="AX80" i="14" s="1"/>
  <c r="BB80" i="14"/>
  <c r="BM80" i="14"/>
  <c r="AD80" i="14"/>
  <c r="AW329" i="14"/>
  <c r="AY329" i="14" s="1"/>
  <c r="AX79" i="14"/>
  <c r="AV330" i="14"/>
  <c r="BV329" i="14"/>
  <c r="BX329" i="14" s="1"/>
  <c r="CA329" i="14"/>
  <c r="CB329" i="14" s="1"/>
  <c r="BT329" i="14"/>
  <c r="BW329" i="14" s="1"/>
  <c r="C85" i="26"/>
  <c r="C85" i="25"/>
  <c r="BH87" i="3"/>
  <c r="D84" i="25"/>
  <c r="D84" i="26"/>
  <c r="BI87" i="3"/>
  <c r="BG87" i="3"/>
  <c r="BM87" i="3" s="1"/>
  <c r="BE87" i="3"/>
  <c r="AW84" i="3"/>
  <c r="CF88" i="3"/>
  <c r="CK87" i="3"/>
  <c r="BR85" i="3"/>
  <c r="BC87" i="3"/>
  <c r="BN87" i="3" s="1"/>
  <c r="CJ87" i="3"/>
  <c r="AV87" i="3" s="1"/>
  <c r="BY88" i="3"/>
  <c r="DD247" i="3"/>
  <c r="BJ86" i="3"/>
  <c r="BP86" i="3" s="1"/>
  <c r="BF86" i="3"/>
  <c r="BQ86" i="3" s="1"/>
  <c r="D88" i="3"/>
  <c r="C89" i="3"/>
  <c r="BK88" i="3"/>
  <c r="AY88" i="3"/>
  <c r="BW88" i="3"/>
  <c r="CJ88" i="3" s="1"/>
  <c r="AV88" i="3" s="1"/>
  <c r="BL88" i="3"/>
  <c r="AG88" i="3"/>
  <c r="O85" i="26" s="1"/>
  <c r="AH88" i="3"/>
  <c r="P85" i="26" s="1"/>
  <c r="AI88" i="3"/>
  <c r="Q85" i="26" s="1"/>
  <c r="AJ88" i="3"/>
  <c r="R85" i="26" s="1"/>
  <c r="BO86" i="3"/>
  <c r="AU86" i="3" s="1"/>
  <c r="CE77" i="14" l="1"/>
  <c r="CF77" i="14"/>
  <c r="CK76" i="14"/>
  <c r="CD83" i="3" s="1"/>
  <c r="CM75" i="14"/>
  <c r="CG82" i="3" s="1"/>
  <c r="BD88" i="3"/>
  <c r="CK75" i="14"/>
  <c r="CD82" i="3" s="1"/>
  <c r="BU89" i="3"/>
  <c r="BV89" i="3"/>
  <c r="AY78" i="14"/>
  <c r="CF78" i="14" s="1"/>
  <c r="BQ78" i="14"/>
  <c r="BR78" i="14" s="1"/>
  <c r="BZ77" i="14"/>
  <c r="CA77" i="14"/>
  <c r="CB77" i="14" s="1"/>
  <c r="CM77" i="14" s="1"/>
  <c r="CG84" i="3" s="1"/>
  <c r="BU77" i="14"/>
  <c r="BS77" i="14"/>
  <c r="BV77" i="14"/>
  <c r="BX77" i="14" s="1"/>
  <c r="BT77" i="14"/>
  <c r="BW77" i="14" s="1"/>
  <c r="CH78" i="14"/>
  <c r="BC332" i="14"/>
  <c r="BD332" i="14" s="1"/>
  <c r="BI332" i="14"/>
  <c r="BJ332" i="14" s="1"/>
  <c r="AD332" i="14"/>
  <c r="BM332" i="14"/>
  <c r="AB332" i="14"/>
  <c r="BB332" i="14"/>
  <c r="AA332" i="14"/>
  <c r="AV332" i="14" s="1"/>
  <c r="BE330" i="14"/>
  <c r="BG330" i="14" s="1"/>
  <c r="CD330" i="14"/>
  <c r="BE79" i="14"/>
  <c r="BG79" i="14" s="1"/>
  <c r="CD79" i="14"/>
  <c r="BM81" i="14"/>
  <c r="AB81" i="14"/>
  <c r="BI81" i="14"/>
  <c r="BJ81" i="14" s="1"/>
  <c r="AA81" i="14"/>
  <c r="AX81" i="14" s="1"/>
  <c r="BC81" i="14"/>
  <c r="BD81" i="14" s="1"/>
  <c r="BB81" i="14"/>
  <c r="AD81" i="14"/>
  <c r="AW330" i="14"/>
  <c r="AY330" i="14" s="1"/>
  <c r="AV331" i="14"/>
  <c r="AK331" i="14"/>
  <c r="AL331" i="14" s="1"/>
  <c r="AM331" i="14" s="1"/>
  <c r="AN331" i="14" s="1"/>
  <c r="AO331" i="14" s="1"/>
  <c r="AP331" i="14" s="1"/>
  <c r="BA331" i="14"/>
  <c r="BK331" i="14" s="1"/>
  <c r="AF331" i="14"/>
  <c r="AG331" i="14" s="1"/>
  <c r="AH331" i="14" s="1"/>
  <c r="AI331" i="14" s="1"/>
  <c r="AJ331" i="14" s="1"/>
  <c r="AC331" i="14"/>
  <c r="AQ331" i="14"/>
  <c r="AR331" i="14" s="1"/>
  <c r="AS331" i="14" s="1"/>
  <c r="AT331" i="14" s="1"/>
  <c r="AU331" i="14" s="1"/>
  <c r="AZ331" i="14"/>
  <c r="AK80" i="14"/>
  <c r="AL80" i="14" s="1"/>
  <c r="AM80" i="14" s="1"/>
  <c r="AN80" i="14" s="1"/>
  <c r="AO80" i="14" s="1"/>
  <c r="AP80" i="14" s="1"/>
  <c r="AC80" i="14"/>
  <c r="BA80" i="14"/>
  <c r="BK80" i="14" s="1"/>
  <c r="AZ80" i="14"/>
  <c r="AF80" i="14"/>
  <c r="AG80" i="14" s="1"/>
  <c r="AH80" i="14" s="1"/>
  <c r="AI80" i="14" s="1"/>
  <c r="AJ80" i="14" s="1"/>
  <c r="AQ80" i="14"/>
  <c r="AR80" i="14" s="1"/>
  <c r="AS80" i="14" s="1"/>
  <c r="AT80" i="14" s="1"/>
  <c r="AU80" i="14" s="1"/>
  <c r="BT330" i="14"/>
  <c r="BW330" i="14" s="1"/>
  <c r="CA330" i="14"/>
  <c r="CB330" i="14" s="1"/>
  <c r="BV330" i="14"/>
  <c r="BX330" i="14" s="1"/>
  <c r="AX331" i="14"/>
  <c r="BN331" i="14"/>
  <c r="BO331" i="14" s="1"/>
  <c r="BQ331" i="14"/>
  <c r="BR331" i="14" s="1"/>
  <c r="AW79" i="14"/>
  <c r="Z82" i="14"/>
  <c r="AE333" i="14"/>
  <c r="Z333" i="14"/>
  <c r="AE82" i="14"/>
  <c r="AV80" i="14"/>
  <c r="BN80" i="14"/>
  <c r="BO80" i="14" s="1"/>
  <c r="BZ330" i="14"/>
  <c r="BS330" i="14"/>
  <c r="BU330" i="14"/>
  <c r="CH329" i="14"/>
  <c r="CM329" i="14" s="1"/>
  <c r="BB85" i="3" s="1"/>
  <c r="CF329" i="14"/>
  <c r="CK329" i="14" s="1"/>
  <c r="BA85" i="3" s="1"/>
  <c r="CE329" i="14"/>
  <c r="CJ329" i="14" s="1"/>
  <c r="AZ85" i="3" s="1"/>
  <c r="CE78" i="14"/>
  <c r="C86" i="26"/>
  <c r="C86" i="25"/>
  <c r="BI88" i="3"/>
  <c r="D85" i="25"/>
  <c r="D85" i="26"/>
  <c r="BG88" i="3"/>
  <c r="BM88" i="3" s="1"/>
  <c r="BH88" i="3"/>
  <c r="BE88" i="3"/>
  <c r="AW85" i="3"/>
  <c r="CF89" i="3"/>
  <c r="CK88" i="3"/>
  <c r="BC88" i="3"/>
  <c r="BN88" i="3" s="1"/>
  <c r="BJ87" i="3"/>
  <c r="BP87" i="3" s="1"/>
  <c r="BY89" i="3"/>
  <c r="CI88" i="3"/>
  <c r="BR86" i="3"/>
  <c r="DD248" i="3"/>
  <c r="D89" i="3"/>
  <c r="BF87" i="3"/>
  <c r="BQ87" i="3" s="1"/>
  <c r="C90" i="3"/>
  <c r="BK89" i="3"/>
  <c r="AY89" i="3"/>
  <c r="BD89" i="3" s="1"/>
  <c r="BW89" i="3"/>
  <c r="CI89" i="3" s="1"/>
  <c r="BL89" i="3"/>
  <c r="AJ89" i="3"/>
  <c r="R86" i="26" s="1"/>
  <c r="AG89" i="3"/>
  <c r="O86" i="26" s="1"/>
  <c r="AI89" i="3"/>
  <c r="Q86" i="26" s="1"/>
  <c r="AH89" i="3"/>
  <c r="P86" i="26" s="1"/>
  <c r="BO87" i="3"/>
  <c r="AU87" i="3" s="1"/>
  <c r="CJ77" i="14" l="1"/>
  <c r="CC84" i="3" s="1"/>
  <c r="CK77" i="14"/>
  <c r="CD84" i="3" s="1"/>
  <c r="BV90" i="3"/>
  <c r="BU90" i="3"/>
  <c r="AY79" i="14"/>
  <c r="CE79" i="14" s="1"/>
  <c r="BQ79" i="14"/>
  <c r="BR79" i="14" s="1"/>
  <c r="BZ78" i="14"/>
  <c r="BU78" i="14"/>
  <c r="BS78" i="14"/>
  <c r="BT78" i="14"/>
  <c r="BW78" i="14" s="1"/>
  <c r="CJ78" i="14" s="1"/>
  <c r="CC85" i="3" s="1"/>
  <c r="CA78" i="14"/>
  <c r="CB78" i="14" s="1"/>
  <c r="CM78" i="14" s="1"/>
  <c r="CG85" i="3" s="1"/>
  <c r="BV78" i="14"/>
  <c r="BX78" i="14" s="1"/>
  <c r="CK78" i="14" s="1"/>
  <c r="CD85" i="3" s="1"/>
  <c r="AV81" i="14"/>
  <c r="CF330" i="14"/>
  <c r="CK330" i="14" s="1"/>
  <c r="BA86" i="3" s="1"/>
  <c r="BZ331" i="14"/>
  <c r="BS331" i="14"/>
  <c r="AK332" i="14"/>
  <c r="AL332" i="14" s="1"/>
  <c r="AM332" i="14" s="1"/>
  <c r="AN332" i="14" s="1"/>
  <c r="AO332" i="14" s="1"/>
  <c r="AP332" i="14" s="1"/>
  <c r="AZ332" i="14"/>
  <c r="AC332" i="14"/>
  <c r="BA332" i="14"/>
  <c r="BK332" i="14" s="1"/>
  <c r="AF332" i="14"/>
  <c r="AG332" i="14" s="1"/>
  <c r="AH332" i="14" s="1"/>
  <c r="AI332" i="14" s="1"/>
  <c r="AJ332" i="14" s="1"/>
  <c r="AQ332" i="14"/>
  <c r="AR332" i="14" s="1"/>
  <c r="AS332" i="14" s="1"/>
  <c r="AT332" i="14" s="1"/>
  <c r="AU332" i="14" s="1"/>
  <c r="AB82" i="14"/>
  <c r="BC82" i="14"/>
  <c r="BD82" i="14" s="1"/>
  <c r="BI82" i="14"/>
  <c r="BJ82" i="14" s="1"/>
  <c r="AA82" i="14"/>
  <c r="AX82" i="14" s="1"/>
  <c r="BB82" i="14"/>
  <c r="AD82" i="14"/>
  <c r="BM82" i="14"/>
  <c r="BM333" i="14"/>
  <c r="AB333" i="14"/>
  <c r="AD333" i="14"/>
  <c r="BB333" i="14"/>
  <c r="BI333" i="14"/>
  <c r="BJ333" i="14" s="1"/>
  <c r="AA333" i="14"/>
  <c r="AV333" i="14" s="1"/>
  <c r="BC333" i="14"/>
  <c r="BD333" i="14" s="1"/>
  <c r="BU331" i="14"/>
  <c r="CA331" i="14"/>
  <c r="CB331" i="14" s="1"/>
  <c r="BV331" i="14"/>
  <c r="BX331" i="14" s="1"/>
  <c r="BT331" i="14"/>
  <c r="BW331" i="14" s="1"/>
  <c r="AW80" i="14"/>
  <c r="CD80" i="14"/>
  <c r="BE80" i="14"/>
  <c r="BG80" i="14" s="1"/>
  <c r="AW331" i="14"/>
  <c r="AY331" i="14" s="1"/>
  <c r="BN81" i="14"/>
  <c r="BO81" i="14" s="1"/>
  <c r="AX332" i="14"/>
  <c r="AE334" i="14"/>
  <c r="Z83" i="14"/>
  <c r="Z334" i="14"/>
  <c r="AE83" i="14"/>
  <c r="BE331" i="14"/>
  <c r="BG331" i="14" s="1"/>
  <c r="CD331" i="14"/>
  <c r="AF81" i="14"/>
  <c r="BA81" i="14"/>
  <c r="BK81" i="14" s="1"/>
  <c r="AZ81" i="14"/>
  <c r="AQ81" i="14"/>
  <c r="AR81" i="14" s="1"/>
  <c r="AS81" i="14" s="1"/>
  <c r="AT81" i="14" s="1"/>
  <c r="AU81" i="14" s="1"/>
  <c r="AK81" i="14"/>
  <c r="AL81" i="14" s="1"/>
  <c r="AM81" i="14" s="1"/>
  <c r="AN81" i="14" s="1"/>
  <c r="AO81" i="14" s="1"/>
  <c r="AP81" i="14" s="1"/>
  <c r="AC81" i="14"/>
  <c r="BQ332" i="14"/>
  <c r="BR332" i="14" s="1"/>
  <c r="BN332" i="14"/>
  <c r="BO332" i="14" s="1"/>
  <c r="CE330" i="14"/>
  <c r="CJ330" i="14" s="1"/>
  <c r="AZ86" i="3" s="1"/>
  <c r="CH330" i="14"/>
  <c r="CM330" i="14" s="1"/>
  <c r="BB86" i="3" s="1"/>
  <c r="C87" i="25"/>
  <c r="C87" i="26"/>
  <c r="BG89" i="3"/>
  <c r="BM89" i="3" s="1"/>
  <c r="D86" i="25"/>
  <c r="D86" i="26"/>
  <c r="BI89" i="3"/>
  <c r="BH89" i="3"/>
  <c r="BE89" i="3"/>
  <c r="AW86" i="3"/>
  <c r="CF90" i="3"/>
  <c r="CK89" i="3"/>
  <c r="BC89" i="3"/>
  <c r="BN89" i="3" s="1"/>
  <c r="BR87" i="3"/>
  <c r="BY90" i="3"/>
  <c r="CJ89" i="3"/>
  <c r="AV89" i="3" s="1"/>
  <c r="BJ88" i="3"/>
  <c r="BP88" i="3" s="1"/>
  <c r="DD249" i="3"/>
  <c r="BF88" i="3"/>
  <c r="BQ88" i="3" s="1"/>
  <c r="D90" i="3"/>
  <c r="DD250" i="3" s="1"/>
  <c r="BO88" i="3"/>
  <c r="AU88" i="3" s="1"/>
  <c r="C91" i="3"/>
  <c r="BW90" i="3"/>
  <c r="CK90" i="3" s="1"/>
  <c r="BL90" i="3"/>
  <c r="BK90" i="3"/>
  <c r="AY90" i="3"/>
  <c r="AI90" i="3"/>
  <c r="Q87" i="26" s="1"/>
  <c r="AG90" i="3"/>
  <c r="O87" i="26" s="1"/>
  <c r="AH90" i="3"/>
  <c r="P87" i="26" s="1"/>
  <c r="AJ90" i="3"/>
  <c r="R87" i="26" s="1"/>
  <c r="BD90" i="3" l="1"/>
  <c r="CF79" i="14"/>
  <c r="CH79" i="14"/>
  <c r="BU91" i="3"/>
  <c r="BV91" i="3"/>
  <c r="BU79" i="14"/>
  <c r="CA79" i="14"/>
  <c r="CB79" i="14" s="1"/>
  <c r="BZ79" i="14"/>
  <c r="BV79" i="14"/>
  <c r="BX79" i="14" s="1"/>
  <c r="BT79" i="14"/>
  <c r="BW79" i="14" s="1"/>
  <c r="CJ79" i="14" s="1"/>
  <c r="CC86" i="3" s="1"/>
  <c r="BS79" i="14"/>
  <c r="AY80" i="14"/>
  <c r="CH80" i="14" s="1"/>
  <c r="BQ80" i="14"/>
  <c r="BR80" i="14" s="1"/>
  <c r="AV82" i="14"/>
  <c r="CD332" i="14"/>
  <c r="BE332" i="14"/>
  <c r="BG332" i="14" s="1"/>
  <c r="CF331" i="14"/>
  <c r="CK331" i="14" s="1"/>
  <c r="BA87" i="3" s="1"/>
  <c r="CE331" i="14"/>
  <c r="CJ331" i="14" s="1"/>
  <c r="AZ87" i="3" s="1"/>
  <c r="AD334" i="14"/>
  <c r="BB334" i="14"/>
  <c r="BM334" i="14"/>
  <c r="BI334" i="14"/>
  <c r="BJ334" i="14" s="1"/>
  <c r="AB334" i="14"/>
  <c r="BC334" i="14"/>
  <c r="BD334" i="14" s="1"/>
  <c r="AA334" i="14"/>
  <c r="AX334" i="14" s="1"/>
  <c r="AK333" i="14"/>
  <c r="AL333" i="14" s="1"/>
  <c r="AM333" i="14" s="1"/>
  <c r="AN333" i="14" s="1"/>
  <c r="AO333" i="14" s="1"/>
  <c r="AP333" i="14" s="1"/>
  <c r="BA333" i="14"/>
  <c r="BK333" i="14" s="1"/>
  <c r="AZ333" i="14"/>
  <c r="AC333" i="14"/>
  <c r="AF333" i="14"/>
  <c r="AQ333" i="14"/>
  <c r="AR333" i="14" s="1"/>
  <c r="AS333" i="14" s="1"/>
  <c r="AT333" i="14" s="1"/>
  <c r="AU333" i="14" s="1"/>
  <c r="AE335" i="14"/>
  <c r="AE84" i="14"/>
  <c r="Z84" i="14"/>
  <c r="Z335" i="14"/>
  <c r="BS332" i="14"/>
  <c r="BZ332" i="14"/>
  <c r="BU332" i="14"/>
  <c r="AG81" i="14"/>
  <c r="AH81" i="14" s="1"/>
  <c r="AI81" i="14" s="1"/>
  <c r="AJ81" i="14" s="1"/>
  <c r="CD81" i="14"/>
  <c r="BE81" i="14"/>
  <c r="BG81" i="14" s="1"/>
  <c r="BM83" i="14"/>
  <c r="AA83" i="14"/>
  <c r="AX83" i="14" s="1"/>
  <c r="AB83" i="14"/>
  <c r="BI83" i="14"/>
  <c r="BJ83" i="14" s="1"/>
  <c r="BC83" i="14"/>
  <c r="BD83" i="14" s="1"/>
  <c r="BB83" i="14"/>
  <c r="AD83" i="14"/>
  <c r="BN333" i="14"/>
  <c r="BO333" i="14" s="1"/>
  <c r="BQ333" i="14"/>
  <c r="BR333" i="14" s="1"/>
  <c r="BN82" i="14"/>
  <c r="BO82" i="14" s="1"/>
  <c r="AC82" i="14"/>
  <c r="AZ82" i="14"/>
  <c r="AK82" i="14"/>
  <c r="AL82" i="14" s="1"/>
  <c r="AM82" i="14" s="1"/>
  <c r="AN82" i="14" s="1"/>
  <c r="AO82" i="14" s="1"/>
  <c r="AP82" i="14" s="1"/>
  <c r="AQ82" i="14"/>
  <c r="AR82" i="14" s="1"/>
  <c r="AS82" i="14" s="1"/>
  <c r="AT82" i="14" s="1"/>
  <c r="AU82" i="14" s="1"/>
  <c r="AF82" i="14"/>
  <c r="AG82" i="14" s="1"/>
  <c r="AH82" i="14" s="1"/>
  <c r="AI82" i="14" s="1"/>
  <c r="AJ82" i="14" s="1"/>
  <c r="BA82" i="14"/>
  <c r="BK82" i="14" s="1"/>
  <c r="AW332" i="14"/>
  <c r="AY332" i="14" s="1"/>
  <c r="BT332" i="14"/>
  <c r="BW332" i="14" s="1"/>
  <c r="CA332" i="14"/>
  <c r="CB332" i="14" s="1"/>
  <c r="BV332" i="14"/>
  <c r="BX332" i="14" s="1"/>
  <c r="CH331" i="14"/>
  <c r="CM331" i="14" s="1"/>
  <c r="BB87" i="3" s="1"/>
  <c r="AX333" i="14"/>
  <c r="C88" i="26"/>
  <c r="C88" i="25"/>
  <c r="BH90" i="3"/>
  <c r="D87" i="26"/>
  <c r="D87" i="25"/>
  <c r="BI90" i="3"/>
  <c r="BG90" i="3"/>
  <c r="BM90" i="3" s="1"/>
  <c r="BE90" i="3"/>
  <c r="CF91" i="3"/>
  <c r="AW87" i="3"/>
  <c r="BJ89" i="3"/>
  <c r="BP89" i="3" s="1"/>
  <c r="BC90" i="3"/>
  <c r="BN90" i="3" s="1"/>
  <c r="BY91" i="3"/>
  <c r="CI90" i="3"/>
  <c r="CJ90" i="3"/>
  <c r="AV90" i="3" s="1"/>
  <c r="BR88" i="3"/>
  <c r="D91" i="3"/>
  <c r="BH91" i="3" s="1"/>
  <c r="BF89" i="3"/>
  <c r="BQ89" i="3" s="1"/>
  <c r="BO89" i="3"/>
  <c r="AU89" i="3" s="1"/>
  <c r="C92" i="3"/>
  <c r="BW91" i="3"/>
  <c r="CI91" i="3" s="1"/>
  <c r="BK91" i="3"/>
  <c r="AY91" i="3"/>
  <c r="AH91" i="3"/>
  <c r="P88" i="26" s="1"/>
  <c r="AG91" i="3"/>
  <c r="O88" i="26" s="1"/>
  <c r="BL91" i="3"/>
  <c r="AI91" i="3"/>
  <c r="Q88" i="26" s="1"/>
  <c r="AJ91" i="3"/>
  <c r="R88" i="26" s="1"/>
  <c r="CM79" i="14" l="1"/>
  <c r="CG86" i="3" s="1"/>
  <c r="CF80" i="14"/>
  <c r="CK79" i="14"/>
  <c r="CD86" i="3" s="1"/>
  <c r="CE80" i="14"/>
  <c r="BD91" i="3"/>
  <c r="BV92" i="3"/>
  <c r="BU92" i="3"/>
  <c r="BV80" i="14"/>
  <c r="BX80" i="14" s="1"/>
  <c r="BS80" i="14"/>
  <c r="BT80" i="14"/>
  <c r="BW80" i="14" s="1"/>
  <c r="BZ80" i="14"/>
  <c r="CA80" i="14"/>
  <c r="CB80" i="14" s="1"/>
  <c r="CM80" i="14" s="1"/>
  <c r="CG87" i="3" s="1"/>
  <c r="BU80" i="14"/>
  <c r="AV83" i="14"/>
  <c r="CE332" i="14"/>
  <c r="CJ332" i="14" s="1"/>
  <c r="AZ88" i="3" s="1"/>
  <c r="CH332" i="14"/>
  <c r="CM332" i="14" s="1"/>
  <c r="BB88" i="3" s="1"/>
  <c r="CD82" i="14"/>
  <c r="BE82" i="14"/>
  <c r="BG82" i="14" s="1"/>
  <c r="AK83" i="14"/>
  <c r="AL83" i="14" s="1"/>
  <c r="AM83" i="14" s="1"/>
  <c r="AN83" i="14" s="1"/>
  <c r="AO83" i="14" s="1"/>
  <c r="AP83" i="14" s="1"/>
  <c r="BA83" i="14"/>
  <c r="BK83" i="14" s="1"/>
  <c r="AC83" i="14"/>
  <c r="AF83" i="14"/>
  <c r="AG83" i="14" s="1"/>
  <c r="AH83" i="14" s="1"/>
  <c r="AI83" i="14" s="1"/>
  <c r="AJ83" i="14" s="1"/>
  <c r="AZ83" i="14"/>
  <c r="AQ83" i="14"/>
  <c r="AR83" i="14" s="1"/>
  <c r="AS83" i="14" s="1"/>
  <c r="AT83" i="14" s="1"/>
  <c r="AU83" i="14" s="1"/>
  <c r="BB335" i="14"/>
  <c r="BM335" i="14"/>
  <c r="AA335" i="14"/>
  <c r="AX335" i="14" s="1"/>
  <c r="AB335" i="14"/>
  <c r="BC335" i="14"/>
  <c r="BD335" i="14" s="1"/>
  <c r="BI335" i="14"/>
  <c r="BJ335" i="14" s="1"/>
  <c r="AD335" i="14"/>
  <c r="AG333" i="14"/>
  <c r="AH333" i="14" s="1"/>
  <c r="AI333" i="14" s="1"/>
  <c r="AJ333" i="14" s="1"/>
  <c r="CD333" i="14"/>
  <c r="BE333" i="14"/>
  <c r="BG333" i="14" s="1"/>
  <c r="BN334" i="14"/>
  <c r="BO334" i="14" s="1"/>
  <c r="BQ334" i="14"/>
  <c r="BR334" i="14" s="1"/>
  <c r="BU333" i="14"/>
  <c r="BS333" i="14"/>
  <c r="BZ333" i="14"/>
  <c r="AE336" i="14"/>
  <c r="Z85" i="14"/>
  <c r="Z336" i="14"/>
  <c r="AE85" i="14"/>
  <c r="BA334" i="14"/>
  <c r="BK334" i="14" s="1"/>
  <c r="AQ334" i="14"/>
  <c r="AR334" i="14" s="1"/>
  <c r="AS334" i="14" s="1"/>
  <c r="AT334" i="14" s="1"/>
  <c r="AU334" i="14" s="1"/>
  <c r="AK334" i="14"/>
  <c r="AL334" i="14" s="1"/>
  <c r="AM334" i="14" s="1"/>
  <c r="AN334" i="14" s="1"/>
  <c r="AO334" i="14" s="1"/>
  <c r="AP334" i="14" s="1"/>
  <c r="AZ334" i="14"/>
  <c r="AC334" i="14"/>
  <c r="AF334" i="14"/>
  <c r="AG334" i="14" s="1"/>
  <c r="AH334" i="14" s="1"/>
  <c r="AI334" i="14" s="1"/>
  <c r="AJ334" i="14" s="1"/>
  <c r="AV334" i="14"/>
  <c r="CF332" i="14"/>
  <c r="CK332" i="14" s="1"/>
  <c r="BA88" i="3" s="1"/>
  <c r="AW82" i="14"/>
  <c r="BV333" i="14"/>
  <c r="BX333" i="14" s="1"/>
  <c r="CA333" i="14"/>
  <c r="CB333" i="14" s="1"/>
  <c r="BT333" i="14"/>
  <c r="BW333" i="14" s="1"/>
  <c r="BN83" i="14"/>
  <c r="BO83" i="14" s="1"/>
  <c r="AB84" i="14"/>
  <c r="BI84" i="14"/>
  <c r="BJ84" i="14" s="1"/>
  <c r="AA84" i="14"/>
  <c r="AV84" i="14" s="1"/>
  <c r="BC84" i="14"/>
  <c r="BD84" i="14" s="1"/>
  <c r="BB84" i="14"/>
  <c r="AD84" i="14"/>
  <c r="BM84" i="14"/>
  <c r="AW81" i="14"/>
  <c r="C89" i="26"/>
  <c r="C89" i="25"/>
  <c r="BI91" i="3"/>
  <c r="D88" i="25"/>
  <c r="D88" i="26"/>
  <c r="BG91" i="3"/>
  <c r="BM91" i="3" s="1"/>
  <c r="BE91" i="3"/>
  <c r="AW88" i="3"/>
  <c r="CF92" i="3"/>
  <c r="CK91" i="3"/>
  <c r="BR89" i="3"/>
  <c r="BC91" i="3"/>
  <c r="BN91" i="3" s="1"/>
  <c r="CJ91" i="3"/>
  <c r="AV91" i="3" s="1"/>
  <c r="BY92" i="3"/>
  <c r="DD251" i="3"/>
  <c r="BJ90" i="3"/>
  <c r="BP90" i="3" s="1"/>
  <c r="BF90" i="3"/>
  <c r="BQ90" i="3" s="1"/>
  <c r="D92" i="3"/>
  <c r="DD252" i="3" s="1"/>
  <c r="C93" i="3"/>
  <c r="BK92" i="3"/>
  <c r="AY92" i="3"/>
  <c r="BL92" i="3"/>
  <c r="BW92" i="3"/>
  <c r="CI92" i="3" s="1"/>
  <c r="AG92" i="3"/>
  <c r="O89" i="26" s="1"/>
  <c r="AH92" i="3"/>
  <c r="P89" i="26" s="1"/>
  <c r="AJ92" i="3"/>
  <c r="R89" i="26" s="1"/>
  <c r="AI92" i="3"/>
  <c r="Q89" i="26" s="1"/>
  <c r="BO90" i="3"/>
  <c r="AU90" i="3" s="1"/>
  <c r="CK80" i="14" l="1"/>
  <c r="CD87" i="3" s="1"/>
  <c r="CJ80" i="14"/>
  <c r="CC87" i="3" s="1"/>
  <c r="BD92" i="3"/>
  <c r="BU93" i="3"/>
  <c r="BV93" i="3"/>
  <c r="AY81" i="14"/>
  <c r="CH81" i="14" s="1"/>
  <c r="BQ81" i="14"/>
  <c r="BR81" i="14" s="1"/>
  <c r="AW89" i="3"/>
  <c r="AY82" i="14"/>
  <c r="CH82" i="14" s="1"/>
  <c r="BQ82" i="14"/>
  <c r="BR82" i="14" s="1"/>
  <c r="AV335" i="14"/>
  <c r="BN84" i="14"/>
  <c r="BO84" i="14" s="1"/>
  <c r="BM85" i="14"/>
  <c r="AB85" i="14"/>
  <c r="BC85" i="14"/>
  <c r="BD85" i="14" s="1"/>
  <c r="AA85" i="14"/>
  <c r="BI85" i="14"/>
  <c r="BJ85" i="14" s="1"/>
  <c r="AD85" i="14"/>
  <c r="BB85" i="14"/>
  <c r="BN335" i="14"/>
  <c r="BO335" i="14" s="1"/>
  <c r="BQ335" i="14"/>
  <c r="BR335" i="14" s="1"/>
  <c r="CD334" i="14"/>
  <c r="BE334" i="14"/>
  <c r="BG334" i="14" s="1"/>
  <c r="CA334" i="14"/>
  <c r="CB334" i="14" s="1"/>
  <c r="BT334" i="14"/>
  <c r="BW334" i="14" s="1"/>
  <c r="BV334" i="14"/>
  <c r="BX334" i="14" s="1"/>
  <c r="AW333" i="14"/>
  <c r="AY333" i="14" s="1"/>
  <c r="CH333" i="14" s="1"/>
  <c r="CM333" i="14" s="1"/>
  <c r="BB89" i="3" s="1"/>
  <c r="AE337" i="14"/>
  <c r="Z337" i="14"/>
  <c r="Z86" i="14"/>
  <c r="AE86" i="14"/>
  <c r="AX84" i="14"/>
  <c r="BZ334" i="14"/>
  <c r="BU334" i="14"/>
  <c r="BS334" i="14"/>
  <c r="BE83" i="14"/>
  <c r="BG83" i="14" s="1"/>
  <c r="CD83" i="14"/>
  <c r="CE81" i="14"/>
  <c r="AK84" i="14"/>
  <c r="AL84" i="14" s="1"/>
  <c r="AM84" i="14" s="1"/>
  <c r="AN84" i="14" s="1"/>
  <c r="AO84" i="14" s="1"/>
  <c r="AP84" i="14" s="1"/>
  <c r="BA84" i="14"/>
  <c r="BK84" i="14" s="1"/>
  <c r="AC84" i="14"/>
  <c r="AF84" i="14"/>
  <c r="AQ84" i="14"/>
  <c r="AR84" i="14" s="1"/>
  <c r="AS84" i="14" s="1"/>
  <c r="AT84" i="14" s="1"/>
  <c r="AU84" i="14" s="1"/>
  <c r="AZ84" i="14"/>
  <c r="AW334" i="14"/>
  <c r="AY334" i="14" s="1"/>
  <c r="AA336" i="14"/>
  <c r="BB336" i="14"/>
  <c r="BC336" i="14"/>
  <c r="BD336" i="14" s="1"/>
  <c r="AD336" i="14"/>
  <c r="BI336" i="14"/>
  <c r="BJ336" i="14" s="1"/>
  <c r="AB336" i="14"/>
  <c r="BM336" i="14"/>
  <c r="AQ335" i="14"/>
  <c r="AR335" i="14" s="1"/>
  <c r="AS335" i="14" s="1"/>
  <c r="AT335" i="14" s="1"/>
  <c r="AU335" i="14" s="1"/>
  <c r="AZ335" i="14"/>
  <c r="AF335" i="14"/>
  <c r="AG335" i="14" s="1"/>
  <c r="AH335" i="14" s="1"/>
  <c r="AI335" i="14" s="1"/>
  <c r="AJ335" i="14" s="1"/>
  <c r="AC335" i="14"/>
  <c r="BA335" i="14"/>
  <c r="BK335" i="14" s="1"/>
  <c r="AK335" i="14"/>
  <c r="AL335" i="14" s="1"/>
  <c r="AM335" i="14" s="1"/>
  <c r="AN335" i="14" s="1"/>
  <c r="AO335" i="14" s="1"/>
  <c r="AP335" i="14" s="1"/>
  <c r="AW83" i="14"/>
  <c r="BI92" i="3"/>
  <c r="D89" i="25"/>
  <c r="D89" i="26"/>
  <c r="BH92" i="3"/>
  <c r="C90" i="26"/>
  <c r="C90" i="25"/>
  <c r="BG92" i="3"/>
  <c r="BM92" i="3" s="1"/>
  <c r="BE92" i="3"/>
  <c r="CK92" i="3"/>
  <c r="CF93" i="3"/>
  <c r="BC92" i="3"/>
  <c r="BN92" i="3" s="1"/>
  <c r="BY93" i="3"/>
  <c r="CJ92" i="3"/>
  <c r="AV92" i="3" s="1"/>
  <c r="BR90" i="3"/>
  <c r="BJ91" i="3"/>
  <c r="BP91" i="3" s="1"/>
  <c r="D93" i="3"/>
  <c r="BI93" i="3" s="1"/>
  <c r="BF91" i="3"/>
  <c r="BQ91" i="3" s="1"/>
  <c r="C94" i="3"/>
  <c r="BW93" i="3"/>
  <c r="CJ93" i="3" s="1"/>
  <c r="AV93" i="3" s="1"/>
  <c r="BL93" i="3"/>
  <c r="AY93" i="3"/>
  <c r="BK93" i="3"/>
  <c r="AJ93" i="3"/>
  <c r="R90" i="26" s="1"/>
  <c r="AG93" i="3"/>
  <c r="O90" i="26" s="1"/>
  <c r="AH93" i="3"/>
  <c r="P90" i="26" s="1"/>
  <c r="AI93" i="3"/>
  <c r="Q90" i="26" s="1"/>
  <c r="BO91" i="3"/>
  <c r="AU91" i="3" s="1"/>
  <c r="BD93" i="3" l="1"/>
  <c r="CF81" i="14"/>
  <c r="BU94" i="3"/>
  <c r="BV94" i="3"/>
  <c r="CF82" i="14"/>
  <c r="CE82" i="14"/>
  <c r="BU82" i="14"/>
  <c r="CA82" i="14"/>
  <c r="CB82" i="14" s="1"/>
  <c r="CM82" i="14" s="1"/>
  <c r="CG89" i="3" s="1"/>
  <c r="BS82" i="14"/>
  <c r="BV82" i="14"/>
  <c r="BX82" i="14" s="1"/>
  <c r="BT82" i="14"/>
  <c r="BW82" i="14" s="1"/>
  <c r="BZ82" i="14"/>
  <c r="AY83" i="14"/>
  <c r="CE83" i="14" s="1"/>
  <c r="BQ83" i="14"/>
  <c r="BR83" i="14" s="1"/>
  <c r="BZ81" i="14"/>
  <c r="BS81" i="14"/>
  <c r="CA81" i="14"/>
  <c r="CB81" i="14" s="1"/>
  <c r="CM81" i="14" s="1"/>
  <c r="CG88" i="3" s="1"/>
  <c r="BU81" i="14"/>
  <c r="BV81" i="14"/>
  <c r="BX81" i="14" s="1"/>
  <c r="BT81" i="14"/>
  <c r="BW81" i="14" s="1"/>
  <c r="CJ81" i="14" s="1"/>
  <c r="CC88" i="3" s="1"/>
  <c r="CE333" i="14"/>
  <c r="CJ333" i="14" s="1"/>
  <c r="AZ89" i="3" s="1"/>
  <c r="BE84" i="14"/>
  <c r="BG84" i="14" s="1"/>
  <c r="CD84" i="14"/>
  <c r="CH334" i="14"/>
  <c r="CM334" i="14" s="1"/>
  <c r="BB90" i="3" s="1"/>
  <c r="CE334" i="14"/>
  <c r="CJ334" i="14" s="1"/>
  <c r="AZ90" i="3" s="1"/>
  <c r="CF334" i="14"/>
  <c r="CK334" i="14" s="1"/>
  <c r="BA90" i="3" s="1"/>
  <c r="AC336" i="14"/>
  <c r="AZ336" i="14"/>
  <c r="AQ336" i="14"/>
  <c r="AR336" i="14" s="1"/>
  <c r="AS336" i="14" s="1"/>
  <c r="AT336" i="14" s="1"/>
  <c r="AU336" i="14" s="1"/>
  <c r="AK336" i="14"/>
  <c r="AL336" i="14" s="1"/>
  <c r="AM336" i="14" s="1"/>
  <c r="AN336" i="14" s="1"/>
  <c r="AO336" i="14" s="1"/>
  <c r="AP336" i="14" s="1"/>
  <c r="AF336" i="14"/>
  <c r="BA336" i="14"/>
  <c r="BK336" i="14" s="1"/>
  <c r="BA85" i="14"/>
  <c r="BK85" i="14" s="1"/>
  <c r="AC85" i="14"/>
  <c r="AQ85" i="14"/>
  <c r="AR85" i="14" s="1"/>
  <c r="AS85" i="14" s="1"/>
  <c r="AT85" i="14" s="1"/>
  <c r="AU85" i="14" s="1"/>
  <c r="AK85" i="14"/>
  <c r="AL85" i="14" s="1"/>
  <c r="AM85" i="14" s="1"/>
  <c r="AN85" i="14" s="1"/>
  <c r="AO85" i="14" s="1"/>
  <c r="AP85" i="14" s="1"/>
  <c r="AF85" i="14"/>
  <c r="AG85" i="14" s="1"/>
  <c r="AH85" i="14" s="1"/>
  <c r="AI85" i="14" s="1"/>
  <c r="AJ85" i="14" s="1"/>
  <c r="AZ85" i="14"/>
  <c r="CD335" i="14"/>
  <c r="BE335" i="14"/>
  <c r="BG335" i="14" s="1"/>
  <c r="AV85" i="14"/>
  <c r="AD337" i="14"/>
  <c r="AB337" i="14"/>
  <c r="BM337" i="14"/>
  <c r="BB337" i="14"/>
  <c r="AA337" i="14"/>
  <c r="BC337" i="14"/>
  <c r="BD337" i="14" s="1"/>
  <c r="BI337" i="14"/>
  <c r="BJ337" i="14" s="1"/>
  <c r="CF333" i="14"/>
  <c r="CK333" i="14" s="1"/>
  <c r="BA89" i="3" s="1"/>
  <c r="BN85" i="14"/>
  <c r="BO85" i="14" s="1"/>
  <c r="AE338" i="14"/>
  <c r="Z338" i="14"/>
  <c r="Z87" i="14"/>
  <c r="AE87" i="14"/>
  <c r="CA335" i="14"/>
  <c r="CB335" i="14" s="1"/>
  <c r="BV335" i="14"/>
  <c r="BX335" i="14" s="1"/>
  <c r="BT335" i="14"/>
  <c r="BW335" i="14" s="1"/>
  <c r="AX85" i="14"/>
  <c r="AW335" i="14"/>
  <c r="AY335" i="14" s="1"/>
  <c r="BQ336" i="14"/>
  <c r="BR336" i="14" s="1"/>
  <c r="BN336" i="14"/>
  <c r="BO336" i="14" s="1"/>
  <c r="AX336" i="14"/>
  <c r="AG84" i="14"/>
  <c r="AH84" i="14" s="1"/>
  <c r="AI84" i="14" s="1"/>
  <c r="AJ84" i="14" s="1"/>
  <c r="AB86" i="14"/>
  <c r="BC86" i="14"/>
  <c r="BD86" i="14" s="1"/>
  <c r="BI86" i="14"/>
  <c r="BJ86" i="14" s="1"/>
  <c r="AA86" i="14"/>
  <c r="AV86" i="14" s="1"/>
  <c r="BB86" i="14"/>
  <c r="AD86" i="14"/>
  <c r="BM86" i="14"/>
  <c r="AV336" i="14"/>
  <c r="BZ335" i="14"/>
  <c r="BS335" i="14"/>
  <c r="BU335" i="14"/>
  <c r="BH93" i="3"/>
  <c r="BG93" i="3"/>
  <c r="BM93" i="3" s="1"/>
  <c r="C91" i="25"/>
  <c r="C91" i="26"/>
  <c r="DD253" i="3"/>
  <c r="D90" i="25"/>
  <c r="D90" i="26"/>
  <c r="BE93" i="3"/>
  <c r="CK93" i="3"/>
  <c r="CF94" i="3"/>
  <c r="AW90" i="3"/>
  <c r="BJ92" i="3"/>
  <c r="BP92" i="3" s="1"/>
  <c r="BC93" i="3"/>
  <c r="BN93" i="3" s="1"/>
  <c r="CI93" i="3"/>
  <c r="BY94" i="3"/>
  <c r="BR91" i="3"/>
  <c r="BF92" i="3"/>
  <c r="BQ92" i="3" s="1"/>
  <c r="D94" i="3"/>
  <c r="C95" i="3"/>
  <c r="BW94" i="3"/>
  <c r="CK94" i="3" s="1"/>
  <c r="BL94" i="3"/>
  <c r="AY94" i="3"/>
  <c r="BK94" i="3"/>
  <c r="AI94" i="3"/>
  <c r="Q91" i="26" s="1"/>
  <c r="AG94" i="3"/>
  <c r="O91" i="26" s="1"/>
  <c r="AH94" i="3"/>
  <c r="P91" i="26" s="1"/>
  <c r="AJ94" i="3"/>
  <c r="R91" i="26" s="1"/>
  <c r="BO92" i="3"/>
  <c r="AU92" i="3" s="1"/>
  <c r="BD94" i="3" l="1"/>
  <c r="CK81" i="14"/>
  <c r="CD88" i="3" s="1"/>
  <c r="CF83" i="14"/>
  <c r="CH83" i="14"/>
  <c r="CK82" i="14"/>
  <c r="CD89" i="3" s="1"/>
  <c r="BU95" i="3"/>
  <c r="BV95" i="3"/>
  <c r="CJ82" i="14"/>
  <c r="CC89" i="3" s="1"/>
  <c r="BU83" i="14"/>
  <c r="CA83" i="14"/>
  <c r="CB83" i="14" s="1"/>
  <c r="BS83" i="14"/>
  <c r="BT83" i="14"/>
  <c r="BW83" i="14" s="1"/>
  <c r="CJ83" i="14" s="1"/>
  <c r="CC90" i="3" s="1"/>
  <c r="BZ83" i="14"/>
  <c r="BV83" i="14"/>
  <c r="BX83" i="14" s="1"/>
  <c r="CH335" i="14"/>
  <c r="CM335" i="14" s="1"/>
  <c r="BB91" i="3" s="1"/>
  <c r="CF335" i="14"/>
  <c r="CK335" i="14" s="1"/>
  <c r="BA91" i="3" s="1"/>
  <c r="CE335" i="14"/>
  <c r="CJ335" i="14" s="1"/>
  <c r="AZ91" i="3" s="1"/>
  <c r="CD85" i="14"/>
  <c r="BE85" i="14"/>
  <c r="BG85" i="14" s="1"/>
  <c r="BA86" i="14"/>
  <c r="BK86" i="14" s="1"/>
  <c r="AZ86" i="14"/>
  <c r="AQ86" i="14"/>
  <c r="AR86" i="14" s="1"/>
  <c r="AS86" i="14" s="1"/>
  <c r="AT86" i="14" s="1"/>
  <c r="AU86" i="14" s="1"/>
  <c r="AF86" i="14"/>
  <c r="AG86" i="14" s="1"/>
  <c r="AH86" i="14" s="1"/>
  <c r="AI86" i="14" s="1"/>
  <c r="AJ86" i="14" s="1"/>
  <c r="AC86" i="14"/>
  <c r="AK86" i="14"/>
  <c r="AL86" i="14" s="1"/>
  <c r="AM86" i="14" s="1"/>
  <c r="AN86" i="14" s="1"/>
  <c r="AO86" i="14" s="1"/>
  <c r="AP86" i="14" s="1"/>
  <c r="AV337" i="14"/>
  <c r="BA337" i="14"/>
  <c r="BK337" i="14" s="1"/>
  <c r="AZ337" i="14"/>
  <c r="AQ337" i="14"/>
  <c r="AR337" i="14" s="1"/>
  <c r="AS337" i="14" s="1"/>
  <c r="AT337" i="14" s="1"/>
  <c r="AU337" i="14" s="1"/>
  <c r="AF337" i="14"/>
  <c r="AK337" i="14"/>
  <c r="AL337" i="14" s="1"/>
  <c r="AM337" i="14" s="1"/>
  <c r="AN337" i="14" s="1"/>
  <c r="AO337" i="14" s="1"/>
  <c r="AP337" i="14" s="1"/>
  <c r="AC337" i="14"/>
  <c r="AW84" i="14"/>
  <c r="BS336" i="14"/>
  <c r="BZ336" i="14"/>
  <c r="BU336" i="14"/>
  <c r="BM87" i="14"/>
  <c r="BI87" i="14"/>
  <c r="BJ87" i="14" s="1"/>
  <c r="AA87" i="14"/>
  <c r="AB87" i="14"/>
  <c r="BC87" i="14"/>
  <c r="BD87" i="14" s="1"/>
  <c r="AD87" i="14"/>
  <c r="BB87" i="14"/>
  <c r="AX337" i="14"/>
  <c r="AW85" i="14"/>
  <c r="AG336" i="14"/>
  <c r="AH336" i="14" s="1"/>
  <c r="AI336" i="14" s="1"/>
  <c r="AJ336" i="14" s="1"/>
  <c r="CD336" i="14"/>
  <c r="BE336" i="14"/>
  <c r="BG336" i="14" s="1"/>
  <c r="BN86" i="14"/>
  <c r="BO86" i="14" s="1"/>
  <c r="Z339" i="14"/>
  <c r="Z88" i="14"/>
  <c r="AE339" i="14"/>
  <c r="AE88" i="14"/>
  <c r="AX86" i="14"/>
  <c r="BV336" i="14"/>
  <c r="BX336" i="14" s="1"/>
  <c r="BT336" i="14"/>
  <c r="BW336" i="14" s="1"/>
  <c r="CA336" i="14"/>
  <c r="CB336" i="14" s="1"/>
  <c r="BB338" i="14"/>
  <c r="AD338" i="14"/>
  <c r="BM338" i="14"/>
  <c r="BC338" i="14"/>
  <c r="BD338" i="14" s="1"/>
  <c r="BI338" i="14"/>
  <c r="BJ338" i="14" s="1"/>
  <c r="AA338" i="14"/>
  <c r="AX338" i="14" s="1"/>
  <c r="AB338" i="14"/>
  <c r="BN337" i="14"/>
  <c r="BO337" i="14" s="1"/>
  <c r="BQ337" i="14"/>
  <c r="BR337" i="14" s="1"/>
  <c r="C92" i="26"/>
  <c r="C92" i="25"/>
  <c r="DD254" i="3"/>
  <c r="D91" i="26"/>
  <c r="D91" i="25"/>
  <c r="BH94" i="3"/>
  <c r="BI94" i="3"/>
  <c r="BG94" i="3"/>
  <c r="BM94" i="3" s="1"/>
  <c r="BE94" i="3"/>
  <c r="AW91" i="3"/>
  <c r="CF95" i="3"/>
  <c r="BR92" i="3"/>
  <c r="BC94" i="3"/>
  <c r="BN94" i="3" s="1"/>
  <c r="BJ93" i="3"/>
  <c r="BP93" i="3" s="1"/>
  <c r="CJ94" i="3"/>
  <c r="AV94" i="3" s="1"/>
  <c r="BY95" i="3"/>
  <c r="CI94" i="3"/>
  <c r="BF93" i="3"/>
  <c r="BQ93" i="3" s="1"/>
  <c r="D95" i="3"/>
  <c r="BH95" i="3" s="1"/>
  <c r="C96" i="3"/>
  <c r="BK95" i="3"/>
  <c r="AY95" i="3"/>
  <c r="BW95" i="3"/>
  <c r="CI95" i="3" s="1"/>
  <c r="BL95" i="3"/>
  <c r="AJ95" i="3"/>
  <c r="R92" i="26" s="1"/>
  <c r="AH95" i="3"/>
  <c r="P92" i="26" s="1"/>
  <c r="AG95" i="3"/>
  <c r="O92" i="26" s="1"/>
  <c r="AI95" i="3"/>
  <c r="Q92" i="26" s="1"/>
  <c r="BO93" i="3"/>
  <c r="AU93" i="3" s="1"/>
  <c r="CK83" i="14" l="1"/>
  <c r="CD90" i="3" s="1"/>
  <c r="CM83" i="14"/>
  <c r="CG90" i="3" s="1"/>
  <c r="BD95" i="3"/>
  <c r="BU96" i="3"/>
  <c r="BV96" i="3"/>
  <c r="AY84" i="14"/>
  <c r="CF84" i="14" s="1"/>
  <c r="BQ84" i="14"/>
  <c r="BR84" i="14" s="1"/>
  <c r="AW92" i="3"/>
  <c r="AY85" i="14"/>
  <c r="CF85" i="14" s="1"/>
  <c r="BQ85" i="14"/>
  <c r="BR85" i="14" s="1"/>
  <c r="AF87" i="14"/>
  <c r="AC87" i="14"/>
  <c r="AQ87" i="14"/>
  <c r="AR87" i="14" s="1"/>
  <c r="AS87" i="14" s="1"/>
  <c r="AT87" i="14" s="1"/>
  <c r="AU87" i="14" s="1"/>
  <c r="BA87" i="14"/>
  <c r="BK87" i="14" s="1"/>
  <c r="AK87" i="14"/>
  <c r="AL87" i="14" s="1"/>
  <c r="AM87" i="14" s="1"/>
  <c r="AN87" i="14" s="1"/>
  <c r="AO87" i="14" s="1"/>
  <c r="AP87" i="14" s="1"/>
  <c r="AZ87" i="14"/>
  <c r="CD337" i="14"/>
  <c r="BE337" i="14"/>
  <c r="BG337" i="14" s="1"/>
  <c r="AW86" i="14"/>
  <c r="AX87" i="14"/>
  <c r="BN338" i="14"/>
  <c r="BO338" i="14" s="1"/>
  <c r="BQ338" i="14"/>
  <c r="BR338" i="14" s="1"/>
  <c r="Z340" i="14"/>
  <c r="AE89" i="14"/>
  <c r="AE340" i="14"/>
  <c r="Z89" i="14"/>
  <c r="BV337" i="14"/>
  <c r="BX337" i="14" s="1"/>
  <c r="CA337" i="14"/>
  <c r="CB337" i="14" s="1"/>
  <c r="BT337" i="14"/>
  <c r="BW337" i="14" s="1"/>
  <c r="AQ338" i="14"/>
  <c r="AR338" i="14" s="1"/>
  <c r="AS338" i="14" s="1"/>
  <c r="AT338" i="14" s="1"/>
  <c r="AU338" i="14" s="1"/>
  <c r="BA338" i="14"/>
  <c r="BK338" i="14" s="1"/>
  <c r="AC338" i="14"/>
  <c r="AZ338" i="14"/>
  <c r="AF338" i="14"/>
  <c r="AG338" i="14" s="1"/>
  <c r="AH338" i="14" s="1"/>
  <c r="AI338" i="14" s="1"/>
  <c r="AJ338" i="14" s="1"/>
  <c r="AK338" i="14"/>
  <c r="AL338" i="14" s="1"/>
  <c r="AM338" i="14" s="1"/>
  <c r="AN338" i="14" s="1"/>
  <c r="AO338" i="14" s="1"/>
  <c r="AP338" i="14" s="1"/>
  <c r="AB88" i="14"/>
  <c r="AA88" i="14"/>
  <c r="AV88" i="14" s="1"/>
  <c r="BC88" i="14"/>
  <c r="BD88" i="14" s="1"/>
  <c r="BI88" i="14"/>
  <c r="BJ88" i="14" s="1"/>
  <c r="BB88" i="14"/>
  <c r="BM88" i="14"/>
  <c r="AD88" i="14"/>
  <c r="AV338" i="14"/>
  <c r="AV87" i="14"/>
  <c r="BE86" i="14"/>
  <c r="BG86" i="14" s="1"/>
  <c r="CD86" i="14"/>
  <c r="CH85" i="14"/>
  <c r="BU337" i="14"/>
  <c r="BZ337" i="14"/>
  <c r="BS337" i="14"/>
  <c r="BM339" i="14"/>
  <c r="BB339" i="14"/>
  <c r="AA339" i="14"/>
  <c r="BC339" i="14"/>
  <c r="BD339" i="14" s="1"/>
  <c r="AB339" i="14"/>
  <c r="AD339" i="14"/>
  <c r="BI339" i="14"/>
  <c r="BJ339" i="14" s="1"/>
  <c r="BN87" i="14"/>
  <c r="BO87" i="14" s="1"/>
  <c r="AW336" i="14"/>
  <c r="AY336" i="14" s="1"/>
  <c r="CH336" i="14" s="1"/>
  <c r="CM336" i="14" s="1"/>
  <c r="BB92" i="3" s="1"/>
  <c r="AG337" i="14"/>
  <c r="AH337" i="14" s="1"/>
  <c r="AI337" i="14" s="1"/>
  <c r="AJ337" i="14" s="1"/>
  <c r="BJ94" i="3"/>
  <c r="BP94" i="3" s="1"/>
  <c r="BI95" i="3"/>
  <c r="D92" i="25"/>
  <c r="D92" i="26"/>
  <c r="C93" i="26"/>
  <c r="C93" i="25"/>
  <c r="BG95" i="3"/>
  <c r="BM95" i="3" s="1"/>
  <c r="BE95" i="3"/>
  <c r="CF96" i="3"/>
  <c r="CK95" i="3"/>
  <c r="BR93" i="3"/>
  <c r="DD255" i="3"/>
  <c r="BC95" i="3"/>
  <c r="BN95" i="3" s="1"/>
  <c r="CJ95" i="3"/>
  <c r="AV95" i="3" s="1"/>
  <c r="BY96" i="3"/>
  <c r="BF94" i="3"/>
  <c r="BQ94" i="3" s="1"/>
  <c r="D96" i="3"/>
  <c r="BO94" i="3"/>
  <c r="AU94" i="3" s="1"/>
  <c r="C97" i="3"/>
  <c r="BW96" i="3"/>
  <c r="CK96" i="3" s="1"/>
  <c r="BL96" i="3"/>
  <c r="AI96" i="3"/>
  <c r="Q93" i="26" s="1"/>
  <c r="BK96" i="3"/>
  <c r="AY96" i="3"/>
  <c r="BD96" i="3" s="1"/>
  <c r="AH96" i="3"/>
  <c r="P93" i="26" s="1"/>
  <c r="AG96" i="3"/>
  <c r="O93" i="26" s="1"/>
  <c r="AJ96" i="3"/>
  <c r="R93" i="26" s="1"/>
  <c r="CE85" i="14" l="1"/>
  <c r="BU97" i="3"/>
  <c r="BV97" i="3"/>
  <c r="CE84" i="14"/>
  <c r="CH84" i="14"/>
  <c r="AY86" i="14"/>
  <c r="CF86" i="14" s="1"/>
  <c r="BQ86" i="14"/>
  <c r="BR86" i="14" s="1"/>
  <c r="BZ84" i="14"/>
  <c r="BT84" i="14"/>
  <c r="BW84" i="14" s="1"/>
  <c r="BS84" i="14"/>
  <c r="BU84" i="14"/>
  <c r="CA84" i="14"/>
  <c r="CB84" i="14" s="1"/>
  <c r="BV84" i="14"/>
  <c r="BX84" i="14" s="1"/>
  <c r="CK84" i="14" s="1"/>
  <c r="CD91" i="3" s="1"/>
  <c r="CA85" i="14"/>
  <c r="CB85" i="14" s="1"/>
  <c r="CM85" i="14" s="1"/>
  <c r="CG92" i="3" s="1"/>
  <c r="BU85" i="14"/>
  <c r="BV85" i="14"/>
  <c r="BX85" i="14" s="1"/>
  <c r="CK85" i="14" s="1"/>
  <c r="CD92" i="3" s="1"/>
  <c r="BZ85" i="14"/>
  <c r="BS85" i="14"/>
  <c r="BT85" i="14"/>
  <c r="BW85" i="14" s="1"/>
  <c r="AW337" i="14"/>
  <c r="AY337" i="14" s="1"/>
  <c r="CH337" i="14" s="1"/>
  <c r="CM337" i="14" s="1"/>
  <c r="BB93" i="3" s="1"/>
  <c r="AX88" i="14"/>
  <c r="AV339" i="14"/>
  <c r="AK339" i="14"/>
  <c r="AL339" i="14" s="1"/>
  <c r="AM339" i="14" s="1"/>
  <c r="AN339" i="14" s="1"/>
  <c r="AO339" i="14" s="1"/>
  <c r="AP339" i="14" s="1"/>
  <c r="AF339" i="14"/>
  <c r="BA339" i="14"/>
  <c r="BK339" i="14" s="1"/>
  <c r="AC339" i="14"/>
  <c r="AQ339" i="14"/>
  <c r="AR339" i="14" s="1"/>
  <c r="AS339" i="14" s="1"/>
  <c r="AT339" i="14" s="1"/>
  <c r="AU339" i="14" s="1"/>
  <c r="AZ339" i="14"/>
  <c r="AA340" i="14"/>
  <c r="AX340" i="14" s="1"/>
  <c r="BI340" i="14"/>
  <c r="BJ340" i="14" s="1"/>
  <c r="BM340" i="14"/>
  <c r="AB340" i="14"/>
  <c r="AD340" i="14"/>
  <c r="BB340" i="14"/>
  <c r="BC340" i="14"/>
  <c r="BD340" i="14" s="1"/>
  <c r="BV338" i="14"/>
  <c r="BX338" i="14" s="1"/>
  <c r="CA338" i="14"/>
  <c r="CB338" i="14" s="1"/>
  <c r="BT338" i="14"/>
  <c r="BW338" i="14" s="1"/>
  <c r="AG87" i="14"/>
  <c r="AH87" i="14" s="1"/>
  <c r="AI87" i="14" s="1"/>
  <c r="AJ87" i="14" s="1"/>
  <c r="BN339" i="14"/>
  <c r="BO339" i="14" s="1"/>
  <c r="BQ339" i="14"/>
  <c r="BR339" i="14" s="1"/>
  <c r="CD338" i="14"/>
  <c r="BE338" i="14"/>
  <c r="BG338" i="14" s="1"/>
  <c r="CF336" i="14"/>
  <c r="CK336" i="14" s="1"/>
  <c r="BA92" i="3" s="1"/>
  <c r="AK88" i="14"/>
  <c r="AL88" i="14" s="1"/>
  <c r="AM88" i="14" s="1"/>
  <c r="AN88" i="14" s="1"/>
  <c r="AO88" i="14" s="1"/>
  <c r="AP88" i="14" s="1"/>
  <c r="BA88" i="14"/>
  <c r="BK88" i="14" s="1"/>
  <c r="AC88" i="14"/>
  <c r="AF88" i="14"/>
  <c r="AG88" i="14" s="1"/>
  <c r="AH88" i="14" s="1"/>
  <c r="AI88" i="14" s="1"/>
  <c r="AJ88" i="14" s="1"/>
  <c r="AZ88" i="14"/>
  <c r="AQ88" i="14"/>
  <c r="AR88" i="14" s="1"/>
  <c r="AS88" i="14" s="1"/>
  <c r="AT88" i="14" s="1"/>
  <c r="AU88" i="14" s="1"/>
  <c r="AE341" i="14"/>
  <c r="Z341" i="14"/>
  <c r="Z90" i="14"/>
  <c r="AE90" i="14"/>
  <c r="AW338" i="14"/>
  <c r="AY338" i="14" s="1"/>
  <c r="BM89" i="14"/>
  <c r="BC89" i="14"/>
  <c r="BD89" i="14" s="1"/>
  <c r="AB89" i="14"/>
  <c r="AA89" i="14"/>
  <c r="AV89" i="14" s="1"/>
  <c r="BI89" i="14"/>
  <c r="BJ89" i="14" s="1"/>
  <c r="BB89" i="14"/>
  <c r="AD89" i="14"/>
  <c r="BZ338" i="14"/>
  <c r="BS338" i="14"/>
  <c r="BU338" i="14"/>
  <c r="AX339" i="14"/>
  <c r="BN88" i="14"/>
  <c r="BO88" i="14" s="1"/>
  <c r="CD87" i="14"/>
  <c r="BE87" i="14"/>
  <c r="BG87" i="14" s="1"/>
  <c r="CE336" i="14"/>
  <c r="CJ336" i="14" s="1"/>
  <c r="AZ92" i="3" s="1"/>
  <c r="BR94" i="3"/>
  <c r="DD256" i="3"/>
  <c r="D93" i="25"/>
  <c r="D93" i="26"/>
  <c r="C94" i="26"/>
  <c r="C94" i="25"/>
  <c r="BH96" i="3"/>
  <c r="BG96" i="3"/>
  <c r="BM96" i="3" s="1"/>
  <c r="BI96" i="3"/>
  <c r="BE96" i="3"/>
  <c r="CF97" i="3"/>
  <c r="AW93" i="3"/>
  <c r="BJ95" i="3"/>
  <c r="BP95" i="3" s="1"/>
  <c r="BC96" i="3"/>
  <c r="BN96" i="3" s="1"/>
  <c r="CJ96" i="3"/>
  <c r="AV96" i="3" s="1"/>
  <c r="CI96" i="3"/>
  <c r="BY97" i="3"/>
  <c r="D97" i="3"/>
  <c r="BF95" i="3"/>
  <c r="BQ95" i="3" s="1"/>
  <c r="BO95" i="3"/>
  <c r="AU95" i="3" s="1"/>
  <c r="C98" i="3"/>
  <c r="BW97" i="3"/>
  <c r="CJ97" i="3" s="1"/>
  <c r="AV97" i="3" s="1"/>
  <c r="BK97" i="3"/>
  <c r="AY97" i="3"/>
  <c r="AH97" i="3"/>
  <c r="P94" i="26" s="1"/>
  <c r="AG97" i="3"/>
  <c r="O94" i="26" s="1"/>
  <c r="AJ97" i="3"/>
  <c r="R94" i="26" s="1"/>
  <c r="BL97" i="3"/>
  <c r="AI97" i="3"/>
  <c r="Q94" i="26" s="1"/>
  <c r="CE86" i="14" l="1"/>
  <c r="CJ85" i="14"/>
  <c r="CC92" i="3" s="1"/>
  <c r="CJ84" i="14"/>
  <c r="CC91" i="3" s="1"/>
  <c r="BD97" i="3"/>
  <c r="BV98" i="3"/>
  <c r="BU98" i="3"/>
  <c r="CH86" i="14"/>
  <c r="CM84" i="14"/>
  <c r="CG91" i="3" s="1"/>
  <c r="BT86" i="14"/>
  <c r="BW86" i="14" s="1"/>
  <c r="BS86" i="14"/>
  <c r="BV86" i="14"/>
  <c r="BX86" i="14" s="1"/>
  <c r="CK86" i="14" s="1"/>
  <c r="CD93" i="3" s="1"/>
  <c r="BZ86" i="14"/>
  <c r="CA86" i="14"/>
  <c r="CB86" i="14" s="1"/>
  <c r="BU86" i="14"/>
  <c r="AW94" i="3"/>
  <c r="AV340" i="14"/>
  <c r="CF337" i="14"/>
  <c r="CK337" i="14" s="1"/>
  <c r="BA93" i="3" s="1"/>
  <c r="CE337" i="14"/>
  <c r="CJ337" i="14" s="1"/>
  <c r="AZ93" i="3" s="1"/>
  <c r="AW87" i="14"/>
  <c r="AZ89" i="14"/>
  <c r="AF89" i="14"/>
  <c r="AG89" i="14" s="1"/>
  <c r="AH89" i="14" s="1"/>
  <c r="AI89" i="14" s="1"/>
  <c r="AJ89" i="14" s="1"/>
  <c r="AK89" i="14"/>
  <c r="AL89" i="14" s="1"/>
  <c r="AM89" i="14" s="1"/>
  <c r="AN89" i="14" s="1"/>
  <c r="AO89" i="14" s="1"/>
  <c r="AP89" i="14" s="1"/>
  <c r="AQ89" i="14"/>
  <c r="AR89" i="14" s="1"/>
  <c r="AS89" i="14" s="1"/>
  <c r="AT89" i="14" s="1"/>
  <c r="AU89" i="14" s="1"/>
  <c r="AC89" i="14"/>
  <c r="BA89" i="14"/>
  <c r="BK89" i="14" s="1"/>
  <c r="AW88" i="14"/>
  <c r="AX89" i="14"/>
  <c r="BS339" i="14"/>
  <c r="BZ339" i="14"/>
  <c r="BU339" i="14"/>
  <c r="Z342" i="14"/>
  <c r="AE342" i="14"/>
  <c r="AE91" i="14"/>
  <c r="Z91" i="14"/>
  <c r="BB341" i="14"/>
  <c r="AD341" i="14"/>
  <c r="BM341" i="14"/>
  <c r="AB341" i="14"/>
  <c r="BC341" i="14"/>
  <c r="BD341" i="14" s="1"/>
  <c r="BI341" i="14"/>
  <c r="BJ341" i="14" s="1"/>
  <c r="AA341" i="14"/>
  <c r="AX341" i="14" s="1"/>
  <c r="CH338" i="14"/>
  <c r="CM338" i="14" s="1"/>
  <c r="BB94" i="3" s="1"/>
  <c r="CF338" i="14"/>
  <c r="CK338" i="14" s="1"/>
  <c r="BA94" i="3" s="1"/>
  <c r="CE338" i="14"/>
  <c r="CJ338" i="14" s="1"/>
  <c r="AZ94" i="3" s="1"/>
  <c r="BE339" i="14"/>
  <c r="BG339" i="14" s="1"/>
  <c r="CD339" i="14"/>
  <c r="BV339" i="14"/>
  <c r="BX339" i="14" s="1"/>
  <c r="CA339" i="14"/>
  <c r="CB339" i="14" s="1"/>
  <c r="BT339" i="14"/>
  <c r="BW339" i="14" s="1"/>
  <c r="AK340" i="14"/>
  <c r="AL340" i="14" s="1"/>
  <c r="AM340" i="14" s="1"/>
  <c r="AN340" i="14" s="1"/>
  <c r="AO340" i="14" s="1"/>
  <c r="AP340" i="14" s="1"/>
  <c r="BA340" i="14"/>
  <c r="BK340" i="14" s="1"/>
  <c r="AQ340" i="14"/>
  <c r="AR340" i="14" s="1"/>
  <c r="AS340" i="14" s="1"/>
  <c r="AT340" i="14" s="1"/>
  <c r="AU340" i="14" s="1"/>
  <c r="AF340" i="14"/>
  <c r="AG340" i="14" s="1"/>
  <c r="AH340" i="14" s="1"/>
  <c r="AI340" i="14" s="1"/>
  <c r="AJ340" i="14" s="1"/>
  <c r="AC340" i="14"/>
  <c r="AZ340" i="14"/>
  <c r="AB90" i="14"/>
  <c r="BI90" i="14"/>
  <c r="BJ90" i="14" s="1"/>
  <c r="AA90" i="14"/>
  <c r="BC90" i="14"/>
  <c r="BD90" i="14" s="1"/>
  <c r="BB90" i="14"/>
  <c r="AD90" i="14"/>
  <c r="BM90" i="14"/>
  <c r="BQ340" i="14"/>
  <c r="BR340" i="14" s="1"/>
  <c r="BN340" i="14"/>
  <c r="BO340" i="14" s="1"/>
  <c r="AG339" i="14"/>
  <c r="AH339" i="14" s="1"/>
  <c r="AI339" i="14" s="1"/>
  <c r="AJ339" i="14" s="1"/>
  <c r="BN89" i="14"/>
  <c r="BO89" i="14" s="1"/>
  <c r="CD88" i="14"/>
  <c r="BE88" i="14"/>
  <c r="BG88" i="14" s="1"/>
  <c r="BH97" i="3"/>
  <c r="D94" i="25"/>
  <c r="D94" i="26"/>
  <c r="BI97" i="3"/>
  <c r="C95" i="25"/>
  <c r="C95" i="26"/>
  <c r="BG97" i="3"/>
  <c r="BE97" i="3"/>
  <c r="CF98" i="3"/>
  <c r="CK97" i="3"/>
  <c r="BR95" i="3"/>
  <c r="BC97" i="3"/>
  <c r="BN97" i="3" s="1"/>
  <c r="BJ96" i="3"/>
  <c r="BP96" i="3" s="1"/>
  <c r="CI97" i="3"/>
  <c r="BY98" i="3"/>
  <c r="DD257" i="3"/>
  <c r="BF96" i="3"/>
  <c r="BQ96" i="3" s="1"/>
  <c r="D98" i="3"/>
  <c r="BH98" i="3" s="1"/>
  <c r="C99" i="3"/>
  <c r="BK98" i="3"/>
  <c r="AY98" i="3"/>
  <c r="BW98" i="3"/>
  <c r="CJ98" i="3" s="1"/>
  <c r="AV98" i="3" s="1"/>
  <c r="BL98" i="3"/>
  <c r="AG98" i="3"/>
  <c r="O95" i="26" s="1"/>
  <c r="AJ98" i="3"/>
  <c r="R95" i="26" s="1"/>
  <c r="AI98" i="3"/>
  <c r="Q95" i="26" s="1"/>
  <c r="AH98" i="3"/>
  <c r="P95" i="26" s="1"/>
  <c r="BO96" i="3"/>
  <c r="AU96" i="3" s="1"/>
  <c r="CJ86" i="14" l="1"/>
  <c r="CC93" i="3" s="1"/>
  <c r="BD98" i="3"/>
  <c r="BV99" i="3"/>
  <c r="BU99" i="3"/>
  <c r="CM86" i="14"/>
  <c r="CG93" i="3" s="1"/>
  <c r="AV341" i="14"/>
  <c r="AY88" i="14"/>
  <c r="CH88" i="14" s="1"/>
  <c r="BQ88" i="14"/>
  <c r="BR88" i="14" s="1"/>
  <c r="AW95" i="3"/>
  <c r="AY87" i="14"/>
  <c r="CH87" i="14" s="1"/>
  <c r="BQ87" i="14"/>
  <c r="BR87" i="14" s="1"/>
  <c r="BA90" i="14"/>
  <c r="BK90" i="14" s="1"/>
  <c r="AK90" i="14"/>
  <c r="AL90" i="14" s="1"/>
  <c r="AM90" i="14" s="1"/>
  <c r="AN90" i="14" s="1"/>
  <c r="AO90" i="14" s="1"/>
  <c r="AP90" i="14" s="1"/>
  <c r="AC90" i="14"/>
  <c r="AF90" i="14"/>
  <c r="AZ90" i="14"/>
  <c r="AQ90" i="14"/>
  <c r="AR90" i="14" s="1"/>
  <c r="AS90" i="14" s="1"/>
  <c r="AT90" i="14" s="1"/>
  <c r="AU90" i="14" s="1"/>
  <c r="AV90" i="14"/>
  <c r="AC341" i="14"/>
  <c r="AK341" i="14"/>
  <c r="AL341" i="14" s="1"/>
  <c r="AM341" i="14" s="1"/>
  <c r="AN341" i="14" s="1"/>
  <c r="AO341" i="14" s="1"/>
  <c r="AP341" i="14" s="1"/>
  <c r="AZ341" i="14"/>
  <c r="AQ341" i="14"/>
  <c r="AR341" i="14" s="1"/>
  <c r="AS341" i="14" s="1"/>
  <c r="AT341" i="14" s="1"/>
  <c r="AU341" i="14" s="1"/>
  <c r="AF341" i="14"/>
  <c r="AG341" i="14" s="1"/>
  <c r="AH341" i="14" s="1"/>
  <c r="AI341" i="14" s="1"/>
  <c r="AJ341" i="14" s="1"/>
  <c r="BA341" i="14"/>
  <c r="BK341" i="14" s="1"/>
  <c r="BN341" i="14"/>
  <c r="BO341" i="14" s="1"/>
  <c r="BQ341" i="14"/>
  <c r="BR341" i="14" s="1"/>
  <c r="BT340" i="14"/>
  <c r="BW340" i="14" s="1"/>
  <c r="CA340" i="14"/>
  <c r="CB340" i="14" s="1"/>
  <c r="BV340" i="14"/>
  <c r="BX340" i="14" s="1"/>
  <c r="AW339" i="14"/>
  <c r="AY339" i="14" s="1"/>
  <c r="CH339" i="14" s="1"/>
  <c r="CM339" i="14" s="1"/>
  <c r="BB95" i="3" s="1"/>
  <c r="BB342" i="14"/>
  <c r="BM342" i="14"/>
  <c r="AD342" i="14"/>
  <c r="AA342" i="14"/>
  <c r="AX342" i="14" s="1"/>
  <c r="BC342" i="14"/>
  <c r="BD342" i="14" s="1"/>
  <c r="AB342" i="14"/>
  <c r="BI342" i="14"/>
  <c r="BJ342" i="14" s="1"/>
  <c r="AW89" i="14"/>
  <c r="BS340" i="14"/>
  <c r="BZ340" i="14"/>
  <c r="BU340" i="14"/>
  <c r="AX90" i="14"/>
  <c r="AW340" i="14"/>
  <c r="AY340" i="14" s="1"/>
  <c r="Z343" i="14"/>
  <c r="AE343" i="14"/>
  <c r="Z92" i="14"/>
  <c r="AE92" i="14"/>
  <c r="BN90" i="14"/>
  <c r="BO90" i="14" s="1"/>
  <c r="CD340" i="14"/>
  <c r="BE340" i="14"/>
  <c r="BG340" i="14" s="1"/>
  <c r="BM91" i="14"/>
  <c r="AB91" i="14"/>
  <c r="BC91" i="14"/>
  <c r="BD91" i="14" s="1"/>
  <c r="AA91" i="14"/>
  <c r="AX91" i="14" s="1"/>
  <c r="BI91" i="14"/>
  <c r="BJ91" i="14" s="1"/>
  <c r="BB91" i="14"/>
  <c r="AD91" i="14"/>
  <c r="CD89" i="14"/>
  <c r="BE89" i="14"/>
  <c r="BG89" i="14" s="1"/>
  <c r="BJ97" i="3"/>
  <c r="BP97" i="3" s="1"/>
  <c r="C96" i="26"/>
  <c r="C96" i="25"/>
  <c r="BI98" i="3"/>
  <c r="D95" i="26"/>
  <c r="D95" i="25"/>
  <c r="BG98" i="3"/>
  <c r="BM98" i="3" s="1"/>
  <c r="BE98" i="3"/>
  <c r="CK98" i="3"/>
  <c r="CF99" i="3"/>
  <c r="BC98" i="3"/>
  <c r="BN98" i="3" s="1"/>
  <c r="BR96" i="3"/>
  <c r="BY99" i="3"/>
  <c r="CI98" i="3"/>
  <c r="DD258" i="3"/>
  <c r="BM97" i="3"/>
  <c r="BO97" i="3" s="1"/>
  <c r="AU97" i="3" s="1"/>
  <c r="BF97" i="3"/>
  <c r="BQ97" i="3" s="1"/>
  <c r="D99" i="3"/>
  <c r="BG99" i="3" s="1"/>
  <c r="C100" i="3"/>
  <c r="BK99" i="3"/>
  <c r="AY99" i="3"/>
  <c r="AJ99" i="3"/>
  <c r="R96" i="26" s="1"/>
  <c r="AI99" i="3"/>
  <c r="Q96" i="26" s="1"/>
  <c r="AH99" i="3"/>
  <c r="P96" i="26" s="1"/>
  <c r="BL99" i="3"/>
  <c r="AG99" i="3"/>
  <c r="O96" i="26" s="1"/>
  <c r="BW99" i="3"/>
  <c r="CI99" i="3" s="1"/>
  <c r="CF88" i="14" l="1"/>
  <c r="CE88" i="14"/>
  <c r="BD99" i="3"/>
  <c r="BU100" i="3"/>
  <c r="BV100" i="3"/>
  <c r="CF87" i="14"/>
  <c r="CE87" i="14"/>
  <c r="AV342" i="14"/>
  <c r="AY89" i="14"/>
  <c r="CH89" i="14" s="1"/>
  <c r="BQ89" i="14"/>
  <c r="BR89" i="14" s="1"/>
  <c r="BT87" i="14"/>
  <c r="BW87" i="14" s="1"/>
  <c r="BU87" i="14"/>
  <c r="BV87" i="14"/>
  <c r="BX87" i="14" s="1"/>
  <c r="BZ87" i="14"/>
  <c r="CA87" i="14"/>
  <c r="CB87" i="14" s="1"/>
  <c r="CM87" i="14" s="1"/>
  <c r="CG94" i="3" s="1"/>
  <c r="BS87" i="14"/>
  <c r="BV88" i="14"/>
  <c r="BX88" i="14" s="1"/>
  <c r="BZ88" i="14"/>
  <c r="BT88" i="14"/>
  <c r="BW88" i="14" s="1"/>
  <c r="BU88" i="14"/>
  <c r="CA88" i="14"/>
  <c r="CB88" i="14" s="1"/>
  <c r="CM88" i="14" s="1"/>
  <c r="CG95" i="3" s="1"/>
  <c r="BS88" i="14"/>
  <c r="CE339" i="14"/>
  <c r="CJ339" i="14" s="1"/>
  <c r="AZ95" i="3" s="1"/>
  <c r="CF339" i="14"/>
  <c r="CK339" i="14" s="1"/>
  <c r="BA95" i="3" s="1"/>
  <c r="Z344" i="14"/>
  <c r="AE93" i="14"/>
  <c r="Z93" i="14"/>
  <c r="AE344" i="14"/>
  <c r="AB92" i="14"/>
  <c r="AA92" i="14"/>
  <c r="AV92" i="14" s="1"/>
  <c r="BC92" i="14"/>
  <c r="BD92" i="14" s="1"/>
  <c r="BI92" i="14"/>
  <c r="BJ92" i="14" s="1"/>
  <c r="BB92" i="14"/>
  <c r="AD92" i="14"/>
  <c r="BM92" i="14"/>
  <c r="CH340" i="14"/>
  <c r="CM340" i="14" s="1"/>
  <c r="BB96" i="3" s="1"/>
  <c r="CF340" i="14"/>
  <c r="CK340" i="14" s="1"/>
  <c r="BA96" i="3" s="1"/>
  <c r="CE340" i="14"/>
  <c r="CJ340" i="14" s="1"/>
  <c r="AZ96" i="3" s="1"/>
  <c r="BN91" i="14"/>
  <c r="BO91" i="14" s="1"/>
  <c r="BM343" i="14"/>
  <c r="BB343" i="14"/>
  <c r="AA343" i="14"/>
  <c r="AV343" i="14" s="1"/>
  <c r="BC343" i="14"/>
  <c r="BD343" i="14" s="1"/>
  <c r="AB343" i="14"/>
  <c r="AD343" i="14"/>
  <c r="BI343" i="14"/>
  <c r="BJ343" i="14" s="1"/>
  <c r="BZ341" i="14"/>
  <c r="BS341" i="14"/>
  <c r="BU341" i="14"/>
  <c r="BE341" i="14"/>
  <c r="BG341" i="14" s="1"/>
  <c r="CD341" i="14"/>
  <c r="BA91" i="14"/>
  <c r="BK91" i="14" s="1"/>
  <c r="AC91" i="14"/>
  <c r="AK91" i="14"/>
  <c r="AL91" i="14" s="1"/>
  <c r="AM91" i="14" s="1"/>
  <c r="AN91" i="14" s="1"/>
  <c r="AO91" i="14" s="1"/>
  <c r="AP91" i="14" s="1"/>
  <c r="AF91" i="14"/>
  <c r="AG91" i="14" s="1"/>
  <c r="AH91" i="14" s="1"/>
  <c r="AI91" i="14" s="1"/>
  <c r="AJ91" i="14" s="1"/>
  <c r="AZ91" i="14"/>
  <c r="AQ91" i="14"/>
  <c r="AR91" i="14" s="1"/>
  <c r="AS91" i="14" s="1"/>
  <c r="AT91" i="14" s="1"/>
  <c r="AU91" i="14" s="1"/>
  <c r="BN342" i="14"/>
  <c r="BO342" i="14" s="1"/>
  <c r="BQ342" i="14"/>
  <c r="BR342" i="14" s="1"/>
  <c r="AW341" i="14"/>
  <c r="AY341" i="14" s="1"/>
  <c r="AV91" i="14"/>
  <c r="AG90" i="14"/>
  <c r="AH90" i="14" s="1"/>
  <c r="AI90" i="14" s="1"/>
  <c r="AJ90" i="14" s="1"/>
  <c r="BA342" i="14"/>
  <c r="BK342" i="14" s="1"/>
  <c r="AC342" i="14"/>
  <c r="AQ342" i="14"/>
  <c r="AR342" i="14" s="1"/>
  <c r="AS342" i="14" s="1"/>
  <c r="AT342" i="14" s="1"/>
  <c r="AU342" i="14" s="1"/>
  <c r="AZ342" i="14"/>
  <c r="AF342" i="14"/>
  <c r="AG342" i="14" s="1"/>
  <c r="AH342" i="14" s="1"/>
  <c r="AI342" i="14" s="1"/>
  <c r="AJ342" i="14" s="1"/>
  <c r="AK342" i="14"/>
  <c r="AL342" i="14" s="1"/>
  <c r="AM342" i="14" s="1"/>
  <c r="AN342" i="14" s="1"/>
  <c r="AO342" i="14" s="1"/>
  <c r="AP342" i="14" s="1"/>
  <c r="BV341" i="14"/>
  <c r="BX341" i="14" s="1"/>
  <c r="CA341" i="14"/>
  <c r="CB341" i="14" s="1"/>
  <c r="BT341" i="14"/>
  <c r="BW341" i="14" s="1"/>
  <c r="BE90" i="14"/>
  <c r="BG90" i="14" s="1"/>
  <c r="CD90" i="14"/>
  <c r="BR97" i="3"/>
  <c r="C97" i="26"/>
  <c r="C97" i="25"/>
  <c r="BI99" i="3"/>
  <c r="D96" i="25"/>
  <c r="D96" i="26"/>
  <c r="BH99" i="3"/>
  <c r="BE99" i="3"/>
  <c r="CJ99" i="3"/>
  <c r="AV99" i="3" s="1"/>
  <c r="CF100" i="3"/>
  <c r="AW96" i="3"/>
  <c r="CK99" i="3"/>
  <c r="BC99" i="3"/>
  <c r="BN99" i="3" s="1"/>
  <c r="DD259" i="3"/>
  <c r="BJ98" i="3"/>
  <c r="BP98" i="3" s="1"/>
  <c r="BY100" i="3"/>
  <c r="BM99" i="3"/>
  <c r="BF98" i="3"/>
  <c r="BQ98" i="3" s="1"/>
  <c r="D100" i="3"/>
  <c r="BI100" i="3" s="1"/>
  <c r="BO98" i="3"/>
  <c r="AU98" i="3" s="1"/>
  <c r="C101" i="3"/>
  <c r="BW100" i="3"/>
  <c r="CI100" i="3" s="1"/>
  <c r="BK100" i="3"/>
  <c r="AY100" i="3"/>
  <c r="AI100" i="3"/>
  <c r="Q97" i="26" s="1"/>
  <c r="AH100" i="3"/>
  <c r="P97" i="26" s="1"/>
  <c r="AG100" i="3"/>
  <c r="O97" i="26" s="1"/>
  <c r="AJ100" i="3"/>
  <c r="R97" i="26" s="1"/>
  <c r="BL100" i="3"/>
  <c r="CK88" i="14" l="1"/>
  <c r="CD95" i="3" s="1"/>
  <c r="CJ88" i="14"/>
  <c r="CC95" i="3" s="1"/>
  <c r="CJ87" i="14"/>
  <c r="CC94" i="3" s="1"/>
  <c r="CE89" i="14"/>
  <c r="BD100" i="3"/>
  <c r="CK87" i="14"/>
  <c r="CD94" i="3" s="1"/>
  <c r="BV101" i="3"/>
  <c r="BU101" i="3"/>
  <c r="CF89" i="14"/>
  <c r="AW97" i="3"/>
  <c r="BZ89" i="14"/>
  <c r="BV89" i="14"/>
  <c r="BX89" i="14" s="1"/>
  <c r="BU89" i="14"/>
  <c r="CA89" i="14"/>
  <c r="CB89" i="14" s="1"/>
  <c r="CM89" i="14" s="1"/>
  <c r="CG96" i="3" s="1"/>
  <c r="BS89" i="14"/>
  <c r="BT89" i="14"/>
  <c r="BW89" i="14" s="1"/>
  <c r="BM93" i="14"/>
  <c r="BC93" i="14"/>
  <c r="BD93" i="14" s="1"/>
  <c r="BI93" i="14"/>
  <c r="BJ93" i="14" s="1"/>
  <c r="AA93" i="14"/>
  <c r="AX93" i="14" s="1"/>
  <c r="AB93" i="14"/>
  <c r="AD93" i="14"/>
  <c r="BB93" i="14"/>
  <c r="BZ342" i="14"/>
  <c r="BS342" i="14"/>
  <c r="BU342" i="14"/>
  <c r="CD91" i="14"/>
  <c r="BE91" i="14"/>
  <c r="BG91" i="14" s="1"/>
  <c r="AX92" i="14"/>
  <c r="Z345" i="14"/>
  <c r="Z94" i="14"/>
  <c r="AE345" i="14"/>
  <c r="AE94" i="14"/>
  <c r="CH341" i="14"/>
  <c r="CM341" i="14" s="1"/>
  <c r="BB97" i="3" s="1"/>
  <c r="CE341" i="14"/>
  <c r="CJ341" i="14" s="1"/>
  <c r="AZ97" i="3" s="1"/>
  <c r="CF341" i="14"/>
  <c r="CK341" i="14" s="1"/>
  <c r="BA97" i="3" s="1"/>
  <c r="AX343" i="14"/>
  <c r="BN343" i="14"/>
  <c r="BO343" i="14" s="1"/>
  <c r="BQ343" i="14"/>
  <c r="BR343" i="14" s="1"/>
  <c r="AW90" i="14"/>
  <c r="BN92" i="14"/>
  <c r="BO92" i="14" s="1"/>
  <c r="BE342" i="14"/>
  <c r="BG342" i="14" s="1"/>
  <c r="CD342" i="14"/>
  <c r="BV342" i="14"/>
  <c r="BX342" i="14" s="1"/>
  <c r="CA342" i="14"/>
  <c r="CB342" i="14" s="1"/>
  <c r="BT342" i="14"/>
  <c r="BW342" i="14" s="1"/>
  <c r="AK343" i="14"/>
  <c r="AL343" i="14" s="1"/>
  <c r="AM343" i="14" s="1"/>
  <c r="AN343" i="14" s="1"/>
  <c r="AO343" i="14" s="1"/>
  <c r="AP343" i="14" s="1"/>
  <c r="AC343" i="14"/>
  <c r="BA343" i="14"/>
  <c r="BK343" i="14" s="1"/>
  <c r="AF343" i="14"/>
  <c r="AG343" i="14" s="1"/>
  <c r="AH343" i="14" s="1"/>
  <c r="AI343" i="14" s="1"/>
  <c r="AJ343" i="14" s="1"/>
  <c r="AZ343" i="14"/>
  <c r="AQ343" i="14"/>
  <c r="AR343" i="14" s="1"/>
  <c r="AS343" i="14" s="1"/>
  <c r="AT343" i="14" s="1"/>
  <c r="AU343" i="14" s="1"/>
  <c r="AK92" i="14"/>
  <c r="AL92" i="14" s="1"/>
  <c r="AM92" i="14" s="1"/>
  <c r="AN92" i="14" s="1"/>
  <c r="AO92" i="14" s="1"/>
  <c r="AP92" i="14" s="1"/>
  <c r="BA92" i="14"/>
  <c r="BK92" i="14" s="1"/>
  <c r="AC92" i="14"/>
  <c r="AF92" i="14"/>
  <c r="AZ92" i="14"/>
  <c r="AQ92" i="14"/>
  <c r="AR92" i="14" s="1"/>
  <c r="AS92" i="14" s="1"/>
  <c r="AT92" i="14" s="1"/>
  <c r="AU92" i="14" s="1"/>
  <c r="AW342" i="14"/>
  <c r="AY342" i="14" s="1"/>
  <c r="AW91" i="14"/>
  <c r="BI344" i="14"/>
  <c r="BJ344" i="14" s="1"/>
  <c r="AD344" i="14"/>
  <c r="BM344" i="14"/>
  <c r="BB344" i="14"/>
  <c r="BC344" i="14"/>
  <c r="BD344" i="14" s="1"/>
  <c r="AA344" i="14"/>
  <c r="AV344" i="14" s="1"/>
  <c r="AB344" i="14"/>
  <c r="BJ99" i="3"/>
  <c r="BP99" i="3" s="1"/>
  <c r="C98" i="26"/>
  <c r="C98" i="25"/>
  <c r="BG100" i="3"/>
  <c r="BM100" i="3" s="1"/>
  <c r="BH100" i="3"/>
  <c r="D97" i="25"/>
  <c r="D97" i="26"/>
  <c r="DD260" i="3"/>
  <c r="BE100" i="3"/>
  <c r="CF101" i="3"/>
  <c r="CK100" i="3"/>
  <c r="BC100" i="3"/>
  <c r="BN100" i="3" s="1"/>
  <c r="BR98" i="3"/>
  <c r="BY101" i="3"/>
  <c r="CJ100" i="3"/>
  <c r="AV100" i="3" s="1"/>
  <c r="D101" i="3"/>
  <c r="BH101" i="3" s="1"/>
  <c r="BF99" i="3"/>
  <c r="BQ99" i="3" s="1"/>
  <c r="BO99" i="3"/>
  <c r="AU99" i="3" s="1"/>
  <c r="C102" i="3"/>
  <c r="BK101" i="3"/>
  <c r="AY101" i="3"/>
  <c r="BL101" i="3"/>
  <c r="AH101" i="3"/>
  <c r="P98" i="26" s="1"/>
  <c r="AG101" i="3"/>
  <c r="O98" i="26" s="1"/>
  <c r="BW101" i="3"/>
  <c r="CK101" i="3" s="1"/>
  <c r="AJ101" i="3"/>
  <c r="R98" i="26" s="1"/>
  <c r="AI101" i="3"/>
  <c r="Q98" i="26" s="1"/>
  <c r="CJ89" i="14" l="1"/>
  <c r="CC96" i="3" s="1"/>
  <c r="BD101" i="3"/>
  <c r="BV102" i="3"/>
  <c r="BU102" i="3"/>
  <c r="CK89" i="14"/>
  <c r="CD96" i="3" s="1"/>
  <c r="AY91" i="14"/>
  <c r="CE91" i="14" s="1"/>
  <c r="BQ91" i="14"/>
  <c r="BR91" i="14" s="1"/>
  <c r="AY90" i="14"/>
  <c r="CF90" i="14" s="1"/>
  <c r="BQ90" i="14"/>
  <c r="BR90" i="14" s="1"/>
  <c r="AV93" i="14"/>
  <c r="AX344" i="14"/>
  <c r="Z346" i="14"/>
  <c r="AE346" i="14"/>
  <c r="AE95" i="14"/>
  <c r="Z95" i="14"/>
  <c r="BB345" i="14"/>
  <c r="BM345" i="14"/>
  <c r="AB345" i="14"/>
  <c r="AD345" i="14"/>
  <c r="AA345" i="14"/>
  <c r="AV345" i="14" s="1"/>
  <c r="BI345" i="14"/>
  <c r="BJ345" i="14" s="1"/>
  <c r="BC345" i="14"/>
  <c r="BD345" i="14" s="1"/>
  <c r="AC344" i="14"/>
  <c r="AZ344" i="14"/>
  <c r="BA344" i="14"/>
  <c r="BK344" i="14" s="1"/>
  <c r="AQ344" i="14"/>
  <c r="AR344" i="14" s="1"/>
  <c r="AS344" i="14" s="1"/>
  <c r="AT344" i="14" s="1"/>
  <c r="AU344" i="14" s="1"/>
  <c r="AF344" i="14"/>
  <c r="AK344" i="14"/>
  <c r="AL344" i="14" s="1"/>
  <c r="AM344" i="14" s="1"/>
  <c r="AN344" i="14" s="1"/>
  <c r="AO344" i="14" s="1"/>
  <c r="AP344" i="14" s="1"/>
  <c r="BQ344" i="14"/>
  <c r="BR344" i="14" s="1"/>
  <c r="BN344" i="14"/>
  <c r="BO344" i="14" s="1"/>
  <c r="CD343" i="14"/>
  <c r="BE343" i="14"/>
  <c r="BG343" i="14" s="1"/>
  <c r="CF342" i="14"/>
  <c r="CK342" i="14" s="1"/>
  <c r="BA98" i="3" s="1"/>
  <c r="CE342" i="14"/>
  <c r="CJ342" i="14" s="1"/>
  <c r="AZ98" i="3" s="1"/>
  <c r="CH342" i="14"/>
  <c r="CM342" i="14" s="1"/>
  <c r="BB98" i="3" s="1"/>
  <c r="BN93" i="14"/>
  <c r="BO93" i="14" s="1"/>
  <c r="BU343" i="14"/>
  <c r="CA343" i="14"/>
  <c r="CB343" i="14" s="1"/>
  <c r="BV343" i="14"/>
  <c r="BX343" i="14" s="1"/>
  <c r="BT343" i="14"/>
  <c r="BW343" i="14" s="1"/>
  <c r="AB94" i="14"/>
  <c r="BI94" i="14"/>
  <c r="BJ94" i="14" s="1"/>
  <c r="AA94" i="14"/>
  <c r="AX94" i="14" s="1"/>
  <c r="BC94" i="14"/>
  <c r="BD94" i="14" s="1"/>
  <c r="BB94" i="14"/>
  <c r="AD94" i="14"/>
  <c r="BM94" i="14"/>
  <c r="BS343" i="14"/>
  <c r="BZ343" i="14"/>
  <c r="BR99" i="3"/>
  <c r="AG92" i="14"/>
  <c r="AH92" i="14" s="1"/>
  <c r="AI92" i="14" s="1"/>
  <c r="AJ92" i="14" s="1"/>
  <c r="BE92" i="14"/>
  <c r="BG92" i="14" s="1"/>
  <c r="CD92" i="14"/>
  <c r="AW343" i="14"/>
  <c r="AY343" i="14" s="1"/>
  <c r="AC93" i="14"/>
  <c r="BA93" i="14"/>
  <c r="BK93" i="14" s="1"/>
  <c r="AQ93" i="14"/>
  <c r="AR93" i="14" s="1"/>
  <c r="AS93" i="14" s="1"/>
  <c r="AT93" i="14" s="1"/>
  <c r="AU93" i="14" s="1"/>
  <c r="AK93" i="14"/>
  <c r="AL93" i="14" s="1"/>
  <c r="AM93" i="14" s="1"/>
  <c r="AN93" i="14" s="1"/>
  <c r="AO93" i="14" s="1"/>
  <c r="AP93" i="14" s="1"/>
  <c r="AZ93" i="14"/>
  <c r="AF93" i="14"/>
  <c r="BG101" i="3"/>
  <c r="BM101" i="3" s="1"/>
  <c r="D98" i="25"/>
  <c r="D98" i="26"/>
  <c r="BI101" i="3"/>
  <c r="C99" i="25"/>
  <c r="C99" i="26"/>
  <c r="BE101" i="3"/>
  <c r="AW98" i="3"/>
  <c r="CF102" i="3"/>
  <c r="BC101" i="3"/>
  <c r="BN101" i="3" s="1"/>
  <c r="DD261" i="3"/>
  <c r="CJ101" i="3"/>
  <c r="AV101" i="3" s="1"/>
  <c r="CI101" i="3"/>
  <c r="BY102" i="3"/>
  <c r="BJ100" i="3"/>
  <c r="BP100" i="3" s="1"/>
  <c r="BF100" i="3"/>
  <c r="BQ100" i="3" s="1"/>
  <c r="D102" i="3"/>
  <c r="C103" i="3"/>
  <c r="BW102" i="3"/>
  <c r="CI102" i="3" s="1"/>
  <c r="AY102" i="3"/>
  <c r="AG102" i="3"/>
  <c r="O99" i="26" s="1"/>
  <c r="BK102" i="3"/>
  <c r="AJ102" i="3"/>
  <c r="R99" i="26" s="1"/>
  <c r="AI102" i="3"/>
  <c r="Q99" i="26" s="1"/>
  <c r="BL102" i="3"/>
  <c r="AH102" i="3"/>
  <c r="P99" i="26" s="1"/>
  <c r="BO100" i="3"/>
  <c r="AU100" i="3" s="1"/>
  <c r="CH91" i="14" l="1"/>
  <c r="CF91" i="14"/>
  <c r="BD102" i="3"/>
  <c r="BV103" i="3"/>
  <c r="BU103" i="3"/>
  <c r="CH90" i="14"/>
  <c r="CE90" i="14"/>
  <c r="AX345" i="14"/>
  <c r="AW99" i="3"/>
  <c r="BU91" i="14"/>
  <c r="BT91" i="14"/>
  <c r="BW91" i="14" s="1"/>
  <c r="CJ91" i="14" s="1"/>
  <c r="CC98" i="3" s="1"/>
  <c r="BS91" i="14"/>
  <c r="BV91" i="14"/>
  <c r="BX91" i="14" s="1"/>
  <c r="BZ91" i="14"/>
  <c r="CA91" i="14"/>
  <c r="CB91" i="14" s="1"/>
  <c r="CM91" i="14" s="1"/>
  <c r="CG98" i="3" s="1"/>
  <c r="BS90" i="14"/>
  <c r="BZ90" i="14"/>
  <c r="BT90" i="14"/>
  <c r="BW90" i="14" s="1"/>
  <c r="CA90" i="14"/>
  <c r="CB90" i="14" s="1"/>
  <c r="BV90" i="14"/>
  <c r="BX90" i="14" s="1"/>
  <c r="CK90" i="14" s="1"/>
  <c r="CD97" i="3" s="1"/>
  <c r="BU90" i="14"/>
  <c r="BZ344" i="14"/>
  <c r="BU344" i="14"/>
  <c r="BS344" i="14"/>
  <c r="BM95" i="14"/>
  <c r="AB95" i="14"/>
  <c r="BC95" i="14"/>
  <c r="BD95" i="14" s="1"/>
  <c r="BI95" i="14"/>
  <c r="BJ95" i="14" s="1"/>
  <c r="AA95" i="14"/>
  <c r="AV95" i="14" s="1"/>
  <c r="AD95" i="14"/>
  <c r="BB95" i="14"/>
  <c r="AG93" i="14"/>
  <c r="AH93" i="14" s="1"/>
  <c r="AI93" i="14" s="1"/>
  <c r="AJ93" i="14" s="1"/>
  <c r="AW93" i="14" s="1"/>
  <c r="BN94" i="14"/>
  <c r="BO94" i="14" s="1"/>
  <c r="CD93" i="14"/>
  <c r="BE93" i="14"/>
  <c r="BG93" i="14" s="1"/>
  <c r="AQ94" i="14"/>
  <c r="AR94" i="14" s="1"/>
  <c r="AS94" i="14" s="1"/>
  <c r="AT94" i="14" s="1"/>
  <c r="AU94" i="14" s="1"/>
  <c r="BA94" i="14"/>
  <c r="BK94" i="14" s="1"/>
  <c r="AF94" i="14"/>
  <c r="AK94" i="14"/>
  <c r="AL94" i="14" s="1"/>
  <c r="AM94" i="14" s="1"/>
  <c r="AN94" i="14" s="1"/>
  <c r="AO94" i="14" s="1"/>
  <c r="AP94" i="14" s="1"/>
  <c r="AZ94" i="14"/>
  <c r="AC94" i="14"/>
  <c r="AV94" i="14"/>
  <c r="CE343" i="14"/>
  <c r="CJ343" i="14" s="1"/>
  <c r="AZ99" i="3" s="1"/>
  <c r="CH343" i="14"/>
  <c r="CM343" i="14" s="1"/>
  <c r="BB99" i="3" s="1"/>
  <c r="CF343" i="14"/>
  <c r="CK343" i="14" s="1"/>
  <c r="BA99" i="3" s="1"/>
  <c r="BE344" i="14"/>
  <c r="BG344" i="14" s="1"/>
  <c r="CD344" i="14"/>
  <c r="BN345" i="14"/>
  <c r="BO345" i="14" s="1"/>
  <c r="BQ345" i="14"/>
  <c r="BR345" i="14" s="1"/>
  <c r="BT344" i="14"/>
  <c r="BW344" i="14" s="1"/>
  <c r="CA344" i="14"/>
  <c r="CB344" i="14" s="1"/>
  <c r="BV344" i="14"/>
  <c r="BX344" i="14" s="1"/>
  <c r="AE347" i="14"/>
  <c r="Z347" i="14"/>
  <c r="Z96" i="14"/>
  <c r="AE96" i="14"/>
  <c r="AG344" i="14"/>
  <c r="AH344" i="14" s="1"/>
  <c r="AI344" i="14" s="1"/>
  <c r="AJ344" i="14" s="1"/>
  <c r="AK345" i="14"/>
  <c r="AL345" i="14" s="1"/>
  <c r="AM345" i="14" s="1"/>
  <c r="AN345" i="14" s="1"/>
  <c r="AO345" i="14" s="1"/>
  <c r="AP345" i="14" s="1"/>
  <c r="AC345" i="14"/>
  <c r="BA345" i="14"/>
  <c r="BK345" i="14" s="1"/>
  <c r="AZ345" i="14"/>
  <c r="AQ345" i="14"/>
  <c r="AR345" i="14" s="1"/>
  <c r="AS345" i="14" s="1"/>
  <c r="AT345" i="14" s="1"/>
  <c r="AU345" i="14" s="1"/>
  <c r="AF345" i="14"/>
  <c r="AW92" i="14"/>
  <c r="BM346" i="14"/>
  <c r="AD346" i="14"/>
  <c r="BB346" i="14"/>
  <c r="AB346" i="14"/>
  <c r="AA346" i="14"/>
  <c r="AV346" i="14" s="1"/>
  <c r="BC346" i="14"/>
  <c r="BD346" i="14" s="1"/>
  <c r="BI346" i="14"/>
  <c r="BJ346" i="14" s="1"/>
  <c r="C100" i="26"/>
  <c r="C100" i="25"/>
  <c r="BH102" i="3"/>
  <c r="D99" i="26"/>
  <c r="D99" i="25"/>
  <c r="BG102" i="3"/>
  <c r="BM102" i="3" s="1"/>
  <c r="BI102" i="3"/>
  <c r="BE102" i="3"/>
  <c r="CK102" i="3"/>
  <c r="CF103" i="3"/>
  <c r="BJ101" i="3"/>
  <c r="BP101" i="3" s="1"/>
  <c r="BC102" i="3"/>
  <c r="BN102" i="3" s="1"/>
  <c r="DD262" i="3"/>
  <c r="CJ102" i="3"/>
  <c r="AV102" i="3" s="1"/>
  <c r="BY103" i="3"/>
  <c r="BR100" i="3"/>
  <c r="BF101" i="3"/>
  <c r="BQ101" i="3" s="1"/>
  <c r="D103" i="3"/>
  <c r="BG103" i="3" s="1"/>
  <c r="BO101" i="3"/>
  <c r="AU101" i="3" s="1"/>
  <c r="C104" i="3"/>
  <c r="BW103" i="3"/>
  <c r="CI103" i="3" s="1"/>
  <c r="BK103" i="3"/>
  <c r="AY103" i="3"/>
  <c r="AJ103" i="3"/>
  <c r="R100" i="26" s="1"/>
  <c r="BL103" i="3"/>
  <c r="AI103" i="3"/>
  <c r="Q100" i="26" s="1"/>
  <c r="AH103" i="3"/>
  <c r="P100" i="26" s="1"/>
  <c r="AG103" i="3"/>
  <c r="O100" i="26" s="1"/>
  <c r="CK91" i="14" l="1"/>
  <c r="CD98" i="3" s="1"/>
  <c r="CM90" i="14"/>
  <c r="CG97" i="3" s="1"/>
  <c r="BD103" i="3"/>
  <c r="BV104" i="3"/>
  <c r="BU104" i="3"/>
  <c r="CJ90" i="14"/>
  <c r="CC97" i="3" s="1"/>
  <c r="AY93" i="14"/>
  <c r="CF93" i="14" s="1"/>
  <c r="BQ93" i="14"/>
  <c r="BR93" i="14" s="1"/>
  <c r="AY92" i="14"/>
  <c r="CH92" i="14" s="1"/>
  <c r="BQ92" i="14"/>
  <c r="BR92" i="14" s="1"/>
  <c r="AX95" i="14"/>
  <c r="AW344" i="14"/>
  <c r="AY344" i="14" s="1"/>
  <c r="CF344" i="14" s="1"/>
  <c r="CK344" i="14" s="1"/>
  <c r="BA100" i="3" s="1"/>
  <c r="Z348" i="14"/>
  <c r="AE348" i="14"/>
  <c r="Z97" i="14"/>
  <c r="AE97" i="14"/>
  <c r="BA346" i="14"/>
  <c r="BK346" i="14" s="1"/>
  <c r="AF346" i="14"/>
  <c r="AG346" i="14" s="1"/>
  <c r="AH346" i="14" s="1"/>
  <c r="AI346" i="14" s="1"/>
  <c r="AJ346" i="14" s="1"/>
  <c r="AQ346" i="14"/>
  <c r="AR346" i="14" s="1"/>
  <c r="AS346" i="14" s="1"/>
  <c r="AT346" i="14" s="1"/>
  <c r="AU346" i="14" s="1"/>
  <c r="AK346" i="14"/>
  <c r="AL346" i="14" s="1"/>
  <c r="AM346" i="14" s="1"/>
  <c r="AN346" i="14" s="1"/>
  <c r="AO346" i="14" s="1"/>
  <c r="AP346" i="14" s="1"/>
  <c r="AC346" i="14"/>
  <c r="AZ346" i="14"/>
  <c r="BN346" i="14"/>
  <c r="BO346" i="14" s="1"/>
  <c r="BQ346" i="14"/>
  <c r="BR346" i="14" s="1"/>
  <c r="BV345" i="14"/>
  <c r="BX345" i="14" s="1"/>
  <c r="CA345" i="14"/>
  <c r="CB345" i="14" s="1"/>
  <c r="BT345" i="14"/>
  <c r="BW345" i="14" s="1"/>
  <c r="CD345" i="14"/>
  <c r="BE345" i="14"/>
  <c r="BG345" i="14" s="1"/>
  <c r="AB96" i="14"/>
  <c r="AA96" i="14"/>
  <c r="AV96" i="14" s="1"/>
  <c r="BC96" i="14"/>
  <c r="BD96" i="14" s="1"/>
  <c r="BI96" i="14"/>
  <c r="BJ96" i="14" s="1"/>
  <c r="BB96" i="14"/>
  <c r="BM96" i="14"/>
  <c r="AD96" i="14"/>
  <c r="BZ345" i="14"/>
  <c r="BS345" i="14"/>
  <c r="BU345" i="14"/>
  <c r="BE94" i="14"/>
  <c r="BG94" i="14" s="1"/>
  <c r="CD94" i="14"/>
  <c r="AX346" i="14"/>
  <c r="AG345" i="14"/>
  <c r="AH345" i="14" s="1"/>
  <c r="AI345" i="14" s="1"/>
  <c r="AJ345" i="14" s="1"/>
  <c r="BB347" i="14"/>
  <c r="BM347" i="14"/>
  <c r="AA347" i="14"/>
  <c r="AX347" i="14" s="1"/>
  <c r="BC347" i="14"/>
  <c r="BD347" i="14" s="1"/>
  <c r="AB347" i="14"/>
  <c r="AD347" i="14"/>
  <c r="BI347" i="14"/>
  <c r="BJ347" i="14" s="1"/>
  <c r="AG94" i="14"/>
  <c r="AH94" i="14" s="1"/>
  <c r="AI94" i="14" s="1"/>
  <c r="AJ94" i="14" s="1"/>
  <c r="AZ95" i="14"/>
  <c r="BA95" i="14"/>
  <c r="BK95" i="14" s="1"/>
  <c r="AQ95" i="14"/>
  <c r="AR95" i="14" s="1"/>
  <c r="AS95" i="14" s="1"/>
  <c r="AT95" i="14" s="1"/>
  <c r="AU95" i="14" s="1"/>
  <c r="AC95" i="14"/>
  <c r="AF95" i="14"/>
  <c r="AK95" i="14"/>
  <c r="AL95" i="14" s="1"/>
  <c r="AM95" i="14" s="1"/>
  <c r="AN95" i="14" s="1"/>
  <c r="AO95" i="14" s="1"/>
  <c r="AP95" i="14" s="1"/>
  <c r="BN95" i="14"/>
  <c r="BO95" i="14" s="1"/>
  <c r="C101" i="26"/>
  <c r="C101" i="25"/>
  <c r="BH103" i="3"/>
  <c r="D100" i="25"/>
  <c r="D100" i="26"/>
  <c r="BI103" i="3"/>
  <c r="DD263" i="3"/>
  <c r="BE103" i="3"/>
  <c r="CF104" i="3"/>
  <c r="CK103" i="3"/>
  <c r="AW100" i="3"/>
  <c r="BR101" i="3"/>
  <c r="BC103" i="3"/>
  <c r="BN103" i="3" s="1"/>
  <c r="CJ103" i="3"/>
  <c r="AV103" i="3" s="1"/>
  <c r="BY104" i="3"/>
  <c r="BJ102" i="3"/>
  <c r="BP102" i="3" s="1"/>
  <c r="BF102" i="3"/>
  <c r="BQ102" i="3" s="1"/>
  <c r="D104" i="3"/>
  <c r="BG104" i="3" s="1"/>
  <c r="BM103" i="3"/>
  <c r="C105" i="3"/>
  <c r="BK104" i="3"/>
  <c r="AY104" i="3"/>
  <c r="BD104" i="3" s="1"/>
  <c r="BW104" i="3"/>
  <c r="CK104" i="3" s="1"/>
  <c r="AI104" i="3"/>
  <c r="Q101" i="26" s="1"/>
  <c r="BL104" i="3"/>
  <c r="AH104" i="3"/>
  <c r="P101" i="26" s="1"/>
  <c r="AG104" i="3"/>
  <c r="O101" i="26" s="1"/>
  <c r="AJ104" i="3"/>
  <c r="R101" i="26" s="1"/>
  <c r="BO102" i="3"/>
  <c r="AU102" i="3" s="1"/>
  <c r="CE93" i="14" l="1"/>
  <c r="CH93" i="14"/>
  <c r="CE92" i="14"/>
  <c r="BV105" i="3"/>
  <c r="BU105" i="3"/>
  <c r="CF92" i="14"/>
  <c r="BV93" i="14"/>
  <c r="BX93" i="14" s="1"/>
  <c r="CK93" i="14" s="1"/>
  <c r="CD100" i="3" s="1"/>
  <c r="BS93" i="14"/>
  <c r="BU93" i="14"/>
  <c r="BT93" i="14"/>
  <c r="BW93" i="14" s="1"/>
  <c r="CJ93" i="14" s="1"/>
  <c r="CC100" i="3" s="1"/>
  <c r="CA93" i="14"/>
  <c r="CB93" i="14" s="1"/>
  <c r="BZ93" i="14"/>
  <c r="AW101" i="3"/>
  <c r="BU92" i="14"/>
  <c r="BV92" i="14"/>
  <c r="BX92" i="14" s="1"/>
  <c r="BS92" i="14"/>
  <c r="BT92" i="14"/>
  <c r="BW92" i="14" s="1"/>
  <c r="BZ92" i="14"/>
  <c r="CA92" i="14"/>
  <c r="CB92" i="14" s="1"/>
  <c r="CM92" i="14" s="1"/>
  <c r="CG99" i="3" s="1"/>
  <c r="CE344" i="14"/>
  <c r="CJ344" i="14" s="1"/>
  <c r="AZ100" i="3" s="1"/>
  <c r="CH344" i="14"/>
  <c r="CM344" i="14" s="1"/>
  <c r="BB100" i="3" s="1"/>
  <c r="AW94" i="14"/>
  <c r="BE95" i="14"/>
  <c r="BG95" i="14" s="1"/>
  <c r="CD95" i="14"/>
  <c r="BN96" i="14"/>
  <c r="BO96" i="14" s="1"/>
  <c r="CD346" i="14"/>
  <c r="BE346" i="14"/>
  <c r="BG346" i="14" s="1"/>
  <c r="BM97" i="14"/>
  <c r="BC97" i="14"/>
  <c r="BD97" i="14" s="1"/>
  <c r="BI97" i="14"/>
  <c r="BJ97" i="14" s="1"/>
  <c r="AA97" i="14"/>
  <c r="AB97" i="14"/>
  <c r="BB97" i="14"/>
  <c r="AD97" i="14"/>
  <c r="AG95" i="14"/>
  <c r="AH95" i="14" s="1"/>
  <c r="AI95" i="14" s="1"/>
  <c r="AJ95" i="14" s="1"/>
  <c r="BA96" i="14"/>
  <c r="BK96" i="14" s="1"/>
  <c r="AC96" i="14"/>
  <c r="AK96" i="14"/>
  <c r="AL96" i="14" s="1"/>
  <c r="AM96" i="14" s="1"/>
  <c r="AN96" i="14" s="1"/>
  <c r="AO96" i="14" s="1"/>
  <c r="AP96" i="14" s="1"/>
  <c r="AQ96" i="14"/>
  <c r="AR96" i="14" s="1"/>
  <c r="AS96" i="14" s="1"/>
  <c r="AT96" i="14" s="1"/>
  <c r="AU96" i="14" s="1"/>
  <c r="AZ96" i="14"/>
  <c r="AF96" i="14"/>
  <c r="AG96" i="14" s="1"/>
  <c r="AH96" i="14" s="1"/>
  <c r="AI96" i="14" s="1"/>
  <c r="AJ96" i="14" s="1"/>
  <c r="Z349" i="14"/>
  <c r="AE349" i="14"/>
  <c r="AE98" i="14"/>
  <c r="Z98" i="14"/>
  <c r="BN347" i="14"/>
  <c r="BO347" i="14" s="1"/>
  <c r="BQ347" i="14"/>
  <c r="BR347" i="14" s="1"/>
  <c r="AX96" i="14"/>
  <c r="BT346" i="14"/>
  <c r="BW346" i="14" s="1"/>
  <c r="BV346" i="14"/>
  <c r="BX346" i="14" s="1"/>
  <c r="CA346" i="14"/>
  <c r="CB346" i="14" s="1"/>
  <c r="AV347" i="14"/>
  <c r="BA347" i="14"/>
  <c r="BK347" i="14" s="1"/>
  <c r="AF347" i="14"/>
  <c r="AG347" i="14" s="1"/>
  <c r="AH347" i="14" s="1"/>
  <c r="AI347" i="14" s="1"/>
  <c r="AJ347" i="14" s="1"/>
  <c r="AQ347" i="14"/>
  <c r="AR347" i="14" s="1"/>
  <c r="AS347" i="14" s="1"/>
  <c r="AT347" i="14" s="1"/>
  <c r="AU347" i="14" s="1"/>
  <c r="AZ347" i="14"/>
  <c r="AK347" i="14"/>
  <c r="AL347" i="14" s="1"/>
  <c r="AM347" i="14" s="1"/>
  <c r="AN347" i="14" s="1"/>
  <c r="AO347" i="14" s="1"/>
  <c r="AP347" i="14" s="1"/>
  <c r="AC347" i="14"/>
  <c r="AW345" i="14"/>
  <c r="AY345" i="14" s="1"/>
  <c r="CH345" i="14" s="1"/>
  <c r="CM345" i="14" s="1"/>
  <c r="BB101" i="3" s="1"/>
  <c r="BZ346" i="14"/>
  <c r="BS346" i="14"/>
  <c r="BU346" i="14"/>
  <c r="AW346" i="14"/>
  <c r="AY346" i="14" s="1"/>
  <c r="BC348" i="14"/>
  <c r="BD348" i="14" s="1"/>
  <c r="BB348" i="14"/>
  <c r="BI348" i="14"/>
  <c r="BJ348" i="14" s="1"/>
  <c r="AD348" i="14"/>
  <c r="AA348" i="14"/>
  <c r="AX348" i="14" s="1"/>
  <c r="BM348" i="14"/>
  <c r="AB348" i="14"/>
  <c r="C102" i="26"/>
  <c r="C102" i="25"/>
  <c r="BI104" i="3"/>
  <c r="D101" i="25"/>
  <c r="D101" i="26"/>
  <c r="BH104" i="3"/>
  <c r="BE104" i="3"/>
  <c r="CF105" i="3"/>
  <c r="BC104" i="3"/>
  <c r="BN104" i="3" s="1"/>
  <c r="CJ104" i="3"/>
  <c r="AV104" i="3" s="1"/>
  <c r="BY105" i="3"/>
  <c r="CI104" i="3"/>
  <c r="BJ103" i="3"/>
  <c r="BP103" i="3" s="1"/>
  <c r="DD264" i="3"/>
  <c r="BR102" i="3"/>
  <c r="BM104" i="3"/>
  <c r="D105" i="3"/>
  <c r="BI105" i="3" s="1"/>
  <c r="BF103" i="3"/>
  <c r="BQ103" i="3" s="1"/>
  <c r="C106" i="3"/>
  <c r="BK105" i="3"/>
  <c r="AY105" i="3"/>
  <c r="BW105" i="3"/>
  <c r="CI105" i="3" s="1"/>
  <c r="BL105" i="3"/>
  <c r="AH105" i="3"/>
  <c r="P102" i="26" s="1"/>
  <c r="AG105" i="3"/>
  <c r="O102" i="26" s="1"/>
  <c r="AJ105" i="3"/>
  <c r="R102" i="26" s="1"/>
  <c r="AI105" i="3"/>
  <c r="Q102" i="26" s="1"/>
  <c r="BO103" i="3"/>
  <c r="AU103" i="3" s="1"/>
  <c r="BD105" i="3" l="1"/>
  <c r="CM93" i="14"/>
  <c r="CG100" i="3" s="1"/>
  <c r="CJ92" i="14"/>
  <c r="CC99" i="3" s="1"/>
  <c r="BV106" i="3"/>
  <c r="BU106" i="3"/>
  <c r="CK92" i="14"/>
  <c r="CD99" i="3" s="1"/>
  <c r="AY94" i="14"/>
  <c r="BQ94" i="14"/>
  <c r="BR94" i="14" s="1"/>
  <c r="CE345" i="14"/>
  <c r="CJ345" i="14" s="1"/>
  <c r="AZ101" i="3" s="1"/>
  <c r="AV97" i="14"/>
  <c r="BM349" i="14"/>
  <c r="AB349" i="14"/>
  <c r="AD349" i="14"/>
  <c r="BB349" i="14"/>
  <c r="AA349" i="14"/>
  <c r="AV349" i="14" s="1"/>
  <c r="BC349" i="14"/>
  <c r="BD349" i="14" s="1"/>
  <c r="BI349" i="14"/>
  <c r="BJ349" i="14" s="1"/>
  <c r="AC348" i="14"/>
  <c r="AF348" i="14"/>
  <c r="AG348" i="14" s="1"/>
  <c r="AH348" i="14" s="1"/>
  <c r="AI348" i="14" s="1"/>
  <c r="AJ348" i="14" s="1"/>
  <c r="AK348" i="14"/>
  <c r="AL348" i="14" s="1"/>
  <c r="AM348" i="14" s="1"/>
  <c r="AN348" i="14" s="1"/>
  <c r="AO348" i="14" s="1"/>
  <c r="AP348" i="14" s="1"/>
  <c r="AZ348" i="14"/>
  <c r="AQ348" i="14"/>
  <c r="AR348" i="14" s="1"/>
  <c r="AS348" i="14" s="1"/>
  <c r="AT348" i="14" s="1"/>
  <c r="AU348" i="14" s="1"/>
  <c r="BA348" i="14"/>
  <c r="BK348" i="14" s="1"/>
  <c r="BE96" i="14"/>
  <c r="BG96" i="14" s="1"/>
  <c r="CD96" i="14"/>
  <c r="BN97" i="14"/>
  <c r="BO97" i="14" s="1"/>
  <c r="CD347" i="14"/>
  <c r="BE347" i="14"/>
  <c r="BG347" i="14" s="1"/>
  <c r="AW96" i="14"/>
  <c r="AF97" i="14"/>
  <c r="AZ97" i="14"/>
  <c r="BA97" i="14"/>
  <c r="BK97" i="14" s="1"/>
  <c r="AC97" i="14"/>
  <c r="AQ97" i="14"/>
  <c r="AR97" i="14" s="1"/>
  <c r="AS97" i="14" s="1"/>
  <c r="AT97" i="14" s="1"/>
  <c r="AU97" i="14" s="1"/>
  <c r="AK97" i="14"/>
  <c r="AL97" i="14" s="1"/>
  <c r="AM97" i="14" s="1"/>
  <c r="AN97" i="14" s="1"/>
  <c r="AO97" i="14" s="1"/>
  <c r="AP97" i="14" s="1"/>
  <c r="BZ347" i="14"/>
  <c r="CA347" i="14"/>
  <c r="CB347" i="14" s="1"/>
  <c r="BT347" i="14"/>
  <c r="BW347" i="14" s="1"/>
  <c r="BV347" i="14"/>
  <c r="BX347" i="14" s="1"/>
  <c r="AX97" i="14"/>
  <c r="AE350" i="14"/>
  <c r="Z350" i="14"/>
  <c r="AE99" i="14"/>
  <c r="Z99" i="14"/>
  <c r="BN348" i="14"/>
  <c r="BO348" i="14" s="1"/>
  <c r="BQ348" i="14"/>
  <c r="BR348" i="14" s="1"/>
  <c r="AW347" i="14"/>
  <c r="AY347" i="14" s="1"/>
  <c r="CF345" i="14"/>
  <c r="CK345" i="14" s="1"/>
  <c r="BA101" i="3" s="1"/>
  <c r="BU347" i="14"/>
  <c r="BS347" i="14"/>
  <c r="AB98" i="14"/>
  <c r="AA98" i="14"/>
  <c r="AV98" i="14" s="1"/>
  <c r="BC98" i="14"/>
  <c r="BD98" i="14" s="1"/>
  <c r="BI98" i="14"/>
  <c r="BJ98" i="14" s="1"/>
  <c r="BB98" i="14"/>
  <c r="AD98" i="14"/>
  <c r="BM98" i="14"/>
  <c r="AV348" i="14"/>
  <c r="AW95" i="14"/>
  <c r="CE346" i="14"/>
  <c r="CJ346" i="14" s="1"/>
  <c r="AZ102" i="3" s="1"/>
  <c r="CH346" i="14"/>
  <c r="CM346" i="14" s="1"/>
  <c r="BB102" i="3" s="1"/>
  <c r="CF346" i="14"/>
  <c r="CK346" i="14" s="1"/>
  <c r="BA102" i="3" s="1"/>
  <c r="BJ104" i="3"/>
  <c r="BP104" i="3" s="1"/>
  <c r="C103" i="25"/>
  <c r="C103" i="26"/>
  <c r="BH105" i="3"/>
  <c r="BJ105" i="3" s="1"/>
  <c r="BP105" i="3" s="1"/>
  <c r="D102" i="25"/>
  <c r="D102" i="26"/>
  <c r="DD265" i="3"/>
  <c r="BG105" i="3"/>
  <c r="BM105" i="3" s="1"/>
  <c r="BE105" i="3"/>
  <c r="CF106" i="3"/>
  <c r="CK105" i="3"/>
  <c r="AW102" i="3"/>
  <c r="BC105" i="3"/>
  <c r="BN105" i="3" s="1"/>
  <c r="BR103" i="3"/>
  <c r="BY106" i="3"/>
  <c r="CJ105" i="3"/>
  <c r="AV105" i="3" s="1"/>
  <c r="BF104" i="3"/>
  <c r="BQ104" i="3" s="1"/>
  <c r="D106" i="3"/>
  <c r="BG106" i="3" s="1"/>
  <c r="BO104" i="3"/>
  <c r="AU104" i="3" s="1"/>
  <c r="C107" i="3"/>
  <c r="BW106" i="3"/>
  <c r="CI106" i="3" s="1"/>
  <c r="BL106" i="3"/>
  <c r="BK106" i="3"/>
  <c r="AY106" i="3"/>
  <c r="AG106" i="3"/>
  <c r="O103" i="26" s="1"/>
  <c r="AJ106" i="3"/>
  <c r="R103" i="26" s="1"/>
  <c r="AI106" i="3"/>
  <c r="Q103" i="26" s="1"/>
  <c r="AH106" i="3"/>
  <c r="P103" i="26" s="1"/>
  <c r="BD106" i="3" l="1"/>
  <c r="BV107" i="3"/>
  <c r="BU107" i="3"/>
  <c r="CF94" i="14"/>
  <c r="CE94" i="14"/>
  <c r="CH94" i="14"/>
  <c r="BT94" i="14"/>
  <c r="BW94" i="14" s="1"/>
  <c r="BZ94" i="14"/>
  <c r="BV94" i="14"/>
  <c r="BX94" i="14" s="1"/>
  <c r="BU94" i="14"/>
  <c r="CA94" i="14"/>
  <c r="CB94" i="14" s="1"/>
  <c r="BS94" i="14"/>
  <c r="AY96" i="14"/>
  <c r="CF96" i="14" s="1"/>
  <c r="BQ96" i="14"/>
  <c r="BR96" i="14" s="1"/>
  <c r="AY95" i="14"/>
  <c r="CH95" i="14" s="1"/>
  <c r="BQ95" i="14"/>
  <c r="BR95" i="14" s="1"/>
  <c r="AX98" i="14"/>
  <c r="AX349" i="14"/>
  <c r="Z351" i="14"/>
  <c r="AE351" i="14"/>
  <c r="Z100" i="14"/>
  <c r="AE100" i="14"/>
  <c r="CD348" i="14"/>
  <c r="BE348" i="14"/>
  <c r="BG348" i="14" s="1"/>
  <c r="AZ98" i="14"/>
  <c r="BA98" i="14"/>
  <c r="BK98" i="14" s="1"/>
  <c r="AC98" i="14"/>
  <c r="AQ98" i="14"/>
  <c r="AR98" i="14" s="1"/>
  <c r="AS98" i="14" s="1"/>
  <c r="AT98" i="14" s="1"/>
  <c r="AU98" i="14" s="1"/>
  <c r="AF98" i="14"/>
  <c r="AK98" i="14"/>
  <c r="AL98" i="14" s="1"/>
  <c r="AM98" i="14" s="1"/>
  <c r="AN98" i="14" s="1"/>
  <c r="AO98" i="14" s="1"/>
  <c r="AP98" i="14" s="1"/>
  <c r="BM99" i="14"/>
  <c r="BC99" i="14"/>
  <c r="BD99" i="14" s="1"/>
  <c r="BI99" i="14"/>
  <c r="BJ99" i="14" s="1"/>
  <c r="AA99" i="14"/>
  <c r="AV99" i="14" s="1"/>
  <c r="AB99" i="14"/>
  <c r="BB99" i="14"/>
  <c r="AD99" i="14"/>
  <c r="AX99" i="14"/>
  <c r="AW348" i="14"/>
  <c r="AY348" i="14" s="1"/>
  <c r="CE348" i="14" s="1"/>
  <c r="AC349" i="14"/>
  <c r="AF349" i="14"/>
  <c r="AK349" i="14"/>
  <c r="AZ349" i="14"/>
  <c r="AQ349" i="14"/>
  <c r="AR349" i="14" s="1"/>
  <c r="AS349" i="14" s="1"/>
  <c r="AT349" i="14" s="1"/>
  <c r="AU349" i="14" s="1"/>
  <c r="BA349" i="14"/>
  <c r="BK349" i="14" s="1"/>
  <c r="AL349" i="14"/>
  <c r="AM349" i="14" s="1"/>
  <c r="AN349" i="14" s="1"/>
  <c r="AO349" i="14" s="1"/>
  <c r="AP349" i="14" s="1"/>
  <c r="BN349" i="14"/>
  <c r="BO349" i="14" s="1"/>
  <c r="BQ349" i="14"/>
  <c r="BR349" i="14" s="1"/>
  <c r="BE97" i="14"/>
  <c r="BG97" i="14" s="1"/>
  <c r="CD97" i="14"/>
  <c r="CF347" i="14"/>
  <c r="CK347" i="14" s="1"/>
  <c r="BA103" i="3" s="1"/>
  <c r="CE347" i="14"/>
  <c r="CJ347" i="14" s="1"/>
  <c r="AZ103" i="3" s="1"/>
  <c r="CH347" i="14"/>
  <c r="CM347" i="14" s="1"/>
  <c r="BB103" i="3" s="1"/>
  <c r="BN98" i="14"/>
  <c r="BO98" i="14" s="1"/>
  <c r="CA348" i="14"/>
  <c r="CB348" i="14" s="1"/>
  <c r="BV348" i="14"/>
  <c r="BX348" i="14" s="1"/>
  <c r="BT348" i="14"/>
  <c r="BW348" i="14" s="1"/>
  <c r="AD350" i="14"/>
  <c r="BM350" i="14"/>
  <c r="BB350" i="14"/>
  <c r="BI350" i="14"/>
  <c r="BJ350" i="14" s="1"/>
  <c r="AA350" i="14"/>
  <c r="AV350" i="14" s="1"/>
  <c r="AB350" i="14"/>
  <c r="BC350" i="14"/>
  <c r="BD350" i="14" s="1"/>
  <c r="AG97" i="14"/>
  <c r="AH97" i="14" s="1"/>
  <c r="AI97" i="14" s="1"/>
  <c r="AJ97" i="14" s="1"/>
  <c r="BZ348" i="14"/>
  <c r="BU348" i="14"/>
  <c r="BS348" i="14"/>
  <c r="BR104" i="3"/>
  <c r="BI106" i="3"/>
  <c r="C104" i="26"/>
  <c r="C104" i="25"/>
  <c r="BH106" i="3"/>
  <c r="D103" i="26"/>
  <c r="D103" i="25"/>
  <c r="BE106" i="3"/>
  <c r="CF107" i="3"/>
  <c r="CJ106" i="3"/>
  <c r="AV106" i="3" s="1"/>
  <c r="AW103" i="3"/>
  <c r="CK106" i="3"/>
  <c r="BC106" i="3"/>
  <c r="BN106" i="3" s="1"/>
  <c r="BY107" i="3"/>
  <c r="DD266" i="3"/>
  <c r="BM106" i="3"/>
  <c r="BF105" i="3"/>
  <c r="BQ105" i="3" s="1"/>
  <c r="BR105" i="3" s="1"/>
  <c r="D107" i="3"/>
  <c r="BO105" i="3"/>
  <c r="AU105" i="3" s="1"/>
  <c r="C108" i="3"/>
  <c r="BW107" i="3"/>
  <c r="CI107" i="3" s="1"/>
  <c r="BL107" i="3"/>
  <c r="BK107" i="3"/>
  <c r="AY107" i="3"/>
  <c r="AJ107" i="3"/>
  <c r="R104" i="26" s="1"/>
  <c r="AI107" i="3"/>
  <c r="Q104" i="26" s="1"/>
  <c r="AH107" i="3"/>
  <c r="P104" i="26" s="1"/>
  <c r="AG107" i="3"/>
  <c r="O104" i="26" s="1"/>
  <c r="BD107" i="3" l="1"/>
  <c r="CE95" i="14"/>
  <c r="CF95" i="14"/>
  <c r="CE96" i="14"/>
  <c r="CK94" i="14"/>
  <c r="CD101" i="3" s="1"/>
  <c r="BU108" i="3"/>
  <c r="BV108" i="3"/>
  <c r="CM94" i="14"/>
  <c r="CG101" i="3" s="1"/>
  <c r="CJ94" i="14"/>
  <c r="CC101" i="3" s="1"/>
  <c r="CH96" i="14"/>
  <c r="BV95" i="14"/>
  <c r="BX95" i="14" s="1"/>
  <c r="BU95" i="14"/>
  <c r="CA95" i="14"/>
  <c r="CB95" i="14" s="1"/>
  <c r="CM95" i="14" s="1"/>
  <c r="CG102" i="3" s="1"/>
  <c r="BZ95" i="14"/>
  <c r="BT95" i="14"/>
  <c r="BW95" i="14" s="1"/>
  <c r="BS95" i="14"/>
  <c r="AW104" i="3"/>
  <c r="BS96" i="14"/>
  <c r="BV96" i="14"/>
  <c r="BX96" i="14" s="1"/>
  <c r="CK96" i="14" s="1"/>
  <c r="CD103" i="3" s="1"/>
  <c r="BT96" i="14"/>
  <c r="BW96" i="14" s="1"/>
  <c r="BZ96" i="14"/>
  <c r="CA96" i="14"/>
  <c r="CB96" i="14" s="1"/>
  <c r="BU96" i="14"/>
  <c r="AX350" i="14"/>
  <c r="CD98" i="14"/>
  <c r="BE98" i="14"/>
  <c r="BG98" i="14" s="1"/>
  <c r="AB100" i="14"/>
  <c r="AA100" i="14"/>
  <c r="AV100" i="14" s="1"/>
  <c r="BC100" i="14"/>
  <c r="BD100" i="14" s="1"/>
  <c r="BI100" i="14"/>
  <c r="BJ100" i="14" s="1"/>
  <c r="BB100" i="14"/>
  <c r="AD100" i="14"/>
  <c r="BM100" i="14"/>
  <c r="CJ348" i="14"/>
  <c r="AZ104" i="3" s="1"/>
  <c r="BN99" i="14"/>
  <c r="BO99" i="14" s="1"/>
  <c r="AE352" i="14"/>
  <c r="Z352" i="14"/>
  <c r="AE101" i="14"/>
  <c r="Z101" i="14"/>
  <c r="AW97" i="14"/>
  <c r="AG349" i="14"/>
  <c r="AH349" i="14" s="1"/>
  <c r="AI349" i="14" s="1"/>
  <c r="AJ349" i="14" s="1"/>
  <c r="AC99" i="14"/>
  <c r="BA99" i="14"/>
  <c r="BK99" i="14" s="1"/>
  <c r="AK99" i="14"/>
  <c r="AL99" i="14" s="1"/>
  <c r="AM99" i="14" s="1"/>
  <c r="AN99" i="14" s="1"/>
  <c r="AO99" i="14" s="1"/>
  <c r="AP99" i="14" s="1"/>
  <c r="AZ99" i="14"/>
  <c r="AQ99" i="14"/>
  <c r="AR99" i="14" s="1"/>
  <c r="AS99" i="14" s="1"/>
  <c r="AT99" i="14" s="1"/>
  <c r="AU99" i="14" s="1"/>
  <c r="AF99" i="14"/>
  <c r="AG98" i="14"/>
  <c r="AH98" i="14" s="1"/>
  <c r="AI98" i="14" s="1"/>
  <c r="AJ98" i="14" s="1"/>
  <c r="CF348" i="14"/>
  <c r="CK348" i="14" s="1"/>
  <c r="BA104" i="3" s="1"/>
  <c r="CH348" i="14"/>
  <c r="CM348" i="14" s="1"/>
  <c r="BB104" i="3" s="1"/>
  <c r="BB351" i="14"/>
  <c r="BM351" i="14"/>
  <c r="AA351" i="14"/>
  <c r="AV351" i="14" s="1"/>
  <c r="AB351" i="14"/>
  <c r="AD351" i="14"/>
  <c r="BC351" i="14"/>
  <c r="BD351" i="14" s="1"/>
  <c r="BI351" i="14"/>
  <c r="BJ351" i="14" s="1"/>
  <c r="BU349" i="14"/>
  <c r="BS349" i="14"/>
  <c r="BZ349" i="14"/>
  <c r="CD349" i="14"/>
  <c r="BE349" i="14"/>
  <c r="BG349" i="14" s="1"/>
  <c r="AF350" i="14"/>
  <c r="AK350" i="14"/>
  <c r="AL350" i="14" s="1"/>
  <c r="AM350" i="14" s="1"/>
  <c r="AN350" i="14" s="1"/>
  <c r="AO350" i="14" s="1"/>
  <c r="AP350" i="14" s="1"/>
  <c r="AZ350" i="14"/>
  <c r="AC350" i="14"/>
  <c r="AQ350" i="14"/>
  <c r="AR350" i="14" s="1"/>
  <c r="AS350" i="14" s="1"/>
  <c r="AT350" i="14" s="1"/>
  <c r="AU350" i="14" s="1"/>
  <c r="BA350" i="14"/>
  <c r="BK350" i="14" s="1"/>
  <c r="BN350" i="14"/>
  <c r="BO350" i="14" s="1"/>
  <c r="BQ350" i="14"/>
  <c r="BR350" i="14" s="1"/>
  <c r="BV349" i="14"/>
  <c r="BX349" i="14" s="1"/>
  <c r="CA349" i="14"/>
  <c r="CB349" i="14" s="1"/>
  <c r="BT349" i="14"/>
  <c r="BW349" i="14" s="1"/>
  <c r="C105" i="26"/>
  <c r="C105" i="25"/>
  <c r="BH107" i="3"/>
  <c r="D104" i="25"/>
  <c r="D104" i="26"/>
  <c r="BG107" i="3"/>
  <c r="BM107" i="3" s="1"/>
  <c r="BI107" i="3"/>
  <c r="BE107" i="3"/>
  <c r="CK107" i="3"/>
  <c r="CF108" i="3"/>
  <c r="BC107" i="3"/>
  <c r="BN107" i="3" s="1"/>
  <c r="CJ107" i="3"/>
  <c r="AV107" i="3" s="1"/>
  <c r="BY108" i="3"/>
  <c r="DD267" i="3"/>
  <c r="BJ106" i="3"/>
  <c r="BP106" i="3" s="1"/>
  <c r="BF106" i="3"/>
  <c r="BQ106" i="3" s="1"/>
  <c r="D108" i="3"/>
  <c r="AW105" i="3"/>
  <c r="C109" i="3"/>
  <c r="BK108" i="3"/>
  <c r="AY108" i="3"/>
  <c r="AI108" i="3"/>
  <c r="Q105" i="26" s="1"/>
  <c r="AH108" i="3"/>
  <c r="P105" i="26" s="1"/>
  <c r="BW108" i="3"/>
  <c r="CK108" i="3" s="1"/>
  <c r="BL108" i="3"/>
  <c r="AG108" i="3"/>
  <c r="O105" i="26" s="1"/>
  <c r="AJ108" i="3"/>
  <c r="R105" i="26" s="1"/>
  <c r="BO106" i="3"/>
  <c r="AU106" i="3" s="1"/>
  <c r="BD108" i="3" l="1"/>
  <c r="CJ95" i="14"/>
  <c r="CC102" i="3" s="1"/>
  <c r="CK95" i="14"/>
  <c r="CD102" i="3" s="1"/>
  <c r="CJ96" i="14"/>
  <c r="CC103" i="3" s="1"/>
  <c r="CM96" i="14"/>
  <c r="CG103" i="3" s="1"/>
  <c r="AX100" i="14"/>
  <c r="BV109" i="3"/>
  <c r="BU109" i="3"/>
  <c r="AY97" i="14"/>
  <c r="CH97" i="14" s="1"/>
  <c r="BQ97" i="14"/>
  <c r="BR97" i="14" s="1"/>
  <c r="AX351" i="14"/>
  <c r="BS350" i="14"/>
  <c r="BU350" i="14"/>
  <c r="BZ350" i="14"/>
  <c r="BE350" i="14"/>
  <c r="BG350" i="14" s="1"/>
  <c r="CD350" i="14"/>
  <c r="BM101" i="14"/>
  <c r="BI101" i="14"/>
  <c r="BJ101" i="14" s="1"/>
  <c r="AA101" i="14"/>
  <c r="AB101" i="14"/>
  <c r="BC101" i="14"/>
  <c r="BD101" i="14" s="1"/>
  <c r="AD101" i="14"/>
  <c r="BB101" i="14"/>
  <c r="BN100" i="14"/>
  <c r="BO100" i="14" s="1"/>
  <c r="AG350" i="14"/>
  <c r="AH350" i="14" s="1"/>
  <c r="AI350" i="14" s="1"/>
  <c r="AJ350" i="14" s="1"/>
  <c r="AG99" i="14"/>
  <c r="AH99" i="14" s="1"/>
  <c r="AI99" i="14" s="1"/>
  <c r="AJ99" i="14" s="1"/>
  <c r="CD99" i="14"/>
  <c r="BE99" i="14"/>
  <c r="BG99" i="14" s="1"/>
  <c r="AW349" i="14"/>
  <c r="AY349" i="14" s="1"/>
  <c r="CF349" i="14" s="1"/>
  <c r="CK349" i="14" s="1"/>
  <c r="BA105" i="3" s="1"/>
  <c r="BN351" i="14"/>
  <c r="BO351" i="14" s="1"/>
  <c r="BQ351" i="14"/>
  <c r="BR351" i="14" s="1"/>
  <c r="AE353" i="14"/>
  <c r="AE102" i="14"/>
  <c r="Z102" i="14"/>
  <c r="Z353" i="14"/>
  <c r="CA350" i="14"/>
  <c r="CB350" i="14" s="1"/>
  <c r="BT350" i="14"/>
  <c r="BW350" i="14" s="1"/>
  <c r="BV350" i="14"/>
  <c r="BX350" i="14" s="1"/>
  <c r="AK351" i="14"/>
  <c r="AL351" i="14" s="1"/>
  <c r="AM351" i="14" s="1"/>
  <c r="AN351" i="14" s="1"/>
  <c r="AO351" i="14" s="1"/>
  <c r="AP351" i="14" s="1"/>
  <c r="AF351" i="14"/>
  <c r="AG351" i="14" s="1"/>
  <c r="AH351" i="14" s="1"/>
  <c r="AI351" i="14" s="1"/>
  <c r="AJ351" i="14" s="1"/>
  <c r="BA351" i="14"/>
  <c r="BK351" i="14" s="1"/>
  <c r="AC351" i="14"/>
  <c r="AZ351" i="14"/>
  <c r="AQ351" i="14"/>
  <c r="AR351" i="14" s="1"/>
  <c r="AS351" i="14" s="1"/>
  <c r="AT351" i="14" s="1"/>
  <c r="AU351" i="14" s="1"/>
  <c r="AA352" i="14"/>
  <c r="AV352" i="14" s="1"/>
  <c r="BC352" i="14"/>
  <c r="BD352" i="14" s="1"/>
  <c r="BM352" i="14"/>
  <c r="BI352" i="14"/>
  <c r="BJ352" i="14" s="1"/>
  <c r="AD352" i="14"/>
  <c r="AB352" i="14"/>
  <c r="BB352" i="14"/>
  <c r="BA100" i="14"/>
  <c r="BK100" i="14" s="1"/>
  <c r="AC100" i="14"/>
  <c r="AK100" i="14"/>
  <c r="AL100" i="14" s="1"/>
  <c r="AM100" i="14" s="1"/>
  <c r="AN100" i="14" s="1"/>
  <c r="AO100" i="14" s="1"/>
  <c r="AP100" i="14" s="1"/>
  <c r="AQ100" i="14"/>
  <c r="AR100" i="14" s="1"/>
  <c r="AS100" i="14" s="1"/>
  <c r="AT100" i="14" s="1"/>
  <c r="AU100" i="14" s="1"/>
  <c r="AZ100" i="14"/>
  <c r="AF100" i="14"/>
  <c r="AW98" i="14"/>
  <c r="C106" i="26"/>
  <c r="C106" i="25"/>
  <c r="BH108" i="3"/>
  <c r="D105" i="25"/>
  <c r="D105" i="26"/>
  <c r="DD268" i="3"/>
  <c r="BG108" i="3"/>
  <c r="BM108" i="3" s="1"/>
  <c r="BI108" i="3"/>
  <c r="BE108" i="3"/>
  <c r="CF109" i="3"/>
  <c r="BC108" i="3"/>
  <c r="BN108" i="3" s="1"/>
  <c r="CJ108" i="3"/>
  <c r="AV108" i="3" s="1"/>
  <c r="BY109" i="3"/>
  <c r="CI108" i="3"/>
  <c r="BJ107" i="3"/>
  <c r="BP107" i="3" s="1"/>
  <c r="BR106" i="3"/>
  <c r="D109" i="3"/>
  <c r="BH109" i="3" s="1"/>
  <c r="BF107" i="3"/>
  <c r="BQ107" i="3" s="1"/>
  <c r="C110" i="3"/>
  <c r="BW109" i="3"/>
  <c r="CI109" i="3" s="1"/>
  <c r="BL109" i="3"/>
  <c r="BK109" i="3"/>
  <c r="AY109" i="3"/>
  <c r="AH109" i="3"/>
  <c r="P106" i="26" s="1"/>
  <c r="AG109" i="3"/>
  <c r="O106" i="26" s="1"/>
  <c r="AJ109" i="3"/>
  <c r="R106" i="26" s="1"/>
  <c r="AI109" i="3"/>
  <c r="Q106" i="26" s="1"/>
  <c r="BO107" i="3"/>
  <c r="AU107" i="3" s="1"/>
  <c r="CE97" i="14" l="1"/>
  <c r="CF97" i="14"/>
  <c r="BD109" i="3"/>
  <c r="BV110" i="3"/>
  <c r="BU110" i="3"/>
  <c r="BZ97" i="14"/>
  <c r="BT97" i="14"/>
  <c r="BW97" i="14" s="1"/>
  <c r="BS97" i="14"/>
  <c r="BV97" i="14"/>
  <c r="BX97" i="14" s="1"/>
  <c r="BU97" i="14"/>
  <c r="CA97" i="14"/>
  <c r="CB97" i="14" s="1"/>
  <c r="CM97" i="14" s="1"/>
  <c r="CG104" i="3" s="1"/>
  <c r="AY98" i="14"/>
  <c r="CH98" i="14" s="1"/>
  <c r="BQ98" i="14"/>
  <c r="BR98" i="14" s="1"/>
  <c r="AX352" i="14"/>
  <c r="CE349" i="14"/>
  <c r="CJ349" i="14" s="1"/>
  <c r="AZ105" i="3" s="1"/>
  <c r="CH349" i="14"/>
  <c r="CM349" i="14" s="1"/>
  <c r="BB105" i="3" s="1"/>
  <c r="AQ101" i="14"/>
  <c r="AR101" i="14" s="1"/>
  <c r="AS101" i="14" s="1"/>
  <c r="AT101" i="14" s="1"/>
  <c r="AU101" i="14" s="1"/>
  <c r="BA101" i="14"/>
  <c r="BK101" i="14" s="1"/>
  <c r="AC101" i="14"/>
  <c r="AZ101" i="14"/>
  <c r="AF101" i="14"/>
  <c r="AK101" i="14"/>
  <c r="AL101" i="14" s="1"/>
  <c r="AM101" i="14" s="1"/>
  <c r="AN101" i="14" s="1"/>
  <c r="AO101" i="14" s="1"/>
  <c r="AP101" i="14" s="1"/>
  <c r="BV351" i="14"/>
  <c r="BX351" i="14" s="1"/>
  <c r="BT351" i="14"/>
  <c r="BW351" i="14" s="1"/>
  <c r="CA351" i="14"/>
  <c r="CB351" i="14" s="1"/>
  <c r="BE100" i="14"/>
  <c r="BG100" i="14" s="1"/>
  <c r="CD100" i="14"/>
  <c r="AQ352" i="14"/>
  <c r="AR352" i="14" s="1"/>
  <c r="AS352" i="14" s="1"/>
  <c r="AT352" i="14" s="1"/>
  <c r="AU352" i="14" s="1"/>
  <c r="BA352" i="14"/>
  <c r="BK352" i="14" s="1"/>
  <c r="AF352" i="14"/>
  <c r="AC352" i="14"/>
  <c r="AZ352" i="14"/>
  <c r="AK352" i="14"/>
  <c r="AL352" i="14" s="1"/>
  <c r="AM352" i="14" s="1"/>
  <c r="AN352" i="14" s="1"/>
  <c r="AO352" i="14" s="1"/>
  <c r="AP352" i="14" s="1"/>
  <c r="AW351" i="14"/>
  <c r="AY351" i="14" s="1"/>
  <c r="AX101" i="14"/>
  <c r="AW99" i="14"/>
  <c r="AD353" i="14"/>
  <c r="BB353" i="14"/>
  <c r="BM353" i="14"/>
  <c r="AB353" i="14"/>
  <c r="BI353" i="14"/>
  <c r="BJ353" i="14" s="1"/>
  <c r="AA353" i="14"/>
  <c r="AX353" i="14" s="1"/>
  <c r="BC353" i="14"/>
  <c r="BD353" i="14" s="1"/>
  <c r="AE354" i="14"/>
  <c r="AE103" i="14"/>
  <c r="Z103" i="14"/>
  <c r="Z354" i="14"/>
  <c r="BQ352" i="14"/>
  <c r="BR352" i="14" s="1"/>
  <c r="BN352" i="14"/>
  <c r="BO352" i="14" s="1"/>
  <c r="AB102" i="14"/>
  <c r="AA102" i="14"/>
  <c r="AX102" i="14" s="1"/>
  <c r="BC102" i="14"/>
  <c r="BD102" i="14" s="1"/>
  <c r="BI102" i="14"/>
  <c r="BJ102" i="14" s="1"/>
  <c r="BB102" i="14"/>
  <c r="AD102" i="14"/>
  <c r="BM102" i="14"/>
  <c r="AV101" i="14"/>
  <c r="AG100" i="14"/>
  <c r="AH100" i="14" s="1"/>
  <c r="AI100" i="14" s="1"/>
  <c r="AJ100" i="14" s="1"/>
  <c r="CD351" i="14"/>
  <c r="BE351" i="14"/>
  <c r="BG351" i="14" s="1"/>
  <c r="BS351" i="14"/>
  <c r="BZ351" i="14"/>
  <c r="BU351" i="14"/>
  <c r="BN101" i="14"/>
  <c r="BO101" i="14" s="1"/>
  <c r="AW350" i="14"/>
  <c r="AY350" i="14" s="1"/>
  <c r="CE350" i="14" s="1"/>
  <c r="CJ350" i="14" s="1"/>
  <c r="AZ106" i="3" s="1"/>
  <c r="BG109" i="3"/>
  <c r="BM109" i="3" s="1"/>
  <c r="D106" i="25"/>
  <c r="D106" i="26"/>
  <c r="BI109" i="3"/>
  <c r="C107" i="25"/>
  <c r="C107" i="26"/>
  <c r="BE109" i="3"/>
  <c r="AW106" i="3"/>
  <c r="CF110" i="3"/>
  <c r="CK109" i="3"/>
  <c r="BJ108" i="3"/>
  <c r="BP108" i="3" s="1"/>
  <c r="BC109" i="3"/>
  <c r="BN109" i="3" s="1"/>
  <c r="BR107" i="3"/>
  <c r="CJ109" i="3"/>
  <c r="AV109" i="3" s="1"/>
  <c r="BY110" i="3"/>
  <c r="DD269" i="3"/>
  <c r="BF108" i="3"/>
  <c r="BQ108" i="3" s="1"/>
  <c r="D110" i="3"/>
  <c r="BG110" i="3" s="1"/>
  <c r="C111" i="3"/>
  <c r="BW110" i="3"/>
  <c r="CK110" i="3" s="1"/>
  <c r="BL110" i="3"/>
  <c r="BK110" i="3"/>
  <c r="AY110" i="3"/>
  <c r="AG110" i="3"/>
  <c r="O107" i="26" s="1"/>
  <c r="AJ110" i="3"/>
  <c r="R107" i="26" s="1"/>
  <c r="AI110" i="3"/>
  <c r="Q107" i="26" s="1"/>
  <c r="AH110" i="3"/>
  <c r="P107" i="26" s="1"/>
  <c r="BO108" i="3"/>
  <c r="AU108" i="3" s="1"/>
  <c r="CK97" i="14" l="1"/>
  <c r="CD104" i="3" s="1"/>
  <c r="CJ97" i="14"/>
  <c r="CC104" i="3" s="1"/>
  <c r="BD110" i="3"/>
  <c r="BV111" i="3"/>
  <c r="BU111" i="3"/>
  <c r="CE98" i="14"/>
  <c r="CF98" i="14"/>
  <c r="BV98" i="14"/>
  <c r="BX98" i="14" s="1"/>
  <c r="BS98" i="14"/>
  <c r="CA98" i="14"/>
  <c r="CB98" i="14" s="1"/>
  <c r="CM98" i="14" s="1"/>
  <c r="CG105" i="3" s="1"/>
  <c r="BT98" i="14"/>
  <c r="BW98" i="14" s="1"/>
  <c r="BZ98" i="14"/>
  <c r="BU98" i="14"/>
  <c r="AY99" i="14"/>
  <c r="CH99" i="14" s="1"/>
  <c r="BQ99" i="14"/>
  <c r="BR99" i="14" s="1"/>
  <c r="DD270" i="3"/>
  <c r="AW100" i="14"/>
  <c r="CH350" i="14"/>
  <c r="CM350" i="14" s="1"/>
  <c r="BB106" i="3" s="1"/>
  <c r="AZ102" i="14"/>
  <c r="AQ102" i="14"/>
  <c r="AR102" i="14" s="1"/>
  <c r="AS102" i="14" s="1"/>
  <c r="AT102" i="14" s="1"/>
  <c r="AU102" i="14" s="1"/>
  <c r="BA102" i="14"/>
  <c r="BK102" i="14" s="1"/>
  <c r="AF102" i="14"/>
  <c r="AK102" i="14"/>
  <c r="AL102" i="14" s="1"/>
  <c r="AM102" i="14" s="1"/>
  <c r="AN102" i="14" s="1"/>
  <c r="AO102" i="14" s="1"/>
  <c r="AP102" i="14" s="1"/>
  <c r="AC102" i="14"/>
  <c r="CD101" i="14"/>
  <c r="BE101" i="14"/>
  <c r="BG101" i="14" s="1"/>
  <c r="CF350" i="14"/>
  <c r="CK350" i="14" s="1"/>
  <c r="BA106" i="3" s="1"/>
  <c r="Z355" i="14"/>
  <c r="AE104" i="14"/>
  <c r="Z104" i="14"/>
  <c r="AE355" i="14"/>
  <c r="AV102" i="14"/>
  <c r="CA352" i="14"/>
  <c r="CB352" i="14" s="1"/>
  <c r="BV352" i="14"/>
  <c r="BX352" i="14" s="1"/>
  <c r="BT352" i="14"/>
  <c r="BW352" i="14" s="1"/>
  <c r="AV353" i="14"/>
  <c r="AC353" i="14"/>
  <c r="AZ353" i="14"/>
  <c r="AQ353" i="14"/>
  <c r="AR353" i="14" s="1"/>
  <c r="AS353" i="14" s="1"/>
  <c r="AT353" i="14" s="1"/>
  <c r="AU353" i="14" s="1"/>
  <c r="BA353" i="14"/>
  <c r="BK353" i="14" s="1"/>
  <c r="AK353" i="14"/>
  <c r="AL353" i="14" s="1"/>
  <c r="AM353" i="14" s="1"/>
  <c r="AN353" i="14" s="1"/>
  <c r="AO353" i="14" s="1"/>
  <c r="AP353" i="14" s="1"/>
  <c r="AF353" i="14"/>
  <c r="AG352" i="14"/>
  <c r="AH352" i="14" s="1"/>
  <c r="AI352" i="14" s="1"/>
  <c r="AJ352" i="14" s="1"/>
  <c r="CD352" i="14"/>
  <c r="BE352" i="14"/>
  <c r="BG352" i="14" s="1"/>
  <c r="AG101" i="14"/>
  <c r="AH101" i="14" s="1"/>
  <c r="AI101" i="14" s="1"/>
  <c r="AJ101" i="14" s="1"/>
  <c r="CH351" i="14"/>
  <c r="CM351" i="14" s="1"/>
  <c r="BB107" i="3" s="1"/>
  <c r="CF351" i="14"/>
  <c r="CK351" i="14" s="1"/>
  <c r="BA107" i="3" s="1"/>
  <c r="CE351" i="14"/>
  <c r="CJ351" i="14" s="1"/>
  <c r="AZ107" i="3" s="1"/>
  <c r="BB354" i="14"/>
  <c r="AD354" i="14"/>
  <c r="BM354" i="14"/>
  <c r="BC354" i="14"/>
  <c r="BD354" i="14" s="1"/>
  <c r="BI354" i="14"/>
  <c r="BJ354" i="14" s="1"/>
  <c r="AB354" i="14"/>
  <c r="AA354" i="14"/>
  <c r="AX354" i="14" s="1"/>
  <c r="BN102" i="14"/>
  <c r="BO102" i="14" s="1"/>
  <c r="BZ352" i="14"/>
  <c r="BU352" i="14"/>
  <c r="BS352" i="14"/>
  <c r="BM103" i="14"/>
  <c r="BC103" i="14"/>
  <c r="BD103" i="14" s="1"/>
  <c r="AA103" i="14"/>
  <c r="AX103" i="14" s="1"/>
  <c r="BI103" i="14"/>
  <c r="BJ103" i="14" s="1"/>
  <c r="AB103" i="14"/>
  <c r="AD103" i="14"/>
  <c r="BB103" i="14"/>
  <c r="BN353" i="14"/>
  <c r="BO353" i="14" s="1"/>
  <c r="BQ353" i="14"/>
  <c r="BR353" i="14" s="1"/>
  <c r="C108" i="26"/>
  <c r="C108" i="25"/>
  <c r="BH110" i="3"/>
  <c r="D107" i="26"/>
  <c r="D107" i="25"/>
  <c r="BI110" i="3"/>
  <c r="BE110" i="3"/>
  <c r="AW107" i="3"/>
  <c r="CF111" i="3"/>
  <c r="CJ110" i="3"/>
  <c r="AV110" i="3" s="1"/>
  <c r="BR108" i="3"/>
  <c r="BJ109" i="3"/>
  <c r="BP109" i="3" s="1"/>
  <c r="BC110" i="3"/>
  <c r="BN110" i="3" s="1"/>
  <c r="CI110" i="3"/>
  <c r="BY111" i="3"/>
  <c r="BM110" i="3"/>
  <c r="D111" i="3"/>
  <c r="BF109" i="3"/>
  <c r="BQ109" i="3" s="1"/>
  <c r="BO109" i="3"/>
  <c r="AU109" i="3" s="1"/>
  <c r="C112" i="3"/>
  <c r="BW111" i="3"/>
  <c r="CI111" i="3" s="1"/>
  <c r="BL111" i="3"/>
  <c r="AY111" i="3"/>
  <c r="BK111" i="3"/>
  <c r="AJ111" i="3"/>
  <c r="R108" i="26" s="1"/>
  <c r="AI111" i="3"/>
  <c r="Q108" i="26" s="1"/>
  <c r="AH111" i="3"/>
  <c r="P108" i="26" s="1"/>
  <c r="AG111" i="3"/>
  <c r="O108" i="26" s="1"/>
  <c r="CJ98" i="14" l="1"/>
  <c r="CC105" i="3" s="1"/>
  <c r="BD111" i="3"/>
  <c r="BV112" i="3"/>
  <c r="BU112" i="3"/>
  <c r="CK98" i="14"/>
  <c r="CD105" i="3" s="1"/>
  <c r="CF99" i="14"/>
  <c r="CE99" i="14"/>
  <c r="AY100" i="14"/>
  <c r="BQ100" i="14"/>
  <c r="BR100" i="14" s="1"/>
  <c r="AW108" i="3"/>
  <c r="CA99" i="14"/>
  <c r="CB99" i="14" s="1"/>
  <c r="CM99" i="14" s="1"/>
  <c r="CG106" i="3" s="1"/>
  <c r="BS99" i="14"/>
  <c r="BV99" i="14"/>
  <c r="BX99" i="14" s="1"/>
  <c r="BZ99" i="14"/>
  <c r="BU99" i="14"/>
  <c r="BT99" i="14"/>
  <c r="BW99" i="14" s="1"/>
  <c r="AV354" i="14"/>
  <c r="AV103" i="14"/>
  <c r="AW101" i="14"/>
  <c r="CD353" i="14"/>
  <c r="BE353" i="14"/>
  <c r="BG353" i="14" s="1"/>
  <c r="AG353" i="14"/>
  <c r="AH353" i="14" s="1"/>
  <c r="AI353" i="14" s="1"/>
  <c r="AJ353" i="14" s="1"/>
  <c r="AB104" i="14"/>
  <c r="BC104" i="14"/>
  <c r="BD104" i="14" s="1"/>
  <c r="BI104" i="14"/>
  <c r="BJ104" i="14" s="1"/>
  <c r="AA104" i="14"/>
  <c r="AX104" i="14" s="1"/>
  <c r="BB104" i="14"/>
  <c r="BM104" i="14"/>
  <c r="AD104" i="14"/>
  <c r="CD102" i="14"/>
  <c r="BE102" i="14"/>
  <c r="BG102" i="14" s="1"/>
  <c r="Z356" i="14"/>
  <c r="AE105" i="14"/>
  <c r="AE356" i="14"/>
  <c r="Z105" i="14"/>
  <c r="BZ353" i="14"/>
  <c r="BS353" i="14"/>
  <c r="BU353" i="14"/>
  <c r="BN354" i="14"/>
  <c r="BO354" i="14" s="1"/>
  <c r="BQ354" i="14"/>
  <c r="BR354" i="14" s="1"/>
  <c r="BM355" i="14"/>
  <c r="BB355" i="14"/>
  <c r="AA355" i="14"/>
  <c r="AX355" i="14" s="1"/>
  <c r="BC355" i="14"/>
  <c r="BD355" i="14" s="1"/>
  <c r="AB355" i="14"/>
  <c r="AD355" i="14"/>
  <c r="BI355" i="14"/>
  <c r="BJ355" i="14" s="1"/>
  <c r="BN103" i="14"/>
  <c r="BO103" i="14" s="1"/>
  <c r="AW352" i="14"/>
  <c r="AY352" i="14" s="1"/>
  <c r="CE352" i="14" s="1"/>
  <c r="CJ352" i="14" s="1"/>
  <c r="AZ108" i="3" s="1"/>
  <c r="AG102" i="14"/>
  <c r="AH102" i="14" s="1"/>
  <c r="AI102" i="14" s="1"/>
  <c r="AJ102" i="14" s="1"/>
  <c r="BV353" i="14"/>
  <c r="BX353" i="14" s="1"/>
  <c r="CA353" i="14"/>
  <c r="CB353" i="14" s="1"/>
  <c r="BT353" i="14"/>
  <c r="BW353" i="14" s="1"/>
  <c r="AF103" i="14"/>
  <c r="AZ103" i="14"/>
  <c r="AQ103" i="14"/>
  <c r="AR103" i="14" s="1"/>
  <c r="AS103" i="14" s="1"/>
  <c r="AT103" i="14" s="1"/>
  <c r="AU103" i="14" s="1"/>
  <c r="BA103" i="14"/>
  <c r="BK103" i="14" s="1"/>
  <c r="AC103" i="14"/>
  <c r="AK103" i="14"/>
  <c r="AL103" i="14" s="1"/>
  <c r="AM103" i="14" s="1"/>
  <c r="AN103" i="14" s="1"/>
  <c r="AO103" i="14" s="1"/>
  <c r="AP103" i="14" s="1"/>
  <c r="AK354" i="14"/>
  <c r="AL354" i="14" s="1"/>
  <c r="AM354" i="14" s="1"/>
  <c r="AN354" i="14" s="1"/>
  <c r="AO354" i="14" s="1"/>
  <c r="AP354" i="14" s="1"/>
  <c r="AZ354" i="14"/>
  <c r="BA354" i="14"/>
  <c r="BK354" i="14" s="1"/>
  <c r="AF354" i="14"/>
  <c r="AC354" i="14"/>
  <c r="AQ354" i="14"/>
  <c r="AR354" i="14" s="1"/>
  <c r="AS354" i="14" s="1"/>
  <c r="AT354" i="14" s="1"/>
  <c r="AU354" i="14" s="1"/>
  <c r="AV104" i="14"/>
  <c r="BH111" i="3"/>
  <c r="D108" i="25"/>
  <c r="D108" i="26"/>
  <c r="C109" i="26"/>
  <c r="C109" i="25"/>
  <c r="BG111" i="3"/>
  <c r="BM111" i="3" s="1"/>
  <c r="BI111" i="3"/>
  <c r="BE111" i="3"/>
  <c r="CF112" i="3"/>
  <c r="CK111" i="3"/>
  <c r="BR109" i="3"/>
  <c r="BJ110" i="3"/>
  <c r="BP110" i="3" s="1"/>
  <c r="DD271" i="3"/>
  <c r="BC111" i="3"/>
  <c r="BN111" i="3" s="1"/>
  <c r="CJ111" i="3"/>
  <c r="AV111" i="3" s="1"/>
  <c r="BY112" i="3"/>
  <c r="BF110" i="3"/>
  <c r="BQ110" i="3" s="1"/>
  <c r="D112" i="3"/>
  <c r="BG112" i="3" s="1"/>
  <c r="C113" i="3"/>
  <c r="BL112" i="3"/>
  <c r="BW112" i="3"/>
  <c r="CI112" i="3" s="1"/>
  <c r="AY112" i="3"/>
  <c r="BD112" i="3" s="1"/>
  <c r="AI112" i="3"/>
  <c r="Q109" i="26" s="1"/>
  <c r="AH112" i="3"/>
  <c r="P109" i="26" s="1"/>
  <c r="AG112" i="3"/>
  <c r="O109" i="26" s="1"/>
  <c r="AJ112" i="3"/>
  <c r="R109" i="26" s="1"/>
  <c r="BK112" i="3"/>
  <c r="BO110" i="3"/>
  <c r="AU110" i="3" s="1"/>
  <c r="CJ99" i="14" l="1"/>
  <c r="CC106" i="3" s="1"/>
  <c r="CK99" i="14"/>
  <c r="CD106" i="3" s="1"/>
  <c r="BV113" i="3"/>
  <c r="BU113" i="3"/>
  <c r="CF100" i="14"/>
  <c r="CH100" i="14"/>
  <c r="CE100" i="14"/>
  <c r="AY101" i="14"/>
  <c r="CF101" i="14" s="1"/>
  <c r="BQ101" i="14"/>
  <c r="BR101" i="14" s="1"/>
  <c r="BU100" i="14"/>
  <c r="BV100" i="14"/>
  <c r="BX100" i="14" s="1"/>
  <c r="CA100" i="14"/>
  <c r="CB100" i="14" s="1"/>
  <c r="BS100" i="14"/>
  <c r="BT100" i="14"/>
  <c r="BW100" i="14" s="1"/>
  <c r="BZ100" i="14"/>
  <c r="AW109" i="3"/>
  <c r="AW353" i="14"/>
  <c r="AY353" i="14" s="1"/>
  <c r="CH353" i="14" s="1"/>
  <c r="CM353" i="14" s="1"/>
  <c r="BB109" i="3" s="1"/>
  <c r="AE357" i="14"/>
  <c r="Z357" i="14"/>
  <c r="AE106" i="14"/>
  <c r="Z106" i="14"/>
  <c r="BV354" i="14"/>
  <c r="BX354" i="14" s="1"/>
  <c r="CA354" i="14"/>
  <c r="CB354" i="14" s="1"/>
  <c r="BT354" i="14"/>
  <c r="BW354" i="14" s="1"/>
  <c r="BM356" i="14"/>
  <c r="AA356" i="14"/>
  <c r="AX356" i="14" s="1"/>
  <c r="BB356" i="14"/>
  <c r="AD356" i="14"/>
  <c r="BC356" i="14"/>
  <c r="BD356" i="14" s="1"/>
  <c r="BI356" i="14"/>
  <c r="BJ356" i="14" s="1"/>
  <c r="AB356" i="14"/>
  <c r="CF352" i="14"/>
  <c r="CK352" i="14" s="1"/>
  <c r="BA108" i="3" s="1"/>
  <c r="BM105" i="14"/>
  <c r="BI105" i="14"/>
  <c r="BJ105" i="14" s="1"/>
  <c r="AA105" i="14"/>
  <c r="AX105" i="14" s="1"/>
  <c r="AB105" i="14"/>
  <c r="BC105" i="14"/>
  <c r="BD105" i="14" s="1"/>
  <c r="BB105" i="14"/>
  <c r="AD105" i="14"/>
  <c r="CH352" i="14"/>
  <c r="CM352" i="14" s="1"/>
  <c r="BB108" i="3" s="1"/>
  <c r="AC104" i="14"/>
  <c r="BA104" i="14"/>
  <c r="BK104" i="14" s="1"/>
  <c r="AK104" i="14"/>
  <c r="AL104" i="14" s="1"/>
  <c r="AM104" i="14" s="1"/>
  <c r="AN104" i="14" s="1"/>
  <c r="AO104" i="14" s="1"/>
  <c r="AP104" i="14" s="1"/>
  <c r="AQ104" i="14"/>
  <c r="AR104" i="14" s="1"/>
  <c r="AS104" i="14" s="1"/>
  <c r="AT104" i="14" s="1"/>
  <c r="AU104" i="14" s="1"/>
  <c r="AZ104" i="14"/>
  <c r="AF104" i="14"/>
  <c r="AG104" i="14" s="1"/>
  <c r="AH104" i="14" s="1"/>
  <c r="AI104" i="14" s="1"/>
  <c r="AJ104" i="14" s="1"/>
  <c r="BN355" i="14"/>
  <c r="BO355" i="14" s="1"/>
  <c r="BQ355" i="14"/>
  <c r="BR355" i="14" s="1"/>
  <c r="BN104" i="14"/>
  <c r="BO104" i="14" s="1"/>
  <c r="AG354" i="14"/>
  <c r="AH354" i="14" s="1"/>
  <c r="AI354" i="14" s="1"/>
  <c r="AJ354" i="14" s="1"/>
  <c r="BZ354" i="14"/>
  <c r="BU354" i="14"/>
  <c r="BS354" i="14"/>
  <c r="CD354" i="14"/>
  <c r="BE354" i="14"/>
  <c r="BG354" i="14" s="1"/>
  <c r="AG103" i="14"/>
  <c r="AH103" i="14" s="1"/>
  <c r="AI103" i="14" s="1"/>
  <c r="AJ103" i="14" s="1"/>
  <c r="CD103" i="14"/>
  <c r="BE103" i="14"/>
  <c r="BG103" i="14" s="1"/>
  <c r="AW102" i="14"/>
  <c r="AV355" i="14"/>
  <c r="AQ355" i="14"/>
  <c r="AR355" i="14" s="1"/>
  <c r="AS355" i="14" s="1"/>
  <c r="AT355" i="14" s="1"/>
  <c r="AU355" i="14" s="1"/>
  <c r="AZ355" i="14"/>
  <c r="AF355" i="14"/>
  <c r="AG355" i="14" s="1"/>
  <c r="AH355" i="14" s="1"/>
  <c r="AI355" i="14" s="1"/>
  <c r="AJ355" i="14" s="1"/>
  <c r="AC355" i="14"/>
  <c r="BA355" i="14"/>
  <c r="BK355" i="14" s="1"/>
  <c r="AK355" i="14"/>
  <c r="AL355" i="14" s="1"/>
  <c r="AM355" i="14" s="1"/>
  <c r="AN355" i="14" s="1"/>
  <c r="AO355" i="14" s="1"/>
  <c r="AP355" i="14" s="1"/>
  <c r="C110" i="26"/>
  <c r="C110" i="25"/>
  <c r="BH112" i="3"/>
  <c r="D109" i="25"/>
  <c r="D109" i="26"/>
  <c r="DD272" i="3"/>
  <c r="BI112" i="3"/>
  <c r="BE112" i="3"/>
  <c r="CF113" i="3"/>
  <c r="CJ112" i="3"/>
  <c r="AV112" i="3" s="1"/>
  <c r="CK112" i="3"/>
  <c r="BR110" i="3"/>
  <c r="BM112" i="3"/>
  <c r="BC112" i="3"/>
  <c r="BN112" i="3" s="1"/>
  <c r="BY113" i="3"/>
  <c r="BJ111" i="3"/>
  <c r="BP111" i="3" s="1"/>
  <c r="D113" i="3"/>
  <c r="BF111" i="3"/>
  <c r="BQ111" i="3" s="1"/>
  <c r="C114" i="3"/>
  <c r="BL113" i="3"/>
  <c r="BW113" i="3"/>
  <c r="CI113" i="3" s="1"/>
  <c r="AY113" i="3"/>
  <c r="BD113" i="3" s="1"/>
  <c r="BK113" i="3"/>
  <c r="AH113" i="3"/>
  <c r="P110" i="26" s="1"/>
  <c r="AG113" i="3"/>
  <c r="O110" i="26" s="1"/>
  <c r="AJ113" i="3"/>
  <c r="R110" i="26" s="1"/>
  <c r="AI113" i="3"/>
  <c r="Q110" i="26" s="1"/>
  <c r="BO111" i="3"/>
  <c r="AU111" i="3" s="1"/>
  <c r="CM100" i="14" l="1"/>
  <c r="CG107" i="3" s="1"/>
  <c r="BV114" i="3"/>
  <c r="BU114" i="3"/>
  <c r="CK100" i="14"/>
  <c r="CD107" i="3" s="1"/>
  <c r="AV356" i="14"/>
  <c r="CH101" i="14"/>
  <c r="CJ100" i="14"/>
  <c r="CC107" i="3" s="1"/>
  <c r="CE101" i="14"/>
  <c r="AY102" i="14"/>
  <c r="CE102" i="14" s="1"/>
  <c r="BQ102" i="14"/>
  <c r="BR102" i="14" s="1"/>
  <c r="BU101" i="14"/>
  <c r="CA101" i="14"/>
  <c r="CB101" i="14" s="1"/>
  <c r="BS101" i="14"/>
  <c r="BZ101" i="14"/>
  <c r="BV101" i="14"/>
  <c r="BX101" i="14" s="1"/>
  <c r="CK101" i="14" s="1"/>
  <c r="CD108" i="3" s="1"/>
  <c r="BT101" i="14"/>
  <c r="BW101" i="14" s="1"/>
  <c r="CE353" i="14"/>
  <c r="CJ353" i="14" s="1"/>
  <c r="AZ109" i="3" s="1"/>
  <c r="CF353" i="14"/>
  <c r="CK353" i="14" s="1"/>
  <c r="BA109" i="3" s="1"/>
  <c r="BE355" i="14"/>
  <c r="BG355" i="14" s="1"/>
  <c r="CD355" i="14"/>
  <c r="CD104" i="14"/>
  <c r="BE104" i="14"/>
  <c r="BG104" i="14" s="1"/>
  <c r="AW104" i="14"/>
  <c r="AF105" i="14"/>
  <c r="AZ105" i="14"/>
  <c r="AQ105" i="14"/>
  <c r="AR105" i="14" s="1"/>
  <c r="AS105" i="14" s="1"/>
  <c r="AT105" i="14" s="1"/>
  <c r="AU105" i="14" s="1"/>
  <c r="BA105" i="14"/>
  <c r="BK105" i="14" s="1"/>
  <c r="AK105" i="14"/>
  <c r="AL105" i="14" s="1"/>
  <c r="AM105" i="14" s="1"/>
  <c r="AN105" i="14" s="1"/>
  <c r="AO105" i="14" s="1"/>
  <c r="AP105" i="14" s="1"/>
  <c r="AC105" i="14"/>
  <c r="BT355" i="14"/>
  <c r="BW355" i="14" s="1"/>
  <c r="BV355" i="14"/>
  <c r="BX355" i="14" s="1"/>
  <c r="CA355" i="14"/>
  <c r="CB355" i="14" s="1"/>
  <c r="AW103" i="14"/>
  <c r="BB357" i="14"/>
  <c r="AB357" i="14"/>
  <c r="BM357" i="14"/>
  <c r="AD357" i="14"/>
  <c r="AA357" i="14"/>
  <c r="AX357" i="14" s="1"/>
  <c r="BC357" i="14"/>
  <c r="BD357" i="14" s="1"/>
  <c r="BI357" i="14"/>
  <c r="BJ357" i="14" s="1"/>
  <c r="BQ356" i="14"/>
  <c r="BR356" i="14" s="1"/>
  <c r="BN356" i="14"/>
  <c r="BO356" i="14" s="1"/>
  <c r="AB106" i="14"/>
  <c r="BC106" i="14"/>
  <c r="BD106" i="14" s="1"/>
  <c r="BI106" i="14"/>
  <c r="BJ106" i="14" s="1"/>
  <c r="AA106" i="14"/>
  <c r="AV106" i="14" s="1"/>
  <c r="BB106" i="14"/>
  <c r="AD106" i="14"/>
  <c r="BM106" i="14"/>
  <c r="Z358" i="14"/>
  <c r="AE107" i="14"/>
  <c r="Z107" i="14"/>
  <c r="AE358" i="14"/>
  <c r="AW355" i="14"/>
  <c r="AY355" i="14" s="1"/>
  <c r="BU355" i="14"/>
  <c r="BS355" i="14"/>
  <c r="BZ355" i="14"/>
  <c r="AW354" i="14"/>
  <c r="AY354" i="14" s="1"/>
  <c r="CH354" i="14" s="1"/>
  <c r="CM354" i="14" s="1"/>
  <c r="BB110" i="3" s="1"/>
  <c r="AV105" i="14"/>
  <c r="BN105" i="14"/>
  <c r="BO105" i="14" s="1"/>
  <c r="AF356" i="14"/>
  <c r="AG356" i="14" s="1"/>
  <c r="AH356" i="14" s="1"/>
  <c r="AI356" i="14" s="1"/>
  <c r="AJ356" i="14" s="1"/>
  <c r="AC356" i="14"/>
  <c r="AK356" i="14"/>
  <c r="AL356" i="14" s="1"/>
  <c r="AM356" i="14" s="1"/>
  <c r="AN356" i="14" s="1"/>
  <c r="AO356" i="14" s="1"/>
  <c r="AP356" i="14" s="1"/>
  <c r="AZ356" i="14"/>
  <c r="BA356" i="14"/>
  <c r="BK356" i="14" s="1"/>
  <c r="AQ356" i="14"/>
  <c r="AR356" i="14" s="1"/>
  <c r="AS356" i="14" s="1"/>
  <c r="AT356" i="14" s="1"/>
  <c r="AU356" i="14" s="1"/>
  <c r="C111" i="25"/>
  <c r="C111" i="26"/>
  <c r="BH113" i="3"/>
  <c r="D110" i="25"/>
  <c r="D110" i="26"/>
  <c r="BG113" i="3"/>
  <c r="BM113" i="3" s="1"/>
  <c r="BI113" i="3"/>
  <c r="BE113" i="3"/>
  <c r="AW110" i="3"/>
  <c r="CF114" i="3"/>
  <c r="CK113" i="3"/>
  <c r="BC113" i="3"/>
  <c r="BN113" i="3" s="1"/>
  <c r="BJ112" i="3"/>
  <c r="BP112" i="3" s="1"/>
  <c r="BY114" i="3"/>
  <c r="CJ113" i="3"/>
  <c r="AV113" i="3" s="1"/>
  <c r="BR111" i="3"/>
  <c r="DD273" i="3"/>
  <c r="BF112" i="3"/>
  <c r="BQ112" i="3" s="1"/>
  <c r="D114" i="3"/>
  <c r="BO112" i="3"/>
  <c r="AU112" i="3" s="1"/>
  <c r="C115" i="3"/>
  <c r="BK114" i="3"/>
  <c r="BW114" i="3"/>
  <c r="CK114" i="3" s="1"/>
  <c r="BL114" i="3"/>
  <c r="AG114" i="3"/>
  <c r="O111" i="26" s="1"/>
  <c r="AJ114" i="3"/>
  <c r="R111" i="26" s="1"/>
  <c r="AI114" i="3"/>
  <c r="Q111" i="26" s="1"/>
  <c r="AY114" i="3"/>
  <c r="BD114" i="3" s="1"/>
  <c r="AH114" i="3"/>
  <c r="P111" i="26" s="1"/>
  <c r="CM101" i="14" l="1"/>
  <c r="CG108" i="3" s="1"/>
  <c r="CF102" i="14"/>
  <c r="CH102" i="14"/>
  <c r="CH355" i="14"/>
  <c r="CM355" i="14" s="1"/>
  <c r="BB111" i="3" s="1"/>
  <c r="BV115" i="3"/>
  <c r="BU115" i="3"/>
  <c r="CJ101" i="14"/>
  <c r="CC108" i="3" s="1"/>
  <c r="BU102" i="14"/>
  <c r="CA102" i="14"/>
  <c r="CB102" i="14" s="1"/>
  <c r="BV102" i="14"/>
  <c r="BX102" i="14" s="1"/>
  <c r="BS102" i="14"/>
  <c r="BT102" i="14"/>
  <c r="BW102" i="14" s="1"/>
  <c r="CJ102" i="14" s="1"/>
  <c r="CC109" i="3" s="1"/>
  <c r="BZ102" i="14"/>
  <c r="AY104" i="14"/>
  <c r="CF104" i="14" s="1"/>
  <c r="BQ104" i="14"/>
  <c r="BR104" i="14" s="1"/>
  <c r="AY103" i="14"/>
  <c r="CH103" i="14" s="1"/>
  <c r="BQ103" i="14"/>
  <c r="BR103" i="14" s="1"/>
  <c r="AV357" i="14"/>
  <c r="AX106" i="14"/>
  <c r="CE103" i="14"/>
  <c r="CE354" i="14"/>
  <c r="CJ354" i="14" s="1"/>
  <c r="AZ110" i="3" s="1"/>
  <c r="CE104" i="14"/>
  <c r="CD105" i="14"/>
  <c r="BE105" i="14"/>
  <c r="BG105" i="14" s="1"/>
  <c r="CF355" i="14"/>
  <c r="CK355" i="14" s="1"/>
  <c r="BA111" i="3" s="1"/>
  <c r="CE355" i="14"/>
  <c r="CJ355" i="14" s="1"/>
  <c r="AZ111" i="3" s="1"/>
  <c r="CD356" i="14"/>
  <c r="BE356" i="14"/>
  <c r="BG356" i="14" s="1"/>
  <c r="AW356" i="14"/>
  <c r="AY356" i="14" s="1"/>
  <c r="BM107" i="14"/>
  <c r="BI107" i="14"/>
  <c r="BJ107" i="14" s="1"/>
  <c r="AA107" i="14"/>
  <c r="AX107" i="14" s="1"/>
  <c r="BC107" i="14"/>
  <c r="BD107" i="14" s="1"/>
  <c r="AB107" i="14"/>
  <c r="BB107" i="14"/>
  <c r="AD107" i="14"/>
  <c r="BT356" i="14"/>
  <c r="BW356" i="14" s="1"/>
  <c r="CA356" i="14"/>
  <c r="CB356" i="14" s="1"/>
  <c r="BV356" i="14"/>
  <c r="BX356" i="14" s="1"/>
  <c r="BN357" i="14"/>
  <c r="BO357" i="14" s="1"/>
  <c r="BQ357" i="14"/>
  <c r="BR357" i="14" s="1"/>
  <c r="BB358" i="14"/>
  <c r="BM358" i="14"/>
  <c r="AD358" i="14"/>
  <c r="AA358" i="14"/>
  <c r="BC358" i="14"/>
  <c r="BD358" i="14" s="1"/>
  <c r="AB358" i="14"/>
  <c r="BI358" i="14"/>
  <c r="BJ358" i="14" s="1"/>
  <c r="CF354" i="14"/>
  <c r="CK354" i="14" s="1"/>
  <c r="BA110" i="3" s="1"/>
  <c r="Z359" i="14"/>
  <c r="AE359" i="14"/>
  <c r="AE108" i="14"/>
  <c r="Z108" i="14"/>
  <c r="BN106" i="14"/>
  <c r="BO106" i="14" s="1"/>
  <c r="AF106" i="14"/>
  <c r="AG106" i="14" s="1"/>
  <c r="AH106" i="14" s="1"/>
  <c r="AI106" i="14" s="1"/>
  <c r="AJ106" i="14" s="1"/>
  <c r="BA106" i="14"/>
  <c r="BK106" i="14" s="1"/>
  <c r="AK106" i="14"/>
  <c r="AL106" i="14" s="1"/>
  <c r="AM106" i="14" s="1"/>
  <c r="AN106" i="14" s="1"/>
  <c r="AO106" i="14" s="1"/>
  <c r="AP106" i="14" s="1"/>
  <c r="AQ106" i="14"/>
  <c r="AR106" i="14" s="1"/>
  <c r="AS106" i="14" s="1"/>
  <c r="AT106" i="14" s="1"/>
  <c r="AU106" i="14" s="1"/>
  <c r="AC106" i="14"/>
  <c r="AZ106" i="14"/>
  <c r="BS356" i="14"/>
  <c r="BZ356" i="14"/>
  <c r="BU356" i="14"/>
  <c r="BA357" i="14"/>
  <c r="BK357" i="14" s="1"/>
  <c r="AZ357" i="14"/>
  <c r="AK357" i="14"/>
  <c r="AL357" i="14" s="1"/>
  <c r="AM357" i="14" s="1"/>
  <c r="AN357" i="14" s="1"/>
  <c r="AO357" i="14" s="1"/>
  <c r="AP357" i="14" s="1"/>
  <c r="AQ357" i="14"/>
  <c r="AR357" i="14" s="1"/>
  <c r="AS357" i="14" s="1"/>
  <c r="AT357" i="14" s="1"/>
  <c r="AU357" i="14" s="1"/>
  <c r="AF357" i="14"/>
  <c r="AC357" i="14"/>
  <c r="AG105" i="14"/>
  <c r="AH105" i="14" s="1"/>
  <c r="AI105" i="14" s="1"/>
  <c r="AJ105" i="14" s="1"/>
  <c r="BJ113" i="3"/>
  <c r="BP113" i="3" s="1"/>
  <c r="DD274" i="3"/>
  <c r="D111" i="26"/>
  <c r="D111" i="25"/>
  <c r="C112" i="26"/>
  <c r="C112" i="25"/>
  <c r="BI114" i="3"/>
  <c r="BG114" i="3"/>
  <c r="BM114" i="3" s="1"/>
  <c r="BH114" i="3"/>
  <c r="BE114" i="3"/>
  <c r="AW111" i="3"/>
  <c r="CF115" i="3"/>
  <c r="BR112" i="3"/>
  <c r="BC114" i="3"/>
  <c r="BN114" i="3" s="1"/>
  <c r="CJ114" i="3"/>
  <c r="AV114" i="3" s="1"/>
  <c r="CI114" i="3"/>
  <c r="BY115" i="3"/>
  <c r="D115" i="3"/>
  <c r="BF113" i="3"/>
  <c r="BQ113" i="3" s="1"/>
  <c r="BO113" i="3"/>
  <c r="AU113" i="3" s="1"/>
  <c r="C116" i="3"/>
  <c r="BK115" i="3"/>
  <c r="BW115" i="3"/>
  <c r="CI115" i="3" s="1"/>
  <c r="BL115" i="3"/>
  <c r="AJ115" i="3"/>
  <c r="R112" i="26" s="1"/>
  <c r="AI115" i="3"/>
  <c r="Q112" i="26" s="1"/>
  <c r="AH115" i="3"/>
  <c r="P112" i="26" s="1"/>
  <c r="AY115" i="3"/>
  <c r="AG115" i="3"/>
  <c r="O112" i="26" s="1"/>
  <c r="CK102" i="14" l="1"/>
  <c r="CD109" i="3" s="1"/>
  <c r="CM102" i="14"/>
  <c r="CG109" i="3" s="1"/>
  <c r="BD115" i="3"/>
  <c r="BU116" i="3"/>
  <c r="BV116" i="3"/>
  <c r="CH104" i="14"/>
  <c r="CF103" i="14"/>
  <c r="CA103" i="14"/>
  <c r="CB103" i="14" s="1"/>
  <c r="CM103" i="14" s="1"/>
  <c r="CG110" i="3" s="1"/>
  <c r="BU103" i="14"/>
  <c r="BV103" i="14"/>
  <c r="BX103" i="14" s="1"/>
  <c r="BS103" i="14"/>
  <c r="BT103" i="14"/>
  <c r="BW103" i="14" s="1"/>
  <c r="BZ103" i="14"/>
  <c r="BV104" i="14"/>
  <c r="BX104" i="14" s="1"/>
  <c r="CK104" i="14" s="1"/>
  <c r="CD111" i="3" s="1"/>
  <c r="BT104" i="14"/>
  <c r="BW104" i="14" s="1"/>
  <c r="CJ104" i="14" s="1"/>
  <c r="CC111" i="3" s="1"/>
  <c r="BZ104" i="14"/>
  <c r="BU104" i="14"/>
  <c r="CA104" i="14"/>
  <c r="CB104" i="14" s="1"/>
  <c r="BS104" i="14"/>
  <c r="CJ103" i="14"/>
  <c r="CC110" i="3" s="1"/>
  <c r="AK358" i="14"/>
  <c r="AL358" i="14" s="1"/>
  <c r="AM358" i="14" s="1"/>
  <c r="AN358" i="14" s="1"/>
  <c r="AO358" i="14" s="1"/>
  <c r="AP358" i="14" s="1"/>
  <c r="AZ358" i="14"/>
  <c r="AQ358" i="14"/>
  <c r="AR358" i="14" s="1"/>
  <c r="AS358" i="14" s="1"/>
  <c r="AT358" i="14" s="1"/>
  <c r="AU358" i="14" s="1"/>
  <c r="AF358" i="14"/>
  <c r="BA358" i="14"/>
  <c r="BK358" i="14" s="1"/>
  <c r="AC358" i="14"/>
  <c r="BV357" i="14"/>
  <c r="BX357" i="14" s="1"/>
  <c r="CA357" i="14"/>
  <c r="CB357" i="14" s="1"/>
  <c r="BT357" i="14"/>
  <c r="BW357" i="14" s="1"/>
  <c r="AK107" i="14"/>
  <c r="AL107" i="14" s="1"/>
  <c r="AM107" i="14" s="1"/>
  <c r="AN107" i="14" s="1"/>
  <c r="AO107" i="14" s="1"/>
  <c r="AP107" i="14" s="1"/>
  <c r="AC107" i="14"/>
  <c r="BA107" i="14"/>
  <c r="BK107" i="14" s="1"/>
  <c r="AF107" i="14"/>
  <c r="AZ107" i="14"/>
  <c r="AQ107" i="14"/>
  <c r="AR107" i="14" s="1"/>
  <c r="AS107" i="14" s="1"/>
  <c r="AT107" i="14" s="1"/>
  <c r="AU107" i="14" s="1"/>
  <c r="CE356" i="14"/>
  <c r="CJ356" i="14" s="1"/>
  <c r="AZ112" i="3" s="1"/>
  <c r="CF356" i="14"/>
  <c r="CK356" i="14" s="1"/>
  <c r="BA112" i="3" s="1"/>
  <c r="CH356" i="14"/>
  <c r="CM356" i="14" s="1"/>
  <c r="BB112" i="3" s="1"/>
  <c r="AW105" i="14"/>
  <c r="CD357" i="14"/>
  <c r="BE357" i="14"/>
  <c r="BG357" i="14" s="1"/>
  <c r="AW106" i="14"/>
  <c r="AB108" i="14"/>
  <c r="BC108" i="14"/>
  <c r="BD108" i="14" s="1"/>
  <c r="BI108" i="14"/>
  <c r="BJ108" i="14" s="1"/>
  <c r="AA108" i="14"/>
  <c r="BB108" i="14"/>
  <c r="BM108" i="14"/>
  <c r="AD108" i="14"/>
  <c r="BN358" i="14"/>
  <c r="BO358" i="14" s="1"/>
  <c r="BQ358" i="14"/>
  <c r="BR358" i="14" s="1"/>
  <c r="BN107" i="14"/>
  <c r="BO107" i="14" s="1"/>
  <c r="Z360" i="14"/>
  <c r="AE360" i="14"/>
  <c r="Z109" i="14"/>
  <c r="AE109" i="14"/>
  <c r="BE106" i="14"/>
  <c r="BG106" i="14" s="1"/>
  <c r="CD106" i="14"/>
  <c r="AG357" i="14"/>
  <c r="AH357" i="14" s="1"/>
  <c r="AI357" i="14" s="1"/>
  <c r="AJ357" i="14" s="1"/>
  <c r="AV358" i="14"/>
  <c r="BB359" i="14"/>
  <c r="BM359" i="14"/>
  <c r="AA359" i="14"/>
  <c r="AX359" i="14" s="1"/>
  <c r="BC359" i="14"/>
  <c r="BD359" i="14" s="1"/>
  <c r="AD359" i="14"/>
  <c r="AB359" i="14"/>
  <c r="BI359" i="14"/>
  <c r="BJ359" i="14" s="1"/>
  <c r="AX358" i="14"/>
  <c r="BU357" i="14"/>
  <c r="BZ357" i="14"/>
  <c r="BS357" i="14"/>
  <c r="AV107" i="14"/>
  <c r="BR113" i="3"/>
  <c r="BI115" i="3"/>
  <c r="D112" i="25"/>
  <c r="D112" i="26"/>
  <c r="C113" i="26"/>
  <c r="C113" i="25"/>
  <c r="BH115" i="3"/>
  <c r="BG115" i="3"/>
  <c r="BM115" i="3" s="1"/>
  <c r="BE115" i="3"/>
  <c r="AW112" i="3"/>
  <c r="CF116" i="3"/>
  <c r="CK115" i="3"/>
  <c r="BC115" i="3"/>
  <c r="BN115" i="3" s="1"/>
  <c r="BJ114" i="3"/>
  <c r="BP114" i="3" s="1"/>
  <c r="CJ115" i="3"/>
  <c r="AV115" i="3" s="1"/>
  <c r="BY116" i="3"/>
  <c r="DD275" i="3"/>
  <c r="BF114" i="3"/>
  <c r="BQ114" i="3" s="1"/>
  <c r="D116" i="3"/>
  <c r="C117" i="3"/>
  <c r="BK116" i="3"/>
  <c r="AY116" i="3"/>
  <c r="BW116" i="3"/>
  <c r="CK116" i="3" s="1"/>
  <c r="BL116" i="3"/>
  <c r="AI116" i="3"/>
  <c r="Q113" i="26" s="1"/>
  <c r="AH116" i="3"/>
  <c r="P113" i="26" s="1"/>
  <c r="AG116" i="3"/>
  <c r="O113" i="26" s="1"/>
  <c r="AJ116" i="3"/>
  <c r="R113" i="26" s="1"/>
  <c r="BO114" i="3"/>
  <c r="AU114" i="3" s="1"/>
  <c r="CM104" i="14" l="1"/>
  <c r="CG111" i="3" s="1"/>
  <c r="BD116" i="3"/>
  <c r="CK103" i="14"/>
  <c r="CD110" i="3" s="1"/>
  <c r="BV117" i="3"/>
  <c r="BU117" i="3"/>
  <c r="AY105" i="14"/>
  <c r="CE105" i="14" s="1"/>
  <c r="BQ105" i="14"/>
  <c r="BR105" i="14" s="1"/>
  <c r="AW113" i="3"/>
  <c r="AY106" i="14"/>
  <c r="CF106" i="14" s="1"/>
  <c r="BQ106" i="14"/>
  <c r="BR106" i="14" s="1"/>
  <c r="BI360" i="14"/>
  <c r="BJ360" i="14" s="1"/>
  <c r="AD360" i="14"/>
  <c r="AA360" i="14"/>
  <c r="BM360" i="14"/>
  <c r="BB360" i="14"/>
  <c r="BC360" i="14"/>
  <c r="BD360" i="14" s="1"/>
  <c r="AB360" i="14"/>
  <c r="BU358" i="14"/>
  <c r="BS358" i="14"/>
  <c r="BZ358" i="14"/>
  <c r="CD107" i="14"/>
  <c r="BE107" i="14"/>
  <c r="BG107" i="14" s="1"/>
  <c r="CD358" i="14"/>
  <c r="BE358" i="14"/>
  <c r="BG358" i="14" s="1"/>
  <c r="BA359" i="14"/>
  <c r="BK359" i="14" s="1"/>
  <c r="AF359" i="14"/>
  <c r="AQ359" i="14"/>
  <c r="AR359" i="14" s="1"/>
  <c r="AS359" i="14" s="1"/>
  <c r="AT359" i="14" s="1"/>
  <c r="AU359" i="14" s="1"/>
  <c r="AZ359" i="14"/>
  <c r="AK359" i="14"/>
  <c r="AL359" i="14" s="1"/>
  <c r="AM359" i="14" s="1"/>
  <c r="AN359" i="14" s="1"/>
  <c r="AO359" i="14" s="1"/>
  <c r="AP359" i="14" s="1"/>
  <c r="AC359" i="14"/>
  <c r="BM109" i="14"/>
  <c r="AA109" i="14"/>
  <c r="AX109" i="14" s="1"/>
  <c r="AB109" i="14"/>
  <c r="BI109" i="14"/>
  <c r="BJ109" i="14" s="1"/>
  <c r="BC109" i="14"/>
  <c r="BD109" i="14" s="1"/>
  <c r="AD109" i="14"/>
  <c r="BB109" i="14"/>
  <c r="BN108" i="14"/>
  <c r="BO108" i="14" s="1"/>
  <c r="AG107" i="14"/>
  <c r="AH107" i="14" s="1"/>
  <c r="AI107" i="14" s="1"/>
  <c r="AJ107" i="14" s="1"/>
  <c r="AG358" i="14"/>
  <c r="AH358" i="14" s="1"/>
  <c r="AI358" i="14" s="1"/>
  <c r="AJ358" i="14" s="1"/>
  <c r="AV359" i="14"/>
  <c r="AC108" i="14"/>
  <c r="AK108" i="14"/>
  <c r="AL108" i="14" s="1"/>
  <c r="AM108" i="14" s="1"/>
  <c r="AN108" i="14" s="1"/>
  <c r="AO108" i="14" s="1"/>
  <c r="AP108" i="14" s="1"/>
  <c r="BA108" i="14"/>
  <c r="BK108" i="14" s="1"/>
  <c r="AF108" i="14"/>
  <c r="AG108" i="14" s="1"/>
  <c r="AH108" i="14" s="1"/>
  <c r="AI108" i="14" s="1"/>
  <c r="AJ108" i="14" s="1"/>
  <c r="AZ108" i="14"/>
  <c r="AQ108" i="14"/>
  <c r="AR108" i="14" s="1"/>
  <c r="AS108" i="14" s="1"/>
  <c r="AT108" i="14" s="1"/>
  <c r="AU108" i="14" s="1"/>
  <c r="Z361" i="14"/>
  <c r="AE110" i="14"/>
  <c r="AE361" i="14"/>
  <c r="Z110" i="14"/>
  <c r="BN359" i="14"/>
  <c r="BO359" i="14" s="1"/>
  <c r="BQ359" i="14"/>
  <c r="BR359" i="14" s="1"/>
  <c r="BV358" i="14"/>
  <c r="BX358" i="14" s="1"/>
  <c r="BT358" i="14"/>
  <c r="BW358" i="14" s="1"/>
  <c r="CA358" i="14"/>
  <c r="CB358" i="14" s="1"/>
  <c r="AX108" i="14"/>
  <c r="AV108" i="14"/>
  <c r="AW357" i="14"/>
  <c r="AY357" i="14" s="1"/>
  <c r="CF357" i="14" s="1"/>
  <c r="CK357" i="14" s="1"/>
  <c r="BA113" i="3" s="1"/>
  <c r="BH116" i="3"/>
  <c r="D113" i="25"/>
  <c r="D113" i="26"/>
  <c r="DD276" i="3"/>
  <c r="BI116" i="3"/>
  <c r="C114" i="26"/>
  <c r="C114" i="25"/>
  <c r="BG116" i="3"/>
  <c r="BM116" i="3" s="1"/>
  <c r="BE116" i="3"/>
  <c r="BR114" i="3"/>
  <c r="CF117" i="3"/>
  <c r="BJ115" i="3"/>
  <c r="BP115" i="3" s="1"/>
  <c r="BC116" i="3"/>
  <c r="BN116" i="3" s="1"/>
  <c r="CJ116" i="3"/>
  <c r="AV116" i="3" s="1"/>
  <c r="CI116" i="3"/>
  <c r="BY117" i="3"/>
  <c r="D117" i="3"/>
  <c r="BF115" i="3"/>
  <c r="BQ115" i="3" s="1"/>
  <c r="C118" i="3"/>
  <c r="BW117" i="3"/>
  <c r="CK117" i="3" s="1"/>
  <c r="BL117" i="3"/>
  <c r="AY117" i="3"/>
  <c r="AH117" i="3"/>
  <c r="P114" i="26" s="1"/>
  <c r="AG117" i="3"/>
  <c r="O114" i="26" s="1"/>
  <c r="BK117" i="3"/>
  <c r="AJ117" i="3"/>
  <c r="R114" i="26" s="1"/>
  <c r="AI117" i="3"/>
  <c r="Q114" i="26" s="1"/>
  <c r="BO115" i="3"/>
  <c r="AU115" i="3" s="1"/>
  <c r="CF105" i="14" l="1"/>
  <c r="CH105" i="14"/>
  <c r="CE106" i="14"/>
  <c r="CH106" i="14"/>
  <c r="BD117" i="3"/>
  <c r="BV118" i="3"/>
  <c r="BU118" i="3"/>
  <c r="BV106" i="14"/>
  <c r="BX106" i="14" s="1"/>
  <c r="CK106" i="14" s="1"/>
  <c r="CD113" i="3" s="1"/>
  <c r="BS106" i="14"/>
  <c r="BZ106" i="14"/>
  <c r="BT106" i="14"/>
  <c r="BW106" i="14" s="1"/>
  <c r="CA106" i="14"/>
  <c r="CB106" i="14" s="1"/>
  <c r="BU106" i="14"/>
  <c r="BU105" i="14"/>
  <c r="CA105" i="14"/>
  <c r="CB105" i="14" s="1"/>
  <c r="BZ105" i="14"/>
  <c r="BV105" i="14"/>
  <c r="BX105" i="14" s="1"/>
  <c r="BT105" i="14"/>
  <c r="BW105" i="14" s="1"/>
  <c r="CJ105" i="14" s="1"/>
  <c r="CC112" i="3" s="1"/>
  <c r="BS105" i="14"/>
  <c r="AW114" i="3"/>
  <c r="CH357" i="14"/>
  <c r="CM357" i="14" s="1"/>
  <c r="BB113" i="3" s="1"/>
  <c r="CE357" i="14"/>
  <c r="CJ357" i="14" s="1"/>
  <c r="AZ113" i="3" s="1"/>
  <c r="Z362" i="14"/>
  <c r="Z111" i="14"/>
  <c r="AE362" i="14"/>
  <c r="AE111" i="14"/>
  <c r="AB110" i="14"/>
  <c r="BC110" i="14"/>
  <c r="BD110" i="14" s="1"/>
  <c r="BI110" i="14"/>
  <c r="BJ110" i="14" s="1"/>
  <c r="AA110" i="14"/>
  <c r="AX110" i="14" s="1"/>
  <c r="BB110" i="14"/>
  <c r="AD110" i="14"/>
  <c r="BM110" i="14"/>
  <c r="BE108" i="14"/>
  <c r="BG108" i="14" s="1"/>
  <c r="CD108" i="14"/>
  <c r="BA360" i="14"/>
  <c r="BK360" i="14" s="1"/>
  <c r="AQ360" i="14"/>
  <c r="AR360" i="14" s="1"/>
  <c r="AS360" i="14" s="1"/>
  <c r="AT360" i="14" s="1"/>
  <c r="AU360" i="14" s="1"/>
  <c r="AC360" i="14"/>
  <c r="AZ360" i="14"/>
  <c r="AK360" i="14"/>
  <c r="AL360" i="14" s="1"/>
  <c r="AM360" i="14" s="1"/>
  <c r="AN360" i="14" s="1"/>
  <c r="AO360" i="14" s="1"/>
  <c r="AP360" i="14" s="1"/>
  <c r="AF360" i="14"/>
  <c r="AG360" i="14" s="1"/>
  <c r="AH360" i="14" s="1"/>
  <c r="AI360" i="14" s="1"/>
  <c r="AJ360" i="14" s="1"/>
  <c r="AW358" i="14"/>
  <c r="AY358" i="14" s="1"/>
  <c r="CH358" i="14" s="1"/>
  <c r="CM358" i="14" s="1"/>
  <c r="BB114" i="3" s="1"/>
  <c r="AQ109" i="14"/>
  <c r="AR109" i="14" s="1"/>
  <c r="AS109" i="14" s="1"/>
  <c r="AT109" i="14" s="1"/>
  <c r="AU109" i="14" s="1"/>
  <c r="BA109" i="14"/>
  <c r="BK109" i="14" s="1"/>
  <c r="AC109" i="14"/>
  <c r="AK109" i="14"/>
  <c r="AL109" i="14" s="1"/>
  <c r="AM109" i="14" s="1"/>
  <c r="AN109" i="14" s="1"/>
  <c r="AO109" i="14" s="1"/>
  <c r="AP109" i="14" s="1"/>
  <c r="AF109" i="14"/>
  <c r="AZ109" i="14"/>
  <c r="AV360" i="14"/>
  <c r="BZ359" i="14"/>
  <c r="CA359" i="14"/>
  <c r="CB359" i="14" s="1"/>
  <c r="BV359" i="14"/>
  <c r="BX359" i="14" s="1"/>
  <c r="BT359" i="14"/>
  <c r="BW359" i="14" s="1"/>
  <c r="AV110" i="14"/>
  <c r="AW108" i="14"/>
  <c r="BN109" i="14"/>
  <c r="BO109" i="14" s="1"/>
  <c r="CD359" i="14"/>
  <c r="BE359" i="14"/>
  <c r="BG359" i="14" s="1"/>
  <c r="BN360" i="14"/>
  <c r="BO360" i="14" s="1"/>
  <c r="BQ360" i="14"/>
  <c r="BR360" i="14" s="1"/>
  <c r="BS359" i="14"/>
  <c r="BU359" i="14"/>
  <c r="BB361" i="14"/>
  <c r="BM361" i="14"/>
  <c r="AB361" i="14"/>
  <c r="AD361" i="14"/>
  <c r="BC361" i="14"/>
  <c r="BD361" i="14" s="1"/>
  <c r="BI361" i="14"/>
  <c r="BJ361" i="14" s="1"/>
  <c r="AA361" i="14"/>
  <c r="AV361" i="14" s="1"/>
  <c r="AW107" i="14"/>
  <c r="AG359" i="14"/>
  <c r="AH359" i="14" s="1"/>
  <c r="AI359" i="14" s="1"/>
  <c r="AJ359" i="14" s="1"/>
  <c r="AV109" i="14"/>
  <c r="AX360" i="14"/>
  <c r="BI117" i="3"/>
  <c r="D114" i="25"/>
  <c r="D114" i="26"/>
  <c r="C115" i="26"/>
  <c r="C115" i="25"/>
  <c r="BG117" i="3"/>
  <c r="BH117" i="3"/>
  <c r="BE117" i="3"/>
  <c r="CF118" i="3"/>
  <c r="BR115" i="3"/>
  <c r="BJ116" i="3"/>
  <c r="BP116" i="3" s="1"/>
  <c r="BC117" i="3"/>
  <c r="BN117" i="3" s="1"/>
  <c r="BY118" i="3"/>
  <c r="CJ117" i="3"/>
  <c r="AV117" i="3" s="1"/>
  <c r="CI117" i="3"/>
  <c r="DD277" i="3"/>
  <c r="BF116" i="3"/>
  <c r="BQ116" i="3" s="1"/>
  <c r="D118" i="3"/>
  <c r="BI118" i="3" s="1"/>
  <c r="BO116" i="3"/>
  <c r="AU116" i="3" s="1"/>
  <c r="C119" i="3"/>
  <c r="BW118" i="3"/>
  <c r="CK118" i="3" s="1"/>
  <c r="BL118" i="3"/>
  <c r="BK118" i="3"/>
  <c r="AG118" i="3"/>
  <c r="O115" i="26" s="1"/>
  <c r="AJ118" i="3"/>
  <c r="R115" i="26" s="1"/>
  <c r="AI118" i="3"/>
  <c r="Q115" i="26" s="1"/>
  <c r="AH118" i="3"/>
  <c r="P115" i="26" s="1"/>
  <c r="AY118" i="3"/>
  <c r="CM106" i="14" l="1"/>
  <c r="CG113" i="3" s="1"/>
  <c r="CJ106" i="14"/>
  <c r="CC113" i="3" s="1"/>
  <c r="CM105" i="14"/>
  <c r="CG112" i="3" s="1"/>
  <c r="CK105" i="14"/>
  <c r="CD112" i="3" s="1"/>
  <c r="BD118" i="3"/>
  <c r="BV119" i="3"/>
  <c r="BU119" i="3"/>
  <c r="AY107" i="14"/>
  <c r="CH107" i="14" s="1"/>
  <c r="BQ107" i="14"/>
  <c r="BR107" i="14" s="1"/>
  <c r="AY108" i="14"/>
  <c r="CF108" i="14" s="1"/>
  <c r="BQ108" i="14"/>
  <c r="BR108" i="14" s="1"/>
  <c r="CE358" i="14"/>
  <c r="CJ358" i="14" s="1"/>
  <c r="AZ114" i="3" s="1"/>
  <c r="AW115" i="3"/>
  <c r="CF358" i="14"/>
  <c r="CK358" i="14" s="1"/>
  <c r="BA114" i="3" s="1"/>
  <c r="AW359" i="14"/>
  <c r="AY359" i="14" s="1"/>
  <c r="CF359" i="14" s="1"/>
  <c r="CK359" i="14" s="1"/>
  <c r="BA115" i="3" s="1"/>
  <c r="BN361" i="14"/>
  <c r="BO361" i="14" s="1"/>
  <c r="BQ361" i="14"/>
  <c r="BR361" i="14" s="1"/>
  <c r="AE363" i="14"/>
  <c r="AE112" i="14"/>
  <c r="Z112" i="14"/>
  <c r="Z363" i="14"/>
  <c r="AG109" i="14"/>
  <c r="AH109" i="14" s="1"/>
  <c r="AI109" i="14" s="1"/>
  <c r="AJ109" i="14" s="1"/>
  <c r="AW360" i="14"/>
  <c r="AY360" i="14" s="1"/>
  <c r="AQ361" i="14"/>
  <c r="AR361" i="14" s="1"/>
  <c r="AS361" i="14" s="1"/>
  <c r="AT361" i="14" s="1"/>
  <c r="AU361" i="14" s="1"/>
  <c r="AC361" i="14"/>
  <c r="AF361" i="14"/>
  <c r="AG361" i="14" s="1"/>
  <c r="AH361" i="14" s="1"/>
  <c r="AI361" i="14" s="1"/>
  <c r="AJ361" i="14" s="1"/>
  <c r="BA361" i="14"/>
  <c r="BK361" i="14" s="1"/>
  <c r="AK361" i="14"/>
  <c r="AL361" i="14" s="1"/>
  <c r="AM361" i="14" s="1"/>
  <c r="AN361" i="14" s="1"/>
  <c r="AO361" i="14" s="1"/>
  <c r="AP361" i="14" s="1"/>
  <c r="AZ361" i="14"/>
  <c r="BS360" i="14"/>
  <c r="BZ360" i="14"/>
  <c r="BU360" i="14"/>
  <c r="CD109" i="14"/>
  <c r="BE109" i="14"/>
  <c r="BG109" i="14" s="1"/>
  <c r="CD360" i="14"/>
  <c r="BE360" i="14"/>
  <c r="BG360" i="14" s="1"/>
  <c r="BN110" i="14"/>
  <c r="BO110" i="14" s="1"/>
  <c r="AQ110" i="14"/>
  <c r="AR110" i="14" s="1"/>
  <c r="AS110" i="14" s="1"/>
  <c r="AT110" i="14" s="1"/>
  <c r="AU110" i="14" s="1"/>
  <c r="AC110" i="14"/>
  <c r="AF110" i="14"/>
  <c r="AG110" i="14" s="1"/>
  <c r="AH110" i="14" s="1"/>
  <c r="AI110" i="14" s="1"/>
  <c r="AJ110" i="14" s="1"/>
  <c r="BA110" i="14"/>
  <c r="BK110" i="14" s="1"/>
  <c r="AZ110" i="14"/>
  <c r="AK110" i="14"/>
  <c r="AL110" i="14" s="1"/>
  <c r="AM110" i="14" s="1"/>
  <c r="AN110" i="14" s="1"/>
  <c r="AO110" i="14" s="1"/>
  <c r="AP110" i="14" s="1"/>
  <c r="BM111" i="14"/>
  <c r="BC111" i="14"/>
  <c r="BD111" i="14" s="1"/>
  <c r="BI111" i="14"/>
  <c r="BJ111" i="14" s="1"/>
  <c r="AA111" i="14"/>
  <c r="AV111" i="14" s="1"/>
  <c r="AB111" i="14"/>
  <c r="AD111" i="14"/>
  <c r="BB111" i="14"/>
  <c r="AX361" i="14"/>
  <c r="CA360" i="14"/>
  <c r="CB360" i="14" s="1"/>
  <c r="BV360" i="14"/>
  <c r="BX360" i="14" s="1"/>
  <c r="BT360" i="14"/>
  <c r="BW360" i="14" s="1"/>
  <c r="BM362" i="14"/>
  <c r="AD362" i="14"/>
  <c r="BB362" i="14"/>
  <c r="AA362" i="14"/>
  <c r="AX362" i="14" s="1"/>
  <c r="BI362" i="14"/>
  <c r="BJ362" i="14" s="1"/>
  <c r="AB362" i="14"/>
  <c r="BC362" i="14"/>
  <c r="BD362" i="14" s="1"/>
  <c r="C116" i="26"/>
  <c r="C116" i="25"/>
  <c r="BH118" i="3"/>
  <c r="D115" i="26"/>
  <c r="D115" i="25"/>
  <c r="BG118" i="3"/>
  <c r="BM118" i="3" s="1"/>
  <c r="BE118" i="3"/>
  <c r="CF119" i="3"/>
  <c r="BR116" i="3"/>
  <c r="BC118" i="3"/>
  <c r="BN118" i="3" s="1"/>
  <c r="CJ118" i="3"/>
  <c r="AV118" i="3" s="1"/>
  <c r="CI118" i="3"/>
  <c r="BY119" i="3"/>
  <c r="DD278" i="3"/>
  <c r="BJ117" i="3"/>
  <c r="BP117" i="3" s="1"/>
  <c r="BM117" i="3"/>
  <c r="BO117" i="3" s="1"/>
  <c r="AU117" i="3" s="1"/>
  <c r="D119" i="3"/>
  <c r="BG119" i="3" s="1"/>
  <c r="BF117" i="3"/>
  <c r="BQ117" i="3" s="1"/>
  <c r="C120" i="3"/>
  <c r="BL119" i="3"/>
  <c r="AY119" i="3"/>
  <c r="BD119" i="3" s="1"/>
  <c r="BW119" i="3"/>
  <c r="CI119" i="3" s="1"/>
  <c r="AJ119" i="3"/>
  <c r="R116" i="26" s="1"/>
  <c r="AI119" i="3"/>
  <c r="Q116" i="26" s="1"/>
  <c r="AH119" i="3"/>
  <c r="P116" i="26" s="1"/>
  <c r="BK119" i="3"/>
  <c r="AG119" i="3"/>
  <c r="O116" i="26" s="1"/>
  <c r="CE108" i="14" l="1"/>
  <c r="CH108" i="14"/>
  <c r="CF107" i="14"/>
  <c r="CE107" i="14"/>
  <c r="BV120" i="3"/>
  <c r="BU120" i="3"/>
  <c r="AW116" i="3"/>
  <c r="BV107" i="14"/>
  <c r="BX107" i="14" s="1"/>
  <c r="BU107" i="14"/>
  <c r="BT107" i="14"/>
  <c r="BW107" i="14" s="1"/>
  <c r="BS107" i="14"/>
  <c r="BZ107" i="14"/>
  <c r="CA107" i="14"/>
  <c r="CB107" i="14" s="1"/>
  <c r="CM107" i="14" s="1"/>
  <c r="CG114" i="3" s="1"/>
  <c r="BU108" i="14"/>
  <c r="BT108" i="14"/>
  <c r="BW108" i="14" s="1"/>
  <c r="CJ108" i="14" s="1"/>
  <c r="CC115" i="3" s="1"/>
  <c r="BZ108" i="14"/>
  <c r="BS108" i="14"/>
  <c r="CA108" i="14"/>
  <c r="CB108" i="14" s="1"/>
  <c r="BV108" i="14"/>
  <c r="BX108" i="14" s="1"/>
  <c r="CK108" i="14" s="1"/>
  <c r="CD115" i="3" s="1"/>
  <c r="CE359" i="14"/>
  <c r="CJ359" i="14" s="1"/>
  <c r="AZ115" i="3" s="1"/>
  <c r="CH359" i="14"/>
  <c r="CM359" i="14" s="1"/>
  <c r="BB115" i="3" s="1"/>
  <c r="AX111" i="14"/>
  <c r="AW110" i="14"/>
  <c r="BE361" i="14"/>
  <c r="BG361" i="14" s="1"/>
  <c r="CD361" i="14"/>
  <c r="BB363" i="14"/>
  <c r="BM363" i="14"/>
  <c r="AA363" i="14"/>
  <c r="AX363" i="14" s="1"/>
  <c r="AD363" i="14"/>
  <c r="BC363" i="14"/>
  <c r="BD363" i="14" s="1"/>
  <c r="BI363" i="14"/>
  <c r="BJ363" i="14" s="1"/>
  <c r="AB363" i="14"/>
  <c r="AV362" i="14"/>
  <c r="BN362" i="14"/>
  <c r="BO362" i="14" s="1"/>
  <c r="BQ362" i="14"/>
  <c r="BR362" i="14" s="1"/>
  <c r="BN111" i="14"/>
  <c r="BO111" i="14" s="1"/>
  <c r="AW361" i="14"/>
  <c r="AY361" i="14" s="1"/>
  <c r="AB112" i="14"/>
  <c r="BI112" i="14"/>
  <c r="BJ112" i="14" s="1"/>
  <c r="BC112" i="14"/>
  <c r="BD112" i="14" s="1"/>
  <c r="AA112" i="14"/>
  <c r="AV112" i="14" s="1"/>
  <c r="BB112" i="14"/>
  <c r="AD112" i="14"/>
  <c r="BM112" i="14"/>
  <c r="AW109" i="14"/>
  <c r="BV361" i="14"/>
  <c r="BX361" i="14" s="1"/>
  <c r="CA361" i="14"/>
  <c r="CB361" i="14" s="1"/>
  <c r="BT361" i="14"/>
  <c r="BW361" i="14" s="1"/>
  <c r="Z364" i="14"/>
  <c r="AE364" i="14"/>
  <c r="AE113" i="14"/>
  <c r="Z113" i="14"/>
  <c r="AC362" i="14"/>
  <c r="AZ362" i="14"/>
  <c r="AQ362" i="14"/>
  <c r="AR362" i="14" s="1"/>
  <c r="AS362" i="14" s="1"/>
  <c r="AT362" i="14" s="1"/>
  <c r="AU362" i="14" s="1"/>
  <c r="AK362" i="14"/>
  <c r="AL362" i="14" s="1"/>
  <c r="AM362" i="14" s="1"/>
  <c r="AN362" i="14" s="1"/>
  <c r="AO362" i="14" s="1"/>
  <c r="AP362" i="14" s="1"/>
  <c r="BA362" i="14"/>
  <c r="BK362" i="14" s="1"/>
  <c r="AF362" i="14"/>
  <c r="AZ111" i="14"/>
  <c r="AQ111" i="14"/>
  <c r="AR111" i="14" s="1"/>
  <c r="AS111" i="14" s="1"/>
  <c r="AT111" i="14" s="1"/>
  <c r="AU111" i="14" s="1"/>
  <c r="AF111" i="14"/>
  <c r="BA111" i="14"/>
  <c r="BK111" i="14" s="1"/>
  <c r="AK111" i="14"/>
  <c r="AL111" i="14" s="1"/>
  <c r="AM111" i="14" s="1"/>
  <c r="AN111" i="14" s="1"/>
  <c r="AO111" i="14" s="1"/>
  <c r="AP111" i="14" s="1"/>
  <c r="AC111" i="14"/>
  <c r="CD110" i="14"/>
  <c r="BE110" i="14"/>
  <c r="BG110" i="14" s="1"/>
  <c r="CF360" i="14"/>
  <c r="CK360" i="14" s="1"/>
  <c r="BA116" i="3" s="1"/>
  <c r="CE360" i="14"/>
  <c r="CJ360" i="14" s="1"/>
  <c r="AZ116" i="3" s="1"/>
  <c r="CH360" i="14"/>
  <c r="CM360" i="14" s="1"/>
  <c r="BB116" i="3" s="1"/>
  <c r="BS361" i="14"/>
  <c r="BU361" i="14"/>
  <c r="BZ361" i="14"/>
  <c r="C117" i="26"/>
  <c r="C117" i="25"/>
  <c r="BI119" i="3"/>
  <c r="D116" i="26"/>
  <c r="D116" i="25"/>
  <c r="BH119" i="3"/>
  <c r="BE119" i="3"/>
  <c r="CK119" i="3"/>
  <c r="CJ119" i="3"/>
  <c r="AV119" i="3" s="1"/>
  <c r="CF120" i="3"/>
  <c r="BJ118" i="3"/>
  <c r="BP118" i="3" s="1"/>
  <c r="BC119" i="3"/>
  <c r="BN119" i="3" s="1"/>
  <c r="BY120" i="3"/>
  <c r="BR117" i="3"/>
  <c r="DD279" i="3"/>
  <c r="BF118" i="3"/>
  <c r="BQ118" i="3" s="1"/>
  <c r="D120" i="3"/>
  <c r="BO118" i="3"/>
  <c r="AU118" i="3" s="1"/>
  <c r="C121" i="3"/>
  <c r="BW120" i="3"/>
  <c r="CI120" i="3" s="1"/>
  <c r="BK120" i="3"/>
  <c r="AY120" i="3"/>
  <c r="BL120" i="3"/>
  <c r="AI120" i="3"/>
  <c r="Q117" i="26" s="1"/>
  <c r="AH120" i="3"/>
  <c r="P117" i="26" s="1"/>
  <c r="AG120" i="3"/>
  <c r="O117" i="26" s="1"/>
  <c r="AJ120" i="3"/>
  <c r="R117" i="26" s="1"/>
  <c r="CM108" i="14" l="1"/>
  <c r="CG115" i="3" s="1"/>
  <c r="CJ107" i="14"/>
  <c r="CC114" i="3" s="1"/>
  <c r="CK107" i="14"/>
  <c r="CD114" i="3" s="1"/>
  <c r="BD120" i="3"/>
  <c r="BV121" i="3"/>
  <c r="BU121" i="3"/>
  <c r="AY109" i="14"/>
  <c r="CH109" i="14" s="1"/>
  <c r="BQ109" i="14"/>
  <c r="BR109" i="14" s="1"/>
  <c r="AY110" i="14"/>
  <c r="CE110" i="14" s="1"/>
  <c r="BQ110" i="14"/>
  <c r="BR110" i="14" s="1"/>
  <c r="AG362" i="14"/>
  <c r="AH362" i="14" s="1"/>
  <c r="AI362" i="14" s="1"/>
  <c r="AJ362" i="14" s="1"/>
  <c r="BC364" i="14"/>
  <c r="BD364" i="14" s="1"/>
  <c r="BI364" i="14"/>
  <c r="BJ364" i="14" s="1"/>
  <c r="AD364" i="14"/>
  <c r="BM364" i="14"/>
  <c r="BB364" i="14"/>
  <c r="AA364" i="14"/>
  <c r="AX364" i="14" s="1"/>
  <c r="AB364" i="14"/>
  <c r="BT362" i="14"/>
  <c r="BW362" i="14" s="1"/>
  <c r="CA362" i="14"/>
  <c r="CB362" i="14" s="1"/>
  <c r="BV362" i="14"/>
  <c r="BX362" i="14" s="1"/>
  <c r="AV363" i="14"/>
  <c r="AK363" i="14"/>
  <c r="AL363" i="14" s="1"/>
  <c r="AM363" i="14" s="1"/>
  <c r="AN363" i="14" s="1"/>
  <c r="AO363" i="14" s="1"/>
  <c r="AP363" i="14" s="1"/>
  <c r="AC363" i="14"/>
  <c r="BA363" i="14"/>
  <c r="BK363" i="14" s="1"/>
  <c r="AF363" i="14"/>
  <c r="AG363" i="14" s="1"/>
  <c r="AH363" i="14" s="1"/>
  <c r="AI363" i="14" s="1"/>
  <c r="AJ363" i="14" s="1"/>
  <c r="AZ363" i="14"/>
  <c r="AQ363" i="14"/>
  <c r="AR363" i="14" s="1"/>
  <c r="AS363" i="14" s="1"/>
  <c r="AT363" i="14" s="1"/>
  <c r="AU363" i="14" s="1"/>
  <c r="BM113" i="14"/>
  <c r="AB113" i="14"/>
  <c r="BC113" i="14"/>
  <c r="BD113" i="14" s="1"/>
  <c r="BI113" i="14"/>
  <c r="BJ113" i="14" s="1"/>
  <c r="AA113" i="14"/>
  <c r="AX113" i="14" s="1"/>
  <c r="BB113" i="14"/>
  <c r="AD113" i="14"/>
  <c r="BN112" i="14"/>
  <c r="BO112" i="14" s="1"/>
  <c r="AK112" i="14"/>
  <c r="AL112" i="14" s="1"/>
  <c r="AM112" i="14" s="1"/>
  <c r="AN112" i="14" s="1"/>
  <c r="AO112" i="14" s="1"/>
  <c r="AP112" i="14" s="1"/>
  <c r="BA112" i="14"/>
  <c r="BK112" i="14" s="1"/>
  <c r="AC112" i="14"/>
  <c r="AF112" i="14"/>
  <c r="AG112" i="14" s="1"/>
  <c r="AH112" i="14" s="1"/>
  <c r="AI112" i="14" s="1"/>
  <c r="AJ112" i="14" s="1"/>
  <c r="AQ112" i="14"/>
  <c r="AR112" i="14" s="1"/>
  <c r="AS112" i="14" s="1"/>
  <c r="AT112" i="14" s="1"/>
  <c r="AU112" i="14" s="1"/>
  <c r="AZ112" i="14"/>
  <c r="BU362" i="14"/>
  <c r="BZ362" i="14"/>
  <c r="BS362" i="14"/>
  <c r="BN363" i="14"/>
  <c r="BO363" i="14" s="1"/>
  <c r="BQ363" i="14"/>
  <c r="BR363" i="14" s="1"/>
  <c r="CF110" i="14"/>
  <c r="Z114" i="14"/>
  <c r="AE114" i="14"/>
  <c r="AE365" i="14"/>
  <c r="Z365" i="14"/>
  <c r="AG111" i="14"/>
  <c r="AH111" i="14" s="1"/>
  <c r="AI111" i="14" s="1"/>
  <c r="AJ111" i="14" s="1"/>
  <c r="CD111" i="14"/>
  <c r="BE111" i="14"/>
  <c r="BG111" i="14" s="1"/>
  <c r="CD362" i="14"/>
  <c r="BE362" i="14"/>
  <c r="BG362" i="14" s="1"/>
  <c r="AX112" i="14"/>
  <c r="CH361" i="14"/>
  <c r="CM361" i="14" s="1"/>
  <c r="BB117" i="3" s="1"/>
  <c r="CF361" i="14"/>
  <c r="CK361" i="14" s="1"/>
  <c r="BA117" i="3" s="1"/>
  <c r="CE361" i="14"/>
  <c r="CJ361" i="14" s="1"/>
  <c r="AZ117" i="3" s="1"/>
  <c r="BH120" i="3"/>
  <c r="D117" i="26"/>
  <c r="D117" i="25"/>
  <c r="C118" i="26"/>
  <c r="C118" i="25"/>
  <c r="BG120" i="3"/>
  <c r="BM120" i="3" s="1"/>
  <c r="BI120" i="3"/>
  <c r="DD280" i="3"/>
  <c r="BE120" i="3"/>
  <c r="CK120" i="3"/>
  <c r="CF121" i="3"/>
  <c r="AW117" i="3"/>
  <c r="BR118" i="3"/>
  <c r="BC120" i="3"/>
  <c r="BN120" i="3" s="1"/>
  <c r="CJ120" i="3"/>
  <c r="AV120" i="3" s="1"/>
  <c r="BY121" i="3"/>
  <c r="BJ119" i="3"/>
  <c r="BP119" i="3" s="1"/>
  <c r="BM119" i="3"/>
  <c r="BO119" i="3" s="1"/>
  <c r="AU119" i="3" s="1"/>
  <c r="D121" i="3"/>
  <c r="BF119" i="3"/>
  <c r="BQ119" i="3" s="1"/>
  <c r="C122" i="3"/>
  <c r="BW121" i="3"/>
  <c r="CI121" i="3" s="1"/>
  <c r="BL121" i="3"/>
  <c r="BK121" i="3"/>
  <c r="AH121" i="3"/>
  <c r="P118" i="26" s="1"/>
  <c r="AG121" i="3"/>
  <c r="O118" i="26" s="1"/>
  <c r="AY121" i="3"/>
  <c r="AJ121" i="3"/>
  <c r="R118" i="26" s="1"/>
  <c r="AI121" i="3"/>
  <c r="Q118" i="26" s="1"/>
  <c r="BD121" i="3" l="1"/>
  <c r="CH110" i="14"/>
  <c r="CF109" i="14"/>
  <c r="BV122" i="3"/>
  <c r="BU122" i="3"/>
  <c r="CE109" i="14"/>
  <c r="BT110" i="14"/>
  <c r="BW110" i="14" s="1"/>
  <c r="CJ110" i="14" s="1"/>
  <c r="CC117" i="3" s="1"/>
  <c r="BU110" i="14"/>
  <c r="CA110" i="14"/>
  <c r="CB110" i="14" s="1"/>
  <c r="BS110" i="14"/>
  <c r="BV110" i="14"/>
  <c r="BX110" i="14" s="1"/>
  <c r="CK110" i="14" s="1"/>
  <c r="CD117" i="3" s="1"/>
  <c r="BZ110" i="14"/>
  <c r="CA109" i="14"/>
  <c r="CB109" i="14" s="1"/>
  <c r="CM109" i="14" s="1"/>
  <c r="CG116" i="3" s="1"/>
  <c r="BS109" i="14"/>
  <c r="BT109" i="14"/>
  <c r="BW109" i="14" s="1"/>
  <c r="BU109" i="14"/>
  <c r="BZ109" i="14"/>
  <c r="BV109" i="14"/>
  <c r="BX109" i="14" s="1"/>
  <c r="AV364" i="14"/>
  <c r="AV113" i="14"/>
  <c r="AB114" i="14"/>
  <c r="BC114" i="14"/>
  <c r="BD114" i="14" s="1"/>
  <c r="BI114" i="14"/>
  <c r="BJ114" i="14" s="1"/>
  <c r="AA114" i="14"/>
  <c r="AX114" i="14" s="1"/>
  <c r="BB114" i="14"/>
  <c r="AD114" i="14"/>
  <c r="BM114" i="14"/>
  <c r="BE112" i="14"/>
  <c r="BG112" i="14" s="1"/>
  <c r="CD112" i="14"/>
  <c r="BN364" i="14"/>
  <c r="BO364" i="14" s="1"/>
  <c r="BQ364" i="14"/>
  <c r="BR364" i="14" s="1"/>
  <c r="AW112" i="14"/>
  <c r="AQ364" i="14"/>
  <c r="AR364" i="14" s="1"/>
  <c r="AS364" i="14" s="1"/>
  <c r="AT364" i="14" s="1"/>
  <c r="AU364" i="14" s="1"/>
  <c r="AC364" i="14"/>
  <c r="AF364" i="14"/>
  <c r="AG364" i="14" s="1"/>
  <c r="AH364" i="14" s="1"/>
  <c r="AI364" i="14" s="1"/>
  <c r="AJ364" i="14" s="1"/>
  <c r="BA364" i="14"/>
  <c r="BK364" i="14" s="1"/>
  <c r="AK364" i="14"/>
  <c r="AL364" i="14" s="1"/>
  <c r="AM364" i="14" s="1"/>
  <c r="AN364" i="14" s="1"/>
  <c r="AO364" i="14" s="1"/>
  <c r="AP364" i="14" s="1"/>
  <c r="AZ364" i="14"/>
  <c r="AW111" i="14"/>
  <c r="BS363" i="14"/>
  <c r="BZ363" i="14"/>
  <c r="BU363" i="14"/>
  <c r="BE363" i="14"/>
  <c r="BG363" i="14" s="1"/>
  <c r="CD363" i="14"/>
  <c r="BM365" i="14"/>
  <c r="AB365" i="14"/>
  <c r="AD365" i="14"/>
  <c r="BB365" i="14"/>
  <c r="BI365" i="14"/>
  <c r="BJ365" i="14" s="1"/>
  <c r="BC365" i="14"/>
  <c r="BD365" i="14" s="1"/>
  <c r="AA365" i="14"/>
  <c r="AV365" i="14" s="1"/>
  <c r="AW363" i="14"/>
  <c r="AY363" i="14" s="1"/>
  <c r="AE366" i="14"/>
  <c r="Z366" i="14"/>
  <c r="AE115" i="14"/>
  <c r="Z115" i="14"/>
  <c r="BV363" i="14"/>
  <c r="BX363" i="14" s="1"/>
  <c r="BT363" i="14"/>
  <c r="BW363" i="14" s="1"/>
  <c r="CA363" i="14"/>
  <c r="CB363" i="14" s="1"/>
  <c r="AF113" i="14"/>
  <c r="AQ113" i="14"/>
  <c r="AR113" i="14" s="1"/>
  <c r="AS113" i="14" s="1"/>
  <c r="AT113" i="14" s="1"/>
  <c r="AU113" i="14" s="1"/>
  <c r="AC113" i="14"/>
  <c r="AK113" i="14"/>
  <c r="AL113" i="14" s="1"/>
  <c r="AM113" i="14" s="1"/>
  <c r="AN113" i="14" s="1"/>
  <c r="AO113" i="14" s="1"/>
  <c r="AP113" i="14" s="1"/>
  <c r="BA113" i="14"/>
  <c r="BK113" i="14" s="1"/>
  <c r="AZ113" i="14"/>
  <c r="BN113" i="14"/>
  <c r="BO113" i="14" s="1"/>
  <c r="AW362" i="14"/>
  <c r="AY362" i="14" s="1"/>
  <c r="CF362" i="14" s="1"/>
  <c r="CK362" i="14" s="1"/>
  <c r="BA118" i="3" s="1"/>
  <c r="C119" i="26"/>
  <c r="C119" i="25"/>
  <c r="BJ120" i="3"/>
  <c r="BP120" i="3" s="1"/>
  <c r="DD281" i="3"/>
  <c r="D118" i="25"/>
  <c r="D118" i="26"/>
  <c r="BI121" i="3"/>
  <c r="BG121" i="3"/>
  <c r="BM121" i="3" s="1"/>
  <c r="BH121" i="3"/>
  <c r="BE121" i="3"/>
  <c r="AW118" i="3"/>
  <c r="CF122" i="3"/>
  <c r="CK121" i="3"/>
  <c r="BC121" i="3"/>
  <c r="BN121" i="3" s="1"/>
  <c r="CJ121" i="3"/>
  <c r="AV121" i="3" s="1"/>
  <c r="BY122" i="3"/>
  <c r="BR119" i="3"/>
  <c r="BF120" i="3"/>
  <c r="BQ120" i="3" s="1"/>
  <c r="D122" i="3"/>
  <c r="BI122" i="3" s="1"/>
  <c r="BO120" i="3"/>
  <c r="AU120" i="3" s="1"/>
  <c r="C123" i="3"/>
  <c r="BK122" i="3"/>
  <c r="AY122" i="3"/>
  <c r="BW122" i="3"/>
  <c r="CI122" i="3" s="1"/>
  <c r="BL122" i="3"/>
  <c r="AG122" i="3"/>
  <c r="O119" i="26" s="1"/>
  <c r="AJ122" i="3"/>
  <c r="R119" i="26" s="1"/>
  <c r="AI122" i="3"/>
  <c r="Q119" i="26" s="1"/>
  <c r="AH122" i="3"/>
  <c r="P119" i="26" s="1"/>
  <c r="CM110" i="14" l="1"/>
  <c r="CG117" i="3" s="1"/>
  <c r="AV114" i="14"/>
  <c r="CK109" i="14"/>
  <c r="CD116" i="3" s="1"/>
  <c r="BD122" i="3"/>
  <c r="CJ109" i="14"/>
  <c r="CC116" i="3" s="1"/>
  <c r="BV123" i="3"/>
  <c r="BU123" i="3"/>
  <c r="AY111" i="14"/>
  <c r="CF111" i="14" s="1"/>
  <c r="BQ111" i="14"/>
  <c r="BR111" i="14" s="1"/>
  <c r="AY112" i="14"/>
  <c r="CH112" i="14" s="1"/>
  <c r="BQ112" i="14"/>
  <c r="BR112" i="14" s="1"/>
  <c r="AX365" i="14"/>
  <c r="CH362" i="14"/>
  <c r="CM362" i="14" s="1"/>
  <c r="BB118" i="3" s="1"/>
  <c r="Z367" i="14"/>
  <c r="AE116" i="14"/>
  <c r="Z116" i="14"/>
  <c r="AE367" i="14"/>
  <c r="CE363" i="14"/>
  <c r="CJ363" i="14" s="1"/>
  <c r="AZ119" i="3" s="1"/>
  <c r="CF363" i="14"/>
  <c r="CK363" i="14" s="1"/>
  <c r="BA119" i="3" s="1"/>
  <c r="CH363" i="14"/>
  <c r="CM363" i="14" s="1"/>
  <c r="BB119" i="3" s="1"/>
  <c r="BU364" i="14"/>
  <c r="BS364" i="14"/>
  <c r="BZ364" i="14"/>
  <c r="BN114" i="14"/>
  <c r="BO114" i="14" s="1"/>
  <c r="AF114" i="14"/>
  <c r="AG114" i="14" s="1"/>
  <c r="AH114" i="14" s="1"/>
  <c r="AI114" i="14" s="1"/>
  <c r="AJ114" i="14" s="1"/>
  <c r="AC114" i="14"/>
  <c r="AZ114" i="14"/>
  <c r="BA114" i="14"/>
  <c r="BK114" i="14" s="1"/>
  <c r="AK114" i="14"/>
  <c r="AL114" i="14" s="1"/>
  <c r="AM114" i="14" s="1"/>
  <c r="AN114" i="14" s="1"/>
  <c r="AO114" i="14" s="1"/>
  <c r="AP114" i="14" s="1"/>
  <c r="AQ114" i="14"/>
  <c r="AR114" i="14" s="1"/>
  <c r="AS114" i="14" s="1"/>
  <c r="AT114" i="14" s="1"/>
  <c r="AU114" i="14" s="1"/>
  <c r="BM115" i="14"/>
  <c r="AA115" i="14"/>
  <c r="AX115" i="14" s="1"/>
  <c r="AB115" i="14"/>
  <c r="BI115" i="14"/>
  <c r="BJ115" i="14" s="1"/>
  <c r="BC115" i="14"/>
  <c r="BD115" i="14" s="1"/>
  <c r="BB115" i="14"/>
  <c r="AD115" i="14"/>
  <c r="BN365" i="14"/>
  <c r="BO365" i="14" s="1"/>
  <c r="BQ365" i="14"/>
  <c r="BR365" i="14" s="1"/>
  <c r="CD113" i="14"/>
  <c r="BE113" i="14"/>
  <c r="BG113" i="14" s="1"/>
  <c r="AW364" i="14"/>
  <c r="AY364" i="14" s="1"/>
  <c r="AG113" i="14"/>
  <c r="AH113" i="14" s="1"/>
  <c r="AI113" i="14" s="1"/>
  <c r="AJ113" i="14" s="1"/>
  <c r="CH111" i="14"/>
  <c r="AD366" i="14"/>
  <c r="BB366" i="14"/>
  <c r="BM366" i="14"/>
  <c r="BI366" i="14"/>
  <c r="BJ366" i="14" s="1"/>
  <c r="AB366" i="14"/>
  <c r="BC366" i="14"/>
  <c r="BD366" i="14" s="1"/>
  <c r="AA366" i="14"/>
  <c r="AX366" i="14" s="1"/>
  <c r="AQ365" i="14"/>
  <c r="AR365" i="14" s="1"/>
  <c r="AS365" i="14" s="1"/>
  <c r="AT365" i="14" s="1"/>
  <c r="AU365" i="14" s="1"/>
  <c r="AF365" i="14"/>
  <c r="AG365" i="14" s="1"/>
  <c r="AH365" i="14" s="1"/>
  <c r="AI365" i="14" s="1"/>
  <c r="AJ365" i="14" s="1"/>
  <c r="BA365" i="14"/>
  <c r="BK365" i="14" s="1"/>
  <c r="AC365" i="14"/>
  <c r="AZ365" i="14"/>
  <c r="AK365" i="14"/>
  <c r="AL365" i="14" s="1"/>
  <c r="AM365" i="14" s="1"/>
  <c r="AN365" i="14" s="1"/>
  <c r="AO365" i="14" s="1"/>
  <c r="AP365" i="14" s="1"/>
  <c r="CE362" i="14"/>
  <c r="CJ362" i="14" s="1"/>
  <c r="AZ118" i="3" s="1"/>
  <c r="CD364" i="14"/>
  <c r="BE364" i="14"/>
  <c r="BG364" i="14" s="1"/>
  <c r="BT364" i="14"/>
  <c r="BW364" i="14" s="1"/>
  <c r="CA364" i="14"/>
  <c r="CB364" i="14" s="1"/>
  <c r="BV364" i="14"/>
  <c r="BX364" i="14" s="1"/>
  <c r="BR120" i="3"/>
  <c r="C120" i="26"/>
  <c r="C120" i="25"/>
  <c r="BG122" i="3"/>
  <c r="BM122" i="3" s="1"/>
  <c r="D119" i="26"/>
  <c r="D119" i="25"/>
  <c r="BH122" i="3"/>
  <c r="BE122" i="3"/>
  <c r="AW119" i="3"/>
  <c r="CF123" i="3"/>
  <c r="CK122" i="3"/>
  <c r="BC122" i="3"/>
  <c r="BN122" i="3" s="1"/>
  <c r="CJ122" i="3"/>
  <c r="AV122" i="3" s="1"/>
  <c r="BY123" i="3"/>
  <c r="DD282" i="3"/>
  <c r="BJ121" i="3"/>
  <c r="BP121" i="3" s="1"/>
  <c r="D123" i="3"/>
  <c r="BF121" i="3"/>
  <c r="BQ121" i="3" s="1"/>
  <c r="C124" i="3"/>
  <c r="BK123" i="3"/>
  <c r="BW123" i="3"/>
  <c r="CK123" i="3" s="1"/>
  <c r="BL123" i="3"/>
  <c r="AY123" i="3"/>
  <c r="AJ123" i="3"/>
  <c r="R120" i="26" s="1"/>
  <c r="AI123" i="3"/>
  <c r="Q120" i="26" s="1"/>
  <c r="AH123" i="3"/>
  <c r="P120" i="26" s="1"/>
  <c r="AG123" i="3"/>
  <c r="O120" i="26" s="1"/>
  <c r="BO121" i="3"/>
  <c r="AU121" i="3" s="1"/>
  <c r="CE111" i="14" l="1"/>
  <c r="CE112" i="14"/>
  <c r="BD123" i="3"/>
  <c r="BU124" i="3"/>
  <c r="BV124" i="3"/>
  <c r="CF112" i="14"/>
  <c r="BZ111" i="14"/>
  <c r="BV111" i="14"/>
  <c r="BX111" i="14" s="1"/>
  <c r="BS111" i="14"/>
  <c r="BT111" i="14"/>
  <c r="BW111" i="14" s="1"/>
  <c r="CA111" i="14"/>
  <c r="CB111" i="14" s="1"/>
  <c r="CM111" i="14" s="1"/>
  <c r="CG118" i="3" s="1"/>
  <c r="BU111" i="14"/>
  <c r="AW120" i="3"/>
  <c r="BT112" i="14"/>
  <c r="BW112" i="14" s="1"/>
  <c r="BU112" i="14"/>
  <c r="CA112" i="14"/>
  <c r="CB112" i="14" s="1"/>
  <c r="CM112" i="14" s="1"/>
  <c r="CG119" i="3" s="1"/>
  <c r="BS112" i="14"/>
  <c r="BV112" i="14"/>
  <c r="BX112" i="14" s="1"/>
  <c r="BZ112" i="14"/>
  <c r="CK111" i="14"/>
  <c r="CD118" i="3" s="1"/>
  <c r="AW113" i="14"/>
  <c r="BN366" i="14"/>
  <c r="BO366" i="14" s="1"/>
  <c r="BQ366" i="14"/>
  <c r="BR366" i="14" s="1"/>
  <c r="CD365" i="14"/>
  <c r="BE365" i="14"/>
  <c r="BG365" i="14" s="1"/>
  <c r="BS365" i="14"/>
  <c r="BU365" i="14"/>
  <c r="BZ365" i="14"/>
  <c r="BN115" i="14"/>
  <c r="BO115" i="14" s="1"/>
  <c r="AV366" i="14"/>
  <c r="BM367" i="14"/>
  <c r="BB367" i="14"/>
  <c r="AA367" i="14"/>
  <c r="AV367" i="14" s="1"/>
  <c r="AB367" i="14"/>
  <c r="BC367" i="14"/>
  <c r="BD367" i="14" s="1"/>
  <c r="AD367" i="14"/>
  <c r="BI367" i="14"/>
  <c r="BJ367" i="14" s="1"/>
  <c r="CF364" i="14"/>
  <c r="CK364" i="14" s="1"/>
  <c r="BA120" i="3" s="1"/>
  <c r="CD114" i="14"/>
  <c r="BE114" i="14"/>
  <c r="BG114" i="14" s="1"/>
  <c r="CE364" i="14"/>
  <c r="CJ364" i="14" s="1"/>
  <c r="AZ120" i="3" s="1"/>
  <c r="CH364" i="14"/>
  <c r="CM364" i="14" s="1"/>
  <c r="BB120" i="3" s="1"/>
  <c r="AW365" i="14"/>
  <c r="AY365" i="14" s="1"/>
  <c r="BV365" i="14"/>
  <c r="BX365" i="14" s="1"/>
  <c r="CA365" i="14"/>
  <c r="CB365" i="14" s="1"/>
  <c r="BT365" i="14"/>
  <c r="BW365" i="14" s="1"/>
  <c r="AK115" i="14"/>
  <c r="AL115" i="14" s="1"/>
  <c r="AM115" i="14" s="1"/>
  <c r="AN115" i="14" s="1"/>
  <c r="AO115" i="14" s="1"/>
  <c r="AP115" i="14" s="1"/>
  <c r="BA115" i="14"/>
  <c r="BK115" i="14" s="1"/>
  <c r="AC115" i="14"/>
  <c r="AZ115" i="14"/>
  <c r="AQ115" i="14"/>
  <c r="AR115" i="14" s="1"/>
  <c r="AS115" i="14" s="1"/>
  <c r="AT115" i="14" s="1"/>
  <c r="AU115" i="14" s="1"/>
  <c r="AF115" i="14"/>
  <c r="AG115" i="14" s="1"/>
  <c r="AH115" i="14" s="1"/>
  <c r="AI115" i="14" s="1"/>
  <c r="AJ115" i="14" s="1"/>
  <c r="AW114" i="14"/>
  <c r="Z368" i="14"/>
  <c r="AE368" i="14"/>
  <c r="Z117" i="14"/>
  <c r="AE117" i="14"/>
  <c r="BA366" i="14"/>
  <c r="BK366" i="14" s="1"/>
  <c r="AQ366" i="14"/>
  <c r="AR366" i="14" s="1"/>
  <c r="AS366" i="14" s="1"/>
  <c r="AT366" i="14" s="1"/>
  <c r="AU366" i="14" s="1"/>
  <c r="AC366" i="14"/>
  <c r="AF366" i="14"/>
  <c r="AK366" i="14"/>
  <c r="AL366" i="14" s="1"/>
  <c r="AM366" i="14" s="1"/>
  <c r="AN366" i="14" s="1"/>
  <c r="AO366" i="14" s="1"/>
  <c r="AP366" i="14" s="1"/>
  <c r="AZ366" i="14"/>
  <c r="AV115" i="14"/>
  <c r="AB116" i="14"/>
  <c r="BI116" i="14"/>
  <c r="BJ116" i="14" s="1"/>
  <c r="AA116" i="14"/>
  <c r="BC116" i="14"/>
  <c r="BD116" i="14" s="1"/>
  <c r="BB116" i="14"/>
  <c r="BM116" i="14"/>
  <c r="AD116" i="14"/>
  <c r="BI123" i="3"/>
  <c r="D120" i="26"/>
  <c r="D120" i="25"/>
  <c r="C121" i="26"/>
  <c r="C121" i="25"/>
  <c r="BG123" i="3"/>
  <c r="BM123" i="3" s="1"/>
  <c r="BH123" i="3"/>
  <c r="BE123" i="3"/>
  <c r="CF124" i="3"/>
  <c r="BJ122" i="3"/>
  <c r="BP122" i="3" s="1"/>
  <c r="BC123" i="3"/>
  <c r="BN123" i="3" s="1"/>
  <c r="CJ123" i="3"/>
  <c r="AV123" i="3" s="1"/>
  <c r="BY124" i="3"/>
  <c r="CI123" i="3"/>
  <c r="DD283" i="3"/>
  <c r="BR121" i="3"/>
  <c r="BF122" i="3"/>
  <c r="BQ122" i="3" s="1"/>
  <c r="D124" i="3"/>
  <c r="BI124" i="3" s="1"/>
  <c r="BO122" i="3"/>
  <c r="AU122" i="3" s="1"/>
  <c r="C125" i="3"/>
  <c r="BL124" i="3"/>
  <c r="BK124" i="3"/>
  <c r="BW124" i="3"/>
  <c r="CJ124" i="3" s="1"/>
  <c r="AV124" i="3" s="1"/>
  <c r="AI124" i="3"/>
  <c r="Q121" i="26" s="1"/>
  <c r="AH124" i="3"/>
  <c r="P121" i="26" s="1"/>
  <c r="AY124" i="3"/>
  <c r="AG124" i="3"/>
  <c r="O121" i="26" s="1"/>
  <c r="AJ124" i="3"/>
  <c r="R121" i="26" s="1"/>
  <c r="CJ111" i="14" l="1"/>
  <c r="CC118" i="3" s="1"/>
  <c r="CJ112" i="14"/>
  <c r="CC119" i="3" s="1"/>
  <c r="BD124" i="3"/>
  <c r="BV125" i="3"/>
  <c r="BU125" i="3"/>
  <c r="CK112" i="14"/>
  <c r="CD119" i="3" s="1"/>
  <c r="AY114" i="14"/>
  <c r="CH114" i="14" s="1"/>
  <c r="BQ114" i="14"/>
  <c r="BR114" i="14" s="1"/>
  <c r="CE365" i="14"/>
  <c r="CJ365" i="14" s="1"/>
  <c r="AZ121" i="3" s="1"/>
  <c r="AY113" i="14"/>
  <c r="CE113" i="14" s="1"/>
  <c r="BQ113" i="14"/>
  <c r="BR113" i="14" s="1"/>
  <c r="BH124" i="3"/>
  <c r="BG124" i="3"/>
  <c r="BM124" i="3" s="1"/>
  <c r="BM117" i="14"/>
  <c r="AB117" i="14"/>
  <c r="BC117" i="14"/>
  <c r="BD117" i="14" s="1"/>
  <c r="AA117" i="14"/>
  <c r="AX117" i="14" s="1"/>
  <c r="BI117" i="14"/>
  <c r="BJ117" i="14" s="1"/>
  <c r="AD117" i="14"/>
  <c r="BB117" i="14"/>
  <c r="AQ367" i="14"/>
  <c r="AR367" i="14" s="1"/>
  <c r="AS367" i="14" s="1"/>
  <c r="AT367" i="14" s="1"/>
  <c r="AU367" i="14" s="1"/>
  <c r="AZ367" i="14"/>
  <c r="AF367" i="14"/>
  <c r="AG367" i="14" s="1"/>
  <c r="AH367" i="14" s="1"/>
  <c r="AI367" i="14" s="1"/>
  <c r="AJ367" i="14" s="1"/>
  <c r="AC367" i="14"/>
  <c r="BA367" i="14"/>
  <c r="BK367" i="14" s="1"/>
  <c r="AK367" i="14"/>
  <c r="AL367" i="14" s="1"/>
  <c r="AM367" i="14" s="1"/>
  <c r="AN367" i="14" s="1"/>
  <c r="AO367" i="14" s="1"/>
  <c r="AP367" i="14" s="1"/>
  <c r="CA366" i="14"/>
  <c r="CB366" i="14" s="1"/>
  <c r="BT366" i="14"/>
  <c r="BW366" i="14" s="1"/>
  <c r="BV366" i="14"/>
  <c r="BX366" i="14" s="1"/>
  <c r="BN116" i="14"/>
  <c r="BO116" i="14" s="1"/>
  <c r="AK116" i="14"/>
  <c r="AL116" i="14" s="1"/>
  <c r="AM116" i="14" s="1"/>
  <c r="AN116" i="14" s="1"/>
  <c r="AO116" i="14" s="1"/>
  <c r="AP116" i="14" s="1"/>
  <c r="AC116" i="14"/>
  <c r="BA116" i="14"/>
  <c r="BK116" i="14" s="1"/>
  <c r="AF116" i="14"/>
  <c r="AQ116" i="14"/>
  <c r="AR116" i="14" s="1"/>
  <c r="AS116" i="14" s="1"/>
  <c r="AT116" i="14" s="1"/>
  <c r="AU116" i="14" s="1"/>
  <c r="AZ116" i="14"/>
  <c r="CD115" i="14"/>
  <c r="BE115" i="14"/>
  <c r="BG115" i="14" s="1"/>
  <c r="CE114" i="14"/>
  <c r="BZ366" i="14"/>
  <c r="BS366" i="14"/>
  <c r="BU366" i="14"/>
  <c r="AX116" i="14"/>
  <c r="AG366" i="14"/>
  <c r="AH366" i="14" s="1"/>
  <c r="AI366" i="14" s="1"/>
  <c r="AJ366" i="14" s="1"/>
  <c r="AA368" i="14"/>
  <c r="AV368" i="14" s="1"/>
  <c r="BB368" i="14"/>
  <c r="BC368" i="14"/>
  <c r="BD368" i="14" s="1"/>
  <c r="BM368" i="14"/>
  <c r="AD368" i="14"/>
  <c r="BI368" i="14"/>
  <c r="BJ368" i="14" s="1"/>
  <c r="AB368" i="14"/>
  <c r="Z369" i="14"/>
  <c r="AE369" i="14"/>
  <c r="Z118" i="14"/>
  <c r="AE118" i="14"/>
  <c r="CD366" i="14"/>
  <c r="BE366" i="14"/>
  <c r="BG366" i="14" s="1"/>
  <c r="AX367" i="14"/>
  <c r="AW115" i="14"/>
  <c r="CF365" i="14"/>
  <c r="CK365" i="14" s="1"/>
  <c r="BA121" i="3" s="1"/>
  <c r="CH365" i="14"/>
  <c r="CM365" i="14" s="1"/>
  <c r="BB121" i="3" s="1"/>
  <c r="BN367" i="14"/>
  <c r="BO367" i="14" s="1"/>
  <c r="BQ367" i="14"/>
  <c r="BR367" i="14" s="1"/>
  <c r="AV116" i="14"/>
  <c r="C122" i="26"/>
  <c r="C122" i="25"/>
  <c r="D121" i="26"/>
  <c r="D121" i="25"/>
  <c r="BE124" i="3"/>
  <c r="BR122" i="3"/>
  <c r="CF125" i="3"/>
  <c r="AW121" i="3"/>
  <c r="CK124" i="3"/>
  <c r="BJ123" i="3"/>
  <c r="BP123" i="3" s="1"/>
  <c r="DD284" i="3"/>
  <c r="BC124" i="3"/>
  <c r="BN124" i="3" s="1"/>
  <c r="BY125" i="3"/>
  <c r="CI124" i="3"/>
  <c r="D125" i="3"/>
  <c r="BF123" i="3"/>
  <c r="BQ123" i="3" s="1"/>
  <c r="BO123" i="3"/>
  <c r="AU123" i="3" s="1"/>
  <c r="C126" i="3"/>
  <c r="BW125" i="3"/>
  <c r="CJ125" i="3" s="1"/>
  <c r="AV125" i="3" s="1"/>
  <c r="BL125" i="3"/>
  <c r="AY125" i="3"/>
  <c r="BK125" i="3"/>
  <c r="AH125" i="3"/>
  <c r="P122" i="26" s="1"/>
  <c r="AG125" i="3"/>
  <c r="O122" i="26" s="1"/>
  <c r="AJ125" i="3"/>
  <c r="R122" i="26" s="1"/>
  <c r="AI125" i="3"/>
  <c r="Q122" i="26" s="1"/>
  <c r="CF114" i="14" l="1"/>
  <c r="BD125" i="3"/>
  <c r="AV117" i="14"/>
  <c r="CF113" i="14"/>
  <c r="CH113" i="14"/>
  <c r="BV126" i="3"/>
  <c r="BU126" i="3"/>
  <c r="AW122" i="3"/>
  <c r="AY115" i="14"/>
  <c r="CF115" i="14" s="1"/>
  <c r="BQ115" i="14"/>
  <c r="BR115" i="14" s="1"/>
  <c r="CA113" i="14"/>
  <c r="CB113" i="14" s="1"/>
  <c r="BU113" i="14"/>
  <c r="BT113" i="14"/>
  <c r="BW113" i="14" s="1"/>
  <c r="CJ113" i="14" s="1"/>
  <c r="CC120" i="3" s="1"/>
  <c r="BZ113" i="14"/>
  <c r="BV113" i="14"/>
  <c r="BX113" i="14" s="1"/>
  <c r="BS113" i="14"/>
  <c r="BT114" i="14"/>
  <c r="BW114" i="14" s="1"/>
  <c r="CJ114" i="14" s="1"/>
  <c r="CC121" i="3" s="1"/>
  <c r="BS114" i="14"/>
  <c r="BZ114" i="14"/>
  <c r="BV114" i="14"/>
  <c r="BX114" i="14" s="1"/>
  <c r="CK114" i="14" s="1"/>
  <c r="CD121" i="3" s="1"/>
  <c r="BU114" i="14"/>
  <c r="CA114" i="14"/>
  <c r="CB114" i="14" s="1"/>
  <c r="CM114" i="14" s="1"/>
  <c r="CG121" i="3" s="1"/>
  <c r="AX368" i="14"/>
  <c r="AB118" i="14"/>
  <c r="BC118" i="14"/>
  <c r="BD118" i="14" s="1"/>
  <c r="BI118" i="14"/>
  <c r="BJ118" i="14" s="1"/>
  <c r="AA118" i="14"/>
  <c r="AX118" i="14" s="1"/>
  <c r="BB118" i="14"/>
  <c r="AD118" i="14"/>
  <c r="BM118" i="14"/>
  <c r="Z370" i="14"/>
  <c r="AE370" i="14"/>
  <c r="AE119" i="14"/>
  <c r="Z119" i="14"/>
  <c r="CA367" i="14"/>
  <c r="CB367" i="14" s="1"/>
  <c r="BT367" i="14"/>
  <c r="BW367" i="14" s="1"/>
  <c r="BV367" i="14"/>
  <c r="BX367" i="14" s="1"/>
  <c r="BN117" i="14"/>
  <c r="BO117" i="14" s="1"/>
  <c r="BU367" i="14"/>
  <c r="BS367" i="14"/>
  <c r="BZ367" i="14"/>
  <c r="BB369" i="14"/>
  <c r="BM369" i="14"/>
  <c r="AB369" i="14"/>
  <c r="AD369" i="14"/>
  <c r="AA369" i="14"/>
  <c r="AX369" i="14" s="1"/>
  <c r="BC369" i="14"/>
  <c r="BD369" i="14" s="1"/>
  <c r="BI369" i="14"/>
  <c r="BJ369" i="14" s="1"/>
  <c r="BA368" i="14"/>
  <c r="BK368" i="14" s="1"/>
  <c r="AF368" i="14"/>
  <c r="AQ368" i="14"/>
  <c r="AR368" i="14" s="1"/>
  <c r="AS368" i="14" s="1"/>
  <c r="AT368" i="14" s="1"/>
  <c r="AU368" i="14" s="1"/>
  <c r="AK368" i="14"/>
  <c r="AL368" i="14" s="1"/>
  <c r="AM368" i="14" s="1"/>
  <c r="AN368" i="14" s="1"/>
  <c r="AO368" i="14" s="1"/>
  <c r="AP368" i="14" s="1"/>
  <c r="AC368" i="14"/>
  <c r="AZ368" i="14"/>
  <c r="AW366" i="14"/>
  <c r="AY366" i="14" s="1"/>
  <c r="CE366" i="14" s="1"/>
  <c r="CJ366" i="14" s="1"/>
  <c r="AZ122" i="3" s="1"/>
  <c r="CD116" i="14"/>
  <c r="BE116" i="14"/>
  <c r="BG116" i="14" s="1"/>
  <c r="BA117" i="14"/>
  <c r="BK117" i="14" s="1"/>
  <c r="AC117" i="14"/>
  <c r="AQ117" i="14"/>
  <c r="AR117" i="14" s="1"/>
  <c r="AS117" i="14" s="1"/>
  <c r="AT117" i="14" s="1"/>
  <c r="AU117" i="14" s="1"/>
  <c r="AK117" i="14"/>
  <c r="AL117" i="14" s="1"/>
  <c r="AM117" i="14" s="1"/>
  <c r="AN117" i="14" s="1"/>
  <c r="AO117" i="14" s="1"/>
  <c r="AP117" i="14" s="1"/>
  <c r="AF117" i="14"/>
  <c r="AG117" i="14" s="1"/>
  <c r="AH117" i="14" s="1"/>
  <c r="AI117" i="14" s="1"/>
  <c r="AJ117" i="14" s="1"/>
  <c r="AZ117" i="14"/>
  <c r="CD367" i="14"/>
  <c r="BE367" i="14"/>
  <c r="BG367" i="14" s="1"/>
  <c r="BQ368" i="14"/>
  <c r="BR368" i="14" s="1"/>
  <c r="BN368" i="14"/>
  <c r="BO368" i="14" s="1"/>
  <c r="AG116" i="14"/>
  <c r="AH116" i="14" s="1"/>
  <c r="AI116" i="14" s="1"/>
  <c r="AJ116" i="14" s="1"/>
  <c r="AW367" i="14"/>
  <c r="AY367" i="14" s="1"/>
  <c r="BG125" i="3"/>
  <c r="BM125" i="3" s="1"/>
  <c r="D122" i="25"/>
  <c r="D122" i="26"/>
  <c r="C123" i="26"/>
  <c r="C123" i="25"/>
  <c r="BH125" i="3"/>
  <c r="BI125" i="3"/>
  <c r="BE125" i="3"/>
  <c r="CF126" i="3"/>
  <c r="CK125" i="3"/>
  <c r="BR123" i="3"/>
  <c r="BC125" i="3"/>
  <c r="BN125" i="3" s="1"/>
  <c r="CI125" i="3"/>
  <c r="BY126" i="3"/>
  <c r="BJ124" i="3"/>
  <c r="BP124" i="3" s="1"/>
  <c r="DD285" i="3"/>
  <c r="BF124" i="3"/>
  <c r="BQ124" i="3" s="1"/>
  <c r="D126" i="3"/>
  <c r="BO124" i="3"/>
  <c r="AU124" i="3" s="1"/>
  <c r="C127" i="3"/>
  <c r="BL126" i="3"/>
  <c r="BW126" i="3"/>
  <c r="CJ126" i="3" s="1"/>
  <c r="AV126" i="3" s="1"/>
  <c r="AY126" i="3"/>
  <c r="BK126" i="3"/>
  <c r="AG126" i="3"/>
  <c r="O123" i="26" s="1"/>
  <c r="AJ126" i="3"/>
  <c r="R123" i="26" s="1"/>
  <c r="AI126" i="3"/>
  <c r="Q123" i="26" s="1"/>
  <c r="AH126" i="3"/>
  <c r="P123" i="26" s="1"/>
  <c r="CH115" i="14" l="1"/>
  <c r="CE115" i="14"/>
  <c r="CK113" i="14"/>
  <c r="CD120" i="3" s="1"/>
  <c r="CM113" i="14"/>
  <c r="CG120" i="3" s="1"/>
  <c r="BD126" i="3"/>
  <c r="BV127" i="3"/>
  <c r="BU127" i="3"/>
  <c r="AV118" i="14"/>
  <c r="AW123" i="3"/>
  <c r="BS115" i="14"/>
  <c r="BT115" i="14"/>
  <c r="BW115" i="14" s="1"/>
  <c r="BU115" i="14"/>
  <c r="BV115" i="14"/>
  <c r="BX115" i="14" s="1"/>
  <c r="CK115" i="14" s="1"/>
  <c r="CD122" i="3" s="1"/>
  <c r="BZ115" i="14"/>
  <c r="CA115" i="14"/>
  <c r="CB115" i="14" s="1"/>
  <c r="CF367" i="14"/>
  <c r="CK367" i="14" s="1"/>
  <c r="BA123" i="3" s="1"/>
  <c r="CH366" i="14"/>
  <c r="CM366" i="14" s="1"/>
  <c r="BB122" i="3" s="1"/>
  <c r="CD368" i="14"/>
  <c r="BE368" i="14"/>
  <c r="BG368" i="14" s="1"/>
  <c r="AV369" i="14"/>
  <c r="AQ369" i="14"/>
  <c r="AR369" i="14" s="1"/>
  <c r="AS369" i="14" s="1"/>
  <c r="AT369" i="14" s="1"/>
  <c r="AU369" i="14" s="1"/>
  <c r="AF369" i="14"/>
  <c r="AG369" i="14" s="1"/>
  <c r="AH369" i="14" s="1"/>
  <c r="AI369" i="14" s="1"/>
  <c r="AJ369" i="14" s="1"/>
  <c r="BA369" i="14"/>
  <c r="BK369" i="14" s="1"/>
  <c r="AC369" i="14"/>
  <c r="AZ369" i="14"/>
  <c r="AK369" i="14"/>
  <c r="AL369" i="14" s="1"/>
  <c r="AM369" i="14" s="1"/>
  <c r="AN369" i="14" s="1"/>
  <c r="AO369" i="14" s="1"/>
  <c r="AP369" i="14" s="1"/>
  <c r="BM370" i="14"/>
  <c r="AD370" i="14"/>
  <c r="BB370" i="14"/>
  <c r="BC370" i="14"/>
  <c r="BD370" i="14" s="1"/>
  <c r="BI370" i="14"/>
  <c r="BJ370" i="14" s="1"/>
  <c r="AA370" i="14"/>
  <c r="AX370" i="14" s="1"/>
  <c r="AB370" i="14"/>
  <c r="BN118" i="14"/>
  <c r="BO118" i="14" s="1"/>
  <c r="AZ118" i="14"/>
  <c r="AQ118" i="14"/>
  <c r="AR118" i="14" s="1"/>
  <c r="AS118" i="14" s="1"/>
  <c r="AT118" i="14" s="1"/>
  <c r="AU118" i="14" s="1"/>
  <c r="AK118" i="14"/>
  <c r="AL118" i="14" s="1"/>
  <c r="AM118" i="14" s="1"/>
  <c r="AN118" i="14" s="1"/>
  <c r="AO118" i="14" s="1"/>
  <c r="AP118" i="14" s="1"/>
  <c r="AF118" i="14"/>
  <c r="AG118" i="14" s="1"/>
  <c r="AH118" i="14" s="1"/>
  <c r="AI118" i="14" s="1"/>
  <c r="AJ118" i="14" s="1"/>
  <c r="BA118" i="14"/>
  <c r="BK118" i="14" s="1"/>
  <c r="AC118" i="14"/>
  <c r="BV368" i="14"/>
  <c r="BX368" i="14" s="1"/>
  <c r="BT368" i="14"/>
  <c r="BW368" i="14" s="1"/>
  <c r="CA368" i="14"/>
  <c r="CB368" i="14" s="1"/>
  <c r="AE371" i="14"/>
  <c r="Z371" i="14"/>
  <c r="Z120" i="14"/>
  <c r="AE120" i="14"/>
  <c r="BE117" i="14"/>
  <c r="BG117" i="14" s="1"/>
  <c r="CD117" i="14"/>
  <c r="BM119" i="14"/>
  <c r="BI119" i="14"/>
  <c r="BJ119" i="14" s="1"/>
  <c r="AA119" i="14"/>
  <c r="AV119" i="14" s="1"/>
  <c r="AB119" i="14"/>
  <c r="BC119" i="14"/>
  <c r="BD119" i="14" s="1"/>
  <c r="AD119" i="14"/>
  <c r="BB119" i="14"/>
  <c r="CF366" i="14"/>
  <c r="CK366" i="14" s="1"/>
  <c r="BA122" i="3" s="1"/>
  <c r="BS368" i="14"/>
  <c r="BZ368" i="14"/>
  <c r="BU368" i="14"/>
  <c r="CH367" i="14"/>
  <c r="CM367" i="14" s="1"/>
  <c r="BB123" i="3" s="1"/>
  <c r="CE367" i="14"/>
  <c r="CJ367" i="14" s="1"/>
  <c r="AZ123" i="3" s="1"/>
  <c r="AW117" i="14"/>
  <c r="AW116" i="14"/>
  <c r="AG368" i="14"/>
  <c r="AH368" i="14" s="1"/>
  <c r="AI368" i="14" s="1"/>
  <c r="AJ368" i="14" s="1"/>
  <c r="BN369" i="14"/>
  <c r="BO369" i="14" s="1"/>
  <c r="BQ369" i="14"/>
  <c r="BR369" i="14" s="1"/>
  <c r="C124" i="25"/>
  <c r="C124" i="26"/>
  <c r="BG126" i="3"/>
  <c r="BM126" i="3" s="1"/>
  <c r="D123" i="26"/>
  <c r="D123" i="25"/>
  <c r="BI126" i="3"/>
  <c r="BH126" i="3"/>
  <c r="BE126" i="3"/>
  <c r="CK126" i="3"/>
  <c r="CF127" i="3"/>
  <c r="BC126" i="3"/>
  <c r="BN126" i="3" s="1"/>
  <c r="BR124" i="3"/>
  <c r="CI126" i="3"/>
  <c r="BY127" i="3"/>
  <c r="BF125" i="3"/>
  <c r="BQ125" i="3" s="1"/>
  <c r="BJ125" i="3"/>
  <c r="BP125" i="3" s="1"/>
  <c r="DD286" i="3"/>
  <c r="D127" i="3"/>
  <c r="BI127" i="3" s="1"/>
  <c r="BO125" i="3"/>
  <c r="AU125" i="3" s="1"/>
  <c r="C128" i="3"/>
  <c r="BK127" i="3"/>
  <c r="AY127" i="3"/>
  <c r="BD127" i="3" s="1"/>
  <c r="BL127" i="3"/>
  <c r="BW127" i="3"/>
  <c r="CK127" i="3" s="1"/>
  <c r="AJ127" i="3"/>
  <c r="R124" i="26" s="1"/>
  <c r="AI127" i="3"/>
  <c r="Q124" i="26" s="1"/>
  <c r="AH127" i="3"/>
  <c r="P124" i="26" s="1"/>
  <c r="AG127" i="3"/>
  <c r="O124" i="26" s="1"/>
  <c r="CM115" i="14" l="1"/>
  <c r="CG122" i="3" s="1"/>
  <c r="CJ115" i="14"/>
  <c r="CC122" i="3" s="1"/>
  <c r="BV128" i="3"/>
  <c r="BU128" i="3"/>
  <c r="AY117" i="14"/>
  <c r="CF117" i="14" s="1"/>
  <c r="BQ117" i="14"/>
  <c r="BR117" i="14" s="1"/>
  <c r="AY116" i="14"/>
  <c r="CE116" i="14" s="1"/>
  <c r="BQ116" i="14"/>
  <c r="BR116" i="14" s="1"/>
  <c r="DD287" i="3"/>
  <c r="AV370" i="14"/>
  <c r="CF116" i="14"/>
  <c r="Z372" i="14"/>
  <c r="AE372" i="14"/>
  <c r="AE121" i="14"/>
  <c r="Z121" i="14"/>
  <c r="BU369" i="14"/>
  <c r="BS369" i="14"/>
  <c r="BZ369" i="14"/>
  <c r="AZ119" i="14"/>
  <c r="BA119" i="14"/>
  <c r="BK119" i="14" s="1"/>
  <c r="AK119" i="14"/>
  <c r="AL119" i="14" s="1"/>
  <c r="AM119" i="14" s="1"/>
  <c r="AN119" i="14" s="1"/>
  <c r="AO119" i="14" s="1"/>
  <c r="AP119" i="14" s="1"/>
  <c r="AC119" i="14"/>
  <c r="AQ119" i="14"/>
  <c r="AR119" i="14" s="1"/>
  <c r="AS119" i="14" s="1"/>
  <c r="AT119" i="14" s="1"/>
  <c r="AU119" i="14" s="1"/>
  <c r="AF119" i="14"/>
  <c r="AG119" i="14" s="1"/>
  <c r="AH119" i="14" s="1"/>
  <c r="AI119" i="14" s="1"/>
  <c r="AJ119" i="14" s="1"/>
  <c r="BV369" i="14"/>
  <c r="BX369" i="14" s="1"/>
  <c r="CA369" i="14"/>
  <c r="CB369" i="14" s="1"/>
  <c r="BT369" i="14"/>
  <c r="BW369" i="14" s="1"/>
  <c r="AW368" i="14"/>
  <c r="AY368" i="14" s="1"/>
  <c r="CF368" i="14" s="1"/>
  <c r="CK368" i="14" s="1"/>
  <c r="BA124" i="3" s="1"/>
  <c r="BN119" i="14"/>
  <c r="BO119" i="14" s="1"/>
  <c r="BB371" i="14"/>
  <c r="BM371" i="14"/>
  <c r="AA371" i="14"/>
  <c r="AX371" i="14" s="1"/>
  <c r="BC371" i="14"/>
  <c r="BD371" i="14" s="1"/>
  <c r="AB371" i="14"/>
  <c r="AD371" i="14"/>
  <c r="BI371" i="14"/>
  <c r="BJ371" i="14" s="1"/>
  <c r="AW118" i="14"/>
  <c r="BN370" i="14"/>
  <c r="BO370" i="14" s="1"/>
  <c r="BQ370" i="14"/>
  <c r="BR370" i="14" s="1"/>
  <c r="CD118" i="14"/>
  <c r="BE118" i="14"/>
  <c r="BG118" i="14" s="1"/>
  <c r="AW369" i="14"/>
  <c r="AY369" i="14" s="1"/>
  <c r="AX119" i="14"/>
  <c r="AB120" i="14"/>
  <c r="AA120" i="14"/>
  <c r="AX120" i="14" s="1"/>
  <c r="BI120" i="14"/>
  <c r="BJ120" i="14" s="1"/>
  <c r="BC120" i="14"/>
  <c r="BD120" i="14" s="1"/>
  <c r="BB120" i="14"/>
  <c r="AD120" i="14"/>
  <c r="BM120" i="14"/>
  <c r="AQ370" i="14"/>
  <c r="AR370" i="14" s="1"/>
  <c r="AS370" i="14" s="1"/>
  <c r="AT370" i="14" s="1"/>
  <c r="AU370" i="14" s="1"/>
  <c r="AF370" i="14"/>
  <c r="AG370" i="14" s="1"/>
  <c r="AH370" i="14" s="1"/>
  <c r="AI370" i="14" s="1"/>
  <c r="AJ370" i="14" s="1"/>
  <c r="AC370" i="14"/>
  <c r="AZ370" i="14"/>
  <c r="BA370" i="14"/>
  <c r="BK370" i="14" s="1"/>
  <c r="AK370" i="14"/>
  <c r="AL370" i="14" s="1"/>
  <c r="AM370" i="14" s="1"/>
  <c r="AN370" i="14" s="1"/>
  <c r="AO370" i="14" s="1"/>
  <c r="AP370" i="14" s="1"/>
  <c r="CD369" i="14"/>
  <c r="BE369" i="14"/>
  <c r="BG369" i="14" s="1"/>
  <c r="BH127" i="3"/>
  <c r="D124" i="26"/>
  <c r="D124" i="25"/>
  <c r="BJ126" i="3"/>
  <c r="BP126" i="3" s="1"/>
  <c r="C125" i="26"/>
  <c r="C125" i="25"/>
  <c r="BG127" i="3"/>
  <c r="BM127" i="3" s="1"/>
  <c r="BE127" i="3"/>
  <c r="AW124" i="3"/>
  <c r="CF128" i="3"/>
  <c r="BC127" i="3"/>
  <c r="BN127" i="3" s="1"/>
  <c r="BY128" i="3"/>
  <c r="CJ127" i="3"/>
  <c r="AV127" i="3" s="1"/>
  <c r="CI127" i="3"/>
  <c r="BR125" i="3"/>
  <c r="BF126" i="3"/>
  <c r="BQ126" i="3" s="1"/>
  <c r="D128" i="3"/>
  <c r="C129" i="3"/>
  <c r="BW128" i="3"/>
  <c r="CI128" i="3" s="1"/>
  <c r="BL128" i="3"/>
  <c r="AI128" i="3"/>
  <c r="Q125" i="26" s="1"/>
  <c r="AY128" i="3"/>
  <c r="AH128" i="3"/>
  <c r="P125" i="26" s="1"/>
  <c r="AG128" i="3"/>
  <c r="O125" i="26" s="1"/>
  <c r="AJ128" i="3"/>
  <c r="R125" i="26" s="1"/>
  <c r="BK128" i="3"/>
  <c r="BO126" i="3"/>
  <c r="AU126" i="3" s="1"/>
  <c r="CH116" i="14" l="1"/>
  <c r="CH117" i="14"/>
  <c r="CE117" i="14"/>
  <c r="BD128" i="3"/>
  <c r="BV129" i="3"/>
  <c r="BU129" i="3"/>
  <c r="BZ116" i="14"/>
  <c r="CA116" i="14"/>
  <c r="CB116" i="14" s="1"/>
  <c r="BU116" i="14"/>
  <c r="BV116" i="14"/>
  <c r="BX116" i="14" s="1"/>
  <c r="CK116" i="14" s="1"/>
  <c r="CD123" i="3" s="1"/>
  <c r="BS116" i="14"/>
  <c r="BT116" i="14"/>
  <c r="BW116" i="14" s="1"/>
  <c r="CJ116" i="14" s="1"/>
  <c r="CC123" i="3" s="1"/>
  <c r="BZ117" i="14"/>
  <c r="CA117" i="14"/>
  <c r="CB117" i="14" s="1"/>
  <c r="BU117" i="14"/>
  <c r="BT117" i="14"/>
  <c r="BW117" i="14" s="1"/>
  <c r="BV117" i="14"/>
  <c r="BX117" i="14" s="1"/>
  <c r="CK117" i="14" s="1"/>
  <c r="CD124" i="3" s="1"/>
  <c r="BS117" i="14"/>
  <c r="AY118" i="14"/>
  <c r="CF118" i="14" s="1"/>
  <c r="BQ118" i="14"/>
  <c r="BR118" i="14" s="1"/>
  <c r="CH368" i="14"/>
  <c r="CM368" i="14" s="1"/>
  <c r="BB124" i="3" s="1"/>
  <c r="CE368" i="14"/>
  <c r="CJ368" i="14" s="1"/>
  <c r="AZ124" i="3" s="1"/>
  <c r="CF369" i="14"/>
  <c r="CK369" i="14" s="1"/>
  <c r="BA125" i="3" s="1"/>
  <c r="Z373" i="14"/>
  <c r="AE373" i="14"/>
  <c r="Z122" i="14"/>
  <c r="AE122" i="14"/>
  <c r="AK120" i="14"/>
  <c r="AL120" i="14" s="1"/>
  <c r="AM120" i="14" s="1"/>
  <c r="AN120" i="14" s="1"/>
  <c r="AO120" i="14" s="1"/>
  <c r="AP120" i="14" s="1"/>
  <c r="BA120" i="14"/>
  <c r="BK120" i="14" s="1"/>
  <c r="AC120" i="14"/>
  <c r="AQ120" i="14"/>
  <c r="AR120" i="14" s="1"/>
  <c r="AS120" i="14" s="1"/>
  <c r="AT120" i="14" s="1"/>
  <c r="AU120" i="14" s="1"/>
  <c r="AZ120" i="14"/>
  <c r="AF120" i="14"/>
  <c r="AG120" i="14" s="1"/>
  <c r="AH120" i="14" s="1"/>
  <c r="AI120" i="14" s="1"/>
  <c r="AJ120" i="14" s="1"/>
  <c r="AV120" i="14"/>
  <c r="AV371" i="14"/>
  <c r="AK371" i="14"/>
  <c r="AL371" i="14" s="1"/>
  <c r="AM371" i="14" s="1"/>
  <c r="AN371" i="14" s="1"/>
  <c r="AO371" i="14" s="1"/>
  <c r="AP371" i="14" s="1"/>
  <c r="AF371" i="14"/>
  <c r="BA371" i="14"/>
  <c r="BK371" i="14" s="1"/>
  <c r="AC371" i="14"/>
  <c r="AZ371" i="14"/>
  <c r="AQ371" i="14"/>
  <c r="AR371" i="14" s="1"/>
  <c r="AS371" i="14" s="1"/>
  <c r="AT371" i="14" s="1"/>
  <c r="AU371" i="14" s="1"/>
  <c r="CE369" i="14"/>
  <c r="CJ369" i="14" s="1"/>
  <c r="AZ125" i="3" s="1"/>
  <c r="CH369" i="14"/>
  <c r="CM369" i="14" s="1"/>
  <c r="BB125" i="3" s="1"/>
  <c r="BN120" i="14"/>
  <c r="BO120" i="14" s="1"/>
  <c r="BZ370" i="14"/>
  <c r="BU370" i="14"/>
  <c r="BS370" i="14"/>
  <c r="BE119" i="14"/>
  <c r="BG119" i="14" s="1"/>
  <c r="CD119" i="14"/>
  <c r="BM121" i="14"/>
  <c r="BC121" i="14"/>
  <c r="BD121" i="14" s="1"/>
  <c r="BI121" i="14"/>
  <c r="BJ121" i="14" s="1"/>
  <c r="AB121" i="14"/>
  <c r="AA121" i="14"/>
  <c r="AX121" i="14" s="1"/>
  <c r="BB121" i="14"/>
  <c r="AD121" i="14"/>
  <c r="BE370" i="14"/>
  <c r="BG370" i="14" s="1"/>
  <c r="CD370" i="14"/>
  <c r="AW370" i="14"/>
  <c r="AY370" i="14" s="1"/>
  <c r="BV370" i="14"/>
  <c r="BX370" i="14" s="1"/>
  <c r="CA370" i="14"/>
  <c r="CB370" i="14" s="1"/>
  <c r="BT370" i="14"/>
  <c r="BW370" i="14" s="1"/>
  <c r="BN371" i="14"/>
  <c r="BO371" i="14" s="1"/>
  <c r="BQ371" i="14"/>
  <c r="BR371" i="14" s="1"/>
  <c r="AW119" i="14"/>
  <c r="AA372" i="14"/>
  <c r="AV372" i="14" s="1"/>
  <c r="BI372" i="14"/>
  <c r="BJ372" i="14" s="1"/>
  <c r="BB372" i="14"/>
  <c r="BC372" i="14"/>
  <c r="BD372" i="14" s="1"/>
  <c r="AB372" i="14"/>
  <c r="AD372" i="14"/>
  <c r="BM372" i="14"/>
  <c r="C126" i="26"/>
  <c r="C126" i="25"/>
  <c r="BI128" i="3"/>
  <c r="D125" i="26"/>
  <c r="D125" i="25"/>
  <c r="BR126" i="3"/>
  <c r="BG128" i="3"/>
  <c r="BM128" i="3" s="1"/>
  <c r="BH128" i="3"/>
  <c r="BE128" i="3"/>
  <c r="CK128" i="3"/>
  <c r="CF129" i="3"/>
  <c r="AW125" i="3"/>
  <c r="BJ127" i="3"/>
  <c r="BP127" i="3" s="1"/>
  <c r="BC128" i="3"/>
  <c r="BN128" i="3" s="1"/>
  <c r="BY129" i="3"/>
  <c r="CJ128" i="3"/>
  <c r="AV128" i="3" s="1"/>
  <c r="DD288" i="3"/>
  <c r="D129" i="3"/>
  <c r="BF127" i="3"/>
  <c r="BQ127" i="3" s="1"/>
  <c r="C130" i="3"/>
  <c r="BW129" i="3"/>
  <c r="CI129" i="3" s="1"/>
  <c r="BL129" i="3"/>
  <c r="AY129" i="3"/>
  <c r="AH129" i="3"/>
  <c r="P126" i="26" s="1"/>
  <c r="AG129" i="3"/>
  <c r="O126" i="26" s="1"/>
  <c r="AJ129" i="3"/>
  <c r="R126" i="26" s="1"/>
  <c r="AI129" i="3"/>
  <c r="Q126" i="26" s="1"/>
  <c r="BK129" i="3"/>
  <c r="BO127" i="3"/>
  <c r="AU127" i="3" s="1"/>
  <c r="CE118" i="14" l="1"/>
  <c r="CJ117" i="14"/>
  <c r="CC124" i="3" s="1"/>
  <c r="CM116" i="14"/>
  <c r="CG123" i="3" s="1"/>
  <c r="CM117" i="14"/>
  <c r="CG124" i="3" s="1"/>
  <c r="CH118" i="14"/>
  <c r="BD129" i="3"/>
  <c r="BV130" i="3"/>
  <c r="BU130" i="3"/>
  <c r="BZ118" i="14"/>
  <c r="CA118" i="14"/>
  <c r="CB118" i="14" s="1"/>
  <c r="BT118" i="14"/>
  <c r="BW118" i="14" s="1"/>
  <c r="BU118" i="14"/>
  <c r="BV118" i="14"/>
  <c r="BX118" i="14" s="1"/>
  <c r="CK118" i="14" s="1"/>
  <c r="CD125" i="3" s="1"/>
  <c r="BS118" i="14"/>
  <c r="AW126" i="3"/>
  <c r="AY119" i="14"/>
  <c r="CE119" i="14" s="1"/>
  <c r="BQ119" i="14"/>
  <c r="BR119" i="14" s="1"/>
  <c r="AV121" i="14"/>
  <c r="AX372" i="14"/>
  <c r="CD371" i="14"/>
  <c r="BE371" i="14"/>
  <c r="BG371" i="14" s="1"/>
  <c r="BM373" i="14"/>
  <c r="AB373" i="14"/>
  <c r="AD373" i="14"/>
  <c r="BB373" i="14"/>
  <c r="BC373" i="14"/>
  <c r="BD373" i="14" s="1"/>
  <c r="BI373" i="14"/>
  <c r="BJ373" i="14" s="1"/>
  <c r="AA373" i="14"/>
  <c r="CE370" i="14"/>
  <c r="CJ370" i="14" s="1"/>
  <c r="AZ126" i="3" s="1"/>
  <c r="CH370" i="14"/>
  <c r="CM370" i="14" s="1"/>
  <c r="BB126" i="3" s="1"/>
  <c r="CF370" i="14"/>
  <c r="CK370" i="14" s="1"/>
  <c r="BA126" i="3" s="1"/>
  <c r="BS371" i="14"/>
  <c r="BZ371" i="14"/>
  <c r="BU371" i="14"/>
  <c r="BA121" i="14"/>
  <c r="BK121" i="14" s="1"/>
  <c r="AF121" i="14"/>
  <c r="AG121" i="14" s="1"/>
  <c r="AH121" i="14" s="1"/>
  <c r="AI121" i="14" s="1"/>
  <c r="AJ121" i="14" s="1"/>
  <c r="AK121" i="14"/>
  <c r="AL121" i="14" s="1"/>
  <c r="AM121" i="14" s="1"/>
  <c r="AN121" i="14" s="1"/>
  <c r="AO121" i="14" s="1"/>
  <c r="AP121" i="14" s="1"/>
  <c r="AZ121" i="14"/>
  <c r="AC121" i="14"/>
  <c r="AQ121" i="14"/>
  <c r="AR121" i="14" s="1"/>
  <c r="AS121" i="14" s="1"/>
  <c r="AT121" i="14" s="1"/>
  <c r="AU121" i="14" s="1"/>
  <c r="BN121" i="14"/>
  <c r="BO121" i="14" s="1"/>
  <c r="AG371" i="14"/>
  <c r="AH371" i="14" s="1"/>
  <c r="AI371" i="14" s="1"/>
  <c r="AJ371" i="14" s="1"/>
  <c r="AW120" i="14"/>
  <c r="AB122" i="14"/>
  <c r="BI122" i="14"/>
  <c r="BJ122" i="14" s="1"/>
  <c r="AA122" i="14"/>
  <c r="BC122" i="14"/>
  <c r="BD122" i="14" s="1"/>
  <c r="BB122" i="14"/>
  <c r="AD122" i="14"/>
  <c r="BM122" i="14"/>
  <c r="BN372" i="14"/>
  <c r="BO372" i="14" s="1"/>
  <c r="BQ372" i="14"/>
  <c r="BR372" i="14" s="1"/>
  <c r="BT371" i="14"/>
  <c r="BW371" i="14" s="1"/>
  <c r="CA371" i="14"/>
  <c r="CB371" i="14" s="1"/>
  <c r="BV371" i="14"/>
  <c r="BX371" i="14" s="1"/>
  <c r="AE374" i="14"/>
  <c r="Z374" i="14"/>
  <c r="Z123" i="14"/>
  <c r="AE123" i="14"/>
  <c r="AC372" i="14"/>
  <c r="AZ372" i="14"/>
  <c r="AQ372" i="14"/>
  <c r="AR372" i="14" s="1"/>
  <c r="AS372" i="14" s="1"/>
  <c r="AT372" i="14" s="1"/>
  <c r="AU372" i="14" s="1"/>
  <c r="AF372" i="14"/>
  <c r="BA372" i="14"/>
  <c r="BK372" i="14" s="1"/>
  <c r="AK372" i="14"/>
  <c r="AL372" i="14" s="1"/>
  <c r="AM372" i="14" s="1"/>
  <c r="AN372" i="14" s="1"/>
  <c r="AO372" i="14" s="1"/>
  <c r="AP372" i="14" s="1"/>
  <c r="BE120" i="14"/>
  <c r="BG120" i="14" s="1"/>
  <c r="CD120" i="14"/>
  <c r="D126" i="25"/>
  <c r="D126" i="26"/>
  <c r="BG129" i="3"/>
  <c r="BM129" i="3" s="1"/>
  <c r="BI129" i="3"/>
  <c r="C127" i="26"/>
  <c r="C127" i="25"/>
  <c r="BH129" i="3"/>
  <c r="BE129" i="3"/>
  <c r="CF130" i="3"/>
  <c r="CK129" i="3"/>
  <c r="BR127" i="3"/>
  <c r="BC129" i="3"/>
  <c r="BN129" i="3" s="1"/>
  <c r="CJ129" i="3"/>
  <c r="AV129" i="3" s="1"/>
  <c r="BY130" i="3"/>
  <c r="BJ128" i="3"/>
  <c r="BP128" i="3" s="1"/>
  <c r="DD289" i="3"/>
  <c r="BF128" i="3"/>
  <c r="BQ128" i="3" s="1"/>
  <c r="D130" i="3"/>
  <c r="DD290" i="3" s="1"/>
  <c r="C131" i="3"/>
  <c r="BL130" i="3"/>
  <c r="BW130" i="3"/>
  <c r="CK130" i="3" s="1"/>
  <c r="AY130" i="3"/>
  <c r="BD130" i="3" s="1"/>
  <c r="AG130" i="3"/>
  <c r="O127" i="26" s="1"/>
  <c r="BK130" i="3"/>
  <c r="AJ130" i="3"/>
  <c r="R127" i="26" s="1"/>
  <c r="AI130" i="3"/>
  <c r="Q127" i="26" s="1"/>
  <c r="AH130" i="3"/>
  <c r="P127" i="26" s="1"/>
  <c r="BO128" i="3"/>
  <c r="AU128" i="3" s="1"/>
  <c r="CJ118" i="14" l="1"/>
  <c r="CC125" i="3" s="1"/>
  <c r="CF119" i="14"/>
  <c r="CM118" i="14"/>
  <c r="CG125" i="3" s="1"/>
  <c r="BV131" i="3"/>
  <c r="BU131" i="3"/>
  <c r="CH119" i="14"/>
  <c r="BT119" i="14"/>
  <c r="BW119" i="14" s="1"/>
  <c r="CJ119" i="14" s="1"/>
  <c r="CC126" i="3" s="1"/>
  <c r="BU119" i="14"/>
  <c r="BS119" i="14"/>
  <c r="CA119" i="14"/>
  <c r="CB119" i="14" s="1"/>
  <c r="BZ119" i="14"/>
  <c r="BV119" i="14"/>
  <c r="BX119" i="14" s="1"/>
  <c r="AY120" i="14"/>
  <c r="CE120" i="14" s="1"/>
  <c r="BQ120" i="14"/>
  <c r="BR120" i="14" s="1"/>
  <c r="CD372" i="14"/>
  <c r="BE372" i="14"/>
  <c r="BG372" i="14" s="1"/>
  <c r="AG372" i="14"/>
  <c r="AH372" i="14" s="1"/>
  <c r="AI372" i="14" s="1"/>
  <c r="AJ372" i="14" s="1"/>
  <c r="BS372" i="14"/>
  <c r="BZ372" i="14"/>
  <c r="BU372" i="14"/>
  <c r="BN373" i="14"/>
  <c r="BO373" i="14" s="1"/>
  <c r="BQ373" i="14"/>
  <c r="BR373" i="14" s="1"/>
  <c r="Z375" i="14"/>
  <c r="Z124" i="14"/>
  <c r="AE375" i="14"/>
  <c r="AE124" i="14"/>
  <c r="AD374" i="14"/>
  <c r="BB374" i="14"/>
  <c r="BM374" i="14"/>
  <c r="AA374" i="14"/>
  <c r="AV374" i="14" s="1"/>
  <c r="BC374" i="14"/>
  <c r="BD374" i="14" s="1"/>
  <c r="AB374" i="14"/>
  <c r="BI374" i="14"/>
  <c r="BJ374" i="14" s="1"/>
  <c r="AZ122" i="14"/>
  <c r="AQ122" i="14"/>
  <c r="AR122" i="14" s="1"/>
  <c r="AS122" i="14" s="1"/>
  <c r="AT122" i="14" s="1"/>
  <c r="AU122" i="14" s="1"/>
  <c r="AF122" i="14"/>
  <c r="AG122" i="14" s="1"/>
  <c r="AH122" i="14" s="1"/>
  <c r="AI122" i="14" s="1"/>
  <c r="AJ122" i="14" s="1"/>
  <c r="AC122" i="14"/>
  <c r="BA122" i="14"/>
  <c r="BK122" i="14" s="1"/>
  <c r="AK122" i="14"/>
  <c r="AL122" i="14" s="1"/>
  <c r="AM122" i="14" s="1"/>
  <c r="AN122" i="14" s="1"/>
  <c r="AO122" i="14" s="1"/>
  <c r="AP122" i="14" s="1"/>
  <c r="AW371" i="14"/>
  <c r="AY371" i="14" s="1"/>
  <c r="CH371" i="14" s="1"/>
  <c r="CM371" i="14" s="1"/>
  <c r="BB127" i="3" s="1"/>
  <c r="BA373" i="14"/>
  <c r="BK373" i="14" s="1"/>
  <c r="AK373" i="14"/>
  <c r="AF373" i="14"/>
  <c r="AG373" i="14" s="1"/>
  <c r="AH373" i="14" s="1"/>
  <c r="AI373" i="14" s="1"/>
  <c r="AJ373" i="14" s="1"/>
  <c r="AC373" i="14"/>
  <c r="AZ373" i="14"/>
  <c r="AL373" i="14"/>
  <c r="AM373" i="14" s="1"/>
  <c r="AN373" i="14" s="1"/>
  <c r="AO373" i="14" s="1"/>
  <c r="AP373" i="14" s="1"/>
  <c r="AQ373" i="14"/>
  <c r="AR373" i="14" s="1"/>
  <c r="AS373" i="14" s="1"/>
  <c r="AT373" i="14" s="1"/>
  <c r="AU373" i="14" s="1"/>
  <c r="AV373" i="14"/>
  <c r="CA372" i="14"/>
  <c r="CB372" i="14" s="1"/>
  <c r="BV372" i="14"/>
  <c r="BX372" i="14" s="1"/>
  <c r="BT372" i="14"/>
  <c r="BW372" i="14" s="1"/>
  <c r="AX122" i="14"/>
  <c r="BE121" i="14"/>
  <c r="BG121" i="14" s="1"/>
  <c r="CD121" i="14"/>
  <c r="BM123" i="14"/>
  <c r="AB123" i="14"/>
  <c r="BC123" i="14"/>
  <c r="BD123" i="14" s="1"/>
  <c r="BI123" i="14"/>
  <c r="BJ123" i="14" s="1"/>
  <c r="AA123" i="14"/>
  <c r="AX123" i="14" s="1"/>
  <c r="BB123" i="14"/>
  <c r="AD123" i="14"/>
  <c r="BN122" i="14"/>
  <c r="BO122" i="14" s="1"/>
  <c r="AW121" i="14"/>
  <c r="AV122" i="14"/>
  <c r="AX373" i="14"/>
  <c r="BG130" i="3"/>
  <c r="BM130" i="3" s="1"/>
  <c r="D127" i="26"/>
  <c r="D127" i="25"/>
  <c r="C128" i="26"/>
  <c r="C128" i="25"/>
  <c r="BH130" i="3"/>
  <c r="BI130" i="3"/>
  <c r="BE130" i="3"/>
  <c r="AW127" i="3"/>
  <c r="CF131" i="3"/>
  <c r="BC130" i="3"/>
  <c r="BN130" i="3" s="1"/>
  <c r="CI130" i="3"/>
  <c r="CJ130" i="3"/>
  <c r="AV130" i="3" s="1"/>
  <c r="BY131" i="3"/>
  <c r="BJ129" i="3"/>
  <c r="BP129" i="3" s="1"/>
  <c r="BR128" i="3"/>
  <c r="BF129" i="3"/>
  <c r="BQ129" i="3" s="1"/>
  <c r="D131" i="3"/>
  <c r="BH131" i="3" s="1"/>
  <c r="BO129" i="3"/>
  <c r="AU129" i="3" s="1"/>
  <c r="C132" i="3"/>
  <c r="BL131" i="3"/>
  <c r="AJ131" i="3"/>
  <c r="R128" i="26" s="1"/>
  <c r="BW131" i="3"/>
  <c r="CJ131" i="3" s="1"/>
  <c r="AV131" i="3" s="1"/>
  <c r="AY131" i="3"/>
  <c r="AI131" i="3"/>
  <c r="Q128" i="26" s="1"/>
  <c r="AH131" i="3"/>
  <c r="P128" i="26" s="1"/>
  <c r="BK131" i="3"/>
  <c r="AG131" i="3"/>
  <c r="O128" i="26" s="1"/>
  <c r="BD131" i="3" l="1"/>
  <c r="CK119" i="14"/>
  <c r="CD126" i="3" s="1"/>
  <c r="CH120" i="14"/>
  <c r="CM119" i="14"/>
  <c r="CG126" i="3" s="1"/>
  <c r="BU132" i="3"/>
  <c r="BV132" i="3"/>
  <c r="CF120" i="14"/>
  <c r="AY121" i="14"/>
  <c r="CE121" i="14" s="1"/>
  <c r="BQ121" i="14"/>
  <c r="BR121" i="14" s="1"/>
  <c r="BS120" i="14"/>
  <c r="BV120" i="14"/>
  <c r="BX120" i="14" s="1"/>
  <c r="CA120" i="14"/>
  <c r="CB120" i="14" s="1"/>
  <c r="BZ120" i="14"/>
  <c r="BT120" i="14"/>
  <c r="BW120" i="14" s="1"/>
  <c r="CJ120" i="14" s="1"/>
  <c r="CC127" i="3" s="1"/>
  <c r="BU120" i="14"/>
  <c r="AX374" i="14"/>
  <c r="CF371" i="14"/>
  <c r="CK371" i="14" s="1"/>
  <c r="BA127" i="3" s="1"/>
  <c r="AB124" i="14"/>
  <c r="AA124" i="14"/>
  <c r="BC124" i="14"/>
  <c r="BD124" i="14" s="1"/>
  <c r="BI124" i="14"/>
  <c r="BJ124" i="14" s="1"/>
  <c r="BB124" i="14"/>
  <c r="BM124" i="14"/>
  <c r="AD124" i="14"/>
  <c r="AW373" i="14"/>
  <c r="AY373" i="14" s="1"/>
  <c r="AE376" i="14"/>
  <c r="Z376" i="14"/>
  <c r="AE125" i="14"/>
  <c r="Z125" i="14"/>
  <c r="BE122" i="14"/>
  <c r="BG122" i="14" s="1"/>
  <c r="CD122" i="14"/>
  <c r="BN374" i="14"/>
  <c r="BO374" i="14" s="1"/>
  <c r="BQ374" i="14"/>
  <c r="BR374" i="14" s="1"/>
  <c r="BU373" i="14"/>
  <c r="BZ373" i="14"/>
  <c r="BS373" i="14"/>
  <c r="AW122" i="14"/>
  <c r="BB375" i="14"/>
  <c r="BM375" i="14"/>
  <c r="AA375" i="14"/>
  <c r="AV375" i="14" s="1"/>
  <c r="BC375" i="14"/>
  <c r="BD375" i="14" s="1"/>
  <c r="AD375" i="14"/>
  <c r="AB375" i="14"/>
  <c r="BI375" i="14"/>
  <c r="BJ375" i="14" s="1"/>
  <c r="BA123" i="14"/>
  <c r="BK123" i="14" s="1"/>
  <c r="AC123" i="14"/>
  <c r="AK123" i="14"/>
  <c r="AL123" i="14" s="1"/>
  <c r="AM123" i="14" s="1"/>
  <c r="AN123" i="14" s="1"/>
  <c r="AO123" i="14" s="1"/>
  <c r="AP123" i="14" s="1"/>
  <c r="AF123" i="14"/>
  <c r="AZ123" i="14"/>
  <c r="AQ123" i="14"/>
  <c r="AR123" i="14" s="1"/>
  <c r="AS123" i="14" s="1"/>
  <c r="AT123" i="14" s="1"/>
  <c r="AU123" i="14" s="1"/>
  <c r="BN123" i="14"/>
  <c r="BO123" i="14" s="1"/>
  <c r="AV123" i="14"/>
  <c r="CE371" i="14"/>
  <c r="CJ371" i="14" s="1"/>
  <c r="AZ127" i="3" s="1"/>
  <c r="CD373" i="14"/>
  <c r="BE373" i="14"/>
  <c r="BG373" i="14" s="1"/>
  <c r="BA374" i="14"/>
  <c r="BK374" i="14" s="1"/>
  <c r="AC374" i="14"/>
  <c r="AF374" i="14"/>
  <c r="AG374" i="14" s="1"/>
  <c r="AH374" i="14" s="1"/>
  <c r="AI374" i="14" s="1"/>
  <c r="AJ374" i="14" s="1"/>
  <c r="AZ374" i="14"/>
  <c r="AQ374" i="14"/>
  <c r="AR374" i="14" s="1"/>
  <c r="AS374" i="14" s="1"/>
  <c r="AT374" i="14" s="1"/>
  <c r="AU374" i="14" s="1"/>
  <c r="AK374" i="14"/>
  <c r="AL374" i="14" s="1"/>
  <c r="AM374" i="14" s="1"/>
  <c r="AN374" i="14" s="1"/>
  <c r="AO374" i="14" s="1"/>
  <c r="AP374" i="14" s="1"/>
  <c r="BV373" i="14"/>
  <c r="BX373" i="14" s="1"/>
  <c r="CA373" i="14"/>
  <c r="CB373" i="14" s="1"/>
  <c r="BT373" i="14"/>
  <c r="BW373" i="14" s="1"/>
  <c r="AW372" i="14"/>
  <c r="AY372" i="14" s="1"/>
  <c r="CE372" i="14" s="1"/>
  <c r="CJ372" i="14" s="1"/>
  <c r="AZ128" i="3" s="1"/>
  <c r="D128" i="26"/>
  <c r="D128" i="25"/>
  <c r="C129" i="26"/>
  <c r="C129" i="25"/>
  <c r="BG131" i="3"/>
  <c r="BM131" i="3" s="1"/>
  <c r="BI131" i="3"/>
  <c r="BE131" i="3"/>
  <c r="CK131" i="3"/>
  <c r="CF132" i="3"/>
  <c r="AW128" i="3"/>
  <c r="BC131" i="3"/>
  <c r="BN131" i="3" s="1"/>
  <c r="DD291" i="3"/>
  <c r="BR129" i="3"/>
  <c r="BY132" i="3"/>
  <c r="CI131" i="3"/>
  <c r="BJ130" i="3"/>
  <c r="BP130" i="3" s="1"/>
  <c r="BF130" i="3"/>
  <c r="BQ130" i="3" s="1"/>
  <c r="D132" i="3"/>
  <c r="BI132" i="3" s="1"/>
  <c r="BO130" i="3"/>
  <c r="AU130" i="3" s="1"/>
  <c r="C133" i="3"/>
  <c r="BK132" i="3"/>
  <c r="AY132" i="3"/>
  <c r="BD132" i="3" s="1"/>
  <c r="BW132" i="3"/>
  <c r="CI132" i="3" s="1"/>
  <c r="AI132" i="3"/>
  <c r="Q129" i="26" s="1"/>
  <c r="BL132" i="3"/>
  <c r="AH132" i="3"/>
  <c r="P129" i="26" s="1"/>
  <c r="AG132" i="3"/>
  <c r="O129" i="26" s="1"/>
  <c r="AJ132" i="3"/>
  <c r="R129" i="26" s="1"/>
  <c r="CF121" i="14" l="1"/>
  <c r="CH121" i="14"/>
  <c r="CM120" i="14"/>
  <c r="CG127" i="3" s="1"/>
  <c r="CK120" i="14"/>
  <c r="CD127" i="3" s="1"/>
  <c r="BV133" i="3"/>
  <c r="BU133" i="3"/>
  <c r="AY122" i="14"/>
  <c r="CH122" i="14" s="1"/>
  <c r="BQ122" i="14"/>
  <c r="BR122" i="14" s="1"/>
  <c r="CA121" i="14"/>
  <c r="CB121" i="14" s="1"/>
  <c r="BS121" i="14"/>
  <c r="BZ121" i="14"/>
  <c r="BT121" i="14"/>
  <c r="BW121" i="14" s="1"/>
  <c r="CJ121" i="14" s="1"/>
  <c r="CC128" i="3" s="1"/>
  <c r="BU121" i="14"/>
  <c r="BV121" i="14"/>
  <c r="BX121" i="14" s="1"/>
  <c r="CF372" i="14"/>
  <c r="CK372" i="14" s="1"/>
  <c r="BA128" i="3" s="1"/>
  <c r="Z126" i="14"/>
  <c r="AE377" i="14"/>
  <c r="AE126" i="14"/>
  <c r="Z377" i="14"/>
  <c r="CD123" i="14"/>
  <c r="BE123" i="14"/>
  <c r="BG123" i="14" s="1"/>
  <c r="BM125" i="14"/>
  <c r="BC125" i="14"/>
  <c r="BD125" i="14" s="1"/>
  <c r="BI125" i="14"/>
  <c r="BJ125" i="14" s="1"/>
  <c r="AB125" i="14"/>
  <c r="AA125" i="14"/>
  <c r="AX125" i="14" s="1"/>
  <c r="AD125" i="14"/>
  <c r="BB125" i="14"/>
  <c r="AK124" i="14"/>
  <c r="AL124" i="14" s="1"/>
  <c r="AM124" i="14" s="1"/>
  <c r="AN124" i="14" s="1"/>
  <c r="AO124" i="14" s="1"/>
  <c r="AP124" i="14" s="1"/>
  <c r="BA124" i="14"/>
  <c r="BK124" i="14" s="1"/>
  <c r="AC124" i="14"/>
  <c r="AF124" i="14"/>
  <c r="AQ124" i="14"/>
  <c r="AR124" i="14" s="1"/>
  <c r="AS124" i="14" s="1"/>
  <c r="AT124" i="14" s="1"/>
  <c r="AU124" i="14" s="1"/>
  <c r="AZ124" i="14"/>
  <c r="AK375" i="14"/>
  <c r="AL375" i="14" s="1"/>
  <c r="AM375" i="14" s="1"/>
  <c r="AN375" i="14" s="1"/>
  <c r="AO375" i="14" s="1"/>
  <c r="AP375" i="14" s="1"/>
  <c r="AC375" i="14"/>
  <c r="BA375" i="14"/>
  <c r="BK375" i="14" s="1"/>
  <c r="AF375" i="14"/>
  <c r="AG375" i="14" s="1"/>
  <c r="AH375" i="14" s="1"/>
  <c r="AI375" i="14" s="1"/>
  <c r="AJ375" i="14" s="1"/>
  <c r="AQ375" i="14"/>
  <c r="AR375" i="14" s="1"/>
  <c r="AS375" i="14" s="1"/>
  <c r="AT375" i="14" s="1"/>
  <c r="AU375" i="14" s="1"/>
  <c r="AZ375" i="14"/>
  <c r="BV374" i="14"/>
  <c r="BX374" i="14" s="1"/>
  <c r="CA374" i="14"/>
  <c r="CB374" i="14" s="1"/>
  <c r="BT374" i="14"/>
  <c r="BW374" i="14" s="1"/>
  <c r="AV124" i="14"/>
  <c r="AW374" i="14"/>
  <c r="AY374" i="14" s="1"/>
  <c r="BE374" i="14"/>
  <c r="BG374" i="14" s="1"/>
  <c r="CD374" i="14"/>
  <c r="CH372" i="14"/>
  <c r="CM372" i="14" s="1"/>
  <c r="BB128" i="3" s="1"/>
  <c r="AX375" i="14"/>
  <c r="BN124" i="14"/>
  <c r="BO124" i="14" s="1"/>
  <c r="AX124" i="14"/>
  <c r="CF373" i="14"/>
  <c r="CK373" i="14" s="1"/>
  <c r="BA129" i="3" s="1"/>
  <c r="CH373" i="14"/>
  <c r="CM373" i="14" s="1"/>
  <c r="BB129" i="3" s="1"/>
  <c r="CE373" i="14"/>
  <c r="CJ373" i="14" s="1"/>
  <c r="AZ129" i="3" s="1"/>
  <c r="AG123" i="14"/>
  <c r="AH123" i="14" s="1"/>
  <c r="AI123" i="14" s="1"/>
  <c r="AJ123" i="14" s="1"/>
  <c r="BN375" i="14"/>
  <c r="BO375" i="14" s="1"/>
  <c r="BQ375" i="14"/>
  <c r="BR375" i="14" s="1"/>
  <c r="BZ374" i="14"/>
  <c r="BS374" i="14"/>
  <c r="BU374" i="14"/>
  <c r="BM376" i="14"/>
  <c r="AD376" i="14"/>
  <c r="AA376" i="14"/>
  <c r="AX376" i="14" s="1"/>
  <c r="BB376" i="14"/>
  <c r="BI376" i="14"/>
  <c r="BJ376" i="14" s="1"/>
  <c r="AB376" i="14"/>
  <c r="BC376" i="14"/>
  <c r="BD376" i="14" s="1"/>
  <c r="BG132" i="3"/>
  <c r="BM132" i="3" s="1"/>
  <c r="BH132" i="3"/>
  <c r="D129" i="25"/>
  <c r="D129" i="26"/>
  <c r="C130" i="26"/>
  <c r="C130" i="25"/>
  <c r="BE132" i="3"/>
  <c r="AW129" i="3"/>
  <c r="CF133" i="3"/>
  <c r="CK132" i="3"/>
  <c r="BC132" i="3"/>
  <c r="BN132" i="3" s="1"/>
  <c r="BR130" i="3"/>
  <c r="CJ132" i="3"/>
  <c r="AV132" i="3" s="1"/>
  <c r="BY133" i="3"/>
  <c r="BJ131" i="3"/>
  <c r="BP131" i="3" s="1"/>
  <c r="DD292" i="3"/>
  <c r="D133" i="3"/>
  <c r="BI133" i="3" s="1"/>
  <c r="BF131" i="3"/>
  <c r="BQ131" i="3" s="1"/>
  <c r="C134" i="3"/>
  <c r="BW133" i="3"/>
  <c r="CJ133" i="3" s="1"/>
  <c r="AV133" i="3" s="1"/>
  <c r="BL133" i="3"/>
  <c r="AY133" i="3"/>
  <c r="BK133" i="3"/>
  <c r="AH133" i="3"/>
  <c r="P130" i="26" s="1"/>
  <c r="AG133" i="3"/>
  <c r="O130" i="26" s="1"/>
  <c r="AJ133" i="3"/>
  <c r="R130" i="26" s="1"/>
  <c r="AI133" i="3"/>
  <c r="Q130" i="26" s="1"/>
  <c r="BO131" i="3"/>
  <c r="AU131" i="3" s="1"/>
  <c r="CK121" i="14" l="1"/>
  <c r="CD128" i="3" s="1"/>
  <c r="CM121" i="14"/>
  <c r="CG128" i="3" s="1"/>
  <c r="CF122" i="14"/>
  <c r="CE122" i="14"/>
  <c r="BD133" i="3"/>
  <c r="BV134" i="3"/>
  <c r="BU134" i="3"/>
  <c r="CA122" i="14"/>
  <c r="CB122" i="14" s="1"/>
  <c r="CM122" i="14" s="1"/>
  <c r="CG129" i="3" s="1"/>
  <c r="BU122" i="14"/>
  <c r="BT122" i="14"/>
  <c r="BW122" i="14" s="1"/>
  <c r="BV122" i="14"/>
  <c r="BX122" i="14" s="1"/>
  <c r="CK122" i="14" s="1"/>
  <c r="CD129" i="3" s="1"/>
  <c r="BS122" i="14"/>
  <c r="BZ122" i="14"/>
  <c r="AV125" i="14"/>
  <c r="CD375" i="14"/>
  <c r="BE375" i="14"/>
  <c r="BG375" i="14" s="1"/>
  <c r="BE124" i="14"/>
  <c r="BG124" i="14" s="1"/>
  <c r="CD124" i="14"/>
  <c r="BA376" i="14"/>
  <c r="BK376" i="14" s="1"/>
  <c r="AQ376" i="14"/>
  <c r="AR376" i="14" s="1"/>
  <c r="AS376" i="14" s="1"/>
  <c r="AT376" i="14" s="1"/>
  <c r="AU376" i="14" s="1"/>
  <c r="AK376" i="14"/>
  <c r="AL376" i="14" s="1"/>
  <c r="AM376" i="14" s="1"/>
  <c r="AN376" i="14" s="1"/>
  <c r="AO376" i="14" s="1"/>
  <c r="AP376" i="14" s="1"/>
  <c r="AC376" i="14"/>
  <c r="AZ376" i="14"/>
  <c r="AF376" i="14"/>
  <c r="BS375" i="14"/>
  <c r="BU375" i="14"/>
  <c r="CE374" i="14"/>
  <c r="CJ374" i="14" s="1"/>
  <c r="AZ130" i="3" s="1"/>
  <c r="CH374" i="14"/>
  <c r="CM374" i="14" s="1"/>
  <c r="BB130" i="3" s="1"/>
  <c r="CF374" i="14"/>
  <c r="CK374" i="14" s="1"/>
  <c r="BA130" i="3" s="1"/>
  <c r="BN376" i="14"/>
  <c r="BO376" i="14" s="1"/>
  <c r="BQ376" i="14"/>
  <c r="BR376" i="14" s="1"/>
  <c r="AW123" i="14"/>
  <c r="AC125" i="14"/>
  <c r="AQ125" i="14"/>
  <c r="AR125" i="14" s="1"/>
  <c r="AS125" i="14" s="1"/>
  <c r="AT125" i="14" s="1"/>
  <c r="AU125" i="14" s="1"/>
  <c r="BA125" i="14"/>
  <c r="BK125" i="14" s="1"/>
  <c r="AK125" i="14"/>
  <c r="AL125" i="14" s="1"/>
  <c r="AM125" i="14" s="1"/>
  <c r="AN125" i="14" s="1"/>
  <c r="AO125" i="14" s="1"/>
  <c r="AP125" i="14" s="1"/>
  <c r="AF125" i="14"/>
  <c r="AZ125" i="14"/>
  <c r="BN125" i="14"/>
  <c r="BO125" i="14" s="1"/>
  <c r="BC377" i="14"/>
  <c r="BD377" i="14" s="1"/>
  <c r="AB377" i="14"/>
  <c r="BB377" i="14"/>
  <c r="BI377" i="14"/>
  <c r="BJ377" i="14" s="1"/>
  <c r="AA377" i="14"/>
  <c r="AX377" i="14" s="1"/>
  <c r="AD377" i="14"/>
  <c r="BM377" i="14"/>
  <c r="BZ375" i="14"/>
  <c r="BV375" i="14"/>
  <c r="BX375" i="14" s="1"/>
  <c r="CA375" i="14"/>
  <c r="CB375" i="14" s="1"/>
  <c r="BT375" i="14"/>
  <c r="BW375" i="14" s="1"/>
  <c r="AG124" i="14"/>
  <c r="AH124" i="14" s="1"/>
  <c r="AI124" i="14" s="1"/>
  <c r="AJ124" i="14" s="1"/>
  <c r="AE378" i="14"/>
  <c r="Z378" i="14"/>
  <c r="AE127" i="14"/>
  <c r="Z127" i="14"/>
  <c r="AV376" i="14"/>
  <c r="AW375" i="14"/>
  <c r="AY375" i="14" s="1"/>
  <c r="AB126" i="14"/>
  <c r="BI126" i="14"/>
  <c r="BJ126" i="14" s="1"/>
  <c r="AA126" i="14"/>
  <c r="AX126" i="14" s="1"/>
  <c r="BC126" i="14"/>
  <c r="BD126" i="14" s="1"/>
  <c r="BB126" i="14"/>
  <c r="AD126" i="14"/>
  <c r="BM126" i="14"/>
  <c r="BG133" i="3"/>
  <c r="BM133" i="3" s="1"/>
  <c r="C131" i="26"/>
  <c r="C131" i="25"/>
  <c r="BH133" i="3"/>
  <c r="D130" i="25"/>
  <c r="D130" i="26"/>
  <c r="BE133" i="3"/>
  <c r="CF134" i="3"/>
  <c r="AW130" i="3"/>
  <c r="CK133" i="3"/>
  <c r="BC133" i="3"/>
  <c r="BN133" i="3" s="1"/>
  <c r="BJ132" i="3"/>
  <c r="BP132" i="3" s="1"/>
  <c r="BY134" i="3"/>
  <c r="CI133" i="3"/>
  <c r="BR131" i="3"/>
  <c r="DD293" i="3"/>
  <c r="BF132" i="3"/>
  <c r="BQ132" i="3" s="1"/>
  <c r="D134" i="3"/>
  <c r="DD294" i="3" s="1"/>
  <c r="BO132" i="3"/>
  <c r="AU132" i="3" s="1"/>
  <c r="C135" i="3"/>
  <c r="BW134" i="3"/>
  <c r="CI134" i="3" s="1"/>
  <c r="BK134" i="3"/>
  <c r="AY134" i="3"/>
  <c r="AG134" i="3"/>
  <c r="O131" i="26" s="1"/>
  <c r="AJ134" i="3"/>
  <c r="R131" i="26" s="1"/>
  <c r="AI134" i="3"/>
  <c r="Q131" i="26" s="1"/>
  <c r="AH134" i="3"/>
  <c r="P131" i="26" s="1"/>
  <c r="BL134" i="3"/>
  <c r="CJ122" i="14" l="1"/>
  <c r="CC129" i="3" s="1"/>
  <c r="BD134" i="3"/>
  <c r="BV135" i="3"/>
  <c r="BU135" i="3"/>
  <c r="AY123" i="14"/>
  <c r="CH123" i="14" s="1"/>
  <c r="BQ123" i="14"/>
  <c r="BR123" i="14" s="1"/>
  <c r="AV126" i="14"/>
  <c r="CH375" i="14"/>
  <c r="CM375" i="14" s="1"/>
  <c r="BB131" i="3" s="1"/>
  <c r="AW124" i="14"/>
  <c r="Z379" i="14"/>
  <c r="AE379" i="14"/>
  <c r="Z128" i="14"/>
  <c r="AE128" i="14"/>
  <c r="BN126" i="14"/>
  <c r="BO126" i="14" s="1"/>
  <c r="BM378" i="14"/>
  <c r="BI378" i="14"/>
  <c r="BJ378" i="14" s="1"/>
  <c r="AB378" i="14"/>
  <c r="BC378" i="14"/>
  <c r="BD378" i="14" s="1"/>
  <c r="AA378" i="14"/>
  <c r="AX378" i="14" s="1"/>
  <c r="AD378" i="14"/>
  <c r="BB378" i="14"/>
  <c r="BM127" i="14"/>
  <c r="AB127" i="14"/>
  <c r="BI127" i="14"/>
  <c r="BJ127" i="14" s="1"/>
  <c r="AA127" i="14"/>
  <c r="BC127" i="14"/>
  <c r="BD127" i="14" s="1"/>
  <c r="AD127" i="14"/>
  <c r="BB127" i="14"/>
  <c r="AV377" i="14"/>
  <c r="AF377" i="14"/>
  <c r="AG377" i="14" s="1"/>
  <c r="AH377" i="14" s="1"/>
  <c r="AI377" i="14" s="1"/>
  <c r="AJ377" i="14" s="1"/>
  <c r="BA377" i="14"/>
  <c r="BK377" i="14" s="1"/>
  <c r="AK377" i="14"/>
  <c r="AL377" i="14" s="1"/>
  <c r="AM377" i="14" s="1"/>
  <c r="AN377" i="14" s="1"/>
  <c r="AO377" i="14" s="1"/>
  <c r="AP377" i="14" s="1"/>
  <c r="AC377" i="14"/>
  <c r="AZ377" i="14"/>
  <c r="AQ377" i="14"/>
  <c r="AR377" i="14" s="1"/>
  <c r="AS377" i="14" s="1"/>
  <c r="AT377" i="14" s="1"/>
  <c r="AU377" i="14" s="1"/>
  <c r="AG376" i="14"/>
  <c r="AH376" i="14" s="1"/>
  <c r="AI376" i="14" s="1"/>
  <c r="AJ376" i="14" s="1"/>
  <c r="BE125" i="14"/>
  <c r="BG125" i="14" s="1"/>
  <c r="CD125" i="14"/>
  <c r="BQ377" i="14"/>
  <c r="BR377" i="14" s="1"/>
  <c r="BN377" i="14"/>
  <c r="BO377" i="14" s="1"/>
  <c r="CA376" i="14"/>
  <c r="CB376" i="14" s="1"/>
  <c r="BT376" i="14"/>
  <c r="BW376" i="14" s="1"/>
  <c r="BV376" i="14"/>
  <c r="BX376" i="14" s="1"/>
  <c r="CF375" i="14"/>
  <c r="CK375" i="14" s="1"/>
  <c r="BA131" i="3" s="1"/>
  <c r="CE375" i="14"/>
  <c r="CJ375" i="14" s="1"/>
  <c r="AZ131" i="3" s="1"/>
  <c r="AZ126" i="14"/>
  <c r="BA126" i="14"/>
  <c r="BK126" i="14" s="1"/>
  <c r="AF126" i="14"/>
  <c r="AG126" i="14" s="1"/>
  <c r="AH126" i="14" s="1"/>
  <c r="AI126" i="14" s="1"/>
  <c r="AJ126" i="14" s="1"/>
  <c r="AC126" i="14"/>
  <c r="AQ126" i="14"/>
  <c r="AR126" i="14" s="1"/>
  <c r="AS126" i="14" s="1"/>
  <c r="AT126" i="14" s="1"/>
  <c r="AU126" i="14" s="1"/>
  <c r="AK126" i="14"/>
  <c r="AL126" i="14" s="1"/>
  <c r="AM126" i="14" s="1"/>
  <c r="AN126" i="14" s="1"/>
  <c r="AO126" i="14" s="1"/>
  <c r="AP126" i="14" s="1"/>
  <c r="AV378" i="14"/>
  <c r="AG125" i="14"/>
  <c r="AH125" i="14" s="1"/>
  <c r="AI125" i="14" s="1"/>
  <c r="AJ125" i="14" s="1"/>
  <c r="BU376" i="14"/>
  <c r="BS376" i="14"/>
  <c r="BZ376" i="14"/>
  <c r="CD376" i="14"/>
  <c r="BE376" i="14"/>
  <c r="BG376" i="14" s="1"/>
  <c r="C132" i="26"/>
  <c r="C132" i="25"/>
  <c r="BG134" i="3"/>
  <c r="BM134" i="3" s="1"/>
  <c r="D131" i="26"/>
  <c r="D131" i="25"/>
  <c r="BH134" i="3"/>
  <c r="BI134" i="3"/>
  <c r="BE134" i="3"/>
  <c r="CF135" i="3"/>
  <c r="CJ134" i="3"/>
  <c r="AV134" i="3" s="1"/>
  <c r="AW131" i="3"/>
  <c r="CK134" i="3"/>
  <c r="BR132" i="3"/>
  <c r="BC134" i="3"/>
  <c r="BN134" i="3" s="1"/>
  <c r="BJ133" i="3"/>
  <c r="BP133" i="3" s="1"/>
  <c r="BY135" i="3"/>
  <c r="BF133" i="3"/>
  <c r="BQ133" i="3" s="1"/>
  <c r="D135" i="3"/>
  <c r="BG135" i="3" s="1"/>
  <c r="C136" i="3"/>
  <c r="BW135" i="3"/>
  <c r="CI135" i="3" s="1"/>
  <c r="BL135" i="3"/>
  <c r="AJ135" i="3"/>
  <c r="R132" i="26" s="1"/>
  <c r="BK135" i="3"/>
  <c r="AI135" i="3"/>
  <c r="Q132" i="26" s="1"/>
  <c r="AH135" i="3"/>
  <c r="P132" i="26" s="1"/>
  <c r="AY135" i="3"/>
  <c r="BD135" i="3" s="1"/>
  <c r="AG135" i="3"/>
  <c r="O132" i="26" s="1"/>
  <c r="BO133" i="3"/>
  <c r="AU133" i="3" s="1"/>
  <c r="CF123" i="14" l="1"/>
  <c r="CE123" i="14"/>
  <c r="BV136" i="3"/>
  <c r="BU136" i="3"/>
  <c r="AY124" i="14"/>
  <c r="BQ124" i="14"/>
  <c r="BR124" i="14" s="1"/>
  <c r="BZ123" i="14"/>
  <c r="BU123" i="14"/>
  <c r="CA123" i="14"/>
  <c r="CB123" i="14" s="1"/>
  <c r="CM123" i="14" s="1"/>
  <c r="CG130" i="3" s="1"/>
  <c r="BT123" i="14"/>
  <c r="BW123" i="14" s="1"/>
  <c r="BS123" i="14"/>
  <c r="BV123" i="14"/>
  <c r="BX123" i="14" s="1"/>
  <c r="AW125" i="14"/>
  <c r="CD126" i="14"/>
  <c r="BE126" i="14"/>
  <c r="BG126" i="14" s="1"/>
  <c r="AW126" i="14"/>
  <c r="BZ377" i="14"/>
  <c r="BS377" i="14"/>
  <c r="BU377" i="14"/>
  <c r="BE377" i="14"/>
  <c r="BG377" i="14" s="1"/>
  <c r="CD377" i="14"/>
  <c r="BN127" i="14"/>
  <c r="BO127" i="14" s="1"/>
  <c r="BT377" i="14"/>
  <c r="BW377" i="14" s="1"/>
  <c r="CA377" i="14"/>
  <c r="CB377" i="14" s="1"/>
  <c r="BV377" i="14"/>
  <c r="BX377" i="14" s="1"/>
  <c r="AF127" i="14"/>
  <c r="AK127" i="14"/>
  <c r="AZ127" i="14"/>
  <c r="AQ127" i="14"/>
  <c r="AR127" i="14" s="1"/>
  <c r="AS127" i="14" s="1"/>
  <c r="AT127" i="14" s="1"/>
  <c r="AU127" i="14" s="1"/>
  <c r="AC127" i="14"/>
  <c r="AL127" i="14"/>
  <c r="AM127" i="14" s="1"/>
  <c r="AN127" i="14" s="1"/>
  <c r="AO127" i="14" s="1"/>
  <c r="AP127" i="14" s="1"/>
  <c r="BA127" i="14"/>
  <c r="BK127" i="14" s="1"/>
  <c r="BC379" i="14"/>
  <c r="BD379" i="14" s="1"/>
  <c r="AB379" i="14"/>
  <c r="BB379" i="14"/>
  <c r="BI379" i="14"/>
  <c r="BJ379" i="14" s="1"/>
  <c r="BM379" i="14"/>
  <c r="AD379" i="14"/>
  <c r="AA379" i="14"/>
  <c r="AV379" i="14" s="1"/>
  <c r="Z380" i="14"/>
  <c r="Z129" i="14"/>
  <c r="AE380" i="14"/>
  <c r="AE129" i="14"/>
  <c r="AW377" i="14"/>
  <c r="AY377" i="14" s="1"/>
  <c r="AW376" i="14"/>
  <c r="AY376" i="14" s="1"/>
  <c r="CF376" i="14" s="1"/>
  <c r="CK376" i="14" s="1"/>
  <c r="BA132" i="3" s="1"/>
  <c r="AX127" i="14"/>
  <c r="AZ378" i="14"/>
  <c r="BA378" i="14"/>
  <c r="BK378" i="14" s="1"/>
  <c r="AQ378" i="14"/>
  <c r="AR378" i="14" s="1"/>
  <c r="AS378" i="14" s="1"/>
  <c r="AT378" i="14" s="1"/>
  <c r="AU378" i="14" s="1"/>
  <c r="AC378" i="14"/>
  <c r="AK378" i="14"/>
  <c r="AL378" i="14" s="1"/>
  <c r="AM378" i="14" s="1"/>
  <c r="AN378" i="14" s="1"/>
  <c r="AO378" i="14" s="1"/>
  <c r="AP378" i="14" s="1"/>
  <c r="AF378" i="14"/>
  <c r="AG378" i="14" s="1"/>
  <c r="AH378" i="14" s="1"/>
  <c r="AI378" i="14" s="1"/>
  <c r="AJ378" i="14" s="1"/>
  <c r="BQ378" i="14"/>
  <c r="BR378" i="14" s="1"/>
  <c r="BN378" i="14"/>
  <c r="BO378" i="14" s="1"/>
  <c r="AB128" i="14"/>
  <c r="AA128" i="14"/>
  <c r="BC128" i="14"/>
  <c r="BD128" i="14" s="1"/>
  <c r="BI128" i="14"/>
  <c r="BJ128" i="14" s="1"/>
  <c r="BB128" i="14"/>
  <c r="AD128" i="14"/>
  <c r="BM128" i="14"/>
  <c r="AV127" i="14"/>
  <c r="DD295" i="3"/>
  <c r="C133" i="26"/>
  <c r="C133" i="25"/>
  <c r="BI135" i="3"/>
  <c r="D132" i="26"/>
  <c r="D132" i="25"/>
  <c r="BH135" i="3"/>
  <c r="BE135" i="3"/>
  <c r="CF136" i="3"/>
  <c r="CK135" i="3"/>
  <c r="AW132" i="3"/>
  <c r="CJ135" i="3"/>
  <c r="AV135" i="3" s="1"/>
  <c r="BR133" i="3"/>
  <c r="BM135" i="3"/>
  <c r="BC135" i="3"/>
  <c r="BN135" i="3" s="1"/>
  <c r="BY136" i="3"/>
  <c r="BJ134" i="3"/>
  <c r="BP134" i="3" s="1"/>
  <c r="BF134" i="3"/>
  <c r="BQ134" i="3" s="1"/>
  <c r="D136" i="3"/>
  <c r="BO134" i="3"/>
  <c r="AU134" i="3" s="1"/>
  <c r="C137" i="3"/>
  <c r="BW136" i="3"/>
  <c r="CI136" i="3" s="1"/>
  <c r="BL136" i="3"/>
  <c r="BK136" i="3"/>
  <c r="AY136" i="3"/>
  <c r="AI136" i="3"/>
  <c r="Q133" i="26" s="1"/>
  <c r="AH136" i="3"/>
  <c r="P133" i="26" s="1"/>
  <c r="AG136" i="3"/>
  <c r="O133" i="26" s="1"/>
  <c r="AJ136" i="3"/>
  <c r="R133" i="26" s="1"/>
  <c r="CJ123" i="14" l="1"/>
  <c r="CC130" i="3" s="1"/>
  <c r="CK123" i="14"/>
  <c r="CD130" i="3" s="1"/>
  <c r="BD136" i="3"/>
  <c r="BV137" i="3"/>
  <c r="BU137" i="3"/>
  <c r="CE124" i="14"/>
  <c r="CH124" i="14"/>
  <c r="CF124" i="14"/>
  <c r="AY125" i="14"/>
  <c r="CH125" i="14" s="1"/>
  <c r="BQ125" i="14"/>
  <c r="BR125" i="14" s="1"/>
  <c r="AY126" i="14"/>
  <c r="CF126" i="14" s="1"/>
  <c r="BQ126" i="14"/>
  <c r="BR126" i="14" s="1"/>
  <c r="CA124" i="14"/>
  <c r="CB124" i="14" s="1"/>
  <c r="BZ124" i="14"/>
  <c r="BT124" i="14"/>
  <c r="BW124" i="14" s="1"/>
  <c r="BS124" i="14"/>
  <c r="BV124" i="14"/>
  <c r="BX124" i="14" s="1"/>
  <c r="BU124" i="14"/>
  <c r="CE126" i="14"/>
  <c r="CE376" i="14"/>
  <c r="CJ376" i="14" s="1"/>
  <c r="AZ132" i="3" s="1"/>
  <c r="AE130" i="14"/>
  <c r="Z381" i="14"/>
  <c r="AE381" i="14"/>
  <c r="Z130" i="14"/>
  <c r="BA128" i="14"/>
  <c r="BK128" i="14" s="1"/>
  <c r="AC128" i="14"/>
  <c r="AK128" i="14"/>
  <c r="AL128" i="14" s="1"/>
  <c r="AM128" i="14" s="1"/>
  <c r="AN128" i="14" s="1"/>
  <c r="AO128" i="14" s="1"/>
  <c r="AP128" i="14" s="1"/>
  <c r="AQ128" i="14"/>
  <c r="AR128" i="14" s="1"/>
  <c r="AS128" i="14" s="1"/>
  <c r="AT128" i="14" s="1"/>
  <c r="AU128" i="14" s="1"/>
  <c r="AZ128" i="14"/>
  <c r="AF128" i="14"/>
  <c r="AG128" i="14" s="1"/>
  <c r="AH128" i="14" s="1"/>
  <c r="AI128" i="14" s="1"/>
  <c r="AJ128" i="14" s="1"/>
  <c r="AZ379" i="14"/>
  <c r="AQ379" i="14"/>
  <c r="AR379" i="14" s="1"/>
  <c r="AS379" i="14" s="1"/>
  <c r="AT379" i="14" s="1"/>
  <c r="AU379" i="14" s="1"/>
  <c r="BA379" i="14"/>
  <c r="BK379" i="14" s="1"/>
  <c r="AC379" i="14"/>
  <c r="AK379" i="14"/>
  <c r="AL379" i="14" s="1"/>
  <c r="AM379" i="14" s="1"/>
  <c r="AN379" i="14" s="1"/>
  <c r="AO379" i="14" s="1"/>
  <c r="AP379" i="14" s="1"/>
  <c r="AF379" i="14"/>
  <c r="AG379" i="14" s="1"/>
  <c r="AH379" i="14" s="1"/>
  <c r="AI379" i="14" s="1"/>
  <c r="AJ379" i="14" s="1"/>
  <c r="BN128" i="14"/>
  <c r="BO128" i="14" s="1"/>
  <c r="BZ378" i="14"/>
  <c r="BU378" i="14"/>
  <c r="BS378" i="14"/>
  <c r="BM380" i="14"/>
  <c r="BC380" i="14"/>
  <c r="BD380" i="14" s="1"/>
  <c r="AA380" i="14"/>
  <c r="AX380" i="14" s="1"/>
  <c r="AB380" i="14"/>
  <c r="BI380" i="14"/>
  <c r="BJ380" i="14" s="1"/>
  <c r="AD380" i="14"/>
  <c r="BB380" i="14"/>
  <c r="CH376" i="14"/>
  <c r="CM376" i="14" s="1"/>
  <c r="BB132" i="3" s="1"/>
  <c r="BV378" i="14"/>
  <c r="BX378" i="14" s="1"/>
  <c r="BT378" i="14"/>
  <c r="BW378" i="14" s="1"/>
  <c r="CA378" i="14"/>
  <c r="CB378" i="14" s="1"/>
  <c r="CD378" i="14"/>
  <c r="BE378" i="14"/>
  <c r="BG378" i="14" s="1"/>
  <c r="BQ379" i="14"/>
  <c r="BR379" i="14" s="1"/>
  <c r="BN379" i="14"/>
  <c r="BO379" i="14" s="1"/>
  <c r="AG127" i="14"/>
  <c r="AH127" i="14" s="1"/>
  <c r="AI127" i="14" s="1"/>
  <c r="AJ127" i="14" s="1"/>
  <c r="AX128" i="14"/>
  <c r="AW378" i="14"/>
  <c r="AY378" i="14" s="1"/>
  <c r="AV128" i="14"/>
  <c r="BM129" i="14"/>
  <c r="BC129" i="14"/>
  <c r="BD129" i="14" s="1"/>
  <c r="BI129" i="14"/>
  <c r="BJ129" i="14" s="1"/>
  <c r="AA129" i="14"/>
  <c r="AX129" i="14" s="1"/>
  <c r="AB129" i="14"/>
  <c r="BB129" i="14"/>
  <c r="AD129" i="14"/>
  <c r="AX379" i="14"/>
  <c r="BE127" i="14"/>
  <c r="BG127" i="14" s="1"/>
  <c r="CD127" i="14"/>
  <c r="CE377" i="14"/>
  <c r="CJ377" i="14" s="1"/>
  <c r="AZ133" i="3" s="1"/>
  <c r="CH377" i="14"/>
  <c r="CM377" i="14" s="1"/>
  <c r="BB133" i="3" s="1"/>
  <c r="CF377" i="14"/>
  <c r="CK377" i="14" s="1"/>
  <c r="BA133" i="3" s="1"/>
  <c r="C134" i="26"/>
  <c r="C134" i="25"/>
  <c r="BH136" i="3"/>
  <c r="D133" i="26"/>
  <c r="D133" i="25"/>
  <c r="DD296" i="3"/>
  <c r="BG136" i="3"/>
  <c r="BM136" i="3" s="1"/>
  <c r="BI136" i="3"/>
  <c r="BE136" i="3"/>
  <c r="AW133" i="3"/>
  <c r="CF137" i="3"/>
  <c r="CK136" i="3"/>
  <c r="BC136" i="3"/>
  <c r="BN136" i="3" s="1"/>
  <c r="CJ136" i="3"/>
  <c r="AV136" i="3" s="1"/>
  <c r="BY137" i="3"/>
  <c r="BJ135" i="3"/>
  <c r="BP135" i="3" s="1"/>
  <c r="BR134" i="3"/>
  <c r="D137" i="3"/>
  <c r="BF135" i="3"/>
  <c r="BQ135" i="3" s="1"/>
  <c r="BO135" i="3"/>
  <c r="AU135" i="3" s="1"/>
  <c r="C138" i="3"/>
  <c r="BW137" i="3"/>
  <c r="CJ137" i="3" s="1"/>
  <c r="AV137" i="3" s="1"/>
  <c r="BL137" i="3"/>
  <c r="AY137" i="3"/>
  <c r="BK137" i="3"/>
  <c r="AH137" i="3"/>
  <c r="P134" i="26" s="1"/>
  <c r="AG137" i="3"/>
  <c r="O134" i="26" s="1"/>
  <c r="AJ137" i="3"/>
  <c r="R134" i="26" s="1"/>
  <c r="AI137" i="3"/>
  <c r="Q134" i="26" s="1"/>
  <c r="CH126" i="14" l="1"/>
  <c r="CJ124" i="14"/>
  <c r="CC131" i="3" s="1"/>
  <c r="BD137" i="3"/>
  <c r="BV138" i="3"/>
  <c r="BU138" i="3"/>
  <c r="CK124" i="14"/>
  <c r="CD131" i="3" s="1"/>
  <c r="CM124" i="14"/>
  <c r="CG131" i="3" s="1"/>
  <c r="AV380" i="14"/>
  <c r="CE125" i="14"/>
  <c r="CF125" i="14"/>
  <c r="CA125" i="14"/>
  <c r="CB125" i="14" s="1"/>
  <c r="CM125" i="14" s="1"/>
  <c r="CG132" i="3" s="1"/>
  <c r="BU125" i="14"/>
  <c r="BS125" i="14"/>
  <c r="BT125" i="14"/>
  <c r="BW125" i="14" s="1"/>
  <c r="BV125" i="14"/>
  <c r="BX125" i="14" s="1"/>
  <c r="BZ125" i="14"/>
  <c r="BU126" i="14"/>
  <c r="CA126" i="14"/>
  <c r="CB126" i="14" s="1"/>
  <c r="BV126" i="14"/>
  <c r="BX126" i="14" s="1"/>
  <c r="CK126" i="14" s="1"/>
  <c r="CD133" i="3" s="1"/>
  <c r="BS126" i="14"/>
  <c r="BT126" i="14"/>
  <c r="BW126" i="14" s="1"/>
  <c r="CJ126" i="14" s="1"/>
  <c r="CC133" i="3" s="1"/>
  <c r="BZ126" i="14"/>
  <c r="CA379" i="14"/>
  <c r="CB379" i="14" s="1"/>
  <c r="BT379" i="14"/>
  <c r="BW379" i="14" s="1"/>
  <c r="BV379" i="14"/>
  <c r="BX379" i="14" s="1"/>
  <c r="BQ380" i="14"/>
  <c r="BR380" i="14" s="1"/>
  <c r="BN380" i="14"/>
  <c r="BO380" i="14" s="1"/>
  <c r="BE128" i="14"/>
  <c r="BG128" i="14" s="1"/>
  <c r="CD128" i="14"/>
  <c r="BC381" i="14"/>
  <c r="BD381" i="14" s="1"/>
  <c r="AB381" i="14"/>
  <c r="AA381" i="14"/>
  <c r="BM381" i="14"/>
  <c r="BI381" i="14"/>
  <c r="BJ381" i="14" s="1"/>
  <c r="BB381" i="14"/>
  <c r="AD381" i="14"/>
  <c r="AE382" i="14"/>
  <c r="Z382" i="14"/>
  <c r="AE131" i="14"/>
  <c r="Z131" i="14"/>
  <c r="AF129" i="14"/>
  <c r="AG129" i="14" s="1"/>
  <c r="AH129" i="14" s="1"/>
  <c r="AI129" i="14" s="1"/>
  <c r="AJ129" i="14" s="1"/>
  <c r="AQ129" i="14"/>
  <c r="AR129" i="14" s="1"/>
  <c r="AS129" i="14" s="1"/>
  <c r="AT129" i="14" s="1"/>
  <c r="AU129" i="14" s="1"/>
  <c r="BA129" i="14"/>
  <c r="BK129" i="14" s="1"/>
  <c r="AK129" i="14"/>
  <c r="AL129" i="14" s="1"/>
  <c r="AM129" i="14" s="1"/>
  <c r="AN129" i="14" s="1"/>
  <c r="AO129" i="14" s="1"/>
  <c r="AP129" i="14" s="1"/>
  <c r="AZ129" i="14"/>
  <c r="AC129" i="14"/>
  <c r="AW127" i="14"/>
  <c r="AV129" i="14"/>
  <c r="AW379" i="14"/>
  <c r="AY379" i="14" s="1"/>
  <c r="BU379" i="14"/>
  <c r="BZ379" i="14"/>
  <c r="BS379" i="14"/>
  <c r="CH378" i="14"/>
  <c r="CM378" i="14" s="1"/>
  <c r="BB134" i="3" s="1"/>
  <c r="CE378" i="14"/>
  <c r="CJ378" i="14" s="1"/>
  <c r="AZ134" i="3" s="1"/>
  <c r="CF378" i="14"/>
  <c r="CK378" i="14" s="1"/>
  <c r="BA134" i="3" s="1"/>
  <c r="BN129" i="14"/>
  <c r="BO129" i="14" s="1"/>
  <c r="AZ380" i="14"/>
  <c r="AQ380" i="14"/>
  <c r="AR380" i="14" s="1"/>
  <c r="AS380" i="14" s="1"/>
  <c r="AT380" i="14" s="1"/>
  <c r="AU380" i="14" s="1"/>
  <c r="AC380" i="14"/>
  <c r="AK380" i="14"/>
  <c r="AL380" i="14" s="1"/>
  <c r="AM380" i="14" s="1"/>
  <c r="AN380" i="14" s="1"/>
  <c r="AO380" i="14" s="1"/>
  <c r="AP380" i="14" s="1"/>
  <c r="BA380" i="14"/>
  <c r="BK380" i="14" s="1"/>
  <c r="AF380" i="14"/>
  <c r="AG380" i="14" s="1"/>
  <c r="AH380" i="14" s="1"/>
  <c r="AI380" i="14" s="1"/>
  <c r="AJ380" i="14" s="1"/>
  <c r="BE379" i="14"/>
  <c r="BG379" i="14" s="1"/>
  <c r="CD379" i="14"/>
  <c r="AW128" i="14"/>
  <c r="AB130" i="14"/>
  <c r="AA130" i="14"/>
  <c r="AV130" i="14" s="1"/>
  <c r="BI130" i="14"/>
  <c r="BJ130" i="14" s="1"/>
  <c r="BC130" i="14"/>
  <c r="BD130" i="14" s="1"/>
  <c r="BB130" i="14"/>
  <c r="AD130" i="14"/>
  <c r="BM130" i="14"/>
  <c r="D134" i="25"/>
  <c r="D134" i="26"/>
  <c r="BG137" i="3"/>
  <c r="BI137" i="3"/>
  <c r="C135" i="26"/>
  <c r="C135" i="25"/>
  <c r="BH137" i="3"/>
  <c r="BE137" i="3"/>
  <c r="CF138" i="3"/>
  <c r="AW134" i="3"/>
  <c r="CK137" i="3"/>
  <c r="BJ136" i="3"/>
  <c r="BP136" i="3" s="1"/>
  <c r="BC137" i="3"/>
  <c r="BN137" i="3" s="1"/>
  <c r="BR135" i="3"/>
  <c r="BY138" i="3"/>
  <c r="CI137" i="3"/>
  <c r="DD297" i="3"/>
  <c r="BF136" i="3"/>
  <c r="BQ136" i="3" s="1"/>
  <c r="D138" i="3"/>
  <c r="C139" i="3"/>
  <c r="BL138" i="3"/>
  <c r="BW138" i="3"/>
  <c r="CJ138" i="3" s="1"/>
  <c r="AV138" i="3" s="1"/>
  <c r="BK138" i="3"/>
  <c r="AY138" i="3"/>
  <c r="AG138" i="3"/>
  <c r="O135" i="26" s="1"/>
  <c r="AJ138" i="3"/>
  <c r="R135" i="26" s="1"/>
  <c r="AI138" i="3"/>
  <c r="Q135" i="26" s="1"/>
  <c r="AH138" i="3"/>
  <c r="P135" i="26" s="1"/>
  <c r="BO136" i="3"/>
  <c r="AU136" i="3" s="1"/>
  <c r="CM126" i="14" l="1"/>
  <c r="CG133" i="3" s="1"/>
  <c r="CK125" i="14"/>
  <c r="CD132" i="3" s="1"/>
  <c r="BD138" i="3"/>
  <c r="CJ125" i="14"/>
  <c r="CC132" i="3" s="1"/>
  <c r="BV139" i="3"/>
  <c r="BU139" i="3"/>
  <c r="AY128" i="14"/>
  <c r="CE128" i="14" s="1"/>
  <c r="BQ128" i="14"/>
  <c r="BR128" i="14" s="1"/>
  <c r="AY127" i="14"/>
  <c r="CH127" i="14" s="1"/>
  <c r="BQ127" i="14"/>
  <c r="BR127" i="14" s="1"/>
  <c r="AX130" i="14"/>
  <c r="CH379" i="14"/>
  <c r="CM379" i="14" s="1"/>
  <c r="BB135" i="3" s="1"/>
  <c r="CF379" i="14"/>
  <c r="CK379" i="14" s="1"/>
  <c r="BA135" i="3" s="1"/>
  <c r="CE379" i="14"/>
  <c r="CJ379" i="14" s="1"/>
  <c r="AZ135" i="3" s="1"/>
  <c r="BE129" i="14"/>
  <c r="BG129" i="14" s="1"/>
  <c r="CD129" i="14"/>
  <c r="BN381" i="14"/>
  <c r="BO381" i="14" s="1"/>
  <c r="BQ381" i="14"/>
  <c r="BR381" i="14" s="1"/>
  <c r="AX381" i="14"/>
  <c r="AZ381" i="14"/>
  <c r="AQ381" i="14"/>
  <c r="AR381" i="14" s="1"/>
  <c r="AS381" i="14" s="1"/>
  <c r="AT381" i="14" s="1"/>
  <c r="AU381" i="14" s="1"/>
  <c r="AC381" i="14"/>
  <c r="BA381" i="14"/>
  <c r="BK381" i="14" s="1"/>
  <c r="AK381" i="14"/>
  <c r="AL381" i="14" s="1"/>
  <c r="AM381" i="14" s="1"/>
  <c r="AN381" i="14" s="1"/>
  <c r="AO381" i="14" s="1"/>
  <c r="AP381" i="14" s="1"/>
  <c r="AF381" i="14"/>
  <c r="AG381" i="14" s="1"/>
  <c r="AH381" i="14" s="1"/>
  <c r="AI381" i="14" s="1"/>
  <c r="AJ381" i="14" s="1"/>
  <c r="BM382" i="14"/>
  <c r="BC382" i="14"/>
  <c r="BD382" i="14" s="1"/>
  <c r="BI382" i="14"/>
  <c r="BJ382" i="14" s="1"/>
  <c r="AA382" i="14"/>
  <c r="AB382" i="14"/>
  <c r="BB382" i="14"/>
  <c r="AD382" i="14"/>
  <c r="BU380" i="14"/>
  <c r="BZ380" i="14"/>
  <c r="BS380" i="14"/>
  <c r="Z383" i="14"/>
  <c r="AE383" i="14"/>
  <c r="AE132" i="14"/>
  <c r="Z132" i="14"/>
  <c r="BM131" i="14"/>
  <c r="BC131" i="14"/>
  <c r="BD131" i="14" s="1"/>
  <c r="BI131" i="14"/>
  <c r="BJ131" i="14" s="1"/>
  <c r="AB131" i="14"/>
  <c r="AA131" i="14"/>
  <c r="BB131" i="14"/>
  <c r="AD131" i="14"/>
  <c r="CF128" i="14"/>
  <c r="AQ130" i="14"/>
  <c r="AR130" i="14" s="1"/>
  <c r="AS130" i="14" s="1"/>
  <c r="AT130" i="14" s="1"/>
  <c r="AU130" i="14" s="1"/>
  <c r="AZ130" i="14"/>
  <c r="BA130" i="14"/>
  <c r="BK130" i="14" s="1"/>
  <c r="AK130" i="14"/>
  <c r="AL130" i="14" s="1"/>
  <c r="AM130" i="14" s="1"/>
  <c r="AN130" i="14" s="1"/>
  <c r="AO130" i="14" s="1"/>
  <c r="AP130" i="14" s="1"/>
  <c r="AF130" i="14"/>
  <c r="AG130" i="14" s="1"/>
  <c r="AH130" i="14" s="1"/>
  <c r="AI130" i="14" s="1"/>
  <c r="AJ130" i="14" s="1"/>
  <c r="AC130" i="14"/>
  <c r="CD380" i="14"/>
  <c r="BE380" i="14"/>
  <c r="BG380" i="14" s="1"/>
  <c r="BN130" i="14"/>
  <c r="BO130" i="14" s="1"/>
  <c r="AW380" i="14"/>
  <c r="AY380" i="14" s="1"/>
  <c r="AW129" i="14"/>
  <c r="BV380" i="14"/>
  <c r="BX380" i="14" s="1"/>
  <c r="BT380" i="14"/>
  <c r="BW380" i="14" s="1"/>
  <c r="CA380" i="14"/>
  <c r="CB380" i="14" s="1"/>
  <c r="AV381" i="14"/>
  <c r="C136" i="26"/>
  <c r="C136" i="25"/>
  <c r="BG138" i="3"/>
  <c r="BM138" i="3" s="1"/>
  <c r="D135" i="26"/>
  <c r="D135" i="25"/>
  <c r="BI138" i="3"/>
  <c r="DD298" i="3"/>
  <c r="BH138" i="3"/>
  <c r="BE138" i="3"/>
  <c r="BR136" i="3"/>
  <c r="CF139" i="3"/>
  <c r="AW135" i="3"/>
  <c r="CK138" i="3"/>
  <c r="BC138" i="3"/>
  <c r="BN138" i="3" s="1"/>
  <c r="BY139" i="3"/>
  <c r="CI138" i="3"/>
  <c r="BJ137" i="3"/>
  <c r="BP137" i="3" s="1"/>
  <c r="BM137" i="3"/>
  <c r="BO137" i="3" s="1"/>
  <c r="AU137" i="3" s="1"/>
  <c r="D139" i="3"/>
  <c r="BF137" i="3"/>
  <c r="BQ137" i="3" s="1"/>
  <c r="C140" i="3"/>
  <c r="BL139" i="3"/>
  <c r="BK139" i="3"/>
  <c r="AJ139" i="3"/>
  <c r="R136" i="26" s="1"/>
  <c r="AY139" i="3"/>
  <c r="AI139" i="3"/>
  <c r="Q136" i="26" s="1"/>
  <c r="AH139" i="3"/>
  <c r="P136" i="26" s="1"/>
  <c r="BW139" i="3"/>
  <c r="CK139" i="3" s="1"/>
  <c r="AG139" i="3"/>
  <c r="O136" i="26" s="1"/>
  <c r="CH128" i="14" l="1"/>
  <c r="BD139" i="3"/>
  <c r="BU140" i="3"/>
  <c r="BV140" i="3"/>
  <c r="CF127" i="14"/>
  <c r="CE127" i="14"/>
  <c r="AW136" i="3"/>
  <c r="BT128" i="14"/>
  <c r="BW128" i="14" s="1"/>
  <c r="CJ128" i="14" s="1"/>
  <c r="CC135" i="3" s="1"/>
  <c r="BS128" i="14"/>
  <c r="BU128" i="14"/>
  <c r="CA128" i="14"/>
  <c r="CB128" i="14" s="1"/>
  <c r="BZ128" i="14"/>
  <c r="BV128" i="14"/>
  <c r="BX128" i="14" s="1"/>
  <c r="CK128" i="14" s="1"/>
  <c r="CD135" i="3" s="1"/>
  <c r="AY129" i="14"/>
  <c r="CE129" i="14" s="1"/>
  <c r="BQ129" i="14"/>
  <c r="BR129" i="14" s="1"/>
  <c r="BT127" i="14"/>
  <c r="BW127" i="14" s="1"/>
  <c r="BU127" i="14"/>
  <c r="BS127" i="14"/>
  <c r="CA127" i="14"/>
  <c r="CB127" i="14" s="1"/>
  <c r="CM127" i="14" s="1"/>
  <c r="CG134" i="3" s="1"/>
  <c r="BZ127" i="14"/>
  <c r="BV127" i="14"/>
  <c r="BX127" i="14" s="1"/>
  <c r="BQ382" i="14"/>
  <c r="BR382" i="14" s="1"/>
  <c r="BN382" i="14"/>
  <c r="BO382" i="14" s="1"/>
  <c r="BT381" i="14"/>
  <c r="BW381" i="14" s="1"/>
  <c r="BV381" i="14"/>
  <c r="BX381" i="14" s="1"/>
  <c r="CA381" i="14"/>
  <c r="CB381" i="14" s="1"/>
  <c r="AE384" i="14"/>
  <c r="Z384" i="14"/>
  <c r="AE133" i="14"/>
  <c r="Z133" i="14"/>
  <c r="AC131" i="14"/>
  <c r="AK131" i="14"/>
  <c r="AL131" i="14" s="1"/>
  <c r="AM131" i="14" s="1"/>
  <c r="AN131" i="14" s="1"/>
  <c r="AO131" i="14" s="1"/>
  <c r="AP131" i="14" s="1"/>
  <c r="BA131" i="14"/>
  <c r="BK131" i="14" s="1"/>
  <c r="AQ131" i="14"/>
  <c r="AR131" i="14" s="1"/>
  <c r="AS131" i="14" s="1"/>
  <c r="AT131" i="14" s="1"/>
  <c r="AU131" i="14" s="1"/>
  <c r="AF131" i="14"/>
  <c r="AG131" i="14" s="1"/>
  <c r="AH131" i="14" s="1"/>
  <c r="AI131" i="14" s="1"/>
  <c r="AJ131" i="14" s="1"/>
  <c r="AZ131" i="14"/>
  <c r="BN131" i="14"/>
  <c r="BO131" i="14" s="1"/>
  <c r="BM383" i="14"/>
  <c r="BI383" i="14"/>
  <c r="BJ383" i="14" s="1"/>
  <c r="AA383" i="14"/>
  <c r="AX383" i="14" s="1"/>
  <c r="BC383" i="14"/>
  <c r="BD383" i="14" s="1"/>
  <c r="BB383" i="14"/>
  <c r="AB383" i="14"/>
  <c r="AD383" i="14"/>
  <c r="AC382" i="14"/>
  <c r="BA382" i="14"/>
  <c r="BK382" i="14" s="1"/>
  <c r="AQ382" i="14"/>
  <c r="AR382" i="14" s="1"/>
  <c r="AS382" i="14" s="1"/>
  <c r="AT382" i="14" s="1"/>
  <c r="AU382" i="14" s="1"/>
  <c r="AK382" i="14"/>
  <c r="AL382" i="14" s="1"/>
  <c r="AM382" i="14" s="1"/>
  <c r="AN382" i="14" s="1"/>
  <c r="AO382" i="14" s="1"/>
  <c r="AP382" i="14" s="1"/>
  <c r="AF382" i="14"/>
  <c r="AG382" i="14" s="1"/>
  <c r="AH382" i="14" s="1"/>
  <c r="AI382" i="14" s="1"/>
  <c r="AJ382" i="14" s="1"/>
  <c r="AZ382" i="14"/>
  <c r="CE380" i="14"/>
  <c r="CJ380" i="14" s="1"/>
  <c r="AZ136" i="3" s="1"/>
  <c r="CH380" i="14"/>
  <c r="CM380" i="14" s="1"/>
  <c r="BB136" i="3" s="1"/>
  <c r="CF380" i="14"/>
  <c r="CK380" i="14" s="1"/>
  <c r="BA136" i="3" s="1"/>
  <c r="AW381" i="14"/>
  <c r="AY381" i="14" s="1"/>
  <c r="AV131" i="14"/>
  <c r="BE130" i="14"/>
  <c r="BG130" i="14" s="1"/>
  <c r="CD130" i="14"/>
  <c r="BE381" i="14"/>
  <c r="BG381" i="14" s="1"/>
  <c r="CD381" i="14"/>
  <c r="BZ381" i="14"/>
  <c r="BU381" i="14"/>
  <c r="BS381" i="14"/>
  <c r="AV382" i="14"/>
  <c r="AW130" i="14"/>
  <c r="AX131" i="14"/>
  <c r="AB132" i="14"/>
  <c r="AA132" i="14"/>
  <c r="AX132" i="14" s="1"/>
  <c r="BC132" i="14"/>
  <c r="BD132" i="14" s="1"/>
  <c r="BI132" i="14"/>
  <c r="BJ132" i="14" s="1"/>
  <c r="BB132" i="14"/>
  <c r="BM132" i="14"/>
  <c r="AD132" i="14"/>
  <c r="AX382" i="14"/>
  <c r="CH129" i="14"/>
  <c r="C137" i="26"/>
  <c r="C137" i="25"/>
  <c r="BI139" i="3"/>
  <c r="D136" i="26"/>
  <c r="D136" i="25"/>
  <c r="BH139" i="3"/>
  <c r="BG139" i="3"/>
  <c r="BM139" i="3" s="1"/>
  <c r="BE139" i="3"/>
  <c r="CF140" i="3"/>
  <c r="CJ139" i="3"/>
  <c r="AV139" i="3" s="1"/>
  <c r="BC139" i="3"/>
  <c r="BN139" i="3" s="1"/>
  <c r="BR137" i="3"/>
  <c r="CI139" i="3"/>
  <c r="BY140" i="3"/>
  <c r="BJ138" i="3"/>
  <c r="BP138" i="3" s="1"/>
  <c r="DD299" i="3"/>
  <c r="BF138" i="3"/>
  <c r="BQ138" i="3" s="1"/>
  <c r="D140" i="3"/>
  <c r="BO138" i="3"/>
  <c r="AU138" i="3" s="1"/>
  <c r="C141" i="3"/>
  <c r="BL140" i="3"/>
  <c r="BK140" i="3"/>
  <c r="AI140" i="3"/>
  <c r="Q137" i="26" s="1"/>
  <c r="AY140" i="3"/>
  <c r="AH140" i="3"/>
  <c r="P137" i="26" s="1"/>
  <c r="AG140" i="3"/>
  <c r="O137" i="26" s="1"/>
  <c r="AJ140" i="3"/>
  <c r="R137" i="26" s="1"/>
  <c r="BW140" i="3"/>
  <c r="CI140" i="3" s="1"/>
  <c r="CF129" i="14" l="1"/>
  <c r="CM128" i="14"/>
  <c r="CG135" i="3" s="1"/>
  <c r="CK127" i="14"/>
  <c r="CD134" i="3" s="1"/>
  <c r="BD140" i="3"/>
  <c r="BV141" i="3"/>
  <c r="BU141" i="3"/>
  <c r="CJ127" i="14"/>
  <c r="CC134" i="3" s="1"/>
  <c r="AY130" i="14"/>
  <c r="CF130" i="14" s="1"/>
  <c r="BQ130" i="14"/>
  <c r="BR130" i="14" s="1"/>
  <c r="BS129" i="14"/>
  <c r="BZ129" i="14"/>
  <c r="BU129" i="14"/>
  <c r="CA129" i="14"/>
  <c r="CB129" i="14" s="1"/>
  <c r="CM129" i="14" s="1"/>
  <c r="CG136" i="3" s="1"/>
  <c r="BT129" i="14"/>
  <c r="BW129" i="14" s="1"/>
  <c r="CJ129" i="14" s="1"/>
  <c r="CC136" i="3" s="1"/>
  <c r="BV129" i="14"/>
  <c r="BX129" i="14" s="1"/>
  <c r="BN132" i="14"/>
  <c r="BO132" i="14" s="1"/>
  <c r="BA132" i="14"/>
  <c r="BK132" i="14" s="1"/>
  <c r="AC132" i="14"/>
  <c r="AK132" i="14"/>
  <c r="AL132" i="14" s="1"/>
  <c r="AM132" i="14" s="1"/>
  <c r="AN132" i="14" s="1"/>
  <c r="AO132" i="14" s="1"/>
  <c r="AP132" i="14" s="1"/>
  <c r="AQ132" i="14"/>
  <c r="AR132" i="14" s="1"/>
  <c r="AS132" i="14" s="1"/>
  <c r="AT132" i="14" s="1"/>
  <c r="AU132" i="14" s="1"/>
  <c r="AZ132" i="14"/>
  <c r="AF132" i="14"/>
  <c r="AG132" i="14" s="1"/>
  <c r="AH132" i="14" s="1"/>
  <c r="AI132" i="14" s="1"/>
  <c r="AJ132" i="14" s="1"/>
  <c r="BU382" i="14"/>
  <c r="BZ382" i="14"/>
  <c r="BS382" i="14"/>
  <c r="AW382" i="14"/>
  <c r="AY382" i="14" s="1"/>
  <c r="CD131" i="14"/>
  <c r="BE131" i="14"/>
  <c r="BG131" i="14" s="1"/>
  <c r="BM133" i="14"/>
  <c r="BI133" i="14"/>
  <c r="BJ133" i="14" s="1"/>
  <c r="AA133" i="14"/>
  <c r="AX133" i="14" s="1"/>
  <c r="AB133" i="14"/>
  <c r="BC133" i="14"/>
  <c r="BD133" i="14" s="1"/>
  <c r="AD133" i="14"/>
  <c r="BB133" i="14"/>
  <c r="BT382" i="14"/>
  <c r="BW382" i="14" s="1"/>
  <c r="BV382" i="14"/>
  <c r="BX382" i="14" s="1"/>
  <c r="CA382" i="14"/>
  <c r="CB382" i="14" s="1"/>
  <c r="CF381" i="14"/>
  <c r="CK381" i="14" s="1"/>
  <c r="BA137" i="3" s="1"/>
  <c r="CH381" i="14"/>
  <c r="CM381" i="14" s="1"/>
  <c r="BB137" i="3" s="1"/>
  <c r="CE381" i="14"/>
  <c r="CJ381" i="14" s="1"/>
  <c r="AZ137" i="3" s="1"/>
  <c r="AW131" i="14"/>
  <c r="BM384" i="14"/>
  <c r="BC384" i="14"/>
  <c r="BD384" i="14" s="1"/>
  <c r="AB384" i="14"/>
  <c r="BI384" i="14"/>
  <c r="BJ384" i="14" s="1"/>
  <c r="AA384" i="14"/>
  <c r="AX384" i="14" s="1"/>
  <c r="BB384" i="14"/>
  <c r="AD384" i="14"/>
  <c r="BA383" i="14"/>
  <c r="BK383" i="14" s="1"/>
  <c r="AF383" i="14"/>
  <c r="AQ383" i="14"/>
  <c r="AR383" i="14" s="1"/>
  <c r="AS383" i="14" s="1"/>
  <c r="AT383" i="14" s="1"/>
  <c r="AU383" i="14" s="1"/>
  <c r="AK383" i="14"/>
  <c r="AL383" i="14" s="1"/>
  <c r="AM383" i="14" s="1"/>
  <c r="AN383" i="14" s="1"/>
  <c r="AO383" i="14" s="1"/>
  <c r="AP383" i="14" s="1"/>
  <c r="AZ383" i="14"/>
  <c r="AC383" i="14"/>
  <c r="Z385" i="14"/>
  <c r="AE385" i="14"/>
  <c r="AE134" i="14"/>
  <c r="Z134" i="14"/>
  <c r="CH130" i="14"/>
  <c r="AV132" i="14"/>
  <c r="CD382" i="14"/>
  <c r="BE382" i="14"/>
  <c r="BG382" i="14" s="1"/>
  <c r="BQ383" i="14"/>
  <c r="BR383" i="14" s="1"/>
  <c r="BN383" i="14"/>
  <c r="BO383" i="14" s="1"/>
  <c r="AV383" i="14"/>
  <c r="BJ139" i="3"/>
  <c r="BP139" i="3" s="1"/>
  <c r="BH140" i="3"/>
  <c r="D137" i="26"/>
  <c r="D137" i="25"/>
  <c r="DD300" i="3"/>
  <c r="C138" i="26"/>
  <c r="C138" i="25"/>
  <c r="BI140" i="3"/>
  <c r="BG140" i="3"/>
  <c r="BM140" i="3" s="1"/>
  <c r="BE140" i="3"/>
  <c r="CF141" i="3"/>
  <c r="AW137" i="3"/>
  <c r="CK140" i="3"/>
  <c r="BC140" i="3"/>
  <c r="BN140" i="3" s="1"/>
  <c r="CJ140" i="3"/>
  <c r="AV140" i="3" s="1"/>
  <c r="BY141" i="3"/>
  <c r="BR138" i="3"/>
  <c r="BF139" i="3"/>
  <c r="BQ139" i="3" s="1"/>
  <c r="D141" i="3"/>
  <c r="BG141" i="3" s="1"/>
  <c r="BO139" i="3"/>
  <c r="AU139" i="3" s="1"/>
  <c r="C142" i="3"/>
  <c r="BW141" i="3"/>
  <c r="CI141" i="3" s="1"/>
  <c r="BL141" i="3"/>
  <c r="AY141" i="3"/>
  <c r="AH141" i="3"/>
  <c r="P138" i="26" s="1"/>
  <c r="BK141" i="3"/>
  <c r="AG141" i="3"/>
  <c r="O138" i="26" s="1"/>
  <c r="AJ141" i="3"/>
  <c r="R138" i="26" s="1"/>
  <c r="AI141" i="3"/>
  <c r="Q138" i="26" s="1"/>
  <c r="CE130" i="14" l="1"/>
  <c r="BD141" i="3"/>
  <c r="CK129" i="14"/>
  <c r="CD136" i="3" s="1"/>
  <c r="BV142" i="3"/>
  <c r="BU142" i="3"/>
  <c r="AV133" i="14"/>
  <c r="AY131" i="14"/>
  <c r="CH131" i="14" s="1"/>
  <c r="BQ131" i="14"/>
  <c r="BR131" i="14" s="1"/>
  <c r="CA130" i="14"/>
  <c r="CB130" i="14" s="1"/>
  <c r="CM130" i="14" s="1"/>
  <c r="CG137" i="3" s="1"/>
  <c r="BS130" i="14"/>
  <c r="BV130" i="14"/>
  <c r="BX130" i="14" s="1"/>
  <c r="CK130" i="14" s="1"/>
  <c r="CD137" i="3" s="1"/>
  <c r="BZ130" i="14"/>
  <c r="BT130" i="14"/>
  <c r="BW130" i="14" s="1"/>
  <c r="CJ130" i="14" s="1"/>
  <c r="CC137" i="3" s="1"/>
  <c r="BU130" i="14"/>
  <c r="BR139" i="3"/>
  <c r="BN133" i="14"/>
  <c r="BO133" i="14" s="1"/>
  <c r="BE132" i="14"/>
  <c r="BG132" i="14" s="1"/>
  <c r="CD132" i="14"/>
  <c r="BM385" i="14"/>
  <c r="AA385" i="14"/>
  <c r="AX385" i="14" s="1"/>
  <c r="BC385" i="14"/>
  <c r="BD385" i="14" s="1"/>
  <c r="BI385" i="14"/>
  <c r="BJ385" i="14" s="1"/>
  <c r="AD385" i="14"/>
  <c r="AB385" i="14"/>
  <c r="BB385" i="14"/>
  <c r="BT383" i="14"/>
  <c r="BW383" i="14" s="1"/>
  <c r="CA383" i="14"/>
  <c r="CB383" i="14" s="1"/>
  <c r="BV383" i="14"/>
  <c r="BX383" i="14" s="1"/>
  <c r="CD383" i="14"/>
  <c r="BE383" i="14"/>
  <c r="BG383" i="14" s="1"/>
  <c r="AZ384" i="14"/>
  <c r="AQ384" i="14"/>
  <c r="AR384" i="14" s="1"/>
  <c r="AS384" i="14" s="1"/>
  <c r="AT384" i="14" s="1"/>
  <c r="AU384" i="14" s="1"/>
  <c r="AK384" i="14"/>
  <c r="AL384" i="14" s="1"/>
  <c r="AM384" i="14" s="1"/>
  <c r="AN384" i="14" s="1"/>
  <c r="AO384" i="14" s="1"/>
  <c r="AP384" i="14" s="1"/>
  <c r="BA384" i="14"/>
  <c r="BK384" i="14" s="1"/>
  <c r="AF384" i="14"/>
  <c r="AG384" i="14" s="1"/>
  <c r="AH384" i="14" s="1"/>
  <c r="AI384" i="14" s="1"/>
  <c r="AJ384" i="14" s="1"/>
  <c r="AC384" i="14"/>
  <c r="BQ384" i="14"/>
  <c r="BR384" i="14" s="1"/>
  <c r="BN384" i="14"/>
  <c r="BO384" i="14" s="1"/>
  <c r="Z386" i="14"/>
  <c r="AE135" i="14"/>
  <c r="Z135" i="14"/>
  <c r="AE386" i="14"/>
  <c r="CH382" i="14"/>
  <c r="CM382" i="14" s="1"/>
  <c r="BB138" i="3" s="1"/>
  <c r="CE382" i="14"/>
  <c r="CJ382" i="14" s="1"/>
  <c r="AZ138" i="3" s="1"/>
  <c r="CF382" i="14"/>
  <c r="CK382" i="14" s="1"/>
  <c r="BA138" i="3" s="1"/>
  <c r="AW132" i="14"/>
  <c r="BS383" i="14"/>
  <c r="BU383" i="14"/>
  <c r="BZ383" i="14"/>
  <c r="AB134" i="14"/>
  <c r="AA134" i="14"/>
  <c r="AV134" i="14" s="1"/>
  <c r="BI134" i="14"/>
  <c r="BJ134" i="14" s="1"/>
  <c r="BC134" i="14"/>
  <c r="BD134" i="14" s="1"/>
  <c r="BB134" i="14"/>
  <c r="AD134" i="14"/>
  <c r="BM134" i="14"/>
  <c r="AV384" i="14"/>
  <c r="AG383" i="14"/>
  <c r="AH383" i="14" s="1"/>
  <c r="AI383" i="14" s="1"/>
  <c r="AJ383" i="14" s="1"/>
  <c r="AQ133" i="14"/>
  <c r="AR133" i="14" s="1"/>
  <c r="AS133" i="14" s="1"/>
  <c r="AT133" i="14" s="1"/>
  <c r="AU133" i="14" s="1"/>
  <c r="AC133" i="14"/>
  <c r="BA133" i="14"/>
  <c r="BK133" i="14" s="1"/>
  <c r="AF133" i="14"/>
  <c r="AG133" i="14" s="1"/>
  <c r="AH133" i="14" s="1"/>
  <c r="AI133" i="14" s="1"/>
  <c r="AJ133" i="14" s="1"/>
  <c r="AK133" i="14"/>
  <c r="AL133" i="14" s="1"/>
  <c r="AM133" i="14" s="1"/>
  <c r="AN133" i="14" s="1"/>
  <c r="AO133" i="14" s="1"/>
  <c r="AP133" i="14" s="1"/>
  <c r="AZ133" i="14"/>
  <c r="BJ140" i="3"/>
  <c r="BP140" i="3" s="1"/>
  <c r="C139" i="26"/>
  <c r="C139" i="25"/>
  <c r="BH141" i="3"/>
  <c r="D138" i="25"/>
  <c r="D138" i="26"/>
  <c r="BI141" i="3"/>
  <c r="BE141" i="3"/>
  <c r="AW138" i="3"/>
  <c r="CF142" i="3"/>
  <c r="CK141" i="3"/>
  <c r="BC141" i="3"/>
  <c r="BN141" i="3" s="1"/>
  <c r="CJ141" i="3"/>
  <c r="AV141" i="3" s="1"/>
  <c r="BY142" i="3"/>
  <c r="DD301" i="3"/>
  <c r="BF140" i="3"/>
  <c r="BQ140" i="3" s="1"/>
  <c r="D142" i="3"/>
  <c r="C143" i="3"/>
  <c r="BW142" i="3"/>
  <c r="CI142" i="3" s="1"/>
  <c r="BL142" i="3"/>
  <c r="BK142" i="3"/>
  <c r="AY142" i="3"/>
  <c r="AG142" i="3"/>
  <c r="O139" i="26" s="1"/>
  <c r="AJ142" i="3"/>
  <c r="R139" i="26" s="1"/>
  <c r="AI142" i="3"/>
  <c r="Q139" i="26" s="1"/>
  <c r="AH142" i="3"/>
  <c r="P139" i="26" s="1"/>
  <c r="BM141" i="3"/>
  <c r="BO140" i="3"/>
  <c r="AU140" i="3" s="1"/>
  <c r="CE131" i="14" l="1"/>
  <c r="CF131" i="14"/>
  <c r="BD142" i="3"/>
  <c r="BV143" i="3"/>
  <c r="BU143" i="3"/>
  <c r="BR140" i="3"/>
  <c r="AW140" i="3" s="1"/>
  <c r="BU131" i="14"/>
  <c r="BV131" i="14"/>
  <c r="BX131" i="14" s="1"/>
  <c r="BS131" i="14"/>
  <c r="BZ131" i="14"/>
  <c r="CA131" i="14"/>
  <c r="CB131" i="14" s="1"/>
  <c r="CM131" i="14" s="1"/>
  <c r="CG138" i="3" s="1"/>
  <c r="BT131" i="14"/>
  <c r="BW131" i="14" s="1"/>
  <c r="AY132" i="14"/>
  <c r="CE132" i="14" s="1"/>
  <c r="BQ132" i="14"/>
  <c r="BR132" i="14" s="1"/>
  <c r="AW139" i="3"/>
  <c r="AW383" i="14"/>
  <c r="AY383" i="14" s="1"/>
  <c r="CH383" i="14" s="1"/>
  <c r="CM383" i="14" s="1"/>
  <c r="BB139" i="3" s="1"/>
  <c r="AX134" i="14"/>
  <c r="AE387" i="14"/>
  <c r="Z387" i="14"/>
  <c r="AE136" i="14"/>
  <c r="Z136" i="14"/>
  <c r="BM386" i="14"/>
  <c r="BC386" i="14"/>
  <c r="BD386" i="14" s="1"/>
  <c r="AA386" i="14"/>
  <c r="AV386" i="14" s="1"/>
  <c r="AB386" i="14"/>
  <c r="BI386" i="14"/>
  <c r="BJ386" i="14" s="1"/>
  <c r="BB386" i="14"/>
  <c r="AD386" i="14"/>
  <c r="CF132" i="14"/>
  <c r="AW133" i="14"/>
  <c r="BN134" i="14"/>
  <c r="BO134" i="14" s="1"/>
  <c r="CD384" i="14"/>
  <c r="BE384" i="14"/>
  <c r="BG384" i="14" s="1"/>
  <c r="CD133" i="14"/>
  <c r="BE133" i="14"/>
  <c r="BG133" i="14" s="1"/>
  <c r="BZ384" i="14"/>
  <c r="BS384" i="14"/>
  <c r="BU384" i="14"/>
  <c r="BA385" i="14"/>
  <c r="BK385" i="14" s="1"/>
  <c r="AC385" i="14"/>
  <c r="AK385" i="14"/>
  <c r="AL385" i="14" s="1"/>
  <c r="AM385" i="14" s="1"/>
  <c r="AN385" i="14" s="1"/>
  <c r="AO385" i="14" s="1"/>
  <c r="AP385" i="14" s="1"/>
  <c r="AQ385" i="14"/>
  <c r="AR385" i="14" s="1"/>
  <c r="AS385" i="14" s="1"/>
  <c r="AT385" i="14" s="1"/>
  <c r="AU385" i="14" s="1"/>
  <c r="AF385" i="14"/>
  <c r="AG385" i="14" s="1"/>
  <c r="AH385" i="14" s="1"/>
  <c r="AI385" i="14" s="1"/>
  <c r="AJ385" i="14" s="1"/>
  <c r="AZ385" i="14"/>
  <c r="AZ134" i="14"/>
  <c r="AQ134" i="14"/>
  <c r="AR134" i="14" s="1"/>
  <c r="AS134" i="14" s="1"/>
  <c r="AT134" i="14" s="1"/>
  <c r="AU134" i="14" s="1"/>
  <c r="AK134" i="14"/>
  <c r="AL134" i="14" s="1"/>
  <c r="AM134" i="14" s="1"/>
  <c r="AN134" i="14" s="1"/>
  <c r="AO134" i="14" s="1"/>
  <c r="AP134" i="14" s="1"/>
  <c r="AC134" i="14"/>
  <c r="BA134" i="14"/>
  <c r="BK134" i="14" s="1"/>
  <c r="AF134" i="14"/>
  <c r="AG134" i="14" s="1"/>
  <c r="AH134" i="14" s="1"/>
  <c r="AI134" i="14" s="1"/>
  <c r="AJ134" i="14" s="1"/>
  <c r="AV385" i="14"/>
  <c r="BM135" i="14"/>
  <c r="BC135" i="14"/>
  <c r="BD135" i="14" s="1"/>
  <c r="BI135" i="14"/>
  <c r="BJ135" i="14" s="1"/>
  <c r="AB135" i="14"/>
  <c r="AA135" i="14"/>
  <c r="AV135" i="14" s="1"/>
  <c r="AD135" i="14"/>
  <c r="BB135" i="14"/>
  <c r="BV384" i="14"/>
  <c r="BX384" i="14" s="1"/>
  <c r="BT384" i="14"/>
  <c r="BW384" i="14" s="1"/>
  <c r="CA384" i="14"/>
  <c r="CB384" i="14" s="1"/>
  <c r="AW384" i="14"/>
  <c r="AY384" i="14" s="1"/>
  <c r="BN385" i="14"/>
  <c r="BO385" i="14" s="1"/>
  <c r="BQ385" i="14"/>
  <c r="BR385" i="14" s="1"/>
  <c r="C140" i="25"/>
  <c r="C140" i="26"/>
  <c r="BI142" i="3"/>
  <c r="D139" i="26"/>
  <c r="D139" i="25"/>
  <c r="BG142" i="3"/>
  <c r="BM142" i="3" s="1"/>
  <c r="BH142" i="3"/>
  <c r="BE142" i="3"/>
  <c r="CF143" i="3"/>
  <c r="CK142" i="3"/>
  <c r="BC142" i="3"/>
  <c r="BN142" i="3" s="1"/>
  <c r="DD302" i="3"/>
  <c r="BY143" i="3"/>
  <c r="CJ142" i="3"/>
  <c r="AV142" i="3" s="1"/>
  <c r="BJ141" i="3"/>
  <c r="BP141" i="3" s="1"/>
  <c r="D143" i="3"/>
  <c r="BI143" i="3" s="1"/>
  <c r="BF141" i="3"/>
  <c r="BQ141" i="3" s="1"/>
  <c r="BO141" i="3"/>
  <c r="AU141" i="3" s="1"/>
  <c r="C144" i="3"/>
  <c r="BL143" i="3"/>
  <c r="BK143" i="3"/>
  <c r="AJ143" i="3"/>
  <c r="R140" i="26" s="1"/>
  <c r="BW143" i="3"/>
  <c r="CI143" i="3" s="1"/>
  <c r="AI143" i="3"/>
  <c r="Q140" i="26" s="1"/>
  <c r="AH143" i="3"/>
  <c r="P140" i="26" s="1"/>
  <c r="AY143" i="3"/>
  <c r="AG143" i="3"/>
  <c r="O140" i="26" s="1"/>
  <c r="CJ131" i="14" l="1"/>
  <c r="CC138" i="3" s="1"/>
  <c r="CK131" i="14"/>
  <c r="CD138" i="3" s="1"/>
  <c r="CH132" i="14"/>
  <c r="BD143" i="3"/>
  <c r="BV144" i="3"/>
  <c r="BU144" i="3"/>
  <c r="AY133" i="14"/>
  <c r="CH133" i="14" s="1"/>
  <c r="BQ133" i="14"/>
  <c r="BR133" i="14" s="1"/>
  <c r="CA132" i="14"/>
  <c r="CB132" i="14" s="1"/>
  <c r="BZ132" i="14"/>
  <c r="BV132" i="14"/>
  <c r="BX132" i="14" s="1"/>
  <c r="CK132" i="14" s="1"/>
  <c r="CD139" i="3" s="1"/>
  <c r="BU132" i="14"/>
  <c r="BT132" i="14"/>
  <c r="BW132" i="14" s="1"/>
  <c r="CJ132" i="14" s="1"/>
  <c r="CC139" i="3" s="1"/>
  <c r="BS132" i="14"/>
  <c r="AX135" i="14"/>
  <c r="CF383" i="14"/>
  <c r="CK383" i="14" s="1"/>
  <c r="BA139" i="3" s="1"/>
  <c r="CE383" i="14"/>
  <c r="CJ383" i="14" s="1"/>
  <c r="AZ139" i="3" s="1"/>
  <c r="BJ142" i="3"/>
  <c r="BP142" i="3" s="1"/>
  <c r="AE388" i="14"/>
  <c r="Z388" i="14"/>
  <c r="AE137" i="14"/>
  <c r="Z137" i="14"/>
  <c r="AQ386" i="14"/>
  <c r="AR386" i="14" s="1"/>
  <c r="AS386" i="14" s="1"/>
  <c r="AT386" i="14" s="1"/>
  <c r="AU386" i="14" s="1"/>
  <c r="AC386" i="14"/>
  <c r="AZ386" i="14"/>
  <c r="BA386" i="14"/>
  <c r="BK386" i="14" s="1"/>
  <c r="AF386" i="14"/>
  <c r="AK386" i="14"/>
  <c r="AL386" i="14" s="1"/>
  <c r="AM386" i="14" s="1"/>
  <c r="AN386" i="14" s="1"/>
  <c r="AO386" i="14" s="1"/>
  <c r="AP386" i="14" s="1"/>
  <c r="BN135" i="14"/>
  <c r="BO135" i="14" s="1"/>
  <c r="BE134" i="14"/>
  <c r="BG134" i="14" s="1"/>
  <c r="CD134" i="14"/>
  <c r="AW134" i="14"/>
  <c r="AW385" i="14"/>
  <c r="AY385" i="14" s="1"/>
  <c r="AB136" i="14"/>
  <c r="BC136" i="14"/>
  <c r="BD136" i="14" s="1"/>
  <c r="BI136" i="14"/>
  <c r="BJ136" i="14" s="1"/>
  <c r="AA136" i="14"/>
  <c r="AX136" i="14" s="1"/>
  <c r="BB136" i="14"/>
  <c r="AD136" i="14"/>
  <c r="BM136" i="14"/>
  <c r="CF384" i="14"/>
  <c r="CK384" i="14" s="1"/>
  <c r="BA140" i="3" s="1"/>
  <c r="CH384" i="14"/>
  <c r="CM384" i="14" s="1"/>
  <c r="BB140" i="3" s="1"/>
  <c r="CE384" i="14"/>
  <c r="CJ384" i="14" s="1"/>
  <c r="AZ140" i="3" s="1"/>
  <c r="AX386" i="14"/>
  <c r="AV136" i="14"/>
  <c r="BT385" i="14"/>
  <c r="BW385" i="14" s="1"/>
  <c r="BV385" i="14"/>
  <c r="BX385" i="14" s="1"/>
  <c r="CA385" i="14"/>
  <c r="CB385" i="14" s="1"/>
  <c r="AQ135" i="14"/>
  <c r="AR135" i="14" s="1"/>
  <c r="AS135" i="14" s="1"/>
  <c r="AT135" i="14" s="1"/>
  <c r="AU135" i="14" s="1"/>
  <c r="AC135" i="14"/>
  <c r="AF135" i="14"/>
  <c r="AG135" i="14" s="1"/>
  <c r="AH135" i="14" s="1"/>
  <c r="AI135" i="14" s="1"/>
  <c r="AJ135" i="14" s="1"/>
  <c r="BA135" i="14"/>
  <c r="BK135" i="14" s="1"/>
  <c r="AK135" i="14"/>
  <c r="AL135" i="14" s="1"/>
  <c r="AM135" i="14" s="1"/>
  <c r="AN135" i="14" s="1"/>
  <c r="AO135" i="14" s="1"/>
  <c r="AP135" i="14" s="1"/>
  <c r="AZ135" i="14"/>
  <c r="BM387" i="14"/>
  <c r="BC387" i="14"/>
  <c r="BD387" i="14" s="1"/>
  <c r="BI387" i="14"/>
  <c r="BJ387" i="14" s="1"/>
  <c r="AA387" i="14"/>
  <c r="AX387" i="14" s="1"/>
  <c r="AD387" i="14"/>
  <c r="BB387" i="14"/>
  <c r="AB387" i="14"/>
  <c r="BU385" i="14"/>
  <c r="BZ385" i="14"/>
  <c r="BS385" i="14"/>
  <c r="CD385" i="14"/>
  <c r="BE385" i="14"/>
  <c r="BG385" i="14" s="1"/>
  <c r="CF133" i="14"/>
  <c r="BQ386" i="14"/>
  <c r="BR386" i="14" s="1"/>
  <c r="BN386" i="14"/>
  <c r="BO386" i="14" s="1"/>
  <c r="C141" i="26"/>
  <c r="C141" i="25"/>
  <c r="BH143" i="3"/>
  <c r="D140" i="26"/>
  <c r="D140" i="25"/>
  <c r="BG143" i="3"/>
  <c r="BM143" i="3" s="1"/>
  <c r="BE143" i="3"/>
  <c r="CK143" i="3"/>
  <c r="CF144" i="3"/>
  <c r="BC143" i="3"/>
  <c r="BN143" i="3" s="1"/>
  <c r="CJ143" i="3"/>
  <c r="AV143" i="3" s="1"/>
  <c r="BY144" i="3"/>
  <c r="BR141" i="3"/>
  <c r="DD303" i="3"/>
  <c r="BF142" i="3"/>
  <c r="BQ142" i="3" s="1"/>
  <c r="D144" i="3"/>
  <c r="BO142" i="3"/>
  <c r="AU142" i="3" s="1"/>
  <c r="C145" i="3"/>
  <c r="BW144" i="3"/>
  <c r="CK144" i="3" s="1"/>
  <c r="BL144" i="3"/>
  <c r="AY144" i="3"/>
  <c r="AI144" i="3"/>
  <c r="Q141" i="26" s="1"/>
  <c r="AH144" i="3"/>
  <c r="P141" i="26" s="1"/>
  <c r="BK144" i="3"/>
  <c r="AG144" i="3"/>
  <c r="O141" i="26" s="1"/>
  <c r="AJ144" i="3"/>
  <c r="R141" i="26" s="1"/>
  <c r="CE133" i="14" l="1"/>
  <c r="CM132" i="14"/>
  <c r="CG139" i="3" s="1"/>
  <c r="BD144" i="3"/>
  <c r="BV145" i="3"/>
  <c r="BU145" i="3"/>
  <c r="BS133" i="14"/>
  <c r="CA133" i="14"/>
  <c r="CB133" i="14" s="1"/>
  <c r="CM133" i="14" s="1"/>
  <c r="CG140" i="3" s="1"/>
  <c r="BZ133" i="14"/>
  <c r="BV133" i="14"/>
  <c r="BX133" i="14" s="1"/>
  <c r="CK133" i="14" s="1"/>
  <c r="CD140" i="3" s="1"/>
  <c r="BU133" i="14"/>
  <c r="BT133" i="14"/>
  <c r="BW133" i="14" s="1"/>
  <c r="AY134" i="14"/>
  <c r="CF134" i="14" s="1"/>
  <c r="BQ134" i="14"/>
  <c r="BR134" i="14" s="1"/>
  <c r="BR142" i="3"/>
  <c r="BT386" i="14"/>
  <c r="BW386" i="14" s="1"/>
  <c r="CA386" i="14"/>
  <c r="CB386" i="14" s="1"/>
  <c r="BV386" i="14"/>
  <c r="BX386" i="14" s="1"/>
  <c r="BM388" i="14"/>
  <c r="AB388" i="14"/>
  <c r="BC388" i="14"/>
  <c r="BD388" i="14" s="1"/>
  <c r="AA388" i="14"/>
  <c r="AX388" i="14" s="1"/>
  <c r="BI388" i="14"/>
  <c r="BJ388" i="14" s="1"/>
  <c r="BB388" i="14"/>
  <c r="AD388" i="14"/>
  <c r="AV387" i="14"/>
  <c r="Z389" i="14"/>
  <c r="AE389" i="14"/>
  <c r="AE138" i="14"/>
  <c r="Z138" i="14"/>
  <c r="BZ386" i="14"/>
  <c r="BS386" i="14"/>
  <c r="BU386" i="14"/>
  <c r="BQ387" i="14"/>
  <c r="BR387" i="14" s="1"/>
  <c r="BN387" i="14"/>
  <c r="BO387" i="14" s="1"/>
  <c r="AW135" i="14"/>
  <c r="BN136" i="14"/>
  <c r="BO136" i="14" s="1"/>
  <c r="AC136" i="14"/>
  <c r="AK136" i="14"/>
  <c r="AL136" i="14" s="1"/>
  <c r="AM136" i="14" s="1"/>
  <c r="AN136" i="14" s="1"/>
  <c r="AO136" i="14" s="1"/>
  <c r="AP136" i="14" s="1"/>
  <c r="BA136" i="14"/>
  <c r="BK136" i="14" s="1"/>
  <c r="AZ136" i="14"/>
  <c r="AQ136" i="14"/>
  <c r="AR136" i="14" s="1"/>
  <c r="AS136" i="14" s="1"/>
  <c r="AT136" i="14" s="1"/>
  <c r="AU136" i="14" s="1"/>
  <c r="AF136" i="14"/>
  <c r="AG136" i="14" s="1"/>
  <c r="AH136" i="14" s="1"/>
  <c r="AI136" i="14" s="1"/>
  <c r="AJ136" i="14" s="1"/>
  <c r="BE386" i="14"/>
  <c r="BG386" i="14" s="1"/>
  <c r="CD386" i="14"/>
  <c r="BB137" i="14"/>
  <c r="AA137" i="14"/>
  <c r="AX137" i="14" s="1"/>
  <c r="AB137" i="14"/>
  <c r="AD137" i="14"/>
  <c r="BC137" i="14"/>
  <c r="BD137" i="14" s="1"/>
  <c r="BM137" i="14"/>
  <c r="BI137" i="14"/>
  <c r="BJ137" i="14" s="1"/>
  <c r="CE385" i="14"/>
  <c r="CJ385" i="14" s="1"/>
  <c r="AZ141" i="3" s="1"/>
  <c r="CH385" i="14"/>
  <c r="CM385" i="14" s="1"/>
  <c r="BB141" i="3" s="1"/>
  <c r="CF385" i="14"/>
  <c r="CK385" i="14" s="1"/>
  <c r="BA141" i="3" s="1"/>
  <c r="AZ387" i="14"/>
  <c r="BA387" i="14"/>
  <c r="BK387" i="14" s="1"/>
  <c r="AQ387" i="14"/>
  <c r="AR387" i="14" s="1"/>
  <c r="AS387" i="14" s="1"/>
  <c r="AT387" i="14" s="1"/>
  <c r="AU387" i="14" s="1"/>
  <c r="AF387" i="14"/>
  <c r="AG387" i="14" s="1"/>
  <c r="AH387" i="14" s="1"/>
  <c r="AI387" i="14" s="1"/>
  <c r="AJ387" i="14" s="1"/>
  <c r="AC387" i="14"/>
  <c r="AK387" i="14"/>
  <c r="AL387" i="14" s="1"/>
  <c r="AM387" i="14" s="1"/>
  <c r="AN387" i="14" s="1"/>
  <c r="AO387" i="14" s="1"/>
  <c r="AP387" i="14" s="1"/>
  <c r="BE135" i="14"/>
  <c r="BG135" i="14" s="1"/>
  <c r="CD135" i="14"/>
  <c r="AG386" i="14"/>
  <c r="AH386" i="14" s="1"/>
  <c r="AI386" i="14" s="1"/>
  <c r="AJ386" i="14" s="1"/>
  <c r="C142" i="26"/>
  <c r="C142" i="25"/>
  <c r="BI144" i="3"/>
  <c r="D141" i="26"/>
  <c r="D141" i="25"/>
  <c r="BG144" i="3"/>
  <c r="BM144" i="3" s="1"/>
  <c r="BH144" i="3"/>
  <c r="BE144" i="3"/>
  <c r="CF145" i="3"/>
  <c r="AW141" i="3"/>
  <c r="BJ143" i="3"/>
  <c r="BP143" i="3" s="1"/>
  <c r="BC144" i="3"/>
  <c r="BN144" i="3" s="1"/>
  <c r="CJ144" i="3"/>
  <c r="AV144" i="3" s="1"/>
  <c r="BY145" i="3"/>
  <c r="CI144" i="3"/>
  <c r="DD304" i="3"/>
  <c r="D145" i="3"/>
  <c r="BF143" i="3"/>
  <c r="BQ143" i="3" s="1"/>
  <c r="C146" i="3"/>
  <c r="BW145" i="3"/>
  <c r="CI145" i="3" s="1"/>
  <c r="BL145" i="3"/>
  <c r="BK145" i="3"/>
  <c r="AH145" i="3"/>
  <c r="P142" i="26" s="1"/>
  <c r="AG145" i="3"/>
  <c r="O142" i="26" s="1"/>
  <c r="AJ145" i="3"/>
  <c r="R142" i="26" s="1"/>
  <c r="AY145" i="3"/>
  <c r="AI145" i="3"/>
  <c r="Q142" i="26" s="1"/>
  <c r="BO143" i="3"/>
  <c r="AU143" i="3" s="1"/>
  <c r="BD145" i="3" l="1"/>
  <c r="CJ133" i="14"/>
  <c r="CC140" i="3" s="1"/>
  <c r="CE134" i="14"/>
  <c r="AV388" i="14"/>
  <c r="BV146" i="3"/>
  <c r="BU146" i="3"/>
  <c r="CH134" i="14"/>
  <c r="AY135" i="14"/>
  <c r="CF135" i="14" s="1"/>
  <c r="BQ135" i="14"/>
  <c r="BR135" i="14" s="1"/>
  <c r="BZ134" i="14"/>
  <c r="CA134" i="14"/>
  <c r="CB134" i="14" s="1"/>
  <c r="BU134" i="14"/>
  <c r="BV134" i="14"/>
  <c r="BX134" i="14" s="1"/>
  <c r="CK134" i="14" s="1"/>
  <c r="CD141" i="3" s="1"/>
  <c r="BT134" i="14"/>
  <c r="BW134" i="14" s="1"/>
  <c r="BS134" i="14"/>
  <c r="AW142" i="3"/>
  <c r="AQ137" i="14"/>
  <c r="AR137" i="14" s="1"/>
  <c r="AS137" i="14" s="1"/>
  <c r="AT137" i="14" s="1"/>
  <c r="AU137" i="14" s="1"/>
  <c r="AV137" i="14"/>
  <c r="BE136" i="14"/>
  <c r="BG136" i="14" s="1"/>
  <c r="CD136" i="14"/>
  <c r="BT387" i="14"/>
  <c r="BW387" i="14" s="1"/>
  <c r="BV387" i="14"/>
  <c r="BX387" i="14" s="1"/>
  <c r="CA387" i="14"/>
  <c r="CB387" i="14" s="1"/>
  <c r="BC138" i="14"/>
  <c r="BD138" i="14" s="1"/>
  <c r="AB138" i="14"/>
  <c r="AD138" i="14"/>
  <c r="BM138" i="14"/>
  <c r="AA138" i="14"/>
  <c r="AV138" i="14" s="1"/>
  <c r="BI138" i="14"/>
  <c r="BJ138" i="14" s="1"/>
  <c r="BB138" i="14"/>
  <c r="BN137" i="14"/>
  <c r="BO137" i="14" s="1"/>
  <c r="AW386" i="14"/>
  <c r="AY386" i="14" s="1"/>
  <c r="CH386" i="14" s="1"/>
  <c r="CM386" i="14" s="1"/>
  <c r="BB142" i="3" s="1"/>
  <c r="AW387" i="14"/>
  <c r="AY387" i="14" s="1"/>
  <c r="CD387" i="14"/>
  <c r="BE387" i="14"/>
  <c r="BG387" i="14" s="1"/>
  <c r="BU387" i="14"/>
  <c r="BZ387" i="14"/>
  <c r="BS387" i="14"/>
  <c r="BM389" i="14"/>
  <c r="AA389" i="14"/>
  <c r="AV389" i="14" s="1"/>
  <c r="BI389" i="14"/>
  <c r="BJ389" i="14" s="1"/>
  <c r="BC389" i="14"/>
  <c r="BD389" i="14" s="1"/>
  <c r="BB389" i="14"/>
  <c r="AB389" i="14"/>
  <c r="AD389" i="14"/>
  <c r="AE390" i="14"/>
  <c r="Z390" i="14"/>
  <c r="AE139" i="14"/>
  <c r="Z139" i="14"/>
  <c r="BA137" i="14"/>
  <c r="BK137" i="14" s="1"/>
  <c r="AF137" i="14"/>
  <c r="AC137" i="14"/>
  <c r="AZ137" i="14"/>
  <c r="AK137" i="14"/>
  <c r="AL137" i="14" s="1"/>
  <c r="AM137" i="14" s="1"/>
  <c r="AN137" i="14" s="1"/>
  <c r="AO137" i="14" s="1"/>
  <c r="AP137" i="14" s="1"/>
  <c r="AW136" i="14"/>
  <c r="BQ388" i="14"/>
  <c r="BR388" i="14" s="1"/>
  <c r="BN388" i="14"/>
  <c r="BO388" i="14" s="1"/>
  <c r="BA388" i="14"/>
  <c r="BK388" i="14" s="1"/>
  <c r="AC388" i="14"/>
  <c r="AK388" i="14"/>
  <c r="AL388" i="14" s="1"/>
  <c r="AM388" i="14" s="1"/>
  <c r="AN388" i="14" s="1"/>
  <c r="AO388" i="14" s="1"/>
  <c r="AP388" i="14" s="1"/>
  <c r="AF388" i="14"/>
  <c r="AZ388" i="14"/>
  <c r="AQ388" i="14"/>
  <c r="AR388" i="14" s="1"/>
  <c r="AS388" i="14" s="1"/>
  <c r="AT388" i="14" s="1"/>
  <c r="AU388" i="14" s="1"/>
  <c r="BI145" i="3"/>
  <c r="D142" i="25"/>
  <c r="D142" i="26"/>
  <c r="C143" i="26"/>
  <c r="C143" i="25"/>
  <c r="BG145" i="3"/>
  <c r="BM145" i="3" s="1"/>
  <c r="DD305" i="3"/>
  <c r="BH145" i="3"/>
  <c r="BE145" i="3"/>
  <c r="CF146" i="3"/>
  <c r="CK145" i="3"/>
  <c r="BR143" i="3"/>
  <c r="BC145" i="3"/>
  <c r="BN145" i="3" s="1"/>
  <c r="CJ145" i="3"/>
  <c r="AV145" i="3" s="1"/>
  <c r="BY146" i="3"/>
  <c r="BJ144" i="3"/>
  <c r="BP144" i="3" s="1"/>
  <c r="BF144" i="3"/>
  <c r="BQ144" i="3" s="1"/>
  <c r="D146" i="3"/>
  <c r="BI146" i="3" s="1"/>
  <c r="C147" i="3"/>
  <c r="BL146" i="3"/>
  <c r="BW146" i="3"/>
  <c r="CJ146" i="3" s="1"/>
  <c r="AV146" i="3" s="1"/>
  <c r="AY146" i="3"/>
  <c r="AG146" i="3"/>
  <c r="O143" i="26" s="1"/>
  <c r="AJ146" i="3"/>
  <c r="R143" i="26" s="1"/>
  <c r="BK146" i="3"/>
  <c r="AI146" i="3"/>
  <c r="Q143" i="26" s="1"/>
  <c r="AH146" i="3"/>
  <c r="P143" i="26" s="1"/>
  <c r="BO144" i="3"/>
  <c r="AU144" i="3" s="1"/>
  <c r="BD146" i="3" l="1"/>
  <c r="CJ134" i="14"/>
  <c r="CC141" i="3" s="1"/>
  <c r="AX389" i="14"/>
  <c r="CE135" i="14"/>
  <c r="CM134" i="14"/>
  <c r="CG141" i="3" s="1"/>
  <c r="BV147" i="3"/>
  <c r="BU147" i="3"/>
  <c r="CH135" i="14"/>
  <c r="AW143" i="3"/>
  <c r="BV135" i="14"/>
  <c r="BX135" i="14" s="1"/>
  <c r="CK135" i="14" s="1"/>
  <c r="CD142" i="3" s="1"/>
  <c r="BS135" i="14"/>
  <c r="BU135" i="14"/>
  <c r="BT135" i="14"/>
  <c r="BW135" i="14" s="1"/>
  <c r="BZ135" i="14"/>
  <c r="CA135" i="14"/>
  <c r="CB135" i="14" s="1"/>
  <c r="AY136" i="14"/>
  <c r="CF136" i="14" s="1"/>
  <c r="BQ136" i="14"/>
  <c r="BR136" i="14" s="1"/>
  <c r="CF386" i="14"/>
  <c r="CK386" i="14" s="1"/>
  <c r="BA142" i="3" s="1"/>
  <c r="CE386" i="14"/>
  <c r="CJ386" i="14" s="1"/>
  <c r="AZ142" i="3" s="1"/>
  <c r="DD306" i="3"/>
  <c r="BE388" i="14"/>
  <c r="BG388" i="14" s="1"/>
  <c r="CD388" i="14"/>
  <c r="BN389" i="14"/>
  <c r="BO389" i="14" s="1"/>
  <c r="BQ389" i="14"/>
  <c r="BR389" i="14" s="1"/>
  <c r="AK138" i="14"/>
  <c r="AL138" i="14" s="1"/>
  <c r="AM138" i="14" s="1"/>
  <c r="AN138" i="14" s="1"/>
  <c r="AO138" i="14" s="1"/>
  <c r="AP138" i="14" s="1"/>
  <c r="AZ138" i="14"/>
  <c r="AF138" i="14"/>
  <c r="AG138" i="14" s="1"/>
  <c r="AH138" i="14" s="1"/>
  <c r="AI138" i="14" s="1"/>
  <c r="AJ138" i="14" s="1"/>
  <c r="BA138" i="14"/>
  <c r="BK138" i="14" s="1"/>
  <c r="AC138" i="14"/>
  <c r="AQ138" i="14"/>
  <c r="AR138" i="14" s="1"/>
  <c r="AS138" i="14" s="1"/>
  <c r="AT138" i="14" s="1"/>
  <c r="AU138" i="14" s="1"/>
  <c r="BB139" i="14"/>
  <c r="BM139" i="14"/>
  <c r="AA139" i="14"/>
  <c r="AX139" i="14" s="1"/>
  <c r="AB139" i="14"/>
  <c r="BC139" i="14"/>
  <c r="BD139" i="14" s="1"/>
  <c r="AD139" i="14"/>
  <c r="BI139" i="14"/>
  <c r="BJ139" i="14" s="1"/>
  <c r="Z391" i="14"/>
  <c r="AE391" i="14"/>
  <c r="Z140" i="14"/>
  <c r="AE140" i="14"/>
  <c r="AG388" i="14"/>
  <c r="AH388" i="14" s="1"/>
  <c r="AI388" i="14" s="1"/>
  <c r="AJ388" i="14" s="1"/>
  <c r="BT388" i="14"/>
  <c r="BW388" i="14" s="1"/>
  <c r="BV388" i="14"/>
  <c r="BX388" i="14" s="1"/>
  <c r="CA388" i="14"/>
  <c r="CB388" i="14" s="1"/>
  <c r="CD137" i="14"/>
  <c r="BE137" i="14"/>
  <c r="BG137" i="14" s="1"/>
  <c r="BM390" i="14"/>
  <c r="BC390" i="14"/>
  <c r="BD390" i="14" s="1"/>
  <c r="BI390" i="14"/>
  <c r="BJ390" i="14" s="1"/>
  <c r="AB390" i="14"/>
  <c r="AA390" i="14"/>
  <c r="BB390" i="14"/>
  <c r="AD390" i="14"/>
  <c r="AK389" i="14"/>
  <c r="AL389" i="14" s="1"/>
  <c r="AM389" i="14" s="1"/>
  <c r="AN389" i="14" s="1"/>
  <c r="AO389" i="14" s="1"/>
  <c r="AP389" i="14" s="1"/>
  <c r="BA389" i="14"/>
  <c r="BK389" i="14" s="1"/>
  <c r="AC389" i="14"/>
  <c r="AF389" i="14"/>
  <c r="AG389" i="14" s="1"/>
  <c r="AH389" i="14" s="1"/>
  <c r="AI389" i="14" s="1"/>
  <c r="AJ389" i="14" s="1"/>
  <c r="AZ389" i="14"/>
  <c r="AQ389" i="14"/>
  <c r="AR389" i="14" s="1"/>
  <c r="AS389" i="14" s="1"/>
  <c r="AT389" i="14" s="1"/>
  <c r="AU389" i="14" s="1"/>
  <c r="CE387" i="14"/>
  <c r="CJ387" i="14" s="1"/>
  <c r="AZ143" i="3" s="1"/>
  <c r="CH387" i="14"/>
  <c r="CM387" i="14" s="1"/>
  <c r="BB143" i="3" s="1"/>
  <c r="CF387" i="14"/>
  <c r="CK387" i="14" s="1"/>
  <c r="BA143" i="3" s="1"/>
  <c r="AX138" i="14"/>
  <c r="BN138" i="14"/>
  <c r="BO138" i="14" s="1"/>
  <c r="BZ388" i="14"/>
  <c r="BU388" i="14"/>
  <c r="BS388" i="14"/>
  <c r="AG137" i="14"/>
  <c r="AH137" i="14" s="1"/>
  <c r="AI137" i="14" s="1"/>
  <c r="AJ137" i="14" s="1"/>
  <c r="C144" i="26"/>
  <c r="C144" i="25"/>
  <c r="BG146" i="3"/>
  <c r="BM146" i="3" s="1"/>
  <c r="D143" i="26"/>
  <c r="D143" i="25"/>
  <c r="BH146" i="3"/>
  <c r="BE146" i="3"/>
  <c r="CK146" i="3"/>
  <c r="CF147" i="3"/>
  <c r="BR144" i="3"/>
  <c r="BJ145" i="3"/>
  <c r="BP145" i="3" s="1"/>
  <c r="BC146" i="3"/>
  <c r="BN146" i="3" s="1"/>
  <c r="CI146" i="3"/>
  <c r="BY147" i="3"/>
  <c r="BF145" i="3"/>
  <c r="BQ145" i="3" s="1"/>
  <c r="D147" i="3"/>
  <c r="BG147" i="3" s="1"/>
  <c r="BO145" i="3"/>
  <c r="AU145" i="3" s="1"/>
  <c r="C148" i="3"/>
  <c r="BW147" i="3"/>
  <c r="CI147" i="3" s="1"/>
  <c r="BL147" i="3"/>
  <c r="BK147" i="3"/>
  <c r="AY147" i="3"/>
  <c r="AJ147" i="3"/>
  <c r="R144" i="26" s="1"/>
  <c r="AI147" i="3"/>
  <c r="Q144" i="26" s="1"/>
  <c r="AH147" i="3"/>
  <c r="P144" i="26" s="1"/>
  <c r="AG147" i="3"/>
  <c r="O144" i="26" s="1"/>
  <c r="CJ135" i="14" l="1"/>
  <c r="CC142" i="3" s="1"/>
  <c r="CE136" i="14"/>
  <c r="CH136" i="14"/>
  <c r="BD147" i="3"/>
  <c r="BU148" i="3"/>
  <c r="BV148" i="3"/>
  <c r="CM135" i="14"/>
  <c r="CG142" i="3" s="1"/>
  <c r="AW144" i="3"/>
  <c r="BS136" i="14"/>
  <c r="BT136" i="14"/>
  <c r="BW136" i="14" s="1"/>
  <c r="CJ136" i="14" s="1"/>
  <c r="CC143" i="3" s="1"/>
  <c r="BZ136" i="14"/>
  <c r="CA136" i="14"/>
  <c r="CB136" i="14" s="1"/>
  <c r="BU136" i="14"/>
  <c r="BV136" i="14"/>
  <c r="BX136" i="14" s="1"/>
  <c r="CK136" i="14" s="1"/>
  <c r="CD143" i="3" s="1"/>
  <c r="AV139" i="14"/>
  <c r="AW137" i="14"/>
  <c r="DD307" i="3"/>
  <c r="CA389" i="14"/>
  <c r="CB389" i="14" s="1"/>
  <c r="BT389" i="14"/>
  <c r="BW389" i="14" s="1"/>
  <c r="BV389" i="14"/>
  <c r="BX389" i="14" s="1"/>
  <c r="AC390" i="14"/>
  <c r="AQ390" i="14"/>
  <c r="AR390" i="14" s="1"/>
  <c r="AS390" i="14" s="1"/>
  <c r="AT390" i="14" s="1"/>
  <c r="AU390" i="14" s="1"/>
  <c r="BA390" i="14"/>
  <c r="BK390" i="14" s="1"/>
  <c r="AK390" i="14"/>
  <c r="AL390" i="14" s="1"/>
  <c r="AM390" i="14" s="1"/>
  <c r="AN390" i="14" s="1"/>
  <c r="AO390" i="14" s="1"/>
  <c r="AP390" i="14" s="1"/>
  <c r="AF390" i="14"/>
  <c r="AG390" i="14" s="1"/>
  <c r="AH390" i="14" s="1"/>
  <c r="AI390" i="14" s="1"/>
  <c r="AJ390" i="14" s="1"/>
  <c r="AZ390" i="14"/>
  <c r="AX390" i="14"/>
  <c r="BN139" i="14"/>
  <c r="BO139" i="14" s="1"/>
  <c r="CD138" i="14"/>
  <c r="BE138" i="14"/>
  <c r="BG138" i="14" s="1"/>
  <c r="CD389" i="14"/>
  <c r="BE389" i="14"/>
  <c r="BG389" i="14" s="1"/>
  <c r="BM391" i="14"/>
  <c r="BI391" i="14"/>
  <c r="BJ391" i="14" s="1"/>
  <c r="AA391" i="14"/>
  <c r="AX391" i="14" s="1"/>
  <c r="BC391" i="14"/>
  <c r="BD391" i="14" s="1"/>
  <c r="BB391" i="14"/>
  <c r="AD391" i="14"/>
  <c r="AB391" i="14"/>
  <c r="AW389" i="14"/>
  <c r="AY389" i="14" s="1"/>
  <c r="BQ390" i="14"/>
  <c r="BR390" i="14" s="1"/>
  <c r="BN390" i="14"/>
  <c r="BO390" i="14" s="1"/>
  <c r="AW388" i="14"/>
  <c r="AY388" i="14" s="1"/>
  <c r="CE388" i="14" s="1"/>
  <c r="CJ388" i="14" s="1"/>
  <c r="AZ144" i="3" s="1"/>
  <c r="BU389" i="14"/>
  <c r="BS389" i="14"/>
  <c r="BZ389" i="14"/>
  <c r="AE392" i="14"/>
  <c r="Z392" i="14"/>
  <c r="AE141" i="14"/>
  <c r="Z141" i="14"/>
  <c r="AB140" i="14"/>
  <c r="BC140" i="14"/>
  <c r="BD140" i="14" s="1"/>
  <c r="BB140" i="14"/>
  <c r="BI140" i="14"/>
  <c r="BJ140" i="14" s="1"/>
  <c r="AD140" i="14"/>
  <c r="AA140" i="14"/>
  <c r="BM140" i="14"/>
  <c r="AF139" i="14"/>
  <c r="AG139" i="14" s="1"/>
  <c r="AH139" i="14" s="1"/>
  <c r="AI139" i="14" s="1"/>
  <c r="AJ139" i="14" s="1"/>
  <c r="AQ139" i="14"/>
  <c r="AR139" i="14" s="1"/>
  <c r="AS139" i="14" s="1"/>
  <c r="AT139" i="14" s="1"/>
  <c r="AU139" i="14" s="1"/>
  <c r="AK139" i="14"/>
  <c r="AL139" i="14" s="1"/>
  <c r="AM139" i="14" s="1"/>
  <c r="AN139" i="14" s="1"/>
  <c r="AO139" i="14" s="1"/>
  <c r="AP139" i="14" s="1"/>
  <c r="AZ139" i="14"/>
  <c r="AC139" i="14"/>
  <c r="BA139" i="14"/>
  <c r="BK139" i="14" s="1"/>
  <c r="AW138" i="14"/>
  <c r="AV390" i="14"/>
  <c r="C145" i="26"/>
  <c r="C145" i="25"/>
  <c r="BI147" i="3"/>
  <c r="D144" i="26"/>
  <c r="D144" i="25"/>
  <c r="BH147" i="3"/>
  <c r="BE147" i="3"/>
  <c r="CK147" i="3"/>
  <c r="CF148" i="3"/>
  <c r="BR145" i="3"/>
  <c r="BC147" i="3"/>
  <c r="BN147" i="3" s="1"/>
  <c r="CJ147" i="3"/>
  <c r="AV147" i="3" s="1"/>
  <c r="BJ146" i="3"/>
  <c r="BP146" i="3" s="1"/>
  <c r="BY148" i="3"/>
  <c r="BF146" i="3"/>
  <c r="BQ146" i="3" s="1"/>
  <c r="D148" i="3"/>
  <c r="BO146" i="3"/>
  <c r="AU146" i="3" s="1"/>
  <c r="BM147" i="3"/>
  <c r="C149" i="3"/>
  <c r="BL148" i="3"/>
  <c r="BW148" i="3"/>
  <c r="CK148" i="3" s="1"/>
  <c r="BK148" i="3"/>
  <c r="AY148" i="3"/>
  <c r="AI148" i="3"/>
  <c r="Q145" i="26" s="1"/>
  <c r="AH148" i="3"/>
  <c r="P145" i="26" s="1"/>
  <c r="AG148" i="3"/>
  <c r="O145" i="26" s="1"/>
  <c r="AJ148" i="3"/>
  <c r="R145" i="26" s="1"/>
  <c r="CM136" i="14" l="1"/>
  <c r="CG143" i="3" s="1"/>
  <c r="BD148" i="3"/>
  <c r="BV149" i="3"/>
  <c r="BU149" i="3"/>
  <c r="AY137" i="14"/>
  <c r="CH137" i="14" s="1"/>
  <c r="BQ137" i="14"/>
  <c r="BR137" i="14" s="1"/>
  <c r="AW145" i="3"/>
  <c r="AY138" i="14"/>
  <c r="CF138" i="14" s="1"/>
  <c r="BQ138" i="14"/>
  <c r="BR138" i="14" s="1"/>
  <c r="AW139" i="14"/>
  <c r="CF389" i="14"/>
  <c r="CK389" i="14" s="1"/>
  <c r="BA145" i="3" s="1"/>
  <c r="CE389" i="14"/>
  <c r="CJ389" i="14" s="1"/>
  <c r="AZ145" i="3" s="1"/>
  <c r="CH389" i="14"/>
  <c r="CM389" i="14" s="1"/>
  <c r="BB145" i="3" s="1"/>
  <c r="CD139" i="14"/>
  <c r="BE139" i="14"/>
  <c r="BG139" i="14" s="1"/>
  <c r="BN140" i="14"/>
  <c r="BO140" i="14" s="1"/>
  <c r="BM392" i="14"/>
  <c r="BI392" i="14"/>
  <c r="BJ392" i="14" s="1"/>
  <c r="AA392" i="14"/>
  <c r="AV392" i="14" s="1"/>
  <c r="AB392" i="14"/>
  <c r="BC392" i="14"/>
  <c r="BD392" i="14" s="1"/>
  <c r="BB392" i="14"/>
  <c r="AD392" i="14"/>
  <c r="BT390" i="14"/>
  <c r="BW390" i="14" s="1"/>
  <c r="CA390" i="14"/>
  <c r="CB390" i="14" s="1"/>
  <c r="BV390" i="14"/>
  <c r="BX390" i="14" s="1"/>
  <c r="CH388" i="14"/>
  <c r="CM388" i="14" s="1"/>
  <c r="BB144" i="3" s="1"/>
  <c r="BE390" i="14"/>
  <c r="BG390" i="14" s="1"/>
  <c r="CD390" i="14"/>
  <c r="AK140" i="14"/>
  <c r="AL140" i="14" s="1"/>
  <c r="AM140" i="14" s="1"/>
  <c r="AN140" i="14" s="1"/>
  <c r="AO140" i="14" s="1"/>
  <c r="AP140" i="14" s="1"/>
  <c r="AZ140" i="14"/>
  <c r="AC140" i="14"/>
  <c r="BA140" i="14"/>
  <c r="BK140" i="14" s="1"/>
  <c r="AF140" i="14"/>
  <c r="AQ140" i="14"/>
  <c r="AR140" i="14" s="1"/>
  <c r="AS140" i="14" s="1"/>
  <c r="AT140" i="14" s="1"/>
  <c r="AU140" i="14" s="1"/>
  <c r="AK391" i="14"/>
  <c r="AL391" i="14" s="1"/>
  <c r="AM391" i="14" s="1"/>
  <c r="AN391" i="14" s="1"/>
  <c r="AO391" i="14" s="1"/>
  <c r="AP391" i="14" s="1"/>
  <c r="BA391" i="14"/>
  <c r="BK391" i="14" s="1"/>
  <c r="AZ391" i="14"/>
  <c r="AQ391" i="14"/>
  <c r="AR391" i="14" s="1"/>
  <c r="AS391" i="14" s="1"/>
  <c r="AT391" i="14" s="1"/>
  <c r="AU391" i="14" s="1"/>
  <c r="AC391" i="14"/>
  <c r="AF391" i="14"/>
  <c r="CF388" i="14"/>
  <c r="CK388" i="14" s="1"/>
  <c r="BA144" i="3" s="1"/>
  <c r="AE393" i="14"/>
  <c r="Z393" i="14"/>
  <c r="AE142" i="14"/>
  <c r="Z142" i="14"/>
  <c r="AD141" i="14"/>
  <c r="AB141" i="14"/>
  <c r="AA141" i="14"/>
  <c r="AX141" i="14" s="1"/>
  <c r="BC141" i="14"/>
  <c r="BD141" i="14" s="1"/>
  <c r="BI141" i="14"/>
  <c r="BJ141" i="14" s="1"/>
  <c r="BB141" i="14"/>
  <c r="BM141" i="14"/>
  <c r="AV140" i="14"/>
  <c r="AV391" i="14"/>
  <c r="AX140" i="14"/>
  <c r="BU390" i="14"/>
  <c r="BZ390" i="14"/>
  <c r="BS390" i="14"/>
  <c r="BQ391" i="14"/>
  <c r="BR391" i="14" s="1"/>
  <c r="BN391" i="14"/>
  <c r="BO391" i="14" s="1"/>
  <c r="AW390" i="14"/>
  <c r="AY390" i="14" s="1"/>
  <c r="BJ147" i="3"/>
  <c r="BP147" i="3" s="1"/>
  <c r="C146" i="26"/>
  <c r="C146" i="25"/>
  <c r="BH148" i="3"/>
  <c r="D145" i="25"/>
  <c r="D145" i="26"/>
  <c r="BG148" i="3"/>
  <c r="BM148" i="3" s="1"/>
  <c r="BI148" i="3"/>
  <c r="BE148" i="3"/>
  <c r="CF149" i="3"/>
  <c r="BR146" i="3"/>
  <c r="BC148" i="3"/>
  <c r="BN148" i="3" s="1"/>
  <c r="CI148" i="3"/>
  <c r="CJ148" i="3"/>
  <c r="AV148" i="3" s="1"/>
  <c r="BY149" i="3"/>
  <c r="DD308" i="3"/>
  <c r="BF147" i="3"/>
  <c r="BQ147" i="3" s="1"/>
  <c r="D149" i="3"/>
  <c r="BG149" i="3" s="1"/>
  <c r="C150" i="3"/>
  <c r="BL149" i="3"/>
  <c r="BW149" i="3"/>
  <c r="CK149" i="3" s="1"/>
  <c r="AY149" i="3"/>
  <c r="AH149" i="3"/>
  <c r="P146" i="26" s="1"/>
  <c r="AG149" i="3"/>
  <c r="O146" i="26" s="1"/>
  <c r="AJ149" i="3"/>
  <c r="R146" i="26" s="1"/>
  <c r="AI149" i="3"/>
  <c r="Q146" i="26" s="1"/>
  <c r="BK149" i="3"/>
  <c r="BO147" i="3"/>
  <c r="AU147" i="3" s="1"/>
  <c r="CH138" i="14" l="1"/>
  <c r="CE138" i="14"/>
  <c r="CE137" i="14"/>
  <c r="CF137" i="14"/>
  <c r="BD149" i="3"/>
  <c r="BV150" i="3"/>
  <c r="BU150" i="3"/>
  <c r="AY139" i="14"/>
  <c r="CE139" i="14" s="1"/>
  <c r="BQ139" i="14"/>
  <c r="BR139" i="14" s="1"/>
  <c r="BS138" i="14"/>
  <c r="BT138" i="14"/>
  <c r="BW138" i="14" s="1"/>
  <c r="BU138" i="14"/>
  <c r="BV138" i="14"/>
  <c r="BX138" i="14" s="1"/>
  <c r="CK138" i="14" s="1"/>
  <c r="CD145" i="3" s="1"/>
  <c r="BZ138" i="14"/>
  <c r="CA138" i="14"/>
  <c r="CB138" i="14" s="1"/>
  <c r="BT137" i="14"/>
  <c r="BW137" i="14" s="1"/>
  <c r="BS137" i="14"/>
  <c r="CA137" i="14"/>
  <c r="CB137" i="14" s="1"/>
  <c r="CM137" i="14" s="1"/>
  <c r="CG144" i="3" s="1"/>
  <c r="BZ137" i="14"/>
  <c r="BV137" i="14"/>
  <c r="BX137" i="14" s="1"/>
  <c r="BU137" i="14"/>
  <c r="AW146" i="3"/>
  <c r="AX392" i="14"/>
  <c r="AV141" i="14"/>
  <c r="AE394" i="14"/>
  <c r="Z394" i="14"/>
  <c r="AE143" i="14"/>
  <c r="Z143" i="14"/>
  <c r="CD391" i="14"/>
  <c r="BE391" i="14"/>
  <c r="BG391" i="14" s="1"/>
  <c r="AG140" i="14"/>
  <c r="AH140" i="14" s="1"/>
  <c r="AI140" i="14" s="1"/>
  <c r="AJ140" i="14" s="1"/>
  <c r="AD142" i="14"/>
  <c r="AA142" i="14"/>
  <c r="BB142" i="14"/>
  <c r="BC142" i="14"/>
  <c r="BD142" i="14" s="1"/>
  <c r="AB142" i="14"/>
  <c r="BM142" i="14"/>
  <c r="BI142" i="14"/>
  <c r="BJ142" i="14" s="1"/>
  <c r="AG391" i="14"/>
  <c r="AH391" i="14" s="1"/>
  <c r="AI391" i="14" s="1"/>
  <c r="AJ391" i="14" s="1"/>
  <c r="CH390" i="14"/>
  <c r="CM390" i="14" s="1"/>
  <c r="BB146" i="3" s="1"/>
  <c r="CE390" i="14"/>
  <c r="CJ390" i="14" s="1"/>
  <c r="AZ146" i="3" s="1"/>
  <c r="CF390" i="14"/>
  <c r="CK390" i="14" s="1"/>
  <c r="BA146" i="3" s="1"/>
  <c r="BM393" i="14"/>
  <c r="BI393" i="14"/>
  <c r="BJ393" i="14" s="1"/>
  <c r="AA393" i="14"/>
  <c r="AX393" i="14" s="1"/>
  <c r="BC393" i="14"/>
  <c r="BD393" i="14" s="1"/>
  <c r="AD393" i="14"/>
  <c r="AB393" i="14"/>
  <c r="BB393" i="14"/>
  <c r="CD140" i="14"/>
  <c r="BE140" i="14"/>
  <c r="BG140" i="14" s="1"/>
  <c r="AK392" i="14"/>
  <c r="AL392" i="14" s="1"/>
  <c r="AM392" i="14" s="1"/>
  <c r="AN392" i="14" s="1"/>
  <c r="AO392" i="14" s="1"/>
  <c r="AP392" i="14" s="1"/>
  <c r="AC392" i="14"/>
  <c r="BA392" i="14"/>
  <c r="BK392" i="14" s="1"/>
  <c r="AF392" i="14"/>
  <c r="AQ392" i="14"/>
  <c r="AR392" i="14" s="1"/>
  <c r="AS392" i="14" s="1"/>
  <c r="AT392" i="14" s="1"/>
  <c r="AU392" i="14" s="1"/>
  <c r="AZ392" i="14"/>
  <c r="BS391" i="14"/>
  <c r="BU391" i="14"/>
  <c r="BZ391" i="14"/>
  <c r="BQ392" i="14"/>
  <c r="BR392" i="14" s="1"/>
  <c r="BN392" i="14"/>
  <c r="BO392" i="14" s="1"/>
  <c r="BT391" i="14"/>
  <c r="BW391" i="14" s="1"/>
  <c r="BV391" i="14"/>
  <c r="BX391" i="14" s="1"/>
  <c r="CA391" i="14"/>
  <c r="CB391" i="14" s="1"/>
  <c r="BN141" i="14"/>
  <c r="BO141" i="14" s="1"/>
  <c r="AQ141" i="14"/>
  <c r="AR141" i="14" s="1"/>
  <c r="AS141" i="14" s="1"/>
  <c r="AT141" i="14" s="1"/>
  <c r="AU141" i="14" s="1"/>
  <c r="AF141" i="14"/>
  <c r="AK141" i="14"/>
  <c r="AL141" i="14" s="1"/>
  <c r="AM141" i="14" s="1"/>
  <c r="AN141" i="14" s="1"/>
  <c r="AO141" i="14" s="1"/>
  <c r="AP141" i="14" s="1"/>
  <c r="BA141" i="14"/>
  <c r="BK141" i="14" s="1"/>
  <c r="AC141" i="14"/>
  <c r="AZ141" i="14"/>
  <c r="BR147" i="3"/>
  <c r="BH149" i="3"/>
  <c r="C147" i="26"/>
  <c r="C147" i="25"/>
  <c r="D146" i="25"/>
  <c r="D146" i="26"/>
  <c r="BI149" i="3"/>
  <c r="BE149" i="3"/>
  <c r="CF150" i="3"/>
  <c r="BC149" i="3"/>
  <c r="BN149" i="3" s="1"/>
  <c r="CJ149" i="3"/>
  <c r="AV149" i="3" s="1"/>
  <c r="CI149" i="3"/>
  <c r="BY150" i="3"/>
  <c r="BM149" i="3"/>
  <c r="BJ148" i="3"/>
  <c r="BP148" i="3" s="1"/>
  <c r="DD309" i="3"/>
  <c r="BF148" i="3"/>
  <c r="BQ148" i="3" s="1"/>
  <c r="D150" i="3"/>
  <c r="DD310" i="3" s="1"/>
  <c r="C151" i="3"/>
  <c r="BW150" i="3"/>
  <c r="CI150" i="3" s="1"/>
  <c r="BL150" i="3"/>
  <c r="AG150" i="3"/>
  <c r="O147" i="26" s="1"/>
  <c r="BK150" i="3"/>
  <c r="AJ150" i="3"/>
  <c r="R147" i="26" s="1"/>
  <c r="AI150" i="3"/>
  <c r="Q147" i="26" s="1"/>
  <c r="AY150" i="3"/>
  <c r="BD150" i="3" s="1"/>
  <c r="AH150" i="3"/>
  <c r="P147" i="26" s="1"/>
  <c r="BO148" i="3"/>
  <c r="AU148" i="3" s="1"/>
  <c r="CJ138" i="14" l="1"/>
  <c r="CC145" i="3" s="1"/>
  <c r="CH139" i="14"/>
  <c r="CJ137" i="14"/>
  <c r="CC144" i="3" s="1"/>
  <c r="CM138" i="14"/>
  <c r="CG145" i="3" s="1"/>
  <c r="CF139" i="14"/>
  <c r="CK137" i="14"/>
  <c r="CD144" i="3" s="1"/>
  <c r="AV393" i="14"/>
  <c r="BV151" i="3"/>
  <c r="BU151" i="3"/>
  <c r="BT139" i="14"/>
  <c r="BW139" i="14" s="1"/>
  <c r="CJ139" i="14" s="1"/>
  <c r="CC146" i="3" s="1"/>
  <c r="BS139" i="14"/>
  <c r="BZ139" i="14"/>
  <c r="BV139" i="14"/>
  <c r="BX139" i="14" s="1"/>
  <c r="BU139" i="14"/>
  <c r="CA139" i="14"/>
  <c r="CB139" i="14" s="1"/>
  <c r="AW147" i="3"/>
  <c r="AW391" i="14"/>
  <c r="AY391" i="14" s="1"/>
  <c r="CF391" i="14" s="1"/>
  <c r="CK391" i="14" s="1"/>
  <c r="BA147" i="3" s="1"/>
  <c r="BN142" i="14"/>
  <c r="BO142" i="14" s="1"/>
  <c r="BU392" i="14"/>
  <c r="BS392" i="14"/>
  <c r="BZ392" i="14"/>
  <c r="BN393" i="14"/>
  <c r="BO393" i="14" s="1"/>
  <c r="BQ393" i="14"/>
  <c r="BR393" i="14" s="1"/>
  <c r="AV142" i="14"/>
  <c r="AC142" i="14"/>
  <c r="AZ142" i="14"/>
  <c r="BA142" i="14"/>
  <c r="BK142" i="14" s="1"/>
  <c r="AF142" i="14"/>
  <c r="AG142" i="14" s="1"/>
  <c r="AH142" i="14" s="1"/>
  <c r="AI142" i="14" s="1"/>
  <c r="AJ142" i="14" s="1"/>
  <c r="AQ142" i="14"/>
  <c r="AR142" i="14" s="1"/>
  <c r="AS142" i="14" s="1"/>
  <c r="AT142" i="14" s="1"/>
  <c r="AU142" i="14" s="1"/>
  <c r="AK142" i="14"/>
  <c r="AL142" i="14" s="1"/>
  <c r="AM142" i="14" s="1"/>
  <c r="AN142" i="14" s="1"/>
  <c r="AO142" i="14" s="1"/>
  <c r="AP142" i="14" s="1"/>
  <c r="BM394" i="14"/>
  <c r="BI394" i="14"/>
  <c r="BJ394" i="14" s="1"/>
  <c r="AB394" i="14"/>
  <c r="AA394" i="14"/>
  <c r="AX394" i="14" s="1"/>
  <c r="BC394" i="14"/>
  <c r="BD394" i="14" s="1"/>
  <c r="BB394" i="14"/>
  <c r="AD394" i="14"/>
  <c r="AE395" i="14"/>
  <c r="Z395" i="14"/>
  <c r="Z144" i="14"/>
  <c r="AE144" i="14"/>
  <c r="BE141" i="14"/>
  <c r="BG141" i="14" s="1"/>
  <c r="CD141" i="14"/>
  <c r="AG141" i="14"/>
  <c r="AH141" i="14" s="1"/>
  <c r="AI141" i="14" s="1"/>
  <c r="AJ141" i="14" s="1"/>
  <c r="BV392" i="14"/>
  <c r="BX392" i="14" s="1"/>
  <c r="BT392" i="14"/>
  <c r="BW392" i="14" s="1"/>
  <c r="CA392" i="14"/>
  <c r="CB392" i="14" s="1"/>
  <c r="CD392" i="14"/>
  <c r="BE392" i="14"/>
  <c r="BG392" i="14" s="1"/>
  <c r="AK393" i="14"/>
  <c r="AL393" i="14" s="1"/>
  <c r="AM393" i="14" s="1"/>
  <c r="AN393" i="14" s="1"/>
  <c r="AO393" i="14" s="1"/>
  <c r="AP393" i="14" s="1"/>
  <c r="AC393" i="14"/>
  <c r="BA393" i="14"/>
  <c r="BK393" i="14" s="1"/>
  <c r="AQ393" i="14"/>
  <c r="AR393" i="14" s="1"/>
  <c r="AS393" i="14" s="1"/>
  <c r="AT393" i="14" s="1"/>
  <c r="AU393" i="14" s="1"/>
  <c r="AF393" i="14"/>
  <c r="AZ393" i="14"/>
  <c r="AX142" i="14"/>
  <c r="AW140" i="14"/>
  <c r="AB143" i="14"/>
  <c r="BB143" i="14"/>
  <c r="BM143" i="14"/>
  <c r="AA143" i="14"/>
  <c r="BC143" i="14"/>
  <c r="BD143" i="14" s="1"/>
  <c r="BI143" i="14"/>
  <c r="BJ143" i="14" s="1"/>
  <c r="AD143" i="14"/>
  <c r="AG392" i="14"/>
  <c r="AH392" i="14" s="1"/>
  <c r="AI392" i="14" s="1"/>
  <c r="AJ392" i="14" s="1"/>
  <c r="C148" i="26"/>
  <c r="C148" i="25"/>
  <c r="BH150" i="3"/>
  <c r="D147" i="26"/>
  <c r="D147" i="25"/>
  <c r="BI150" i="3"/>
  <c r="BG150" i="3"/>
  <c r="BM150" i="3" s="1"/>
  <c r="BE150" i="3"/>
  <c r="CF151" i="3"/>
  <c r="CK150" i="3"/>
  <c r="BC150" i="3"/>
  <c r="BN150" i="3" s="1"/>
  <c r="CJ150" i="3"/>
  <c r="AV150" i="3" s="1"/>
  <c r="BY151" i="3"/>
  <c r="BR148" i="3"/>
  <c r="BJ149" i="3"/>
  <c r="BP149" i="3" s="1"/>
  <c r="BF149" i="3"/>
  <c r="BQ149" i="3" s="1"/>
  <c r="D151" i="3"/>
  <c r="BG151" i="3" s="1"/>
  <c r="C152" i="3"/>
  <c r="BW151" i="3"/>
  <c r="CK151" i="3" s="1"/>
  <c r="BL151" i="3"/>
  <c r="BK151" i="3"/>
  <c r="AY151" i="3"/>
  <c r="AJ151" i="3"/>
  <c r="R148" i="26" s="1"/>
  <c r="AI151" i="3"/>
  <c r="Q148" i="26" s="1"/>
  <c r="AH151" i="3"/>
  <c r="P148" i="26" s="1"/>
  <c r="AG151" i="3"/>
  <c r="O148" i="26" s="1"/>
  <c r="BO149" i="3"/>
  <c r="AU149" i="3" s="1"/>
  <c r="CM139" i="14" l="1"/>
  <c r="CG146" i="3" s="1"/>
  <c r="CK139" i="14"/>
  <c r="CD146" i="3" s="1"/>
  <c r="BD151" i="3"/>
  <c r="BV152" i="3"/>
  <c r="BU152" i="3"/>
  <c r="AY140" i="14"/>
  <c r="CH140" i="14" s="1"/>
  <c r="BQ140" i="14"/>
  <c r="BR140" i="14" s="1"/>
  <c r="CE391" i="14"/>
  <c r="CJ391" i="14" s="1"/>
  <c r="AZ147" i="3" s="1"/>
  <c r="CH391" i="14"/>
  <c r="CM391" i="14" s="1"/>
  <c r="BB147" i="3" s="1"/>
  <c r="AW392" i="14"/>
  <c r="AY392" i="14" s="1"/>
  <c r="CF392" i="14" s="1"/>
  <c r="CK392" i="14" s="1"/>
  <c r="BA148" i="3" s="1"/>
  <c r="BC144" i="14"/>
  <c r="BD144" i="14" s="1"/>
  <c r="BI144" i="14"/>
  <c r="BJ144" i="14" s="1"/>
  <c r="BB144" i="14"/>
  <c r="AB144" i="14"/>
  <c r="BM144" i="14"/>
  <c r="AD144" i="14"/>
  <c r="AA144" i="14"/>
  <c r="AX144" i="14" s="1"/>
  <c r="AW141" i="14"/>
  <c r="AV394" i="14"/>
  <c r="BA143" i="14"/>
  <c r="BK143" i="14" s="1"/>
  <c r="AZ143" i="14"/>
  <c r="AK143" i="14"/>
  <c r="AL143" i="14" s="1"/>
  <c r="AM143" i="14" s="1"/>
  <c r="AN143" i="14" s="1"/>
  <c r="AO143" i="14" s="1"/>
  <c r="AP143" i="14" s="1"/>
  <c r="AC143" i="14"/>
  <c r="AF143" i="14"/>
  <c r="AQ143" i="14"/>
  <c r="AR143" i="14" s="1"/>
  <c r="AS143" i="14" s="1"/>
  <c r="AT143" i="14" s="1"/>
  <c r="AU143" i="14" s="1"/>
  <c r="BS393" i="14"/>
  <c r="BU393" i="14"/>
  <c r="BZ393" i="14"/>
  <c r="AV143" i="14"/>
  <c r="BN143" i="14"/>
  <c r="BO143" i="14" s="1"/>
  <c r="AW142" i="14"/>
  <c r="AE396" i="14"/>
  <c r="Z145" i="14"/>
  <c r="Z396" i="14"/>
  <c r="AE145" i="14"/>
  <c r="CD393" i="14"/>
  <c r="BE393" i="14"/>
  <c r="BG393" i="14" s="1"/>
  <c r="AQ394" i="14"/>
  <c r="AR394" i="14" s="1"/>
  <c r="AS394" i="14" s="1"/>
  <c r="AT394" i="14" s="1"/>
  <c r="AU394" i="14" s="1"/>
  <c r="AC394" i="14"/>
  <c r="AZ394" i="14"/>
  <c r="BA394" i="14"/>
  <c r="BK394" i="14" s="1"/>
  <c r="AK394" i="14"/>
  <c r="AL394" i="14" s="1"/>
  <c r="AM394" i="14" s="1"/>
  <c r="AN394" i="14" s="1"/>
  <c r="AO394" i="14" s="1"/>
  <c r="AP394" i="14" s="1"/>
  <c r="AF394" i="14"/>
  <c r="BE142" i="14"/>
  <c r="BG142" i="14" s="1"/>
  <c r="CD142" i="14"/>
  <c r="BT393" i="14"/>
  <c r="BW393" i="14" s="1"/>
  <c r="BV393" i="14"/>
  <c r="BX393" i="14" s="1"/>
  <c r="CA393" i="14"/>
  <c r="CB393" i="14" s="1"/>
  <c r="AX143" i="14"/>
  <c r="BM395" i="14"/>
  <c r="AA395" i="14"/>
  <c r="AV395" i="14" s="1"/>
  <c r="BI395" i="14"/>
  <c r="BJ395" i="14" s="1"/>
  <c r="BC395" i="14"/>
  <c r="BD395" i="14" s="1"/>
  <c r="AD395" i="14"/>
  <c r="BB395" i="14"/>
  <c r="AB395" i="14"/>
  <c r="AG393" i="14"/>
  <c r="AH393" i="14" s="1"/>
  <c r="AI393" i="14" s="1"/>
  <c r="AJ393" i="14" s="1"/>
  <c r="BQ394" i="14"/>
  <c r="BR394" i="14" s="1"/>
  <c r="BN394" i="14"/>
  <c r="BO394" i="14" s="1"/>
  <c r="BH151" i="3"/>
  <c r="C149" i="26"/>
  <c r="C149" i="25"/>
  <c r="BI151" i="3"/>
  <c r="D148" i="26"/>
  <c r="D148" i="25"/>
  <c r="BE151" i="3"/>
  <c r="CF152" i="3"/>
  <c r="AW148" i="3"/>
  <c r="BC151" i="3"/>
  <c r="BN151" i="3" s="1"/>
  <c r="CJ151" i="3"/>
  <c r="AV151" i="3" s="1"/>
  <c r="BY152" i="3"/>
  <c r="CI151" i="3"/>
  <c r="BR149" i="3"/>
  <c r="DD311" i="3"/>
  <c r="BJ150" i="3"/>
  <c r="BP150" i="3" s="1"/>
  <c r="BM151" i="3"/>
  <c r="D152" i="3"/>
  <c r="BF150" i="3"/>
  <c r="BQ150" i="3" s="1"/>
  <c r="C153" i="3"/>
  <c r="BW152" i="3"/>
  <c r="CK152" i="3" s="1"/>
  <c r="BK152" i="3"/>
  <c r="AY152" i="3"/>
  <c r="BD152" i="3" s="1"/>
  <c r="AI152" i="3"/>
  <c r="Q149" i="26" s="1"/>
  <c r="AH152" i="3"/>
  <c r="P149" i="26" s="1"/>
  <c r="AG152" i="3"/>
  <c r="O149" i="26" s="1"/>
  <c r="BL152" i="3"/>
  <c r="AJ152" i="3"/>
  <c r="R149" i="26" s="1"/>
  <c r="BO150" i="3"/>
  <c r="AU150" i="3" s="1"/>
  <c r="CE140" i="14" l="1"/>
  <c r="CE392" i="14"/>
  <c r="CJ392" i="14" s="1"/>
  <c r="AZ148" i="3" s="1"/>
  <c r="CF140" i="14"/>
  <c r="CH392" i="14"/>
  <c r="CM392" i="14" s="1"/>
  <c r="BB148" i="3" s="1"/>
  <c r="BV153" i="3"/>
  <c r="BU153" i="3"/>
  <c r="BZ140" i="14"/>
  <c r="BV140" i="14"/>
  <c r="BX140" i="14" s="1"/>
  <c r="BT140" i="14"/>
  <c r="BW140" i="14" s="1"/>
  <c r="BS140" i="14"/>
  <c r="CA140" i="14"/>
  <c r="CB140" i="14" s="1"/>
  <c r="CM140" i="14" s="1"/>
  <c r="CG147" i="3" s="1"/>
  <c r="BU140" i="14"/>
  <c r="AY141" i="14"/>
  <c r="CH141" i="14" s="1"/>
  <c r="BQ141" i="14"/>
  <c r="BR141" i="14" s="1"/>
  <c r="AY142" i="14"/>
  <c r="CF142" i="14" s="1"/>
  <c r="BQ142" i="14"/>
  <c r="BR142" i="14" s="1"/>
  <c r="CF141" i="14"/>
  <c r="AX395" i="14"/>
  <c r="Z397" i="14"/>
  <c r="AE146" i="14"/>
  <c r="Z146" i="14"/>
  <c r="AE397" i="14"/>
  <c r="BQ395" i="14"/>
  <c r="BR395" i="14" s="1"/>
  <c r="BN395" i="14"/>
  <c r="BO395" i="14" s="1"/>
  <c r="CD143" i="14"/>
  <c r="BE143" i="14"/>
  <c r="BG143" i="14" s="1"/>
  <c r="CE142" i="14"/>
  <c r="CD394" i="14"/>
  <c r="BE394" i="14"/>
  <c r="BG394" i="14" s="1"/>
  <c r="AV144" i="14"/>
  <c r="AW393" i="14"/>
  <c r="AY393" i="14" s="1"/>
  <c r="CE393" i="14" s="1"/>
  <c r="CJ393" i="14" s="1"/>
  <c r="AZ149" i="3" s="1"/>
  <c r="BN144" i="14"/>
  <c r="BO144" i="14" s="1"/>
  <c r="BT394" i="14"/>
  <c r="BW394" i="14" s="1"/>
  <c r="BV394" i="14"/>
  <c r="BX394" i="14" s="1"/>
  <c r="CA394" i="14"/>
  <c r="CB394" i="14" s="1"/>
  <c r="AG394" i="14"/>
  <c r="AH394" i="14" s="1"/>
  <c r="AI394" i="14" s="1"/>
  <c r="AJ394" i="14" s="1"/>
  <c r="BM396" i="14"/>
  <c r="BC396" i="14"/>
  <c r="BD396" i="14" s="1"/>
  <c r="AA396" i="14"/>
  <c r="AV396" i="14" s="1"/>
  <c r="BI396" i="14"/>
  <c r="BJ396" i="14" s="1"/>
  <c r="AB396" i="14"/>
  <c r="BB396" i="14"/>
  <c r="AD396" i="14"/>
  <c r="AK144" i="14"/>
  <c r="AL144" i="14" s="1"/>
  <c r="AM144" i="14" s="1"/>
  <c r="AN144" i="14" s="1"/>
  <c r="AO144" i="14" s="1"/>
  <c r="AP144" i="14" s="1"/>
  <c r="BA144" i="14"/>
  <c r="BK144" i="14" s="1"/>
  <c r="AC144" i="14"/>
  <c r="AZ144" i="14"/>
  <c r="AQ144" i="14"/>
  <c r="AR144" i="14" s="1"/>
  <c r="AS144" i="14" s="1"/>
  <c r="AT144" i="14" s="1"/>
  <c r="AU144" i="14" s="1"/>
  <c r="AF144" i="14"/>
  <c r="AG144" i="14" s="1"/>
  <c r="AH144" i="14" s="1"/>
  <c r="AI144" i="14" s="1"/>
  <c r="AJ144" i="14" s="1"/>
  <c r="BB145" i="14"/>
  <c r="BM145" i="14"/>
  <c r="AB145" i="14"/>
  <c r="AD145" i="14"/>
  <c r="AA145" i="14"/>
  <c r="AV145" i="14" s="1"/>
  <c r="BC145" i="14"/>
  <c r="BD145" i="14" s="1"/>
  <c r="BI145" i="14"/>
  <c r="BJ145" i="14" s="1"/>
  <c r="BU394" i="14"/>
  <c r="BZ394" i="14"/>
  <c r="BS394" i="14"/>
  <c r="AF395" i="14"/>
  <c r="AC395" i="14"/>
  <c r="AK395" i="14"/>
  <c r="AL395" i="14" s="1"/>
  <c r="AM395" i="14" s="1"/>
  <c r="AN395" i="14" s="1"/>
  <c r="AO395" i="14" s="1"/>
  <c r="AP395" i="14" s="1"/>
  <c r="AQ395" i="14"/>
  <c r="AR395" i="14" s="1"/>
  <c r="AS395" i="14" s="1"/>
  <c r="AT395" i="14" s="1"/>
  <c r="AU395" i="14" s="1"/>
  <c r="BA395" i="14"/>
  <c r="BK395" i="14" s="1"/>
  <c r="AZ395" i="14"/>
  <c r="AG143" i="14"/>
  <c r="AH143" i="14" s="1"/>
  <c r="AI143" i="14" s="1"/>
  <c r="AJ143" i="14" s="1"/>
  <c r="BI152" i="3"/>
  <c r="D149" i="26"/>
  <c r="D149" i="25"/>
  <c r="C150" i="26"/>
  <c r="C150" i="25"/>
  <c r="BH152" i="3"/>
  <c r="BG152" i="3"/>
  <c r="BM152" i="3" s="1"/>
  <c r="BE152" i="3"/>
  <c r="AW149" i="3"/>
  <c r="CF153" i="3"/>
  <c r="BJ151" i="3"/>
  <c r="BP151" i="3" s="1"/>
  <c r="BC152" i="3"/>
  <c r="BN152" i="3" s="1"/>
  <c r="CJ152" i="3"/>
  <c r="AV152" i="3" s="1"/>
  <c r="CI152" i="3"/>
  <c r="BY153" i="3"/>
  <c r="BR150" i="3"/>
  <c r="DD312" i="3"/>
  <c r="BF151" i="3"/>
  <c r="BQ151" i="3" s="1"/>
  <c r="D153" i="3"/>
  <c r="BH153" i="3" s="1"/>
  <c r="BO151" i="3"/>
  <c r="AU151" i="3" s="1"/>
  <c r="C154" i="3"/>
  <c r="BW153" i="3"/>
  <c r="CI153" i="3" s="1"/>
  <c r="AY153" i="3"/>
  <c r="BK153" i="3"/>
  <c r="AH153" i="3"/>
  <c r="P150" i="26" s="1"/>
  <c r="AG153" i="3"/>
  <c r="O150" i="26" s="1"/>
  <c r="AJ153" i="3"/>
  <c r="R150" i="26" s="1"/>
  <c r="BL153" i="3"/>
  <c r="AI153" i="3"/>
  <c r="Q150" i="26" s="1"/>
  <c r="CJ140" i="14" l="1"/>
  <c r="CC147" i="3" s="1"/>
  <c r="CK140" i="14"/>
  <c r="CD147" i="3" s="1"/>
  <c r="BD153" i="3"/>
  <c r="DD313" i="3"/>
  <c r="BV154" i="3"/>
  <c r="BU154" i="3"/>
  <c r="CH142" i="14"/>
  <c r="CE141" i="14"/>
  <c r="AX145" i="14"/>
  <c r="BZ141" i="14"/>
  <c r="BU141" i="14"/>
  <c r="BV141" i="14"/>
  <c r="BX141" i="14" s="1"/>
  <c r="CK141" i="14" s="1"/>
  <c r="CD148" i="3" s="1"/>
  <c r="BS141" i="14"/>
  <c r="BT141" i="14"/>
  <c r="BW141" i="14" s="1"/>
  <c r="CA141" i="14"/>
  <c r="CB141" i="14" s="1"/>
  <c r="CM141" i="14" s="1"/>
  <c r="CG148" i="3" s="1"/>
  <c r="BS142" i="14"/>
  <c r="BV142" i="14"/>
  <c r="BX142" i="14" s="1"/>
  <c r="CK142" i="14" s="1"/>
  <c r="CD149" i="3" s="1"/>
  <c r="CA142" i="14"/>
  <c r="CB142" i="14" s="1"/>
  <c r="BU142" i="14"/>
  <c r="BT142" i="14"/>
  <c r="BW142" i="14" s="1"/>
  <c r="CJ142" i="14" s="1"/>
  <c r="CC149" i="3" s="1"/>
  <c r="BZ142" i="14"/>
  <c r="AX396" i="14"/>
  <c r="AW143" i="14"/>
  <c r="AD146" i="14"/>
  <c r="BC146" i="14"/>
  <c r="BD146" i="14" s="1"/>
  <c r="BB146" i="14"/>
  <c r="BI146" i="14"/>
  <c r="BJ146" i="14" s="1"/>
  <c r="BM146" i="14"/>
  <c r="AB146" i="14"/>
  <c r="AA146" i="14"/>
  <c r="AW144" i="14"/>
  <c r="BQ396" i="14"/>
  <c r="BR396" i="14" s="1"/>
  <c r="BN396" i="14"/>
  <c r="BO396" i="14" s="1"/>
  <c r="BN145" i="14"/>
  <c r="BO145" i="14" s="1"/>
  <c r="CF393" i="14"/>
  <c r="CK393" i="14" s="1"/>
  <c r="BA149" i="3" s="1"/>
  <c r="BT395" i="14"/>
  <c r="BW395" i="14" s="1"/>
  <c r="CA395" i="14"/>
  <c r="CB395" i="14" s="1"/>
  <c r="BV395" i="14"/>
  <c r="BX395" i="14" s="1"/>
  <c r="BM397" i="14"/>
  <c r="AA397" i="14"/>
  <c r="AX397" i="14" s="1"/>
  <c r="BC397" i="14"/>
  <c r="BD397" i="14" s="1"/>
  <c r="BI397" i="14"/>
  <c r="BJ397" i="14" s="1"/>
  <c r="BB397" i="14"/>
  <c r="AB397" i="14"/>
  <c r="AD397" i="14"/>
  <c r="CD395" i="14"/>
  <c r="BE395" i="14"/>
  <c r="BG395" i="14" s="1"/>
  <c r="CD144" i="14"/>
  <c r="BE144" i="14"/>
  <c r="BG144" i="14" s="1"/>
  <c r="AG395" i="14"/>
  <c r="AH395" i="14" s="1"/>
  <c r="AI395" i="14" s="1"/>
  <c r="AJ395" i="14" s="1"/>
  <c r="BS395" i="14"/>
  <c r="BZ395" i="14"/>
  <c r="BU395" i="14"/>
  <c r="AE398" i="14"/>
  <c r="Z398" i="14"/>
  <c r="AE147" i="14"/>
  <c r="Z147" i="14"/>
  <c r="AQ145" i="14"/>
  <c r="AR145" i="14" s="1"/>
  <c r="AS145" i="14" s="1"/>
  <c r="AT145" i="14" s="1"/>
  <c r="AU145" i="14" s="1"/>
  <c r="AF145" i="14"/>
  <c r="AZ145" i="14"/>
  <c r="AC145" i="14"/>
  <c r="BA145" i="14"/>
  <c r="BK145" i="14" s="1"/>
  <c r="AK145" i="14"/>
  <c r="AL145" i="14" s="1"/>
  <c r="AM145" i="14" s="1"/>
  <c r="AN145" i="14" s="1"/>
  <c r="AO145" i="14" s="1"/>
  <c r="AP145" i="14" s="1"/>
  <c r="AC396" i="14"/>
  <c r="BA396" i="14"/>
  <c r="BK396" i="14" s="1"/>
  <c r="AF396" i="14"/>
  <c r="AK396" i="14"/>
  <c r="AL396" i="14" s="1"/>
  <c r="AM396" i="14" s="1"/>
  <c r="AN396" i="14" s="1"/>
  <c r="AO396" i="14" s="1"/>
  <c r="AP396" i="14" s="1"/>
  <c r="AZ396" i="14"/>
  <c r="AQ396" i="14"/>
  <c r="AR396" i="14" s="1"/>
  <c r="AS396" i="14" s="1"/>
  <c r="AT396" i="14" s="1"/>
  <c r="AU396" i="14" s="1"/>
  <c r="AW394" i="14"/>
  <c r="AY394" i="14" s="1"/>
  <c r="CF394" i="14" s="1"/>
  <c r="CK394" i="14" s="1"/>
  <c r="BA150" i="3" s="1"/>
  <c r="CH393" i="14"/>
  <c r="CM393" i="14" s="1"/>
  <c r="BB149" i="3" s="1"/>
  <c r="BG153" i="3"/>
  <c r="C151" i="26"/>
  <c r="C151" i="25"/>
  <c r="BI153" i="3"/>
  <c r="D150" i="25"/>
  <c r="D150" i="26"/>
  <c r="BE153" i="3"/>
  <c r="BR151" i="3"/>
  <c r="CF154" i="3"/>
  <c r="AW150" i="3"/>
  <c r="CK153" i="3"/>
  <c r="BC153" i="3"/>
  <c r="BN153" i="3" s="1"/>
  <c r="CJ153" i="3"/>
  <c r="AV153" i="3" s="1"/>
  <c r="BY154" i="3"/>
  <c r="BF152" i="3"/>
  <c r="BQ152" i="3" s="1"/>
  <c r="BJ152" i="3"/>
  <c r="BP152" i="3" s="1"/>
  <c r="D154" i="3"/>
  <c r="C155" i="3"/>
  <c r="BK154" i="3"/>
  <c r="AY154" i="3"/>
  <c r="BL154" i="3"/>
  <c r="AG154" i="3"/>
  <c r="O151" i="26" s="1"/>
  <c r="AJ154" i="3"/>
  <c r="R151" i="26" s="1"/>
  <c r="BW154" i="3"/>
  <c r="CI154" i="3" s="1"/>
  <c r="AI154" i="3"/>
  <c r="Q151" i="26" s="1"/>
  <c r="AH154" i="3"/>
  <c r="P151" i="26" s="1"/>
  <c r="BO152" i="3"/>
  <c r="AU152" i="3" s="1"/>
  <c r="BD154" i="3" l="1"/>
  <c r="BV155" i="3"/>
  <c r="BU155" i="3"/>
  <c r="CM142" i="14"/>
  <c r="CG149" i="3" s="1"/>
  <c r="CJ141" i="14"/>
  <c r="CC148" i="3" s="1"/>
  <c r="CH394" i="14"/>
  <c r="CM394" i="14" s="1"/>
  <c r="BB150" i="3" s="1"/>
  <c r="AW151" i="3"/>
  <c r="AY144" i="14"/>
  <c r="CE144" i="14" s="1"/>
  <c r="BQ144" i="14"/>
  <c r="BR144" i="14" s="1"/>
  <c r="AY143" i="14"/>
  <c r="CF143" i="14" s="1"/>
  <c r="BQ143" i="14"/>
  <c r="BR143" i="14" s="1"/>
  <c r="AV397" i="14"/>
  <c r="CE394" i="14"/>
  <c r="CJ394" i="14" s="1"/>
  <c r="AZ150" i="3" s="1"/>
  <c r="BE396" i="14"/>
  <c r="BG396" i="14" s="1"/>
  <c r="CD396" i="14"/>
  <c r="AG396" i="14"/>
  <c r="AH396" i="14" s="1"/>
  <c r="AI396" i="14" s="1"/>
  <c r="AJ396" i="14" s="1"/>
  <c r="BM398" i="14"/>
  <c r="AA398" i="14"/>
  <c r="AX398" i="14" s="1"/>
  <c r="BC398" i="14"/>
  <c r="BD398" i="14" s="1"/>
  <c r="AB398" i="14"/>
  <c r="BI398" i="14"/>
  <c r="BJ398" i="14" s="1"/>
  <c r="BB398" i="14"/>
  <c r="AD398" i="14"/>
  <c r="BN146" i="14"/>
  <c r="BO146" i="14" s="1"/>
  <c r="CD145" i="14"/>
  <c r="BE145" i="14"/>
  <c r="BG145" i="14" s="1"/>
  <c r="BN397" i="14"/>
  <c r="BO397" i="14" s="1"/>
  <c r="BQ397" i="14"/>
  <c r="BR397" i="14" s="1"/>
  <c r="BS396" i="14"/>
  <c r="BU396" i="14"/>
  <c r="BZ396" i="14"/>
  <c r="AK146" i="14"/>
  <c r="AL146" i="14" s="1"/>
  <c r="AM146" i="14" s="1"/>
  <c r="AN146" i="14" s="1"/>
  <c r="AO146" i="14" s="1"/>
  <c r="AP146" i="14" s="1"/>
  <c r="AZ146" i="14"/>
  <c r="BA146" i="14"/>
  <c r="BK146" i="14" s="1"/>
  <c r="AC146" i="14"/>
  <c r="AF146" i="14"/>
  <c r="AQ146" i="14"/>
  <c r="AR146" i="14" s="1"/>
  <c r="AS146" i="14" s="1"/>
  <c r="AT146" i="14" s="1"/>
  <c r="AU146" i="14" s="1"/>
  <c r="BV396" i="14"/>
  <c r="BX396" i="14" s="1"/>
  <c r="CA396" i="14"/>
  <c r="CB396" i="14" s="1"/>
  <c r="BT396" i="14"/>
  <c r="BW396" i="14" s="1"/>
  <c r="Z399" i="14"/>
  <c r="AE399" i="14"/>
  <c r="Z148" i="14"/>
  <c r="AE148" i="14"/>
  <c r="AG145" i="14"/>
  <c r="AH145" i="14" s="1"/>
  <c r="AI145" i="14" s="1"/>
  <c r="AJ145" i="14" s="1"/>
  <c r="AB147" i="14"/>
  <c r="BM147" i="14"/>
  <c r="BB147" i="14"/>
  <c r="AA147" i="14"/>
  <c r="AX147" i="14" s="1"/>
  <c r="BC147" i="14"/>
  <c r="BD147" i="14" s="1"/>
  <c r="AD147" i="14"/>
  <c r="BI147" i="14"/>
  <c r="BJ147" i="14" s="1"/>
  <c r="BA397" i="14"/>
  <c r="BK397" i="14" s="1"/>
  <c r="AC397" i="14"/>
  <c r="AK397" i="14"/>
  <c r="AL397" i="14" s="1"/>
  <c r="AM397" i="14" s="1"/>
  <c r="AN397" i="14" s="1"/>
  <c r="AO397" i="14" s="1"/>
  <c r="AP397" i="14" s="1"/>
  <c r="AF397" i="14"/>
  <c r="AG397" i="14" s="1"/>
  <c r="AH397" i="14" s="1"/>
  <c r="AI397" i="14" s="1"/>
  <c r="AJ397" i="14" s="1"/>
  <c r="AZ397" i="14"/>
  <c r="AQ397" i="14"/>
  <c r="AR397" i="14" s="1"/>
  <c r="AS397" i="14" s="1"/>
  <c r="AT397" i="14" s="1"/>
  <c r="AU397" i="14" s="1"/>
  <c r="AV146" i="14"/>
  <c r="AX146" i="14"/>
  <c r="AW395" i="14"/>
  <c r="AY395" i="14" s="1"/>
  <c r="CH395" i="14" s="1"/>
  <c r="CM395" i="14" s="1"/>
  <c r="BB151" i="3" s="1"/>
  <c r="C152" i="26"/>
  <c r="C152" i="25"/>
  <c r="BG154" i="3"/>
  <c r="BM154" i="3" s="1"/>
  <c r="D151" i="26"/>
  <c r="D151" i="25"/>
  <c r="BI154" i="3"/>
  <c r="BH154" i="3"/>
  <c r="BE154" i="3"/>
  <c r="CF155" i="3"/>
  <c r="CK154" i="3"/>
  <c r="BJ153" i="3"/>
  <c r="BP153" i="3" s="1"/>
  <c r="BC154" i="3"/>
  <c r="BN154" i="3" s="1"/>
  <c r="BR152" i="3"/>
  <c r="CJ154" i="3"/>
  <c r="AV154" i="3" s="1"/>
  <c r="BY155" i="3"/>
  <c r="DD314" i="3"/>
  <c r="BM153" i="3"/>
  <c r="BO153" i="3" s="1"/>
  <c r="AU153" i="3" s="1"/>
  <c r="BF153" i="3"/>
  <c r="BQ153" i="3" s="1"/>
  <c r="D155" i="3"/>
  <c r="BI155" i="3" s="1"/>
  <c r="C156" i="3"/>
  <c r="BK155" i="3"/>
  <c r="AY155" i="3"/>
  <c r="BW155" i="3"/>
  <c r="CI155" i="3" s="1"/>
  <c r="BL155" i="3"/>
  <c r="AJ155" i="3"/>
  <c r="R152" i="26" s="1"/>
  <c r="AI155" i="3"/>
  <c r="Q152" i="26" s="1"/>
  <c r="AH155" i="3"/>
  <c r="P152" i="26" s="1"/>
  <c r="AG155" i="3"/>
  <c r="O152" i="26" s="1"/>
  <c r="CH143" i="14" l="1"/>
  <c r="CH144" i="14"/>
  <c r="CE143" i="14"/>
  <c r="BD155" i="3"/>
  <c r="BU156" i="3"/>
  <c r="BV156" i="3"/>
  <c r="CF144" i="14"/>
  <c r="BV144" i="14"/>
  <c r="BX144" i="14" s="1"/>
  <c r="BS144" i="14"/>
  <c r="BT144" i="14"/>
  <c r="BW144" i="14" s="1"/>
  <c r="CJ144" i="14" s="1"/>
  <c r="CC151" i="3" s="1"/>
  <c r="BZ144" i="14"/>
  <c r="CA144" i="14"/>
  <c r="CB144" i="14" s="1"/>
  <c r="BU144" i="14"/>
  <c r="BT143" i="14"/>
  <c r="BW143" i="14" s="1"/>
  <c r="BU143" i="14"/>
  <c r="CA143" i="14"/>
  <c r="CB143" i="14" s="1"/>
  <c r="BS143" i="14"/>
  <c r="BV143" i="14"/>
  <c r="BX143" i="14" s="1"/>
  <c r="CK143" i="14" s="1"/>
  <c r="CD150" i="3" s="1"/>
  <c r="BZ143" i="14"/>
  <c r="AW396" i="14"/>
  <c r="AY396" i="14" s="1"/>
  <c r="CF396" i="14" s="1"/>
  <c r="CK396" i="14" s="1"/>
  <c r="BA152" i="3" s="1"/>
  <c r="CE395" i="14"/>
  <c r="CJ395" i="14" s="1"/>
  <c r="AZ151" i="3" s="1"/>
  <c r="AW397" i="14"/>
  <c r="AY397" i="14" s="1"/>
  <c r="AE400" i="14"/>
  <c r="Z400" i="14"/>
  <c r="AE149" i="14"/>
  <c r="Z149" i="14"/>
  <c r="AK147" i="14"/>
  <c r="AL147" i="14" s="1"/>
  <c r="AM147" i="14" s="1"/>
  <c r="AN147" i="14" s="1"/>
  <c r="AO147" i="14" s="1"/>
  <c r="AP147" i="14" s="1"/>
  <c r="AC147" i="14"/>
  <c r="BA147" i="14"/>
  <c r="BK147" i="14" s="1"/>
  <c r="AF147" i="14"/>
  <c r="AG147" i="14" s="1"/>
  <c r="AH147" i="14" s="1"/>
  <c r="AI147" i="14" s="1"/>
  <c r="AJ147" i="14" s="1"/>
  <c r="AQ147" i="14"/>
  <c r="AR147" i="14" s="1"/>
  <c r="AS147" i="14" s="1"/>
  <c r="AT147" i="14" s="1"/>
  <c r="AU147" i="14" s="1"/>
  <c r="AZ147" i="14"/>
  <c r="BZ397" i="14"/>
  <c r="BU397" i="14"/>
  <c r="BS397" i="14"/>
  <c r="AV147" i="14"/>
  <c r="BA398" i="14"/>
  <c r="BK398" i="14" s="1"/>
  <c r="AC398" i="14"/>
  <c r="AF398" i="14"/>
  <c r="AG398" i="14" s="1"/>
  <c r="AH398" i="14" s="1"/>
  <c r="AI398" i="14" s="1"/>
  <c r="AJ398" i="14" s="1"/>
  <c r="AK398" i="14"/>
  <c r="AL398" i="14" s="1"/>
  <c r="AM398" i="14" s="1"/>
  <c r="AN398" i="14" s="1"/>
  <c r="AO398" i="14" s="1"/>
  <c r="AP398" i="14" s="1"/>
  <c r="AQ398" i="14"/>
  <c r="AR398" i="14" s="1"/>
  <c r="AS398" i="14" s="1"/>
  <c r="AT398" i="14" s="1"/>
  <c r="AU398" i="14" s="1"/>
  <c r="AZ398" i="14"/>
  <c r="BM399" i="14"/>
  <c r="BC399" i="14"/>
  <c r="BD399" i="14" s="1"/>
  <c r="BI399" i="14"/>
  <c r="BJ399" i="14" s="1"/>
  <c r="AA399" i="14"/>
  <c r="AV399" i="14" s="1"/>
  <c r="BB399" i="14"/>
  <c r="AB399" i="14"/>
  <c r="AD399" i="14"/>
  <c r="CF395" i="14"/>
  <c r="CK395" i="14" s="1"/>
  <c r="BA151" i="3" s="1"/>
  <c r="BQ398" i="14"/>
  <c r="BR398" i="14" s="1"/>
  <c r="BN398" i="14"/>
  <c r="BO398" i="14" s="1"/>
  <c r="AD148" i="14"/>
  <c r="AA148" i="14"/>
  <c r="AX148" i="14" s="1"/>
  <c r="AB148" i="14"/>
  <c r="BC148" i="14"/>
  <c r="BD148" i="14" s="1"/>
  <c r="BI148" i="14"/>
  <c r="BJ148" i="14" s="1"/>
  <c r="BM148" i="14"/>
  <c r="BB148" i="14"/>
  <c r="BT397" i="14"/>
  <c r="BW397" i="14" s="1"/>
  <c r="CA397" i="14"/>
  <c r="CB397" i="14" s="1"/>
  <c r="BV397" i="14"/>
  <c r="BX397" i="14" s="1"/>
  <c r="CD397" i="14"/>
  <c r="BE397" i="14"/>
  <c r="BG397" i="14" s="1"/>
  <c r="BN147" i="14"/>
  <c r="BO147" i="14" s="1"/>
  <c r="AG146" i="14"/>
  <c r="AH146" i="14" s="1"/>
  <c r="AI146" i="14" s="1"/>
  <c r="AJ146" i="14" s="1"/>
  <c r="CD146" i="14"/>
  <c r="BE146" i="14"/>
  <c r="BG146" i="14" s="1"/>
  <c r="AV398" i="14"/>
  <c r="AW145" i="14"/>
  <c r="BG155" i="3"/>
  <c r="BM155" i="3" s="1"/>
  <c r="BH155" i="3"/>
  <c r="D152" i="26"/>
  <c r="D152" i="25"/>
  <c r="C153" i="26"/>
  <c r="C153" i="25"/>
  <c r="BE155" i="3"/>
  <c r="CK155" i="3"/>
  <c r="BR153" i="3"/>
  <c r="AW152" i="3"/>
  <c r="CF156" i="3"/>
  <c r="DD315" i="3"/>
  <c r="BC155" i="3"/>
  <c r="BN155" i="3" s="1"/>
  <c r="CJ155" i="3"/>
  <c r="AV155" i="3" s="1"/>
  <c r="BY156" i="3"/>
  <c r="BJ154" i="3"/>
  <c r="BP154" i="3" s="1"/>
  <c r="D156" i="3"/>
  <c r="DD316" i="3" s="1"/>
  <c r="BF154" i="3"/>
  <c r="BQ154" i="3" s="1"/>
  <c r="C157" i="3"/>
  <c r="BK156" i="3"/>
  <c r="BW156" i="3"/>
  <c r="CI156" i="3" s="1"/>
  <c r="BL156" i="3"/>
  <c r="AI156" i="3"/>
  <c r="Q153" i="26" s="1"/>
  <c r="AH156" i="3"/>
  <c r="P153" i="26" s="1"/>
  <c r="AG156" i="3"/>
  <c r="O153" i="26" s="1"/>
  <c r="AY156" i="3"/>
  <c r="AJ156" i="3"/>
  <c r="R153" i="26" s="1"/>
  <c r="BO154" i="3"/>
  <c r="AU154" i="3" s="1"/>
  <c r="CM144" i="14" l="1"/>
  <c r="CG151" i="3" s="1"/>
  <c r="CM143" i="14"/>
  <c r="CG150" i="3" s="1"/>
  <c r="CJ143" i="14"/>
  <c r="CC150" i="3" s="1"/>
  <c r="BD156" i="3"/>
  <c r="BV157" i="3"/>
  <c r="BU157" i="3"/>
  <c r="CK144" i="14"/>
  <c r="CD151" i="3" s="1"/>
  <c r="AW153" i="3"/>
  <c r="AY145" i="14"/>
  <c r="CF145" i="14" s="1"/>
  <c r="BQ145" i="14"/>
  <c r="BR145" i="14" s="1"/>
  <c r="CH396" i="14"/>
  <c r="CM396" i="14" s="1"/>
  <c r="BB152" i="3" s="1"/>
  <c r="CE396" i="14"/>
  <c r="CJ396" i="14" s="1"/>
  <c r="AZ152" i="3" s="1"/>
  <c r="AX399" i="14"/>
  <c r="AV148" i="14"/>
  <c r="AW146" i="14"/>
  <c r="CE397" i="14"/>
  <c r="CJ397" i="14" s="1"/>
  <c r="AZ153" i="3" s="1"/>
  <c r="CH397" i="14"/>
  <c r="CM397" i="14" s="1"/>
  <c r="BB153" i="3" s="1"/>
  <c r="CF397" i="14"/>
  <c r="CK397" i="14" s="1"/>
  <c r="BA153" i="3" s="1"/>
  <c r="BN148" i="14"/>
  <c r="BO148" i="14" s="1"/>
  <c r="BU398" i="14"/>
  <c r="BZ398" i="14"/>
  <c r="BS398" i="14"/>
  <c r="AW398" i="14"/>
  <c r="AY398" i="14" s="1"/>
  <c r="Z401" i="14"/>
  <c r="Z150" i="14"/>
  <c r="AE401" i="14"/>
  <c r="AE150" i="14"/>
  <c r="CA398" i="14"/>
  <c r="CB398" i="14" s="1"/>
  <c r="BT398" i="14"/>
  <c r="BW398" i="14" s="1"/>
  <c r="BV398" i="14"/>
  <c r="BX398" i="14" s="1"/>
  <c r="BM400" i="14"/>
  <c r="AA400" i="14"/>
  <c r="AB400" i="14"/>
  <c r="BC400" i="14"/>
  <c r="BD400" i="14" s="1"/>
  <c r="BI400" i="14"/>
  <c r="BJ400" i="14" s="1"/>
  <c r="BB400" i="14"/>
  <c r="AD400" i="14"/>
  <c r="BQ399" i="14"/>
  <c r="BR399" i="14" s="1"/>
  <c r="BN399" i="14"/>
  <c r="BO399" i="14" s="1"/>
  <c r="AW147" i="14"/>
  <c r="AC148" i="14"/>
  <c r="BA148" i="14"/>
  <c r="BK148" i="14" s="1"/>
  <c r="AZ148" i="14"/>
  <c r="AF148" i="14"/>
  <c r="AQ148" i="14"/>
  <c r="AR148" i="14" s="1"/>
  <c r="AS148" i="14" s="1"/>
  <c r="AT148" i="14" s="1"/>
  <c r="AU148" i="14" s="1"/>
  <c r="AK148" i="14"/>
  <c r="AL148" i="14" s="1"/>
  <c r="AM148" i="14" s="1"/>
  <c r="AN148" i="14" s="1"/>
  <c r="AO148" i="14" s="1"/>
  <c r="AP148" i="14" s="1"/>
  <c r="AF399" i="14"/>
  <c r="AG399" i="14" s="1"/>
  <c r="AH399" i="14" s="1"/>
  <c r="AI399" i="14" s="1"/>
  <c r="AJ399" i="14" s="1"/>
  <c r="AC399" i="14"/>
  <c r="AQ399" i="14"/>
  <c r="AR399" i="14" s="1"/>
  <c r="AS399" i="14" s="1"/>
  <c r="AT399" i="14" s="1"/>
  <c r="AU399" i="14" s="1"/>
  <c r="AK399" i="14"/>
  <c r="AL399" i="14" s="1"/>
  <c r="AM399" i="14" s="1"/>
  <c r="AN399" i="14" s="1"/>
  <c r="AO399" i="14" s="1"/>
  <c r="AP399" i="14" s="1"/>
  <c r="BA399" i="14"/>
  <c r="BK399" i="14" s="1"/>
  <c r="AZ399" i="14"/>
  <c r="CD398" i="14"/>
  <c r="BE398" i="14"/>
  <c r="BG398" i="14" s="1"/>
  <c r="CD147" i="14"/>
  <c r="BE147" i="14"/>
  <c r="BG147" i="14" s="1"/>
  <c r="BB149" i="14"/>
  <c r="AD149" i="14"/>
  <c r="AB149" i="14"/>
  <c r="BM149" i="14"/>
  <c r="BC149" i="14"/>
  <c r="BD149" i="14" s="1"/>
  <c r="BI149" i="14"/>
  <c r="BJ149" i="14" s="1"/>
  <c r="AA149" i="14"/>
  <c r="AX149" i="14" s="1"/>
  <c r="C154" i="26"/>
  <c r="C154" i="25"/>
  <c r="BI156" i="3"/>
  <c r="D153" i="26"/>
  <c r="D153" i="25"/>
  <c r="BH156" i="3"/>
  <c r="BG156" i="3"/>
  <c r="BM156" i="3" s="1"/>
  <c r="BE156" i="3"/>
  <c r="CK156" i="3"/>
  <c r="CF157" i="3"/>
  <c r="BC156" i="3"/>
  <c r="BN156" i="3" s="1"/>
  <c r="BR154" i="3"/>
  <c r="CJ156" i="3"/>
  <c r="AV156" i="3" s="1"/>
  <c r="BY157" i="3"/>
  <c r="BJ155" i="3"/>
  <c r="BP155" i="3" s="1"/>
  <c r="BF155" i="3"/>
  <c r="BQ155" i="3" s="1"/>
  <c r="D157" i="3"/>
  <c r="BO155" i="3"/>
  <c r="AU155" i="3" s="1"/>
  <c r="C158" i="3"/>
  <c r="BW157" i="3"/>
  <c r="CK157" i="3" s="1"/>
  <c r="BL157" i="3"/>
  <c r="BK157" i="3"/>
  <c r="AH157" i="3"/>
  <c r="P154" i="26" s="1"/>
  <c r="AY157" i="3"/>
  <c r="AG157" i="3"/>
  <c r="O154" i="26" s="1"/>
  <c r="AJ157" i="3"/>
  <c r="R154" i="26" s="1"/>
  <c r="AI157" i="3"/>
  <c r="Q154" i="26" s="1"/>
  <c r="BD157" i="3" l="1"/>
  <c r="CH145" i="14"/>
  <c r="BV158" i="3"/>
  <c r="BU158" i="3"/>
  <c r="CE145" i="14"/>
  <c r="AY146" i="14"/>
  <c r="CF146" i="14" s="1"/>
  <c r="BQ146" i="14"/>
  <c r="BR146" i="14" s="1"/>
  <c r="AY147" i="14"/>
  <c r="CE147" i="14" s="1"/>
  <c r="BQ147" i="14"/>
  <c r="BR147" i="14" s="1"/>
  <c r="BS145" i="14"/>
  <c r="BV145" i="14"/>
  <c r="BX145" i="14" s="1"/>
  <c r="CK145" i="14" s="1"/>
  <c r="CD152" i="3" s="1"/>
  <c r="BZ145" i="14"/>
  <c r="CA145" i="14"/>
  <c r="CB145" i="14" s="1"/>
  <c r="BT145" i="14"/>
  <c r="BW145" i="14" s="1"/>
  <c r="BU145" i="14"/>
  <c r="BN149" i="14"/>
  <c r="BO149" i="14" s="1"/>
  <c r="CD399" i="14"/>
  <c r="BE399" i="14"/>
  <c r="BG399" i="14" s="1"/>
  <c r="AC400" i="14"/>
  <c r="BA400" i="14"/>
  <c r="BK400" i="14" s="1"/>
  <c r="AQ400" i="14"/>
  <c r="AR400" i="14" s="1"/>
  <c r="AS400" i="14" s="1"/>
  <c r="AT400" i="14" s="1"/>
  <c r="AU400" i="14" s="1"/>
  <c r="AK400" i="14"/>
  <c r="AL400" i="14" s="1"/>
  <c r="AM400" i="14" s="1"/>
  <c r="AN400" i="14" s="1"/>
  <c r="AO400" i="14" s="1"/>
  <c r="AP400" i="14" s="1"/>
  <c r="AZ400" i="14"/>
  <c r="AF400" i="14"/>
  <c r="AG400" i="14" s="1"/>
  <c r="AH400" i="14" s="1"/>
  <c r="AI400" i="14" s="1"/>
  <c r="AJ400" i="14" s="1"/>
  <c r="BM401" i="14"/>
  <c r="AA401" i="14"/>
  <c r="AX401" i="14" s="1"/>
  <c r="BC401" i="14"/>
  <c r="BD401" i="14" s="1"/>
  <c r="BI401" i="14"/>
  <c r="BJ401" i="14" s="1"/>
  <c r="AD401" i="14"/>
  <c r="AB401" i="14"/>
  <c r="BB401" i="14"/>
  <c r="AK149" i="14"/>
  <c r="AL149" i="14" s="1"/>
  <c r="AM149" i="14" s="1"/>
  <c r="AN149" i="14" s="1"/>
  <c r="AO149" i="14" s="1"/>
  <c r="AP149" i="14" s="1"/>
  <c r="BA149" i="14"/>
  <c r="BK149" i="14" s="1"/>
  <c r="AZ149" i="14"/>
  <c r="AC149" i="14"/>
  <c r="AF149" i="14"/>
  <c r="AQ149" i="14"/>
  <c r="AR149" i="14" s="1"/>
  <c r="AS149" i="14" s="1"/>
  <c r="AT149" i="14" s="1"/>
  <c r="AU149" i="14" s="1"/>
  <c r="AW399" i="14"/>
  <c r="AY399" i="14" s="1"/>
  <c r="BS399" i="14"/>
  <c r="BU399" i="14"/>
  <c r="BZ399" i="14"/>
  <c r="BQ400" i="14"/>
  <c r="BR400" i="14" s="1"/>
  <c r="BN400" i="14"/>
  <c r="BO400" i="14" s="1"/>
  <c r="AV149" i="14"/>
  <c r="Z402" i="14"/>
  <c r="AE402" i="14"/>
  <c r="AE151" i="14"/>
  <c r="Z151" i="14"/>
  <c r="BT399" i="14"/>
  <c r="BW399" i="14" s="1"/>
  <c r="CA399" i="14"/>
  <c r="CB399" i="14" s="1"/>
  <c r="BV399" i="14"/>
  <c r="BX399" i="14" s="1"/>
  <c r="BE148" i="14"/>
  <c r="BG148" i="14" s="1"/>
  <c r="CD148" i="14"/>
  <c r="CE398" i="14"/>
  <c r="CJ398" i="14" s="1"/>
  <c r="AZ154" i="3" s="1"/>
  <c r="CF398" i="14"/>
  <c r="CK398" i="14" s="1"/>
  <c r="BA154" i="3" s="1"/>
  <c r="CH398" i="14"/>
  <c r="CM398" i="14" s="1"/>
  <c r="BB154" i="3" s="1"/>
  <c r="AG148" i="14"/>
  <c r="AH148" i="14" s="1"/>
  <c r="AI148" i="14" s="1"/>
  <c r="AJ148" i="14" s="1"/>
  <c r="AV400" i="14"/>
  <c r="AX400" i="14"/>
  <c r="AA150" i="14"/>
  <c r="BB150" i="14"/>
  <c r="BC150" i="14"/>
  <c r="BD150" i="14" s="1"/>
  <c r="BM150" i="14"/>
  <c r="AB150" i="14"/>
  <c r="BI150" i="14"/>
  <c r="BJ150" i="14" s="1"/>
  <c r="AD150" i="14"/>
  <c r="BI157" i="3"/>
  <c r="D154" i="25"/>
  <c r="D154" i="26"/>
  <c r="BG157" i="3"/>
  <c r="BM157" i="3" s="1"/>
  <c r="C155" i="26"/>
  <c r="C155" i="25"/>
  <c r="DD317" i="3"/>
  <c r="BH157" i="3"/>
  <c r="BE157" i="3"/>
  <c r="CF158" i="3"/>
  <c r="AW154" i="3"/>
  <c r="BC157" i="3"/>
  <c r="BN157" i="3" s="1"/>
  <c r="BR155" i="3"/>
  <c r="BJ156" i="3"/>
  <c r="BP156" i="3" s="1"/>
  <c r="CJ157" i="3"/>
  <c r="AV157" i="3" s="1"/>
  <c r="CI157" i="3"/>
  <c r="BY158" i="3"/>
  <c r="BF156" i="3"/>
  <c r="BQ156" i="3" s="1"/>
  <c r="D158" i="3"/>
  <c r="BG158" i="3" s="1"/>
  <c r="BO156" i="3"/>
  <c r="AU156" i="3" s="1"/>
  <c r="C159" i="3"/>
  <c r="BW158" i="3"/>
  <c r="CJ158" i="3" s="1"/>
  <c r="AV158" i="3" s="1"/>
  <c r="BL158" i="3"/>
  <c r="BK158" i="3"/>
  <c r="AG158" i="3"/>
  <c r="O155" i="26" s="1"/>
  <c r="AJ158" i="3"/>
  <c r="R155" i="26" s="1"/>
  <c r="AY158" i="3"/>
  <c r="BD158" i="3" s="1"/>
  <c r="AI158" i="3"/>
  <c r="Q155" i="26" s="1"/>
  <c r="AH158" i="3"/>
  <c r="P155" i="26" s="1"/>
  <c r="CM145" i="14" l="1"/>
  <c r="CG152" i="3" s="1"/>
  <c r="CH147" i="14"/>
  <c r="CJ145" i="14"/>
  <c r="CC152" i="3" s="1"/>
  <c r="CE146" i="14"/>
  <c r="BV159" i="3"/>
  <c r="BU159" i="3"/>
  <c r="CF147" i="14"/>
  <c r="CH146" i="14"/>
  <c r="BV147" i="14"/>
  <c r="BX147" i="14" s="1"/>
  <c r="BZ147" i="14"/>
  <c r="BU147" i="14"/>
  <c r="CA147" i="14"/>
  <c r="CB147" i="14" s="1"/>
  <c r="BS147" i="14"/>
  <c r="BT147" i="14"/>
  <c r="BW147" i="14" s="1"/>
  <c r="CJ147" i="14" s="1"/>
  <c r="CC154" i="3" s="1"/>
  <c r="BU146" i="14"/>
  <c r="BT146" i="14"/>
  <c r="BW146" i="14" s="1"/>
  <c r="BS146" i="14"/>
  <c r="CA146" i="14"/>
  <c r="CB146" i="14" s="1"/>
  <c r="BZ146" i="14"/>
  <c r="BV146" i="14"/>
  <c r="BX146" i="14" s="1"/>
  <c r="CK146" i="14" s="1"/>
  <c r="CD153" i="3" s="1"/>
  <c r="AV401" i="14"/>
  <c r="Z403" i="14"/>
  <c r="AE403" i="14"/>
  <c r="Z152" i="14"/>
  <c r="AE152" i="14"/>
  <c r="BM402" i="14"/>
  <c r="BC402" i="14"/>
  <c r="BD402" i="14" s="1"/>
  <c r="BI402" i="14"/>
  <c r="BJ402" i="14" s="1"/>
  <c r="AA402" i="14"/>
  <c r="AV402" i="14" s="1"/>
  <c r="AB402" i="14"/>
  <c r="BB402" i="14"/>
  <c r="AD402" i="14"/>
  <c r="CE399" i="14"/>
  <c r="CJ399" i="14" s="1"/>
  <c r="AZ155" i="3" s="1"/>
  <c r="CH399" i="14"/>
  <c r="CM399" i="14" s="1"/>
  <c r="BB155" i="3" s="1"/>
  <c r="CF399" i="14"/>
  <c r="CK399" i="14" s="1"/>
  <c r="BA155" i="3" s="1"/>
  <c r="BZ400" i="14"/>
  <c r="BU400" i="14"/>
  <c r="BS400" i="14"/>
  <c r="AG149" i="14"/>
  <c r="AH149" i="14" s="1"/>
  <c r="AI149" i="14" s="1"/>
  <c r="AJ149" i="14" s="1"/>
  <c r="BA401" i="14"/>
  <c r="BK401" i="14" s="1"/>
  <c r="AC401" i="14"/>
  <c r="AK401" i="14"/>
  <c r="AL401" i="14" s="1"/>
  <c r="AM401" i="14" s="1"/>
  <c r="AN401" i="14" s="1"/>
  <c r="AO401" i="14" s="1"/>
  <c r="AP401" i="14" s="1"/>
  <c r="AQ401" i="14"/>
  <c r="AR401" i="14" s="1"/>
  <c r="AS401" i="14" s="1"/>
  <c r="AT401" i="14" s="1"/>
  <c r="AU401" i="14" s="1"/>
  <c r="AF401" i="14"/>
  <c r="AG401" i="14" s="1"/>
  <c r="AH401" i="14" s="1"/>
  <c r="AI401" i="14" s="1"/>
  <c r="AJ401" i="14" s="1"/>
  <c r="AZ401" i="14"/>
  <c r="BE400" i="14"/>
  <c r="BG400" i="14" s="1"/>
  <c r="CD400" i="14"/>
  <c r="AZ150" i="14"/>
  <c r="AC150" i="14"/>
  <c r="AK150" i="14"/>
  <c r="AL150" i="14" s="1"/>
  <c r="AM150" i="14" s="1"/>
  <c r="AN150" i="14" s="1"/>
  <c r="AO150" i="14" s="1"/>
  <c r="AP150" i="14" s="1"/>
  <c r="BA150" i="14"/>
  <c r="BK150" i="14" s="1"/>
  <c r="AF150" i="14"/>
  <c r="AG150" i="14" s="1"/>
  <c r="AH150" i="14" s="1"/>
  <c r="AI150" i="14" s="1"/>
  <c r="AJ150" i="14" s="1"/>
  <c r="AQ150" i="14"/>
  <c r="AR150" i="14" s="1"/>
  <c r="AS150" i="14" s="1"/>
  <c r="AT150" i="14" s="1"/>
  <c r="AU150" i="14" s="1"/>
  <c r="BE149" i="14"/>
  <c r="BG149" i="14" s="1"/>
  <c r="CD149" i="14"/>
  <c r="BN150" i="14"/>
  <c r="BO150" i="14" s="1"/>
  <c r="AB151" i="14"/>
  <c r="BM151" i="14"/>
  <c r="BB151" i="14"/>
  <c r="AA151" i="14"/>
  <c r="AV151" i="14" s="1"/>
  <c r="AD151" i="14"/>
  <c r="BC151" i="14"/>
  <c r="BD151" i="14" s="1"/>
  <c r="BI151" i="14"/>
  <c r="BJ151" i="14" s="1"/>
  <c r="AV150" i="14"/>
  <c r="AW400" i="14"/>
  <c r="AY400" i="14" s="1"/>
  <c r="AX150" i="14"/>
  <c r="BV400" i="14"/>
  <c r="BX400" i="14" s="1"/>
  <c r="BT400" i="14"/>
  <c r="BW400" i="14" s="1"/>
  <c r="CA400" i="14"/>
  <c r="CB400" i="14" s="1"/>
  <c r="AW148" i="14"/>
  <c r="BQ401" i="14"/>
  <c r="BR401" i="14" s="1"/>
  <c r="BN401" i="14"/>
  <c r="BO401" i="14" s="1"/>
  <c r="C156" i="25"/>
  <c r="C156" i="26"/>
  <c r="BH158" i="3"/>
  <c r="D155" i="26"/>
  <c r="D155" i="25"/>
  <c r="BI158" i="3"/>
  <c r="BE158" i="3"/>
  <c r="CF159" i="3"/>
  <c r="AW155" i="3"/>
  <c r="CK158" i="3"/>
  <c r="BJ157" i="3"/>
  <c r="BP157" i="3" s="1"/>
  <c r="BC158" i="3"/>
  <c r="BN158" i="3" s="1"/>
  <c r="BR156" i="3"/>
  <c r="CI158" i="3"/>
  <c r="BY159" i="3"/>
  <c r="BM158" i="3"/>
  <c r="DD318" i="3"/>
  <c r="BF157" i="3"/>
  <c r="BQ157" i="3" s="1"/>
  <c r="D159" i="3"/>
  <c r="BG159" i="3" s="1"/>
  <c r="C160" i="3"/>
  <c r="BW159" i="3"/>
  <c r="CI159" i="3" s="1"/>
  <c r="BL159" i="3"/>
  <c r="BK159" i="3"/>
  <c r="AY159" i="3"/>
  <c r="BD159" i="3" s="1"/>
  <c r="AJ159" i="3"/>
  <c r="R156" i="26" s="1"/>
  <c r="AI159" i="3"/>
  <c r="Q156" i="26" s="1"/>
  <c r="AH159" i="3"/>
  <c r="P156" i="26" s="1"/>
  <c r="AG159" i="3"/>
  <c r="O156" i="26" s="1"/>
  <c r="BO157" i="3"/>
  <c r="AU157" i="3" s="1"/>
  <c r="CJ146" i="14" l="1"/>
  <c r="CC153" i="3" s="1"/>
  <c r="CM147" i="14"/>
  <c r="CG154" i="3" s="1"/>
  <c r="CM146" i="14"/>
  <c r="CG153" i="3" s="1"/>
  <c r="BV160" i="3"/>
  <c r="BU160" i="3"/>
  <c r="CK147" i="14"/>
  <c r="CD154" i="3" s="1"/>
  <c r="AY148" i="14"/>
  <c r="CH148" i="14" s="1"/>
  <c r="BQ148" i="14"/>
  <c r="BR148" i="14" s="1"/>
  <c r="AX151" i="14"/>
  <c r="AW149" i="14"/>
  <c r="CE400" i="14"/>
  <c r="CJ400" i="14" s="1"/>
  <c r="AZ156" i="3" s="1"/>
  <c r="CD150" i="14"/>
  <c r="BE150" i="14"/>
  <c r="BG150" i="14" s="1"/>
  <c r="AF402" i="14"/>
  <c r="AC402" i="14"/>
  <c r="AZ402" i="14"/>
  <c r="AK402" i="14"/>
  <c r="AL402" i="14" s="1"/>
  <c r="AM402" i="14" s="1"/>
  <c r="AN402" i="14" s="1"/>
  <c r="AO402" i="14" s="1"/>
  <c r="AP402" i="14" s="1"/>
  <c r="AQ402" i="14"/>
  <c r="AR402" i="14" s="1"/>
  <c r="AS402" i="14" s="1"/>
  <c r="AT402" i="14" s="1"/>
  <c r="AU402" i="14" s="1"/>
  <c r="BA402" i="14"/>
  <c r="BK402" i="14" s="1"/>
  <c r="BN151" i="14"/>
  <c r="BO151" i="14" s="1"/>
  <c r="CD401" i="14"/>
  <c r="BE401" i="14"/>
  <c r="BG401" i="14" s="1"/>
  <c r="AX402" i="14"/>
  <c r="BC152" i="14"/>
  <c r="BD152" i="14" s="1"/>
  <c r="AD152" i="14"/>
  <c r="BI152" i="14"/>
  <c r="BJ152" i="14" s="1"/>
  <c r="BB152" i="14"/>
  <c r="BM152" i="14"/>
  <c r="AB152" i="14"/>
  <c r="AA152" i="14"/>
  <c r="AX152" i="14" s="1"/>
  <c r="BS401" i="14"/>
  <c r="BU401" i="14"/>
  <c r="BZ401" i="14"/>
  <c r="CE148" i="14"/>
  <c r="CF400" i="14"/>
  <c r="CK400" i="14" s="1"/>
  <c r="BA156" i="3" s="1"/>
  <c r="CH400" i="14"/>
  <c r="CM400" i="14" s="1"/>
  <c r="BB156" i="3" s="1"/>
  <c r="AW401" i="14"/>
  <c r="AY401" i="14" s="1"/>
  <c r="AE404" i="14"/>
  <c r="Z404" i="14"/>
  <c r="Z153" i="14"/>
  <c r="AE153" i="14"/>
  <c r="CF148" i="14"/>
  <c r="AW150" i="14"/>
  <c r="BV401" i="14"/>
  <c r="BX401" i="14" s="1"/>
  <c r="CA401" i="14"/>
  <c r="CB401" i="14" s="1"/>
  <c r="BT401" i="14"/>
  <c r="BW401" i="14" s="1"/>
  <c r="BA151" i="14"/>
  <c r="BK151" i="14" s="1"/>
  <c r="AK151" i="14"/>
  <c r="AL151" i="14" s="1"/>
  <c r="AM151" i="14" s="1"/>
  <c r="AN151" i="14" s="1"/>
  <c r="AO151" i="14" s="1"/>
  <c r="AP151" i="14" s="1"/>
  <c r="AQ151" i="14"/>
  <c r="AR151" i="14" s="1"/>
  <c r="AS151" i="14" s="1"/>
  <c r="AT151" i="14" s="1"/>
  <c r="AU151" i="14" s="1"/>
  <c r="AZ151" i="14"/>
  <c r="AF151" i="14"/>
  <c r="AG151" i="14" s="1"/>
  <c r="AH151" i="14" s="1"/>
  <c r="AI151" i="14" s="1"/>
  <c r="AJ151" i="14" s="1"/>
  <c r="AC151" i="14"/>
  <c r="BQ402" i="14"/>
  <c r="BR402" i="14" s="1"/>
  <c r="BN402" i="14"/>
  <c r="BO402" i="14" s="1"/>
  <c r="BM403" i="14"/>
  <c r="BI403" i="14"/>
  <c r="BJ403" i="14" s="1"/>
  <c r="AA403" i="14"/>
  <c r="BC403" i="14"/>
  <c r="BD403" i="14" s="1"/>
  <c r="AD403" i="14"/>
  <c r="BB403" i="14"/>
  <c r="AB403" i="14"/>
  <c r="C157" i="26"/>
  <c r="C157" i="25"/>
  <c r="BI159" i="3"/>
  <c r="D156" i="26"/>
  <c r="D156" i="25"/>
  <c r="BH159" i="3"/>
  <c r="BE159" i="3"/>
  <c r="CF160" i="3"/>
  <c r="AW156" i="3"/>
  <c r="CK159" i="3"/>
  <c r="BR157" i="3"/>
  <c r="BC159" i="3"/>
  <c r="BN159" i="3" s="1"/>
  <c r="CJ159" i="3"/>
  <c r="AV159" i="3" s="1"/>
  <c r="BY160" i="3"/>
  <c r="DD319" i="3"/>
  <c r="BJ158" i="3"/>
  <c r="BP158" i="3" s="1"/>
  <c r="BM159" i="3"/>
  <c r="D160" i="3"/>
  <c r="BF158" i="3"/>
  <c r="BQ158" i="3" s="1"/>
  <c r="BO158" i="3"/>
  <c r="AU158" i="3" s="1"/>
  <c r="C161" i="3"/>
  <c r="BW160" i="3"/>
  <c r="CI160" i="3" s="1"/>
  <c r="BL160" i="3"/>
  <c r="AY160" i="3"/>
  <c r="AI160" i="3"/>
  <c r="Q157" i="26" s="1"/>
  <c r="AH160" i="3"/>
  <c r="P157" i="26" s="1"/>
  <c r="BK160" i="3"/>
  <c r="AG160" i="3"/>
  <c r="O157" i="26" s="1"/>
  <c r="AJ160" i="3"/>
  <c r="R157" i="26" s="1"/>
  <c r="BD160" i="3" l="1"/>
  <c r="BV161" i="3"/>
  <c r="BU161" i="3"/>
  <c r="BZ148" i="14"/>
  <c r="CA148" i="14"/>
  <c r="CB148" i="14" s="1"/>
  <c r="CM148" i="14" s="1"/>
  <c r="CG155" i="3" s="1"/>
  <c r="BV148" i="14"/>
  <c r="BX148" i="14" s="1"/>
  <c r="CK148" i="14" s="1"/>
  <c r="CD155" i="3" s="1"/>
  <c r="BS148" i="14"/>
  <c r="BT148" i="14"/>
  <c r="BW148" i="14" s="1"/>
  <c r="CJ148" i="14" s="1"/>
  <c r="CC155" i="3" s="1"/>
  <c r="BU148" i="14"/>
  <c r="AY150" i="14"/>
  <c r="CF150" i="14" s="1"/>
  <c r="BQ150" i="14"/>
  <c r="BR150" i="14" s="1"/>
  <c r="AY149" i="14"/>
  <c r="CE149" i="14" s="1"/>
  <c r="BQ149" i="14"/>
  <c r="BR149" i="14" s="1"/>
  <c r="AF403" i="14"/>
  <c r="AQ403" i="14"/>
  <c r="AR403" i="14" s="1"/>
  <c r="AS403" i="14" s="1"/>
  <c r="AT403" i="14" s="1"/>
  <c r="AU403" i="14" s="1"/>
  <c r="AZ403" i="14"/>
  <c r="AC403" i="14"/>
  <c r="BA403" i="14"/>
  <c r="BK403" i="14" s="1"/>
  <c r="AK403" i="14"/>
  <c r="AL403" i="14" s="1"/>
  <c r="AM403" i="14" s="1"/>
  <c r="AN403" i="14" s="1"/>
  <c r="AO403" i="14" s="1"/>
  <c r="AP403" i="14" s="1"/>
  <c r="CA402" i="14"/>
  <c r="CB402" i="14" s="1"/>
  <c r="BV402" i="14"/>
  <c r="BX402" i="14" s="1"/>
  <c r="BT402" i="14"/>
  <c r="BW402" i="14" s="1"/>
  <c r="BE151" i="14"/>
  <c r="BG151" i="14" s="1"/>
  <c r="CD151" i="14"/>
  <c r="BM404" i="14"/>
  <c r="AB404" i="14"/>
  <c r="AA404" i="14"/>
  <c r="AX404" i="14" s="1"/>
  <c r="BC404" i="14"/>
  <c r="BD404" i="14" s="1"/>
  <c r="BI404" i="14"/>
  <c r="BJ404" i="14" s="1"/>
  <c r="BB404" i="14"/>
  <c r="AD404" i="14"/>
  <c r="AX403" i="14"/>
  <c r="BQ403" i="14"/>
  <c r="BR403" i="14" s="1"/>
  <c r="BN403" i="14"/>
  <c r="BO403" i="14" s="1"/>
  <c r="AE405" i="14"/>
  <c r="Z405" i="14"/>
  <c r="AE154" i="14"/>
  <c r="Z154" i="14"/>
  <c r="BS402" i="14"/>
  <c r="BU402" i="14"/>
  <c r="BZ402" i="14"/>
  <c r="AW151" i="14"/>
  <c r="BB153" i="14"/>
  <c r="BM153" i="14"/>
  <c r="AB153" i="14"/>
  <c r="AD153" i="14"/>
  <c r="BI153" i="14"/>
  <c r="BJ153" i="14" s="1"/>
  <c r="AA153" i="14"/>
  <c r="BC153" i="14"/>
  <c r="BD153" i="14" s="1"/>
  <c r="BN152" i="14"/>
  <c r="BO152" i="14" s="1"/>
  <c r="CH401" i="14"/>
  <c r="CM401" i="14" s="1"/>
  <c r="BB157" i="3" s="1"/>
  <c r="CF401" i="14"/>
  <c r="CK401" i="14" s="1"/>
  <c r="BA157" i="3" s="1"/>
  <c r="CE401" i="14"/>
  <c r="CJ401" i="14" s="1"/>
  <c r="AZ157" i="3" s="1"/>
  <c r="AQ152" i="14"/>
  <c r="AR152" i="14" s="1"/>
  <c r="AS152" i="14" s="1"/>
  <c r="AT152" i="14" s="1"/>
  <c r="AU152" i="14" s="1"/>
  <c r="BA152" i="14"/>
  <c r="BK152" i="14" s="1"/>
  <c r="AC152" i="14"/>
  <c r="AF152" i="14"/>
  <c r="AG152" i="14" s="1"/>
  <c r="AH152" i="14" s="1"/>
  <c r="AI152" i="14" s="1"/>
  <c r="AJ152" i="14" s="1"/>
  <c r="AK152" i="14"/>
  <c r="AL152" i="14" s="1"/>
  <c r="AM152" i="14" s="1"/>
  <c r="AN152" i="14" s="1"/>
  <c r="AO152" i="14" s="1"/>
  <c r="AP152" i="14" s="1"/>
  <c r="AZ152" i="14"/>
  <c r="AV152" i="14"/>
  <c r="AV403" i="14"/>
  <c r="AG402" i="14"/>
  <c r="AH402" i="14" s="1"/>
  <c r="AI402" i="14" s="1"/>
  <c r="AJ402" i="14" s="1"/>
  <c r="BE402" i="14"/>
  <c r="BG402" i="14" s="1"/>
  <c r="CD402" i="14"/>
  <c r="BI160" i="3"/>
  <c r="D157" i="26"/>
  <c r="D157" i="25"/>
  <c r="C158" i="26"/>
  <c r="C158" i="25"/>
  <c r="DD320" i="3"/>
  <c r="BG160" i="3"/>
  <c r="BM160" i="3" s="1"/>
  <c r="BH160" i="3"/>
  <c r="BE160" i="3"/>
  <c r="CF161" i="3"/>
  <c r="AW157" i="3"/>
  <c r="CK160" i="3"/>
  <c r="BJ159" i="3"/>
  <c r="BP159" i="3" s="1"/>
  <c r="BC160" i="3"/>
  <c r="BN160" i="3" s="1"/>
  <c r="BY161" i="3"/>
  <c r="CJ160" i="3"/>
  <c r="AV160" i="3" s="1"/>
  <c r="BR158" i="3"/>
  <c r="BF159" i="3"/>
  <c r="BQ159" i="3" s="1"/>
  <c r="D161" i="3"/>
  <c r="C162" i="3"/>
  <c r="BW161" i="3"/>
  <c r="CK161" i="3" s="1"/>
  <c r="BL161" i="3"/>
  <c r="AY161" i="3"/>
  <c r="BD161" i="3" s="1"/>
  <c r="AH161" i="3"/>
  <c r="P158" i="26" s="1"/>
  <c r="BK161" i="3"/>
  <c r="AG161" i="3"/>
  <c r="O158" i="26" s="1"/>
  <c r="AJ161" i="3"/>
  <c r="R158" i="26" s="1"/>
  <c r="AI161" i="3"/>
  <c r="Q158" i="26" s="1"/>
  <c r="BO159" i="3"/>
  <c r="AU159" i="3" s="1"/>
  <c r="CH150" i="14" l="1"/>
  <c r="CE150" i="14"/>
  <c r="BV162" i="3"/>
  <c r="BU162" i="3"/>
  <c r="CF149" i="14"/>
  <c r="CH149" i="14"/>
  <c r="BU149" i="14"/>
  <c r="CA149" i="14"/>
  <c r="CB149" i="14" s="1"/>
  <c r="BS149" i="14"/>
  <c r="BV149" i="14"/>
  <c r="BX149" i="14" s="1"/>
  <c r="BZ149" i="14"/>
  <c r="BT149" i="14"/>
  <c r="BW149" i="14" s="1"/>
  <c r="CJ149" i="14" s="1"/>
  <c r="CC156" i="3" s="1"/>
  <c r="BZ150" i="14"/>
  <c r="BU150" i="14"/>
  <c r="BV150" i="14"/>
  <c r="BX150" i="14" s="1"/>
  <c r="CK150" i="14" s="1"/>
  <c r="CD157" i="3" s="1"/>
  <c r="CA150" i="14"/>
  <c r="CB150" i="14" s="1"/>
  <c r="BT150" i="14"/>
  <c r="BW150" i="14" s="1"/>
  <c r="BS150" i="14"/>
  <c r="AY151" i="14"/>
  <c r="CE151" i="14" s="1"/>
  <c r="BQ151" i="14"/>
  <c r="BR151" i="14" s="1"/>
  <c r="CD152" i="14"/>
  <c r="BE152" i="14"/>
  <c r="BG152" i="14" s="1"/>
  <c r="BM405" i="14"/>
  <c r="BI405" i="14"/>
  <c r="BJ405" i="14" s="1"/>
  <c r="AA405" i="14"/>
  <c r="AV405" i="14" s="1"/>
  <c r="BC405" i="14"/>
  <c r="BD405" i="14" s="1"/>
  <c r="BB405" i="14"/>
  <c r="AB405" i="14"/>
  <c r="AD405" i="14"/>
  <c r="Z406" i="14"/>
  <c r="AE155" i="14"/>
  <c r="AE406" i="14"/>
  <c r="Z155" i="14"/>
  <c r="AW152" i="14"/>
  <c r="BT403" i="14"/>
  <c r="BW403" i="14" s="1"/>
  <c r="BV403" i="14"/>
  <c r="BX403" i="14" s="1"/>
  <c r="CA403" i="14"/>
  <c r="CB403" i="14" s="1"/>
  <c r="AW402" i="14"/>
  <c r="AY402" i="14" s="1"/>
  <c r="CH402" i="14" s="1"/>
  <c r="CM402" i="14" s="1"/>
  <c r="BB158" i="3" s="1"/>
  <c r="BQ404" i="14"/>
  <c r="BR404" i="14" s="1"/>
  <c r="BN404" i="14"/>
  <c r="BO404" i="14" s="1"/>
  <c r="AQ153" i="14"/>
  <c r="AR153" i="14" s="1"/>
  <c r="AS153" i="14" s="1"/>
  <c r="AT153" i="14" s="1"/>
  <c r="AU153" i="14" s="1"/>
  <c r="AF153" i="14"/>
  <c r="AG153" i="14" s="1"/>
  <c r="AH153" i="14" s="1"/>
  <c r="AI153" i="14" s="1"/>
  <c r="AJ153" i="14" s="1"/>
  <c r="AZ153" i="14"/>
  <c r="AC153" i="14"/>
  <c r="BA153" i="14"/>
  <c r="BK153" i="14" s="1"/>
  <c r="AK153" i="14"/>
  <c r="AL153" i="14" s="1"/>
  <c r="AM153" i="14" s="1"/>
  <c r="AN153" i="14" s="1"/>
  <c r="AO153" i="14" s="1"/>
  <c r="AP153" i="14" s="1"/>
  <c r="BN153" i="14"/>
  <c r="BO153" i="14" s="1"/>
  <c r="BE403" i="14"/>
  <c r="BG403" i="14" s="1"/>
  <c r="CD403" i="14"/>
  <c r="AF404" i="14"/>
  <c r="AG404" i="14" s="1"/>
  <c r="AH404" i="14" s="1"/>
  <c r="AI404" i="14" s="1"/>
  <c r="AJ404" i="14" s="1"/>
  <c r="AZ404" i="14"/>
  <c r="BA404" i="14"/>
  <c r="BK404" i="14" s="1"/>
  <c r="AQ404" i="14"/>
  <c r="AR404" i="14" s="1"/>
  <c r="AS404" i="14" s="1"/>
  <c r="AT404" i="14" s="1"/>
  <c r="AU404" i="14" s="1"/>
  <c r="AK404" i="14"/>
  <c r="AL404" i="14" s="1"/>
  <c r="AM404" i="14" s="1"/>
  <c r="AN404" i="14" s="1"/>
  <c r="AO404" i="14" s="1"/>
  <c r="AP404" i="14" s="1"/>
  <c r="AC404" i="14"/>
  <c r="AV153" i="14"/>
  <c r="AX153" i="14"/>
  <c r="AD154" i="14"/>
  <c r="AA154" i="14"/>
  <c r="BC154" i="14"/>
  <c r="BD154" i="14" s="1"/>
  <c r="BB154" i="14"/>
  <c r="BI154" i="14"/>
  <c r="BJ154" i="14" s="1"/>
  <c r="AB154" i="14"/>
  <c r="BM154" i="14"/>
  <c r="BZ403" i="14"/>
  <c r="BS403" i="14"/>
  <c r="BU403" i="14"/>
  <c r="AV404" i="14"/>
  <c r="AG403" i="14"/>
  <c r="AH403" i="14" s="1"/>
  <c r="AI403" i="14" s="1"/>
  <c r="AJ403" i="14" s="1"/>
  <c r="AW403" i="14"/>
  <c r="AY403" i="14" s="1"/>
  <c r="C159" i="26"/>
  <c r="C159" i="25"/>
  <c r="D158" i="25"/>
  <c r="D158" i="26"/>
  <c r="BI161" i="3"/>
  <c r="BG161" i="3"/>
  <c r="BM161" i="3" s="1"/>
  <c r="BH161" i="3"/>
  <c r="BE161" i="3"/>
  <c r="CJ161" i="3"/>
  <c r="AV161" i="3" s="1"/>
  <c r="CF162" i="3"/>
  <c r="AW158" i="3"/>
  <c r="BJ160" i="3"/>
  <c r="BP160" i="3" s="1"/>
  <c r="BR159" i="3"/>
  <c r="DD321" i="3"/>
  <c r="BC161" i="3"/>
  <c r="BN161" i="3" s="1"/>
  <c r="BY162" i="3"/>
  <c r="CI161" i="3"/>
  <c r="BF160" i="3"/>
  <c r="BQ160" i="3" s="1"/>
  <c r="D162" i="3"/>
  <c r="BG162" i="3" s="1"/>
  <c r="C163" i="3"/>
  <c r="BW162" i="3"/>
  <c r="CI162" i="3" s="1"/>
  <c r="BL162" i="3"/>
  <c r="BK162" i="3"/>
  <c r="AY162" i="3"/>
  <c r="AG162" i="3"/>
  <c r="O159" i="26" s="1"/>
  <c r="AJ162" i="3"/>
  <c r="R159" i="26" s="1"/>
  <c r="AI162" i="3"/>
  <c r="Q159" i="26" s="1"/>
  <c r="AH162" i="3"/>
  <c r="P159" i="26" s="1"/>
  <c r="BO160" i="3"/>
  <c r="AU160" i="3" s="1"/>
  <c r="CJ150" i="14" l="1"/>
  <c r="CC157" i="3" s="1"/>
  <c r="CM150" i="14"/>
  <c r="CG157" i="3" s="1"/>
  <c r="BD162" i="3"/>
  <c r="CK149" i="14"/>
  <c r="CD156" i="3" s="1"/>
  <c r="BV163" i="3"/>
  <c r="BU163" i="3"/>
  <c r="CF151" i="14"/>
  <c r="CM149" i="14"/>
  <c r="CG156" i="3" s="1"/>
  <c r="CH151" i="14"/>
  <c r="CE402" i="14"/>
  <c r="CJ402" i="14" s="1"/>
  <c r="AZ158" i="3" s="1"/>
  <c r="BZ151" i="14"/>
  <c r="CA151" i="14"/>
  <c r="CB151" i="14" s="1"/>
  <c r="BT151" i="14"/>
  <c r="BW151" i="14" s="1"/>
  <c r="CJ151" i="14" s="1"/>
  <c r="CC158" i="3" s="1"/>
  <c r="BU151" i="14"/>
  <c r="BV151" i="14"/>
  <c r="BX151" i="14" s="1"/>
  <c r="BS151" i="14"/>
  <c r="AY152" i="14"/>
  <c r="BQ152" i="14"/>
  <c r="BR152" i="14" s="1"/>
  <c r="AX405" i="14"/>
  <c r="DD322" i="3"/>
  <c r="CF402" i="14"/>
  <c r="CK402" i="14" s="1"/>
  <c r="BA158" i="3" s="1"/>
  <c r="AX154" i="14"/>
  <c r="AZ154" i="14"/>
  <c r="AK154" i="14"/>
  <c r="AL154" i="14" s="1"/>
  <c r="AM154" i="14" s="1"/>
  <c r="AN154" i="14" s="1"/>
  <c r="AO154" i="14" s="1"/>
  <c r="AP154" i="14" s="1"/>
  <c r="AC154" i="14"/>
  <c r="AF154" i="14"/>
  <c r="BA154" i="14"/>
  <c r="BK154" i="14" s="1"/>
  <c r="AQ154" i="14"/>
  <c r="AR154" i="14" s="1"/>
  <c r="AS154" i="14" s="1"/>
  <c r="AT154" i="14" s="1"/>
  <c r="AU154" i="14" s="1"/>
  <c r="CD404" i="14"/>
  <c r="BE404" i="14"/>
  <c r="BG404" i="14" s="1"/>
  <c r="CH403" i="14"/>
  <c r="CM403" i="14" s="1"/>
  <c r="BB159" i="3" s="1"/>
  <c r="CF403" i="14"/>
  <c r="CK403" i="14" s="1"/>
  <c r="BA159" i="3" s="1"/>
  <c r="CE403" i="14"/>
  <c r="CJ403" i="14" s="1"/>
  <c r="AZ159" i="3" s="1"/>
  <c r="CD153" i="14"/>
  <c r="BE153" i="14"/>
  <c r="BG153" i="14" s="1"/>
  <c r="BQ405" i="14"/>
  <c r="BR405" i="14" s="1"/>
  <c r="BN405" i="14"/>
  <c r="BO405" i="14" s="1"/>
  <c r="BN154" i="14"/>
  <c r="BO154" i="14" s="1"/>
  <c r="AV154" i="14"/>
  <c r="AK405" i="14"/>
  <c r="AL405" i="14" s="1"/>
  <c r="AM405" i="14" s="1"/>
  <c r="AN405" i="14" s="1"/>
  <c r="AO405" i="14" s="1"/>
  <c r="AP405" i="14" s="1"/>
  <c r="AC405" i="14"/>
  <c r="BA405" i="14"/>
  <c r="BK405" i="14" s="1"/>
  <c r="AQ405" i="14"/>
  <c r="AR405" i="14" s="1"/>
  <c r="AS405" i="14" s="1"/>
  <c r="AT405" i="14" s="1"/>
  <c r="AU405" i="14" s="1"/>
  <c r="AF405" i="14"/>
  <c r="AG405" i="14" s="1"/>
  <c r="AH405" i="14" s="1"/>
  <c r="AI405" i="14" s="1"/>
  <c r="AJ405" i="14" s="1"/>
  <c r="AZ405" i="14"/>
  <c r="BM406" i="14"/>
  <c r="AB406" i="14"/>
  <c r="BC406" i="14"/>
  <c r="BD406" i="14" s="1"/>
  <c r="BI406" i="14"/>
  <c r="BJ406" i="14" s="1"/>
  <c r="AA406" i="14"/>
  <c r="AX406" i="14" s="1"/>
  <c r="BB406" i="14"/>
  <c r="AD406" i="14"/>
  <c r="BZ404" i="14"/>
  <c r="BS404" i="14"/>
  <c r="BU404" i="14"/>
  <c r="AB155" i="14"/>
  <c r="BM155" i="14"/>
  <c r="BB155" i="14"/>
  <c r="AD155" i="14"/>
  <c r="AA155" i="14"/>
  <c r="AX155" i="14" s="1"/>
  <c r="BI155" i="14"/>
  <c r="BJ155" i="14" s="1"/>
  <c r="BC155" i="14"/>
  <c r="BD155" i="14" s="1"/>
  <c r="AE407" i="14"/>
  <c r="Z407" i="14"/>
  <c r="Z156" i="14"/>
  <c r="AE156" i="14"/>
  <c r="AW404" i="14"/>
  <c r="AY404" i="14" s="1"/>
  <c r="AW153" i="14"/>
  <c r="BT404" i="14"/>
  <c r="BW404" i="14" s="1"/>
  <c r="BV404" i="14"/>
  <c r="BX404" i="14" s="1"/>
  <c r="CA404" i="14"/>
  <c r="CB404" i="14" s="1"/>
  <c r="CF152" i="14"/>
  <c r="CH152" i="14"/>
  <c r="CE152" i="14"/>
  <c r="BI162" i="3"/>
  <c r="D159" i="26"/>
  <c r="D159" i="25"/>
  <c r="C160" i="26"/>
  <c r="C160" i="25"/>
  <c r="BH162" i="3"/>
  <c r="BE162" i="3"/>
  <c r="CF163" i="3"/>
  <c r="CK162" i="3"/>
  <c r="AW159" i="3"/>
  <c r="BR160" i="3"/>
  <c r="BC162" i="3"/>
  <c r="BN162" i="3" s="1"/>
  <c r="CJ162" i="3"/>
  <c r="AV162" i="3" s="1"/>
  <c r="BY163" i="3"/>
  <c r="BM162" i="3"/>
  <c r="BJ161" i="3"/>
  <c r="BP161" i="3" s="1"/>
  <c r="BF161" i="3"/>
  <c r="BQ161" i="3" s="1"/>
  <c r="D163" i="3"/>
  <c r="C164" i="3"/>
  <c r="BW163" i="3"/>
  <c r="CK163" i="3" s="1"/>
  <c r="BL163" i="3"/>
  <c r="BK163" i="3"/>
  <c r="AY163" i="3"/>
  <c r="AJ163" i="3"/>
  <c r="R160" i="26" s="1"/>
  <c r="AI163" i="3"/>
  <c r="Q160" i="26" s="1"/>
  <c r="AH163" i="3"/>
  <c r="P160" i="26" s="1"/>
  <c r="AG163" i="3"/>
  <c r="O160" i="26" s="1"/>
  <c r="BO161" i="3"/>
  <c r="AU161" i="3" s="1"/>
  <c r="CK151" i="14" l="1"/>
  <c r="CD158" i="3" s="1"/>
  <c r="BD163" i="3"/>
  <c r="BU164" i="3"/>
  <c r="BV164" i="3"/>
  <c r="CM151" i="14"/>
  <c r="CG158" i="3" s="1"/>
  <c r="AW160" i="3"/>
  <c r="BU152" i="14"/>
  <c r="CA152" i="14"/>
  <c r="CB152" i="14" s="1"/>
  <c r="CM152" i="14" s="1"/>
  <c r="CG159" i="3" s="1"/>
  <c r="BV152" i="14"/>
  <c r="BX152" i="14" s="1"/>
  <c r="CK152" i="14" s="1"/>
  <c r="CD159" i="3" s="1"/>
  <c r="BZ152" i="14"/>
  <c r="BS152" i="14"/>
  <c r="BT152" i="14"/>
  <c r="BW152" i="14" s="1"/>
  <c r="CJ152" i="14" s="1"/>
  <c r="CC159" i="3" s="1"/>
  <c r="AY153" i="14"/>
  <c r="CF153" i="14" s="1"/>
  <c r="BQ153" i="14"/>
  <c r="BR153" i="14" s="1"/>
  <c r="AV406" i="14"/>
  <c r="BE405" i="14"/>
  <c r="BG405" i="14" s="1"/>
  <c r="CD405" i="14"/>
  <c r="BS405" i="14"/>
  <c r="BZ405" i="14"/>
  <c r="BU405" i="14"/>
  <c r="AE408" i="14"/>
  <c r="Z408" i="14"/>
  <c r="AE157" i="14"/>
  <c r="Z157" i="14"/>
  <c r="AD156" i="14"/>
  <c r="BC156" i="14"/>
  <c r="BD156" i="14" s="1"/>
  <c r="AB156" i="14"/>
  <c r="BI156" i="14"/>
  <c r="BJ156" i="14" s="1"/>
  <c r="BB156" i="14"/>
  <c r="AA156" i="14"/>
  <c r="AX156" i="14" s="1"/>
  <c r="BM156" i="14"/>
  <c r="BE154" i="14"/>
  <c r="BG154" i="14" s="1"/>
  <c r="CD154" i="14"/>
  <c r="BM407" i="14"/>
  <c r="AA407" i="14"/>
  <c r="AX407" i="14" s="1"/>
  <c r="BC407" i="14"/>
  <c r="BD407" i="14" s="1"/>
  <c r="BI407" i="14"/>
  <c r="BJ407" i="14" s="1"/>
  <c r="BB407" i="14"/>
  <c r="AD407" i="14"/>
  <c r="AB407" i="14"/>
  <c r="BN155" i="14"/>
  <c r="BO155" i="14" s="1"/>
  <c r="CH404" i="14"/>
  <c r="CM404" i="14" s="1"/>
  <c r="BB160" i="3" s="1"/>
  <c r="CE404" i="14"/>
  <c r="CJ404" i="14" s="1"/>
  <c r="AZ160" i="3" s="1"/>
  <c r="CF404" i="14"/>
  <c r="CK404" i="14" s="1"/>
  <c r="BA160" i="3" s="1"/>
  <c r="AG154" i="14"/>
  <c r="AH154" i="14" s="1"/>
  <c r="AI154" i="14" s="1"/>
  <c r="AJ154" i="14" s="1"/>
  <c r="AV155" i="14"/>
  <c r="AQ155" i="14"/>
  <c r="AR155" i="14" s="1"/>
  <c r="AS155" i="14" s="1"/>
  <c r="AT155" i="14" s="1"/>
  <c r="AU155" i="14" s="1"/>
  <c r="AZ155" i="14"/>
  <c r="BA155" i="14"/>
  <c r="BK155" i="14" s="1"/>
  <c r="AC155" i="14"/>
  <c r="AF155" i="14"/>
  <c r="AK155" i="14"/>
  <c r="AL155" i="14" s="1"/>
  <c r="AM155" i="14" s="1"/>
  <c r="AN155" i="14" s="1"/>
  <c r="AO155" i="14" s="1"/>
  <c r="AP155" i="14" s="1"/>
  <c r="BA406" i="14"/>
  <c r="BK406" i="14" s="1"/>
  <c r="AC406" i="14"/>
  <c r="AQ406" i="14"/>
  <c r="AR406" i="14" s="1"/>
  <c r="AS406" i="14" s="1"/>
  <c r="AT406" i="14" s="1"/>
  <c r="AU406" i="14" s="1"/>
  <c r="AK406" i="14"/>
  <c r="AL406" i="14" s="1"/>
  <c r="AM406" i="14" s="1"/>
  <c r="AN406" i="14" s="1"/>
  <c r="AO406" i="14" s="1"/>
  <c r="AP406" i="14" s="1"/>
  <c r="AZ406" i="14"/>
  <c r="AF406" i="14"/>
  <c r="BQ406" i="14"/>
  <c r="BR406" i="14" s="1"/>
  <c r="BN406" i="14"/>
  <c r="BO406" i="14" s="1"/>
  <c r="AW405" i="14"/>
  <c r="AY405" i="14" s="1"/>
  <c r="CA405" i="14"/>
  <c r="CB405" i="14" s="1"/>
  <c r="BT405" i="14"/>
  <c r="BW405" i="14" s="1"/>
  <c r="BV405" i="14"/>
  <c r="BX405" i="14" s="1"/>
  <c r="BJ162" i="3"/>
  <c r="BP162" i="3" s="1"/>
  <c r="C161" i="26"/>
  <c r="C161" i="25"/>
  <c r="BG163" i="3"/>
  <c r="BM163" i="3" s="1"/>
  <c r="D160" i="26"/>
  <c r="D160" i="25"/>
  <c r="BI163" i="3"/>
  <c r="BH163" i="3"/>
  <c r="BE163" i="3"/>
  <c r="CF164" i="3"/>
  <c r="DD323" i="3"/>
  <c r="BC163" i="3"/>
  <c r="BN163" i="3" s="1"/>
  <c r="CJ163" i="3"/>
  <c r="AV163" i="3" s="1"/>
  <c r="BY164" i="3"/>
  <c r="CI163" i="3"/>
  <c r="BR161" i="3"/>
  <c r="BF162" i="3"/>
  <c r="BQ162" i="3" s="1"/>
  <c r="D164" i="3"/>
  <c r="C165" i="3"/>
  <c r="BK164" i="3"/>
  <c r="AY164" i="3"/>
  <c r="BW164" i="3"/>
  <c r="CJ164" i="3" s="1"/>
  <c r="AV164" i="3" s="1"/>
  <c r="BL164" i="3"/>
  <c r="AI164" i="3"/>
  <c r="Q161" i="26" s="1"/>
  <c r="AH164" i="3"/>
  <c r="P161" i="26" s="1"/>
  <c r="AG164" i="3"/>
  <c r="O161" i="26" s="1"/>
  <c r="AJ164" i="3"/>
  <c r="R161" i="26" s="1"/>
  <c r="BO162" i="3"/>
  <c r="AU162" i="3" s="1"/>
  <c r="CH153" i="14" l="1"/>
  <c r="BD164" i="3"/>
  <c r="BV165" i="3"/>
  <c r="BU165" i="3"/>
  <c r="CE153" i="14"/>
  <c r="CA153" i="14"/>
  <c r="CB153" i="14" s="1"/>
  <c r="BT153" i="14"/>
  <c r="BW153" i="14" s="1"/>
  <c r="BU153" i="14"/>
  <c r="BV153" i="14"/>
  <c r="BX153" i="14" s="1"/>
  <c r="CK153" i="14" s="1"/>
  <c r="CD160" i="3" s="1"/>
  <c r="BZ153" i="14"/>
  <c r="BS153" i="14"/>
  <c r="AV156" i="14"/>
  <c r="AV407" i="14"/>
  <c r="AE409" i="14"/>
  <c r="Z409" i="14"/>
  <c r="Z158" i="14"/>
  <c r="AE158" i="14"/>
  <c r="BE406" i="14"/>
  <c r="BG406" i="14" s="1"/>
  <c r="CD406" i="14"/>
  <c r="BQ407" i="14"/>
  <c r="BR407" i="14" s="1"/>
  <c r="BN407" i="14"/>
  <c r="BO407" i="14" s="1"/>
  <c r="CE405" i="14"/>
  <c r="CJ405" i="14" s="1"/>
  <c r="AZ161" i="3" s="1"/>
  <c r="BU406" i="14"/>
  <c r="BZ406" i="14"/>
  <c r="BS406" i="14"/>
  <c r="CD155" i="14"/>
  <c r="BE155" i="14"/>
  <c r="BG155" i="14" s="1"/>
  <c r="BT406" i="14"/>
  <c r="BW406" i="14" s="1"/>
  <c r="CA406" i="14"/>
  <c r="CB406" i="14" s="1"/>
  <c r="BV406" i="14"/>
  <c r="BX406" i="14" s="1"/>
  <c r="AG406" i="14"/>
  <c r="AH406" i="14" s="1"/>
  <c r="AI406" i="14" s="1"/>
  <c r="AJ406" i="14" s="1"/>
  <c r="AG155" i="14"/>
  <c r="AH155" i="14" s="1"/>
  <c r="AI155" i="14" s="1"/>
  <c r="AJ155" i="14" s="1"/>
  <c r="AK407" i="14"/>
  <c r="AL407" i="14" s="1"/>
  <c r="AM407" i="14" s="1"/>
  <c r="AN407" i="14" s="1"/>
  <c r="AO407" i="14" s="1"/>
  <c r="AP407" i="14" s="1"/>
  <c r="BA407" i="14"/>
  <c r="BK407" i="14" s="1"/>
  <c r="AC407" i="14"/>
  <c r="AF407" i="14"/>
  <c r="AQ407" i="14"/>
  <c r="AR407" i="14" s="1"/>
  <c r="AS407" i="14" s="1"/>
  <c r="AT407" i="14" s="1"/>
  <c r="AU407" i="14" s="1"/>
  <c r="AZ407" i="14"/>
  <c r="AW154" i="14"/>
  <c r="AK156" i="14"/>
  <c r="AL156" i="14" s="1"/>
  <c r="AM156" i="14" s="1"/>
  <c r="AN156" i="14" s="1"/>
  <c r="AO156" i="14" s="1"/>
  <c r="AP156" i="14" s="1"/>
  <c r="AF156" i="14"/>
  <c r="BA156" i="14"/>
  <c r="BK156" i="14" s="1"/>
  <c r="AQ156" i="14"/>
  <c r="AR156" i="14" s="1"/>
  <c r="AS156" i="14" s="1"/>
  <c r="AT156" i="14" s="1"/>
  <c r="AU156" i="14" s="1"/>
  <c r="AZ156" i="14"/>
  <c r="AC156" i="14"/>
  <c r="BM408" i="14"/>
  <c r="BC408" i="14"/>
  <c r="BD408" i="14" s="1"/>
  <c r="AB408" i="14"/>
  <c r="BI408" i="14"/>
  <c r="BJ408" i="14" s="1"/>
  <c r="AA408" i="14"/>
  <c r="BB408" i="14"/>
  <c r="AD408" i="14"/>
  <c r="CH405" i="14"/>
  <c r="CM405" i="14" s="1"/>
  <c r="BB161" i="3" s="1"/>
  <c r="CF405" i="14"/>
  <c r="CK405" i="14" s="1"/>
  <c r="BA161" i="3" s="1"/>
  <c r="BB157" i="14"/>
  <c r="AB157" i="14"/>
  <c r="BM157" i="14"/>
  <c r="AD157" i="14"/>
  <c r="AA157" i="14"/>
  <c r="AV157" i="14" s="1"/>
  <c r="BC157" i="14"/>
  <c r="BD157" i="14" s="1"/>
  <c r="BI157" i="14"/>
  <c r="BJ157" i="14" s="1"/>
  <c r="BN156" i="14"/>
  <c r="BO156" i="14" s="1"/>
  <c r="BR162" i="3"/>
  <c r="BG164" i="3"/>
  <c r="BM164" i="3" s="1"/>
  <c r="D161" i="25"/>
  <c r="D161" i="26"/>
  <c r="C162" i="26"/>
  <c r="C162" i="25"/>
  <c r="DD324" i="3"/>
  <c r="BI164" i="3"/>
  <c r="BH164" i="3"/>
  <c r="BE164" i="3"/>
  <c r="CF165" i="3"/>
  <c r="AW161" i="3"/>
  <c r="CK164" i="3"/>
  <c r="BC164" i="3"/>
  <c r="BN164" i="3" s="1"/>
  <c r="CI164" i="3"/>
  <c r="BY165" i="3"/>
  <c r="BJ163" i="3"/>
  <c r="BP163" i="3" s="1"/>
  <c r="BF163" i="3"/>
  <c r="BQ163" i="3" s="1"/>
  <c r="D165" i="3"/>
  <c r="BI165" i="3" s="1"/>
  <c r="C166" i="3"/>
  <c r="BK165" i="3"/>
  <c r="AY165" i="3"/>
  <c r="BL165" i="3"/>
  <c r="BW165" i="3"/>
  <c r="CK165" i="3" s="1"/>
  <c r="AH165" i="3"/>
  <c r="P162" i="26" s="1"/>
  <c r="AG165" i="3"/>
  <c r="O162" i="26" s="1"/>
  <c r="AJ165" i="3"/>
  <c r="R162" i="26" s="1"/>
  <c r="AI165" i="3"/>
  <c r="Q162" i="26" s="1"/>
  <c r="BO163" i="3"/>
  <c r="AU163" i="3" s="1"/>
  <c r="CM153" i="14" l="1"/>
  <c r="CG160" i="3" s="1"/>
  <c r="BD165" i="3"/>
  <c r="BV166" i="3"/>
  <c r="BU166" i="3"/>
  <c r="CJ153" i="14"/>
  <c r="CC160" i="3" s="1"/>
  <c r="AY154" i="14"/>
  <c r="CF154" i="14" s="1"/>
  <c r="BQ154" i="14"/>
  <c r="BR154" i="14" s="1"/>
  <c r="AW162" i="3"/>
  <c r="AX157" i="14"/>
  <c r="AW155" i="14"/>
  <c r="AW406" i="14"/>
  <c r="AY406" i="14" s="1"/>
  <c r="CE406" i="14" s="1"/>
  <c r="CJ406" i="14" s="1"/>
  <c r="AZ162" i="3" s="1"/>
  <c r="BQ408" i="14"/>
  <c r="BR408" i="14" s="1"/>
  <c r="BN408" i="14"/>
  <c r="BO408" i="14" s="1"/>
  <c r="BE407" i="14"/>
  <c r="BG407" i="14" s="1"/>
  <c r="CD407" i="14"/>
  <c r="Z410" i="14"/>
  <c r="AE159" i="14"/>
  <c r="AE410" i="14"/>
  <c r="Z159" i="14"/>
  <c r="AG156" i="14"/>
  <c r="AH156" i="14" s="1"/>
  <c r="AI156" i="14" s="1"/>
  <c r="AJ156" i="14" s="1"/>
  <c r="BZ407" i="14"/>
  <c r="BS407" i="14"/>
  <c r="BU407" i="14"/>
  <c r="AA158" i="14"/>
  <c r="AX158" i="14" s="1"/>
  <c r="BB158" i="14"/>
  <c r="BC158" i="14"/>
  <c r="BD158" i="14" s="1"/>
  <c r="BM158" i="14"/>
  <c r="AB158" i="14"/>
  <c r="BI158" i="14"/>
  <c r="BJ158" i="14" s="1"/>
  <c r="AD158" i="14"/>
  <c r="BN157" i="14"/>
  <c r="BO157" i="14" s="1"/>
  <c r="AF408" i="14"/>
  <c r="AG408" i="14" s="1"/>
  <c r="AH408" i="14" s="1"/>
  <c r="AI408" i="14" s="1"/>
  <c r="AJ408" i="14" s="1"/>
  <c r="AK408" i="14"/>
  <c r="AL408" i="14" s="1"/>
  <c r="AM408" i="14" s="1"/>
  <c r="AN408" i="14" s="1"/>
  <c r="AO408" i="14" s="1"/>
  <c r="AP408" i="14" s="1"/>
  <c r="AZ408" i="14"/>
  <c r="AQ408" i="14"/>
  <c r="AR408" i="14" s="1"/>
  <c r="AS408" i="14" s="1"/>
  <c r="AT408" i="14" s="1"/>
  <c r="AU408" i="14" s="1"/>
  <c r="BA408" i="14"/>
  <c r="BK408" i="14" s="1"/>
  <c r="AC408" i="14"/>
  <c r="BT407" i="14"/>
  <c r="BW407" i="14" s="1"/>
  <c r="CA407" i="14"/>
  <c r="CB407" i="14" s="1"/>
  <c r="BV407" i="14"/>
  <c r="BX407" i="14" s="1"/>
  <c r="BM409" i="14"/>
  <c r="BC409" i="14"/>
  <c r="BD409" i="14" s="1"/>
  <c r="BI409" i="14"/>
  <c r="BJ409" i="14" s="1"/>
  <c r="AA409" i="14"/>
  <c r="AD409" i="14"/>
  <c r="AB409" i="14"/>
  <c r="BB409" i="14"/>
  <c r="AK157" i="14"/>
  <c r="AL157" i="14" s="1"/>
  <c r="AM157" i="14" s="1"/>
  <c r="AN157" i="14" s="1"/>
  <c r="AO157" i="14" s="1"/>
  <c r="AP157" i="14" s="1"/>
  <c r="BA157" i="14"/>
  <c r="BK157" i="14" s="1"/>
  <c r="AZ157" i="14"/>
  <c r="AC157" i="14"/>
  <c r="AF157" i="14"/>
  <c r="AQ157" i="14"/>
  <c r="AR157" i="14" s="1"/>
  <c r="AS157" i="14" s="1"/>
  <c r="AT157" i="14" s="1"/>
  <c r="AU157" i="14" s="1"/>
  <c r="AX408" i="14"/>
  <c r="CD156" i="14"/>
  <c r="BE156" i="14"/>
  <c r="BG156" i="14" s="1"/>
  <c r="AG407" i="14"/>
  <c r="AH407" i="14" s="1"/>
  <c r="AI407" i="14" s="1"/>
  <c r="AJ407" i="14" s="1"/>
  <c r="AV408" i="14"/>
  <c r="C163" i="26"/>
  <c r="C163" i="25"/>
  <c r="BG165" i="3"/>
  <c r="BM165" i="3" s="1"/>
  <c r="D162" i="25"/>
  <c r="D162" i="26"/>
  <c r="BH165" i="3"/>
  <c r="BJ165" i="3" s="1"/>
  <c r="BP165" i="3" s="1"/>
  <c r="DD325" i="3"/>
  <c r="BE165" i="3"/>
  <c r="CF166" i="3"/>
  <c r="BJ164" i="3"/>
  <c r="BP164" i="3" s="1"/>
  <c r="BC165" i="3"/>
  <c r="BN165" i="3" s="1"/>
  <c r="CJ165" i="3"/>
  <c r="AV165" i="3" s="1"/>
  <c r="CI165" i="3"/>
  <c r="BY166" i="3"/>
  <c r="BR163" i="3"/>
  <c r="BF164" i="3"/>
  <c r="BQ164" i="3" s="1"/>
  <c r="D166" i="3"/>
  <c r="BG166" i="3" s="1"/>
  <c r="C167" i="3"/>
  <c r="AY166" i="3"/>
  <c r="BK166" i="3"/>
  <c r="AG166" i="3"/>
  <c r="O163" i="26" s="1"/>
  <c r="BL166" i="3"/>
  <c r="AJ166" i="3"/>
  <c r="R163" i="26" s="1"/>
  <c r="AI166" i="3"/>
  <c r="Q163" i="26" s="1"/>
  <c r="BW166" i="3"/>
  <c r="CJ166" i="3" s="1"/>
  <c r="AV166" i="3" s="1"/>
  <c r="AH166" i="3"/>
  <c r="P163" i="26" s="1"/>
  <c r="BO164" i="3"/>
  <c r="AU164" i="3" s="1"/>
  <c r="CE154" i="14" l="1"/>
  <c r="CH154" i="14"/>
  <c r="BD166" i="3"/>
  <c r="BV167" i="3"/>
  <c r="BU167" i="3"/>
  <c r="CH406" i="14"/>
  <c r="CM406" i="14" s="1"/>
  <c r="BB162" i="3" s="1"/>
  <c r="BU154" i="14"/>
  <c r="BV154" i="14"/>
  <c r="BX154" i="14" s="1"/>
  <c r="CK154" i="14" s="1"/>
  <c r="CD161" i="3" s="1"/>
  <c r="BT154" i="14"/>
  <c r="BW154" i="14" s="1"/>
  <c r="BZ154" i="14"/>
  <c r="BS154" i="14"/>
  <c r="CA154" i="14"/>
  <c r="CB154" i="14" s="1"/>
  <c r="AY155" i="14"/>
  <c r="BQ155" i="14"/>
  <c r="BR155" i="14" s="1"/>
  <c r="CF406" i="14"/>
  <c r="CK406" i="14" s="1"/>
  <c r="BA162" i="3" s="1"/>
  <c r="AW407" i="14"/>
  <c r="AY407" i="14" s="1"/>
  <c r="CE407" i="14" s="1"/>
  <c r="CJ407" i="14" s="1"/>
  <c r="AZ163" i="3" s="1"/>
  <c r="AV158" i="14"/>
  <c r="BH166" i="3"/>
  <c r="AE411" i="14"/>
  <c r="Z160" i="14"/>
  <c r="Z411" i="14"/>
  <c r="AE160" i="14"/>
  <c r="AG157" i="14"/>
  <c r="AH157" i="14" s="1"/>
  <c r="AI157" i="14" s="1"/>
  <c r="AJ157" i="14" s="1"/>
  <c r="AC409" i="14"/>
  <c r="AK409" i="14"/>
  <c r="AL409" i="14" s="1"/>
  <c r="AM409" i="14" s="1"/>
  <c r="AN409" i="14" s="1"/>
  <c r="AO409" i="14" s="1"/>
  <c r="AP409" i="14" s="1"/>
  <c r="BA409" i="14"/>
  <c r="BK409" i="14" s="1"/>
  <c r="AZ409" i="14"/>
  <c r="AQ409" i="14"/>
  <c r="AR409" i="14" s="1"/>
  <c r="AS409" i="14" s="1"/>
  <c r="AT409" i="14" s="1"/>
  <c r="AU409" i="14" s="1"/>
  <c r="AF409" i="14"/>
  <c r="AG409" i="14" s="1"/>
  <c r="AH409" i="14" s="1"/>
  <c r="AI409" i="14" s="1"/>
  <c r="AJ409" i="14" s="1"/>
  <c r="BS408" i="14"/>
  <c r="BU408" i="14"/>
  <c r="BZ408" i="14"/>
  <c r="AW408" i="14"/>
  <c r="AY408" i="14" s="1"/>
  <c r="BN409" i="14"/>
  <c r="BO409" i="14" s="1"/>
  <c r="BQ409" i="14"/>
  <c r="BR409" i="14" s="1"/>
  <c r="CD408" i="14"/>
  <c r="BE408" i="14"/>
  <c r="BG408" i="14" s="1"/>
  <c r="AK158" i="14"/>
  <c r="AL158" i="14" s="1"/>
  <c r="AM158" i="14" s="1"/>
  <c r="AN158" i="14" s="1"/>
  <c r="AO158" i="14" s="1"/>
  <c r="AP158" i="14" s="1"/>
  <c r="BA158" i="14"/>
  <c r="BK158" i="14" s="1"/>
  <c r="AQ158" i="14"/>
  <c r="AR158" i="14" s="1"/>
  <c r="AS158" i="14" s="1"/>
  <c r="AT158" i="14" s="1"/>
  <c r="AU158" i="14" s="1"/>
  <c r="AF158" i="14"/>
  <c r="AG158" i="14" s="1"/>
  <c r="AH158" i="14" s="1"/>
  <c r="AI158" i="14" s="1"/>
  <c r="AJ158" i="14" s="1"/>
  <c r="AC158" i="14"/>
  <c r="AZ158" i="14"/>
  <c r="AB159" i="14"/>
  <c r="BM159" i="14"/>
  <c r="BB159" i="14"/>
  <c r="BI159" i="14"/>
  <c r="BJ159" i="14" s="1"/>
  <c r="AA159" i="14"/>
  <c r="AV159" i="14" s="1"/>
  <c r="BC159" i="14"/>
  <c r="BD159" i="14" s="1"/>
  <c r="AD159" i="14"/>
  <c r="AW156" i="14"/>
  <c r="AX409" i="14"/>
  <c r="BN158" i="14"/>
  <c r="BO158" i="14" s="1"/>
  <c r="BV408" i="14"/>
  <c r="BX408" i="14" s="1"/>
  <c r="BT408" i="14"/>
  <c r="BW408" i="14" s="1"/>
  <c r="CA408" i="14"/>
  <c r="CB408" i="14" s="1"/>
  <c r="CD157" i="14"/>
  <c r="BE157" i="14"/>
  <c r="BG157" i="14" s="1"/>
  <c r="AV409" i="14"/>
  <c r="BM410" i="14"/>
  <c r="BI410" i="14"/>
  <c r="BJ410" i="14" s="1"/>
  <c r="AA410" i="14"/>
  <c r="AX410" i="14" s="1"/>
  <c r="AB410" i="14"/>
  <c r="BC410" i="14"/>
  <c r="BD410" i="14" s="1"/>
  <c r="BB410" i="14"/>
  <c r="AD410" i="14"/>
  <c r="C164" i="26"/>
  <c r="C164" i="25"/>
  <c r="BI166" i="3"/>
  <c r="D163" i="26"/>
  <c r="D163" i="25"/>
  <c r="BE166" i="3"/>
  <c r="CK166" i="3"/>
  <c r="CF167" i="3"/>
  <c r="AW163" i="3"/>
  <c r="BR164" i="3"/>
  <c r="DD326" i="3"/>
  <c r="BC166" i="3"/>
  <c r="BN166" i="3" s="1"/>
  <c r="CI166" i="3"/>
  <c r="BY167" i="3"/>
  <c r="BM166" i="3"/>
  <c r="BF165" i="3"/>
  <c r="BQ165" i="3" s="1"/>
  <c r="BR165" i="3" s="1"/>
  <c r="D167" i="3"/>
  <c r="BO165" i="3"/>
  <c r="AU165" i="3" s="1"/>
  <c r="C168" i="3"/>
  <c r="BW167" i="3"/>
  <c r="CK167" i="3" s="1"/>
  <c r="BL167" i="3"/>
  <c r="BK167" i="3"/>
  <c r="AJ167" i="3"/>
  <c r="R164" i="26" s="1"/>
  <c r="AI167" i="3"/>
  <c r="Q164" i="26" s="1"/>
  <c r="AY167" i="3"/>
  <c r="BD167" i="3" s="1"/>
  <c r="AH167" i="3"/>
  <c r="P164" i="26" s="1"/>
  <c r="AG167" i="3"/>
  <c r="O164" i="26" s="1"/>
  <c r="CJ154" i="14" l="1"/>
  <c r="CC161" i="3" s="1"/>
  <c r="CM154" i="14"/>
  <c r="CG161" i="3" s="1"/>
  <c r="BV168" i="3"/>
  <c r="BU168" i="3"/>
  <c r="CE155" i="14"/>
  <c r="CH155" i="14"/>
  <c r="CF155" i="14"/>
  <c r="AY156" i="14"/>
  <c r="CE156" i="14" s="1"/>
  <c r="BQ156" i="14"/>
  <c r="BR156" i="14" s="1"/>
  <c r="BS155" i="14"/>
  <c r="BT155" i="14"/>
  <c r="BW155" i="14" s="1"/>
  <c r="CA155" i="14"/>
  <c r="CB155" i="14" s="1"/>
  <c r="BU155" i="14"/>
  <c r="BZ155" i="14"/>
  <c r="BV155" i="14"/>
  <c r="BX155" i="14" s="1"/>
  <c r="CF407" i="14"/>
  <c r="CK407" i="14" s="1"/>
  <c r="BA163" i="3" s="1"/>
  <c r="CH407" i="14"/>
  <c r="CM407" i="14" s="1"/>
  <c r="BB163" i="3" s="1"/>
  <c r="AV410" i="14"/>
  <c r="AW157" i="14"/>
  <c r="CF156" i="14"/>
  <c r="AX159" i="14"/>
  <c r="CD158" i="14"/>
  <c r="BE158" i="14"/>
  <c r="BG158" i="14" s="1"/>
  <c r="BU409" i="14"/>
  <c r="BS409" i="14"/>
  <c r="BZ409" i="14"/>
  <c r="BC411" i="14"/>
  <c r="BD411" i="14" s="1"/>
  <c r="AA411" i="14"/>
  <c r="AX411" i="14" s="1"/>
  <c r="BI411" i="14"/>
  <c r="BJ411" i="14" s="1"/>
  <c r="AD411" i="14"/>
  <c r="BB411" i="14"/>
  <c r="AB411" i="14"/>
  <c r="BM411" i="14"/>
  <c r="BQ410" i="14"/>
  <c r="BR410" i="14" s="1"/>
  <c r="BN410" i="14"/>
  <c r="BO410" i="14" s="1"/>
  <c r="BE409" i="14"/>
  <c r="BG409" i="14" s="1"/>
  <c r="CD409" i="14"/>
  <c r="BN159" i="14"/>
  <c r="BO159" i="14" s="1"/>
  <c r="CH408" i="14"/>
  <c r="CM408" i="14" s="1"/>
  <c r="BB164" i="3" s="1"/>
  <c r="CE408" i="14"/>
  <c r="CJ408" i="14" s="1"/>
  <c r="AZ164" i="3" s="1"/>
  <c r="CF408" i="14"/>
  <c r="CK408" i="14" s="1"/>
  <c r="BA164" i="3" s="1"/>
  <c r="AW409" i="14"/>
  <c r="AY409" i="14" s="1"/>
  <c r="AE412" i="14"/>
  <c r="Z161" i="14"/>
  <c r="Z412" i="14"/>
  <c r="AE161" i="14"/>
  <c r="BM160" i="14"/>
  <c r="AA160" i="14"/>
  <c r="AX160" i="14" s="1"/>
  <c r="AB160" i="14"/>
  <c r="BB160" i="14"/>
  <c r="BC160" i="14"/>
  <c r="BD160" i="14" s="1"/>
  <c r="BI160" i="14"/>
  <c r="BJ160" i="14" s="1"/>
  <c r="AD160" i="14"/>
  <c r="AK410" i="14"/>
  <c r="AL410" i="14" s="1"/>
  <c r="AM410" i="14" s="1"/>
  <c r="AN410" i="14" s="1"/>
  <c r="AO410" i="14" s="1"/>
  <c r="AP410" i="14" s="1"/>
  <c r="AC410" i="14"/>
  <c r="BA410" i="14"/>
  <c r="BK410" i="14" s="1"/>
  <c r="AQ410" i="14"/>
  <c r="AR410" i="14" s="1"/>
  <c r="AS410" i="14" s="1"/>
  <c r="AT410" i="14" s="1"/>
  <c r="AU410" i="14" s="1"/>
  <c r="AZ410" i="14"/>
  <c r="AF410" i="14"/>
  <c r="AG410" i="14" s="1"/>
  <c r="AH410" i="14" s="1"/>
  <c r="AI410" i="14" s="1"/>
  <c r="AJ410" i="14" s="1"/>
  <c r="AC159" i="14"/>
  <c r="BA159" i="14"/>
  <c r="BK159" i="14" s="1"/>
  <c r="AZ159" i="14"/>
  <c r="AQ159" i="14"/>
  <c r="AR159" i="14" s="1"/>
  <c r="AS159" i="14" s="1"/>
  <c r="AT159" i="14" s="1"/>
  <c r="AU159" i="14" s="1"/>
  <c r="AK159" i="14"/>
  <c r="AL159" i="14" s="1"/>
  <c r="AM159" i="14" s="1"/>
  <c r="AN159" i="14" s="1"/>
  <c r="AO159" i="14" s="1"/>
  <c r="AP159" i="14" s="1"/>
  <c r="AF159" i="14"/>
  <c r="AG159" i="14" s="1"/>
  <c r="AH159" i="14" s="1"/>
  <c r="AI159" i="14" s="1"/>
  <c r="AJ159" i="14" s="1"/>
  <c r="AW158" i="14"/>
  <c r="CA409" i="14"/>
  <c r="CB409" i="14" s="1"/>
  <c r="BV409" i="14"/>
  <c r="BX409" i="14" s="1"/>
  <c r="BT409" i="14"/>
  <c r="BW409" i="14" s="1"/>
  <c r="DD327" i="3"/>
  <c r="D164" i="26"/>
  <c r="D164" i="25"/>
  <c r="C165" i="26"/>
  <c r="C165" i="25"/>
  <c r="BH167" i="3"/>
  <c r="BI167" i="3"/>
  <c r="BG167" i="3"/>
  <c r="BE167" i="3"/>
  <c r="CF168" i="3"/>
  <c r="AW164" i="3"/>
  <c r="BC167" i="3"/>
  <c r="BN167" i="3" s="1"/>
  <c r="CJ167" i="3"/>
  <c r="AV167" i="3" s="1"/>
  <c r="BY168" i="3"/>
  <c r="CI167" i="3"/>
  <c r="BJ166" i="3"/>
  <c r="BP166" i="3" s="1"/>
  <c r="BF166" i="3"/>
  <c r="BQ166" i="3" s="1"/>
  <c r="D168" i="3"/>
  <c r="BH168" i="3" s="1"/>
  <c r="AW165" i="3"/>
  <c r="BO166" i="3"/>
  <c r="AU166" i="3" s="1"/>
  <c r="C169" i="3"/>
  <c r="BL168" i="3"/>
  <c r="BW168" i="3"/>
  <c r="CI168" i="3" s="1"/>
  <c r="AY168" i="3"/>
  <c r="BK168" i="3"/>
  <c r="AI168" i="3"/>
  <c r="Q165" i="26" s="1"/>
  <c r="AH168" i="3"/>
  <c r="P165" i="26" s="1"/>
  <c r="AG168" i="3"/>
  <c r="O165" i="26" s="1"/>
  <c r="AJ168" i="3"/>
  <c r="R165" i="26" s="1"/>
  <c r="BD168" i="3" l="1"/>
  <c r="CH156" i="14"/>
  <c r="AV411" i="14"/>
  <c r="BV169" i="3"/>
  <c r="BU169" i="3"/>
  <c r="CJ155" i="14"/>
  <c r="CC162" i="3" s="1"/>
  <c r="CM155" i="14"/>
  <c r="CG162" i="3" s="1"/>
  <c r="CK155" i="14"/>
  <c r="CD162" i="3" s="1"/>
  <c r="AY158" i="14"/>
  <c r="CH158" i="14" s="1"/>
  <c r="BQ158" i="14"/>
  <c r="BR158" i="14" s="1"/>
  <c r="AY157" i="14"/>
  <c r="BQ157" i="14"/>
  <c r="BR157" i="14" s="1"/>
  <c r="BS156" i="14"/>
  <c r="BT156" i="14"/>
  <c r="BW156" i="14" s="1"/>
  <c r="CJ156" i="14" s="1"/>
  <c r="CC163" i="3" s="1"/>
  <c r="BZ156" i="14"/>
  <c r="CA156" i="14"/>
  <c r="CB156" i="14" s="1"/>
  <c r="BV156" i="14"/>
  <c r="BX156" i="14" s="1"/>
  <c r="CK156" i="14" s="1"/>
  <c r="CD163" i="3" s="1"/>
  <c r="BU156" i="14"/>
  <c r="CH157" i="14"/>
  <c r="AV160" i="14"/>
  <c r="CF409" i="14"/>
  <c r="CK409" i="14" s="1"/>
  <c r="BA165" i="3" s="1"/>
  <c r="Z413" i="14"/>
  <c r="AE413" i="14"/>
  <c r="AE162" i="14"/>
  <c r="Z162" i="14"/>
  <c r="AW159" i="14"/>
  <c r="AW410" i="14"/>
  <c r="AY410" i="14" s="1"/>
  <c r="CH409" i="14"/>
  <c r="CM409" i="14" s="1"/>
  <c r="BB165" i="3" s="1"/>
  <c r="CE409" i="14"/>
  <c r="CJ409" i="14" s="1"/>
  <c r="AZ165" i="3" s="1"/>
  <c r="BT410" i="14"/>
  <c r="BW410" i="14" s="1"/>
  <c r="BV410" i="14"/>
  <c r="BX410" i="14" s="1"/>
  <c r="CA410" i="14"/>
  <c r="CB410" i="14" s="1"/>
  <c r="BE159" i="14"/>
  <c r="BG159" i="14" s="1"/>
  <c r="CD159" i="14"/>
  <c r="AC160" i="14"/>
  <c r="AZ160" i="14"/>
  <c r="AK160" i="14"/>
  <c r="AL160" i="14" s="1"/>
  <c r="AM160" i="14" s="1"/>
  <c r="AN160" i="14" s="1"/>
  <c r="AO160" i="14" s="1"/>
  <c r="AP160" i="14" s="1"/>
  <c r="AF160" i="14"/>
  <c r="AG160" i="14" s="1"/>
  <c r="AH160" i="14" s="1"/>
  <c r="AI160" i="14" s="1"/>
  <c r="AJ160" i="14" s="1"/>
  <c r="AQ160" i="14"/>
  <c r="AR160" i="14" s="1"/>
  <c r="AS160" i="14" s="1"/>
  <c r="AT160" i="14" s="1"/>
  <c r="AU160" i="14" s="1"/>
  <c r="BA160" i="14"/>
  <c r="BK160" i="14" s="1"/>
  <c r="BB161" i="14"/>
  <c r="BM161" i="14"/>
  <c r="AB161" i="14"/>
  <c r="AD161" i="14"/>
  <c r="AA161" i="14"/>
  <c r="AX161" i="14" s="1"/>
  <c r="BC161" i="14"/>
  <c r="BD161" i="14" s="1"/>
  <c r="BI161" i="14"/>
  <c r="BJ161" i="14" s="1"/>
  <c r="BN411" i="14"/>
  <c r="BO411" i="14" s="1"/>
  <c r="BQ411" i="14"/>
  <c r="BR411" i="14" s="1"/>
  <c r="CD410" i="14"/>
  <c r="BE410" i="14"/>
  <c r="BG410" i="14" s="1"/>
  <c r="BM412" i="14"/>
  <c r="AA412" i="14"/>
  <c r="AV412" i="14" s="1"/>
  <c r="BC412" i="14"/>
  <c r="BD412" i="14" s="1"/>
  <c r="AB412" i="14"/>
  <c r="BI412" i="14"/>
  <c r="BJ412" i="14" s="1"/>
  <c r="AD412" i="14"/>
  <c r="BB412" i="14"/>
  <c r="BN160" i="14"/>
  <c r="BO160" i="14" s="1"/>
  <c r="BZ410" i="14"/>
  <c r="BS410" i="14"/>
  <c r="BU410" i="14"/>
  <c r="AF411" i="14"/>
  <c r="AK411" i="14"/>
  <c r="AL411" i="14" s="1"/>
  <c r="AM411" i="14" s="1"/>
  <c r="AN411" i="14" s="1"/>
  <c r="AO411" i="14" s="1"/>
  <c r="AP411" i="14" s="1"/>
  <c r="AZ411" i="14"/>
  <c r="BA411" i="14"/>
  <c r="BK411" i="14" s="1"/>
  <c r="AQ411" i="14"/>
  <c r="AR411" i="14" s="1"/>
  <c r="AS411" i="14" s="1"/>
  <c r="AT411" i="14" s="1"/>
  <c r="AU411" i="14" s="1"/>
  <c r="AC411" i="14"/>
  <c r="DD328" i="3"/>
  <c r="BG168" i="3"/>
  <c r="BM168" i="3" s="1"/>
  <c r="C166" i="26"/>
  <c r="C166" i="25"/>
  <c r="BI168" i="3"/>
  <c r="BJ168" i="3" s="1"/>
  <c r="BP168" i="3" s="1"/>
  <c r="D165" i="26"/>
  <c r="D165" i="25"/>
  <c r="BE168" i="3"/>
  <c r="CK168" i="3"/>
  <c r="CF169" i="3"/>
  <c r="BC168" i="3"/>
  <c r="BN168" i="3" s="1"/>
  <c r="BY169" i="3"/>
  <c r="BR166" i="3"/>
  <c r="CJ168" i="3"/>
  <c r="AV168" i="3" s="1"/>
  <c r="BJ167" i="3"/>
  <c r="BP167" i="3" s="1"/>
  <c r="BM167" i="3"/>
  <c r="BO167" i="3" s="1"/>
  <c r="AU167" i="3" s="1"/>
  <c r="BF167" i="3"/>
  <c r="BQ167" i="3" s="1"/>
  <c r="D169" i="3"/>
  <c r="C170" i="3"/>
  <c r="BK169" i="3"/>
  <c r="AY169" i="3"/>
  <c r="BL169" i="3"/>
  <c r="BW169" i="3"/>
  <c r="CI169" i="3" s="1"/>
  <c r="AH169" i="3"/>
  <c r="P166" i="26" s="1"/>
  <c r="AG169" i="3"/>
  <c r="O166" i="26" s="1"/>
  <c r="AJ169" i="3"/>
  <c r="R166" i="26" s="1"/>
  <c r="AI169" i="3"/>
  <c r="Q166" i="26" s="1"/>
  <c r="BD169" i="3" l="1"/>
  <c r="CE158" i="14"/>
  <c r="CM156" i="14"/>
  <c r="CG163" i="3" s="1"/>
  <c r="BV170" i="3"/>
  <c r="BU170" i="3"/>
  <c r="CF158" i="14"/>
  <c r="CE157" i="14"/>
  <c r="CF157" i="14"/>
  <c r="AY159" i="14"/>
  <c r="CH159" i="14" s="1"/>
  <c r="BQ159" i="14"/>
  <c r="BR159" i="14" s="1"/>
  <c r="BU158" i="14"/>
  <c r="BT158" i="14"/>
  <c r="BW158" i="14" s="1"/>
  <c r="BS158" i="14"/>
  <c r="BV158" i="14"/>
  <c r="BX158" i="14" s="1"/>
  <c r="BZ158" i="14"/>
  <c r="CA158" i="14"/>
  <c r="CB158" i="14" s="1"/>
  <c r="CM158" i="14" s="1"/>
  <c r="CG165" i="3" s="1"/>
  <c r="BS157" i="14"/>
  <c r="BV157" i="14"/>
  <c r="BX157" i="14" s="1"/>
  <c r="CA157" i="14"/>
  <c r="CB157" i="14" s="1"/>
  <c r="CM157" i="14" s="1"/>
  <c r="CG164" i="3" s="1"/>
  <c r="BT157" i="14"/>
  <c r="BW157" i="14" s="1"/>
  <c r="BU157" i="14"/>
  <c r="BZ157" i="14"/>
  <c r="BQ412" i="14"/>
  <c r="BR412" i="14" s="1"/>
  <c r="BN412" i="14"/>
  <c r="BO412" i="14" s="1"/>
  <c r="BA412" i="14"/>
  <c r="BK412" i="14" s="1"/>
  <c r="AK412" i="14"/>
  <c r="AL412" i="14" s="1"/>
  <c r="AM412" i="14" s="1"/>
  <c r="AN412" i="14" s="1"/>
  <c r="AO412" i="14" s="1"/>
  <c r="AP412" i="14" s="1"/>
  <c r="AF412" i="14"/>
  <c r="AQ412" i="14"/>
  <c r="AR412" i="14" s="1"/>
  <c r="AS412" i="14" s="1"/>
  <c r="AT412" i="14" s="1"/>
  <c r="AU412" i="14" s="1"/>
  <c r="AZ412" i="14"/>
  <c r="AC412" i="14"/>
  <c r="BV411" i="14"/>
  <c r="BX411" i="14" s="1"/>
  <c r="BT411" i="14"/>
  <c r="BW411" i="14" s="1"/>
  <c r="CA411" i="14"/>
  <c r="CB411" i="14" s="1"/>
  <c r="BA161" i="14"/>
  <c r="BK161" i="14" s="1"/>
  <c r="AZ161" i="14"/>
  <c r="AK161" i="14"/>
  <c r="AL161" i="14" s="1"/>
  <c r="AM161" i="14" s="1"/>
  <c r="AN161" i="14" s="1"/>
  <c r="AO161" i="14" s="1"/>
  <c r="AP161" i="14" s="1"/>
  <c r="AQ161" i="14"/>
  <c r="AR161" i="14" s="1"/>
  <c r="AS161" i="14" s="1"/>
  <c r="AT161" i="14" s="1"/>
  <c r="AU161" i="14" s="1"/>
  <c r="AF161" i="14"/>
  <c r="AC161" i="14"/>
  <c r="AW160" i="14"/>
  <c r="AG411" i="14"/>
  <c r="AH411" i="14" s="1"/>
  <c r="AI411" i="14" s="1"/>
  <c r="AJ411" i="14" s="1"/>
  <c r="CD411" i="14"/>
  <c r="BE411" i="14"/>
  <c r="BG411" i="14" s="1"/>
  <c r="AX412" i="14"/>
  <c r="BM413" i="14"/>
  <c r="AA413" i="14"/>
  <c r="AV413" i="14" s="1"/>
  <c r="BC413" i="14"/>
  <c r="BD413" i="14" s="1"/>
  <c r="BI413" i="14"/>
  <c r="BJ413" i="14" s="1"/>
  <c r="AB413" i="14"/>
  <c r="BB413" i="14"/>
  <c r="AD413" i="14"/>
  <c r="AE414" i="14"/>
  <c r="Z414" i="14"/>
  <c r="Z163" i="14"/>
  <c r="AE163" i="14"/>
  <c r="BU411" i="14"/>
  <c r="BS411" i="14"/>
  <c r="BZ411" i="14"/>
  <c r="CE410" i="14"/>
  <c r="CJ410" i="14" s="1"/>
  <c r="AZ166" i="3" s="1"/>
  <c r="CF410" i="14"/>
  <c r="CK410" i="14" s="1"/>
  <c r="BA166" i="3" s="1"/>
  <c r="CH410" i="14"/>
  <c r="CM410" i="14" s="1"/>
  <c r="BB166" i="3" s="1"/>
  <c r="BN161" i="14"/>
  <c r="BO161" i="14" s="1"/>
  <c r="CD160" i="14"/>
  <c r="BE160" i="14"/>
  <c r="BG160" i="14" s="1"/>
  <c r="CE159" i="14"/>
  <c r="AV161" i="14"/>
  <c r="AD162" i="14"/>
  <c r="BC162" i="14"/>
  <c r="BD162" i="14" s="1"/>
  <c r="AB162" i="14"/>
  <c r="BI162" i="14"/>
  <c r="BJ162" i="14" s="1"/>
  <c r="AA162" i="14"/>
  <c r="AX162" i="14" s="1"/>
  <c r="BM162" i="14"/>
  <c r="BB162" i="14"/>
  <c r="C167" i="26"/>
  <c r="C167" i="25"/>
  <c r="BH169" i="3"/>
  <c r="D166" i="25"/>
  <c r="D166" i="26"/>
  <c r="BG169" i="3"/>
  <c r="BM169" i="3" s="1"/>
  <c r="BI169" i="3"/>
  <c r="BE169" i="3"/>
  <c r="CF170" i="3"/>
  <c r="CK169" i="3"/>
  <c r="AW166" i="3"/>
  <c r="BC169" i="3"/>
  <c r="BN169" i="3" s="1"/>
  <c r="CJ169" i="3"/>
  <c r="AV169" i="3" s="1"/>
  <c r="BY170" i="3"/>
  <c r="DD329" i="3"/>
  <c r="BR167" i="3"/>
  <c r="BF168" i="3"/>
  <c r="BQ168" i="3" s="1"/>
  <c r="BR168" i="3" s="1"/>
  <c r="D170" i="3"/>
  <c r="BG170" i="3" s="1"/>
  <c r="BO168" i="3"/>
  <c r="AU168" i="3" s="1"/>
  <c r="C171" i="3"/>
  <c r="BL170" i="3"/>
  <c r="BW170" i="3"/>
  <c r="CK170" i="3" s="1"/>
  <c r="AY170" i="3"/>
  <c r="AG170" i="3"/>
  <c r="O167" i="26" s="1"/>
  <c r="BK170" i="3"/>
  <c r="AJ170" i="3"/>
  <c r="R167" i="26" s="1"/>
  <c r="AI170" i="3"/>
  <c r="Q167" i="26" s="1"/>
  <c r="AH170" i="3"/>
  <c r="P167" i="26" s="1"/>
  <c r="CK158" i="14" l="1"/>
  <c r="CD165" i="3" s="1"/>
  <c r="BD170" i="3"/>
  <c r="CJ158" i="14"/>
  <c r="CC165" i="3" s="1"/>
  <c r="CF159" i="14"/>
  <c r="CJ157" i="14"/>
  <c r="CC164" i="3" s="1"/>
  <c r="BV171" i="3"/>
  <c r="BU171" i="3"/>
  <c r="CK157" i="14"/>
  <c r="CD164" i="3" s="1"/>
  <c r="BS159" i="14"/>
  <c r="BV159" i="14"/>
  <c r="BX159" i="14" s="1"/>
  <c r="BT159" i="14"/>
  <c r="BW159" i="14" s="1"/>
  <c r="CJ159" i="14" s="1"/>
  <c r="CC166" i="3" s="1"/>
  <c r="BZ159" i="14"/>
  <c r="CA159" i="14"/>
  <c r="CB159" i="14" s="1"/>
  <c r="CM159" i="14" s="1"/>
  <c r="CG166" i="3" s="1"/>
  <c r="BU159" i="14"/>
  <c r="AY160" i="14"/>
  <c r="CF160" i="14" s="1"/>
  <c r="BQ160" i="14"/>
  <c r="BR160" i="14" s="1"/>
  <c r="DD330" i="3"/>
  <c r="AX413" i="14"/>
  <c r="AW411" i="14"/>
  <c r="AY411" i="14" s="1"/>
  <c r="CF411" i="14" s="1"/>
  <c r="CK411" i="14" s="1"/>
  <c r="BA167" i="3" s="1"/>
  <c r="BH170" i="3"/>
  <c r="Z415" i="14"/>
  <c r="AE415" i="14"/>
  <c r="AE164" i="14"/>
  <c r="Z164" i="14"/>
  <c r="BN413" i="14"/>
  <c r="BO413" i="14" s="1"/>
  <c r="BQ413" i="14"/>
  <c r="BR413" i="14" s="1"/>
  <c r="BN162" i="14"/>
  <c r="BO162" i="14" s="1"/>
  <c r="CD412" i="14"/>
  <c r="BE412" i="14"/>
  <c r="BG412" i="14" s="1"/>
  <c r="AC162" i="14"/>
  <c r="AZ162" i="14"/>
  <c r="AK162" i="14"/>
  <c r="AL162" i="14" s="1"/>
  <c r="AM162" i="14" s="1"/>
  <c r="AN162" i="14" s="1"/>
  <c r="AO162" i="14" s="1"/>
  <c r="AP162" i="14" s="1"/>
  <c r="BA162" i="14"/>
  <c r="BK162" i="14" s="1"/>
  <c r="AF162" i="14"/>
  <c r="AG162" i="14" s="1"/>
  <c r="AH162" i="14" s="1"/>
  <c r="AI162" i="14" s="1"/>
  <c r="AJ162" i="14" s="1"/>
  <c r="AQ162" i="14"/>
  <c r="AR162" i="14" s="1"/>
  <c r="AS162" i="14" s="1"/>
  <c r="AT162" i="14" s="1"/>
  <c r="AU162" i="14" s="1"/>
  <c r="BM163" i="14"/>
  <c r="AB163" i="14"/>
  <c r="AD163" i="14"/>
  <c r="BB163" i="14"/>
  <c r="AA163" i="14"/>
  <c r="AV163" i="14" s="1"/>
  <c r="BC163" i="14"/>
  <c r="BD163" i="14" s="1"/>
  <c r="BI163" i="14"/>
  <c r="BJ163" i="14" s="1"/>
  <c r="AV162" i="14"/>
  <c r="BE161" i="14"/>
  <c r="BG161" i="14" s="1"/>
  <c r="CD161" i="14"/>
  <c r="AG412" i="14"/>
  <c r="AH412" i="14" s="1"/>
  <c r="AI412" i="14" s="1"/>
  <c r="AJ412" i="14" s="1"/>
  <c r="BU412" i="14"/>
  <c r="BZ412" i="14"/>
  <c r="BS412" i="14"/>
  <c r="BM414" i="14"/>
  <c r="BC414" i="14"/>
  <c r="BD414" i="14" s="1"/>
  <c r="BI414" i="14"/>
  <c r="BJ414" i="14" s="1"/>
  <c r="AA414" i="14"/>
  <c r="AV414" i="14" s="1"/>
  <c r="AB414" i="14"/>
  <c r="AD414" i="14"/>
  <c r="BB414" i="14"/>
  <c r="AK413" i="14"/>
  <c r="AL413" i="14" s="1"/>
  <c r="AM413" i="14" s="1"/>
  <c r="AN413" i="14" s="1"/>
  <c r="AO413" i="14" s="1"/>
  <c r="AP413" i="14" s="1"/>
  <c r="BA413" i="14"/>
  <c r="BK413" i="14" s="1"/>
  <c r="AC413" i="14"/>
  <c r="AF413" i="14"/>
  <c r="AG413" i="14" s="1"/>
  <c r="AH413" i="14" s="1"/>
  <c r="AI413" i="14" s="1"/>
  <c r="AJ413" i="14" s="1"/>
  <c r="AQ413" i="14"/>
  <c r="AR413" i="14" s="1"/>
  <c r="AS413" i="14" s="1"/>
  <c r="AT413" i="14" s="1"/>
  <c r="AU413" i="14" s="1"/>
  <c r="AZ413" i="14"/>
  <c r="AG161" i="14"/>
  <c r="AH161" i="14" s="1"/>
  <c r="AI161" i="14" s="1"/>
  <c r="AJ161" i="14" s="1"/>
  <c r="BT412" i="14"/>
  <c r="BW412" i="14" s="1"/>
  <c r="CA412" i="14"/>
  <c r="CB412" i="14" s="1"/>
  <c r="BV412" i="14"/>
  <c r="BX412" i="14" s="1"/>
  <c r="D167" i="26"/>
  <c r="D167" i="25"/>
  <c r="C168" i="26"/>
  <c r="C168" i="25"/>
  <c r="BI170" i="3"/>
  <c r="BE170" i="3"/>
  <c r="CF171" i="3"/>
  <c r="AW167" i="3"/>
  <c r="BC170" i="3"/>
  <c r="BN170" i="3" s="1"/>
  <c r="BJ169" i="3"/>
  <c r="BP169" i="3" s="1"/>
  <c r="CI170" i="3"/>
  <c r="CJ170" i="3"/>
  <c r="AV170" i="3" s="1"/>
  <c r="BY171" i="3"/>
  <c r="BM170" i="3"/>
  <c r="BF169" i="3"/>
  <c r="BQ169" i="3" s="1"/>
  <c r="D171" i="3"/>
  <c r="BH171" i="3" s="1"/>
  <c r="AW168" i="3"/>
  <c r="C172" i="3"/>
  <c r="BK171" i="3"/>
  <c r="AY171" i="3"/>
  <c r="BD171" i="3" s="1"/>
  <c r="BL171" i="3"/>
  <c r="BW171" i="3"/>
  <c r="CJ171" i="3" s="1"/>
  <c r="AV171" i="3" s="1"/>
  <c r="AJ171" i="3"/>
  <c r="R168" i="26" s="1"/>
  <c r="AI171" i="3"/>
  <c r="Q168" i="26" s="1"/>
  <c r="AH171" i="3"/>
  <c r="P168" i="26" s="1"/>
  <c r="AG171" i="3"/>
  <c r="O168" i="26" s="1"/>
  <c r="BO169" i="3"/>
  <c r="AU169" i="3" s="1"/>
  <c r="CK159" i="14" l="1"/>
  <c r="CD166" i="3" s="1"/>
  <c r="BU172" i="3"/>
  <c r="BV172" i="3"/>
  <c r="CH411" i="14"/>
  <c r="CM411" i="14" s="1"/>
  <c r="BB167" i="3" s="1"/>
  <c r="CE160" i="14"/>
  <c r="CH160" i="14"/>
  <c r="CE411" i="14"/>
  <c r="CJ411" i="14" s="1"/>
  <c r="AZ167" i="3" s="1"/>
  <c r="AX414" i="14"/>
  <c r="CA160" i="14"/>
  <c r="CB160" i="14" s="1"/>
  <c r="BS160" i="14"/>
  <c r="BV160" i="14"/>
  <c r="BX160" i="14" s="1"/>
  <c r="CK160" i="14" s="1"/>
  <c r="CD167" i="3" s="1"/>
  <c r="BZ160" i="14"/>
  <c r="BT160" i="14"/>
  <c r="BW160" i="14" s="1"/>
  <c r="BU160" i="14"/>
  <c r="AW161" i="14"/>
  <c r="BJ170" i="3"/>
  <c r="BP170" i="3" s="1"/>
  <c r="AX163" i="14"/>
  <c r="AW412" i="14"/>
  <c r="AY412" i="14" s="1"/>
  <c r="CH412" i="14" s="1"/>
  <c r="CM412" i="14" s="1"/>
  <c r="BB168" i="3" s="1"/>
  <c r="AC163" i="14"/>
  <c r="AK163" i="14"/>
  <c r="AL163" i="14" s="1"/>
  <c r="AM163" i="14" s="1"/>
  <c r="AN163" i="14" s="1"/>
  <c r="AO163" i="14" s="1"/>
  <c r="AP163" i="14" s="1"/>
  <c r="AF163" i="14"/>
  <c r="AG163" i="14" s="1"/>
  <c r="AH163" i="14" s="1"/>
  <c r="AI163" i="14" s="1"/>
  <c r="AJ163" i="14" s="1"/>
  <c r="AQ163" i="14"/>
  <c r="AR163" i="14" s="1"/>
  <c r="AS163" i="14" s="1"/>
  <c r="AT163" i="14" s="1"/>
  <c r="AU163" i="14" s="1"/>
  <c r="AZ163" i="14"/>
  <c r="BA163" i="14"/>
  <c r="BK163" i="14" s="1"/>
  <c r="BN163" i="14"/>
  <c r="BO163" i="14" s="1"/>
  <c r="AW162" i="14"/>
  <c r="BU413" i="14"/>
  <c r="BS413" i="14"/>
  <c r="BZ413" i="14"/>
  <c r="AD164" i="14"/>
  <c r="AA164" i="14"/>
  <c r="BC164" i="14"/>
  <c r="BD164" i="14" s="1"/>
  <c r="BB164" i="14"/>
  <c r="BM164" i="14"/>
  <c r="AB164" i="14"/>
  <c r="BI164" i="14"/>
  <c r="BJ164" i="14" s="1"/>
  <c r="AW413" i="14"/>
  <c r="AY413" i="14" s="1"/>
  <c r="AC414" i="14"/>
  <c r="BA414" i="14"/>
  <c r="BK414" i="14" s="1"/>
  <c r="AQ414" i="14"/>
  <c r="AR414" i="14" s="1"/>
  <c r="AS414" i="14" s="1"/>
  <c r="AT414" i="14" s="1"/>
  <c r="AU414" i="14" s="1"/>
  <c r="AZ414" i="14"/>
  <c r="AK414" i="14"/>
  <c r="AL414" i="14" s="1"/>
  <c r="AM414" i="14" s="1"/>
  <c r="AN414" i="14" s="1"/>
  <c r="AO414" i="14" s="1"/>
  <c r="AP414" i="14" s="1"/>
  <c r="AF414" i="14"/>
  <c r="BE413" i="14"/>
  <c r="BG413" i="14" s="1"/>
  <c r="CD413" i="14"/>
  <c r="BQ414" i="14"/>
  <c r="BR414" i="14" s="1"/>
  <c r="BN414" i="14"/>
  <c r="BO414" i="14" s="1"/>
  <c r="Z416" i="14"/>
  <c r="AE165" i="14"/>
  <c r="AE416" i="14"/>
  <c r="Z165" i="14"/>
  <c r="BE162" i="14"/>
  <c r="BG162" i="14" s="1"/>
  <c r="CD162" i="14"/>
  <c r="BV413" i="14"/>
  <c r="BX413" i="14" s="1"/>
  <c r="CA413" i="14"/>
  <c r="CB413" i="14" s="1"/>
  <c r="BT413" i="14"/>
  <c r="BW413" i="14" s="1"/>
  <c r="BM415" i="14"/>
  <c r="BC415" i="14"/>
  <c r="BD415" i="14" s="1"/>
  <c r="BI415" i="14"/>
  <c r="BJ415" i="14" s="1"/>
  <c r="AA415" i="14"/>
  <c r="AX415" i="14" s="1"/>
  <c r="AD415" i="14"/>
  <c r="AB415" i="14"/>
  <c r="BB415" i="14"/>
  <c r="BG171" i="3"/>
  <c r="BM171" i="3" s="1"/>
  <c r="D168" i="26"/>
  <c r="D168" i="25"/>
  <c r="C169" i="26"/>
  <c r="C169" i="25"/>
  <c r="BI171" i="3"/>
  <c r="BE171" i="3"/>
  <c r="CK171" i="3"/>
  <c r="CF172" i="3"/>
  <c r="BR169" i="3"/>
  <c r="BC171" i="3"/>
  <c r="BN171" i="3" s="1"/>
  <c r="CI171" i="3"/>
  <c r="BY172" i="3"/>
  <c r="DD331" i="3"/>
  <c r="BF170" i="3"/>
  <c r="BQ170" i="3" s="1"/>
  <c r="D172" i="3"/>
  <c r="BI172" i="3" s="1"/>
  <c r="BO170" i="3"/>
  <c r="AU170" i="3" s="1"/>
  <c r="C173" i="3"/>
  <c r="BW172" i="3"/>
  <c r="CJ172" i="3" s="1"/>
  <c r="AV172" i="3" s="1"/>
  <c r="BL172" i="3"/>
  <c r="AY172" i="3"/>
  <c r="BD172" i="3" s="1"/>
  <c r="BK172" i="3"/>
  <c r="AI172" i="3"/>
  <c r="Q169" i="26" s="1"/>
  <c r="AH172" i="3"/>
  <c r="P169" i="26" s="1"/>
  <c r="AG172" i="3"/>
  <c r="O169" i="26" s="1"/>
  <c r="AJ172" i="3"/>
  <c r="R169" i="26" s="1"/>
  <c r="BV173" i="3" l="1"/>
  <c r="BU173" i="3"/>
  <c r="CJ160" i="14"/>
  <c r="CC167" i="3" s="1"/>
  <c r="CM160" i="14"/>
  <c r="CG167" i="3" s="1"/>
  <c r="CE412" i="14"/>
  <c r="CJ412" i="14" s="1"/>
  <c r="AZ168" i="3" s="1"/>
  <c r="AY162" i="14"/>
  <c r="CH162" i="14" s="1"/>
  <c r="BQ162" i="14"/>
  <c r="BR162" i="14" s="1"/>
  <c r="AY161" i="14"/>
  <c r="CH161" i="14" s="1"/>
  <c r="BQ161" i="14"/>
  <c r="BR161" i="14" s="1"/>
  <c r="BR170" i="3"/>
  <c r="CF412" i="14"/>
  <c r="CK412" i="14" s="1"/>
  <c r="BA168" i="3" s="1"/>
  <c r="DD332" i="3"/>
  <c r="AV415" i="14"/>
  <c r="BM416" i="14"/>
  <c r="AA416" i="14"/>
  <c r="AV416" i="14" s="1"/>
  <c r="BC416" i="14"/>
  <c r="BD416" i="14" s="1"/>
  <c r="BI416" i="14"/>
  <c r="BJ416" i="14" s="1"/>
  <c r="AB416" i="14"/>
  <c r="AD416" i="14"/>
  <c r="BB416" i="14"/>
  <c r="BQ415" i="14"/>
  <c r="BR415" i="14" s="1"/>
  <c r="BN415" i="14"/>
  <c r="BO415" i="14" s="1"/>
  <c r="BB165" i="14"/>
  <c r="AB165" i="14"/>
  <c r="BM165" i="14"/>
  <c r="AA165" i="14"/>
  <c r="AX165" i="14" s="1"/>
  <c r="BC165" i="14"/>
  <c r="BD165" i="14" s="1"/>
  <c r="BI165" i="14"/>
  <c r="BJ165" i="14" s="1"/>
  <c r="AD165" i="14"/>
  <c r="BZ414" i="14"/>
  <c r="BS414" i="14"/>
  <c r="BU414" i="14"/>
  <c r="AG414" i="14"/>
  <c r="AH414" i="14" s="1"/>
  <c r="AI414" i="14" s="1"/>
  <c r="AJ414" i="14" s="1"/>
  <c r="AX164" i="14"/>
  <c r="AK164" i="14"/>
  <c r="AL164" i="14" s="1"/>
  <c r="AM164" i="14" s="1"/>
  <c r="AN164" i="14" s="1"/>
  <c r="AO164" i="14" s="1"/>
  <c r="AP164" i="14" s="1"/>
  <c r="BA164" i="14"/>
  <c r="BK164" i="14" s="1"/>
  <c r="AZ164" i="14"/>
  <c r="AF164" i="14"/>
  <c r="AG164" i="14" s="1"/>
  <c r="AH164" i="14" s="1"/>
  <c r="AI164" i="14" s="1"/>
  <c r="AJ164" i="14" s="1"/>
  <c r="AQ164" i="14"/>
  <c r="AR164" i="14" s="1"/>
  <c r="AS164" i="14" s="1"/>
  <c r="AT164" i="14" s="1"/>
  <c r="AU164" i="14" s="1"/>
  <c r="AC164" i="14"/>
  <c r="CD163" i="14"/>
  <c r="BE163" i="14"/>
  <c r="BG163" i="14" s="1"/>
  <c r="AQ415" i="14"/>
  <c r="AR415" i="14" s="1"/>
  <c r="AS415" i="14" s="1"/>
  <c r="AT415" i="14" s="1"/>
  <c r="AU415" i="14" s="1"/>
  <c r="AZ415" i="14"/>
  <c r="AK415" i="14"/>
  <c r="AL415" i="14" s="1"/>
  <c r="AM415" i="14" s="1"/>
  <c r="AN415" i="14" s="1"/>
  <c r="AO415" i="14" s="1"/>
  <c r="AP415" i="14" s="1"/>
  <c r="BA415" i="14"/>
  <c r="BK415" i="14" s="1"/>
  <c r="AC415" i="14"/>
  <c r="AF415" i="14"/>
  <c r="CA414" i="14"/>
  <c r="CB414" i="14" s="1"/>
  <c r="BV414" i="14"/>
  <c r="BX414" i="14" s="1"/>
  <c r="BT414" i="14"/>
  <c r="BW414" i="14" s="1"/>
  <c r="BE414" i="14"/>
  <c r="BG414" i="14" s="1"/>
  <c r="CD414" i="14"/>
  <c r="BN164" i="14"/>
  <c r="BO164" i="14" s="1"/>
  <c r="Z417" i="14"/>
  <c r="AE417" i="14"/>
  <c r="Z166" i="14"/>
  <c r="AE166" i="14"/>
  <c r="CE413" i="14"/>
  <c r="CJ413" i="14" s="1"/>
  <c r="AZ169" i="3" s="1"/>
  <c r="CH413" i="14"/>
  <c r="CM413" i="14" s="1"/>
  <c r="BB169" i="3" s="1"/>
  <c r="CF413" i="14"/>
  <c r="CK413" i="14" s="1"/>
  <c r="BA169" i="3" s="1"/>
  <c r="AV164" i="14"/>
  <c r="AW163" i="14"/>
  <c r="BG172" i="3"/>
  <c r="BM172" i="3" s="1"/>
  <c r="C170" i="26"/>
  <c r="C170" i="25"/>
  <c r="BH172" i="3"/>
  <c r="BJ172" i="3" s="1"/>
  <c r="BP172" i="3" s="1"/>
  <c r="D169" i="26"/>
  <c r="D169" i="25"/>
  <c r="BE172" i="3"/>
  <c r="CK172" i="3"/>
  <c r="AW169" i="3"/>
  <c r="CF173" i="3"/>
  <c r="BC172" i="3"/>
  <c r="BN172" i="3" s="1"/>
  <c r="CI172" i="3"/>
  <c r="BY173" i="3"/>
  <c r="BJ171" i="3"/>
  <c r="BP171" i="3" s="1"/>
  <c r="BF171" i="3"/>
  <c r="BQ171" i="3" s="1"/>
  <c r="D173" i="3"/>
  <c r="BG173" i="3" s="1"/>
  <c r="BO171" i="3"/>
  <c r="AU171" i="3" s="1"/>
  <c r="C174" i="3"/>
  <c r="BW173" i="3"/>
  <c r="CI173" i="3" s="1"/>
  <c r="BL173" i="3"/>
  <c r="BK173" i="3"/>
  <c r="AY173" i="3"/>
  <c r="AH173" i="3"/>
  <c r="P170" i="26" s="1"/>
  <c r="AG173" i="3"/>
  <c r="O170" i="26" s="1"/>
  <c r="AJ173" i="3"/>
  <c r="R170" i="26" s="1"/>
  <c r="AI173" i="3"/>
  <c r="Q170" i="26" s="1"/>
  <c r="CE162" i="14" l="1"/>
  <c r="BD173" i="3"/>
  <c r="CF161" i="14"/>
  <c r="CE161" i="14"/>
  <c r="BV174" i="3"/>
  <c r="BU174" i="3"/>
  <c r="CF162" i="14"/>
  <c r="AY163" i="14"/>
  <c r="CE163" i="14" s="1"/>
  <c r="BQ163" i="14"/>
  <c r="BR163" i="14" s="1"/>
  <c r="BU162" i="14"/>
  <c r="BV162" i="14"/>
  <c r="BX162" i="14" s="1"/>
  <c r="CA162" i="14"/>
  <c r="CB162" i="14" s="1"/>
  <c r="CM162" i="14" s="1"/>
  <c r="CG169" i="3" s="1"/>
  <c r="BS162" i="14"/>
  <c r="BT162" i="14"/>
  <c r="BW162" i="14" s="1"/>
  <c r="BZ162" i="14"/>
  <c r="BV161" i="14"/>
  <c r="BX161" i="14" s="1"/>
  <c r="BZ161" i="14"/>
  <c r="BU161" i="14"/>
  <c r="BT161" i="14"/>
  <c r="BW161" i="14" s="1"/>
  <c r="BS161" i="14"/>
  <c r="CA161" i="14"/>
  <c r="CB161" i="14" s="1"/>
  <c r="CM161" i="14" s="1"/>
  <c r="CG168" i="3" s="1"/>
  <c r="CJ162" i="14"/>
  <c r="CC169" i="3" s="1"/>
  <c r="AW170" i="3"/>
  <c r="AD166" i="14"/>
  <c r="AA166" i="14"/>
  <c r="AX166" i="14" s="1"/>
  <c r="BC166" i="14"/>
  <c r="BD166" i="14" s="1"/>
  <c r="AB166" i="14"/>
  <c r="BB166" i="14"/>
  <c r="BI166" i="14"/>
  <c r="BJ166" i="14" s="1"/>
  <c r="BM166" i="14"/>
  <c r="AW164" i="14"/>
  <c r="AW414" i="14"/>
  <c r="AY414" i="14" s="1"/>
  <c r="CE414" i="14" s="1"/>
  <c r="CJ414" i="14" s="1"/>
  <c r="AZ170" i="3" s="1"/>
  <c r="AV165" i="14"/>
  <c r="BA165" i="14"/>
  <c r="BK165" i="14" s="1"/>
  <c r="AZ165" i="14"/>
  <c r="AQ165" i="14"/>
  <c r="AR165" i="14" s="1"/>
  <c r="AS165" i="14" s="1"/>
  <c r="AT165" i="14" s="1"/>
  <c r="AU165" i="14" s="1"/>
  <c r="AK165" i="14"/>
  <c r="AL165" i="14" s="1"/>
  <c r="AM165" i="14" s="1"/>
  <c r="AN165" i="14" s="1"/>
  <c r="AO165" i="14" s="1"/>
  <c r="AP165" i="14" s="1"/>
  <c r="AF165" i="14"/>
  <c r="AG165" i="14" s="1"/>
  <c r="AH165" i="14" s="1"/>
  <c r="AI165" i="14" s="1"/>
  <c r="AJ165" i="14" s="1"/>
  <c r="AC165" i="14"/>
  <c r="BS415" i="14"/>
  <c r="BU415" i="14"/>
  <c r="BZ415" i="14"/>
  <c r="CF163" i="14"/>
  <c r="CD164" i="14"/>
  <c r="BE164" i="14"/>
  <c r="BG164" i="14" s="1"/>
  <c r="BN165" i="14"/>
  <c r="BO165" i="14" s="1"/>
  <c r="BT415" i="14"/>
  <c r="BW415" i="14" s="1"/>
  <c r="BV415" i="14"/>
  <c r="BX415" i="14" s="1"/>
  <c r="CA415" i="14"/>
  <c r="CB415" i="14" s="1"/>
  <c r="AK416" i="14"/>
  <c r="AL416" i="14" s="1"/>
  <c r="AM416" i="14" s="1"/>
  <c r="AN416" i="14" s="1"/>
  <c r="AO416" i="14" s="1"/>
  <c r="AP416" i="14" s="1"/>
  <c r="BA416" i="14"/>
  <c r="BK416" i="14" s="1"/>
  <c r="AC416" i="14"/>
  <c r="AF416" i="14"/>
  <c r="AZ416" i="14"/>
  <c r="AQ416" i="14"/>
  <c r="AR416" i="14" s="1"/>
  <c r="AS416" i="14" s="1"/>
  <c r="AT416" i="14" s="1"/>
  <c r="AU416" i="14" s="1"/>
  <c r="Z418" i="14"/>
  <c r="AE418" i="14"/>
  <c r="Z167" i="14"/>
  <c r="AE167" i="14"/>
  <c r="BM417" i="14"/>
  <c r="AA417" i="14"/>
  <c r="AX417" i="14" s="1"/>
  <c r="BC417" i="14"/>
  <c r="BD417" i="14" s="1"/>
  <c r="BI417" i="14"/>
  <c r="BJ417" i="14" s="1"/>
  <c r="AB417" i="14"/>
  <c r="AD417" i="14"/>
  <c r="BB417" i="14"/>
  <c r="AG415" i="14"/>
  <c r="AH415" i="14" s="1"/>
  <c r="AI415" i="14" s="1"/>
  <c r="AJ415" i="14" s="1"/>
  <c r="CD415" i="14"/>
  <c r="BE415" i="14"/>
  <c r="BG415" i="14" s="1"/>
  <c r="BQ416" i="14"/>
  <c r="BR416" i="14" s="1"/>
  <c r="BN416" i="14"/>
  <c r="BO416" i="14" s="1"/>
  <c r="AX416" i="14"/>
  <c r="C171" i="26"/>
  <c r="C171" i="25"/>
  <c r="BI173" i="3"/>
  <c r="D170" i="25"/>
  <c r="D170" i="26"/>
  <c r="BH173" i="3"/>
  <c r="BE173" i="3"/>
  <c r="CF174" i="3"/>
  <c r="CK173" i="3"/>
  <c r="BR171" i="3"/>
  <c r="BM173" i="3"/>
  <c r="BC173" i="3"/>
  <c r="BN173" i="3" s="1"/>
  <c r="CJ173" i="3"/>
  <c r="AV173" i="3" s="1"/>
  <c r="BY174" i="3"/>
  <c r="DD333" i="3"/>
  <c r="BF172" i="3"/>
  <c r="BQ172" i="3" s="1"/>
  <c r="BR172" i="3" s="1"/>
  <c r="D174" i="3"/>
  <c r="C175" i="3"/>
  <c r="BW174" i="3"/>
  <c r="CJ174" i="3" s="1"/>
  <c r="AV174" i="3" s="1"/>
  <c r="BL174" i="3"/>
  <c r="AY174" i="3"/>
  <c r="BD174" i="3" s="1"/>
  <c r="BK174" i="3"/>
  <c r="AG174" i="3"/>
  <c r="O171" i="26" s="1"/>
  <c r="AJ174" i="3"/>
  <c r="R171" i="26" s="1"/>
  <c r="AI174" i="3"/>
  <c r="Q171" i="26" s="1"/>
  <c r="AH174" i="3"/>
  <c r="P171" i="26" s="1"/>
  <c r="BO172" i="3"/>
  <c r="AU172" i="3" s="1"/>
  <c r="CH163" i="14" l="1"/>
  <c r="CK162" i="14"/>
  <c r="CD169" i="3" s="1"/>
  <c r="CK161" i="14"/>
  <c r="CD168" i="3" s="1"/>
  <c r="CJ161" i="14"/>
  <c r="CC168" i="3" s="1"/>
  <c r="BV175" i="3"/>
  <c r="BU175" i="3"/>
  <c r="AV166" i="14"/>
  <c r="CA163" i="14"/>
  <c r="CB163" i="14" s="1"/>
  <c r="CM163" i="14" s="1"/>
  <c r="CG170" i="3" s="1"/>
  <c r="BU163" i="14"/>
  <c r="BZ163" i="14"/>
  <c r="BV163" i="14"/>
  <c r="BX163" i="14" s="1"/>
  <c r="CK163" i="14" s="1"/>
  <c r="CD170" i="3" s="1"/>
  <c r="BT163" i="14"/>
  <c r="BW163" i="14" s="1"/>
  <c r="CJ163" i="14" s="1"/>
  <c r="CC170" i="3" s="1"/>
  <c r="BS163" i="14"/>
  <c r="AY164" i="14"/>
  <c r="CH164" i="14" s="1"/>
  <c r="BQ164" i="14"/>
  <c r="BR164" i="14" s="1"/>
  <c r="AW171" i="3"/>
  <c r="CF414" i="14"/>
  <c r="CK414" i="14" s="1"/>
  <c r="BA170" i="3" s="1"/>
  <c r="CH414" i="14"/>
  <c r="CM414" i="14" s="1"/>
  <c r="BB170" i="3" s="1"/>
  <c r="CA416" i="14"/>
  <c r="CB416" i="14" s="1"/>
  <c r="BT416" i="14"/>
  <c r="BW416" i="14" s="1"/>
  <c r="BV416" i="14"/>
  <c r="BX416" i="14" s="1"/>
  <c r="BU416" i="14"/>
  <c r="BZ416" i="14"/>
  <c r="BS416" i="14"/>
  <c r="AW415" i="14"/>
  <c r="AY415" i="14" s="1"/>
  <c r="CE415" i="14" s="1"/>
  <c r="CJ415" i="14" s="1"/>
  <c r="AZ171" i="3" s="1"/>
  <c r="BN417" i="14"/>
  <c r="BO417" i="14" s="1"/>
  <c r="BQ417" i="14"/>
  <c r="BR417" i="14" s="1"/>
  <c r="BM418" i="14"/>
  <c r="BC418" i="14"/>
  <c r="BD418" i="14" s="1"/>
  <c r="AA418" i="14"/>
  <c r="AV418" i="14" s="1"/>
  <c r="AB418" i="14"/>
  <c r="BI418" i="14"/>
  <c r="BJ418" i="14" s="1"/>
  <c r="AD418" i="14"/>
  <c r="BB418" i="14"/>
  <c r="AG416" i="14"/>
  <c r="AH416" i="14" s="1"/>
  <c r="AI416" i="14" s="1"/>
  <c r="AJ416" i="14" s="1"/>
  <c r="BN166" i="14"/>
  <c r="BO166" i="14" s="1"/>
  <c r="Z419" i="14"/>
  <c r="AE419" i="14"/>
  <c r="AE168" i="14"/>
  <c r="Z168" i="14"/>
  <c r="BB167" i="14"/>
  <c r="BM167" i="14"/>
  <c r="AB167" i="14"/>
  <c r="AD167" i="14"/>
  <c r="AA167" i="14"/>
  <c r="AV167" i="14" s="1"/>
  <c r="BC167" i="14"/>
  <c r="BD167" i="14" s="1"/>
  <c r="BI167" i="14"/>
  <c r="BJ167" i="14" s="1"/>
  <c r="BE416" i="14"/>
  <c r="BG416" i="14" s="1"/>
  <c r="CD416" i="14"/>
  <c r="AW165" i="14"/>
  <c r="AK166" i="14"/>
  <c r="AL166" i="14" s="1"/>
  <c r="AM166" i="14" s="1"/>
  <c r="AN166" i="14" s="1"/>
  <c r="AO166" i="14" s="1"/>
  <c r="AP166" i="14" s="1"/>
  <c r="AF166" i="14"/>
  <c r="AG166" i="14" s="1"/>
  <c r="AH166" i="14" s="1"/>
  <c r="AI166" i="14" s="1"/>
  <c r="AJ166" i="14" s="1"/>
  <c r="AQ166" i="14"/>
  <c r="AR166" i="14" s="1"/>
  <c r="AS166" i="14" s="1"/>
  <c r="AT166" i="14" s="1"/>
  <c r="AU166" i="14" s="1"/>
  <c r="AZ166" i="14"/>
  <c r="BA166" i="14"/>
  <c r="BK166" i="14" s="1"/>
  <c r="AC166" i="14"/>
  <c r="BA417" i="14"/>
  <c r="BK417" i="14" s="1"/>
  <c r="AC417" i="14"/>
  <c r="AK417" i="14"/>
  <c r="AL417" i="14" s="1"/>
  <c r="AM417" i="14" s="1"/>
  <c r="AN417" i="14" s="1"/>
  <c r="AO417" i="14" s="1"/>
  <c r="AP417" i="14" s="1"/>
  <c r="AQ417" i="14"/>
  <c r="AR417" i="14" s="1"/>
  <c r="AS417" i="14" s="1"/>
  <c r="AT417" i="14" s="1"/>
  <c r="AU417" i="14" s="1"/>
  <c r="AF417" i="14"/>
  <c r="AG417" i="14" s="1"/>
  <c r="AH417" i="14" s="1"/>
  <c r="AI417" i="14" s="1"/>
  <c r="AJ417" i="14" s="1"/>
  <c r="AZ417" i="14"/>
  <c r="AV417" i="14"/>
  <c r="CD165" i="14"/>
  <c r="BE165" i="14"/>
  <c r="BG165" i="14" s="1"/>
  <c r="C172" i="25"/>
  <c r="C172" i="26"/>
  <c r="BG174" i="3"/>
  <c r="BM174" i="3" s="1"/>
  <c r="D171" i="26"/>
  <c r="D171" i="25"/>
  <c r="BI174" i="3"/>
  <c r="BH174" i="3"/>
  <c r="BE174" i="3"/>
  <c r="CF175" i="3"/>
  <c r="CK174" i="3"/>
  <c r="DD334" i="3"/>
  <c r="BC174" i="3"/>
  <c r="BN174" i="3" s="1"/>
  <c r="CI174" i="3"/>
  <c r="BY175" i="3"/>
  <c r="BJ173" i="3"/>
  <c r="BP173" i="3" s="1"/>
  <c r="BF173" i="3"/>
  <c r="BQ173" i="3" s="1"/>
  <c r="D175" i="3"/>
  <c r="AW172" i="3"/>
  <c r="C176" i="3"/>
  <c r="BW175" i="3"/>
  <c r="CK175" i="3" s="1"/>
  <c r="BL175" i="3"/>
  <c r="BK175" i="3"/>
  <c r="AY175" i="3"/>
  <c r="AJ175" i="3"/>
  <c r="R172" i="26" s="1"/>
  <c r="AI175" i="3"/>
  <c r="Q172" i="26" s="1"/>
  <c r="AH175" i="3"/>
  <c r="P172" i="26" s="1"/>
  <c r="AG175" i="3"/>
  <c r="O172" i="26" s="1"/>
  <c r="BO173" i="3"/>
  <c r="AU173" i="3" s="1"/>
  <c r="AX418" i="14" l="1"/>
  <c r="CE164" i="14"/>
  <c r="CF164" i="14"/>
  <c r="BD175" i="3"/>
  <c r="BV176" i="3"/>
  <c r="BU176" i="3"/>
  <c r="AY165" i="14"/>
  <c r="CE165" i="14" s="1"/>
  <c r="BQ165" i="14"/>
  <c r="BR165" i="14" s="1"/>
  <c r="BT164" i="14"/>
  <c r="BW164" i="14" s="1"/>
  <c r="BS164" i="14"/>
  <c r="BV164" i="14"/>
  <c r="BX164" i="14" s="1"/>
  <c r="CK164" i="14" s="1"/>
  <c r="CD171" i="3" s="1"/>
  <c r="BU164" i="14"/>
  <c r="CA164" i="14"/>
  <c r="CB164" i="14" s="1"/>
  <c r="CM164" i="14" s="1"/>
  <c r="CG171" i="3" s="1"/>
  <c r="BZ164" i="14"/>
  <c r="AX167" i="14"/>
  <c r="AW416" i="14"/>
  <c r="AY416" i="14" s="1"/>
  <c r="CF416" i="14" s="1"/>
  <c r="CK416" i="14" s="1"/>
  <c r="BA172" i="3" s="1"/>
  <c r="CH415" i="14"/>
  <c r="CM415" i="14" s="1"/>
  <c r="BB171" i="3" s="1"/>
  <c r="CF415" i="14"/>
  <c r="CK415" i="14" s="1"/>
  <c r="BA171" i="3" s="1"/>
  <c r="CD417" i="14"/>
  <c r="BE417" i="14"/>
  <c r="BG417" i="14" s="1"/>
  <c r="BE166" i="14"/>
  <c r="BG166" i="14" s="1"/>
  <c r="CD166" i="14"/>
  <c r="AA168" i="14"/>
  <c r="AV168" i="14" s="1"/>
  <c r="BB168" i="14"/>
  <c r="BC168" i="14"/>
  <c r="BD168" i="14" s="1"/>
  <c r="BM168" i="14"/>
  <c r="BI168" i="14"/>
  <c r="BJ168" i="14" s="1"/>
  <c r="AD168" i="14"/>
  <c r="AB168" i="14"/>
  <c r="AW417" i="14"/>
  <c r="AY417" i="14" s="1"/>
  <c r="BQ418" i="14"/>
  <c r="BR418" i="14" s="1"/>
  <c r="BN418" i="14"/>
  <c r="BO418" i="14" s="1"/>
  <c r="AE420" i="14"/>
  <c r="Z420" i="14"/>
  <c r="AE169" i="14"/>
  <c r="Z169" i="14"/>
  <c r="AW166" i="14"/>
  <c r="BN167" i="14"/>
  <c r="BO167" i="14" s="1"/>
  <c r="BT417" i="14"/>
  <c r="BW417" i="14" s="1"/>
  <c r="BV417" i="14"/>
  <c r="BX417" i="14" s="1"/>
  <c r="CA417" i="14"/>
  <c r="CB417" i="14" s="1"/>
  <c r="AC167" i="14"/>
  <c r="AZ167" i="14"/>
  <c r="BA167" i="14"/>
  <c r="BK167" i="14" s="1"/>
  <c r="AF167" i="14"/>
  <c r="AG167" i="14" s="1"/>
  <c r="AH167" i="14" s="1"/>
  <c r="AI167" i="14" s="1"/>
  <c r="AJ167" i="14" s="1"/>
  <c r="AQ167" i="14"/>
  <c r="AR167" i="14" s="1"/>
  <c r="AS167" i="14" s="1"/>
  <c r="AT167" i="14" s="1"/>
  <c r="AU167" i="14" s="1"/>
  <c r="AK167" i="14"/>
  <c r="AL167" i="14" s="1"/>
  <c r="AM167" i="14" s="1"/>
  <c r="AN167" i="14" s="1"/>
  <c r="AO167" i="14" s="1"/>
  <c r="AP167" i="14" s="1"/>
  <c r="BM419" i="14"/>
  <c r="BI419" i="14"/>
  <c r="BJ419" i="14" s="1"/>
  <c r="AA419" i="14"/>
  <c r="AX419" i="14" s="1"/>
  <c r="BC419" i="14"/>
  <c r="BD419" i="14" s="1"/>
  <c r="BB419" i="14"/>
  <c r="AB419" i="14"/>
  <c r="AD419" i="14"/>
  <c r="BA418" i="14"/>
  <c r="BK418" i="14" s="1"/>
  <c r="AQ418" i="14"/>
  <c r="AR418" i="14" s="1"/>
  <c r="AS418" i="14" s="1"/>
  <c r="AT418" i="14" s="1"/>
  <c r="AU418" i="14" s="1"/>
  <c r="AZ418" i="14"/>
  <c r="AF418" i="14"/>
  <c r="AK418" i="14"/>
  <c r="AL418" i="14" s="1"/>
  <c r="AM418" i="14" s="1"/>
  <c r="AN418" i="14" s="1"/>
  <c r="AO418" i="14" s="1"/>
  <c r="AP418" i="14" s="1"/>
  <c r="AC418" i="14"/>
  <c r="BS417" i="14"/>
  <c r="BU417" i="14"/>
  <c r="BZ417" i="14"/>
  <c r="C173" i="26"/>
  <c r="C173" i="25"/>
  <c r="DD335" i="3"/>
  <c r="D172" i="26"/>
  <c r="D172" i="25"/>
  <c r="BI175" i="3"/>
  <c r="BG175" i="3"/>
  <c r="BM175" i="3" s="1"/>
  <c r="BH175" i="3"/>
  <c r="BE175" i="3"/>
  <c r="CF176" i="3"/>
  <c r="BC175" i="3"/>
  <c r="BN175" i="3" s="1"/>
  <c r="CJ175" i="3"/>
  <c r="AV175" i="3" s="1"/>
  <c r="CI175" i="3"/>
  <c r="BY176" i="3"/>
  <c r="BR173" i="3"/>
  <c r="BJ174" i="3"/>
  <c r="BP174" i="3" s="1"/>
  <c r="BF174" i="3"/>
  <c r="BQ174" i="3" s="1"/>
  <c r="D176" i="3"/>
  <c r="BO174" i="3"/>
  <c r="AU174" i="3" s="1"/>
  <c r="C177" i="3"/>
  <c r="BK176" i="3"/>
  <c r="AY176" i="3"/>
  <c r="BW176" i="3"/>
  <c r="CK176" i="3" s="1"/>
  <c r="BL176" i="3"/>
  <c r="AI176" i="3"/>
  <c r="Q173" i="26" s="1"/>
  <c r="AH176" i="3"/>
  <c r="P173" i="26" s="1"/>
  <c r="AG176" i="3"/>
  <c r="O173" i="26" s="1"/>
  <c r="AJ176" i="3"/>
  <c r="R173" i="26" s="1"/>
  <c r="CJ164" i="14" l="1"/>
  <c r="CC171" i="3" s="1"/>
  <c r="CH165" i="14"/>
  <c r="CF165" i="14"/>
  <c r="BD176" i="3"/>
  <c r="BV177" i="3"/>
  <c r="BU177" i="3"/>
  <c r="AY166" i="14"/>
  <c r="CE166" i="14" s="1"/>
  <c r="BQ166" i="14"/>
  <c r="BR166" i="14" s="1"/>
  <c r="BZ165" i="14"/>
  <c r="CA165" i="14"/>
  <c r="CB165" i="14" s="1"/>
  <c r="CM165" i="14" s="1"/>
  <c r="CG172" i="3" s="1"/>
  <c r="BV165" i="14"/>
  <c r="BX165" i="14" s="1"/>
  <c r="CK165" i="14" s="1"/>
  <c r="CD172" i="3" s="1"/>
  <c r="BU165" i="14"/>
  <c r="BT165" i="14"/>
  <c r="BW165" i="14" s="1"/>
  <c r="CJ165" i="14" s="1"/>
  <c r="CC172" i="3" s="1"/>
  <c r="BS165" i="14"/>
  <c r="CH416" i="14"/>
  <c r="CM416" i="14" s="1"/>
  <c r="BB172" i="3" s="1"/>
  <c r="CE416" i="14"/>
  <c r="CJ416" i="14" s="1"/>
  <c r="AZ172" i="3" s="1"/>
  <c r="AX168" i="14"/>
  <c r="CE417" i="14"/>
  <c r="CJ417" i="14" s="1"/>
  <c r="AZ173" i="3" s="1"/>
  <c r="BT418" i="14"/>
  <c r="BW418" i="14" s="1"/>
  <c r="CA418" i="14"/>
  <c r="CB418" i="14" s="1"/>
  <c r="BV418" i="14"/>
  <c r="BX418" i="14" s="1"/>
  <c r="BN168" i="14"/>
  <c r="BO168" i="14" s="1"/>
  <c r="CF166" i="14"/>
  <c r="CD418" i="14"/>
  <c r="BE418" i="14"/>
  <c r="BG418" i="14" s="1"/>
  <c r="BM420" i="14"/>
  <c r="BC420" i="14"/>
  <c r="BD420" i="14" s="1"/>
  <c r="AA420" i="14"/>
  <c r="AX420" i="14" s="1"/>
  <c r="AB420" i="14"/>
  <c r="BI420" i="14"/>
  <c r="BJ420" i="14" s="1"/>
  <c r="AD420" i="14"/>
  <c r="BB420" i="14"/>
  <c r="Z421" i="14"/>
  <c r="AE421" i="14"/>
  <c r="Z170" i="14"/>
  <c r="AE170" i="14"/>
  <c r="AG418" i="14"/>
  <c r="AH418" i="14" s="1"/>
  <c r="AI418" i="14" s="1"/>
  <c r="AJ418" i="14" s="1"/>
  <c r="BE167" i="14"/>
  <c r="BG167" i="14" s="1"/>
  <c r="CD167" i="14"/>
  <c r="BQ419" i="14"/>
  <c r="BR419" i="14" s="1"/>
  <c r="BN419" i="14"/>
  <c r="BO419" i="14" s="1"/>
  <c r="AF419" i="14"/>
  <c r="AG419" i="14" s="1"/>
  <c r="AH419" i="14" s="1"/>
  <c r="AI419" i="14" s="1"/>
  <c r="AJ419" i="14" s="1"/>
  <c r="AC419" i="14"/>
  <c r="AQ419" i="14"/>
  <c r="AR419" i="14" s="1"/>
  <c r="AS419" i="14" s="1"/>
  <c r="AT419" i="14" s="1"/>
  <c r="AU419" i="14" s="1"/>
  <c r="AK419" i="14"/>
  <c r="AL419" i="14" s="1"/>
  <c r="AM419" i="14" s="1"/>
  <c r="AN419" i="14" s="1"/>
  <c r="AO419" i="14" s="1"/>
  <c r="AP419" i="14" s="1"/>
  <c r="BA419" i="14"/>
  <c r="BK419" i="14" s="1"/>
  <c r="AZ419" i="14"/>
  <c r="AW167" i="14"/>
  <c r="AV419" i="14"/>
  <c r="BB169" i="14"/>
  <c r="BM169" i="14"/>
  <c r="AB169" i="14"/>
  <c r="BI169" i="14"/>
  <c r="BJ169" i="14" s="1"/>
  <c r="BC169" i="14"/>
  <c r="BD169" i="14" s="1"/>
  <c r="AA169" i="14"/>
  <c r="AD169" i="14"/>
  <c r="BU418" i="14"/>
  <c r="BS418" i="14"/>
  <c r="BZ418" i="14"/>
  <c r="AQ168" i="14"/>
  <c r="AR168" i="14" s="1"/>
  <c r="AS168" i="14" s="1"/>
  <c r="AT168" i="14" s="1"/>
  <c r="AU168" i="14" s="1"/>
  <c r="AF168" i="14"/>
  <c r="AG168" i="14" s="1"/>
  <c r="AH168" i="14" s="1"/>
  <c r="AI168" i="14" s="1"/>
  <c r="AJ168" i="14" s="1"/>
  <c r="BA168" i="14"/>
  <c r="BK168" i="14" s="1"/>
  <c r="AC168" i="14"/>
  <c r="AK168" i="14"/>
  <c r="AL168" i="14" s="1"/>
  <c r="AM168" i="14" s="1"/>
  <c r="AN168" i="14" s="1"/>
  <c r="AO168" i="14" s="1"/>
  <c r="AP168" i="14" s="1"/>
  <c r="AZ168" i="14"/>
  <c r="CF417" i="14"/>
  <c r="CK417" i="14" s="1"/>
  <c r="BA173" i="3" s="1"/>
  <c r="CH417" i="14"/>
  <c r="CM417" i="14" s="1"/>
  <c r="BB173" i="3" s="1"/>
  <c r="C174" i="26"/>
  <c r="C174" i="25"/>
  <c r="DD336" i="3"/>
  <c r="D173" i="26"/>
  <c r="D173" i="25"/>
  <c r="BG176" i="3"/>
  <c r="BM176" i="3" s="1"/>
  <c r="BJ175" i="3"/>
  <c r="BP175" i="3" s="1"/>
  <c r="BI176" i="3"/>
  <c r="BH176" i="3"/>
  <c r="BE176" i="3"/>
  <c r="CF177" i="3"/>
  <c r="AW173" i="3"/>
  <c r="BC176" i="3"/>
  <c r="BN176" i="3" s="1"/>
  <c r="BR174" i="3"/>
  <c r="CJ176" i="3"/>
  <c r="AV176" i="3" s="1"/>
  <c r="CI176" i="3"/>
  <c r="BY177" i="3"/>
  <c r="BF175" i="3"/>
  <c r="BQ175" i="3" s="1"/>
  <c r="D177" i="3"/>
  <c r="BG177" i="3" s="1"/>
  <c r="BO175" i="3"/>
  <c r="AU175" i="3" s="1"/>
  <c r="C178" i="3"/>
  <c r="BW177" i="3"/>
  <c r="CI177" i="3" s="1"/>
  <c r="BL177" i="3"/>
  <c r="AH177" i="3"/>
  <c r="P174" i="26" s="1"/>
  <c r="AY177" i="3"/>
  <c r="AG177" i="3"/>
  <c r="O174" i="26" s="1"/>
  <c r="AJ177" i="3"/>
  <c r="R174" i="26" s="1"/>
  <c r="BK177" i="3"/>
  <c r="AI177" i="3"/>
  <c r="Q174" i="26" s="1"/>
  <c r="CH166" i="14" l="1"/>
  <c r="BD177" i="3"/>
  <c r="BV178" i="3"/>
  <c r="BU178" i="3"/>
  <c r="BS166" i="14"/>
  <c r="BT166" i="14"/>
  <c r="BW166" i="14" s="1"/>
  <c r="CJ166" i="14" s="1"/>
  <c r="CC173" i="3" s="1"/>
  <c r="BU166" i="14"/>
  <c r="BZ166" i="14"/>
  <c r="CA166" i="14"/>
  <c r="CB166" i="14" s="1"/>
  <c r="CM166" i="14" s="1"/>
  <c r="CG173" i="3" s="1"/>
  <c r="BV166" i="14"/>
  <c r="BX166" i="14" s="1"/>
  <c r="CK166" i="14" s="1"/>
  <c r="CD173" i="3" s="1"/>
  <c r="AY167" i="14"/>
  <c r="CH167" i="14" s="1"/>
  <c r="BQ167" i="14"/>
  <c r="BR167" i="14" s="1"/>
  <c r="DD337" i="3"/>
  <c r="BI177" i="3"/>
  <c r="AV420" i="14"/>
  <c r="BM421" i="14"/>
  <c r="AA421" i="14"/>
  <c r="AX421" i="14" s="1"/>
  <c r="BI421" i="14"/>
  <c r="BJ421" i="14" s="1"/>
  <c r="BC421" i="14"/>
  <c r="BD421" i="14" s="1"/>
  <c r="AB421" i="14"/>
  <c r="BB421" i="14"/>
  <c r="AD421" i="14"/>
  <c r="BQ420" i="14"/>
  <c r="BR420" i="14" s="1"/>
  <c r="BN420" i="14"/>
  <c r="BO420" i="14" s="1"/>
  <c r="CD168" i="14"/>
  <c r="BE168" i="14"/>
  <c r="BG168" i="14" s="1"/>
  <c r="BA169" i="14"/>
  <c r="BK169" i="14" s="1"/>
  <c r="AZ169" i="14"/>
  <c r="AQ169" i="14"/>
  <c r="AR169" i="14" s="1"/>
  <c r="AS169" i="14" s="1"/>
  <c r="AT169" i="14" s="1"/>
  <c r="AU169" i="14" s="1"/>
  <c r="AF169" i="14"/>
  <c r="AG169" i="14" s="1"/>
  <c r="AH169" i="14" s="1"/>
  <c r="AI169" i="14" s="1"/>
  <c r="AJ169" i="14" s="1"/>
  <c r="AK169" i="14"/>
  <c r="AL169" i="14" s="1"/>
  <c r="AM169" i="14" s="1"/>
  <c r="AN169" i="14" s="1"/>
  <c r="AO169" i="14" s="1"/>
  <c r="AP169" i="14" s="1"/>
  <c r="AC169" i="14"/>
  <c r="BN169" i="14"/>
  <c r="BO169" i="14" s="1"/>
  <c r="CD419" i="14"/>
  <c r="BE419" i="14"/>
  <c r="BG419" i="14" s="1"/>
  <c r="AW419" i="14"/>
  <c r="AY419" i="14" s="1"/>
  <c r="AW168" i="14"/>
  <c r="BS419" i="14"/>
  <c r="BU419" i="14"/>
  <c r="BZ419" i="14"/>
  <c r="BC170" i="14"/>
  <c r="BD170" i="14" s="1"/>
  <c r="AB170" i="14"/>
  <c r="BI170" i="14"/>
  <c r="BJ170" i="14" s="1"/>
  <c r="BB170" i="14"/>
  <c r="AD170" i="14"/>
  <c r="AA170" i="14"/>
  <c r="AX170" i="14" s="1"/>
  <c r="BM170" i="14"/>
  <c r="AC420" i="14"/>
  <c r="AZ420" i="14"/>
  <c r="AQ420" i="14"/>
  <c r="AR420" i="14" s="1"/>
  <c r="AS420" i="14" s="1"/>
  <c r="AT420" i="14" s="1"/>
  <c r="AU420" i="14" s="1"/>
  <c r="BA420" i="14"/>
  <c r="BK420" i="14" s="1"/>
  <c r="AF420" i="14"/>
  <c r="AG420" i="14" s="1"/>
  <c r="AH420" i="14" s="1"/>
  <c r="AI420" i="14" s="1"/>
  <c r="AJ420" i="14" s="1"/>
  <c r="AK420" i="14"/>
  <c r="AL420" i="14" s="1"/>
  <c r="AM420" i="14" s="1"/>
  <c r="AN420" i="14" s="1"/>
  <c r="AO420" i="14" s="1"/>
  <c r="AP420" i="14" s="1"/>
  <c r="AV169" i="14"/>
  <c r="AW418" i="14"/>
  <c r="AY418" i="14" s="1"/>
  <c r="CE418" i="14" s="1"/>
  <c r="CJ418" i="14" s="1"/>
  <c r="AZ174" i="3" s="1"/>
  <c r="AE422" i="14"/>
  <c r="Z422" i="14"/>
  <c r="AE171" i="14"/>
  <c r="Z171" i="14"/>
  <c r="AX169" i="14"/>
  <c r="BV419" i="14"/>
  <c r="BX419" i="14" s="1"/>
  <c r="BT419" i="14"/>
  <c r="BW419" i="14" s="1"/>
  <c r="CA419" i="14"/>
  <c r="CB419" i="14" s="1"/>
  <c r="C175" i="26"/>
  <c r="C175" i="25"/>
  <c r="BH177" i="3"/>
  <c r="D174" i="25"/>
  <c r="D174" i="26"/>
  <c r="BR175" i="3"/>
  <c r="BE177" i="3"/>
  <c r="CF178" i="3"/>
  <c r="AW174" i="3"/>
  <c r="CK177" i="3"/>
  <c r="BJ176" i="3"/>
  <c r="BP176" i="3" s="1"/>
  <c r="BC177" i="3"/>
  <c r="BN177" i="3" s="1"/>
  <c r="CJ177" i="3"/>
  <c r="AV177" i="3" s="1"/>
  <c r="BY178" i="3"/>
  <c r="BM177" i="3"/>
  <c r="BF176" i="3"/>
  <c r="BQ176" i="3" s="1"/>
  <c r="D178" i="3"/>
  <c r="C179" i="3"/>
  <c r="BL178" i="3"/>
  <c r="BW178" i="3"/>
  <c r="CK178" i="3" s="1"/>
  <c r="AY178" i="3"/>
  <c r="BD178" i="3" s="1"/>
  <c r="BK178" i="3"/>
  <c r="AG178" i="3"/>
  <c r="O175" i="26" s="1"/>
  <c r="AJ178" i="3"/>
  <c r="R175" i="26" s="1"/>
  <c r="AI178" i="3"/>
  <c r="Q175" i="26" s="1"/>
  <c r="AH178" i="3"/>
  <c r="P175" i="26" s="1"/>
  <c r="BO176" i="3"/>
  <c r="AU176" i="3" s="1"/>
  <c r="AV421" i="14" l="1"/>
  <c r="CE167" i="14"/>
  <c r="BV179" i="3"/>
  <c r="BU179" i="3"/>
  <c r="CF167" i="14"/>
  <c r="AW175" i="3"/>
  <c r="CA167" i="14"/>
  <c r="CB167" i="14" s="1"/>
  <c r="CM167" i="14" s="1"/>
  <c r="CG174" i="3" s="1"/>
  <c r="BT167" i="14"/>
  <c r="BW167" i="14" s="1"/>
  <c r="BV167" i="14"/>
  <c r="BX167" i="14" s="1"/>
  <c r="BZ167" i="14"/>
  <c r="BU167" i="14"/>
  <c r="BS167" i="14"/>
  <c r="AY168" i="14"/>
  <c r="CF168" i="14" s="1"/>
  <c r="BQ168" i="14"/>
  <c r="BR168" i="14" s="1"/>
  <c r="CF418" i="14"/>
  <c r="CK418" i="14" s="1"/>
  <c r="BA174" i="3" s="1"/>
  <c r="BM171" i="14"/>
  <c r="AB171" i="14"/>
  <c r="AD171" i="14"/>
  <c r="BB171" i="14"/>
  <c r="BC171" i="14"/>
  <c r="BD171" i="14" s="1"/>
  <c r="BI171" i="14"/>
  <c r="BJ171" i="14" s="1"/>
  <c r="AA171" i="14"/>
  <c r="AX171" i="14" s="1"/>
  <c r="CH418" i="14"/>
  <c r="CM418" i="14" s="1"/>
  <c r="BB174" i="3" s="1"/>
  <c r="BE169" i="14"/>
  <c r="BG169" i="14" s="1"/>
  <c r="CD169" i="14"/>
  <c r="BM422" i="14"/>
  <c r="BI422" i="14"/>
  <c r="BJ422" i="14" s="1"/>
  <c r="BC422" i="14"/>
  <c r="BD422" i="14" s="1"/>
  <c r="AB422" i="14"/>
  <c r="AA422" i="14"/>
  <c r="AD422" i="14"/>
  <c r="BB422" i="14"/>
  <c r="AE423" i="14"/>
  <c r="AE172" i="14"/>
  <c r="Z423" i="14"/>
  <c r="Z172" i="14"/>
  <c r="AW420" i="14"/>
  <c r="AY420" i="14" s="1"/>
  <c r="BN170" i="14"/>
  <c r="BO170" i="14" s="1"/>
  <c r="CH419" i="14"/>
  <c r="CM419" i="14" s="1"/>
  <c r="BB175" i="3" s="1"/>
  <c r="CF419" i="14"/>
  <c r="CK419" i="14" s="1"/>
  <c r="BA175" i="3" s="1"/>
  <c r="CE419" i="14"/>
  <c r="CJ419" i="14" s="1"/>
  <c r="AZ175" i="3" s="1"/>
  <c r="AW169" i="14"/>
  <c r="BZ420" i="14"/>
  <c r="BU420" i="14"/>
  <c r="BS420" i="14"/>
  <c r="AK421" i="14"/>
  <c r="AL421" i="14" s="1"/>
  <c r="AM421" i="14" s="1"/>
  <c r="AN421" i="14" s="1"/>
  <c r="AO421" i="14" s="1"/>
  <c r="AP421" i="14" s="1"/>
  <c r="BA421" i="14"/>
  <c r="BK421" i="14" s="1"/>
  <c r="AC421" i="14"/>
  <c r="AQ421" i="14"/>
  <c r="AR421" i="14" s="1"/>
  <c r="AS421" i="14" s="1"/>
  <c r="AT421" i="14" s="1"/>
  <c r="AU421" i="14" s="1"/>
  <c r="AF421" i="14"/>
  <c r="AG421" i="14" s="1"/>
  <c r="AH421" i="14" s="1"/>
  <c r="AI421" i="14" s="1"/>
  <c r="AJ421" i="14" s="1"/>
  <c r="AZ421" i="14"/>
  <c r="BE420" i="14"/>
  <c r="BG420" i="14" s="1"/>
  <c r="CD420" i="14"/>
  <c r="AK170" i="14"/>
  <c r="AL170" i="14" s="1"/>
  <c r="AM170" i="14" s="1"/>
  <c r="AN170" i="14" s="1"/>
  <c r="AO170" i="14" s="1"/>
  <c r="AP170" i="14" s="1"/>
  <c r="AQ170" i="14"/>
  <c r="AR170" i="14" s="1"/>
  <c r="AS170" i="14" s="1"/>
  <c r="AT170" i="14" s="1"/>
  <c r="AU170" i="14" s="1"/>
  <c r="AF170" i="14"/>
  <c r="AG170" i="14" s="1"/>
  <c r="AH170" i="14" s="1"/>
  <c r="AI170" i="14" s="1"/>
  <c r="AJ170" i="14" s="1"/>
  <c r="BA170" i="14"/>
  <c r="BK170" i="14" s="1"/>
  <c r="AC170" i="14"/>
  <c r="AZ170" i="14"/>
  <c r="AV170" i="14"/>
  <c r="BT420" i="14"/>
  <c r="BW420" i="14" s="1"/>
  <c r="CA420" i="14"/>
  <c r="CB420" i="14" s="1"/>
  <c r="BV420" i="14"/>
  <c r="BX420" i="14" s="1"/>
  <c r="BN421" i="14"/>
  <c r="BO421" i="14" s="1"/>
  <c r="BQ421" i="14"/>
  <c r="BR421" i="14" s="1"/>
  <c r="BG178" i="3"/>
  <c r="BM178" i="3" s="1"/>
  <c r="D175" i="26"/>
  <c r="D175" i="25"/>
  <c r="C176" i="26"/>
  <c r="C176" i="25"/>
  <c r="BH178" i="3"/>
  <c r="BI178" i="3"/>
  <c r="BE178" i="3"/>
  <c r="CF179" i="3"/>
  <c r="BJ177" i="3"/>
  <c r="BP177" i="3" s="1"/>
  <c r="BR176" i="3"/>
  <c r="BC178" i="3"/>
  <c r="BN178" i="3" s="1"/>
  <c r="DD338" i="3"/>
  <c r="CJ178" i="3"/>
  <c r="AV178" i="3" s="1"/>
  <c r="CI178" i="3"/>
  <c r="BY179" i="3"/>
  <c r="BF177" i="3"/>
  <c r="BQ177" i="3" s="1"/>
  <c r="D179" i="3"/>
  <c r="C180" i="3"/>
  <c r="BW179" i="3"/>
  <c r="CI179" i="3" s="1"/>
  <c r="BL179" i="3"/>
  <c r="AY179" i="3"/>
  <c r="BK179" i="3"/>
  <c r="AJ179" i="3"/>
  <c r="R176" i="26" s="1"/>
  <c r="AI179" i="3"/>
  <c r="Q176" i="26" s="1"/>
  <c r="AH179" i="3"/>
  <c r="P176" i="26" s="1"/>
  <c r="AG179" i="3"/>
  <c r="O176" i="26" s="1"/>
  <c r="BO177" i="3"/>
  <c r="AU177" i="3" s="1"/>
  <c r="CJ167" i="14" l="1"/>
  <c r="CC174" i="3" s="1"/>
  <c r="CK167" i="14"/>
  <c r="CD174" i="3" s="1"/>
  <c r="CH168" i="14"/>
  <c r="BD179" i="3"/>
  <c r="BU180" i="3"/>
  <c r="BV180" i="3"/>
  <c r="CE168" i="14"/>
  <c r="BS168" i="14"/>
  <c r="BV168" i="14"/>
  <c r="BX168" i="14" s="1"/>
  <c r="CK168" i="14" s="1"/>
  <c r="CD175" i="3" s="1"/>
  <c r="CA168" i="14"/>
  <c r="CB168" i="14" s="1"/>
  <c r="BZ168" i="14"/>
  <c r="BU168" i="14"/>
  <c r="BT168" i="14"/>
  <c r="BW168" i="14" s="1"/>
  <c r="AY169" i="14"/>
  <c r="CE169" i="14" s="1"/>
  <c r="BQ169" i="14"/>
  <c r="BR169" i="14" s="1"/>
  <c r="BZ421" i="14"/>
  <c r="BU421" i="14"/>
  <c r="BS421" i="14"/>
  <c r="AC422" i="14"/>
  <c r="BA422" i="14"/>
  <c r="BK422" i="14" s="1"/>
  <c r="AQ422" i="14"/>
  <c r="AR422" i="14" s="1"/>
  <c r="AS422" i="14" s="1"/>
  <c r="AT422" i="14" s="1"/>
  <c r="AU422" i="14" s="1"/>
  <c r="AZ422" i="14"/>
  <c r="AK422" i="14"/>
  <c r="AL422" i="14" s="1"/>
  <c r="AM422" i="14" s="1"/>
  <c r="AN422" i="14" s="1"/>
  <c r="AO422" i="14" s="1"/>
  <c r="AP422" i="14" s="1"/>
  <c r="AF422" i="14"/>
  <c r="AG422" i="14" s="1"/>
  <c r="AH422" i="14" s="1"/>
  <c r="AI422" i="14" s="1"/>
  <c r="AJ422" i="14" s="1"/>
  <c r="BT421" i="14"/>
  <c r="BW421" i="14" s="1"/>
  <c r="CA421" i="14"/>
  <c r="CB421" i="14" s="1"/>
  <c r="BV421" i="14"/>
  <c r="BX421" i="14" s="1"/>
  <c r="AW170" i="14"/>
  <c r="CE420" i="14"/>
  <c r="CJ420" i="14" s="1"/>
  <c r="AZ176" i="3" s="1"/>
  <c r="CF420" i="14"/>
  <c r="CK420" i="14" s="1"/>
  <c r="BA176" i="3" s="1"/>
  <c r="CH420" i="14"/>
  <c r="CM420" i="14" s="1"/>
  <c r="BB176" i="3" s="1"/>
  <c r="CD421" i="14"/>
  <c r="BE421" i="14"/>
  <c r="BG421" i="14" s="1"/>
  <c r="AV422" i="14"/>
  <c r="AD172" i="14"/>
  <c r="BI172" i="14"/>
  <c r="BJ172" i="14" s="1"/>
  <c r="BM172" i="14"/>
  <c r="AB172" i="14"/>
  <c r="BC172" i="14"/>
  <c r="BD172" i="14" s="1"/>
  <c r="BB172" i="14"/>
  <c r="AA172" i="14"/>
  <c r="AV172" i="14" s="1"/>
  <c r="BN422" i="14"/>
  <c r="BO422" i="14" s="1"/>
  <c r="BQ422" i="14"/>
  <c r="BR422" i="14" s="1"/>
  <c r="AC171" i="14"/>
  <c r="AQ171" i="14"/>
  <c r="AR171" i="14" s="1"/>
  <c r="AS171" i="14" s="1"/>
  <c r="AT171" i="14" s="1"/>
  <c r="AU171" i="14" s="1"/>
  <c r="AZ171" i="14"/>
  <c r="BA171" i="14"/>
  <c r="BK171" i="14" s="1"/>
  <c r="AF171" i="14"/>
  <c r="AG171" i="14" s="1"/>
  <c r="AH171" i="14" s="1"/>
  <c r="AI171" i="14" s="1"/>
  <c r="AJ171" i="14" s="1"/>
  <c r="AK171" i="14"/>
  <c r="AL171" i="14" s="1"/>
  <c r="AM171" i="14" s="1"/>
  <c r="AN171" i="14" s="1"/>
  <c r="AO171" i="14" s="1"/>
  <c r="AP171" i="14" s="1"/>
  <c r="BE170" i="14"/>
  <c r="BG170" i="14" s="1"/>
  <c r="CD170" i="14"/>
  <c r="BM423" i="14"/>
  <c r="BC423" i="14"/>
  <c r="BD423" i="14" s="1"/>
  <c r="AA423" i="14"/>
  <c r="BI423" i="14"/>
  <c r="BJ423" i="14" s="1"/>
  <c r="AD423" i="14"/>
  <c r="AB423" i="14"/>
  <c r="BB423" i="14"/>
  <c r="AW421" i="14"/>
  <c r="AY421" i="14" s="1"/>
  <c r="Z424" i="14"/>
  <c r="AE173" i="14"/>
  <c r="AE424" i="14"/>
  <c r="Z173" i="14"/>
  <c r="AX422" i="14"/>
  <c r="AV171" i="14"/>
  <c r="BN171" i="14"/>
  <c r="BO171" i="14" s="1"/>
  <c r="BH179" i="3"/>
  <c r="D176" i="26"/>
  <c r="D176" i="25"/>
  <c r="BG179" i="3"/>
  <c r="BM179" i="3" s="1"/>
  <c r="BJ178" i="3"/>
  <c r="BP178" i="3" s="1"/>
  <c r="C177" i="26"/>
  <c r="C177" i="25"/>
  <c r="BI179" i="3"/>
  <c r="BE179" i="3"/>
  <c r="BR177" i="3"/>
  <c r="CK179" i="3"/>
  <c r="CF180" i="3"/>
  <c r="AW176" i="3"/>
  <c r="BC179" i="3"/>
  <c r="BN179" i="3" s="1"/>
  <c r="DD339" i="3"/>
  <c r="CJ179" i="3"/>
  <c r="AV179" i="3" s="1"/>
  <c r="BY180" i="3"/>
  <c r="D180" i="3"/>
  <c r="BF178" i="3"/>
  <c r="BQ178" i="3" s="1"/>
  <c r="BO178" i="3"/>
  <c r="AU178" i="3" s="1"/>
  <c r="C181" i="3"/>
  <c r="BW180" i="3"/>
  <c r="CJ180" i="3" s="1"/>
  <c r="AV180" i="3" s="1"/>
  <c r="BL180" i="3"/>
  <c r="BK180" i="3"/>
  <c r="AI180" i="3"/>
  <c r="Q177" i="26" s="1"/>
  <c r="AH180" i="3"/>
  <c r="P177" i="26" s="1"/>
  <c r="AY180" i="3"/>
  <c r="AG180" i="3"/>
  <c r="O177" i="26" s="1"/>
  <c r="AJ180" i="3"/>
  <c r="R177" i="26" s="1"/>
  <c r="BD180" i="3" l="1"/>
  <c r="CM168" i="14"/>
  <c r="CG175" i="3" s="1"/>
  <c r="CH169" i="14"/>
  <c r="BV181" i="3"/>
  <c r="BU181" i="3"/>
  <c r="CJ168" i="14"/>
  <c r="CC175" i="3" s="1"/>
  <c r="CF169" i="14"/>
  <c r="AY170" i="14"/>
  <c r="CH170" i="14" s="1"/>
  <c r="BQ170" i="14"/>
  <c r="BR170" i="14" s="1"/>
  <c r="CA169" i="14"/>
  <c r="CB169" i="14" s="1"/>
  <c r="BU169" i="14"/>
  <c r="BV169" i="14"/>
  <c r="BX169" i="14" s="1"/>
  <c r="BS169" i="14"/>
  <c r="BT169" i="14"/>
  <c r="BW169" i="14" s="1"/>
  <c r="CJ169" i="14" s="1"/>
  <c r="CC176" i="3" s="1"/>
  <c r="BZ169" i="14"/>
  <c r="AW177" i="3"/>
  <c r="AZ423" i="14"/>
  <c r="BA423" i="14"/>
  <c r="BK423" i="14" s="1"/>
  <c r="AQ423" i="14"/>
  <c r="AR423" i="14" s="1"/>
  <c r="AS423" i="14" s="1"/>
  <c r="AT423" i="14" s="1"/>
  <c r="AU423" i="14" s="1"/>
  <c r="AF423" i="14"/>
  <c r="AG423" i="14" s="1"/>
  <c r="AH423" i="14" s="1"/>
  <c r="AI423" i="14" s="1"/>
  <c r="AJ423" i="14" s="1"/>
  <c r="AC423" i="14"/>
  <c r="AK423" i="14"/>
  <c r="AL423" i="14" s="1"/>
  <c r="AM423" i="14" s="1"/>
  <c r="AN423" i="14" s="1"/>
  <c r="AO423" i="14" s="1"/>
  <c r="AP423" i="14" s="1"/>
  <c r="AX172" i="14"/>
  <c r="AK172" i="14"/>
  <c r="AL172" i="14" s="1"/>
  <c r="AM172" i="14" s="1"/>
  <c r="AN172" i="14" s="1"/>
  <c r="AO172" i="14" s="1"/>
  <c r="AP172" i="14" s="1"/>
  <c r="AF172" i="14"/>
  <c r="AG172" i="14" s="1"/>
  <c r="AH172" i="14" s="1"/>
  <c r="AI172" i="14" s="1"/>
  <c r="AJ172" i="14" s="1"/>
  <c r="BA172" i="14"/>
  <c r="BK172" i="14" s="1"/>
  <c r="AQ172" i="14"/>
  <c r="AR172" i="14" s="1"/>
  <c r="AS172" i="14" s="1"/>
  <c r="AT172" i="14" s="1"/>
  <c r="AU172" i="14" s="1"/>
  <c r="AZ172" i="14"/>
  <c r="AC172" i="14"/>
  <c r="BN172" i="14"/>
  <c r="BO172" i="14" s="1"/>
  <c r="CD422" i="14"/>
  <c r="BE422" i="14"/>
  <c r="BG422" i="14" s="1"/>
  <c r="BM424" i="14"/>
  <c r="BI424" i="14"/>
  <c r="BJ424" i="14" s="1"/>
  <c r="AB424" i="14"/>
  <c r="AA424" i="14"/>
  <c r="AV424" i="14" s="1"/>
  <c r="BC424" i="14"/>
  <c r="BD424" i="14" s="1"/>
  <c r="AD424" i="14"/>
  <c r="BB424" i="14"/>
  <c r="AW171" i="14"/>
  <c r="BB173" i="14"/>
  <c r="BM173" i="14"/>
  <c r="AB173" i="14"/>
  <c r="BI173" i="14"/>
  <c r="BJ173" i="14" s="1"/>
  <c r="AD173" i="14"/>
  <c r="AA173" i="14"/>
  <c r="AV173" i="14" s="1"/>
  <c r="BC173" i="14"/>
  <c r="BD173" i="14" s="1"/>
  <c r="BQ423" i="14"/>
  <c r="BR423" i="14" s="1"/>
  <c r="BN423" i="14"/>
  <c r="BO423" i="14" s="1"/>
  <c r="BV422" i="14"/>
  <c r="BX422" i="14" s="1"/>
  <c r="BT422" i="14"/>
  <c r="BW422" i="14" s="1"/>
  <c r="CA422" i="14"/>
  <c r="CB422" i="14" s="1"/>
  <c r="CH421" i="14"/>
  <c r="CM421" i="14" s="1"/>
  <c r="BB177" i="3" s="1"/>
  <c r="CF421" i="14"/>
  <c r="CK421" i="14" s="1"/>
  <c r="BA177" i="3" s="1"/>
  <c r="CE421" i="14"/>
  <c r="CJ421" i="14" s="1"/>
  <c r="AZ177" i="3" s="1"/>
  <c r="Z425" i="14"/>
  <c r="AE425" i="14"/>
  <c r="Z174" i="14"/>
  <c r="AE174" i="14"/>
  <c r="AX423" i="14"/>
  <c r="CD171" i="14"/>
  <c r="BE171" i="14"/>
  <c r="BG171" i="14" s="1"/>
  <c r="BS422" i="14"/>
  <c r="BU422" i="14"/>
  <c r="BZ422" i="14"/>
  <c r="AV423" i="14"/>
  <c r="AW422" i="14"/>
  <c r="AY422" i="14" s="1"/>
  <c r="BR178" i="3"/>
  <c r="BI180" i="3"/>
  <c r="D177" i="25"/>
  <c r="D177" i="26"/>
  <c r="C178" i="26"/>
  <c r="C178" i="25"/>
  <c r="BG180" i="3"/>
  <c r="BH180" i="3"/>
  <c r="BE180" i="3"/>
  <c r="CF181" i="3"/>
  <c r="CK180" i="3"/>
  <c r="BJ179" i="3"/>
  <c r="BP179" i="3" s="1"/>
  <c r="BC180" i="3"/>
  <c r="BN180" i="3" s="1"/>
  <c r="CI180" i="3"/>
  <c r="BY181" i="3"/>
  <c r="DD340" i="3"/>
  <c r="BF179" i="3"/>
  <c r="BQ179" i="3" s="1"/>
  <c r="D181" i="3"/>
  <c r="BO179" i="3"/>
  <c r="AU179" i="3" s="1"/>
  <c r="BK181" i="3"/>
  <c r="AY181" i="3"/>
  <c r="C182" i="3"/>
  <c r="BL181" i="3"/>
  <c r="BW181" i="3"/>
  <c r="CK181" i="3" s="1"/>
  <c r="AH181" i="3"/>
  <c r="P178" i="26" s="1"/>
  <c r="AG181" i="3"/>
  <c r="O178" i="26" s="1"/>
  <c r="AJ181" i="3"/>
  <c r="R178" i="26" s="1"/>
  <c r="AI181" i="3"/>
  <c r="Q178" i="26" s="1"/>
  <c r="CE170" i="14" l="1"/>
  <c r="CF170" i="14"/>
  <c r="CM169" i="14"/>
  <c r="CG176" i="3" s="1"/>
  <c r="BD181" i="3"/>
  <c r="BV182" i="3"/>
  <c r="BU182" i="3"/>
  <c r="CK169" i="14"/>
  <c r="CD176" i="3" s="1"/>
  <c r="AX424" i="14"/>
  <c r="BV170" i="14"/>
  <c r="BX170" i="14" s="1"/>
  <c r="BZ170" i="14"/>
  <c r="CA170" i="14"/>
  <c r="CB170" i="14" s="1"/>
  <c r="CM170" i="14" s="1"/>
  <c r="CG177" i="3" s="1"/>
  <c r="BT170" i="14"/>
  <c r="BW170" i="14" s="1"/>
  <c r="BU170" i="14"/>
  <c r="BS170" i="14"/>
  <c r="CE422" i="14"/>
  <c r="CJ422" i="14" s="1"/>
  <c r="AZ178" i="3" s="1"/>
  <c r="AY171" i="14"/>
  <c r="CH171" i="14" s="1"/>
  <c r="BQ171" i="14"/>
  <c r="BR171" i="14" s="1"/>
  <c r="AW178" i="3"/>
  <c r="AX173" i="14"/>
  <c r="BM425" i="14"/>
  <c r="AA425" i="14"/>
  <c r="AX425" i="14" s="1"/>
  <c r="BC425" i="14"/>
  <c r="BD425" i="14" s="1"/>
  <c r="BI425" i="14"/>
  <c r="BJ425" i="14" s="1"/>
  <c r="AB425" i="14"/>
  <c r="AD425" i="14"/>
  <c r="BB425" i="14"/>
  <c r="BQ424" i="14"/>
  <c r="BR424" i="14" s="1"/>
  <c r="BN424" i="14"/>
  <c r="BO424" i="14" s="1"/>
  <c r="AC424" i="14"/>
  <c r="AQ424" i="14"/>
  <c r="AR424" i="14" s="1"/>
  <c r="AS424" i="14" s="1"/>
  <c r="AT424" i="14" s="1"/>
  <c r="AU424" i="14" s="1"/>
  <c r="AF424" i="14"/>
  <c r="BA424" i="14"/>
  <c r="BK424" i="14" s="1"/>
  <c r="AZ424" i="14"/>
  <c r="AK424" i="14"/>
  <c r="AL424" i="14" s="1"/>
  <c r="AM424" i="14" s="1"/>
  <c r="AN424" i="14" s="1"/>
  <c r="AO424" i="14" s="1"/>
  <c r="AP424" i="14" s="1"/>
  <c r="AW172" i="14"/>
  <c r="CE171" i="14"/>
  <c r="BS423" i="14"/>
  <c r="BU423" i="14"/>
  <c r="BZ423" i="14"/>
  <c r="AC173" i="14"/>
  <c r="AF173" i="14"/>
  <c r="AG173" i="14" s="1"/>
  <c r="AH173" i="14" s="1"/>
  <c r="AI173" i="14" s="1"/>
  <c r="AJ173" i="14" s="1"/>
  <c r="AK173" i="14"/>
  <c r="AL173" i="14" s="1"/>
  <c r="AM173" i="14" s="1"/>
  <c r="AN173" i="14" s="1"/>
  <c r="AO173" i="14" s="1"/>
  <c r="AP173" i="14" s="1"/>
  <c r="AQ173" i="14"/>
  <c r="AR173" i="14" s="1"/>
  <c r="AS173" i="14" s="1"/>
  <c r="AT173" i="14" s="1"/>
  <c r="AU173" i="14" s="1"/>
  <c r="BA173" i="14"/>
  <c r="BK173" i="14" s="1"/>
  <c r="AZ173" i="14"/>
  <c r="BN173" i="14"/>
  <c r="BO173" i="14" s="1"/>
  <c r="CH422" i="14"/>
  <c r="CM422" i="14" s="1"/>
  <c r="BB178" i="3" s="1"/>
  <c r="CF422" i="14"/>
  <c r="CK422" i="14" s="1"/>
  <c r="BA178" i="3" s="1"/>
  <c r="AE426" i="14"/>
  <c r="Z426" i="14"/>
  <c r="Z175" i="14"/>
  <c r="AE175" i="14"/>
  <c r="AD174" i="14"/>
  <c r="BI174" i="14"/>
  <c r="BJ174" i="14" s="1"/>
  <c r="BB174" i="14"/>
  <c r="BM174" i="14"/>
  <c r="AA174" i="14"/>
  <c r="AV174" i="14" s="1"/>
  <c r="BC174" i="14"/>
  <c r="BD174" i="14" s="1"/>
  <c r="AB174" i="14"/>
  <c r="BT423" i="14"/>
  <c r="BW423" i="14" s="1"/>
  <c r="CA423" i="14"/>
  <c r="CB423" i="14" s="1"/>
  <c r="BV423" i="14"/>
  <c r="BX423" i="14" s="1"/>
  <c r="CD172" i="14"/>
  <c r="BE172" i="14"/>
  <c r="BG172" i="14" s="1"/>
  <c r="AW423" i="14"/>
  <c r="AY423" i="14" s="1"/>
  <c r="CD423" i="14"/>
  <c r="BE423" i="14"/>
  <c r="BG423" i="14" s="1"/>
  <c r="BH181" i="3"/>
  <c r="D178" i="25"/>
  <c r="D178" i="26"/>
  <c r="BG181" i="3"/>
  <c r="BM181" i="3" s="1"/>
  <c r="BI181" i="3"/>
  <c r="C179" i="26"/>
  <c r="C179" i="25"/>
  <c r="BE181" i="3"/>
  <c r="BR179" i="3"/>
  <c r="CF182" i="3"/>
  <c r="BJ180" i="3"/>
  <c r="BP180" i="3" s="1"/>
  <c r="BC181" i="3"/>
  <c r="BN181" i="3" s="1"/>
  <c r="CJ181" i="3"/>
  <c r="AV181" i="3" s="1"/>
  <c r="CI181" i="3"/>
  <c r="BY182" i="3"/>
  <c r="BF180" i="3"/>
  <c r="BQ180" i="3" s="1"/>
  <c r="BM180" i="3"/>
  <c r="BO180" i="3" s="1"/>
  <c r="AU180" i="3" s="1"/>
  <c r="DD341" i="3"/>
  <c r="D182" i="3"/>
  <c r="BG182" i="3" s="1"/>
  <c r="C183" i="3"/>
  <c r="BL182" i="3"/>
  <c r="AY182" i="3"/>
  <c r="BW182" i="3"/>
  <c r="CK182" i="3" s="1"/>
  <c r="AG182" i="3"/>
  <c r="O179" i="26" s="1"/>
  <c r="AJ182" i="3"/>
  <c r="R179" i="26" s="1"/>
  <c r="AI182" i="3"/>
  <c r="Q179" i="26" s="1"/>
  <c r="AH182" i="3"/>
  <c r="P179" i="26" s="1"/>
  <c r="BK182" i="3"/>
  <c r="CJ170" i="14" l="1"/>
  <c r="CC177" i="3" s="1"/>
  <c r="BD182" i="3"/>
  <c r="CK170" i="14"/>
  <c r="CD177" i="3" s="1"/>
  <c r="CF171" i="14"/>
  <c r="BV183" i="3"/>
  <c r="BU183" i="3"/>
  <c r="AY172" i="14"/>
  <c r="CH172" i="14" s="1"/>
  <c r="BQ172" i="14"/>
  <c r="BR172" i="14" s="1"/>
  <c r="AW179" i="3"/>
  <c r="CA171" i="14"/>
  <c r="CB171" i="14" s="1"/>
  <c r="CM171" i="14" s="1"/>
  <c r="CG178" i="3" s="1"/>
  <c r="BZ171" i="14"/>
  <c r="BU171" i="14"/>
  <c r="BS171" i="14"/>
  <c r="BT171" i="14"/>
  <c r="BW171" i="14" s="1"/>
  <c r="CJ171" i="14" s="1"/>
  <c r="CC178" i="3" s="1"/>
  <c r="BV171" i="14"/>
  <c r="BX171" i="14" s="1"/>
  <c r="AV425" i="14"/>
  <c r="AX174" i="14"/>
  <c r="AE427" i="14"/>
  <c r="AE176" i="14"/>
  <c r="Z427" i="14"/>
  <c r="Z176" i="14"/>
  <c r="BN174" i="14"/>
  <c r="BO174" i="14" s="1"/>
  <c r="AW173" i="14"/>
  <c r="CA424" i="14"/>
  <c r="CB424" i="14" s="1"/>
  <c r="BT424" i="14"/>
  <c r="BW424" i="14" s="1"/>
  <c r="BV424" i="14"/>
  <c r="BX424" i="14" s="1"/>
  <c r="CH423" i="14"/>
  <c r="CM423" i="14" s="1"/>
  <c r="BB179" i="3" s="1"/>
  <c r="CF423" i="14"/>
  <c r="CK423" i="14" s="1"/>
  <c r="BA179" i="3" s="1"/>
  <c r="CE423" i="14"/>
  <c r="CJ423" i="14" s="1"/>
  <c r="AZ179" i="3" s="1"/>
  <c r="BM426" i="14"/>
  <c r="BC426" i="14"/>
  <c r="BD426" i="14" s="1"/>
  <c r="AA426" i="14"/>
  <c r="AV426" i="14" s="1"/>
  <c r="AB426" i="14"/>
  <c r="BI426" i="14"/>
  <c r="BJ426" i="14" s="1"/>
  <c r="AD426" i="14"/>
  <c r="BB426" i="14"/>
  <c r="CD173" i="14"/>
  <c r="BE173" i="14"/>
  <c r="BG173" i="14" s="1"/>
  <c r="BN425" i="14"/>
  <c r="BO425" i="14" s="1"/>
  <c r="BQ425" i="14"/>
  <c r="BR425" i="14" s="1"/>
  <c r="BB175" i="14"/>
  <c r="BM175" i="14"/>
  <c r="AB175" i="14"/>
  <c r="AD175" i="14"/>
  <c r="BI175" i="14"/>
  <c r="BJ175" i="14" s="1"/>
  <c r="AA175" i="14"/>
  <c r="AX175" i="14" s="1"/>
  <c r="BC175" i="14"/>
  <c r="BD175" i="14" s="1"/>
  <c r="AG424" i="14"/>
  <c r="AH424" i="14" s="1"/>
  <c r="AI424" i="14" s="1"/>
  <c r="AJ424" i="14" s="1"/>
  <c r="AK425" i="14"/>
  <c r="AL425" i="14" s="1"/>
  <c r="AM425" i="14" s="1"/>
  <c r="AN425" i="14" s="1"/>
  <c r="AO425" i="14" s="1"/>
  <c r="AP425" i="14" s="1"/>
  <c r="BA425" i="14"/>
  <c r="BK425" i="14" s="1"/>
  <c r="AC425" i="14"/>
  <c r="AZ425" i="14"/>
  <c r="AF425" i="14"/>
  <c r="AG425" i="14" s="1"/>
  <c r="AH425" i="14" s="1"/>
  <c r="AI425" i="14" s="1"/>
  <c r="AJ425" i="14" s="1"/>
  <c r="AQ425" i="14"/>
  <c r="AR425" i="14" s="1"/>
  <c r="AS425" i="14" s="1"/>
  <c r="AT425" i="14" s="1"/>
  <c r="AU425" i="14" s="1"/>
  <c r="BA174" i="14"/>
  <c r="BK174" i="14" s="1"/>
  <c r="AZ174" i="14"/>
  <c r="AQ174" i="14"/>
  <c r="AR174" i="14" s="1"/>
  <c r="AS174" i="14" s="1"/>
  <c r="AT174" i="14" s="1"/>
  <c r="AU174" i="14" s="1"/>
  <c r="AK174" i="14"/>
  <c r="AL174" i="14" s="1"/>
  <c r="AM174" i="14" s="1"/>
  <c r="AN174" i="14" s="1"/>
  <c r="AO174" i="14" s="1"/>
  <c r="AP174" i="14" s="1"/>
  <c r="AC174" i="14"/>
  <c r="AF174" i="14"/>
  <c r="AG174" i="14" s="1"/>
  <c r="AH174" i="14" s="1"/>
  <c r="AI174" i="14" s="1"/>
  <c r="AJ174" i="14" s="1"/>
  <c r="BE424" i="14"/>
  <c r="BG424" i="14" s="1"/>
  <c r="CD424" i="14"/>
  <c r="BU424" i="14"/>
  <c r="BZ424" i="14"/>
  <c r="BS424" i="14"/>
  <c r="BI182" i="3"/>
  <c r="D179" i="26"/>
  <c r="D179" i="25"/>
  <c r="C180" i="26"/>
  <c r="C180" i="25"/>
  <c r="BH182" i="3"/>
  <c r="BE182" i="3"/>
  <c r="CF183" i="3"/>
  <c r="BR180" i="3"/>
  <c r="BJ181" i="3"/>
  <c r="BP181" i="3" s="1"/>
  <c r="BC182" i="3"/>
  <c r="BN182" i="3" s="1"/>
  <c r="DD342" i="3"/>
  <c r="CJ182" i="3"/>
  <c r="AV182" i="3" s="1"/>
  <c r="CI182" i="3"/>
  <c r="BY183" i="3"/>
  <c r="BM182" i="3"/>
  <c r="BF181" i="3"/>
  <c r="BQ181" i="3" s="1"/>
  <c r="D183" i="3"/>
  <c r="DD343" i="3" s="1"/>
  <c r="BO181" i="3"/>
  <c r="AU181" i="3" s="1"/>
  <c r="C184" i="3"/>
  <c r="BK183" i="3"/>
  <c r="AY183" i="3"/>
  <c r="BW183" i="3"/>
  <c r="CJ183" i="3" s="1"/>
  <c r="AV183" i="3" s="1"/>
  <c r="BL183" i="3"/>
  <c r="AJ183" i="3"/>
  <c r="R180" i="26" s="1"/>
  <c r="AI183" i="3"/>
  <c r="Q180" i="26" s="1"/>
  <c r="AH183" i="3"/>
  <c r="P180" i="26" s="1"/>
  <c r="AG183" i="3"/>
  <c r="O180" i="26" s="1"/>
  <c r="CK171" i="14" l="1"/>
  <c r="CD178" i="3" s="1"/>
  <c r="CF172" i="14"/>
  <c r="CE172" i="14"/>
  <c r="BD183" i="3"/>
  <c r="BV184" i="3"/>
  <c r="BU184" i="3"/>
  <c r="AX426" i="14"/>
  <c r="AW180" i="3"/>
  <c r="AY173" i="14"/>
  <c r="CF173" i="14" s="1"/>
  <c r="BQ173" i="14"/>
  <c r="BR173" i="14" s="1"/>
  <c r="BU172" i="14"/>
  <c r="CA172" i="14"/>
  <c r="CB172" i="14" s="1"/>
  <c r="CM172" i="14" s="1"/>
  <c r="CG179" i="3" s="1"/>
  <c r="BT172" i="14"/>
  <c r="BW172" i="14" s="1"/>
  <c r="BS172" i="14"/>
  <c r="BV172" i="14"/>
  <c r="BX172" i="14" s="1"/>
  <c r="BZ172" i="14"/>
  <c r="AW424" i="14"/>
  <c r="AY424" i="14" s="1"/>
  <c r="CE424" i="14" s="1"/>
  <c r="CJ424" i="14" s="1"/>
  <c r="AZ180" i="3" s="1"/>
  <c r="CD174" i="14"/>
  <c r="BE174" i="14"/>
  <c r="BG174" i="14" s="1"/>
  <c r="AK175" i="14"/>
  <c r="AL175" i="14" s="1"/>
  <c r="AM175" i="14" s="1"/>
  <c r="AN175" i="14" s="1"/>
  <c r="AO175" i="14" s="1"/>
  <c r="AP175" i="14" s="1"/>
  <c r="BA175" i="14"/>
  <c r="BK175" i="14" s="1"/>
  <c r="AQ175" i="14"/>
  <c r="AR175" i="14" s="1"/>
  <c r="AS175" i="14" s="1"/>
  <c r="AT175" i="14" s="1"/>
  <c r="AU175" i="14" s="1"/>
  <c r="AF175" i="14"/>
  <c r="AG175" i="14" s="1"/>
  <c r="AH175" i="14" s="1"/>
  <c r="AI175" i="14" s="1"/>
  <c r="AJ175" i="14" s="1"/>
  <c r="AZ175" i="14"/>
  <c r="AC175" i="14"/>
  <c r="BN175" i="14"/>
  <c r="BO175" i="14" s="1"/>
  <c r="BQ426" i="14"/>
  <c r="BR426" i="14" s="1"/>
  <c r="BN426" i="14"/>
  <c r="BO426" i="14" s="1"/>
  <c r="AV175" i="14"/>
  <c r="BM427" i="14"/>
  <c r="BI427" i="14"/>
  <c r="BJ427" i="14" s="1"/>
  <c r="AA427" i="14"/>
  <c r="AV427" i="14" s="1"/>
  <c r="BC427" i="14"/>
  <c r="BD427" i="14" s="1"/>
  <c r="BB427" i="14"/>
  <c r="AB427" i="14"/>
  <c r="AD427" i="14"/>
  <c r="BV425" i="14"/>
  <c r="BX425" i="14" s="1"/>
  <c r="CA425" i="14"/>
  <c r="CB425" i="14" s="1"/>
  <c r="BT425" i="14"/>
  <c r="BW425" i="14" s="1"/>
  <c r="AE428" i="14"/>
  <c r="Z428" i="14"/>
  <c r="AE177" i="14"/>
  <c r="Z177" i="14"/>
  <c r="BU425" i="14"/>
  <c r="BS425" i="14"/>
  <c r="BZ425" i="14"/>
  <c r="BA426" i="14"/>
  <c r="BK426" i="14" s="1"/>
  <c r="AK426" i="14"/>
  <c r="AL426" i="14" s="1"/>
  <c r="AM426" i="14" s="1"/>
  <c r="AN426" i="14" s="1"/>
  <c r="AO426" i="14" s="1"/>
  <c r="AP426" i="14" s="1"/>
  <c r="AC426" i="14"/>
  <c r="AQ426" i="14"/>
  <c r="AR426" i="14" s="1"/>
  <c r="AS426" i="14" s="1"/>
  <c r="AT426" i="14" s="1"/>
  <c r="AU426" i="14" s="1"/>
  <c r="AF426" i="14"/>
  <c r="AZ426" i="14"/>
  <c r="AW425" i="14"/>
  <c r="AY425" i="14" s="1"/>
  <c r="AW174" i="14"/>
  <c r="BE425" i="14"/>
  <c r="BG425" i="14" s="1"/>
  <c r="CD425" i="14"/>
  <c r="AD176" i="14"/>
  <c r="AA176" i="14"/>
  <c r="BB176" i="14"/>
  <c r="BI176" i="14"/>
  <c r="BJ176" i="14" s="1"/>
  <c r="BM176" i="14"/>
  <c r="AB176" i="14"/>
  <c r="BC176" i="14"/>
  <c r="BD176" i="14" s="1"/>
  <c r="C181" i="26"/>
  <c r="C181" i="25"/>
  <c r="BI183" i="3"/>
  <c r="D180" i="26"/>
  <c r="D180" i="25"/>
  <c r="BG183" i="3"/>
  <c r="BM183" i="3" s="1"/>
  <c r="BH183" i="3"/>
  <c r="BE183" i="3"/>
  <c r="CK183" i="3"/>
  <c r="CF184" i="3"/>
  <c r="BJ182" i="3"/>
  <c r="BP182" i="3" s="1"/>
  <c r="BR181" i="3"/>
  <c r="BC183" i="3"/>
  <c r="BN183" i="3" s="1"/>
  <c r="CI183" i="3"/>
  <c r="BY184" i="3"/>
  <c r="D184" i="3"/>
  <c r="BF182" i="3"/>
  <c r="BQ182" i="3" s="1"/>
  <c r="C185" i="3"/>
  <c r="BW184" i="3"/>
  <c r="CK184" i="3" s="1"/>
  <c r="BL184" i="3"/>
  <c r="BK184" i="3"/>
  <c r="AY184" i="3"/>
  <c r="AI184" i="3"/>
  <c r="Q181" i="26" s="1"/>
  <c r="AH184" i="3"/>
  <c r="P181" i="26" s="1"/>
  <c r="AG184" i="3"/>
  <c r="O181" i="26" s="1"/>
  <c r="AJ184" i="3"/>
  <c r="R181" i="26" s="1"/>
  <c r="BO182" i="3"/>
  <c r="AU182" i="3" s="1"/>
  <c r="CK172" i="14" l="1"/>
  <c r="CD179" i="3" s="1"/>
  <c r="CE173" i="14"/>
  <c r="CH173" i="14"/>
  <c r="CJ172" i="14"/>
  <c r="CC179" i="3" s="1"/>
  <c r="BD184" i="3"/>
  <c r="BV185" i="3"/>
  <c r="BU185" i="3"/>
  <c r="AW181" i="3"/>
  <c r="AY174" i="14"/>
  <c r="CE174" i="14" s="1"/>
  <c r="BQ174" i="14"/>
  <c r="BR174" i="14" s="1"/>
  <c r="BU173" i="14"/>
  <c r="CA173" i="14"/>
  <c r="CB173" i="14" s="1"/>
  <c r="BS173" i="14"/>
  <c r="BV173" i="14"/>
  <c r="BX173" i="14" s="1"/>
  <c r="CK173" i="14" s="1"/>
  <c r="CD180" i="3" s="1"/>
  <c r="BZ173" i="14"/>
  <c r="BT173" i="14"/>
  <c r="BW173" i="14" s="1"/>
  <c r="CF424" i="14"/>
  <c r="CK424" i="14" s="1"/>
  <c r="BA180" i="3" s="1"/>
  <c r="CH424" i="14"/>
  <c r="CM424" i="14" s="1"/>
  <c r="BB180" i="3" s="1"/>
  <c r="AX427" i="14"/>
  <c r="BJ183" i="3"/>
  <c r="BP183" i="3" s="1"/>
  <c r="Z429" i="14"/>
  <c r="Z178" i="14"/>
  <c r="AE178" i="14"/>
  <c r="AE429" i="14"/>
  <c r="CE425" i="14"/>
  <c r="CJ425" i="14" s="1"/>
  <c r="AZ181" i="3" s="1"/>
  <c r="CH425" i="14"/>
  <c r="CM425" i="14" s="1"/>
  <c r="BB181" i="3" s="1"/>
  <c r="CF425" i="14"/>
  <c r="CK425" i="14" s="1"/>
  <c r="BA181" i="3" s="1"/>
  <c r="BM428" i="14"/>
  <c r="BC428" i="14"/>
  <c r="BD428" i="14" s="1"/>
  <c r="BI428" i="14"/>
  <c r="BJ428" i="14" s="1"/>
  <c r="AB428" i="14"/>
  <c r="AA428" i="14"/>
  <c r="AX428" i="14" s="1"/>
  <c r="AD428" i="14"/>
  <c r="BB428" i="14"/>
  <c r="AQ427" i="14"/>
  <c r="AR427" i="14" s="1"/>
  <c r="AS427" i="14" s="1"/>
  <c r="AT427" i="14" s="1"/>
  <c r="AU427" i="14" s="1"/>
  <c r="AK427" i="14"/>
  <c r="AL427" i="14" s="1"/>
  <c r="AM427" i="14" s="1"/>
  <c r="AN427" i="14" s="1"/>
  <c r="AO427" i="14" s="1"/>
  <c r="AP427" i="14" s="1"/>
  <c r="AZ427" i="14"/>
  <c r="BA427" i="14"/>
  <c r="BK427" i="14" s="1"/>
  <c r="AC427" i="14"/>
  <c r="AF427" i="14"/>
  <c r="AG427" i="14" s="1"/>
  <c r="AH427" i="14" s="1"/>
  <c r="AI427" i="14" s="1"/>
  <c r="AJ427" i="14" s="1"/>
  <c r="BZ426" i="14"/>
  <c r="BS426" i="14"/>
  <c r="BU426" i="14"/>
  <c r="BN176" i="14"/>
  <c r="BO176" i="14" s="1"/>
  <c r="BE426" i="14"/>
  <c r="BG426" i="14" s="1"/>
  <c r="CD426" i="14"/>
  <c r="CA426" i="14"/>
  <c r="CB426" i="14" s="1"/>
  <c r="BT426" i="14"/>
  <c r="BW426" i="14" s="1"/>
  <c r="BV426" i="14"/>
  <c r="BX426" i="14" s="1"/>
  <c r="AW175" i="14"/>
  <c r="BA176" i="14"/>
  <c r="BK176" i="14" s="1"/>
  <c r="AZ176" i="14"/>
  <c r="AC176" i="14"/>
  <c r="AK176" i="14"/>
  <c r="AL176" i="14" s="1"/>
  <c r="AM176" i="14" s="1"/>
  <c r="AN176" i="14" s="1"/>
  <c r="AO176" i="14" s="1"/>
  <c r="AP176" i="14" s="1"/>
  <c r="AF176" i="14"/>
  <c r="AQ176" i="14"/>
  <c r="AR176" i="14" s="1"/>
  <c r="AS176" i="14" s="1"/>
  <c r="AT176" i="14" s="1"/>
  <c r="AU176" i="14" s="1"/>
  <c r="CD175" i="14"/>
  <c r="BE175" i="14"/>
  <c r="BG175" i="14" s="1"/>
  <c r="AX176" i="14"/>
  <c r="AG426" i="14"/>
  <c r="AH426" i="14" s="1"/>
  <c r="AI426" i="14" s="1"/>
  <c r="AJ426" i="14" s="1"/>
  <c r="BB177" i="14"/>
  <c r="BM177" i="14"/>
  <c r="AB177" i="14"/>
  <c r="BC177" i="14"/>
  <c r="BD177" i="14" s="1"/>
  <c r="AD177" i="14"/>
  <c r="BI177" i="14"/>
  <c r="BJ177" i="14" s="1"/>
  <c r="AA177" i="14"/>
  <c r="AV176" i="14"/>
  <c r="BQ427" i="14"/>
  <c r="BR427" i="14" s="1"/>
  <c r="BN427" i="14"/>
  <c r="BO427" i="14" s="1"/>
  <c r="BH184" i="3"/>
  <c r="D181" i="26"/>
  <c r="D181" i="25"/>
  <c r="C182" i="26"/>
  <c r="C182" i="25"/>
  <c r="BG184" i="3"/>
  <c r="BM184" i="3" s="1"/>
  <c r="BI184" i="3"/>
  <c r="BE184" i="3"/>
  <c r="BR182" i="3"/>
  <c r="CF185" i="3"/>
  <c r="BC184" i="3"/>
  <c r="BN184" i="3" s="1"/>
  <c r="CI184" i="3"/>
  <c r="CJ184" i="3"/>
  <c r="AV184" i="3" s="1"/>
  <c r="BY185" i="3"/>
  <c r="DD344" i="3"/>
  <c r="BF183" i="3"/>
  <c r="BQ183" i="3" s="1"/>
  <c r="D185" i="3"/>
  <c r="BO183" i="3"/>
  <c r="AU183" i="3" s="1"/>
  <c r="C186" i="3"/>
  <c r="BW185" i="3"/>
  <c r="CK185" i="3" s="1"/>
  <c r="BL185" i="3"/>
  <c r="BK185" i="3"/>
  <c r="AY185" i="3"/>
  <c r="AH185" i="3"/>
  <c r="P182" i="26" s="1"/>
  <c r="AG185" i="3"/>
  <c r="O182" i="26" s="1"/>
  <c r="AJ185" i="3"/>
  <c r="R182" i="26" s="1"/>
  <c r="AI185" i="3"/>
  <c r="Q182" i="26" s="1"/>
  <c r="BD185" i="3" l="1"/>
  <c r="CF174" i="14"/>
  <c r="CJ173" i="14"/>
  <c r="CC180" i="3" s="1"/>
  <c r="CM173" i="14"/>
  <c r="CG180" i="3" s="1"/>
  <c r="CH174" i="14"/>
  <c r="AV428" i="14"/>
  <c r="BV186" i="3"/>
  <c r="BU186" i="3"/>
  <c r="AW182" i="3"/>
  <c r="AY175" i="14"/>
  <c r="CF175" i="14" s="1"/>
  <c r="BQ175" i="14"/>
  <c r="BR175" i="14" s="1"/>
  <c r="BT174" i="14"/>
  <c r="BW174" i="14" s="1"/>
  <c r="CJ174" i="14" s="1"/>
  <c r="CC181" i="3" s="1"/>
  <c r="BU174" i="14"/>
  <c r="BV174" i="14"/>
  <c r="BX174" i="14" s="1"/>
  <c r="CK174" i="14" s="1"/>
  <c r="CD181" i="3" s="1"/>
  <c r="BS174" i="14"/>
  <c r="CA174" i="14"/>
  <c r="CB174" i="14" s="1"/>
  <c r="BZ174" i="14"/>
  <c r="BR183" i="3"/>
  <c r="AC177" i="14"/>
  <c r="AQ177" i="14"/>
  <c r="AR177" i="14" s="1"/>
  <c r="AS177" i="14" s="1"/>
  <c r="AT177" i="14" s="1"/>
  <c r="AU177" i="14" s="1"/>
  <c r="AZ177" i="14"/>
  <c r="BA177" i="14"/>
  <c r="BK177" i="14" s="1"/>
  <c r="AF177" i="14"/>
  <c r="AK177" i="14"/>
  <c r="AL177" i="14" s="1"/>
  <c r="AM177" i="14" s="1"/>
  <c r="AN177" i="14" s="1"/>
  <c r="AO177" i="14" s="1"/>
  <c r="AP177" i="14" s="1"/>
  <c r="AE430" i="14"/>
  <c r="Z430" i="14"/>
  <c r="AE179" i="14"/>
  <c r="Z179" i="14"/>
  <c r="BT427" i="14"/>
  <c r="BW427" i="14" s="1"/>
  <c r="BV427" i="14"/>
  <c r="BX427" i="14" s="1"/>
  <c r="CA427" i="14"/>
  <c r="CB427" i="14" s="1"/>
  <c r="AX177" i="14"/>
  <c r="AW426" i="14"/>
  <c r="AY426" i="14" s="1"/>
  <c r="CH426" i="14" s="1"/>
  <c r="CM426" i="14" s="1"/>
  <c r="BB182" i="3" s="1"/>
  <c r="AW427" i="14"/>
  <c r="AY427" i="14" s="1"/>
  <c r="BM178" i="14"/>
  <c r="AA178" i="14"/>
  <c r="AD178" i="14"/>
  <c r="AB178" i="14"/>
  <c r="BI178" i="14"/>
  <c r="BJ178" i="14" s="1"/>
  <c r="BB178" i="14"/>
  <c r="BC178" i="14"/>
  <c r="BD178" i="14" s="1"/>
  <c r="BM429" i="14"/>
  <c r="AA429" i="14"/>
  <c r="AX429" i="14" s="1"/>
  <c r="BI429" i="14"/>
  <c r="BJ429" i="14" s="1"/>
  <c r="BC429" i="14"/>
  <c r="BD429" i="14" s="1"/>
  <c r="AB429" i="14"/>
  <c r="BB429" i="14"/>
  <c r="AD429" i="14"/>
  <c r="BN177" i="14"/>
  <c r="BO177" i="14" s="1"/>
  <c r="AG176" i="14"/>
  <c r="AH176" i="14" s="1"/>
  <c r="AI176" i="14" s="1"/>
  <c r="AJ176" i="14" s="1"/>
  <c r="CD176" i="14"/>
  <c r="BE176" i="14"/>
  <c r="BG176" i="14" s="1"/>
  <c r="AV177" i="14"/>
  <c r="BS427" i="14"/>
  <c r="BU427" i="14"/>
  <c r="BZ427" i="14"/>
  <c r="CD427" i="14"/>
  <c r="BE427" i="14"/>
  <c r="BG427" i="14" s="1"/>
  <c r="AC428" i="14"/>
  <c r="AK428" i="14"/>
  <c r="AL428" i="14" s="1"/>
  <c r="AM428" i="14" s="1"/>
  <c r="AN428" i="14" s="1"/>
  <c r="AO428" i="14" s="1"/>
  <c r="AP428" i="14" s="1"/>
  <c r="BA428" i="14"/>
  <c r="BK428" i="14" s="1"/>
  <c r="AF428" i="14"/>
  <c r="AQ428" i="14"/>
  <c r="AR428" i="14" s="1"/>
  <c r="AS428" i="14" s="1"/>
  <c r="AT428" i="14" s="1"/>
  <c r="AU428" i="14" s="1"/>
  <c r="AZ428" i="14"/>
  <c r="BQ428" i="14"/>
  <c r="BR428" i="14" s="1"/>
  <c r="BN428" i="14"/>
  <c r="BO428" i="14" s="1"/>
  <c r="C183" i="26"/>
  <c r="C183" i="25"/>
  <c r="BH185" i="3"/>
  <c r="D182" i="25"/>
  <c r="D182" i="26"/>
  <c r="BG185" i="3"/>
  <c r="BI185" i="3"/>
  <c r="BE185" i="3"/>
  <c r="CF186" i="3"/>
  <c r="BC185" i="3"/>
  <c r="BN185" i="3" s="1"/>
  <c r="CI185" i="3"/>
  <c r="BY186" i="3"/>
  <c r="CJ185" i="3"/>
  <c r="AV185" i="3" s="1"/>
  <c r="BJ184" i="3"/>
  <c r="BP184" i="3" s="1"/>
  <c r="DD345" i="3"/>
  <c r="BF184" i="3"/>
  <c r="BQ184" i="3" s="1"/>
  <c r="D186" i="3"/>
  <c r="C187" i="3"/>
  <c r="BW186" i="3"/>
  <c r="CK186" i="3" s="1"/>
  <c r="BL186" i="3"/>
  <c r="AY186" i="3"/>
  <c r="BK186" i="3"/>
  <c r="AG186" i="3"/>
  <c r="O183" i="26" s="1"/>
  <c r="AJ186" i="3"/>
  <c r="R183" i="26" s="1"/>
  <c r="AI186" i="3"/>
  <c r="Q183" i="26" s="1"/>
  <c r="AH186" i="3"/>
  <c r="P183" i="26" s="1"/>
  <c r="BO184" i="3"/>
  <c r="AU184" i="3" s="1"/>
  <c r="CM174" i="14" l="1"/>
  <c r="CG181" i="3" s="1"/>
  <c r="CE175" i="14"/>
  <c r="BD186" i="3"/>
  <c r="BV187" i="3"/>
  <c r="BU187" i="3"/>
  <c r="CH175" i="14"/>
  <c r="AW183" i="3"/>
  <c r="BU175" i="14"/>
  <c r="BZ175" i="14"/>
  <c r="CA175" i="14"/>
  <c r="CB175" i="14" s="1"/>
  <c r="CM175" i="14" s="1"/>
  <c r="CG182" i="3" s="1"/>
  <c r="BV175" i="14"/>
  <c r="BX175" i="14" s="1"/>
  <c r="CK175" i="14" s="1"/>
  <c r="CD182" i="3" s="1"/>
  <c r="BS175" i="14"/>
  <c r="BT175" i="14"/>
  <c r="BW175" i="14" s="1"/>
  <c r="CF426" i="14"/>
  <c r="CK426" i="14" s="1"/>
  <c r="BA182" i="3" s="1"/>
  <c r="AV429" i="14"/>
  <c r="CE426" i="14"/>
  <c r="CJ426" i="14" s="1"/>
  <c r="AZ182" i="3" s="1"/>
  <c r="Z431" i="14"/>
  <c r="AE431" i="14"/>
  <c r="AE180" i="14"/>
  <c r="Z180" i="14"/>
  <c r="CD428" i="14"/>
  <c r="BE428" i="14"/>
  <c r="BG428" i="14" s="1"/>
  <c r="BS428" i="14"/>
  <c r="BZ428" i="14"/>
  <c r="BU428" i="14"/>
  <c r="AG428" i="14"/>
  <c r="AH428" i="14" s="1"/>
  <c r="AI428" i="14" s="1"/>
  <c r="AJ428" i="14" s="1"/>
  <c r="AK429" i="14"/>
  <c r="AL429" i="14" s="1"/>
  <c r="AM429" i="14" s="1"/>
  <c r="AN429" i="14" s="1"/>
  <c r="AO429" i="14" s="1"/>
  <c r="AP429" i="14" s="1"/>
  <c r="BA429" i="14"/>
  <c r="BK429" i="14" s="1"/>
  <c r="AC429" i="14"/>
  <c r="AZ429" i="14"/>
  <c r="AQ429" i="14"/>
  <c r="AR429" i="14" s="1"/>
  <c r="AS429" i="14" s="1"/>
  <c r="AT429" i="14" s="1"/>
  <c r="AU429" i="14" s="1"/>
  <c r="AF429" i="14"/>
  <c r="AV178" i="14"/>
  <c r="AK178" i="14"/>
  <c r="AL178" i="14" s="1"/>
  <c r="AM178" i="14" s="1"/>
  <c r="AN178" i="14" s="1"/>
  <c r="AO178" i="14" s="1"/>
  <c r="AP178" i="14" s="1"/>
  <c r="AZ178" i="14"/>
  <c r="AC178" i="14"/>
  <c r="BA178" i="14"/>
  <c r="BK178" i="14" s="1"/>
  <c r="AF178" i="14"/>
  <c r="AQ178" i="14"/>
  <c r="AR178" i="14" s="1"/>
  <c r="AS178" i="14" s="1"/>
  <c r="AT178" i="14" s="1"/>
  <c r="AU178" i="14" s="1"/>
  <c r="BM179" i="14"/>
  <c r="AB179" i="14"/>
  <c r="AD179" i="14"/>
  <c r="BB179" i="14"/>
  <c r="AA179" i="14"/>
  <c r="BC179" i="14"/>
  <c r="BD179" i="14" s="1"/>
  <c r="BI179" i="14"/>
  <c r="BJ179" i="14" s="1"/>
  <c r="BT428" i="14"/>
  <c r="BW428" i="14" s="1"/>
  <c r="CA428" i="14"/>
  <c r="CB428" i="14" s="1"/>
  <c r="BV428" i="14"/>
  <c r="BX428" i="14" s="1"/>
  <c r="CF427" i="14"/>
  <c r="CK427" i="14" s="1"/>
  <c r="BA183" i="3" s="1"/>
  <c r="CE427" i="14"/>
  <c r="CJ427" i="14" s="1"/>
  <c r="AZ183" i="3" s="1"/>
  <c r="CH427" i="14"/>
  <c r="CM427" i="14" s="1"/>
  <c r="BB183" i="3" s="1"/>
  <c r="BN429" i="14"/>
  <c r="BO429" i="14" s="1"/>
  <c r="BQ429" i="14"/>
  <c r="BR429" i="14" s="1"/>
  <c r="BN178" i="14"/>
  <c r="BO178" i="14" s="1"/>
  <c r="AV179" i="14"/>
  <c r="CD177" i="14"/>
  <c r="BE177" i="14"/>
  <c r="BG177" i="14" s="1"/>
  <c r="AX178" i="14"/>
  <c r="AW176" i="14"/>
  <c r="BM430" i="14"/>
  <c r="BC430" i="14"/>
  <c r="BD430" i="14" s="1"/>
  <c r="BI430" i="14"/>
  <c r="BJ430" i="14" s="1"/>
  <c r="AA430" i="14"/>
  <c r="AB430" i="14"/>
  <c r="AD430" i="14"/>
  <c r="BB430" i="14"/>
  <c r="AG177" i="14"/>
  <c r="AH177" i="14" s="1"/>
  <c r="AI177" i="14" s="1"/>
  <c r="AJ177" i="14" s="1"/>
  <c r="BJ185" i="3"/>
  <c r="BP185" i="3" s="1"/>
  <c r="C184" i="26"/>
  <c r="C184" i="25"/>
  <c r="BH186" i="3"/>
  <c r="D183" i="26"/>
  <c r="D183" i="25"/>
  <c r="BG186" i="3"/>
  <c r="BM186" i="3" s="1"/>
  <c r="BI186" i="3"/>
  <c r="BE186" i="3"/>
  <c r="CF187" i="3"/>
  <c r="BR184" i="3"/>
  <c r="BC186" i="3"/>
  <c r="BN186" i="3" s="1"/>
  <c r="CI186" i="3"/>
  <c r="CJ186" i="3"/>
  <c r="AV186" i="3" s="1"/>
  <c r="BY187" i="3"/>
  <c r="BM185" i="3"/>
  <c r="BO185" i="3" s="1"/>
  <c r="AU185" i="3" s="1"/>
  <c r="DD346" i="3"/>
  <c r="BF185" i="3"/>
  <c r="BQ185" i="3" s="1"/>
  <c r="D187" i="3"/>
  <c r="BI187" i="3" s="1"/>
  <c r="C188" i="3"/>
  <c r="BW187" i="3"/>
  <c r="CI187" i="3" s="1"/>
  <c r="BL187" i="3"/>
  <c r="BK187" i="3"/>
  <c r="AY187" i="3"/>
  <c r="AJ187" i="3"/>
  <c r="R184" i="26" s="1"/>
  <c r="AI187" i="3"/>
  <c r="Q184" i="26" s="1"/>
  <c r="AH187" i="3"/>
  <c r="P184" i="26" s="1"/>
  <c r="AG187" i="3"/>
  <c r="O184" i="26" s="1"/>
  <c r="CJ175" i="14" l="1"/>
  <c r="CC182" i="3" s="1"/>
  <c r="BD187" i="3"/>
  <c r="BU188" i="3"/>
  <c r="BV188" i="3"/>
  <c r="AY176" i="14"/>
  <c r="CE176" i="14" s="1"/>
  <c r="BQ176" i="14"/>
  <c r="BR176" i="14" s="1"/>
  <c r="AC430" i="14"/>
  <c r="AQ430" i="14"/>
  <c r="AR430" i="14" s="1"/>
  <c r="AS430" i="14" s="1"/>
  <c r="AT430" i="14" s="1"/>
  <c r="AU430" i="14" s="1"/>
  <c r="BA430" i="14"/>
  <c r="BK430" i="14" s="1"/>
  <c r="AZ430" i="14"/>
  <c r="AK430" i="14"/>
  <c r="AL430" i="14" s="1"/>
  <c r="AM430" i="14" s="1"/>
  <c r="AN430" i="14" s="1"/>
  <c r="AO430" i="14" s="1"/>
  <c r="AP430" i="14" s="1"/>
  <c r="AF430" i="14"/>
  <c r="AE432" i="14"/>
  <c r="Z432" i="14"/>
  <c r="AE181" i="14"/>
  <c r="Z181" i="14"/>
  <c r="BQ430" i="14"/>
  <c r="BR430" i="14" s="1"/>
  <c r="BN430" i="14"/>
  <c r="BO430" i="14" s="1"/>
  <c r="CA429" i="14"/>
  <c r="CB429" i="14" s="1"/>
  <c r="BV429" i="14"/>
  <c r="BX429" i="14" s="1"/>
  <c r="BT429" i="14"/>
  <c r="BW429" i="14" s="1"/>
  <c r="AV430" i="14"/>
  <c r="AD180" i="14"/>
  <c r="AA180" i="14"/>
  <c r="AV180" i="14" s="1"/>
  <c r="BC180" i="14"/>
  <c r="BD180" i="14" s="1"/>
  <c r="BB180" i="14"/>
  <c r="BM180" i="14"/>
  <c r="AB180" i="14"/>
  <c r="BI180" i="14"/>
  <c r="BJ180" i="14" s="1"/>
  <c r="BZ429" i="14"/>
  <c r="BU429" i="14"/>
  <c r="BS429" i="14"/>
  <c r="AF179" i="14"/>
  <c r="AG179" i="14" s="1"/>
  <c r="AH179" i="14" s="1"/>
  <c r="AI179" i="14" s="1"/>
  <c r="AJ179" i="14" s="1"/>
  <c r="AK179" i="14"/>
  <c r="AL179" i="14" s="1"/>
  <c r="AM179" i="14" s="1"/>
  <c r="AN179" i="14" s="1"/>
  <c r="AO179" i="14" s="1"/>
  <c r="AP179" i="14" s="1"/>
  <c r="AC179" i="14"/>
  <c r="AZ179" i="14"/>
  <c r="BA179" i="14"/>
  <c r="BK179" i="14" s="1"/>
  <c r="AQ179" i="14"/>
  <c r="AR179" i="14" s="1"/>
  <c r="AS179" i="14" s="1"/>
  <c r="AT179" i="14" s="1"/>
  <c r="AU179" i="14" s="1"/>
  <c r="BN179" i="14"/>
  <c r="BO179" i="14" s="1"/>
  <c r="AG429" i="14"/>
  <c r="AH429" i="14" s="1"/>
  <c r="AI429" i="14" s="1"/>
  <c r="AJ429" i="14" s="1"/>
  <c r="CD429" i="14"/>
  <c r="BE429" i="14"/>
  <c r="BG429" i="14" s="1"/>
  <c r="AX430" i="14"/>
  <c r="AW177" i="14"/>
  <c r="AX179" i="14"/>
  <c r="AG178" i="14"/>
  <c r="AH178" i="14" s="1"/>
  <c r="AI178" i="14" s="1"/>
  <c r="AJ178" i="14" s="1"/>
  <c r="CD178" i="14"/>
  <c r="BE178" i="14"/>
  <c r="BG178" i="14" s="1"/>
  <c r="AW428" i="14"/>
  <c r="AY428" i="14" s="1"/>
  <c r="CE428" i="14" s="1"/>
  <c r="CJ428" i="14" s="1"/>
  <c r="AZ184" i="3" s="1"/>
  <c r="BM431" i="14"/>
  <c r="BC431" i="14"/>
  <c r="BD431" i="14" s="1"/>
  <c r="BI431" i="14"/>
  <c r="BJ431" i="14" s="1"/>
  <c r="AA431" i="14"/>
  <c r="AV431" i="14" s="1"/>
  <c r="AD431" i="14"/>
  <c r="AB431" i="14"/>
  <c r="BB431" i="14"/>
  <c r="BR185" i="3"/>
  <c r="C185" i="26"/>
  <c r="C185" i="25"/>
  <c r="BH187" i="3"/>
  <c r="D184" i="26"/>
  <c r="D184" i="25"/>
  <c r="BG187" i="3"/>
  <c r="BM187" i="3" s="1"/>
  <c r="BE187" i="3"/>
  <c r="AW184" i="3"/>
  <c r="CK187" i="3"/>
  <c r="CF188" i="3"/>
  <c r="BJ186" i="3"/>
  <c r="BP186" i="3" s="1"/>
  <c r="BC187" i="3"/>
  <c r="BN187" i="3" s="1"/>
  <c r="CJ187" i="3"/>
  <c r="AV187" i="3" s="1"/>
  <c r="BY188" i="3"/>
  <c r="DD347" i="3"/>
  <c r="BF186" i="3"/>
  <c r="BQ186" i="3" s="1"/>
  <c r="D188" i="3"/>
  <c r="BG188" i="3" s="1"/>
  <c r="BO186" i="3"/>
  <c r="AU186" i="3" s="1"/>
  <c r="C189" i="3"/>
  <c r="BW188" i="3"/>
  <c r="CI188" i="3" s="1"/>
  <c r="BL188" i="3"/>
  <c r="BK188" i="3"/>
  <c r="AY188" i="3"/>
  <c r="AI188" i="3"/>
  <c r="Q185" i="26" s="1"/>
  <c r="AH188" i="3"/>
  <c r="P185" i="26" s="1"/>
  <c r="AG188" i="3"/>
  <c r="O185" i="26" s="1"/>
  <c r="AJ188" i="3"/>
  <c r="R185" i="26" s="1"/>
  <c r="CF176" i="14" l="1"/>
  <c r="CH176" i="14"/>
  <c r="BD188" i="3"/>
  <c r="BV189" i="3"/>
  <c r="BU189" i="3"/>
  <c r="AY177" i="14"/>
  <c r="CH177" i="14" s="1"/>
  <c r="BQ177" i="14"/>
  <c r="BR177" i="14" s="1"/>
  <c r="BT176" i="14"/>
  <c r="BW176" i="14" s="1"/>
  <c r="CJ176" i="14" s="1"/>
  <c r="CC183" i="3" s="1"/>
  <c r="BS176" i="14"/>
  <c r="BZ176" i="14"/>
  <c r="CA176" i="14"/>
  <c r="CB176" i="14" s="1"/>
  <c r="BU176" i="14"/>
  <c r="BV176" i="14"/>
  <c r="BX176" i="14" s="1"/>
  <c r="CK176" i="14" s="1"/>
  <c r="CD183" i="3" s="1"/>
  <c r="AW185" i="3"/>
  <c r="CH428" i="14"/>
  <c r="CM428" i="14" s="1"/>
  <c r="BB184" i="3" s="1"/>
  <c r="CF428" i="14"/>
  <c r="CK428" i="14" s="1"/>
  <c r="BA184" i="3" s="1"/>
  <c r="Z433" i="14"/>
  <c r="AE433" i="14"/>
  <c r="Z182" i="14"/>
  <c r="AE182" i="14"/>
  <c r="BQ431" i="14"/>
  <c r="BR431" i="14" s="1"/>
  <c r="BN431" i="14"/>
  <c r="BO431" i="14" s="1"/>
  <c r="AW179" i="14"/>
  <c r="BN180" i="14"/>
  <c r="BO180" i="14" s="1"/>
  <c r="BV430" i="14"/>
  <c r="BX430" i="14" s="1"/>
  <c r="BT430" i="14"/>
  <c r="BW430" i="14" s="1"/>
  <c r="CA430" i="14"/>
  <c r="CB430" i="14" s="1"/>
  <c r="BM432" i="14"/>
  <c r="BI432" i="14"/>
  <c r="BJ432" i="14" s="1"/>
  <c r="AA432" i="14"/>
  <c r="AX432" i="14" s="1"/>
  <c r="BC432" i="14"/>
  <c r="BD432" i="14" s="1"/>
  <c r="AB432" i="14"/>
  <c r="AD432" i="14"/>
  <c r="BB432" i="14"/>
  <c r="CD430" i="14"/>
  <c r="BE430" i="14"/>
  <c r="BG430" i="14" s="1"/>
  <c r="AX431" i="14"/>
  <c r="AW429" i="14"/>
  <c r="AY429" i="14" s="1"/>
  <c r="CE429" i="14" s="1"/>
  <c r="CJ429" i="14" s="1"/>
  <c r="AZ185" i="3" s="1"/>
  <c r="BB181" i="14"/>
  <c r="BM181" i="14"/>
  <c r="AB181" i="14"/>
  <c r="BC181" i="14"/>
  <c r="BD181" i="14" s="1"/>
  <c r="BI181" i="14"/>
  <c r="BJ181" i="14" s="1"/>
  <c r="AD181" i="14"/>
  <c r="AA181" i="14"/>
  <c r="AX181" i="14" s="1"/>
  <c r="AQ431" i="14"/>
  <c r="AR431" i="14" s="1"/>
  <c r="AS431" i="14" s="1"/>
  <c r="AT431" i="14" s="1"/>
  <c r="AU431" i="14" s="1"/>
  <c r="BA431" i="14"/>
  <c r="BK431" i="14" s="1"/>
  <c r="AF431" i="14"/>
  <c r="AG431" i="14" s="1"/>
  <c r="AH431" i="14" s="1"/>
  <c r="AI431" i="14" s="1"/>
  <c r="AJ431" i="14" s="1"/>
  <c r="AC431" i="14"/>
  <c r="AZ431" i="14"/>
  <c r="AK431" i="14"/>
  <c r="AL431" i="14" s="1"/>
  <c r="AM431" i="14" s="1"/>
  <c r="AN431" i="14" s="1"/>
  <c r="AO431" i="14" s="1"/>
  <c r="AP431" i="14" s="1"/>
  <c r="CD179" i="14"/>
  <c r="BE179" i="14"/>
  <c r="BG179" i="14" s="1"/>
  <c r="AX180" i="14"/>
  <c r="AQ180" i="14"/>
  <c r="AR180" i="14" s="1"/>
  <c r="AS180" i="14" s="1"/>
  <c r="AT180" i="14" s="1"/>
  <c r="AU180" i="14" s="1"/>
  <c r="AZ180" i="14"/>
  <c r="BA180" i="14"/>
  <c r="BK180" i="14" s="1"/>
  <c r="AC180" i="14"/>
  <c r="AK180" i="14"/>
  <c r="AL180" i="14" s="1"/>
  <c r="AM180" i="14" s="1"/>
  <c r="AN180" i="14" s="1"/>
  <c r="AO180" i="14" s="1"/>
  <c r="AP180" i="14" s="1"/>
  <c r="AF180" i="14"/>
  <c r="AG180" i="14" s="1"/>
  <c r="AH180" i="14" s="1"/>
  <c r="AI180" i="14" s="1"/>
  <c r="AJ180" i="14" s="1"/>
  <c r="AW178" i="14"/>
  <c r="BU430" i="14"/>
  <c r="BZ430" i="14"/>
  <c r="BS430" i="14"/>
  <c r="AG430" i="14"/>
  <c r="AH430" i="14" s="1"/>
  <c r="AI430" i="14" s="1"/>
  <c r="AJ430" i="14" s="1"/>
  <c r="BI188" i="3"/>
  <c r="D185" i="26"/>
  <c r="D185" i="25"/>
  <c r="C186" i="26"/>
  <c r="C186" i="25"/>
  <c r="BH188" i="3"/>
  <c r="BE188" i="3"/>
  <c r="CK188" i="3"/>
  <c r="CF189" i="3"/>
  <c r="BR186" i="3"/>
  <c r="BJ187" i="3"/>
  <c r="BP187" i="3" s="1"/>
  <c r="BC188" i="3"/>
  <c r="BN188" i="3" s="1"/>
  <c r="BY189" i="3"/>
  <c r="CJ188" i="3"/>
  <c r="AV188" i="3" s="1"/>
  <c r="DD348" i="3"/>
  <c r="BM188" i="3"/>
  <c r="BF187" i="3"/>
  <c r="BQ187" i="3" s="1"/>
  <c r="D189" i="3"/>
  <c r="BO187" i="3"/>
  <c r="AU187" i="3" s="1"/>
  <c r="C190" i="3"/>
  <c r="BW189" i="3"/>
  <c r="CI189" i="3" s="1"/>
  <c r="BL189" i="3"/>
  <c r="BK189" i="3"/>
  <c r="AY189" i="3"/>
  <c r="AH189" i="3"/>
  <c r="P186" i="26" s="1"/>
  <c r="AG189" i="3"/>
  <c r="O186" i="26" s="1"/>
  <c r="AJ189" i="3"/>
  <c r="R186" i="26" s="1"/>
  <c r="AI189" i="3"/>
  <c r="Q186" i="26" s="1"/>
  <c r="CF177" i="14" l="1"/>
  <c r="CE177" i="14"/>
  <c r="CM176" i="14"/>
  <c r="CG183" i="3" s="1"/>
  <c r="BD189" i="3"/>
  <c r="BV190" i="3"/>
  <c r="BU190" i="3"/>
  <c r="BZ177" i="14"/>
  <c r="BU177" i="14"/>
  <c r="BV177" i="14"/>
  <c r="BX177" i="14" s="1"/>
  <c r="CK177" i="14" s="1"/>
  <c r="CD184" i="3" s="1"/>
  <c r="BT177" i="14"/>
  <c r="BW177" i="14" s="1"/>
  <c r="CJ177" i="14" s="1"/>
  <c r="CC184" i="3" s="1"/>
  <c r="BS177" i="14"/>
  <c r="CA177" i="14"/>
  <c r="CB177" i="14" s="1"/>
  <c r="CM177" i="14" s="1"/>
  <c r="CG184" i="3" s="1"/>
  <c r="AY179" i="14"/>
  <c r="CE179" i="14" s="1"/>
  <c r="BQ179" i="14"/>
  <c r="BR179" i="14" s="1"/>
  <c r="AY178" i="14"/>
  <c r="CF178" i="14" s="1"/>
  <c r="BQ178" i="14"/>
  <c r="BR178" i="14" s="1"/>
  <c r="AW186" i="3"/>
  <c r="CF429" i="14"/>
  <c r="CK429" i="14" s="1"/>
  <c r="BA185" i="3" s="1"/>
  <c r="CH429" i="14"/>
  <c r="CM429" i="14" s="1"/>
  <c r="BB185" i="3" s="1"/>
  <c r="AW430" i="14"/>
  <c r="AY430" i="14" s="1"/>
  <c r="CH430" i="14" s="1"/>
  <c r="CM430" i="14" s="1"/>
  <c r="BB186" i="3" s="1"/>
  <c r="AV432" i="14"/>
  <c r="CD431" i="14"/>
  <c r="BE431" i="14"/>
  <c r="BG431" i="14" s="1"/>
  <c r="AV181" i="14"/>
  <c r="AK181" i="14"/>
  <c r="AL181" i="14" s="1"/>
  <c r="AM181" i="14" s="1"/>
  <c r="AN181" i="14" s="1"/>
  <c r="AO181" i="14" s="1"/>
  <c r="AP181" i="14" s="1"/>
  <c r="AF181" i="14"/>
  <c r="BA181" i="14"/>
  <c r="BK181" i="14" s="1"/>
  <c r="AZ181" i="14"/>
  <c r="AC181" i="14"/>
  <c r="AQ181" i="14"/>
  <c r="AR181" i="14" s="1"/>
  <c r="AS181" i="14" s="1"/>
  <c r="AT181" i="14" s="1"/>
  <c r="AU181" i="14" s="1"/>
  <c r="BN181" i="14"/>
  <c r="BO181" i="14" s="1"/>
  <c r="AK432" i="14"/>
  <c r="AL432" i="14" s="1"/>
  <c r="AM432" i="14" s="1"/>
  <c r="AN432" i="14" s="1"/>
  <c r="AO432" i="14" s="1"/>
  <c r="AP432" i="14" s="1"/>
  <c r="AC432" i="14"/>
  <c r="BA432" i="14"/>
  <c r="BK432" i="14" s="1"/>
  <c r="AQ432" i="14"/>
  <c r="AR432" i="14" s="1"/>
  <c r="AS432" i="14" s="1"/>
  <c r="AT432" i="14" s="1"/>
  <c r="AU432" i="14" s="1"/>
  <c r="AZ432" i="14"/>
  <c r="AF432" i="14"/>
  <c r="AG432" i="14" s="1"/>
  <c r="AH432" i="14" s="1"/>
  <c r="AI432" i="14" s="1"/>
  <c r="AJ432" i="14" s="1"/>
  <c r="AD182" i="14"/>
  <c r="AA182" i="14"/>
  <c r="BC182" i="14"/>
  <c r="BD182" i="14" s="1"/>
  <c r="AB182" i="14"/>
  <c r="BB182" i="14"/>
  <c r="BI182" i="14"/>
  <c r="BJ182" i="14" s="1"/>
  <c r="BM182" i="14"/>
  <c r="AE434" i="14"/>
  <c r="Z434" i="14"/>
  <c r="Z183" i="14"/>
  <c r="AE183" i="14"/>
  <c r="AW431" i="14"/>
  <c r="AY431" i="14" s="1"/>
  <c r="BU431" i="14"/>
  <c r="BZ431" i="14"/>
  <c r="BS431" i="14"/>
  <c r="AW180" i="14"/>
  <c r="BE180" i="14"/>
  <c r="BG180" i="14" s="1"/>
  <c r="CD180" i="14"/>
  <c r="CH179" i="14"/>
  <c r="BQ432" i="14"/>
  <c r="BR432" i="14" s="1"/>
  <c r="BN432" i="14"/>
  <c r="BO432" i="14" s="1"/>
  <c r="BT431" i="14"/>
  <c r="BW431" i="14" s="1"/>
  <c r="BV431" i="14"/>
  <c r="BX431" i="14" s="1"/>
  <c r="CA431" i="14"/>
  <c r="CB431" i="14" s="1"/>
  <c r="BM433" i="14"/>
  <c r="AA433" i="14"/>
  <c r="AV433" i="14" s="1"/>
  <c r="BC433" i="14"/>
  <c r="BD433" i="14" s="1"/>
  <c r="BI433" i="14"/>
  <c r="BJ433" i="14" s="1"/>
  <c r="AB433" i="14"/>
  <c r="AD433" i="14"/>
  <c r="BB433" i="14"/>
  <c r="C187" i="26"/>
  <c r="C187" i="25"/>
  <c r="BH189" i="3"/>
  <c r="D186" i="25"/>
  <c r="D186" i="26"/>
  <c r="DD349" i="3"/>
  <c r="BG189" i="3"/>
  <c r="BM189" i="3" s="1"/>
  <c r="BI189" i="3"/>
  <c r="BE189" i="3"/>
  <c r="CK189" i="3"/>
  <c r="CF190" i="3"/>
  <c r="BR187" i="3"/>
  <c r="BC189" i="3"/>
  <c r="BN189" i="3" s="1"/>
  <c r="CJ189" i="3"/>
  <c r="AV189" i="3" s="1"/>
  <c r="BY190" i="3"/>
  <c r="BJ188" i="3"/>
  <c r="BP188" i="3" s="1"/>
  <c r="BF188" i="3"/>
  <c r="BQ188" i="3" s="1"/>
  <c r="D190" i="3"/>
  <c r="C191" i="3"/>
  <c r="BK190" i="3"/>
  <c r="AY190" i="3"/>
  <c r="BL190" i="3"/>
  <c r="AG190" i="3"/>
  <c r="O187" i="26" s="1"/>
  <c r="BW190" i="3"/>
  <c r="CI190" i="3" s="1"/>
  <c r="AJ190" i="3"/>
  <c r="R187" i="26" s="1"/>
  <c r="AI190" i="3"/>
  <c r="Q187" i="26" s="1"/>
  <c r="AH190" i="3"/>
  <c r="P187" i="26" s="1"/>
  <c r="BO188" i="3"/>
  <c r="AU188" i="3" s="1"/>
  <c r="CH178" i="14" l="1"/>
  <c r="CE178" i="14"/>
  <c r="CE430" i="14"/>
  <c r="CJ430" i="14" s="1"/>
  <c r="AZ186" i="3" s="1"/>
  <c r="CF179" i="14"/>
  <c r="BD190" i="3"/>
  <c r="BV191" i="3"/>
  <c r="BU191" i="3"/>
  <c r="CF430" i="14"/>
  <c r="CK430" i="14" s="1"/>
  <c r="BA186" i="3" s="1"/>
  <c r="AW187" i="3"/>
  <c r="AY180" i="14"/>
  <c r="CF180" i="14" s="1"/>
  <c r="BQ180" i="14"/>
  <c r="BR180" i="14" s="1"/>
  <c r="BV178" i="14"/>
  <c r="BX178" i="14" s="1"/>
  <c r="CK178" i="14" s="1"/>
  <c r="CD185" i="3" s="1"/>
  <c r="BZ178" i="14"/>
  <c r="CA178" i="14"/>
  <c r="CB178" i="14" s="1"/>
  <c r="CM178" i="14" s="1"/>
  <c r="CG185" i="3" s="1"/>
  <c r="BS178" i="14"/>
  <c r="BT178" i="14"/>
  <c r="BW178" i="14" s="1"/>
  <c r="BU178" i="14"/>
  <c r="BZ179" i="14"/>
  <c r="CA179" i="14"/>
  <c r="CB179" i="14" s="1"/>
  <c r="CM179" i="14" s="1"/>
  <c r="CG186" i="3" s="1"/>
  <c r="BT179" i="14"/>
  <c r="BW179" i="14" s="1"/>
  <c r="CJ179" i="14" s="1"/>
  <c r="CC186" i="3" s="1"/>
  <c r="BU179" i="14"/>
  <c r="BV179" i="14"/>
  <c r="BX179" i="14" s="1"/>
  <c r="BS179" i="14"/>
  <c r="CE431" i="14"/>
  <c r="CJ431" i="14" s="1"/>
  <c r="AZ187" i="3" s="1"/>
  <c r="AX433" i="14"/>
  <c r="Z435" i="14"/>
  <c r="AE435" i="14"/>
  <c r="AE184" i="14"/>
  <c r="Z184" i="14"/>
  <c r="CA432" i="14"/>
  <c r="CB432" i="14" s="1"/>
  <c r="BT432" i="14"/>
  <c r="BW432" i="14" s="1"/>
  <c r="BV432" i="14"/>
  <c r="BX432" i="14" s="1"/>
  <c r="BM434" i="14"/>
  <c r="BI434" i="14"/>
  <c r="BJ434" i="14" s="1"/>
  <c r="AA434" i="14"/>
  <c r="AV434" i="14" s="1"/>
  <c r="AB434" i="14"/>
  <c r="BC434" i="14"/>
  <c r="BD434" i="14" s="1"/>
  <c r="AD434" i="14"/>
  <c r="BB434" i="14"/>
  <c r="AK182" i="14"/>
  <c r="AL182" i="14" s="1"/>
  <c r="AM182" i="14" s="1"/>
  <c r="AN182" i="14" s="1"/>
  <c r="AO182" i="14" s="1"/>
  <c r="AP182" i="14" s="1"/>
  <c r="AF182" i="14"/>
  <c r="BA182" i="14"/>
  <c r="BK182" i="14" s="1"/>
  <c r="AZ182" i="14"/>
  <c r="AC182" i="14"/>
  <c r="AQ182" i="14"/>
  <c r="AR182" i="14" s="1"/>
  <c r="AS182" i="14" s="1"/>
  <c r="AT182" i="14" s="1"/>
  <c r="AU182" i="14" s="1"/>
  <c r="AK433" i="14"/>
  <c r="AL433" i="14" s="1"/>
  <c r="AM433" i="14" s="1"/>
  <c r="AN433" i="14" s="1"/>
  <c r="AO433" i="14" s="1"/>
  <c r="AP433" i="14" s="1"/>
  <c r="BA433" i="14"/>
  <c r="BK433" i="14" s="1"/>
  <c r="AC433" i="14"/>
  <c r="AQ433" i="14"/>
  <c r="AR433" i="14" s="1"/>
  <c r="AS433" i="14" s="1"/>
  <c r="AT433" i="14" s="1"/>
  <c r="AU433" i="14" s="1"/>
  <c r="AF433" i="14"/>
  <c r="AG433" i="14" s="1"/>
  <c r="AH433" i="14" s="1"/>
  <c r="AI433" i="14" s="1"/>
  <c r="AJ433" i="14" s="1"/>
  <c r="AZ433" i="14"/>
  <c r="AX182" i="14"/>
  <c r="AW432" i="14"/>
  <c r="AY432" i="14" s="1"/>
  <c r="BE432" i="14"/>
  <c r="BG432" i="14" s="1"/>
  <c r="CD432" i="14"/>
  <c r="AV182" i="14"/>
  <c r="CF431" i="14"/>
  <c r="CK431" i="14" s="1"/>
  <c r="BA187" i="3" s="1"/>
  <c r="CH431" i="14"/>
  <c r="CM431" i="14" s="1"/>
  <c r="BB187" i="3" s="1"/>
  <c r="BN433" i="14"/>
  <c r="BO433" i="14" s="1"/>
  <c r="BQ433" i="14"/>
  <c r="BR433" i="14" s="1"/>
  <c r="BS432" i="14"/>
  <c r="BZ432" i="14"/>
  <c r="BU432" i="14"/>
  <c r="BB183" i="14"/>
  <c r="BM183" i="14"/>
  <c r="AB183" i="14"/>
  <c r="AD183" i="14"/>
  <c r="AA183" i="14"/>
  <c r="AV183" i="14" s="1"/>
  <c r="BC183" i="14"/>
  <c r="BD183" i="14" s="1"/>
  <c r="BI183" i="14"/>
  <c r="BJ183" i="14" s="1"/>
  <c r="BN182" i="14"/>
  <c r="BO182" i="14" s="1"/>
  <c r="AG181" i="14"/>
  <c r="AH181" i="14" s="1"/>
  <c r="AI181" i="14" s="1"/>
  <c r="AJ181" i="14" s="1"/>
  <c r="CD181" i="14"/>
  <c r="BE181" i="14"/>
  <c r="BG181" i="14" s="1"/>
  <c r="BG190" i="3"/>
  <c r="BM190" i="3" s="1"/>
  <c r="D187" i="26"/>
  <c r="D187" i="25"/>
  <c r="C188" i="25"/>
  <c r="C188" i="26"/>
  <c r="BH190" i="3"/>
  <c r="BI190" i="3"/>
  <c r="BE190" i="3"/>
  <c r="CK190" i="3"/>
  <c r="CF191" i="3"/>
  <c r="BJ189" i="3"/>
  <c r="BP189" i="3" s="1"/>
  <c r="BC190" i="3"/>
  <c r="BN190" i="3" s="1"/>
  <c r="BR188" i="3"/>
  <c r="BY191" i="3"/>
  <c r="CJ190" i="3"/>
  <c r="AV190" i="3" s="1"/>
  <c r="BF189" i="3"/>
  <c r="BQ189" i="3" s="1"/>
  <c r="DD350" i="3"/>
  <c r="D191" i="3"/>
  <c r="C192" i="3"/>
  <c r="BW191" i="3"/>
  <c r="CI191" i="3" s="1"/>
  <c r="BK191" i="3"/>
  <c r="BL191" i="3"/>
  <c r="AJ191" i="3"/>
  <c r="R188" i="26" s="1"/>
  <c r="AI191" i="3"/>
  <c r="Q188" i="26" s="1"/>
  <c r="AY191" i="3"/>
  <c r="AH191" i="3"/>
  <c r="P188" i="26" s="1"/>
  <c r="AG191" i="3"/>
  <c r="O188" i="26" s="1"/>
  <c r="BO189" i="3"/>
  <c r="AU189" i="3" s="1"/>
  <c r="CJ178" i="14" l="1"/>
  <c r="CC185" i="3" s="1"/>
  <c r="CE180" i="14"/>
  <c r="CH180" i="14"/>
  <c r="CK179" i="14"/>
  <c r="CD186" i="3" s="1"/>
  <c r="BD191" i="3"/>
  <c r="AX434" i="14"/>
  <c r="BV192" i="3"/>
  <c r="BU192" i="3"/>
  <c r="BZ180" i="14"/>
  <c r="BV180" i="14"/>
  <c r="BX180" i="14" s="1"/>
  <c r="CK180" i="14" s="1"/>
  <c r="CD187" i="3" s="1"/>
  <c r="BT180" i="14"/>
  <c r="BW180" i="14" s="1"/>
  <c r="CA180" i="14"/>
  <c r="CB180" i="14" s="1"/>
  <c r="BS180" i="14"/>
  <c r="BU180" i="14"/>
  <c r="AX183" i="14"/>
  <c r="AW433" i="14"/>
  <c r="AY433" i="14" s="1"/>
  <c r="BC184" i="14"/>
  <c r="BD184" i="14" s="1"/>
  <c r="BM184" i="14"/>
  <c r="BI184" i="14"/>
  <c r="BJ184" i="14" s="1"/>
  <c r="AB184" i="14"/>
  <c r="AD184" i="14"/>
  <c r="BB184" i="14"/>
  <c r="AA184" i="14"/>
  <c r="AV184" i="14" s="1"/>
  <c r="BN183" i="14"/>
  <c r="BO183" i="14" s="1"/>
  <c r="BN434" i="14"/>
  <c r="BO434" i="14" s="1"/>
  <c r="BQ434" i="14"/>
  <c r="BR434" i="14" s="1"/>
  <c r="BA183" i="14"/>
  <c r="BK183" i="14" s="1"/>
  <c r="AQ183" i="14"/>
  <c r="AR183" i="14" s="1"/>
  <c r="AS183" i="14" s="1"/>
  <c r="AT183" i="14" s="1"/>
  <c r="AU183" i="14" s="1"/>
  <c r="AC183" i="14"/>
  <c r="AZ183" i="14"/>
  <c r="AK183" i="14"/>
  <c r="AL183" i="14" s="1"/>
  <c r="AM183" i="14" s="1"/>
  <c r="AN183" i="14" s="1"/>
  <c r="AO183" i="14" s="1"/>
  <c r="AP183" i="14" s="1"/>
  <c r="AF183" i="14"/>
  <c r="BT433" i="14"/>
  <c r="BW433" i="14" s="1"/>
  <c r="BV433" i="14"/>
  <c r="BX433" i="14" s="1"/>
  <c r="CA433" i="14"/>
  <c r="CB433" i="14" s="1"/>
  <c r="BE433" i="14"/>
  <c r="BG433" i="14" s="1"/>
  <c r="CD433" i="14"/>
  <c r="AW181" i="14"/>
  <c r="AG182" i="14"/>
  <c r="AH182" i="14" s="1"/>
  <c r="AI182" i="14" s="1"/>
  <c r="AJ182" i="14" s="1"/>
  <c r="BE182" i="14"/>
  <c r="BG182" i="14" s="1"/>
  <c r="CD182" i="14"/>
  <c r="AE436" i="14"/>
  <c r="Z436" i="14"/>
  <c r="AE185" i="14"/>
  <c r="Z185" i="14"/>
  <c r="BS433" i="14"/>
  <c r="BZ433" i="14"/>
  <c r="BU433" i="14"/>
  <c r="CF432" i="14"/>
  <c r="CK432" i="14" s="1"/>
  <c r="BA188" i="3" s="1"/>
  <c r="CH432" i="14"/>
  <c r="CM432" i="14" s="1"/>
  <c r="BB188" i="3" s="1"/>
  <c r="CE432" i="14"/>
  <c r="CJ432" i="14" s="1"/>
  <c r="AZ188" i="3" s="1"/>
  <c r="BA434" i="14"/>
  <c r="BK434" i="14" s="1"/>
  <c r="AQ434" i="14"/>
  <c r="AR434" i="14" s="1"/>
  <c r="AS434" i="14" s="1"/>
  <c r="AT434" i="14" s="1"/>
  <c r="AU434" i="14" s="1"/>
  <c r="AZ434" i="14"/>
  <c r="AK434" i="14"/>
  <c r="AL434" i="14" s="1"/>
  <c r="AM434" i="14" s="1"/>
  <c r="AN434" i="14" s="1"/>
  <c r="AO434" i="14" s="1"/>
  <c r="AP434" i="14" s="1"/>
  <c r="AC434" i="14"/>
  <c r="AF434" i="14"/>
  <c r="AG434" i="14" s="1"/>
  <c r="AH434" i="14" s="1"/>
  <c r="AI434" i="14" s="1"/>
  <c r="AJ434" i="14" s="1"/>
  <c r="BM435" i="14"/>
  <c r="BC435" i="14"/>
  <c r="BD435" i="14" s="1"/>
  <c r="BI435" i="14"/>
  <c r="BJ435" i="14" s="1"/>
  <c r="AA435" i="14"/>
  <c r="AX435" i="14" s="1"/>
  <c r="BB435" i="14"/>
  <c r="AB435" i="14"/>
  <c r="AD435" i="14"/>
  <c r="C189" i="26"/>
  <c r="C189" i="25"/>
  <c r="BH191" i="3"/>
  <c r="D188" i="26"/>
  <c r="D188" i="25"/>
  <c r="DD351" i="3"/>
  <c r="BI191" i="3"/>
  <c r="BG191" i="3"/>
  <c r="BM191" i="3" s="1"/>
  <c r="BE191" i="3"/>
  <c r="CK191" i="3"/>
  <c r="CF192" i="3"/>
  <c r="AW188" i="3"/>
  <c r="BR189" i="3"/>
  <c r="BC191" i="3"/>
  <c r="BN191" i="3" s="1"/>
  <c r="CJ191" i="3"/>
  <c r="AV191" i="3" s="1"/>
  <c r="BY192" i="3"/>
  <c r="BJ190" i="3"/>
  <c r="BP190" i="3" s="1"/>
  <c r="D192" i="3"/>
  <c r="BF190" i="3"/>
  <c r="BQ190" i="3" s="1"/>
  <c r="BO190" i="3"/>
  <c r="AU190" i="3" s="1"/>
  <c r="C193" i="3"/>
  <c r="BK192" i="3"/>
  <c r="AY192" i="3"/>
  <c r="BL192" i="3"/>
  <c r="AI192" i="3"/>
  <c r="Q189" i="26" s="1"/>
  <c r="BW192" i="3"/>
  <c r="CI192" i="3" s="1"/>
  <c r="AH192" i="3"/>
  <c r="P189" i="26" s="1"/>
  <c r="AG192" i="3"/>
  <c r="O189" i="26" s="1"/>
  <c r="AJ192" i="3"/>
  <c r="R189" i="26" s="1"/>
  <c r="CJ180" i="14" l="1"/>
  <c r="CC187" i="3" s="1"/>
  <c r="CM180" i="14"/>
  <c r="CG187" i="3" s="1"/>
  <c r="BD192" i="3"/>
  <c r="BV193" i="3"/>
  <c r="BU193" i="3"/>
  <c r="AY181" i="14"/>
  <c r="CF181" i="14" s="1"/>
  <c r="BQ181" i="14"/>
  <c r="BR181" i="14" s="1"/>
  <c r="BJ191" i="3"/>
  <c r="BP191" i="3" s="1"/>
  <c r="BQ435" i="14"/>
  <c r="BR435" i="14" s="1"/>
  <c r="BN435" i="14"/>
  <c r="BO435" i="14" s="1"/>
  <c r="BB185" i="14"/>
  <c r="AB185" i="14"/>
  <c r="BM185" i="14"/>
  <c r="AA185" i="14"/>
  <c r="AV185" i="14" s="1"/>
  <c r="BC185" i="14"/>
  <c r="BD185" i="14" s="1"/>
  <c r="BI185" i="14"/>
  <c r="BJ185" i="14" s="1"/>
  <c r="AD185" i="14"/>
  <c r="AX185" i="14"/>
  <c r="AV435" i="14"/>
  <c r="BS434" i="14"/>
  <c r="BZ434" i="14"/>
  <c r="BU434" i="14"/>
  <c r="BN184" i="14"/>
  <c r="BO184" i="14" s="1"/>
  <c r="Z437" i="14"/>
  <c r="Z186" i="14"/>
  <c r="AE437" i="14"/>
  <c r="AE186" i="14"/>
  <c r="BM436" i="14"/>
  <c r="BC436" i="14"/>
  <c r="BD436" i="14" s="1"/>
  <c r="BI436" i="14"/>
  <c r="BJ436" i="14" s="1"/>
  <c r="AA436" i="14"/>
  <c r="AV436" i="14" s="1"/>
  <c r="AB436" i="14"/>
  <c r="AD436" i="14"/>
  <c r="BB436" i="14"/>
  <c r="AX436" i="14"/>
  <c r="AQ184" i="14"/>
  <c r="AR184" i="14" s="1"/>
  <c r="AS184" i="14" s="1"/>
  <c r="AT184" i="14" s="1"/>
  <c r="AU184" i="14" s="1"/>
  <c r="AF184" i="14"/>
  <c r="AG184" i="14" s="1"/>
  <c r="AH184" i="14" s="1"/>
  <c r="AI184" i="14" s="1"/>
  <c r="AJ184" i="14" s="1"/>
  <c r="AC184" i="14"/>
  <c r="BA184" i="14"/>
  <c r="BK184" i="14" s="1"/>
  <c r="AK184" i="14"/>
  <c r="AL184" i="14" s="1"/>
  <c r="AM184" i="14" s="1"/>
  <c r="AN184" i="14" s="1"/>
  <c r="AO184" i="14" s="1"/>
  <c r="AP184" i="14" s="1"/>
  <c r="AZ184" i="14"/>
  <c r="AW182" i="14"/>
  <c r="AF435" i="14"/>
  <c r="AG435" i="14" s="1"/>
  <c r="AH435" i="14" s="1"/>
  <c r="AI435" i="14" s="1"/>
  <c r="AJ435" i="14" s="1"/>
  <c r="AC435" i="14"/>
  <c r="AK435" i="14"/>
  <c r="AL435" i="14" s="1"/>
  <c r="AM435" i="14" s="1"/>
  <c r="AN435" i="14" s="1"/>
  <c r="AO435" i="14" s="1"/>
  <c r="AP435" i="14" s="1"/>
  <c r="AQ435" i="14"/>
  <c r="AR435" i="14" s="1"/>
  <c r="AS435" i="14" s="1"/>
  <c r="AT435" i="14" s="1"/>
  <c r="AU435" i="14" s="1"/>
  <c r="BA435" i="14"/>
  <c r="BK435" i="14" s="1"/>
  <c r="AZ435" i="14"/>
  <c r="AW434" i="14"/>
  <c r="AY434" i="14" s="1"/>
  <c r="CF433" i="14"/>
  <c r="CK433" i="14" s="1"/>
  <c r="BA189" i="3" s="1"/>
  <c r="CE433" i="14"/>
  <c r="CJ433" i="14" s="1"/>
  <c r="AZ189" i="3" s="1"/>
  <c r="CH433" i="14"/>
  <c r="CM433" i="14" s="1"/>
  <c r="BB189" i="3" s="1"/>
  <c r="BE434" i="14"/>
  <c r="BG434" i="14" s="1"/>
  <c r="CD434" i="14"/>
  <c r="AG183" i="14"/>
  <c r="AH183" i="14" s="1"/>
  <c r="AI183" i="14" s="1"/>
  <c r="AJ183" i="14" s="1"/>
  <c r="CD183" i="14"/>
  <c r="BE183" i="14"/>
  <c r="BG183" i="14" s="1"/>
  <c r="BT434" i="14"/>
  <c r="BW434" i="14" s="1"/>
  <c r="CA434" i="14"/>
  <c r="CB434" i="14" s="1"/>
  <c r="BV434" i="14"/>
  <c r="BX434" i="14" s="1"/>
  <c r="AX184" i="14"/>
  <c r="C190" i="26"/>
  <c r="C190" i="25"/>
  <c r="DD352" i="3"/>
  <c r="D189" i="26"/>
  <c r="D189" i="25"/>
  <c r="BG192" i="3"/>
  <c r="BM192" i="3" s="1"/>
  <c r="BI192" i="3"/>
  <c r="BH192" i="3"/>
  <c r="BE192" i="3"/>
  <c r="CF193" i="3"/>
  <c r="AW189" i="3"/>
  <c r="CK192" i="3"/>
  <c r="BC192" i="3"/>
  <c r="BN192" i="3" s="1"/>
  <c r="BY193" i="3"/>
  <c r="BR190" i="3"/>
  <c r="CJ192" i="3"/>
  <c r="AV192" i="3" s="1"/>
  <c r="BF191" i="3"/>
  <c r="BQ191" i="3" s="1"/>
  <c r="D193" i="3"/>
  <c r="BG193" i="3" s="1"/>
  <c r="BO191" i="3"/>
  <c r="AU191" i="3" s="1"/>
  <c r="C194" i="3"/>
  <c r="BW193" i="3"/>
  <c r="CK193" i="3" s="1"/>
  <c r="BL193" i="3"/>
  <c r="AY193" i="3"/>
  <c r="BD193" i="3" s="1"/>
  <c r="BK193" i="3"/>
  <c r="AH193" i="3"/>
  <c r="P190" i="26" s="1"/>
  <c r="AG193" i="3"/>
  <c r="O190" i="26" s="1"/>
  <c r="AJ193" i="3"/>
  <c r="R190" i="26" s="1"/>
  <c r="AI193" i="3"/>
  <c r="Q190" i="26" s="1"/>
  <c r="CH181" i="14" l="1"/>
  <c r="CE181" i="14"/>
  <c r="BV194" i="3"/>
  <c r="BU194" i="3"/>
  <c r="BR191" i="3"/>
  <c r="AY182" i="14"/>
  <c r="CH182" i="14" s="1"/>
  <c r="BQ182" i="14"/>
  <c r="BR182" i="14" s="1"/>
  <c r="BS181" i="14"/>
  <c r="BT181" i="14"/>
  <c r="BW181" i="14" s="1"/>
  <c r="BZ181" i="14"/>
  <c r="CA181" i="14"/>
  <c r="CB181" i="14" s="1"/>
  <c r="BV181" i="14"/>
  <c r="BX181" i="14" s="1"/>
  <c r="CK181" i="14" s="1"/>
  <c r="CD188" i="3" s="1"/>
  <c r="BU181" i="14"/>
  <c r="CE434" i="14"/>
  <c r="CJ434" i="14" s="1"/>
  <c r="AZ190" i="3" s="1"/>
  <c r="CF434" i="14"/>
  <c r="CK434" i="14" s="1"/>
  <c r="BA190" i="3" s="1"/>
  <c r="CH434" i="14"/>
  <c r="CM434" i="14" s="1"/>
  <c r="BB190" i="3" s="1"/>
  <c r="AW183" i="14"/>
  <c r="AA186" i="14"/>
  <c r="AX186" i="14" s="1"/>
  <c r="AD186" i="14"/>
  <c r="BC186" i="14"/>
  <c r="BD186" i="14" s="1"/>
  <c r="AB186" i="14"/>
  <c r="BB186" i="14"/>
  <c r="BI186" i="14"/>
  <c r="BJ186" i="14" s="1"/>
  <c r="BM186" i="14"/>
  <c r="AE438" i="14"/>
  <c r="Z438" i="14"/>
  <c r="AE187" i="14"/>
  <c r="Z187" i="14"/>
  <c r="BM437" i="14"/>
  <c r="AA437" i="14"/>
  <c r="AX437" i="14" s="1"/>
  <c r="BC437" i="14"/>
  <c r="BD437" i="14" s="1"/>
  <c r="BI437" i="14"/>
  <c r="BJ437" i="14" s="1"/>
  <c r="AB437" i="14"/>
  <c r="BB437" i="14"/>
  <c r="AD437" i="14"/>
  <c r="AK185" i="14"/>
  <c r="AL185" i="14" s="1"/>
  <c r="AM185" i="14" s="1"/>
  <c r="AN185" i="14" s="1"/>
  <c r="AO185" i="14" s="1"/>
  <c r="AP185" i="14" s="1"/>
  <c r="AF185" i="14"/>
  <c r="BA185" i="14"/>
  <c r="BK185" i="14" s="1"/>
  <c r="AZ185" i="14"/>
  <c r="AC185" i="14"/>
  <c r="AQ185" i="14"/>
  <c r="AR185" i="14" s="1"/>
  <c r="AS185" i="14" s="1"/>
  <c r="AT185" i="14" s="1"/>
  <c r="AU185" i="14" s="1"/>
  <c r="BZ435" i="14"/>
  <c r="BU435" i="14"/>
  <c r="BS435" i="14"/>
  <c r="BE435" i="14"/>
  <c r="BG435" i="14" s="1"/>
  <c r="CD435" i="14"/>
  <c r="AW435" i="14"/>
  <c r="AY435" i="14" s="1"/>
  <c r="BE184" i="14"/>
  <c r="BG184" i="14" s="1"/>
  <c r="CD184" i="14"/>
  <c r="BQ436" i="14"/>
  <c r="BR436" i="14" s="1"/>
  <c r="BN436" i="14"/>
  <c r="BO436" i="14" s="1"/>
  <c r="BN185" i="14"/>
  <c r="BO185" i="14" s="1"/>
  <c r="BT435" i="14"/>
  <c r="BW435" i="14" s="1"/>
  <c r="CA435" i="14"/>
  <c r="CB435" i="14" s="1"/>
  <c r="BV435" i="14"/>
  <c r="BX435" i="14" s="1"/>
  <c r="AW184" i="14"/>
  <c r="AF436" i="14"/>
  <c r="AG436" i="14" s="1"/>
  <c r="AH436" i="14" s="1"/>
  <c r="AI436" i="14" s="1"/>
  <c r="AJ436" i="14" s="1"/>
  <c r="AZ436" i="14"/>
  <c r="AK436" i="14"/>
  <c r="AL436" i="14" s="1"/>
  <c r="AM436" i="14" s="1"/>
  <c r="AN436" i="14" s="1"/>
  <c r="AO436" i="14" s="1"/>
  <c r="AP436" i="14" s="1"/>
  <c r="AC436" i="14"/>
  <c r="BA436" i="14"/>
  <c r="BK436" i="14" s="1"/>
  <c r="AQ436" i="14"/>
  <c r="AR436" i="14" s="1"/>
  <c r="AS436" i="14" s="1"/>
  <c r="AT436" i="14" s="1"/>
  <c r="AU436" i="14" s="1"/>
  <c r="C191" i="26"/>
  <c r="C191" i="25"/>
  <c r="BI193" i="3"/>
  <c r="D190" i="25"/>
  <c r="D190" i="26"/>
  <c r="BH193" i="3"/>
  <c r="BE193" i="3"/>
  <c r="CF194" i="3"/>
  <c r="AW190" i="3"/>
  <c r="BJ192" i="3"/>
  <c r="BP192" i="3" s="1"/>
  <c r="BC193" i="3"/>
  <c r="BN193" i="3" s="1"/>
  <c r="BY194" i="3"/>
  <c r="CI193" i="3"/>
  <c r="CJ193" i="3"/>
  <c r="AV193" i="3" s="1"/>
  <c r="DD353" i="3"/>
  <c r="D194" i="3"/>
  <c r="BF192" i="3"/>
  <c r="BQ192" i="3" s="1"/>
  <c r="AW191" i="3"/>
  <c r="BO192" i="3"/>
  <c r="AU192" i="3" s="1"/>
  <c r="C195" i="3"/>
  <c r="BW194" i="3"/>
  <c r="CI194" i="3" s="1"/>
  <c r="BL194" i="3"/>
  <c r="AY194" i="3"/>
  <c r="BK194" i="3"/>
  <c r="AG194" i="3"/>
  <c r="O191" i="26" s="1"/>
  <c r="AJ194" i="3"/>
  <c r="R191" i="26" s="1"/>
  <c r="AI194" i="3"/>
  <c r="Q191" i="26" s="1"/>
  <c r="AH194" i="3"/>
  <c r="P191" i="26" s="1"/>
  <c r="BD194" i="3" l="1"/>
  <c r="CM181" i="14"/>
  <c r="CG188" i="3" s="1"/>
  <c r="CJ181" i="14"/>
  <c r="CC188" i="3" s="1"/>
  <c r="CE182" i="14"/>
  <c r="BV195" i="3"/>
  <c r="BU195" i="3"/>
  <c r="CF182" i="14"/>
  <c r="AY183" i="14"/>
  <c r="CE183" i="14" s="1"/>
  <c r="BQ183" i="14"/>
  <c r="BR183" i="14" s="1"/>
  <c r="BV182" i="14"/>
  <c r="BX182" i="14" s="1"/>
  <c r="BS182" i="14"/>
  <c r="CA182" i="14"/>
  <c r="CB182" i="14" s="1"/>
  <c r="CM182" i="14" s="1"/>
  <c r="CG189" i="3" s="1"/>
  <c r="BT182" i="14"/>
  <c r="BW182" i="14" s="1"/>
  <c r="BU182" i="14"/>
  <c r="BZ182" i="14"/>
  <c r="AY184" i="14"/>
  <c r="CH184" i="14" s="1"/>
  <c r="BQ184" i="14"/>
  <c r="BR184" i="14" s="1"/>
  <c r="AV437" i="14"/>
  <c r="AV186" i="14"/>
  <c r="BT436" i="14"/>
  <c r="BW436" i="14" s="1"/>
  <c r="CA436" i="14"/>
  <c r="CB436" i="14" s="1"/>
  <c r="BV436" i="14"/>
  <c r="BX436" i="14" s="1"/>
  <c r="BN186" i="14"/>
  <c r="BO186" i="14" s="1"/>
  <c r="AE439" i="14"/>
  <c r="Z439" i="14"/>
  <c r="AE188" i="14"/>
  <c r="Z188" i="14"/>
  <c r="CD436" i="14"/>
  <c r="BE436" i="14"/>
  <c r="BG436" i="14" s="1"/>
  <c r="BS436" i="14"/>
  <c r="BZ436" i="14"/>
  <c r="BU436" i="14"/>
  <c r="BM187" i="14"/>
  <c r="AB187" i="14"/>
  <c r="AD187" i="14"/>
  <c r="BB187" i="14"/>
  <c r="BC187" i="14"/>
  <c r="BD187" i="14" s="1"/>
  <c r="BI187" i="14"/>
  <c r="BJ187" i="14" s="1"/>
  <c r="AA187" i="14"/>
  <c r="AV187" i="14" s="1"/>
  <c r="AK437" i="14"/>
  <c r="AL437" i="14" s="1"/>
  <c r="AM437" i="14" s="1"/>
  <c r="AN437" i="14" s="1"/>
  <c r="AO437" i="14" s="1"/>
  <c r="AP437" i="14" s="1"/>
  <c r="BA437" i="14"/>
  <c r="BK437" i="14" s="1"/>
  <c r="AC437" i="14"/>
  <c r="AZ437" i="14"/>
  <c r="AF437" i="14"/>
  <c r="AG437" i="14" s="1"/>
  <c r="AH437" i="14" s="1"/>
  <c r="AI437" i="14" s="1"/>
  <c r="AJ437" i="14" s="1"/>
  <c r="AQ437" i="14"/>
  <c r="AR437" i="14" s="1"/>
  <c r="AS437" i="14" s="1"/>
  <c r="AT437" i="14" s="1"/>
  <c r="AU437" i="14" s="1"/>
  <c r="BM438" i="14"/>
  <c r="BI438" i="14"/>
  <c r="BJ438" i="14" s="1"/>
  <c r="AB438" i="14"/>
  <c r="AA438" i="14"/>
  <c r="AV438" i="14" s="1"/>
  <c r="BC438" i="14"/>
  <c r="BD438" i="14" s="1"/>
  <c r="AD438" i="14"/>
  <c r="BB438" i="14"/>
  <c r="AW436" i="14"/>
  <c r="AY436" i="14" s="1"/>
  <c r="CF435" i="14"/>
  <c r="CK435" i="14" s="1"/>
  <c r="BA191" i="3" s="1"/>
  <c r="CE435" i="14"/>
  <c r="CJ435" i="14" s="1"/>
  <c r="AZ191" i="3" s="1"/>
  <c r="CH435" i="14"/>
  <c r="CM435" i="14" s="1"/>
  <c r="BB191" i="3" s="1"/>
  <c r="AG185" i="14"/>
  <c r="AH185" i="14" s="1"/>
  <c r="AI185" i="14" s="1"/>
  <c r="AJ185" i="14" s="1"/>
  <c r="CD185" i="14"/>
  <c r="BE185" i="14"/>
  <c r="BG185" i="14" s="1"/>
  <c r="BN437" i="14"/>
  <c r="BO437" i="14" s="1"/>
  <c r="BQ437" i="14"/>
  <c r="BR437" i="14" s="1"/>
  <c r="AC186" i="14"/>
  <c r="AZ186" i="14"/>
  <c r="BA186" i="14"/>
  <c r="BK186" i="14" s="1"/>
  <c r="AQ186" i="14"/>
  <c r="AR186" i="14" s="1"/>
  <c r="AS186" i="14" s="1"/>
  <c r="AT186" i="14" s="1"/>
  <c r="AU186" i="14" s="1"/>
  <c r="AF186" i="14"/>
  <c r="AG186" i="14" s="1"/>
  <c r="AH186" i="14" s="1"/>
  <c r="AI186" i="14" s="1"/>
  <c r="AJ186" i="14" s="1"/>
  <c r="AK186" i="14"/>
  <c r="AL186" i="14" s="1"/>
  <c r="AM186" i="14" s="1"/>
  <c r="AN186" i="14" s="1"/>
  <c r="AO186" i="14" s="1"/>
  <c r="AP186" i="14" s="1"/>
  <c r="C192" i="26"/>
  <c r="C192" i="25"/>
  <c r="BG194" i="3"/>
  <c r="BM194" i="3" s="1"/>
  <c r="D191" i="26"/>
  <c r="D191" i="25"/>
  <c r="BH194" i="3"/>
  <c r="BI194" i="3"/>
  <c r="BE194" i="3"/>
  <c r="CF195" i="3"/>
  <c r="CK194" i="3"/>
  <c r="BR192" i="3"/>
  <c r="BC194" i="3"/>
  <c r="BN194" i="3" s="1"/>
  <c r="DD354" i="3"/>
  <c r="BY195" i="3"/>
  <c r="CJ194" i="3"/>
  <c r="AV194" i="3" s="1"/>
  <c r="BJ193" i="3"/>
  <c r="BP193" i="3" s="1"/>
  <c r="BM193" i="3"/>
  <c r="BO193" i="3" s="1"/>
  <c r="AU193" i="3" s="1"/>
  <c r="BF193" i="3"/>
  <c r="BQ193" i="3" s="1"/>
  <c r="D195" i="3"/>
  <c r="BI195" i="3" s="1"/>
  <c r="C196" i="3"/>
  <c r="BK195" i="3"/>
  <c r="AY195" i="3"/>
  <c r="BW195" i="3"/>
  <c r="CK195" i="3" s="1"/>
  <c r="BL195" i="3"/>
  <c r="AJ195" i="3"/>
  <c r="R192" i="26" s="1"/>
  <c r="AI195" i="3"/>
  <c r="Q192" i="26" s="1"/>
  <c r="AH195" i="3"/>
  <c r="P192" i="26" s="1"/>
  <c r="AG195" i="3"/>
  <c r="O192" i="26" s="1"/>
  <c r="CH183" i="14" l="1"/>
  <c r="CE184" i="14"/>
  <c r="CF184" i="14"/>
  <c r="CF183" i="14"/>
  <c r="CJ182" i="14"/>
  <c r="CC189" i="3" s="1"/>
  <c r="BD195" i="3"/>
  <c r="CK182" i="14"/>
  <c r="CD189" i="3" s="1"/>
  <c r="BU196" i="3"/>
  <c r="BV196" i="3"/>
  <c r="AW192" i="3"/>
  <c r="BV183" i="14"/>
  <c r="BX183" i="14" s="1"/>
  <c r="CA183" i="14"/>
  <c r="CB183" i="14" s="1"/>
  <c r="CM183" i="14" s="1"/>
  <c r="CG190" i="3" s="1"/>
  <c r="BS183" i="14"/>
  <c r="BZ183" i="14"/>
  <c r="BU183" i="14"/>
  <c r="BT183" i="14"/>
  <c r="BW183" i="14" s="1"/>
  <c r="CJ183" i="14" s="1"/>
  <c r="CC190" i="3" s="1"/>
  <c r="BU184" i="14"/>
  <c r="BV184" i="14"/>
  <c r="BX184" i="14" s="1"/>
  <c r="BS184" i="14"/>
  <c r="BT184" i="14"/>
  <c r="BW184" i="14" s="1"/>
  <c r="BZ184" i="14"/>
  <c r="CA184" i="14"/>
  <c r="CB184" i="14" s="1"/>
  <c r="CM184" i="14" s="1"/>
  <c r="CG191" i="3" s="1"/>
  <c r="AX187" i="14"/>
  <c r="AX438" i="14"/>
  <c r="BG195" i="3"/>
  <c r="BM195" i="3" s="1"/>
  <c r="AW185" i="14"/>
  <c r="AE440" i="14"/>
  <c r="Z440" i="14"/>
  <c r="AE189" i="14"/>
  <c r="Z189" i="14"/>
  <c r="AC438" i="14"/>
  <c r="BA438" i="14"/>
  <c r="BK438" i="14" s="1"/>
  <c r="AQ438" i="14"/>
  <c r="AR438" i="14" s="1"/>
  <c r="AS438" i="14" s="1"/>
  <c r="AT438" i="14" s="1"/>
  <c r="AU438" i="14" s="1"/>
  <c r="AZ438" i="14"/>
  <c r="AK438" i="14"/>
  <c r="AL438" i="14" s="1"/>
  <c r="AM438" i="14" s="1"/>
  <c r="AN438" i="14" s="1"/>
  <c r="AO438" i="14" s="1"/>
  <c r="AP438" i="14" s="1"/>
  <c r="AF438" i="14"/>
  <c r="BE437" i="14"/>
  <c r="BG437" i="14" s="1"/>
  <c r="CD437" i="14"/>
  <c r="CD186" i="14"/>
  <c r="BE186" i="14"/>
  <c r="BG186" i="14" s="1"/>
  <c r="CA437" i="14"/>
  <c r="CB437" i="14" s="1"/>
  <c r="BT437" i="14"/>
  <c r="BW437" i="14" s="1"/>
  <c r="BV437" i="14"/>
  <c r="BX437" i="14" s="1"/>
  <c r="AW437" i="14"/>
  <c r="AY437" i="14" s="1"/>
  <c r="CE436" i="14"/>
  <c r="CJ436" i="14" s="1"/>
  <c r="AZ192" i="3" s="1"/>
  <c r="CF436" i="14"/>
  <c r="CK436" i="14" s="1"/>
  <c r="BA192" i="3" s="1"/>
  <c r="CH436" i="14"/>
  <c r="CM436" i="14" s="1"/>
  <c r="BB192" i="3" s="1"/>
  <c r="AW186" i="14"/>
  <c r="BN187" i="14"/>
  <c r="BO187" i="14" s="1"/>
  <c r="BM439" i="14"/>
  <c r="BC439" i="14"/>
  <c r="BD439" i="14" s="1"/>
  <c r="AA439" i="14"/>
  <c r="AX439" i="14" s="1"/>
  <c r="BI439" i="14"/>
  <c r="BJ439" i="14" s="1"/>
  <c r="AD439" i="14"/>
  <c r="AB439" i="14"/>
  <c r="BB439" i="14"/>
  <c r="BZ437" i="14"/>
  <c r="BU437" i="14"/>
  <c r="BS437" i="14"/>
  <c r="BQ438" i="14"/>
  <c r="BR438" i="14" s="1"/>
  <c r="BN438" i="14"/>
  <c r="BO438" i="14" s="1"/>
  <c r="AC187" i="14"/>
  <c r="BA187" i="14"/>
  <c r="BK187" i="14" s="1"/>
  <c r="AZ187" i="14"/>
  <c r="AQ187" i="14"/>
  <c r="AR187" i="14" s="1"/>
  <c r="AS187" i="14" s="1"/>
  <c r="AT187" i="14" s="1"/>
  <c r="AU187" i="14" s="1"/>
  <c r="AK187" i="14"/>
  <c r="AL187" i="14" s="1"/>
  <c r="AM187" i="14" s="1"/>
  <c r="AN187" i="14" s="1"/>
  <c r="AO187" i="14" s="1"/>
  <c r="AP187" i="14" s="1"/>
  <c r="AF187" i="14"/>
  <c r="AD188" i="14"/>
  <c r="BI188" i="14"/>
  <c r="BJ188" i="14" s="1"/>
  <c r="BM188" i="14"/>
  <c r="AB188" i="14"/>
  <c r="BC188" i="14"/>
  <c r="BD188" i="14" s="1"/>
  <c r="BB188" i="14"/>
  <c r="AA188" i="14"/>
  <c r="C193" i="26"/>
  <c r="C193" i="25"/>
  <c r="BH195" i="3"/>
  <c r="BJ195" i="3" s="1"/>
  <c r="BP195" i="3" s="1"/>
  <c r="D192" i="26"/>
  <c r="D192" i="25"/>
  <c r="BE195" i="3"/>
  <c r="CF196" i="3"/>
  <c r="BC195" i="3"/>
  <c r="BN195" i="3" s="1"/>
  <c r="CI195" i="3"/>
  <c r="BY196" i="3"/>
  <c r="CJ195" i="3"/>
  <c r="AV195" i="3" s="1"/>
  <c r="BR193" i="3"/>
  <c r="BJ194" i="3"/>
  <c r="BP194" i="3" s="1"/>
  <c r="DD355" i="3"/>
  <c r="D196" i="3"/>
  <c r="DD356" i="3" s="1"/>
  <c r="BF194" i="3"/>
  <c r="BQ194" i="3" s="1"/>
  <c r="C197" i="3"/>
  <c r="BW196" i="3"/>
  <c r="CJ196" i="3" s="1"/>
  <c r="AV196" i="3" s="1"/>
  <c r="BL196" i="3"/>
  <c r="AY196" i="3"/>
  <c r="BK196" i="3"/>
  <c r="AI196" i="3"/>
  <c r="Q193" i="26" s="1"/>
  <c r="AH196" i="3"/>
  <c r="P193" i="26" s="1"/>
  <c r="AG196" i="3"/>
  <c r="O193" i="26" s="1"/>
  <c r="AJ196" i="3"/>
  <c r="R193" i="26" s="1"/>
  <c r="BO194" i="3"/>
  <c r="AU194" i="3" s="1"/>
  <c r="CK184" i="14" l="1"/>
  <c r="CD191" i="3" s="1"/>
  <c r="CK183" i="14"/>
  <c r="CD190" i="3" s="1"/>
  <c r="CJ184" i="14"/>
  <c r="CC191" i="3" s="1"/>
  <c r="BD196" i="3"/>
  <c r="BV197" i="3"/>
  <c r="BU197" i="3"/>
  <c r="AY186" i="14"/>
  <c r="CF186" i="14" s="1"/>
  <c r="BQ186" i="14"/>
  <c r="BR186" i="14" s="1"/>
  <c r="AY185" i="14"/>
  <c r="CE185" i="14" s="1"/>
  <c r="BQ185" i="14"/>
  <c r="BR185" i="14" s="1"/>
  <c r="AX188" i="14"/>
  <c r="BA188" i="14"/>
  <c r="BK188" i="14" s="1"/>
  <c r="AF188" i="14"/>
  <c r="AG188" i="14" s="1"/>
  <c r="AH188" i="14" s="1"/>
  <c r="AI188" i="14" s="1"/>
  <c r="AJ188" i="14" s="1"/>
  <c r="AQ188" i="14"/>
  <c r="AR188" i="14" s="1"/>
  <c r="AS188" i="14" s="1"/>
  <c r="AT188" i="14" s="1"/>
  <c r="AU188" i="14" s="1"/>
  <c r="AZ188" i="14"/>
  <c r="AK188" i="14"/>
  <c r="AL188" i="14" s="1"/>
  <c r="AM188" i="14" s="1"/>
  <c r="AN188" i="14" s="1"/>
  <c r="AO188" i="14" s="1"/>
  <c r="AP188" i="14" s="1"/>
  <c r="AC188" i="14"/>
  <c r="BN188" i="14"/>
  <c r="BO188" i="14" s="1"/>
  <c r="BT438" i="14"/>
  <c r="BW438" i="14" s="1"/>
  <c r="CA438" i="14"/>
  <c r="CB438" i="14" s="1"/>
  <c r="BV438" i="14"/>
  <c r="BX438" i="14" s="1"/>
  <c r="BQ439" i="14"/>
  <c r="BR439" i="14" s="1"/>
  <c r="BN439" i="14"/>
  <c r="BO439" i="14" s="1"/>
  <c r="AG438" i="14"/>
  <c r="AH438" i="14" s="1"/>
  <c r="AI438" i="14" s="1"/>
  <c r="AJ438" i="14" s="1"/>
  <c r="BB189" i="14"/>
  <c r="AB189" i="14"/>
  <c r="BM189" i="14"/>
  <c r="AA189" i="14"/>
  <c r="AV189" i="14" s="1"/>
  <c r="BC189" i="14"/>
  <c r="BD189" i="14" s="1"/>
  <c r="AD189" i="14"/>
  <c r="BI189" i="14"/>
  <c r="BJ189" i="14" s="1"/>
  <c r="AE441" i="14"/>
  <c r="Z190" i="14"/>
  <c r="Z441" i="14"/>
  <c r="AE190" i="14"/>
  <c r="AV188" i="14"/>
  <c r="CD187" i="14"/>
  <c r="BE187" i="14"/>
  <c r="BG187" i="14" s="1"/>
  <c r="AF439" i="14"/>
  <c r="AQ439" i="14"/>
  <c r="AR439" i="14" s="1"/>
  <c r="AS439" i="14" s="1"/>
  <c r="AT439" i="14" s="1"/>
  <c r="AU439" i="14" s="1"/>
  <c r="AZ439" i="14"/>
  <c r="AC439" i="14"/>
  <c r="BA439" i="14"/>
  <c r="BK439" i="14" s="1"/>
  <c r="AK439" i="14"/>
  <c r="AL439" i="14" s="1"/>
  <c r="AM439" i="14" s="1"/>
  <c r="AN439" i="14" s="1"/>
  <c r="AO439" i="14" s="1"/>
  <c r="AP439" i="14" s="1"/>
  <c r="AV439" i="14"/>
  <c r="CE437" i="14"/>
  <c r="CJ437" i="14" s="1"/>
  <c r="AZ193" i="3" s="1"/>
  <c r="CH437" i="14"/>
  <c r="CM437" i="14" s="1"/>
  <c r="BB193" i="3" s="1"/>
  <c r="CF437" i="14"/>
  <c r="CK437" i="14" s="1"/>
  <c r="BA193" i="3" s="1"/>
  <c r="BM440" i="14"/>
  <c r="AB440" i="14"/>
  <c r="BI440" i="14"/>
  <c r="BJ440" i="14" s="1"/>
  <c r="BC440" i="14"/>
  <c r="BD440" i="14" s="1"/>
  <c r="AA440" i="14"/>
  <c r="AV440" i="14" s="1"/>
  <c r="AD440" i="14"/>
  <c r="BB440" i="14"/>
  <c r="AG187" i="14"/>
  <c r="AH187" i="14" s="1"/>
  <c r="AI187" i="14" s="1"/>
  <c r="AJ187" i="14" s="1"/>
  <c r="BS438" i="14"/>
  <c r="BZ438" i="14"/>
  <c r="BU438" i="14"/>
  <c r="CD438" i="14"/>
  <c r="BE438" i="14"/>
  <c r="BG438" i="14" s="1"/>
  <c r="BG196" i="3"/>
  <c r="BM196" i="3" s="1"/>
  <c r="D193" i="25"/>
  <c r="D193" i="26"/>
  <c r="BH196" i="3"/>
  <c r="C194" i="26"/>
  <c r="C194" i="25"/>
  <c r="BI196" i="3"/>
  <c r="BE196" i="3"/>
  <c r="CF197" i="3"/>
  <c r="CK196" i="3"/>
  <c r="AW193" i="3"/>
  <c r="BR194" i="3"/>
  <c r="BC196" i="3"/>
  <c r="BN196" i="3" s="1"/>
  <c r="CI196" i="3"/>
  <c r="BY197" i="3"/>
  <c r="BF195" i="3"/>
  <c r="BQ195" i="3" s="1"/>
  <c r="BR195" i="3" s="1"/>
  <c r="D197" i="3"/>
  <c r="BG197" i="3" s="1"/>
  <c r="BO195" i="3"/>
  <c r="AU195" i="3" s="1"/>
  <c r="C198" i="3"/>
  <c r="BW197" i="3"/>
  <c r="CJ197" i="3" s="1"/>
  <c r="AV197" i="3" s="1"/>
  <c r="BL197" i="3"/>
  <c r="BK197" i="3"/>
  <c r="AY197" i="3"/>
  <c r="AH197" i="3"/>
  <c r="P194" i="26" s="1"/>
  <c r="AG197" i="3"/>
  <c r="O194" i="26" s="1"/>
  <c r="AJ197" i="3"/>
  <c r="R194" i="26" s="1"/>
  <c r="AI197" i="3"/>
  <c r="Q194" i="26" s="1"/>
  <c r="BD197" i="3" l="1"/>
  <c r="CE186" i="14"/>
  <c r="CH186" i="14"/>
  <c r="BV198" i="3"/>
  <c r="BU198" i="3"/>
  <c r="CH185" i="14"/>
  <c r="CF185" i="14"/>
  <c r="BS186" i="14"/>
  <c r="BT186" i="14"/>
  <c r="BW186" i="14" s="1"/>
  <c r="BU186" i="14"/>
  <c r="BV186" i="14"/>
  <c r="BX186" i="14" s="1"/>
  <c r="CK186" i="14" s="1"/>
  <c r="CD193" i="3" s="1"/>
  <c r="BZ186" i="14"/>
  <c r="CA186" i="14"/>
  <c r="CB186" i="14" s="1"/>
  <c r="BZ185" i="14"/>
  <c r="CA185" i="14"/>
  <c r="CB185" i="14" s="1"/>
  <c r="BU185" i="14"/>
  <c r="BT185" i="14"/>
  <c r="BW185" i="14" s="1"/>
  <c r="CJ185" i="14" s="1"/>
  <c r="CC192" i="3" s="1"/>
  <c r="BS185" i="14"/>
  <c r="BV185" i="14"/>
  <c r="BX185" i="14" s="1"/>
  <c r="AX189" i="14"/>
  <c r="AW438" i="14"/>
  <c r="AY438" i="14" s="1"/>
  <c r="CF438" i="14" s="1"/>
  <c r="CK438" i="14" s="1"/>
  <c r="BA194" i="3" s="1"/>
  <c r="BH197" i="3"/>
  <c r="BM441" i="14"/>
  <c r="AA441" i="14"/>
  <c r="BC441" i="14"/>
  <c r="BD441" i="14" s="1"/>
  <c r="BI441" i="14"/>
  <c r="BJ441" i="14" s="1"/>
  <c r="AB441" i="14"/>
  <c r="AD441" i="14"/>
  <c r="BB441" i="14"/>
  <c r="BN189" i="14"/>
  <c r="BO189" i="14" s="1"/>
  <c r="BS439" i="14"/>
  <c r="BZ439" i="14"/>
  <c r="BU439" i="14"/>
  <c r="BT439" i="14"/>
  <c r="BW439" i="14" s="1"/>
  <c r="CA439" i="14"/>
  <c r="CB439" i="14" s="1"/>
  <c r="BV439" i="14"/>
  <c r="BX439" i="14" s="1"/>
  <c r="AW188" i="14"/>
  <c r="AW187" i="14"/>
  <c r="AQ440" i="14"/>
  <c r="AR440" i="14" s="1"/>
  <c r="AS440" i="14" s="1"/>
  <c r="AT440" i="14" s="1"/>
  <c r="AU440" i="14" s="1"/>
  <c r="AC440" i="14"/>
  <c r="AF440" i="14"/>
  <c r="AK440" i="14"/>
  <c r="AL440" i="14" s="1"/>
  <c r="AM440" i="14" s="1"/>
  <c r="AN440" i="14" s="1"/>
  <c r="AO440" i="14" s="1"/>
  <c r="AP440" i="14" s="1"/>
  <c r="BA440" i="14"/>
  <c r="BK440" i="14" s="1"/>
  <c r="AZ440" i="14"/>
  <c r="AG440" i="14"/>
  <c r="AH440" i="14" s="1"/>
  <c r="AI440" i="14" s="1"/>
  <c r="AJ440" i="14" s="1"/>
  <c r="BQ440" i="14"/>
  <c r="BR440" i="14" s="1"/>
  <c r="BN440" i="14"/>
  <c r="BO440" i="14" s="1"/>
  <c r="AV441" i="14"/>
  <c r="BE439" i="14"/>
  <c r="BG439" i="14" s="1"/>
  <c r="CD439" i="14"/>
  <c r="AD190" i="14"/>
  <c r="BI190" i="14"/>
  <c r="BJ190" i="14" s="1"/>
  <c r="BB190" i="14"/>
  <c r="BM190" i="14"/>
  <c r="AA190" i="14"/>
  <c r="AX190" i="14" s="1"/>
  <c r="AB190" i="14"/>
  <c r="BC190" i="14"/>
  <c r="BD190" i="14" s="1"/>
  <c r="Z442" i="14"/>
  <c r="AE442" i="14"/>
  <c r="Z191" i="14"/>
  <c r="AE191" i="14"/>
  <c r="AX440" i="14"/>
  <c r="AG439" i="14"/>
  <c r="AH439" i="14" s="1"/>
  <c r="AI439" i="14" s="1"/>
  <c r="AJ439" i="14" s="1"/>
  <c r="AQ189" i="14"/>
  <c r="AR189" i="14" s="1"/>
  <c r="AS189" i="14" s="1"/>
  <c r="AT189" i="14" s="1"/>
  <c r="AU189" i="14" s="1"/>
  <c r="BA189" i="14"/>
  <c r="BK189" i="14" s="1"/>
  <c r="AC189" i="14"/>
  <c r="AF189" i="14"/>
  <c r="AG189" i="14" s="1"/>
  <c r="AH189" i="14" s="1"/>
  <c r="AI189" i="14" s="1"/>
  <c r="AJ189" i="14" s="1"/>
  <c r="AZ189" i="14"/>
  <c r="AK189" i="14"/>
  <c r="AL189" i="14" s="1"/>
  <c r="AM189" i="14" s="1"/>
  <c r="AN189" i="14" s="1"/>
  <c r="AO189" i="14" s="1"/>
  <c r="AP189" i="14" s="1"/>
  <c r="CD188" i="14"/>
  <c r="BE188" i="14"/>
  <c r="BG188" i="14" s="1"/>
  <c r="C195" i="26"/>
  <c r="C195" i="25"/>
  <c r="D194" i="25"/>
  <c r="D194" i="26"/>
  <c r="BI197" i="3"/>
  <c r="BE197" i="3"/>
  <c r="AW194" i="3"/>
  <c r="CF198" i="3"/>
  <c r="CK197" i="3"/>
  <c r="BJ196" i="3"/>
  <c r="BP196" i="3" s="1"/>
  <c r="DD357" i="3"/>
  <c r="BC197" i="3"/>
  <c r="BN197" i="3" s="1"/>
  <c r="CI197" i="3"/>
  <c r="BY198" i="3"/>
  <c r="BF196" i="3"/>
  <c r="BQ196" i="3" s="1"/>
  <c r="BM197" i="3"/>
  <c r="D198" i="3"/>
  <c r="DD358" i="3" s="1"/>
  <c r="AW195" i="3"/>
  <c r="C199" i="3"/>
  <c r="BL198" i="3"/>
  <c r="BW198" i="3"/>
  <c r="CJ198" i="3" s="1"/>
  <c r="AV198" i="3" s="1"/>
  <c r="AY198" i="3"/>
  <c r="BK198" i="3"/>
  <c r="AG198" i="3"/>
  <c r="O195" i="26" s="1"/>
  <c r="AJ198" i="3"/>
  <c r="R195" i="26" s="1"/>
  <c r="AI198" i="3"/>
  <c r="Q195" i="26" s="1"/>
  <c r="AH198" i="3"/>
  <c r="P195" i="26" s="1"/>
  <c r="BO196" i="3"/>
  <c r="AU196" i="3" s="1"/>
  <c r="BD198" i="3" l="1"/>
  <c r="CM186" i="14"/>
  <c r="CG193" i="3" s="1"/>
  <c r="CJ186" i="14"/>
  <c r="CC193" i="3" s="1"/>
  <c r="CH438" i="14"/>
  <c r="CM438" i="14" s="1"/>
  <c r="BB194" i="3" s="1"/>
  <c r="CE438" i="14"/>
  <c r="CJ438" i="14" s="1"/>
  <c r="AZ194" i="3" s="1"/>
  <c r="BV199" i="3"/>
  <c r="BU199" i="3"/>
  <c r="CK185" i="14"/>
  <c r="CD192" i="3" s="1"/>
  <c r="CM185" i="14"/>
  <c r="CG192" i="3" s="1"/>
  <c r="AY187" i="14"/>
  <c r="CE187" i="14" s="1"/>
  <c r="BQ187" i="14"/>
  <c r="BR187" i="14" s="1"/>
  <c r="AY188" i="14"/>
  <c r="CH188" i="14" s="1"/>
  <c r="BQ188" i="14"/>
  <c r="BR188" i="14" s="1"/>
  <c r="AV190" i="14"/>
  <c r="CD189" i="14"/>
  <c r="BE189" i="14"/>
  <c r="BG189" i="14" s="1"/>
  <c r="BM442" i="14"/>
  <c r="BC442" i="14"/>
  <c r="BD442" i="14" s="1"/>
  <c r="BI442" i="14"/>
  <c r="BJ442" i="14" s="1"/>
  <c r="AA442" i="14"/>
  <c r="AV442" i="14" s="1"/>
  <c r="AB442" i="14"/>
  <c r="AD442" i="14"/>
  <c r="BB442" i="14"/>
  <c r="BN190" i="14"/>
  <c r="BO190" i="14" s="1"/>
  <c r="AW440" i="14"/>
  <c r="AY440" i="14" s="1"/>
  <c r="BS440" i="14"/>
  <c r="BZ440" i="14"/>
  <c r="BU440" i="14"/>
  <c r="BA441" i="14"/>
  <c r="BK441" i="14" s="1"/>
  <c r="AC441" i="14"/>
  <c r="AK441" i="14"/>
  <c r="AL441" i="14" s="1"/>
  <c r="AM441" i="14" s="1"/>
  <c r="AN441" i="14" s="1"/>
  <c r="AO441" i="14" s="1"/>
  <c r="AP441" i="14" s="1"/>
  <c r="AF441" i="14"/>
  <c r="AZ441" i="14"/>
  <c r="AQ441" i="14"/>
  <c r="AR441" i="14" s="1"/>
  <c r="AS441" i="14" s="1"/>
  <c r="AT441" i="14" s="1"/>
  <c r="AU441" i="14" s="1"/>
  <c r="AW189" i="14"/>
  <c r="CD440" i="14"/>
  <c r="BE440" i="14"/>
  <c r="BG440" i="14" s="1"/>
  <c r="BB191" i="14"/>
  <c r="BM191" i="14"/>
  <c r="AB191" i="14"/>
  <c r="AD191" i="14"/>
  <c r="BI191" i="14"/>
  <c r="BJ191" i="14" s="1"/>
  <c r="AA191" i="14"/>
  <c r="AX191" i="14" s="1"/>
  <c r="BC191" i="14"/>
  <c r="BD191" i="14" s="1"/>
  <c r="Z443" i="14"/>
  <c r="AE443" i="14"/>
  <c r="AE192" i="14"/>
  <c r="Z192" i="14"/>
  <c r="AW439" i="14"/>
  <c r="AY439" i="14" s="1"/>
  <c r="CE439" i="14" s="1"/>
  <c r="CJ439" i="14" s="1"/>
  <c r="AZ195" i="3" s="1"/>
  <c r="AK190" i="14"/>
  <c r="AL190" i="14" s="1"/>
  <c r="AM190" i="14" s="1"/>
  <c r="AN190" i="14" s="1"/>
  <c r="AO190" i="14" s="1"/>
  <c r="AP190" i="14" s="1"/>
  <c r="AZ190" i="14"/>
  <c r="AF190" i="14"/>
  <c r="AG190" i="14" s="1"/>
  <c r="AH190" i="14" s="1"/>
  <c r="AI190" i="14" s="1"/>
  <c r="AJ190" i="14" s="1"/>
  <c r="AQ190" i="14"/>
  <c r="AR190" i="14" s="1"/>
  <c r="AS190" i="14" s="1"/>
  <c r="AT190" i="14" s="1"/>
  <c r="AU190" i="14" s="1"/>
  <c r="BA190" i="14"/>
  <c r="BK190" i="14" s="1"/>
  <c r="AC190" i="14"/>
  <c r="CA440" i="14"/>
  <c r="CB440" i="14" s="1"/>
  <c r="BT440" i="14"/>
  <c r="BW440" i="14" s="1"/>
  <c r="BV440" i="14"/>
  <c r="BX440" i="14" s="1"/>
  <c r="AX441" i="14"/>
  <c r="BQ441" i="14"/>
  <c r="BR441" i="14" s="1"/>
  <c r="BN441" i="14"/>
  <c r="BO441" i="14" s="1"/>
  <c r="BH198" i="3"/>
  <c r="C196" i="26"/>
  <c r="C196" i="25"/>
  <c r="BG198" i="3"/>
  <c r="BM198" i="3" s="1"/>
  <c r="D195" i="26"/>
  <c r="D195" i="25"/>
  <c r="BI198" i="3"/>
  <c r="BE198" i="3"/>
  <c r="BR196" i="3"/>
  <c r="CF199" i="3"/>
  <c r="CK198" i="3"/>
  <c r="BC198" i="3"/>
  <c r="BN198" i="3" s="1"/>
  <c r="CI198" i="3"/>
  <c r="BY199" i="3"/>
  <c r="BJ197" i="3"/>
  <c r="BP197" i="3" s="1"/>
  <c r="BF197" i="3"/>
  <c r="BQ197" i="3" s="1"/>
  <c r="D199" i="3"/>
  <c r="DD359" i="3" s="1"/>
  <c r="C200" i="3"/>
  <c r="BW199" i="3"/>
  <c r="CJ199" i="3" s="1"/>
  <c r="AV199" i="3" s="1"/>
  <c r="BL199" i="3"/>
  <c r="AY199" i="3"/>
  <c r="BD199" i="3" s="1"/>
  <c r="BK199" i="3"/>
  <c r="AJ199" i="3"/>
  <c r="R196" i="26" s="1"/>
  <c r="AI199" i="3"/>
  <c r="Q196" i="26" s="1"/>
  <c r="AH199" i="3"/>
  <c r="P196" i="26" s="1"/>
  <c r="AG199" i="3"/>
  <c r="O196" i="26" s="1"/>
  <c r="BO197" i="3"/>
  <c r="AU197" i="3" s="1"/>
  <c r="CH187" i="14" l="1"/>
  <c r="CE188" i="14"/>
  <c r="CF188" i="14"/>
  <c r="BV200" i="3"/>
  <c r="BU200" i="3"/>
  <c r="CF187" i="14"/>
  <c r="AW196" i="3"/>
  <c r="BU187" i="14"/>
  <c r="BV187" i="14"/>
  <c r="BX187" i="14" s="1"/>
  <c r="BZ187" i="14"/>
  <c r="BT187" i="14"/>
  <c r="BW187" i="14" s="1"/>
  <c r="CJ187" i="14" s="1"/>
  <c r="CC194" i="3" s="1"/>
  <c r="BS187" i="14"/>
  <c r="CA187" i="14"/>
  <c r="CB187" i="14" s="1"/>
  <c r="CM187" i="14" s="1"/>
  <c r="CG194" i="3" s="1"/>
  <c r="AY189" i="14"/>
  <c r="CE189" i="14" s="1"/>
  <c r="BQ189" i="14"/>
  <c r="BR189" i="14" s="1"/>
  <c r="BT188" i="14"/>
  <c r="BW188" i="14" s="1"/>
  <c r="BS188" i="14"/>
  <c r="BV188" i="14"/>
  <c r="BX188" i="14" s="1"/>
  <c r="BZ188" i="14"/>
  <c r="CA188" i="14"/>
  <c r="CB188" i="14" s="1"/>
  <c r="CM188" i="14" s="1"/>
  <c r="CG195" i="3" s="1"/>
  <c r="BU188" i="14"/>
  <c r="CF439" i="14"/>
  <c r="CK439" i="14" s="1"/>
  <c r="BA195" i="3" s="1"/>
  <c r="CD190" i="14"/>
  <c r="BE190" i="14"/>
  <c r="BG190" i="14" s="1"/>
  <c r="BU441" i="14"/>
  <c r="BS441" i="14"/>
  <c r="BZ441" i="14"/>
  <c r="BV441" i="14"/>
  <c r="BX441" i="14" s="1"/>
  <c r="CA441" i="14"/>
  <c r="CB441" i="14" s="1"/>
  <c r="BT441" i="14"/>
  <c r="BW441" i="14" s="1"/>
  <c r="AW190" i="14"/>
  <c r="AA192" i="14"/>
  <c r="AV192" i="14" s="1"/>
  <c r="BB192" i="14"/>
  <c r="BC192" i="14"/>
  <c r="BD192" i="14" s="1"/>
  <c r="BM192" i="14"/>
  <c r="BI192" i="14"/>
  <c r="BJ192" i="14" s="1"/>
  <c r="AD192" i="14"/>
  <c r="AB192" i="14"/>
  <c r="AG441" i="14"/>
  <c r="AH441" i="14" s="1"/>
  <c r="AI441" i="14" s="1"/>
  <c r="AJ441" i="14" s="1"/>
  <c r="CD441" i="14"/>
  <c r="BE441" i="14"/>
  <c r="BG441" i="14" s="1"/>
  <c r="CF440" i="14"/>
  <c r="CK440" i="14" s="1"/>
  <c r="BA196" i="3" s="1"/>
  <c r="CE440" i="14"/>
  <c r="CJ440" i="14" s="1"/>
  <c r="AZ196" i="3" s="1"/>
  <c r="CH440" i="14"/>
  <c r="CM440" i="14" s="1"/>
  <c r="BB196" i="3" s="1"/>
  <c r="CH439" i="14"/>
  <c r="CM439" i="14" s="1"/>
  <c r="BB195" i="3" s="1"/>
  <c r="BA442" i="14"/>
  <c r="BK442" i="14" s="1"/>
  <c r="AZ442" i="14"/>
  <c r="AK442" i="14"/>
  <c r="AL442" i="14" s="1"/>
  <c r="AM442" i="14" s="1"/>
  <c r="AN442" i="14" s="1"/>
  <c r="AO442" i="14" s="1"/>
  <c r="AP442" i="14" s="1"/>
  <c r="AF442" i="14"/>
  <c r="AG442" i="14" s="1"/>
  <c r="AH442" i="14" s="1"/>
  <c r="AI442" i="14" s="1"/>
  <c r="AJ442" i="14" s="1"/>
  <c r="AQ442" i="14"/>
  <c r="AR442" i="14" s="1"/>
  <c r="AS442" i="14" s="1"/>
  <c r="AT442" i="14" s="1"/>
  <c r="AU442" i="14" s="1"/>
  <c r="AC442" i="14"/>
  <c r="AE444" i="14"/>
  <c r="Z444" i="14"/>
  <c r="AE193" i="14"/>
  <c r="Z193" i="14"/>
  <c r="BQ442" i="14"/>
  <c r="BR442" i="14" s="1"/>
  <c r="BN442" i="14"/>
  <c r="BO442" i="14" s="1"/>
  <c r="BI443" i="14"/>
  <c r="BJ443" i="14" s="1"/>
  <c r="BC443" i="14"/>
  <c r="BD443" i="14" s="1"/>
  <c r="AA443" i="14"/>
  <c r="AX443" i="14" s="1"/>
  <c r="AB443" i="14"/>
  <c r="BB443" i="14"/>
  <c r="AD443" i="14"/>
  <c r="BM443" i="14"/>
  <c r="AC191" i="14"/>
  <c r="AZ191" i="14"/>
  <c r="BA191" i="14"/>
  <c r="BK191" i="14" s="1"/>
  <c r="AF191" i="14"/>
  <c r="AQ191" i="14"/>
  <c r="AR191" i="14" s="1"/>
  <c r="AS191" i="14" s="1"/>
  <c r="AT191" i="14" s="1"/>
  <c r="AU191" i="14" s="1"/>
  <c r="AK191" i="14"/>
  <c r="AL191" i="14" s="1"/>
  <c r="AM191" i="14" s="1"/>
  <c r="AN191" i="14" s="1"/>
  <c r="AO191" i="14" s="1"/>
  <c r="AP191" i="14" s="1"/>
  <c r="BN191" i="14"/>
  <c r="BO191" i="14" s="1"/>
  <c r="AV191" i="14"/>
  <c r="AX442" i="14"/>
  <c r="CF189" i="14"/>
  <c r="BG199" i="3"/>
  <c r="D196" i="26"/>
  <c r="D196" i="25"/>
  <c r="C197" i="26"/>
  <c r="C197" i="25"/>
  <c r="BI199" i="3"/>
  <c r="BH199" i="3"/>
  <c r="BE199" i="3"/>
  <c r="CF200" i="3"/>
  <c r="CK199" i="3"/>
  <c r="BJ198" i="3"/>
  <c r="BP198" i="3" s="1"/>
  <c r="BC199" i="3"/>
  <c r="BN199" i="3" s="1"/>
  <c r="CI199" i="3"/>
  <c r="BY200" i="3"/>
  <c r="BR197" i="3"/>
  <c r="D200" i="3"/>
  <c r="DD360" i="3" s="1"/>
  <c r="BF198" i="3"/>
  <c r="BQ198" i="3" s="1"/>
  <c r="BO198" i="3"/>
  <c r="AU198" i="3" s="1"/>
  <c r="C201" i="3"/>
  <c r="BW200" i="3"/>
  <c r="CK200" i="3" s="1"/>
  <c r="BL200" i="3"/>
  <c r="AY200" i="3"/>
  <c r="BK200" i="3"/>
  <c r="AI200" i="3"/>
  <c r="Q197" i="26" s="1"/>
  <c r="AH200" i="3"/>
  <c r="P197" i="26" s="1"/>
  <c r="AG200" i="3"/>
  <c r="O197" i="26" s="1"/>
  <c r="AJ200" i="3"/>
  <c r="R197" i="26" s="1"/>
  <c r="CJ188" i="14" l="1"/>
  <c r="CC195" i="3" s="1"/>
  <c r="CK188" i="14"/>
  <c r="CD195" i="3" s="1"/>
  <c r="CH189" i="14"/>
  <c r="BD200" i="3"/>
  <c r="BV201" i="3"/>
  <c r="BU201" i="3"/>
  <c r="CK187" i="14"/>
  <c r="CD194" i="3" s="1"/>
  <c r="AY190" i="14"/>
  <c r="CE190" i="14" s="1"/>
  <c r="BQ190" i="14"/>
  <c r="BR190" i="14" s="1"/>
  <c r="BZ189" i="14"/>
  <c r="BV189" i="14"/>
  <c r="BX189" i="14" s="1"/>
  <c r="CK189" i="14" s="1"/>
  <c r="CD196" i="3" s="1"/>
  <c r="BU189" i="14"/>
  <c r="BT189" i="14"/>
  <c r="BW189" i="14" s="1"/>
  <c r="CJ189" i="14" s="1"/>
  <c r="CC196" i="3" s="1"/>
  <c r="BS189" i="14"/>
  <c r="CA189" i="14"/>
  <c r="CB189" i="14" s="1"/>
  <c r="CM189" i="14" s="1"/>
  <c r="CG196" i="3" s="1"/>
  <c r="AX192" i="14"/>
  <c r="Z445" i="14"/>
  <c r="AE445" i="14"/>
  <c r="Z194" i="14"/>
  <c r="AE194" i="14"/>
  <c r="BE191" i="14"/>
  <c r="BG191" i="14" s="1"/>
  <c r="CD191" i="14"/>
  <c r="AQ443" i="14"/>
  <c r="AR443" i="14" s="1"/>
  <c r="AS443" i="14" s="1"/>
  <c r="AT443" i="14" s="1"/>
  <c r="AU443" i="14" s="1"/>
  <c r="AF443" i="14"/>
  <c r="AG443" i="14" s="1"/>
  <c r="AH443" i="14" s="1"/>
  <c r="AI443" i="14" s="1"/>
  <c r="AJ443" i="14" s="1"/>
  <c r="AZ443" i="14"/>
  <c r="AC443" i="14"/>
  <c r="BA443" i="14"/>
  <c r="BK443" i="14" s="1"/>
  <c r="AK443" i="14"/>
  <c r="AL443" i="14" s="1"/>
  <c r="AM443" i="14" s="1"/>
  <c r="AN443" i="14" s="1"/>
  <c r="AO443" i="14" s="1"/>
  <c r="AP443" i="14" s="1"/>
  <c r="BV442" i="14"/>
  <c r="BX442" i="14" s="1"/>
  <c r="BT442" i="14"/>
  <c r="BW442" i="14" s="1"/>
  <c r="CA442" i="14"/>
  <c r="CB442" i="14" s="1"/>
  <c r="AV443" i="14"/>
  <c r="BN192" i="14"/>
  <c r="BO192" i="14" s="1"/>
  <c r="BB193" i="14"/>
  <c r="AB193" i="14"/>
  <c r="BM193" i="14"/>
  <c r="AD193" i="14"/>
  <c r="AA193" i="14"/>
  <c r="AX193" i="14" s="1"/>
  <c r="BC193" i="14"/>
  <c r="BD193" i="14" s="1"/>
  <c r="BI193" i="14"/>
  <c r="BJ193" i="14" s="1"/>
  <c r="AG191" i="14"/>
  <c r="AH191" i="14" s="1"/>
  <c r="AI191" i="14" s="1"/>
  <c r="AJ191" i="14" s="1"/>
  <c r="BE442" i="14"/>
  <c r="BG442" i="14" s="1"/>
  <c r="CD442" i="14"/>
  <c r="CH190" i="14"/>
  <c r="BN443" i="14"/>
  <c r="BO443" i="14" s="1"/>
  <c r="BQ443" i="14"/>
  <c r="BR443" i="14" s="1"/>
  <c r="BS442" i="14"/>
  <c r="BU442" i="14"/>
  <c r="BZ442" i="14"/>
  <c r="AB444" i="14"/>
  <c r="BB444" i="14"/>
  <c r="BI444" i="14"/>
  <c r="BJ444" i="14" s="1"/>
  <c r="BM444" i="14"/>
  <c r="BC444" i="14"/>
  <c r="BD444" i="14" s="1"/>
  <c r="AA444" i="14"/>
  <c r="AD444" i="14"/>
  <c r="AW442" i="14"/>
  <c r="AY442" i="14" s="1"/>
  <c r="BA192" i="14"/>
  <c r="BK192" i="14" s="1"/>
  <c r="AZ192" i="14"/>
  <c r="AK192" i="14"/>
  <c r="AL192" i="14" s="1"/>
  <c r="AM192" i="14" s="1"/>
  <c r="AN192" i="14" s="1"/>
  <c r="AO192" i="14" s="1"/>
  <c r="AP192" i="14" s="1"/>
  <c r="AC192" i="14"/>
  <c r="AQ192" i="14"/>
  <c r="AR192" i="14" s="1"/>
  <c r="AS192" i="14" s="1"/>
  <c r="AT192" i="14" s="1"/>
  <c r="AU192" i="14" s="1"/>
  <c r="AF192" i="14"/>
  <c r="AG192" i="14" s="1"/>
  <c r="AH192" i="14" s="1"/>
  <c r="AI192" i="14" s="1"/>
  <c r="AJ192" i="14" s="1"/>
  <c r="AW441" i="14"/>
  <c r="AY441" i="14" s="1"/>
  <c r="CH441" i="14" s="1"/>
  <c r="CM441" i="14" s="1"/>
  <c r="BB197" i="3" s="1"/>
  <c r="C198" i="26"/>
  <c r="C198" i="25"/>
  <c r="BI200" i="3"/>
  <c r="D197" i="26"/>
  <c r="D197" i="25"/>
  <c r="BG200" i="3"/>
  <c r="BM200" i="3" s="1"/>
  <c r="BH200" i="3"/>
  <c r="BE200" i="3"/>
  <c r="AW197" i="3"/>
  <c r="CF201" i="3"/>
  <c r="BR198" i="3"/>
  <c r="BJ199" i="3"/>
  <c r="BP199" i="3" s="1"/>
  <c r="BC200" i="3"/>
  <c r="BN200" i="3" s="1"/>
  <c r="CJ200" i="3"/>
  <c r="AV200" i="3" s="1"/>
  <c r="CI200" i="3"/>
  <c r="BY201" i="3"/>
  <c r="BM199" i="3"/>
  <c r="BO199" i="3" s="1"/>
  <c r="AU199" i="3" s="1"/>
  <c r="BF199" i="3"/>
  <c r="BQ199" i="3" s="1"/>
  <c r="D201" i="3"/>
  <c r="BI201" i="3" s="1"/>
  <c r="C202" i="3"/>
  <c r="BK201" i="3"/>
  <c r="BL201" i="3"/>
  <c r="AY201" i="3"/>
  <c r="BD201" i="3" s="1"/>
  <c r="AH201" i="3"/>
  <c r="P198" i="26" s="1"/>
  <c r="BW201" i="3"/>
  <c r="CJ201" i="3" s="1"/>
  <c r="AV201" i="3" s="1"/>
  <c r="AG201" i="3"/>
  <c r="O198" i="26" s="1"/>
  <c r="AJ201" i="3"/>
  <c r="R198" i="26" s="1"/>
  <c r="AI201" i="3"/>
  <c r="Q198" i="26" s="1"/>
  <c r="CH442" i="14" l="1"/>
  <c r="CF190" i="14"/>
  <c r="AV193" i="14"/>
  <c r="BV202" i="3"/>
  <c r="BU202" i="3"/>
  <c r="BS190" i="14"/>
  <c r="CA190" i="14"/>
  <c r="CB190" i="14" s="1"/>
  <c r="CM190" i="14" s="1"/>
  <c r="CG197" i="3" s="1"/>
  <c r="BU190" i="14"/>
  <c r="BV190" i="14"/>
  <c r="BX190" i="14" s="1"/>
  <c r="BZ190" i="14"/>
  <c r="BT190" i="14"/>
  <c r="BW190" i="14" s="1"/>
  <c r="CJ190" i="14" s="1"/>
  <c r="CC197" i="3" s="1"/>
  <c r="AW198" i="3"/>
  <c r="BG201" i="3"/>
  <c r="CA443" i="14"/>
  <c r="CB443" i="14" s="1"/>
  <c r="BT443" i="14"/>
  <c r="BW443" i="14" s="1"/>
  <c r="BV443" i="14"/>
  <c r="BX443" i="14" s="1"/>
  <c r="Z446" i="14"/>
  <c r="AE446" i="14"/>
  <c r="Z195" i="14"/>
  <c r="AE195" i="14"/>
  <c r="AX444" i="14"/>
  <c r="AQ444" i="14"/>
  <c r="AR444" i="14" s="1"/>
  <c r="AS444" i="14" s="1"/>
  <c r="AT444" i="14" s="1"/>
  <c r="AU444" i="14" s="1"/>
  <c r="AF444" i="14"/>
  <c r="AG444" i="14" s="1"/>
  <c r="AH444" i="14" s="1"/>
  <c r="AI444" i="14" s="1"/>
  <c r="AJ444" i="14" s="1"/>
  <c r="AK444" i="14"/>
  <c r="AL444" i="14" s="1"/>
  <c r="AM444" i="14" s="1"/>
  <c r="AN444" i="14" s="1"/>
  <c r="AO444" i="14" s="1"/>
  <c r="AP444" i="14" s="1"/>
  <c r="AC444" i="14"/>
  <c r="BA444" i="14"/>
  <c r="BK444" i="14" s="1"/>
  <c r="AZ444" i="14"/>
  <c r="CE441" i="14"/>
  <c r="CJ441" i="14" s="1"/>
  <c r="AZ197" i="3" s="1"/>
  <c r="CF442" i="14"/>
  <c r="CK442" i="14" s="1"/>
  <c r="BA198" i="3" s="1"/>
  <c r="CE442" i="14"/>
  <c r="CJ442" i="14" s="1"/>
  <c r="AZ198" i="3" s="1"/>
  <c r="AW191" i="14"/>
  <c r="AV444" i="14"/>
  <c r="AW443" i="14"/>
  <c r="AY443" i="14" s="1"/>
  <c r="BM445" i="14"/>
  <c r="BC445" i="14"/>
  <c r="BD445" i="14" s="1"/>
  <c r="AB445" i="14"/>
  <c r="BI445" i="14"/>
  <c r="BJ445" i="14" s="1"/>
  <c r="AA445" i="14"/>
  <c r="AV445" i="14" s="1"/>
  <c r="AD445" i="14"/>
  <c r="BB445" i="14"/>
  <c r="CM442" i="14"/>
  <c r="BB198" i="3" s="1"/>
  <c r="BN444" i="14"/>
  <c r="BO444" i="14" s="1"/>
  <c r="BQ444" i="14"/>
  <c r="BR444" i="14" s="1"/>
  <c r="BZ443" i="14"/>
  <c r="BU443" i="14"/>
  <c r="BS443" i="14"/>
  <c r="BN193" i="14"/>
  <c r="BO193" i="14" s="1"/>
  <c r="AW192" i="14"/>
  <c r="BE192" i="14"/>
  <c r="BG192" i="14" s="1"/>
  <c r="CD192" i="14"/>
  <c r="CF441" i="14"/>
  <c r="CK441" i="14" s="1"/>
  <c r="BA197" i="3" s="1"/>
  <c r="BA193" i="14"/>
  <c r="BK193" i="14" s="1"/>
  <c r="AQ193" i="14"/>
  <c r="AR193" i="14" s="1"/>
  <c r="AS193" i="14" s="1"/>
  <c r="AT193" i="14" s="1"/>
  <c r="AU193" i="14" s="1"/>
  <c r="AF193" i="14"/>
  <c r="AG193" i="14" s="1"/>
  <c r="AH193" i="14" s="1"/>
  <c r="AI193" i="14" s="1"/>
  <c r="AJ193" i="14" s="1"/>
  <c r="AC193" i="14"/>
  <c r="AZ193" i="14"/>
  <c r="AK193" i="14"/>
  <c r="AL193" i="14" s="1"/>
  <c r="AM193" i="14" s="1"/>
  <c r="AN193" i="14" s="1"/>
  <c r="AO193" i="14" s="1"/>
  <c r="AP193" i="14" s="1"/>
  <c r="CD443" i="14"/>
  <c r="BE443" i="14"/>
  <c r="BG443" i="14" s="1"/>
  <c r="BI194" i="14"/>
  <c r="BJ194" i="14" s="1"/>
  <c r="BB194" i="14"/>
  <c r="BM194" i="14"/>
  <c r="AA194" i="14"/>
  <c r="AX194" i="14" s="1"/>
  <c r="AD194" i="14"/>
  <c r="BC194" i="14"/>
  <c r="BD194" i="14" s="1"/>
  <c r="AB194" i="14"/>
  <c r="C199" i="26"/>
  <c r="C199" i="25"/>
  <c r="BH201" i="3"/>
  <c r="D198" i="25"/>
  <c r="D198" i="26"/>
  <c r="BE201" i="3"/>
  <c r="CF202" i="3"/>
  <c r="CK201" i="3"/>
  <c r="BR199" i="3"/>
  <c r="BC201" i="3"/>
  <c r="BN201" i="3" s="1"/>
  <c r="CI201" i="3"/>
  <c r="BY202" i="3"/>
  <c r="DD361" i="3"/>
  <c r="BJ200" i="3"/>
  <c r="BP200" i="3" s="1"/>
  <c r="D202" i="3"/>
  <c r="BH202" i="3" s="1"/>
  <c r="BF200" i="3"/>
  <c r="BQ200" i="3" s="1"/>
  <c r="BO200" i="3"/>
  <c r="AU200" i="3" s="1"/>
  <c r="C203" i="3"/>
  <c r="DD362" i="3"/>
  <c r="BW202" i="3"/>
  <c r="CI202" i="3" s="1"/>
  <c r="BL202" i="3"/>
  <c r="AY202" i="3"/>
  <c r="BD202" i="3" s="1"/>
  <c r="AG202" i="3"/>
  <c r="O199" i="26" s="1"/>
  <c r="AJ202" i="3"/>
  <c r="R199" i="26" s="1"/>
  <c r="AI202" i="3"/>
  <c r="Q199" i="26" s="1"/>
  <c r="AH202" i="3"/>
  <c r="P199" i="26" s="1"/>
  <c r="BK202" i="3"/>
  <c r="CK190" i="14" l="1"/>
  <c r="CD197" i="3" s="1"/>
  <c r="BV203" i="3"/>
  <c r="BU203" i="3"/>
  <c r="AW199" i="3"/>
  <c r="AY192" i="14"/>
  <c r="CH192" i="14" s="1"/>
  <c r="BQ192" i="14"/>
  <c r="BR192" i="14" s="1"/>
  <c r="AY191" i="14"/>
  <c r="CH191" i="14" s="1"/>
  <c r="BQ191" i="14"/>
  <c r="BR191" i="14" s="1"/>
  <c r="AX445" i="14"/>
  <c r="AE447" i="14"/>
  <c r="Z447" i="14"/>
  <c r="AE196" i="14"/>
  <c r="Z196" i="14"/>
  <c r="BN194" i="14"/>
  <c r="BO194" i="14" s="1"/>
  <c r="CF443" i="14"/>
  <c r="CK443" i="14" s="1"/>
  <c r="BA199" i="3" s="1"/>
  <c r="CE443" i="14"/>
  <c r="CJ443" i="14" s="1"/>
  <c r="AZ199" i="3" s="1"/>
  <c r="CH443" i="14"/>
  <c r="CM443" i="14" s="1"/>
  <c r="BB199" i="3" s="1"/>
  <c r="AC445" i="14"/>
  <c r="AZ445" i="14"/>
  <c r="BA445" i="14"/>
  <c r="BK445" i="14" s="1"/>
  <c r="AQ445" i="14"/>
  <c r="AR445" i="14" s="1"/>
  <c r="AS445" i="14" s="1"/>
  <c r="AT445" i="14" s="1"/>
  <c r="AU445" i="14" s="1"/>
  <c r="AK445" i="14"/>
  <c r="AL445" i="14" s="1"/>
  <c r="AM445" i="14" s="1"/>
  <c r="AN445" i="14" s="1"/>
  <c r="AO445" i="14" s="1"/>
  <c r="AP445" i="14" s="1"/>
  <c r="AF445" i="14"/>
  <c r="AG445" i="14" s="1"/>
  <c r="AH445" i="14" s="1"/>
  <c r="AI445" i="14" s="1"/>
  <c r="AJ445" i="14" s="1"/>
  <c r="BQ445" i="14"/>
  <c r="BR445" i="14" s="1"/>
  <c r="BN445" i="14"/>
  <c r="BO445" i="14" s="1"/>
  <c r="CD444" i="14"/>
  <c r="BE444" i="14"/>
  <c r="BG444" i="14" s="1"/>
  <c r="AW444" i="14"/>
  <c r="AY444" i="14" s="1"/>
  <c r="BM195" i="14"/>
  <c r="AB195" i="14"/>
  <c r="AD195" i="14"/>
  <c r="BB195" i="14"/>
  <c r="AA195" i="14"/>
  <c r="AX195" i="14" s="1"/>
  <c r="BI195" i="14"/>
  <c r="BJ195" i="14" s="1"/>
  <c r="BC195" i="14"/>
  <c r="BD195" i="14" s="1"/>
  <c r="CA444" i="14"/>
  <c r="CB444" i="14" s="1"/>
  <c r="BT444" i="14"/>
  <c r="BW444" i="14" s="1"/>
  <c r="BV444" i="14"/>
  <c r="BX444" i="14" s="1"/>
  <c r="AD446" i="14"/>
  <c r="BC446" i="14"/>
  <c r="BD446" i="14" s="1"/>
  <c r="BM446" i="14"/>
  <c r="AA446" i="14"/>
  <c r="BI446" i="14"/>
  <c r="BJ446" i="14" s="1"/>
  <c r="AB446" i="14"/>
  <c r="BB446" i="14"/>
  <c r="AX446" i="14"/>
  <c r="CD193" i="14"/>
  <c r="BE193" i="14"/>
  <c r="BG193" i="14" s="1"/>
  <c r="AV194" i="14"/>
  <c r="AF194" i="14"/>
  <c r="AG194" i="14" s="1"/>
  <c r="AH194" i="14" s="1"/>
  <c r="AI194" i="14" s="1"/>
  <c r="AJ194" i="14" s="1"/>
  <c r="AQ194" i="14"/>
  <c r="AR194" i="14" s="1"/>
  <c r="AS194" i="14" s="1"/>
  <c r="AT194" i="14" s="1"/>
  <c r="AU194" i="14" s="1"/>
  <c r="AC194" i="14"/>
  <c r="BA194" i="14"/>
  <c r="BK194" i="14" s="1"/>
  <c r="AK194" i="14"/>
  <c r="AL194" i="14" s="1"/>
  <c r="AM194" i="14" s="1"/>
  <c r="AN194" i="14" s="1"/>
  <c r="AO194" i="14" s="1"/>
  <c r="AP194" i="14" s="1"/>
  <c r="AZ194" i="14"/>
  <c r="AW193" i="14"/>
  <c r="CE192" i="14"/>
  <c r="BS444" i="14"/>
  <c r="BU444" i="14"/>
  <c r="BZ444" i="14"/>
  <c r="C200" i="26"/>
  <c r="C200" i="25"/>
  <c r="BG202" i="3"/>
  <c r="D199" i="26"/>
  <c r="D199" i="25"/>
  <c r="BI202" i="3"/>
  <c r="BE202" i="3"/>
  <c r="CK202" i="3"/>
  <c r="CF203" i="3"/>
  <c r="BJ201" i="3"/>
  <c r="BP201" i="3" s="1"/>
  <c r="BC202" i="3"/>
  <c r="BN202" i="3" s="1"/>
  <c r="CJ202" i="3"/>
  <c r="AV202" i="3" s="1"/>
  <c r="BY203" i="3"/>
  <c r="BR200" i="3"/>
  <c r="BM201" i="3"/>
  <c r="BO201" i="3" s="1"/>
  <c r="AU201" i="3" s="1"/>
  <c r="BF201" i="3"/>
  <c r="BQ201" i="3" s="1"/>
  <c r="D203" i="3"/>
  <c r="BH203" i="3" s="1"/>
  <c r="C204" i="3"/>
  <c r="BK203" i="3"/>
  <c r="AY203" i="3"/>
  <c r="BD203" i="3" s="1"/>
  <c r="BL203" i="3"/>
  <c r="BW203" i="3"/>
  <c r="CI203" i="3" s="1"/>
  <c r="AJ203" i="3"/>
  <c r="R200" i="26" s="1"/>
  <c r="AI203" i="3"/>
  <c r="Q200" i="26" s="1"/>
  <c r="AH203" i="3"/>
  <c r="P200" i="26" s="1"/>
  <c r="AG203" i="3"/>
  <c r="O200" i="26" s="1"/>
  <c r="CF192" i="14" l="1"/>
  <c r="BU204" i="3"/>
  <c r="BV204" i="3"/>
  <c r="CF191" i="14"/>
  <c r="CK191" i="14" s="1"/>
  <c r="CD198" i="3" s="1"/>
  <c r="CE191" i="14"/>
  <c r="AV195" i="14"/>
  <c r="BV191" i="14"/>
  <c r="BX191" i="14" s="1"/>
  <c r="BS191" i="14"/>
  <c r="CA191" i="14"/>
  <c r="CB191" i="14" s="1"/>
  <c r="CM191" i="14" s="1"/>
  <c r="CG198" i="3" s="1"/>
  <c r="BT191" i="14"/>
  <c r="BW191" i="14" s="1"/>
  <c r="BZ191" i="14"/>
  <c r="BU191" i="14"/>
  <c r="AY193" i="14"/>
  <c r="CE193" i="14" s="1"/>
  <c r="BQ193" i="14"/>
  <c r="BR193" i="14" s="1"/>
  <c r="BZ192" i="14"/>
  <c r="BU192" i="14"/>
  <c r="CA192" i="14"/>
  <c r="CB192" i="14" s="1"/>
  <c r="CM192" i="14" s="1"/>
  <c r="CG199" i="3" s="1"/>
  <c r="BS192" i="14"/>
  <c r="BV192" i="14"/>
  <c r="BX192" i="14" s="1"/>
  <c r="BT192" i="14"/>
  <c r="BW192" i="14" s="1"/>
  <c r="CJ192" i="14" s="1"/>
  <c r="CC199" i="3" s="1"/>
  <c r="CH444" i="14"/>
  <c r="CM444" i="14" s="1"/>
  <c r="BB200" i="3" s="1"/>
  <c r="Z448" i="14"/>
  <c r="AE448" i="14"/>
  <c r="AE197" i="14"/>
  <c r="Z197" i="14"/>
  <c r="AW194" i="14"/>
  <c r="BV445" i="14"/>
  <c r="BX445" i="14" s="1"/>
  <c r="BT445" i="14"/>
  <c r="BW445" i="14" s="1"/>
  <c r="CA445" i="14"/>
  <c r="CB445" i="14" s="1"/>
  <c r="CD194" i="14"/>
  <c r="BE194" i="14"/>
  <c r="BG194" i="14" s="1"/>
  <c r="AQ446" i="14"/>
  <c r="AR446" i="14" s="1"/>
  <c r="AS446" i="14" s="1"/>
  <c r="AT446" i="14" s="1"/>
  <c r="AU446" i="14" s="1"/>
  <c r="AF446" i="14"/>
  <c r="BA446" i="14"/>
  <c r="BK446" i="14" s="1"/>
  <c r="AC446" i="14"/>
  <c r="AZ446" i="14"/>
  <c r="AK446" i="14"/>
  <c r="AL446" i="14" s="1"/>
  <c r="AM446" i="14" s="1"/>
  <c r="AN446" i="14" s="1"/>
  <c r="AO446" i="14" s="1"/>
  <c r="AP446" i="14" s="1"/>
  <c r="CE444" i="14"/>
  <c r="CJ444" i="14" s="1"/>
  <c r="AZ200" i="3" s="1"/>
  <c r="CF444" i="14"/>
  <c r="CK444" i="14" s="1"/>
  <c r="BA200" i="3" s="1"/>
  <c r="AW445" i="14"/>
  <c r="AY445" i="14" s="1"/>
  <c r="BM447" i="14"/>
  <c r="BI447" i="14"/>
  <c r="BJ447" i="14" s="1"/>
  <c r="AB447" i="14"/>
  <c r="BC447" i="14"/>
  <c r="BD447" i="14" s="1"/>
  <c r="AA447" i="14"/>
  <c r="AD447" i="14"/>
  <c r="BB447" i="14"/>
  <c r="BQ446" i="14"/>
  <c r="BR446" i="14" s="1"/>
  <c r="BN446" i="14"/>
  <c r="BO446" i="14" s="1"/>
  <c r="AC195" i="14"/>
  <c r="AK195" i="14"/>
  <c r="AL195" i="14" s="1"/>
  <c r="AM195" i="14" s="1"/>
  <c r="AN195" i="14" s="1"/>
  <c r="AO195" i="14" s="1"/>
  <c r="AP195" i="14" s="1"/>
  <c r="AF195" i="14"/>
  <c r="AG195" i="14" s="1"/>
  <c r="AH195" i="14" s="1"/>
  <c r="AI195" i="14" s="1"/>
  <c r="AJ195" i="14" s="1"/>
  <c r="AQ195" i="14"/>
  <c r="AR195" i="14" s="1"/>
  <c r="AS195" i="14" s="1"/>
  <c r="AT195" i="14" s="1"/>
  <c r="AU195" i="14" s="1"/>
  <c r="AZ195" i="14"/>
  <c r="BA195" i="14"/>
  <c r="BK195" i="14" s="1"/>
  <c r="BN195" i="14"/>
  <c r="BO195" i="14" s="1"/>
  <c r="BS445" i="14"/>
  <c r="BU445" i="14"/>
  <c r="BZ445" i="14"/>
  <c r="CD445" i="14"/>
  <c r="BE445" i="14"/>
  <c r="BG445" i="14" s="1"/>
  <c r="AD196" i="14"/>
  <c r="AA196" i="14"/>
  <c r="AV196" i="14" s="1"/>
  <c r="BC196" i="14"/>
  <c r="BD196" i="14" s="1"/>
  <c r="BB196" i="14"/>
  <c r="BM196" i="14"/>
  <c r="AB196" i="14"/>
  <c r="BI196" i="14"/>
  <c r="BJ196" i="14" s="1"/>
  <c r="AV446" i="14"/>
  <c r="BI203" i="3"/>
  <c r="BJ203" i="3" s="1"/>
  <c r="BP203" i="3" s="1"/>
  <c r="DD363" i="3"/>
  <c r="C201" i="26"/>
  <c r="C201" i="25"/>
  <c r="BG203" i="3"/>
  <c r="BM203" i="3" s="1"/>
  <c r="D200" i="26"/>
  <c r="D200" i="25"/>
  <c r="BE203" i="3"/>
  <c r="CK203" i="3"/>
  <c r="CF204" i="3"/>
  <c r="AW200" i="3"/>
  <c r="BR201" i="3"/>
  <c r="BJ202" i="3"/>
  <c r="BP202" i="3" s="1"/>
  <c r="BC203" i="3"/>
  <c r="BN203" i="3" s="1"/>
  <c r="CJ203" i="3"/>
  <c r="AV203" i="3" s="1"/>
  <c r="BY204" i="3"/>
  <c r="BM202" i="3"/>
  <c r="BO202" i="3" s="1"/>
  <c r="AU202" i="3" s="1"/>
  <c r="D204" i="3"/>
  <c r="BH204" i="3" s="1"/>
  <c r="BF202" i="3"/>
  <c r="BQ202" i="3" s="1"/>
  <c r="C205" i="3"/>
  <c r="BK204" i="3"/>
  <c r="AY204" i="3"/>
  <c r="BL204" i="3"/>
  <c r="AI204" i="3"/>
  <c r="Q201" i="26" s="1"/>
  <c r="AH204" i="3"/>
  <c r="P201" i="26" s="1"/>
  <c r="BW204" i="3"/>
  <c r="CI204" i="3" s="1"/>
  <c r="AG204" i="3"/>
  <c r="O201" i="26" s="1"/>
  <c r="AJ204" i="3"/>
  <c r="R201" i="26" s="1"/>
  <c r="BD204" i="3" l="1"/>
  <c r="CK192" i="14"/>
  <c r="CD199" i="3" s="1"/>
  <c r="BV205" i="3"/>
  <c r="BU205" i="3"/>
  <c r="CJ191" i="14"/>
  <c r="CC198" i="3" s="1"/>
  <c r="CF193" i="14"/>
  <c r="CH193" i="14"/>
  <c r="AY194" i="14"/>
  <c r="CH194" i="14" s="1"/>
  <c r="BQ194" i="14"/>
  <c r="BR194" i="14" s="1"/>
  <c r="BT193" i="14"/>
  <c r="BW193" i="14" s="1"/>
  <c r="CJ193" i="14" s="1"/>
  <c r="CC200" i="3" s="1"/>
  <c r="BS193" i="14"/>
  <c r="BZ193" i="14"/>
  <c r="CA193" i="14"/>
  <c r="CB193" i="14" s="1"/>
  <c r="BU193" i="14"/>
  <c r="BV193" i="14"/>
  <c r="BX193" i="14" s="1"/>
  <c r="AW201" i="3"/>
  <c r="DD364" i="3"/>
  <c r="BB197" i="14"/>
  <c r="AB197" i="14"/>
  <c r="BM197" i="14"/>
  <c r="AA197" i="14"/>
  <c r="AX197" i="14" s="1"/>
  <c r="BC197" i="14"/>
  <c r="BD197" i="14" s="1"/>
  <c r="AD197" i="14"/>
  <c r="BI197" i="14"/>
  <c r="BJ197" i="14" s="1"/>
  <c r="BE446" i="14"/>
  <c r="BG446" i="14" s="1"/>
  <c r="CD446" i="14"/>
  <c r="Z449" i="14"/>
  <c r="AE449" i="14"/>
  <c r="Z198" i="14"/>
  <c r="AE198" i="14"/>
  <c r="CF445" i="14"/>
  <c r="CK445" i="14" s="1"/>
  <c r="BA201" i="3" s="1"/>
  <c r="CE445" i="14"/>
  <c r="CJ445" i="14" s="1"/>
  <c r="AZ201" i="3" s="1"/>
  <c r="CH445" i="14"/>
  <c r="CM445" i="14" s="1"/>
  <c r="BB201" i="3" s="1"/>
  <c r="BS446" i="14"/>
  <c r="BU446" i="14"/>
  <c r="BZ446" i="14"/>
  <c r="BN196" i="14"/>
  <c r="BO196" i="14" s="1"/>
  <c r="AC447" i="14"/>
  <c r="AZ447" i="14"/>
  <c r="AQ447" i="14"/>
  <c r="AR447" i="14" s="1"/>
  <c r="AS447" i="14" s="1"/>
  <c r="AT447" i="14" s="1"/>
  <c r="AU447" i="14" s="1"/>
  <c r="AK447" i="14"/>
  <c r="AL447" i="14" s="1"/>
  <c r="AM447" i="14" s="1"/>
  <c r="AN447" i="14" s="1"/>
  <c r="AO447" i="14" s="1"/>
  <c r="AP447" i="14" s="1"/>
  <c r="BA447" i="14"/>
  <c r="BK447" i="14" s="1"/>
  <c r="AF447" i="14"/>
  <c r="BQ447" i="14"/>
  <c r="BR447" i="14" s="1"/>
  <c r="BN447" i="14"/>
  <c r="BO447" i="14" s="1"/>
  <c r="AV447" i="14"/>
  <c r="CD195" i="14"/>
  <c r="BE195" i="14"/>
  <c r="BG195" i="14" s="1"/>
  <c r="AX196" i="14"/>
  <c r="AK196" i="14"/>
  <c r="AL196" i="14" s="1"/>
  <c r="AM196" i="14" s="1"/>
  <c r="AN196" i="14" s="1"/>
  <c r="AO196" i="14" s="1"/>
  <c r="AP196" i="14" s="1"/>
  <c r="AZ196" i="14"/>
  <c r="AF196" i="14"/>
  <c r="BA196" i="14"/>
  <c r="BK196" i="14" s="1"/>
  <c r="AQ196" i="14"/>
  <c r="AR196" i="14" s="1"/>
  <c r="AS196" i="14" s="1"/>
  <c r="AT196" i="14" s="1"/>
  <c r="AU196" i="14" s="1"/>
  <c r="AC196" i="14"/>
  <c r="AW195" i="14"/>
  <c r="CA446" i="14"/>
  <c r="CB446" i="14" s="1"/>
  <c r="BT446" i="14"/>
  <c r="BW446" i="14" s="1"/>
  <c r="BV446" i="14"/>
  <c r="BX446" i="14" s="1"/>
  <c r="AX447" i="14"/>
  <c r="AG446" i="14"/>
  <c r="AH446" i="14" s="1"/>
  <c r="AI446" i="14" s="1"/>
  <c r="AJ446" i="14" s="1"/>
  <c r="BM448" i="14"/>
  <c r="BI448" i="14"/>
  <c r="BJ448" i="14" s="1"/>
  <c r="AB448" i="14"/>
  <c r="BC448" i="14"/>
  <c r="BD448" i="14" s="1"/>
  <c r="BB448" i="14"/>
  <c r="AA448" i="14"/>
  <c r="AX448" i="14" s="1"/>
  <c r="AD448" i="14"/>
  <c r="C202" i="26"/>
  <c r="C202" i="25"/>
  <c r="BG204" i="3"/>
  <c r="BM204" i="3" s="1"/>
  <c r="D201" i="26"/>
  <c r="D201" i="25"/>
  <c r="BI204" i="3"/>
  <c r="BE204" i="3"/>
  <c r="CF205" i="3"/>
  <c r="CK204" i="3"/>
  <c r="BR202" i="3"/>
  <c r="BC204" i="3"/>
  <c r="BN204" i="3" s="1"/>
  <c r="CJ204" i="3"/>
  <c r="AV204" i="3" s="1"/>
  <c r="BY205" i="3"/>
  <c r="BF203" i="3"/>
  <c r="BQ203" i="3" s="1"/>
  <c r="BR203" i="3" s="1"/>
  <c r="D205" i="3"/>
  <c r="C206" i="3"/>
  <c r="BL205" i="3"/>
  <c r="BK205" i="3"/>
  <c r="BW205" i="3"/>
  <c r="CJ205" i="3" s="1"/>
  <c r="AV205" i="3" s="1"/>
  <c r="AY205" i="3"/>
  <c r="BD205" i="3" s="1"/>
  <c r="AH205" i="3"/>
  <c r="P202" i="26" s="1"/>
  <c r="AG205" i="3"/>
  <c r="O202" i="26" s="1"/>
  <c r="AJ205" i="3"/>
  <c r="R202" i="26" s="1"/>
  <c r="AI205" i="3"/>
  <c r="Q202" i="26" s="1"/>
  <c r="BO203" i="3"/>
  <c r="AU203" i="3" s="1"/>
  <c r="CF194" i="14" l="1"/>
  <c r="BV206" i="3"/>
  <c r="BU206" i="3"/>
  <c r="CK193" i="14"/>
  <c r="CD200" i="3" s="1"/>
  <c r="CE194" i="14"/>
  <c r="CM193" i="14"/>
  <c r="CG200" i="3" s="1"/>
  <c r="AW202" i="3"/>
  <c r="BZ194" i="14"/>
  <c r="BT194" i="14"/>
  <c r="BW194" i="14" s="1"/>
  <c r="BU194" i="14"/>
  <c r="BS194" i="14"/>
  <c r="BV194" i="14"/>
  <c r="BX194" i="14" s="1"/>
  <c r="CA194" i="14"/>
  <c r="CB194" i="14" s="1"/>
  <c r="CM194" i="14" s="1"/>
  <c r="CG201" i="3" s="1"/>
  <c r="AY195" i="14"/>
  <c r="CE195" i="14" s="1"/>
  <c r="BQ195" i="14"/>
  <c r="BR195" i="14" s="1"/>
  <c r="AV197" i="14"/>
  <c r="AC197" i="14"/>
  <c r="AF197" i="14"/>
  <c r="AG197" i="14" s="1"/>
  <c r="AH197" i="14" s="1"/>
  <c r="AI197" i="14" s="1"/>
  <c r="AJ197" i="14" s="1"/>
  <c r="AK197" i="14"/>
  <c r="AL197" i="14" s="1"/>
  <c r="AM197" i="14" s="1"/>
  <c r="AN197" i="14" s="1"/>
  <c r="AO197" i="14" s="1"/>
  <c r="AP197" i="14" s="1"/>
  <c r="AQ197" i="14"/>
  <c r="AR197" i="14" s="1"/>
  <c r="AS197" i="14" s="1"/>
  <c r="AT197" i="14" s="1"/>
  <c r="AU197" i="14" s="1"/>
  <c r="BA197" i="14"/>
  <c r="BK197" i="14" s="1"/>
  <c r="AZ197" i="14"/>
  <c r="CD196" i="14"/>
  <c r="BE196" i="14"/>
  <c r="BG196" i="14" s="1"/>
  <c r="BS447" i="14"/>
  <c r="BU447" i="14"/>
  <c r="BZ447" i="14"/>
  <c r="CD447" i="14"/>
  <c r="BE447" i="14"/>
  <c r="BG447" i="14" s="1"/>
  <c r="Z450" i="14"/>
  <c r="Z199" i="14"/>
  <c r="AE450" i="14"/>
  <c r="AE199" i="14"/>
  <c r="AV448" i="14"/>
  <c r="AZ448" i="14"/>
  <c r="AQ448" i="14"/>
  <c r="AR448" i="14" s="1"/>
  <c r="AS448" i="14" s="1"/>
  <c r="AT448" i="14" s="1"/>
  <c r="AU448" i="14" s="1"/>
  <c r="AC448" i="14"/>
  <c r="BA448" i="14"/>
  <c r="BK448" i="14" s="1"/>
  <c r="AF448" i="14"/>
  <c r="AK448" i="14"/>
  <c r="AL448" i="14" s="1"/>
  <c r="AM448" i="14" s="1"/>
  <c r="AN448" i="14" s="1"/>
  <c r="AO448" i="14" s="1"/>
  <c r="AP448" i="14" s="1"/>
  <c r="BT447" i="14"/>
  <c r="BW447" i="14" s="1"/>
  <c r="BV447" i="14"/>
  <c r="BX447" i="14" s="1"/>
  <c r="CA447" i="14"/>
  <c r="CB447" i="14" s="1"/>
  <c r="BM449" i="14"/>
  <c r="BC449" i="14"/>
  <c r="BD449" i="14" s="1"/>
  <c r="AA449" i="14"/>
  <c r="AX449" i="14" s="1"/>
  <c r="BI449" i="14"/>
  <c r="BJ449" i="14" s="1"/>
  <c r="AB449" i="14"/>
  <c r="BB449" i="14"/>
  <c r="AD449" i="14"/>
  <c r="BN197" i="14"/>
  <c r="BO197" i="14" s="1"/>
  <c r="BN448" i="14"/>
  <c r="BO448" i="14" s="1"/>
  <c r="BQ448" i="14"/>
  <c r="BR448" i="14" s="1"/>
  <c r="AG196" i="14"/>
  <c r="AH196" i="14" s="1"/>
  <c r="AI196" i="14" s="1"/>
  <c r="AJ196" i="14" s="1"/>
  <c r="AW446" i="14"/>
  <c r="AY446" i="14" s="1"/>
  <c r="CF446" i="14" s="1"/>
  <c r="CK446" i="14" s="1"/>
  <c r="BA202" i="3" s="1"/>
  <c r="AG447" i="14"/>
  <c r="AH447" i="14" s="1"/>
  <c r="AI447" i="14" s="1"/>
  <c r="AJ447" i="14" s="1"/>
  <c r="AD198" i="14"/>
  <c r="AA198" i="14"/>
  <c r="AX198" i="14" s="1"/>
  <c r="BC198" i="14"/>
  <c r="BD198" i="14" s="1"/>
  <c r="AB198" i="14"/>
  <c r="BB198" i="14"/>
  <c r="BI198" i="14"/>
  <c r="BJ198" i="14" s="1"/>
  <c r="BM198" i="14"/>
  <c r="DD365" i="3"/>
  <c r="D202" i="26"/>
  <c r="D202" i="25"/>
  <c r="C203" i="25"/>
  <c r="C203" i="26"/>
  <c r="BI205" i="3"/>
  <c r="BH205" i="3"/>
  <c r="BG205" i="3"/>
  <c r="BM205" i="3" s="1"/>
  <c r="BE205" i="3"/>
  <c r="CK205" i="3"/>
  <c r="CF206" i="3"/>
  <c r="BC205" i="3"/>
  <c r="BN205" i="3" s="1"/>
  <c r="CI205" i="3"/>
  <c r="BY206" i="3"/>
  <c r="BF204" i="3"/>
  <c r="BQ204" i="3" s="1"/>
  <c r="BJ204" i="3"/>
  <c r="BP204" i="3" s="1"/>
  <c r="D206" i="3"/>
  <c r="AW203" i="3"/>
  <c r="BO204" i="3"/>
  <c r="AU204" i="3" s="1"/>
  <c r="C207" i="3"/>
  <c r="BK206" i="3"/>
  <c r="AY206" i="3"/>
  <c r="BW206" i="3"/>
  <c r="CI206" i="3" s="1"/>
  <c r="BL206" i="3"/>
  <c r="AG206" i="3"/>
  <c r="O203" i="26" s="1"/>
  <c r="AJ206" i="3"/>
  <c r="R203" i="26" s="1"/>
  <c r="AI206" i="3"/>
  <c r="Q203" i="26" s="1"/>
  <c r="AH206" i="3"/>
  <c r="P203" i="26" s="1"/>
  <c r="CK194" i="14" l="1"/>
  <c r="CD201" i="3" s="1"/>
  <c r="CF195" i="14"/>
  <c r="CJ194" i="14"/>
  <c r="CC201" i="3" s="1"/>
  <c r="BD206" i="3"/>
  <c r="BV207" i="3"/>
  <c r="BU207" i="3"/>
  <c r="CH195" i="14"/>
  <c r="BT195" i="14"/>
  <c r="BW195" i="14" s="1"/>
  <c r="CJ195" i="14" s="1"/>
  <c r="CC202" i="3" s="1"/>
  <c r="BS195" i="14"/>
  <c r="BV195" i="14"/>
  <c r="BX195" i="14" s="1"/>
  <c r="CK195" i="14" s="1"/>
  <c r="CD202" i="3" s="1"/>
  <c r="BU195" i="14"/>
  <c r="CA195" i="14"/>
  <c r="CB195" i="14" s="1"/>
  <c r="BZ195" i="14"/>
  <c r="BJ205" i="3"/>
  <c r="BP205" i="3" s="1"/>
  <c r="CE446" i="14"/>
  <c r="CJ446" i="14" s="1"/>
  <c r="AZ202" i="3" s="1"/>
  <c r="BS448" i="14"/>
  <c r="BZ448" i="14"/>
  <c r="BU448" i="14"/>
  <c r="AE451" i="14"/>
  <c r="Z451" i="14"/>
  <c r="AE200" i="14"/>
  <c r="Z200" i="14"/>
  <c r="AQ198" i="14"/>
  <c r="AR198" i="14" s="1"/>
  <c r="AS198" i="14" s="1"/>
  <c r="AT198" i="14" s="1"/>
  <c r="AU198" i="14" s="1"/>
  <c r="AZ198" i="14"/>
  <c r="AC198" i="14"/>
  <c r="AK198" i="14"/>
  <c r="AL198" i="14" s="1"/>
  <c r="AM198" i="14" s="1"/>
  <c r="AN198" i="14" s="1"/>
  <c r="AO198" i="14" s="1"/>
  <c r="AP198" i="14" s="1"/>
  <c r="AF198" i="14"/>
  <c r="BA198" i="14"/>
  <c r="BK198" i="14" s="1"/>
  <c r="BV448" i="14"/>
  <c r="BX448" i="14" s="1"/>
  <c r="CA448" i="14"/>
  <c r="CB448" i="14" s="1"/>
  <c r="BT448" i="14"/>
  <c r="BW448" i="14" s="1"/>
  <c r="CH446" i="14"/>
  <c r="CM446" i="14" s="1"/>
  <c r="BB202" i="3" s="1"/>
  <c r="AB450" i="14"/>
  <c r="BI450" i="14"/>
  <c r="BJ450" i="14" s="1"/>
  <c r="AA450" i="14"/>
  <c r="AX450" i="14" s="1"/>
  <c r="BC450" i="14"/>
  <c r="BD450" i="14" s="1"/>
  <c r="BM450" i="14"/>
  <c r="BB450" i="14"/>
  <c r="AD450" i="14"/>
  <c r="BA449" i="14"/>
  <c r="BK449" i="14" s="1"/>
  <c r="AQ449" i="14"/>
  <c r="AR449" i="14" s="1"/>
  <c r="AS449" i="14" s="1"/>
  <c r="AT449" i="14" s="1"/>
  <c r="AU449" i="14" s="1"/>
  <c r="AZ449" i="14"/>
  <c r="AK449" i="14"/>
  <c r="AL449" i="14" s="1"/>
  <c r="AM449" i="14" s="1"/>
  <c r="AN449" i="14" s="1"/>
  <c r="AO449" i="14" s="1"/>
  <c r="AP449" i="14" s="1"/>
  <c r="AF449" i="14"/>
  <c r="AG449" i="14" s="1"/>
  <c r="AH449" i="14" s="1"/>
  <c r="AI449" i="14" s="1"/>
  <c r="AJ449" i="14" s="1"/>
  <c r="AC449" i="14"/>
  <c r="AV449" i="14"/>
  <c r="AW447" i="14"/>
  <c r="AY447" i="14" s="1"/>
  <c r="CH447" i="14" s="1"/>
  <c r="CM447" i="14" s="1"/>
  <c r="BB203" i="3" s="1"/>
  <c r="CD197" i="14"/>
  <c r="BE197" i="14"/>
  <c r="BG197" i="14" s="1"/>
  <c r="BN198" i="14"/>
  <c r="BO198" i="14" s="1"/>
  <c r="BN449" i="14"/>
  <c r="BO449" i="14" s="1"/>
  <c r="BQ449" i="14"/>
  <c r="BR449" i="14" s="1"/>
  <c r="AV198" i="14"/>
  <c r="AG448" i="14"/>
  <c r="AH448" i="14" s="1"/>
  <c r="AI448" i="14" s="1"/>
  <c r="AJ448" i="14" s="1"/>
  <c r="CD448" i="14"/>
  <c r="BE448" i="14"/>
  <c r="BG448" i="14" s="1"/>
  <c r="BB199" i="14"/>
  <c r="BM199" i="14"/>
  <c r="AB199" i="14"/>
  <c r="AD199" i="14"/>
  <c r="AA199" i="14"/>
  <c r="AX199" i="14" s="1"/>
  <c r="BC199" i="14"/>
  <c r="BD199" i="14" s="1"/>
  <c r="BI199" i="14"/>
  <c r="BJ199" i="14" s="1"/>
  <c r="AW197" i="14"/>
  <c r="AW196" i="14"/>
  <c r="BH206" i="3"/>
  <c r="D203" i="26"/>
  <c r="D203" i="25"/>
  <c r="C204" i="26"/>
  <c r="C204" i="25"/>
  <c r="BI206" i="3"/>
  <c r="BG206" i="3"/>
  <c r="BM206" i="3" s="1"/>
  <c r="BE206" i="3"/>
  <c r="CF207" i="3"/>
  <c r="CK206" i="3"/>
  <c r="BC206" i="3"/>
  <c r="BN206" i="3" s="1"/>
  <c r="BR204" i="3"/>
  <c r="CJ206" i="3"/>
  <c r="AV206" i="3" s="1"/>
  <c r="BY207" i="3"/>
  <c r="BF205" i="3"/>
  <c r="BQ205" i="3" s="1"/>
  <c r="D207" i="3"/>
  <c r="DD366" i="3"/>
  <c r="C208" i="3"/>
  <c r="BK207" i="3"/>
  <c r="BL207" i="3"/>
  <c r="AY207" i="3"/>
  <c r="BD207" i="3" s="1"/>
  <c r="BW207" i="3"/>
  <c r="CK207" i="3" s="1"/>
  <c r="AJ207" i="3"/>
  <c r="R204" i="26" s="1"/>
  <c r="AI207" i="3"/>
  <c r="Q204" i="26" s="1"/>
  <c r="AH207" i="3"/>
  <c r="P204" i="26" s="1"/>
  <c r="AG207" i="3"/>
  <c r="O204" i="26" s="1"/>
  <c r="BO205" i="3"/>
  <c r="AU205" i="3" s="1"/>
  <c r="BV208" i="3" l="1"/>
  <c r="BU208" i="3"/>
  <c r="CM195" i="14"/>
  <c r="CG202" i="3" s="1"/>
  <c r="AY197" i="14"/>
  <c r="CH197" i="14" s="1"/>
  <c r="BQ197" i="14"/>
  <c r="BR197" i="14" s="1"/>
  <c r="AY196" i="14"/>
  <c r="CH196" i="14" s="1"/>
  <c r="BQ196" i="14"/>
  <c r="BR196" i="14" s="1"/>
  <c r="AV450" i="14"/>
  <c r="BR205" i="3"/>
  <c r="AW448" i="14"/>
  <c r="AY448" i="14" s="1"/>
  <c r="CE448" i="14" s="1"/>
  <c r="CJ448" i="14" s="1"/>
  <c r="AZ204" i="3" s="1"/>
  <c r="CF447" i="14"/>
  <c r="CK447" i="14" s="1"/>
  <c r="BA203" i="3" s="1"/>
  <c r="CE447" i="14"/>
  <c r="CJ447" i="14" s="1"/>
  <c r="AZ203" i="3" s="1"/>
  <c r="BM200" i="14"/>
  <c r="AA200" i="14"/>
  <c r="AV200" i="14" s="1"/>
  <c r="BC200" i="14"/>
  <c r="BD200" i="14" s="1"/>
  <c r="AB200" i="14"/>
  <c r="BI200" i="14"/>
  <c r="BJ200" i="14" s="1"/>
  <c r="AD200" i="14"/>
  <c r="BB200" i="14"/>
  <c r="AC199" i="14"/>
  <c r="AZ199" i="14"/>
  <c r="AQ199" i="14"/>
  <c r="AR199" i="14" s="1"/>
  <c r="AS199" i="14" s="1"/>
  <c r="AT199" i="14" s="1"/>
  <c r="AU199" i="14" s="1"/>
  <c r="AF199" i="14"/>
  <c r="AG199" i="14" s="1"/>
  <c r="AH199" i="14" s="1"/>
  <c r="AI199" i="14" s="1"/>
  <c r="AJ199" i="14" s="1"/>
  <c r="BA199" i="14"/>
  <c r="BK199" i="14" s="1"/>
  <c r="AK199" i="14"/>
  <c r="AL199" i="14" s="1"/>
  <c r="AM199" i="14" s="1"/>
  <c r="AN199" i="14" s="1"/>
  <c r="AO199" i="14" s="1"/>
  <c r="AP199" i="14" s="1"/>
  <c r="BU449" i="14"/>
  <c r="BS449" i="14"/>
  <c r="BZ449" i="14"/>
  <c r="BE449" i="14"/>
  <c r="BG449" i="14" s="1"/>
  <c r="CD449" i="14"/>
  <c r="BE198" i="14"/>
  <c r="BG198" i="14" s="1"/>
  <c r="CD198" i="14"/>
  <c r="AE452" i="14"/>
  <c r="Z201" i="14"/>
  <c r="Z452" i="14"/>
  <c r="AE201" i="14"/>
  <c r="BT449" i="14"/>
  <c r="BW449" i="14" s="1"/>
  <c r="CA449" i="14"/>
  <c r="CB449" i="14" s="1"/>
  <c r="BV449" i="14"/>
  <c r="BX449" i="14" s="1"/>
  <c r="BQ450" i="14"/>
  <c r="BR450" i="14" s="1"/>
  <c r="BN450" i="14"/>
  <c r="BO450" i="14" s="1"/>
  <c r="AW449" i="14"/>
  <c r="AY449" i="14" s="1"/>
  <c r="BN199" i="14"/>
  <c r="BO199" i="14" s="1"/>
  <c r="AV199" i="14"/>
  <c r="AF450" i="14"/>
  <c r="AG450" i="14" s="1"/>
  <c r="AH450" i="14" s="1"/>
  <c r="AI450" i="14" s="1"/>
  <c r="AJ450" i="14" s="1"/>
  <c r="AZ450" i="14"/>
  <c r="AC450" i="14"/>
  <c r="BA450" i="14"/>
  <c r="BK450" i="14" s="1"/>
  <c r="AQ450" i="14"/>
  <c r="AR450" i="14" s="1"/>
  <c r="AS450" i="14" s="1"/>
  <c r="AT450" i="14" s="1"/>
  <c r="AU450" i="14" s="1"/>
  <c r="AK450" i="14"/>
  <c r="AL450" i="14" s="1"/>
  <c r="AM450" i="14" s="1"/>
  <c r="AN450" i="14" s="1"/>
  <c r="AO450" i="14" s="1"/>
  <c r="AP450" i="14" s="1"/>
  <c r="AG198" i="14"/>
  <c r="AH198" i="14" s="1"/>
  <c r="AI198" i="14" s="1"/>
  <c r="AJ198" i="14" s="1"/>
  <c r="BM451" i="14"/>
  <c r="BI451" i="14"/>
  <c r="BJ451" i="14" s="1"/>
  <c r="AB451" i="14"/>
  <c r="BC451" i="14"/>
  <c r="BD451" i="14" s="1"/>
  <c r="AA451" i="14"/>
  <c r="AV451" i="14" s="1"/>
  <c r="BB451" i="14"/>
  <c r="AD451" i="14"/>
  <c r="C205" i="25"/>
  <c r="C205" i="26"/>
  <c r="BH207" i="3"/>
  <c r="D204" i="26"/>
  <c r="D204" i="25"/>
  <c r="BG207" i="3"/>
  <c r="BM207" i="3" s="1"/>
  <c r="BI207" i="3"/>
  <c r="BE207" i="3"/>
  <c r="CF208" i="3"/>
  <c r="AW204" i="3"/>
  <c r="BJ206" i="3"/>
  <c r="BP206" i="3" s="1"/>
  <c r="BC207" i="3"/>
  <c r="BN207" i="3" s="1"/>
  <c r="CJ207" i="3"/>
  <c r="AV207" i="3" s="1"/>
  <c r="BY208" i="3"/>
  <c r="CI207" i="3"/>
  <c r="DD367" i="3"/>
  <c r="D208" i="3"/>
  <c r="BG208" i="3" s="1"/>
  <c r="BF206" i="3"/>
  <c r="BQ206" i="3" s="1"/>
  <c r="C209" i="3"/>
  <c r="BK208" i="3"/>
  <c r="AY208" i="3"/>
  <c r="BD208" i="3" s="1"/>
  <c r="BL208" i="3"/>
  <c r="AI208" i="3"/>
  <c r="Q205" i="26" s="1"/>
  <c r="BW208" i="3"/>
  <c r="CK208" i="3" s="1"/>
  <c r="AH208" i="3"/>
  <c r="P205" i="26" s="1"/>
  <c r="AG208" i="3"/>
  <c r="O205" i="26" s="1"/>
  <c r="AJ208" i="3"/>
  <c r="R205" i="26" s="1"/>
  <c r="BO206" i="3"/>
  <c r="AU206" i="3" s="1"/>
  <c r="AX200" i="14" l="1"/>
  <c r="CE197" i="14"/>
  <c r="CF197" i="14"/>
  <c r="BV209" i="3"/>
  <c r="BU209" i="3"/>
  <c r="CE196" i="14"/>
  <c r="CF196" i="14"/>
  <c r="AW205" i="3"/>
  <c r="BT197" i="14"/>
  <c r="BW197" i="14" s="1"/>
  <c r="BS197" i="14"/>
  <c r="CA197" i="14"/>
  <c r="CB197" i="14" s="1"/>
  <c r="CM197" i="14" s="1"/>
  <c r="CG204" i="3" s="1"/>
  <c r="BZ197" i="14"/>
  <c r="BU197" i="14"/>
  <c r="BV197" i="14"/>
  <c r="BX197" i="14" s="1"/>
  <c r="CF448" i="14"/>
  <c r="CK448" i="14" s="1"/>
  <c r="BA204" i="3" s="1"/>
  <c r="BS196" i="14"/>
  <c r="BV196" i="14"/>
  <c r="BX196" i="14" s="1"/>
  <c r="BT196" i="14"/>
  <c r="BW196" i="14" s="1"/>
  <c r="CJ196" i="14" s="1"/>
  <c r="CC203" i="3" s="1"/>
  <c r="BZ196" i="14"/>
  <c r="BU196" i="14"/>
  <c r="CA196" i="14"/>
  <c r="CB196" i="14" s="1"/>
  <c r="CM196" i="14" s="1"/>
  <c r="CG203" i="3" s="1"/>
  <c r="CH448" i="14"/>
  <c r="CM448" i="14" s="1"/>
  <c r="BB204" i="3" s="1"/>
  <c r="BH208" i="3"/>
  <c r="AW198" i="14"/>
  <c r="CF449" i="14"/>
  <c r="CK449" i="14" s="1"/>
  <c r="BA205" i="3" s="1"/>
  <c r="CE449" i="14"/>
  <c r="CJ449" i="14" s="1"/>
  <c r="AZ205" i="3" s="1"/>
  <c r="CH449" i="14"/>
  <c r="CM449" i="14" s="1"/>
  <c r="BB205" i="3" s="1"/>
  <c r="AK200" i="14"/>
  <c r="AL200" i="14" s="1"/>
  <c r="AM200" i="14" s="1"/>
  <c r="AN200" i="14" s="1"/>
  <c r="AO200" i="14" s="1"/>
  <c r="AP200" i="14" s="1"/>
  <c r="BA200" i="14"/>
  <c r="BK200" i="14" s="1"/>
  <c r="AF200" i="14"/>
  <c r="AG200" i="14" s="1"/>
  <c r="AH200" i="14" s="1"/>
  <c r="AI200" i="14" s="1"/>
  <c r="AJ200" i="14" s="1"/>
  <c r="AQ200" i="14"/>
  <c r="AR200" i="14" s="1"/>
  <c r="AS200" i="14" s="1"/>
  <c r="AT200" i="14" s="1"/>
  <c r="AU200" i="14" s="1"/>
  <c r="AZ200" i="14"/>
  <c r="AC200" i="14"/>
  <c r="AX451" i="14"/>
  <c r="BT450" i="14"/>
  <c r="BW450" i="14" s="1"/>
  <c r="BV450" i="14"/>
  <c r="BX450" i="14" s="1"/>
  <c r="CA450" i="14"/>
  <c r="CB450" i="14" s="1"/>
  <c r="AB452" i="14"/>
  <c r="BC452" i="14"/>
  <c r="BD452" i="14" s="1"/>
  <c r="BI452" i="14"/>
  <c r="BJ452" i="14" s="1"/>
  <c r="AA452" i="14"/>
  <c r="AV452" i="14" s="1"/>
  <c r="BM452" i="14"/>
  <c r="BB452" i="14"/>
  <c r="AD452" i="14"/>
  <c r="BN200" i="14"/>
  <c r="BO200" i="14" s="1"/>
  <c r="AC451" i="14"/>
  <c r="AZ451" i="14"/>
  <c r="BA451" i="14"/>
  <c r="BK451" i="14" s="1"/>
  <c r="AQ451" i="14"/>
  <c r="AR451" i="14" s="1"/>
  <c r="AS451" i="14" s="1"/>
  <c r="AT451" i="14" s="1"/>
  <c r="AU451" i="14" s="1"/>
  <c r="AF451" i="14"/>
  <c r="AG451" i="14" s="1"/>
  <c r="AH451" i="14" s="1"/>
  <c r="AI451" i="14" s="1"/>
  <c r="AJ451" i="14" s="1"/>
  <c r="AK451" i="14"/>
  <c r="AL451" i="14" s="1"/>
  <c r="AM451" i="14" s="1"/>
  <c r="AN451" i="14" s="1"/>
  <c r="AO451" i="14" s="1"/>
  <c r="AP451" i="14" s="1"/>
  <c r="BQ451" i="14"/>
  <c r="BR451" i="14" s="1"/>
  <c r="BN451" i="14"/>
  <c r="BO451" i="14" s="1"/>
  <c r="AW450" i="14"/>
  <c r="AY450" i="14" s="1"/>
  <c r="BU450" i="14"/>
  <c r="BS450" i="14"/>
  <c r="BZ450" i="14"/>
  <c r="AW199" i="14"/>
  <c r="BE199" i="14"/>
  <c r="BG199" i="14" s="1"/>
  <c r="CD199" i="14"/>
  <c r="Z453" i="14"/>
  <c r="AE453" i="14"/>
  <c r="AE202" i="14"/>
  <c r="Z202" i="14"/>
  <c r="BE450" i="14"/>
  <c r="BG450" i="14" s="1"/>
  <c r="CD450" i="14"/>
  <c r="AB201" i="14"/>
  <c r="BB201" i="14"/>
  <c r="AA201" i="14"/>
  <c r="AV201" i="14" s="1"/>
  <c r="BM201" i="14"/>
  <c r="BI201" i="14"/>
  <c r="BJ201" i="14" s="1"/>
  <c r="AD201" i="14"/>
  <c r="BC201" i="14"/>
  <c r="BD201" i="14" s="1"/>
  <c r="BJ207" i="3"/>
  <c r="BP207" i="3" s="1"/>
  <c r="C206" i="26"/>
  <c r="C206" i="25"/>
  <c r="D205" i="26"/>
  <c r="D205" i="25"/>
  <c r="BI208" i="3"/>
  <c r="BE208" i="3"/>
  <c r="CJ208" i="3"/>
  <c r="AV208" i="3" s="1"/>
  <c r="CF209" i="3"/>
  <c r="BR206" i="3"/>
  <c r="BM208" i="3"/>
  <c r="BC208" i="3"/>
  <c r="BN208" i="3" s="1"/>
  <c r="CI208" i="3"/>
  <c r="BY209" i="3"/>
  <c r="DD368" i="3"/>
  <c r="BF207" i="3"/>
  <c r="BQ207" i="3" s="1"/>
  <c r="D209" i="3"/>
  <c r="DD369" i="3" s="1"/>
  <c r="BO207" i="3"/>
  <c r="AU207" i="3" s="1"/>
  <c r="C210" i="3"/>
  <c r="BK209" i="3"/>
  <c r="AY209" i="3"/>
  <c r="BD209" i="3" s="1"/>
  <c r="BW209" i="3"/>
  <c r="CK209" i="3" s="1"/>
  <c r="BL209" i="3"/>
  <c r="AH209" i="3"/>
  <c r="P206" i="26" s="1"/>
  <c r="AG209" i="3"/>
  <c r="O206" i="26" s="1"/>
  <c r="AJ209" i="3"/>
  <c r="R206" i="26" s="1"/>
  <c r="AI209" i="3"/>
  <c r="Q206" i="26" s="1"/>
  <c r="CK197" i="14" l="1"/>
  <c r="CD204" i="3" s="1"/>
  <c r="CJ197" i="14"/>
  <c r="CC204" i="3" s="1"/>
  <c r="CK196" i="14"/>
  <c r="CD203" i="3" s="1"/>
  <c r="BV210" i="3"/>
  <c r="BU210" i="3"/>
  <c r="AY199" i="14"/>
  <c r="CE199" i="14" s="1"/>
  <c r="BQ199" i="14"/>
  <c r="BR199" i="14" s="1"/>
  <c r="AW206" i="3"/>
  <c r="AY198" i="14"/>
  <c r="CF198" i="14" s="1"/>
  <c r="BQ198" i="14"/>
  <c r="BR198" i="14" s="1"/>
  <c r="AX452" i="14"/>
  <c r="AX201" i="14"/>
  <c r="CF450" i="14"/>
  <c r="CK450" i="14" s="1"/>
  <c r="BA206" i="3" s="1"/>
  <c r="CH450" i="14"/>
  <c r="CM450" i="14" s="1"/>
  <c r="BB206" i="3" s="1"/>
  <c r="CE450" i="14"/>
  <c r="CJ450" i="14" s="1"/>
  <c r="AZ206" i="3" s="1"/>
  <c r="Z454" i="14"/>
  <c r="AE454" i="14"/>
  <c r="AE203" i="14"/>
  <c r="Z203" i="14"/>
  <c r="BN201" i="14"/>
  <c r="BO201" i="14" s="1"/>
  <c r="BM453" i="14"/>
  <c r="AA453" i="14"/>
  <c r="AX453" i="14" s="1"/>
  <c r="BC453" i="14"/>
  <c r="BD453" i="14" s="1"/>
  <c r="AB453" i="14"/>
  <c r="BI453" i="14"/>
  <c r="BJ453" i="14" s="1"/>
  <c r="AD453" i="14"/>
  <c r="BB453" i="14"/>
  <c r="BS451" i="14"/>
  <c r="BU451" i="14"/>
  <c r="BZ451" i="14"/>
  <c r="BN452" i="14"/>
  <c r="BO452" i="14" s="1"/>
  <c r="BQ452" i="14"/>
  <c r="BR452" i="14" s="1"/>
  <c r="BE200" i="14"/>
  <c r="BG200" i="14" s="1"/>
  <c r="CD200" i="14"/>
  <c r="AQ201" i="14"/>
  <c r="AR201" i="14" s="1"/>
  <c r="AS201" i="14" s="1"/>
  <c r="AT201" i="14" s="1"/>
  <c r="AU201" i="14" s="1"/>
  <c r="AZ201" i="14"/>
  <c r="AK201" i="14"/>
  <c r="AL201" i="14" s="1"/>
  <c r="AM201" i="14" s="1"/>
  <c r="AN201" i="14" s="1"/>
  <c r="AO201" i="14" s="1"/>
  <c r="AP201" i="14" s="1"/>
  <c r="BA201" i="14"/>
  <c r="BK201" i="14" s="1"/>
  <c r="AF201" i="14"/>
  <c r="AG201" i="14" s="1"/>
  <c r="AH201" i="14" s="1"/>
  <c r="AI201" i="14" s="1"/>
  <c r="AJ201" i="14" s="1"/>
  <c r="AC201" i="14"/>
  <c r="BM202" i="14"/>
  <c r="BC202" i="14"/>
  <c r="BD202" i="14" s="1"/>
  <c r="AB202" i="14"/>
  <c r="AA202" i="14"/>
  <c r="AX202" i="14" s="1"/>
  <c r="BI202" i="14"/>
  <c r="BJ202" i="14" s="1"/>
  <c r="BB202" i="14"/>
  <c r="AD202" i="14"/>
  <c r="BT451" i="14"/>
  <c r="BW451" i="14" s="1"/>
  <c r="CA451" i="14"/>
  <c r="CB451" i="14" s="1"/>
  <c r="BV451" i="14"/>
  <c r="BX451" i="14" s="1"/>
  <c r="AW451" i="14"/>
  <c r="AY451" i="14" s="1"/>
  <c r="CD451" i="14"/>
  <c r="BE451" i="14"/>
  <c r="BG451" i="14" s="1"/>
  <c r="AC452" i="14"/>
  <c r="AK452" i="14"/>
  <c r="AL452" i="14" s="1"/>
  <c r="AM452" i="14" s="1"/>
  <c r="AN452" i="14" s="1"/>
  <c r="AO452" i="14" s="1"/>
  <c r="AP452" i="14" s="1"/>
  <c r="BA452" i="14"/>
  <c r="BK452" i="14" s="1"/>
  <c r="AQ452" i="14"/>
  <c r="AR452" i="14" s="1"/>
  <c r="AS452" i="14" s="1"/>
  <c r="AT452" i="14" s="1"/>
  <c r="AU452" i="14" s="1"/>
  <c r="AZ452" i="14"/>
  <c r="AF452" i="14"/>
  <c r="AG452" i="14" s="1"/>
  <c r="AH452" i="14" s="1"/>
  <c r="AI452" i="14" s="1"/>
  <c r="AJ452" i="14" s="1"/>
  <c r="AW200" i="14"/>
  <c r="BR207" i="3"/>
  <c r="C207" i="25"/>
  <c r="C207" i="26"/>
  <c r="BH209" i="3"/>
  <c r="D206" i="26"/>
  <c r="D206" i="25"/>
  <c r="BG209" i="3"/>
  <c r="BM209" i="3" s="1"/>
  <c r="BI209" i="3"/>
  <c r="BE209" i="3"/>
  <c r="CF210" i="3"/>
  <c r="BF208" i="3"/>
  <c r="BQ208" i="3" s="1"/>
  <c r="BC209" i="3"/>
  <c r="BN209" i="3" s="1"/>
  <c r="BY210" i="3"/>
  <c r="BJ208" i="3"/>
  <c r="BP208" i="3" s="1"/>
  <c r="CI209" i="3"/>
  <c r="CJ209" i="3"/>
  <c r="AV209" i="3" s="1"/>
  <c r="D210" i="3"/>
  <c r="BI210" i="3" s="1"/>
  <c r="BO208" i="3"/>
  <c r="AU208" i="3" s="1"/>
  <c r="C211" i="3"/>
  <c r="BK210" i="3"/>
  <c r="AY210" i="3"/>
  <c r="BD210" i="3" s="1"/>
  <c r="BW210" i="3"/>
  <c r="CK210" i="3" s="1"/>
  <c r="BL210" i="3"/>
  <c r="AG210" i="3"/>
  <c r="O207" i="26" s="1"/>
  <c r="AJ210" i="3"/>
  <c r="R207" i="26" s="1"/>
  <c r="AI210" i="3"/>
  <c r="Q207" i="26" s="1"/>
  <c r="AH210" i="3"/>
  <c r="P207" i="26" s="1"/>
  <c r="CF199" i="14" l="1"/>
  <c r="CH199" i="14"/>
  <c r="BV211" i="3"/>
  <c r="BU211" i="3"/>
  <c r="CH198" i="14"/>
  <c r="CE198" i="14"/>
  <c r="BS198" i="14"/>
  <c r="BU198" i="14"/>
  <c r="BT198" i="14"/>
  <c r="BW198" i="14" s="1"/>
  <c r="BV198" i="14"/>
  <c r="BX198" i="14" s="1"/>
  <c r="CK198" i="14" s="1"/>
  <c r="CD205" i="3" s="1"/>
  <c r="BZ198" i="14"/>
  <c r="CA198" i="14"/>
  <c r="CB198" i="14" s="1"/>
  <c r="AW207" i="3"/>
  <c r="BS199" i="14"/>
  <c r="BV199" i="14"/>
  <c r="BX199" i="14" s="1"/>
  <c r="BZ199" i="14"/>
  <c r="BT199" i="14"/>
  <c r="BW199" i="14" s="1"/>
  <c r="CJ199" i="14" s="1"/>
  <c r="CC206" i="3" s="1"/>
  <c r="CA199" i="14"/>
  <c r="CB199" i="14" s="1"/>
  <c r="CM199" i="14" s="1"/>
  <c r="CG206" i="3" s="1"/>
  <c r="BU199" i="14"/>
  <c r="AY200" i="14"/>
  <c r="CF200" i="14" s="1"/>
  <c r="BQ200" i="14"/>
  <c r="BR200" i="14" s="1"/>
  <c r="Z455" i="14"/>
  <c r="AE455" i="14"/>
  <c r="AE204" i="14"/>
  <c r="Z204" i="14"/>
  <c r="CD452" i="14"/>
  <c r="BE452" i="14"/>
  <c r="BG452" i="14" s="1"/>
  <c r="CH451" i="14"/>
  <c r="CM451" i="14" s="1"/>
  <c r="BB207" i="3" s="1"/>
  <c r="CF451" i="14"/>
  <c r="CK451" i="14" s="1"/>
  <c r="BA207" i="3" s="1"/>
  <c r="CE451" i="14"/>
  <c r="CJ451" i="14" s="1"/>
  <c r="AZ207" i="3" s="1"/>
  <c r="AZ202" i="14"/>
  <c r="AC202" i="14"/>
  <c r="BA202" i="14"/>
  <c r="BK202" i="14" s="1"/>
  <c r="AQ202" i="14"/>
  <c r="AR202" i="14" s="1"/>
  <c r="AS202" i="14" s="1"/>
  <c r="AT202" i="14" s="1"/>
  <c r="AU202" i="14" s="1"/>
  <c r="AF202" i="14"/>
  <c r="AG202" i="14" s="1"/>
  <c r="AH202" i="14" s="1"/>
  <c r="AI202" i="14" s="1"/>
  <c r="AJ202" i="14" s="1"/>
  <c r="AK202" i="14"/>
  <c r="AL202" i="14" s="1"/>
  <c r="AM202" i="14" s="1"/>
  <c r="AN202" i="14" s="1"/>
  <c r="AO202" i="14" s="1"/>
  <c r="AP202" i="14" s="1"/>
  <c r="AW201" i="14"/>
  <c r="BE201" i="14"/>
  <c r="BG201" i="14" s="1"/>
  <c r="CD201" i="14"/>
  <c r="CA452" i="14"/>
  <c r="CB452" i="14" s="1"/>
  <c r="BV452" i="14"/>
  <c r="BX452" i="14" s="1"/>
  <c r="BT452" i="14"/>
  <c r="BW452" i="14" s="1"/>
  <c r="BN453" i="14"/>
  <c r="BO453" i="14" s="1"/>
  <c r="BQ453" i="14"/>
  <c r="BR453" i="14" s="1"/>
  <c r="AV202" i="14"/>
  <c r="AB454" i="14"/>
  <c r="BI454" i="14"/>
  <c r="BJ454" i="14" s="1"/>
  <c r="AA454" i="14"/>
  <c r="AV454" i="14" s="1"/>
  <c r="BC454" i="14"/>
  <c r="BD454" i="14" s="1"/>
  <c r="BM454" i="14"/>
  <c r="BB454" i="14"/>
  <c r="AD454" i="14"/>
  <c r="BZ452" i="14"/>
  <c r="BU452" i="14"/>
  <c r="BS452" i="14"/>
  <c r="AW452" i="14"/>
  <c r="AY452" i="14" s="1"/>
  <c r="BN202" i="14"/>
  <c r="BO202" i="14" s="1"/>
  <c r="BA453" i="14"/>
  <c r="BK453" i="14" s="1"/>
  <c r="AC453" i="14"/>
  <c r="AZ453" i="14"/>
  <c r="AK453" i="14"/>
  <c r="AL453" i="14" s="1"/>
  <c r="AM453" i="14" s="1"/>
  <c r="AN453" i="14" s="1"/>
  <c r="AO453" i="14" s="1"/>
  <c r="AP453" i="14" s="1"/>
  <c r="AF453" i="14"/>
  <c r="AG453" i="14" s="1"/>
  <c r="AH453" i="14" s="1"/>
  <c r="AI453" i="14" s="1"/>
  <c r="AJ453" i="14" s="1"/>
  <c r="AQ453" i="14"/>
  <c r="AR453" i="14" s="1"/>
  <c r="AS453" i="14" s="1"/>
  <c r="AT453" i="14" s="1"/>
  <c r="AU453" i="14" s="1"/>
  <c r="AV453" i="14"/>
  <c r="AB203" i="14"/>
  <c r="BM203" i="14"/>
  <c r="AD203" i="14"/>
  <c r="AA203" i="14"/>
  <c r="AV203" i="14" s="1"/>
  <c r="BI203" i="14"/>
  <c r="BJ203" i="14" s="1"/>
  <c r="BB203" i="14"/>
  <c r="BC203" i="14"/>
  <c r="BD203" i="14" s="1"/>
  <c r="BG210" i="3"/>
  <c r="BM210" i="3" s="1"/>
  <c r="C208" i="26"/>
  <c r="C208" i="25"/>
  <c r="BH210" i="3"/>
  <c r="D207" i="26"/>
  <c r="D207" i="25"/>
  <c r="BE210" i="3"/>
  <c r="BR208" i="3"/>
  <c r="CF211" i="3"/>
  <c r="BC210" i="3"/>
  <c r="BN210" i="3" s="1"/>
  <c r="CJ210" i="3"/>
  <c r="AV210" i="3" s="1"/>
  <c r="BY211" i="3"/>
  <c r="CI210" i="3"/>
  <c r="BJ209" i="3"/>
  <c r="BP209" i="3" s="1"/>
  <c r="DD370" i="3"/>
  <c r="BF209" i="3"/>
  <c r="BQ209" i="3" s="1"/>
  <c r="D211" i="3"/>
  <c r="BO209" i="3"/>
  <c r="AU209" i="3" s="1"/>
  <c r="C212" i="3"/>
  <c r="BW211" i="3"/>
  <c r="CI211" i="3" s="1"/>
  <c r="BL211" i="3"/>
  <c r="BK211" i="3"/>
  <c r="AY211" i="3"/>
  <c r="BD211" i="3" s="1"/>
  <c r="AJ211" i="3"/>
  <c r="R208" i="26" s="1"/>
  <c r="AI211" i="3"/>
  <c r="Q208" i="26" s="1"/>
  <c r="AH211" i="3"/>
  <c r="P208" i="26" s="1"/>
  <c r="AG211" i="3"/>
  <c r="O208" i="26" s="1"/>
  <c r="CK199" i="14" l="1"/>
  <c r="CD206" i="3" s="1"/>
  <c r="BU212" i="3"/>
  <c r="BV212" i="3"/>
  <c r="CM198" i="14"/>
  <c r="CG205" i="3" s="1"/>
  <c r="CJ198" i="14"/>
  <c r="CC205" i="3" s="1"/>
  <c r="CH200" i="14"/>
  <c r="CE200" i="14"/>
  <c r="AY201" i="14"/>
  <c r="CF201" i="14" s="1"/>
  <c r="BQ201" i="14"/>
  <c r="BR201" i="14" s="1"/>
  <c r="BU200" i="14"/>
  <c r="BV200" i="14"/>
  <c r="BX200" i="14" s="1"/>
  <c r="CK200" i="14" s="1"/>
  <c r="CD207" i="3" s="1"/>
  <c r="BZ200" i="14"/>
  <c r="BT200" i="14"/>
  <c r="BW200" i="14" s="1"/>
  <c r="BS200" i="14"/>
  <c r="CA200" i="14"/>
  <c r="CB200" i="14" s="1"/>
  <c r="AW208" i="3"/>
  <c r="AX454" i="14"/>
  <c r="AX203" i="14"/>
  <c r="BQ454" i="14"/>
  <c r="BR454" i="14" s="1"/>
  <c r="BN454" i="14"/>
  <c r="BO454" i="14" s="1"/>
  <c r="AW202" i="14"/>
  <c r="BE202" i="14"/>
  <c r="BG202" i="14" s="1"/>
  <c r="CD202" i="14"/>
  <c r="AZ203" i="14"/>
  <c r="AC203" i="14"/>
  <c r="AK203" i="14"/>
  <c r="AL203" i="14" s="1"/>
  <c r="AM203" i="14" s="1"/>
  <c r="AN203" i="14" s="1"/>
  <c r="AO203" i="14" s="1"/>
  <c r="AP203" i="14" s="1"/>
  <c r="AF203" i="14"/>
  <c r="AG203" i="14" s="1"/>
  <c r="AH203" i="14" s="1"/>
  <c r="AI203" i="14" s="1"/>
  <c r="AJ203" i="14" s="1"/>
  <c r="AQ203" i="14"/>
  <c r="AR203" i="14" s="1"/>
  <c r="AS203" i="14" s="1"/>
  <c r="AT203" i="14" s="1"/>
  <c r="AU203" i="14" s="1"/>
  <c r="BA203" i="14"/>
  <c r="BK203" i="14" s="1"/>
  <c r="AW453" i="14"/>
  <c r="AY453" i="14" s="1"/>
  <c r="CD453" i="14"/>
  <c r="BE453" i="14"/>
  <c r="BG453" i="14" s="1"/>
  <c r="CA453" i="14"/>
  <c r="CB453" i="14" s="1"/>
  <c r="BV453" i="14"/>
  <c r="BX453" i="14" s="1"/>
  <c r="BT453" i="14"/>
  <c r="BW453" i="14" s="1"/>
  <c r="CH452" i="14"/>
  <c r="CM452" i="14" s="1"/>
  <c r="BB208" i="3" s="1"/>
  <c r="CE452" i="14"/>
  <c r="CJ452" i="14" s="1"/>
  <c r="AZ208" i="3" s="1"/>
  <c r="CF452" i="14"/>
  <c r="CK452" i="14" s="1"/>
  <c r="BA208" i="3" s="1"/>
  <c r="BM455" i="14"/>
  <c r="BI455" i="14"/>
  <c r="BJ455" i="14" s="1"/>
  <c r="AB455" i="14"/>
  <c r="AA455" i="14"/>
  <c r="AV455" i="14" s="1"/>
  <c r="BC455" i="14"/>
  <c r="BD455" i="14" s="1"/>
  <c r="AD455" i="14"/>
  <c r="BB455" i="14"/>
  <c r="Z456" i="14"/>
  <c r="AE456" i="14"/>
  <c r="AE205" i="14"/>
  <c r="Z205" i="14"/>
  <c r="BN203" i="14"/>
  <c r="BO203" i="14" s="1"/>
  <c r="BA454" i="14"/>
  <c r="BK454" i="14" s="1"/>
  <c r="AQ454" i="14"/>
  <c r="AR454" i="14" s="1"/>
  <c r="AS454" i="14" s="1"/>
  <c r="AT454" i="14" s="1"/>
  <c r="AU454" i="14" s="1"/>
  <c r="AZ454" i="14"/>
  <c r="AC454" i="14"/>
  <c r="AK454" i="14"/>
  <c r="AL454" i="14" s="1"/>
  <c r="AM454" i="14" s="1"/>
  <c r="AN454" i="14" s="1"/>
  <c r="AO454" i="14" s="1"/>
  <c r="AP454" i="14" s="1"/>
  <c r="AF454" i="14"/>
  <c r="BU453" i="14"/>
  <c r="BZ453" i="14"/>
  <c r="BS453" i="14"/>
  <c r="CE201" i="14"/>
  <c r="BM204" i="14"/>
  <c r="BC204" i="14"/>
  <c r="BD204" i="14" s="1"/>
  <c r="AB204" i="14"/>
  <c r="BI204" i="14"/>
  <c r="BJ204" i="14" s="1"/>
  <c r="AA204" i="14"/>
  <c r="BB204" i="14"/>
  <c r="AD204" i="14"/>
  <c r="BG211" i="3"/>
  <c r="BM211" i="3" s="1"/>
  <c r="D208" i="26"/>
  <c r="D208" i="25"/>
  <c r="C209" i="26"/>
  <c r="C209" i="25"/>
  <c r="BH211" i="3"/>
  <c r="BI211" i="3"/>
  <c r="BE211" i="3"/>
  <c r="CF212" i="3"/>
  <c r="CK211" i="3"/>
  <c r="BJ210" i="3"/>
  <c r="BP210" i="3" s="1"/>
  <c r="BC211" i="3"/>
  <c r="BN211" i="3" s="1"/>
  <c r="DD371" i="3"/>
  <c r="BR209" i="3"/>
  <c r="BY212" i="3"/>
  <c r="CJ211" i="3"/>
  <c r="AV211" i="3" s="1"/>
  <c r="BF210" i="3"/>
  <c r="BQ210" i="3" s="1"/>
  <c r="D212" i="3"/>
  <c r="DD372" i="3" s="1"/>
  <c r="C213" i="3"/>
  <c r="BW212" i="3"/>
  <c r="CK212" i="3" s="1"/>
  <c r="BL212" i="3"/>
  <c r="BK212" i="3"/>
  <c r="AY212" i="3"/>
  <c r="AI212" i="3"/>
  <c r="Q209" i="26" s="1"/>
  <c r="AH212" i="3"/>
  <c r="P209" i="26" s="1"/>
  <c r="AG212" i="3"/>
  <c r="O209" i="26" s="1"/>
  <c r="AJ212" i="3"/>
  <c r="R209" i="26" s="1"/>
  <c r="BO210" i="3"/>
  <c r="AU210" i="3" s="1"/>
  <c r="CH201" i="14" l="1"/>
  <c r="CJ200" i="14"/>
  <c r="CC207" i="3" s="1"/>
  <c r="BD212" i="3"/>
  <c r="BV213" i="3"/>
  <c r="BU213" i="3"/>
  <c r="CM200" i="14"/>
  <c r="CG207" i="3" s="1"/>
  <c r="BU201" i="14"/>
  <c r="BV201" i="14"/>
  <c r="BX201" i="14" s="1"/>
  <c r="CK201" i="14" s="1"/>
  <c r="CD208" i="3" s="1"/>
  <c r="CA201" i="14"/>
  <c r="CB201" i="14" s="1"/>
  <c r="CM201" i="14" s="1"/>
  <c r="CG208" i="3" s="1"/>
  <c r="BS201" i="14"/>
  <c r="BZ201" i="14"/>
  <c r="BT201" i="14"/>
  <c r="BW201" i="14" s="1"/>
  <c r="CJ201" i="14" s="1"/>
  <c r="CC208" i="3" s="1"/>
  <c r="AY202" i="14"/>
  <c r="CE202" i="14" s="1"/>
  <c r="BQ202" i="14"/>
  <c r="BR202" i="14" s="1"/>
  <c r="AX455" i="14"/>
  <c r="AK204" i="14"/>
  <c r="AL204" i="14" s="1"/>
  <c r="AM204" i="14" s="1"/>
  <c r="AN204" i="14" s="1"/>
  <c r="AO204" i="14" s="1"/>
  <c r="AP204" i="14" s="1"/>
  <c r="AQ204" i="14"/>
  <c r="AR204" i="14" s="1"/>
  <c r="AS204" i="14" s="1"/>
  <c r="AT204" i="14" s="1"/>
  <c r="AU204" i="14" s="1"/>
  <c r="AC204" i="14"/>
  <c r="AZ204" i="14"/>
  <c r="BA204" i="14"/>
  <c r="BK204" i="14" s="1"/>
  <c r="AF204" i="14"/>
  <c r="BN204" i="14"/>
  <c r="BO204" i="14" s="1"/>
  <c r="BT454" i="14"/>
  <c r="BW454" i="14" s="1"/>
  <c r="BV454" i="14"/>
  <c r="BX454" i="14" s="1"/>
  <c r="CA454" i="14"/>
  <c r="CB454" i="14" s="1"/>
  <c r="CD454" i="14"/>
  <c r="BE454" i="14"/>
  <c r="BG454" i="14" s="1"/>
  <c r="AB456" i="14"/>
  <c r="AA456" i="14"/>
  <c r="BC456" i="14"/>
  <c r="BD456" i="14" s="1"/>
  <c r="BI456" i="14"/>
  <c r="BJ456" i="14" s="1"/>
  <c r="BM456" i="14"/>
  <c r="BB456" i="14"/>
  <c r="AD456" i="14"/>
  <c r="BQ455" i="14"/>
  <c r="BR455" i="14" s="1"/>
  <c r="BN455" i="14"/>
  <c r="BO455" i="14" s="1"/>
  <c r="CF453" i="14"/>
  <c r="CK453" i="14" s="1"/>
  <c r="BA209" i="3" s="1"/>
  <c r="CE453" i="14"/>
  <c r="CJ453" i="14" s="1"/>
  <c r="AZ209" i="3" s="1"/>
  <c r="CH453" i="14"/>
  <c r="CM453" i="14" s="1"/>
  <c r="BB209" i="3" s="1"/>
  <c r="CD203" i="14"/>
  <c r="BE203" i="14"/>
  <c r="BG203" i="14" s="1"/>
  <c r="AE457" i="14"/>
  <c r="Z457" i="14"/>
  <c r="AE206" i="14"/>
  <c r="Z206" i="14"/>
  <c r="AX204" i="14"/>
  <c r="AG454" i="14"/>
  <c r="AH454" i="14" s="1"/>
  <c r="AI454" i="14" s="1"/>
  <c r="AJ454" i="14" s="1"/>
  <c r="AW454" i="14" s="1"/>
  <c r="AY454" i="14" s="1"/>
  <c r="BI205" i="14"/>
  <c r="BJ205" i="14" s="1"/>
  <c r="AA205" i="14"/>
  <c r="AD205" i="14"/>
  <c r="AB205" i="14"/>
  <c r="BB205" i="14"/>
  <c r="BM205" i="14"/>
  <c r="BC205" i="14"/>
  <c r="BD205" i="14" s="1"/>
  <c r="AC455" i="14"/>
  <c r="AK455" i="14"/>
  <c r="AL455" i="14" s="1"/>
  <c r="AM455" i="14" s="1"/>
  <c r="AN455" i="14" s="1"/>
  <c r="AO455" i="14" s="1"/>
  <c r="AP455" i="14" s="1"/>
  <c r="AZ455" i="14"/>
  <c r="BA455" i="14"/>
  <c r="BK455" i="14" s="1"/>
  <c r="AF455" i="14"/>
  <c r="AQ455" i="14"/>
  <c r="AR455" i="14" s="1"/>
  <c r="AS455" i="14" s="1"/>
  <c r="AT455" i="14" s="1"/>
  <c r="AU455" i="14" s="1"/>
  <c r="AW203" i="14"/>
  <c r="AV204" i="14"/>
  <c r="BS454" i="14"/>
  <c r="BZ454" i="14"/>
  <c r="BU454" i="14"/>
  <c r="C210" i="26"/>
  <c r="C210" i="25"/>
  <c r="BI212" i="3"/>
  <c r="D209" i="26"/>
  <c r="D209" i="25"/>
  <c r="BG212" i="3"/>
  <c r="BM212" i="3" s="1"/>
  <c r="BH212" i="3"/>
  <c r="BE212" i="3"/>
  <c r="CF213" i="3"/>
  <c r="AW209" i="3"/>
  <c r="BR210" i="3"/>
  <c r="BJ211" i="3"/>
  <c r="BP211" i="3" s="1"/>
  <c r="BC212" i="3"/>
  <c r="BN212" i="3" s="1"/>
  <c r="BY213" i="3"/>
  <c r="CJ212" i="3"/>
  <c r="AV212" i="3" s="1"/>
  <c r="CI212" i="3"/>
  <c r="BF211" i="3"/>
  <c r="BQ211" i="3" s="1"/>
  <c r="D213" i="3"/>
  <c r="BO211" i="3"/>
  <c r="AU211" i="3" s="1"/>
  <c r="C214" i="3"/>
  <c r="BW213" i="3"/>
  <c r="CK213" i="3" s="1"/>
  <c r="BL213" i="3"/>
  <c r="BK213" i="3"/>
  <c r="AY213" i="3"/>
  <c r="AH213" i="3"/>
  <c r="P210" i="26" s="1"/>
  <c r="AG213" i="3"/>
  <c r="O210" i="26" s="1"/>
  <c r="AJ213" i="3"/>
  <c r="R210" i="26" s="1"/>
  <c r="AI213" i="3"/>
  <c r="Q210" i="26" s="1"/>
  <c r="CH202" i="14" l="1"/>
  <c r="CF202" i="14"/>
  <c r="BD213" i="3"/>
  <c r="BV214" i="3"/>
  <c r="BU214" i="3"/>
  <c r="CA202" i="14"/>
  <c r="CB202" i="14" s="1"/>
  <c r="BZ202" i="14"/>
  <c r="BU202" i="14"/>
  <c r="BS202" i="14"/>
  <c r="BT202" i="14"/>
  <c r="BW202" i="14" s="1"/>
  <c r="CJ202" i="14" s="1"/>
  <c r="CC209" i="3" s="1"/>
  <c r="BV202" i="14"/>
  <c r="BX202" i="14" s="1"/>
  <c r="AW210" i="3"/>
  <c r="AY203" i="14"/>
  <c r="CE203" i="14" s="1"/>
  <c r="BQ203" i="14"/>
  <c r="BR203" i="14" s="1"/>
  <c r="BJ212" i="3"/>
  <c r="BP212" i="3" s="1"/>
  <c r="AG455" i="14"/>
  <c r="AH455" i="14" s="1"/>
  <c r="AI455" i="14" s="1"/>
  <c r="AJ455" i="14" s="1"/>
  <c r="BA205" i="14"/>
  <c r="BK205" i="14" s="1"/>
  <c r="AQ205" i="14"/>
  <c r="AR205" i="14" s="1"/>
  <c r="AS205" i="14" s="1"/>
  <c r="AT205" i="14" s="1"/>
  <c r="AU205" i="14" s="1"/>
  <c r="AK205" i="14"/>
  <c r="AL205" i="14" s="1"/>
  <c r="AM205" i="14" s="1"/>
  <c r="AN205" i="14" s="1"/>
  <c r="AO205" i="14" s="1"/>
  <c r="AP205" i="14" s="1"/>
  <c r="AZ205" i="14"/>
  <c r="AC205" i="14"/>
  <c r="AF205" i="14"/>
  <c r="AG205" i="14" s="1"/>
  <c r="AH205" i="14" s="1"/>
  <c r="AI205" i="14" s="1"/>
  <c r="AJ205" i="14" s="1"/>
  <c r="BN205" i="14"/>
  <c r="BO205" i="14" s="1"/>
  <c r="BM457" i="14"/>
  <c r="BC457" i="14"/>
  <c r="BD457" i="14" s="1"/>
  <c r="AA457" i="14"/>
  <c r="AB457" i="14"/>
  <c r="BI457" i="14"/>
  <c r="BJ457" i="14" s="1"/>
  <c r="BB457" i="14"/>
  <c r="AD457" i="14"/>
  <c r="BZ455" i="14"/>
  <c r="BU455" i="14"/>
  <c r="BS455" i="14"/>
  <c r="AK456" i="14"/>
  <c r="AL456" i="14" s="1"/>
  <c r="AM456" i="14" s="1"/>
  <c r="AN456" i="14" s="1"/>
  <c r="AO456" i="14" s="1"/>
  <c r="AP456" i="14" s="1"/>
  <c r="BA456" i="14"/>
  <c r="BK456" i="14" s="1"/>
  <c r="AC456" i="14"/>
  <c r="AF456" i="14"/>
  <c r="AQ456" i="14"/>
  <c r="AR456" i="14" s="1"/>
  <c r="AS456" i="14" s="1"/>
  <c r="AT456" i="14" s="1"/>
  <c r="AU456" i="14" s="1"/>
  <c r="AZ456" i="14"/>
  <c r="BN456" i="14"/>
  <c r="BO456" i="14" s="1"/>
  <c r="BQ456" i="14"/>
  <c r="BR456" i="14" s="1"/>
  <c r="AV205" i="14"/>
  <c r="AX205" i="14"/>
  <c r="BM206" i="14"/>
  <c r="AB206" i="14"/>
  <c r="AA206" i="14"/>
  <c r="AV206" i="14" s="1"/>
  <c r="BC206" i="14"/>
  <c r="BD206" i="14" s="1"/>
  <c r="BI206" i="14"/>
  <c r="BJ206" i="14" s="1"/>
  <c r="BB206" i="14"/>
  <c r="AD206" i="14"/>
  <c r="CH454" i="14"/>
  <c r="CM454" i="14" s="1"/>
  <c r="BB210" i="3" s="1"/>
  <c r="CE454" i="14"/>
  <c r="CJ454" i="14" s="1"/>
  <c r="AZ210" i="3" s="1"/>
  <c r="CF454" i="14"/>
  <c r="CK454" i="14" s="1"/>
  <c r="BA210" i="3" s="1"/>
  <c r="CA455" i="14"/>
  <c r="CB455" i="14" s="1"/>
  <c r="BT455" i="14"/>
  <c r="BW455" i="14" s="1"/>
  <c r="BV455" i="14"/>
  <c r="BX455" i="14" s="1"/>
  <c r="AE458" i="14"/>
  <c r="Z458" i="14"/>
  <c r="AE207" i="14"/>
  <c r="Z207" i="14"/>
  <c r="CD455" i="14"/>
  <c r="BE455" i="14"/>
  <c r="BG455" i="14" s="1"/>
  <c r="AX456" i="14"/>
  <c r="AV456" i="14"/>
  <c r="BE204" i="14"/>
  <c r="BG204" i="14" s="1"/>
  <c r="CD204" i="14"/>
  <c r="AG204" i="14"/>
  <c r="AH204" i="14" s="1"/>
  <c r="AI204" i="14" s="1"/>
  <c r="AJ204" i="14" s="1"/>
  <c r="BH213" i="3"/>
  <c r="D210" i="26"/>
  <c r="D210" i="25"/>
  <c r="C211" i="25"/>
  <c r="C211" i="26"/>
  <c r="BG213" i="3"/>
  <c r="BM213" i="3" s="1"/>
  <c r="BI213" i="3"/>
  <c r="BE213" i="3"/>
  <c r="CF214" i="3"/>
  <c r="BR211" i="3"/>
  <c r="BC213" i="3"/>
  <c r="BN213" i="3" s="1"/>
  <c r="DD373" i="3"/>
  <c r="CI213" i="3"/>
  <c r="BY214" i="3"/>
  <c r="CJ213" i="3"/>
  <c r="AV213" i="3" s="1"/>
  <c r="BF212" i="3"/>
  <c r="BQ212" i="3" s="1"/>
  <c r="D214" i="3"/>
  <c r="BI214" i="3" s="1"/>
  <c r="BO212" i="3"/>
  <c r="AU212" i="3" s="1"/>
  <c r="C215" i="3"/>
  <c r="BW214" i="3"/>
  <c r="CJ214" i="3" s="1"/>
  <c r="AV214" i="3" s="1"/>
  <c r="BL214" i="3"/>
  <c r="BK214" i="3"/>
  <c r="AY214" i="3"/>
  <c r="AG214" i="3"/>
  <c r="O211" i="26" s="1"/>
  <c r="AJ214" i="3"/>
  <c r="R211" i="26" s="1"/>
  <c r="AI214" i="3"/>
  <c r="Q211" i="26" s="1"/>
  <c r="AH214" i="3"/>
  <c r="P211" i="26" s="1"/>
  <c r="CF203" i="14" l="1"/>
  <c r="CM202" i="14"/>
  <c r="CG209" i="3" s="1"/>
  <c r="CK202" i="14"/>
  <c r="CD209" i="3" s="1"/>
  <c r="BD214" i="3"/>
  <c r="BV215" i="3"/>
  <c r="BU215" i="3"/>
  <c r="CH203" i="14"/>
  <c r="AW211" i="3"/>
  <c r="BV203" i="14"/>
  <c r="BX203" i="14" s="1"/>
  <c r="CK203" i="14" s="1"/>
  <c r="CD210" i="3" s="1"/>
  <c r="BS203" i="14"/>
  <c r="BT203" i="14"/>
  <c r="BW203" i="14" s="1"/>
  <c r="CJ203" i="14" s="1"/>
  <c r="CC210" i="3" s="1"/>
  <c r="BU203" i="14"/>
  <c r="CA203" i="14"/>
  <c r="CB203" i="14" s="1"/>
  <c r="BZ203" i="14"/>
  <c r="BR212" i="3"/>
  <c r="DD374" i="3"/>
  <c r="BA206" i="14"/>
  <c r="BK206" i="14" s="1"/>
  <c r="AC206" i="14"/>
  <c r="AQ206" i="14"/>
  <c r="AR206" i="14" s="1"/>
  <c r="AS206" i="14" s="1"/>
  <c r="AT206" i="14" s="1"/>
  <c r="AU206" i="14" s="1"/>
  <c r="AZ206" i="14"/>
  <c r="AK206" i="14"/>
  <c r="AL206" i="14" s="1"/>
  <c r="AM206" i="14" s="1"/>
  <c r="AN206" i="14" s="1"/>
  <c r="AO206" i="14" s="1"/>
  <c r="AP206" i="14" s="1"/>
  <c r="AF206" i="14"/>
  <c r="AG206" i="14" s="1"/>
  <c r="AH206" i="14" s="1"/>
  <c r="AI206" i="14" s="1"/>
  <c r="AJ206" i="14" s="1"/>
  <c r="BA457" i="14"/>
  <c r="BK457" i="14" s="1"/>
  <c r="AC457" i="14"/>
  <c r="AF457" i="14"/>
  <c r="AG457" i="14" s="1"/>
  <c r="AH457" i="14" s="1"/>
  <c r="AI457" i="14" s="1"/>
  <c r="AJ457" i="14" s="1"/>
  <c r="AK457" i="14"/>
  <c r="AL457" i="14" s="1"/>
  <c r="AM457" i="14" s="1"/>
  <c r="AN457" i="14" s="1"/>
  <c r="AO457" i="14" s="1"/>
  <c r="AP457" i="14" s="1"/>
  <c r="AZ457" i="14"/>
  <c r="AQ457" i="14"/>
  <c r="AR457" i="14" s="1"/>
  <c r="AS457" i="14" s="1"/>
  <c r="AT457" i="14" s="1"/>
  <c r="AU457" i="14" s="1"/>
  <c r="BM207" i="14"/>
  <c r="AA207" i="14"/>
  <c r="BI207" i="14"/>
  <c r="BJ207" i="14" s="1"/>
  <c r="BC207" i="14"/>
  <c r="BD207" i="14" s="1"/>
  <c r="BB207" i="14"/>
  <c r="AB207" i="14"/>
  <c r="AD207" i="14"/>
  <c r="AV457" i="14"/>
  <c r="AW204" i="14"/>
  <c r="AX206" i="14"/>
  <c r="BV456" i="14"/>
  <c r="BX456" i="14" s="1"/>
  <c r="CA456" i="14"/>
  <c r="CB456" i="14" s="1"/>
  <c r="BT456" i="14"/>
  <c r="BW456" i="14" s="1"/>
  <c r="AG456" i="14"/>
  <c r="AH456" i="14" s="1"/>
  <c r="AI456" i="14" s="1"/>
  <c r="AJ456" i="14" s="1"/>
  <c r="AW455" i="14"/>
  <c r="AY455" i="14" s="1"/>
  <c r="CH455" i="14" s="1"/>
  <c r="CM455" i="14" s="1"/>
  <c r="BB211" i="3" s="1"/>
  <c r="AE459" i="14"/>
  <c r="Z459" i="14"/>
  <c r="AE208" i="14"/>
  <c r="Z208" i="14"/>
  <c r="AX457" i="14"/>
  <c r="CD205" i="14"/>
  <c r="BE205" i="14"/>
  <c r="BG205" i="14" s="1"/>
  <c r="AB458" i="14"/>
  <c r="BI458" i="14"/>
  <c r="BJ458" i="14" s="1"/>
  <c r="AA458" i="14"/>
  <c r="AV458" i="14" s="1"/>
  <c r="BC458" i="14"/>
  <c r="BD458" i="14" s="1"/>
  <c r="BM458" i="14"/>
  <c r="BB458" i="14"/>
  <c r="AD458" i="14"/>
  <c r="BN206" i="14"/>
  <c r="BO206" i="14" s="1"/>
  <c r="BU456" i="14"/>
  <c r="BS456" i="14"/>
  <c r="BZ456" i="14"/>
  <c r="CD456" i="14"/>
  <c r="BE456" i="14"/>
  <c r="BG456" i="14" s="1"/>
  <c r="BQ457" i="14"/>
  <c r="BR457" i="14" s="1"/>
  <c r="BN457" i="14"/>
  <c r="BO457" i="14" s="1"/>
  <c r="AW205" i="14"/>
  <c r="BG214" i="3"/>
  <c r="BM214" i="3" s="1"/>
  <c r="C212" i="25"/>
  <c r="C212" i="26"/>
  <c r="BH214" i="3"/>
  <c r="D211" i="26"/>
  <c r="D211" i="25"/>
  <c r="BE214" i="3"/>
  <c r="CF215" i="3"/>
  <c r="CK214" i="3"/>
  <c r="BC214" i="3"/>
  <c r="BN214" i="3" s="1"/>
  <c r="BJ213" i="3"/>
  <c r="BP213" i="3" s="1"/>
  <c r="BY215" i="3"/>
  <c r="CI214" i="3"/>
  <c r="BF213" i="3"/>
  <c r="BQ213" i="3" s="1"/>
  <c r="D215" i="3"/>
  <c r="DD375" i="3" s="1"/>
  <c r="BO213" i="3"/>
  <c r="AU213" i="3" s="1"/>
  <c r="C216" i="3"/>
  <c r="BK215" i="3"/>
  <c r="AY215" i="3"/>
  <c r="BD215" i="3" s="1"/>
  <c r="BW215" i="3"/>
  <c r="CI215" i="3" s="1"/>
  <c r="BL215" i="3"/>
  <c r="AJ215" i="3"/>
  <c r="R212" i="26" s="1"/>
  <c r="AI215" i="3"/>
  <c r="Q212" i="26" s="1"/>
  <c r="AH215" i="3"/>
  <c r="P212" i="26" s="1"/>
  <c r="AG215" i="3"/>
  <c r="O212" i="26" s="1"/>
  <c r="AX458" i="14" l="1"/>
  <c r="BV216" i="3"/>
  <c r="BU216" i="3"/>
  <c r="CM203" i="14"/>
  <c r="CG210" i="3" s="1"/>
  <c r="AY205" i="14"/>
  <c r="CE205" i="14" s="1"/>
  <c r="BQ205" i="14"/>
  <c r="BR205" i="14" s="1"/>
  <c r="AY204" i="14"/>
  <c r="BQ204" i="14"/>
  <c r="BR204" i="14" s="1"/>
  <c r="AW212" i="3"/>
  <c r="CE455" i="14"/>
  <c r="CJ455" i="14" s="1"/>
  <c r="AZ211" i="3" s="1"/>
  <c r="CF455" i="14"/>
  <c r="CK455" i="14" s="1"/>
  <c r="BA211" i="3" s="1"/>
  <c r="CA457" i="14"/>
  <c r="CB457" i="14" s="1"/>
  <c r="BV457" i="14"/>
  <c r="BX457" i="14" s="1"/>
  <c r="BT457" i="14"/>
  <c r="BW457" i="14" s="1"/>
  <c r="BQ458" i="14"/>
  <c r="BR458" i="14" s="1"/>
  <c r="BN458" i="14"/>
  <c r="BO458" i="14" s="1"/>
  <c r="BM208" i="14"/>
  <c r="BI208" i="14"/>
  <c r="BJ208" i="14" s="1"/>
  <c r="AB208" i="14"/>
  <c r="BC208" i="14"/>
  <c r="BD208" i="14" s="1"/>
  <c r="AA208" i="14"/>
  <c r="AX208" i="14" s="1"/>
  <c r="BB208" i="14"/>
  <c r="AD208" i="14"/>
  <c r="AW456" i="14"/>
  <c r="AY456" i="14" s="1"/>
  <c r="CH456" i="14" s="1"/>
  <c r="CM456" i="14" s="1"/>
  <c r="BB212" i="3" s="1"/>
  <c r="BA207" i="14"/>
  <c r="BK207" i="14" s="1"/>
  <c r="AF207" i="14"/>
  <c r="AQ207" i="14"/>
  <c r="AR207" i="14" s="1"/>
  <c r="AS207" i="14" s="1"/>
  <c r="AT207" i="14" s="1"/>
  <c r="AU207" i="14" s="1"/>
  <c r="AC207" i="14"/>
  <c r="AK207" i="14"/>
  <c r="AL207" i="14" s="1"/>
  <c r="AM207" i="14" s="1"/>
  <c r="AN207" i="14" s="1"/>
  <c r="AO207" i="14" s="1"/>
  <c r="AP207" i="14" s="1"/>
  <c r="AZ207" i="14"/>
  <c r="CD457" i="14"/>
  <c r="BE457" i="14"/>
  <c r="BG457" i="14" s="1"/>
  <c r="AQ458" i="14"/>
  <c r="AR458" i="14" s="1"/>
  <c r="AS458" i="14" s="1"/>
  <c r="AT458" i="14" s="1"/>
  <c r="AU458" i="14" s="1"/>
  <c r="AZ458" i="14"/>
  <c r="AK458" i="14"/>
  <c r="AL458" i="14" s="1"/>
  <c r="AM458" i="14" s="1"/>
  <c r="AN458" i="14" s="1"/>
  <c r="AO458" i="14" s="1"/>
  <c r="AP458" i="14" s="1"/>
  <c r="BA458" i="14"/>
  <c r="BK458" i="14" s="1"/>
  <c r="AC458" i="14"/>
  <c r="AF458" i="14"/>
  <c r="AG458" i="14" s="1"/>
  <c r="AH458" i="14" s="1"/>
  <c r="AI458" i="14" s="1"/>
  <c r="AJ458" i="14" s="1"/>
  <c r="BM459" i="14"/>
  <c r="BI459" i="14"/>
  <c r="BJ459" i="14" s="1"/>
  <c r="BC459" i="14"/>
  <c r="BD459" i="14" s="1"/>
  <c r="AA459" i="14"/>
  <c r="AB459" i="14"/>
  <c r="BB459" i="14"/>
  <c r="AD459" i="14"/>
  <c r="BN207" i="14"/>
  <c r="BO207" i="14" s="1"/>
  <c r="AW206" i="14"/>
  <c r="CD206" i="14"/>
  <c r="BE206" i="14"/>
  <c r="BG206" i="14" s="1"/>
  <c r="AX207" i="14"/>
  <c r="AW457" i="14"/>
  <c r="AY457" i="14" s="1"/>
  <c r="Z460" i="14"/>
  <c r="AE460" i="14"/>
  <c r="AE209" i="14"/>
  <c r="Z209" i="14"/>
  <c r="BU457" i="14"/>
  <c r="BZ457" i="14"/>
  <c r="BS457" i="14"/>
  <c r="CH205" i="14"/>
  <c r="CF205" i="14"/>
  <c r="AV207" i="14"/>
  <c r="BH215" i="3"/>
  <c r="D212" i="26"/>
  <c r="D212" i="25"/>
  <c r="C213" i="26"/>
  <c r="C213" i="25"/>
  <c r="BI215" i="3"/>
  <c r="BG215" i="3"/>
  <c r="BM215" i="3" s="1"/>
  <c r="BE215" i="3"/>
  <c r="CK215" i="3"/>
  <c r="CF216" i="3"/>
  <c r="CJ215" i="3"/>
  <c r="AV215" i="3" s="1"/>
  <c r="BJ214" i="3"/>
  <c r="BP214" i="3" s="1"/>
  <c r="BC215" i="3"/>
  <c r="BN215" i="3" s="1"/>
  <c r="BR213" i="3"/>
  <c r="BY216" i="3"/>
  <c r="BF214" i="3"/>
  <c r="BQ214" i="3" s="1"/>
  <c r="D216" i="3"/>
  <c r="BH216" i="3" s="1"/>
  <c r="C217" i="3"/>
  <c r="BW216" i="3"/>
  <c r="CI216" i="3" s="1"/>
  <c r="BL216" i="3"/>
  <c r="BK216" i="3"/>
  <c r="AY216" i="3"/>
  <c r="AI216" i="3"/>
  <c r="Q213" i="26" s="1"/>
  <c r="AH216" i="3"/>
  <c r="P213" i="26" s="1"/>
  <c r="AG216" i="3"/>
  <c r="O213" i="26" s="1"/>
  <c r="AJ216" i="3"/>
  <c r="R213" i="26" s="1"/>
  <c r="BO214" i="3"/>
  <c r="AU214" i="3" s="1"/>
  <c r="BD216" i="3" l="1"/>
  <c r="BV217" i="3"/>
  <c r="BU217" i="3"/>
  <c r="CH204" i="14"/>
  <c r="CE204" i="14"/>
  <c r="CF204" i="14"/>
  <c r="AY206" i="14"/>
  <c r="CH206" i="14" s="1"/>
  <c r="BQ206" i="14"/>
  <c r="BR206" i="14" s="1"/>
  <c r="BT205" i="14"/>
  <c r="BW205" i="14" s="1"/>
  <c r="BV205" i="14"/>
  <c r="BX205" i="14" s="1"/>
  <c r="CK205" i="14" s="1"/>
  <c r="CD212" i="3" s="1"/>
  <c r="BS205" i="14"/>
  <c r="CA205" i="14"/>
  <c r="CB205" i="14" s="1"/>
  <c r="CM205" i="14" s="1"/>
  <c r="CG212" i="3" s="1"/>
  <c r="BZ205" i="14"/>
  <c r="BU205" i="14"/>
  <c r="BT204" i="14"/>
  <c r="BW204" i="14" s="1"/>
  <c r="BS204" i="14"/>
  <c r="CA204" i="14"/>
  <c r="CB204" i="14" s="1"/>
  <c r="BU204" i="14"/>
  <c r="BZ204" i="14"/>
  <c r="BV204" i="14"/>
  <c r="BX204" i="14" s="1"/>
  <c r="CJ205" i="14"/>
  <c r="CC212" i="3" s="1"/>
  <c r="CF456" i="14"/>
  <c r="CK456" i="14" s="1"/>
  <c r="BA212" i="3" s="1"/>
  <c r="AB460" i="14"/>
  <c r="AA460" i="14"/>
  <c r="AX460" i="14" s="1"/>
  <c r="BC460" i="14"/>
  <c r="BD460" i="14" s="1"/>
  <c r="BI460" i="14"/>
  <c r="BJ460" i="14" s="1"/>
  <c r="BM460" i="14"/>
  <c r="BB460" i="14"/>
  <c r="AD460" i="14"/>
  <c r="BQ459" i="14"/>
  <c r="BR459" i="14" s="1"/>
  <c r="BN459" i="14"/>
  <c r="BO459" i="14" s="1"/>
  <c r="BE207" i="14"/>
  <c r="BG207" i="14" s="1"/>
  <c r="CD207" i="14"/>
  <c r="BS458" i="14"/>
  <c r="BZ458" i="14"/>
  <c r="BU458" i="14"/>
  <c r="AC459" i="14"/>
  <c r="AK459" i="14"/>
  <c r="AL459" i="14" s="1"/>
  <c r="AM459" i="14" s="1"/>
  <c r="AN459" i="14" s="1"/>
  <c r="AO459" i="14" s="1"/>
  <c r="AP459" i="14" s="1"/>
  <c r="BA459" i="14"/>
  <c r="BK459" i="14" s="1"/>
  <c r="AF459" i="14"/>
  <c r="AG459" i="14" s="1"/>
  <c r="AH459" i="14" s="1"/>
  <c r="AI459" i="14" s="1"/>
  <c r="AJ459" i="14" s="1"/>
  <c r="AZ459" i="14"/>
  <c r="AQ459" i="14"/>
  <c r="AR459" i="14" s="1"/>
  <c r="AS459" i="14" s="1"/>
  <c r="AT459" i="14" s="1"/>
  <c r="AU459" i="14" s="1"/>
  <c r="AX459" i="14"/>
  <c r="CF457" i="14"/>
  <c r="CK457" i="14" s="1"/>
  <c r="BA213" i="3" s="1"/>
  <c r="CE457" i="14"/>
  <c r="CJ457" i="14" s="1"/>
  <c r="AZ213" i="3" s="1"/>
  <c r="CH457" i="14"/>
  <c r="CM457" i="14" s="1"/>
  <c r="BB213" i="3" s="1"/>
  <c r="AK208" i="14"/>
  <c r="AL208" i="14" s="1"/>
  <c r="AM208" i="14" s="1"/>
  <c r="AN208" i="14" s="1"/>
  <c r="AO208" i="14" s="1"/>
  <c r="AP208" i="14" s="1"/>
  <c r="BA208" i="14"/>
  <c r="BK208" i="14" s="1"/>
  <c r="AZ208" i="14"/>
  <c r="AC208" i="14"/>
  <c r="AF208" i="14"/>
  <c r="AG208" i="14" s="1"/>
  <c r="AH208" i="14" s="1"/>
  <c r="AI208" i="14" s="1"/>
  <c r="AJ208" i="14" s="1"/>
  <c r="AQ208" i="14"/>
  <c r="AR208" i="14" s="1"/>
  <c r="AS208" i="14" s="1"/>
  <c r="AT208" i="14" s="1"/>
  <c r="AU208" i="14" s="1"/>
  <c r="BN208" i="14"/>
  <c r="BO208" i="14" s="1"/>
  <c r="CE456" i="14"/>
  <c r="CJ456" i="14" s="1"/>
  <c r="AZ212" i="3" s="1"/>
  <c r="BM209" i="14"/>
  <c r="BC209" i="14"/>
  <c r="BD209" i="14" s="1"/>
  <c r="BI209" i="14"/>
  <c r="BJ209" i="14" s="1"/>
  <c r="AA209" i="14"/>
  <c r="AB209" i="14"/>
  <c r="AD209" i="14"/>
  <c r="BB209" i="14"/>
  <c r="CA458" i="14"/>
  <c r="CB458" i="14" s="1"/>
  <c r="BV458" i="14"/>
  <c r="BX458" i="14" s="1"/>
  <c r="BT458" i="14"/>
  <c r="BW458" i="14" s="1"/>
  <c r="AE461" i="14"/>
  <c r="Z461" i="14"/>
  <c r="AE210" i="14"/>
  <c r="Z210" i="14"/>
  <c r="AV459" i="14"/>
  <c r="AW458" i="14"/>
  <c r="AY458" i="14" s="1"/>
  <c r="BE458" i="14"/>
  <c r="BG458" i="14" s="1"/>
  <c r="CD458" i="14"/>
  <c r="AG207" i="14"/>
  <c r="AH207" i="14" s="1"/>
  <c r="AI207" i="14" s="1"/>
  <c r="AJ207" i="14" s="1"/>
  <c r="AV208" i="14"/>
  <c r="BG216" i="3"/>
  <c r="BM216" i="3" s="1"/>
  <c r="C214" i="26"/>
  <c r="C214" i="25"/>
  <c r="BI216" i="3"/>
  <c r="D213" i="26"/>
  <c r="D213" i="25"/>
  <c r="BE216" i="3"/>
  <c r="BR214" i="3"/>
  <c r="CF217" i="3"/>
  <c r="AW213" i="3"/>
  <c r="CK216" i="3"/>
  <c r="BJ215" i="3"/>
  <c r="BP215" i="3" s="1"/>
  <c r="BC216" i="3"/>
  <c r="BN216" i="3" s="1"/>
  <c r="DD376" i="3"/>
  <c r="BY217" i="3"/>
  <c r="CJ216" i="3"/>
  <c r="AV216" i="3" s="1"/>
  <c r="BF215" i="3"/>
  <c r="BQ215" i="3" s="1"/>
  <c r="D217" i="3"/>
  <c r="BO215" i="3"/>
  <c r="AU215" i="3" s="1"/>
  <c r="C218" i="3"/>
  <c r="BW217" i="3"/>
  <c r="CI217" i="3" s="1"/>
  <c r="BL217" i="3"/>
  <c r="BK217" i="3"/>
  <c r="AY217" i="3"/>
  <c r="AH217" i="3"/>
  <c r="P214" i="26" s="1"/>
  <c r="AG217" i="3"/>
  <c r="O214" i="26" s="1"/>
  <c r="AJ217" i="3"/>
  <c r="R214" i="26" s="1"/>
  <c r="AI217" i="3"/>
  <c r="Q214" i="26" s="1"/>
  <c r="CE206" i="14" l="1"/>
  <c r="CF206" i="14"/>
  <c r="CK204" i="14"/>
  <c r="CD211" i="3" s="1"/>
  <c r="CM204" i="14"/>
  <c r="CG211" i="3" s="1"/>
  <c r="BD217" i="3"/>
  <c r="BV218" i="3"/>
  <c r="BU218" i="3"/>
  <c r="CJ204" i="14"/>
  <c r="CC211" i="3" s="1"/>
  <c r="AW214" i="3"/>
  <c r="BT206" i="14"/>
  <c r="BW206" i="14" s="1"/>
  <c r="BS206" i="14"/>
  <c r="CA206" i="14"/>
  <c r="CB206" i="14" s="1"/>
  <c r="CM206" i="14" s="1"/>
  <c r="CG213" i="3" s="1"/>
  <c r="BU206" i="14"/>
  <c r="BV206" i="14"/>
  <c r="BX206" i="14" s="1"/>
  <c r="CK206" i="14" s="1"/>
  <c r="CD213" i="3" s="1"/>
  <c r="BZ206" i="14"/>
  <c r="AW207" i="14"/>
  <c r="AV460" i="14"/>
  <c r="BM210" i="14"/>
  <c r="AA210" i="14"/>
  <c r="AX210" i="14" s="1"/>
  <c r="AB210" i="14"/>
  <c r="BC210" i="14"/>
  <c r="BD210" i="14" s="1"/>
  <c r="BI210" i="14"/>
  <c r="BJ210" i="14" s="1"/>
  <c r="BB210" i="14"/>
  <c r="AD210" i="14"/>
  <c r="BN209" i="14"/>
  <c r="BO209" i="14" s="1"/>
  <c r="BE208" i="14"/>
  <c r="BG208" i="14" s="1"/>
  <c r="CD208" i="14"/>
  <c r="CH458" i="14"/>
  <c r="CM458" i="14" s="1"/>
  <c r="BB214" i="3" s="1"/>
  <c r="CE458" i="14"/>
  <c r="CJ458" i="14" s="1"/>
  <c r="AZ214" i="3" s="1"/>
  <c r="CF458" i="14"/>
  <c r="CK458" i="14" s="1"/>
  <c r="BA214" i="3" s="1"/>
  <c r="AW208" i="14"/>
  <c r="AW459" i="14"/>
  <c r="AY459" i="14" s="1"/>
  <c r="BT459" i="14"/>
  <c r="BW459" i="14" s="1"/>
  <c r="CA459" i="14"/>
  <c r="CB459" i="14" s="1"/>
  <c r="BV459" i="14"/>
  <c r="BX459" i="14" s="1"/>
  <c r="BA460" i="14"/>
  <c r="BK460" i="14" s="1"/>
  <c r="AK460" i="14"/>
  <c r="AL460" i="14" s="1"/>
  <c r="AM460" i="14" s="1"/>
  <c r="AN460" i="14" s="1"/>
  <c r="AO460" i="14" s="1"/>
  <c r="AP460" i="14" s="1"/>
  <c r="AC460" i="14"/>
  <c r="AZ460" i="14"/>
  <c r="AQ460" i="14"/>
  <c r="AR460" i="14" s="1"/>
  <c r="AS460" i="14" s="1"/>
  <c r="AT460" i="14" s="1"/>
  <c r="AU460" i="14" s="1"/>
  <c r="AF460" i="14"/>
  <c r="AG460" i="14" s="1"/>
  <c r="AH460" i="14" s="1"/>
  <c r="AI460" i="14" s="1"/>
  <c r="AJ460" i="14" s="1"/>
  <c r="BE459" i="14"/>
  <c r="BG459" i="14" s="1"/>
  <c r="CD459" i="14"/>
  <c r="AC209" i="14"/>
  <c r="AK209" i="14"/>
  <c r="AL209" i="14" s="1"/>
  <c r="AM209" i="14" s="1"/>
  <c r="AN209" i="14" s="1"/>
  <c r="AO209" i="14" s="1"/>
  <c r="AP209" i="14" s="1"/>
  <c r="BA209" i="14"/>
  <c r="BK209" i="14" s="1"/>
  <c r="AZ209" i="14"/>
  <c r="AQ209" i="14"/>
  <c r="AR209" i="14" s="1"/>
  <c r="AS209" i="14" s="1"/>
  <c r="AT209" i="14" s="1"/>
  <c r="AU209" i="14" s="1"/>
  <c r="AF209" i="14"/>
  <c r="AG209" i="14" s="1"/>
  <c r="AH209" i="14" s="1"/>
  <c r="AI209" i="14" s="1"/>
  <c r="AJ209" i="14" s="1"/>
  <c r="AE462" i="14"/>
  <c r="Z462" i="14"/>
  <c r="AE211" i="14"/>
  <c r="Z211" i="14"/>
  <c r="BM461" i="14"/>
  <c r="BI461" i="14"/>
  <c r="BJ461" i="14" s="1"/>
  <c r="BC461" i="14"/>
  <c r="BD461" i="14" s="1"/>
  <c r="AA461" i="14"/>
  <c r="AV461" i="14" s="1"/>
  <c r="AB461" i="14"/>
  <c r="AD461" i="14"/>
  <c r="BB461" i="14"/>
  <c r="AX209" i="14"/>
  <c r="AV209" i="14"/>
  <c r="BS459" i="14"/>
  <c r="BU459" i="14"/>
  <c r="BZ459" i="14"/>
  <c r="BN460" i="14"/>
  <c r="BO460" i="14" s="1"/>
  <c r="BQ460" i="14"/>
  <c r="BR460" i="14" s="1"/>
  <c r="BH217" i="3"/>
  <c r="D214" i="26"/>
  <c r="D214" i="25"/>
  <c r="C215" i="25"/>
  <c r="C215" i="26"/>
  <c r="BG217" i="3"/>
  <c r="BM217" i="3" s="1"/>
  <c r="BI217" i="3"/>
  <c r="DD377" i="3"/>
  <c r="BE217" i="3"/>
  <c r="CK217" i="3"/>
  <c r="CF218" i="3"/>
  <c r="BR215" i="3"/>
  <c r="BC217" i="3"/>
  <c r="BN217" i="3" s="1"/>
  <c r="CJ217" i="3"/>
  <c r="AV217" i="3" s="1"/>
  <c r="BY218" i="3"/>
  <c r="BJ216" i="3"/>
  <c r="BP216" i="3" s="1"/>
  <c r="BF216" i="3"/>
  <c r="BQ216" i="3" s="1"/>
  <c r="D218" i="3"/>
  <c r="C219" i="3"/>
  <c r="BW218" i="3"/>
  <c r="CI218" i="3" s="1"/>
  <c r="BL218" i="3"/>
  <c r="BK218" i="3"/>
  <c r="AY218" i="3"/>
  <c r="AG218" i="3"/>
  <c r="O215" i="26" s="1"/>
  <c r="AJ218" i="3"/>
  <c r="R215" i="26" s="1"/>
  <c r="AI218" i="3"/>
  <c r="Q215" i="26" s="1"/>
  <c r="AH218" i="3"/>
  <c r="P215" i="26" s="1"/>
  <c r="BO216" i="3"/>
  <c r="AU216" i="3" s="1"/>
  <c r="BD218" i="3" l="1"/>
  <c r="CJ206" i="14"/>
  <c r="CC213" i="3" s="1"/>
  <c r="AV210" i="14"/>
  <c r="BV219" i="3"/>
  <c r="BU219" i="3"/>
  <c r="AW215" i="3"/>
  <c r="AY208" i="14"/>
  <c r="CH208" i="14" s="1"/>
  <c r="BQ208" i="14"/>
  <c r="BR208" i="14" s="1"/>
  <c r="AY207" i="14"/>
  <c r="BQ207" i="14"/>
  <c r="BR207" i="14" s="1"/>
  <c r="AE463" i="14"/>
  <c r="Z463" i="14"/>
  <c r="Z212" i="14"/>
  <c r="AE212" i="14"/>
  <c r="BQ461" i="14"/>
  <c r="BR461" i="14" s="1"/>
  <c r="BN461" i="14"/>
  <c r="BO461" i="14" s="1"/>
  <c r="CE459" i="14"/>
  <c r="CJ459" i="14" s="1"/>
  <c r="AZ215" i="3" s="1"/>
  <c r="CH459" i="14"/>
  <c r="CM459" i="14" s="1"/>
  <c r="BB215" i="3" s="1"/>
  <c r="CF459" i="14"/>
  <c r="CK459" i="14" s="1"/>
  <c r="BA215" i="3" s="1"/>
  <c r="BM211" i="14"/>
  <c r="AA211" i="14"/>
  <c r="AX211" i="14" s="1"/>
  <c r="BI211" i="14"/>
  <c r="BJ211" i="14" s="1"/>
  <c r="BC211" i="14"/>
  <c r="BD211" i="14" s="1"/>
  <c r="AD211" i="14"/>
  <c r="AB211" i="14"/>
  <c r="BB211" i="14"/>
  <c r="CD209" i="14"/>
  <c r="BE209" i="14"/>
  <c r="BG209" i="14" s="1"/>
  <c r="BE460" i="14"/>
  <c r="BG460" i="14" s="1"/>
  <c r="CD460" i="14"/>
  <c r="AQ210" i="14"/>
  <c r="AR210" i="14" s="1"/>
  <c r="AS210" i="14" s="1"/>
  <c r="AT210" i="14" s="1"/>
  <c r="AU210" i="14" s="1"/>
  <c r="BA210" i="14"/>
  <c r="BK210" i="14" s="1"/>
  <c r="AC210" i="14"/>
  <c r="AZ210" i="14"/>
  <c r="AF210" i="14"/>
  <c r="AK210" i="14"/>
  <c r="AL210" i="14" s="1"/>
  <c r="AM210" i="14" s="1"/>
  <c r="AN210" i="14" s="1"/>
  <c r="AO210" i="14" s="1"/>
  <c r="AP210" i="14" s="1"/>
  <c r="BV460" i="14"/>
  <c r="BX460" i="14" s="1"/>
  <c r="BT460" i="14"/>
  <c r="BW460" i="14" s="1"/>
  <c r="CA460" i="14"/>
  <c r="CB460" i="14" s="1"/>
  <c r="AC461" i="14"/>
  <c r="BA461" i="14"/>
  <c r="BK461" i="14" s="1"/>
  <c r="AQ461" i="14"/>
  <c r="AR461" i="14" s="1"/>
  <c r="AS461" i="14" s="1"/>
  <c r="AT461" i="14" s="1"/>
  <c r="AU461" i="14" s="1"/>
  <c r="AK461" i="14"/>
  <c r="AL461" i="14" s="1"/>
  <c r="AM461" i="14" s="1"/>
  <c r="AN461" i="14" s="1"/>
  <c r="AO461" i="14" s="1"/>
  <c r="AP461" i="14" s="1"/>
  <c r="AZ461" i="14"/>
  <c r="AF461" i="14"/>
  <c r="BS460" i="14"/>
  <c r="BZ460" i="14"/>
  <c r="BU460" i="14"/>
  <c r="AX461" i="14"/>
  <c r="AB462" i="14"/>
  <c r="AA462" i="14"/>
  <c r="AX462" i="14" s="1"/>
  <c r="BC462" i="14"/>
  <c r="BD462" i="14" s="1"/>
  <c r="BI462" i="14"/>
  <c r="BJ462" i="14" s="1"/>
  <c r="BM462" i="14"/>
  <c r="BB462" i="14"/>
  <c r="AD462" i="14"/>
  <c r="AW209" i="14"/>
  <c r="AW460" i="14"/>
  <c r="AY460" i="14" s="1"/>
  <c r="CE460" i="14" s="1"/>
  <c r="BN210" i="14"/>
  <c r="BO210" i="14" s="1"/>
  <c r="D215" i="26"/>
  <c r="D215" i="25"/>
  <c r="C216" i="26"/>
  <c r="C216" i="25"/>
  <c r="BG218" i="3"/>
  <c r="BM218" i="3" s="1"/>
  <c r="BI218" i="3"/>
  <c r="BH218" i="3"/>
  <c r="BE218" i="3"/>
  <c r="CK218" i="3"/>
  <c r="CF219" i="3"/>
  <c r="BC218" i="3"/>
  <c r="BN218" i="3" s="1"/>
  <c r="BR216" i="3"/>
  <c r="BY219" i="3"/>
  <c r="CJ218" i="3"/>
  <c r="AV218" i="3" s="1"/>
  <c r="DD378" i="3"/>
  <c r="BJ217" i="3"/>
  <c r="BP217" i="3" s="1"/>
  <c r="BF217" i="3"/>
  <c r="BQ217" i="3" s="1"/>
  <c r="D219" i="3"/>
  <c r="BH219" i="3" s="1"/>
  <c r="BO217" i="3"/>
  <c r="AU217" i="3" s="1"/>
  <c r="C220" i="3"/>
  <c r="BK219" i="3"/>
  <c r="AY219" i="3"/>
  <c r="BD219" i="3" s="1"/>
  <c r="BW219" i="3"/>
  <c r="CI219" i="3" s="1"/>
  <c r="BL219" i="3"/>
  <c r="AJ219" i="3"/>
  <c r="R216" i="26" s="1"/>
  <c r="AI219" i="3"/>
  <c r="Q216" i="26" s="1"/>
  <c r="AH219" i="3"/>
  <c r="P216" i="26" s="1"/>
  <c r="AG219" i="3"/>
  <c r="O216" i="26" s="1"/>
  <c r="CF208" i="14" l="1"/>
  <c r="CE208" i="14"/>
  <c r="AV211" i="14"/>
  <c r="BU220" i="3"/>
  <c r="BV220" i="3"/>
  <c r="CH207" i="14"/>
  <c r="CF207" i="14"/>
  <c r="CE207" i="14"/>
  <c r="BV208" i="14"/>
  <c r="BX208" i="14" s="1"/>
  <c r="BS208" i="14"/>
  <c r="BT208" i="14"/>
  <c r="BW208" i="14" s="1"/>
  <c r="BU208" i="14"/>
  <c r="CA208" i="14"/>
  <c r="CB208" i="14" s="1"/>
  <c r="CM208" i="14" s="1"/>
  <c r="CG215" i="3" s="1"/>
  <c r="BZ208" i="14"/>
  <c r="AY209" i="14"/>
  <c r="CE209" i="14" s="1"/>
  <c r="BQ209" i="14"/>
  <c r="BR209" i="14" s="1"/>
  <c r="AW216" i="3"/>
  <c r="BS207" i="14"/>
  <c r="CA207" i="14"/>
  <c r="CB207" i="14" s="1"/>
  <c r="BU207" i="14"/>
  <c r="BV207" i="14"/>
  <c r="BX207" i="14" s="1"/>
  <c r="BT207" i="14"/>
  <c r="BW207" i="14" s="1"/>
  <c r="BZ207" i="14"/>
  <c r="Z464" i="14"/>
  <c r="AE464" i="14"/>
  <c r="Z213" i="14"/>
  <c r="AE213" i="14"/>
  <c r="AG461" i="14"/>
  <c r="AH461" i="14" s="1"/>
  <c r="AI461" i="14" s="1"/>
  <c r="AJ461" i="14" s="1"/>
  <c r="CA461" i="14"/>
  <c r="CB461" i="14" s="1"/>
  <c r="BV461" i="14"/>
  <c r="BX461" i="14" s="1"/>
  <c r="BT461" i="14"/>
  <c r="BW461" i="14" s="1"/>
  <c r="CD210" i="14"/>
  <c r="BE210" i="14"/>
  <c r="BG210" i="14" s="1"/>
  <c r="CF209" i="14"/>
  <c r="BN211" i="14"/>
  <c r="BO211" i="14" s="1"/>
  <c r="BZ461" i="14"/>
  <c r="BS461" i="14"/>
  <c r="BU461" i="14"/>
  <c r="BC212" i="14"/>
  <c r="BD212" i="14" s="1"/>
  <c r="BM212" i="14"/>
  <c r="BI212" i="14"/>
  <c r="BJ212" i="14" s="1"/>
  <c r="AD212" i="14"/>
  <c r="AA212" i="14"/>
  <c r="AX212" i="14" s="1"/>
  <c r="BB212" i="14"/>
  <c r="AB212" i="14"/>
  <c r="BM463" i="14"/>
  <c r="BI463" i="14"/>
  <c r="BJ463" i="14" s="1"/>
  <c r="BC463" i="14"/>
  <c r="BD463" i="14" s="1"/>
  <c r="AA463" i="14"/>
  <c r="AX463" i="14" s="1"/>
  <c r="AB463" i="14"/>
  <c r="AD463" i="14"/>
  <c r="BB463" i="14"/>
  <c r="CJ460" i="14"/>
  <c r="AZ216" i="3" s="1"/>
  <c r="AQ462" i="14"/>
  <c r="AR462" i="14" s="1"/>
  <c r="AS462" i="14" s="1"/>
  <c r="AT462" i="14" s="1"/>
  <c r="AU462" i="14" s="1"/>
  <c r="AF462" i="14"/>
  <c r="AC462" i="14"/>
  <c r="BA462" i="14"/>
  <c r="BK462" i="14" s="1"/>
  <c r="AZ462" i="14"/>
  <c r="AK462" i="14"/>
  <c r="AL462" i="14" s="1"/>
  <c r="AM462" i="14" s="1"/>
  <c r="AN462" i="14" s="1"/>
  <c r="AO462" i="14" s="1"/>
  <c r="AP462" i="14" s="1"/>
  <c r="BQ462" i="14"/>
  <c r="BR462" i="14" s="1"/>
  <c r="BN462" i="14"/>
  <c r="BO462" i="14" s="1"/>
  <c r="CD461" i="14"/>
  <c r="BE461" i="14"/>
  <c r="BG461" i="14" s="1"/>
  <c r="AG210" i="14"/>
  <c r="AH210" i="14" s="1"/>
  <c r="AI210" i="14" s="1"/>
  <c r="AJ210" i="14" s="1"/>
  <c r="CH460" i="14"/>
  <c r="CM460" i="14" s="1"/>
  <c r="BB216" i="3" s="1"/>
  <c r="CF460" i="14"/>
  <c r="CK460" i="14" s="1"/>
  <c r="BA216" i="3" s="1"/>
  <c r="AZ211" i="14"/>
  <c r="AC211" i="14"/>
  <c r="AK211" i="14"/>
  <c r="AL211" i="14" s="1"/>
  <c r="AM211" i="14" s="1"/>
  <c r="AN211" i="14" s="1"/>
  <c r="AO211" i="14" s="1"/>
  <c r="AP211" i="14" s="1"/>
  <c r="BA211" i="14"/>
  <c r="BK211" i="14" s="1"/>
  <c r="AF211" i="14"/>
  <c r="AG211" i="14" s="1"/>
  <c r="AH211" i="14" s="1"/>
  <c r="AI211" i="14" s="1"/>
  <c r="AJ211" i="14" s="1"/>
  <c r="AQ211" i="14"/>
  <c r="AR211" i="14" s="1"/>
  <c r="AS211" i="14" s="1"/>
  <c r="AT211" i="14" s="1"/>
  <c r="AU211" i="14" s="1"/>
  <c r="AV462" i="14"/>
  <c r="C217" i="26"/>
  <c r="C217" i="25"/>
  <c r="BI219" i="3"/>
  <c r="D216" i="26"/>
  <c r="D216" i="25"/>
  <c r="BG219" i="3"/>
  <c r="BM219" i="3" s="1"/>
  <c r="BE219" i="3"/>
  <c r="CF220" i="3"/>
  <c r="CK219" i="3"/>
  <c r="BC219" i="3"/>
  <c r="BN219" i="3" s="1"/>
  <c r="BR217" i="3"/>
  <c r="BY220" i="3"/>
  <c r="CJ219" i="3"/>
  <c r="AV219" i="3" s="1"/>
  <c r="BJ218" i="3"/>
  <c r="BP218" i="3" s="1"/>
  <c r="DD379" i="3"/>
  <c r="D220" i="3"/>
  <c r="BH220" i="3" s="1"/>
  <c r="BF218" i="3"/>
  <c r="BQ218" i="3" s="1"/>
  <c r="C221" i="3"/>
  <c r="BL220" i="3"/>
  <c r="BK220" i="3"/>
  <c r="AY220" i="3"/>
  <c r="BW220" i="3"/>
  <c r="CI220" i="3" s="1"/>
  <c r="AI220" i="3"/>
  <c r="Q217" i="26" s="1"/>
  <c r="AH220" i="3"/>
  <c r="P217" i="26" s="1"/>
  <c r="AG220" i="3"/>
  <c r="O217" i="26" s="1"/>
  <c r="AJ220" i="3"/>
  <c r="R217" i="26" s="1"/>
  <c r="BO218" i="3"/>
  <c r="AU218" i="3" s="1"/>
  <c r="CK208" i="14" l="1"/>
  <c r="CD215" i="3" s="1"/>
  <c r="CH209" i="14"/>
  <c r="CJ208" i="14"/>
  <c r="CC215" i="3" s="1"/>
  <c r="CJ207" i="14"/>
  <c r="CC214" i="3" s="1"/>
  <c r="BD220" i="3"/>
  <c r="CK207" i="14"/>
  <c r="CD214" i="3" s="1"/>
  <c r="BV221" i="3"/>
  <c r="BU221" i="3"/>
  <c r="CM207" i="14"/>
  <c r="CG214" i="3" s="1"/>
  <c r="BV209" i="14"/>
  <c r="BX209" i="14" s="1"/>
  <c r="CK209" i="14" s="1"/>
  <c r="CD216" i="3" s="1"/>
  <c r="BZ209" i="14"/>
  <c r="BU209" i="14"/>
  <c r="BT209" i="14"/>
  <c r="BW209" i="14" s="1"/>
  <c r="CJ209" i="14" s="1"/>
  <c r="CC216" i="3" s="1"/>
  <c r="BS209" i="14"/>
  <c r="CA209" i="14"/>
  <c r="CB209" i="14" s="1"/>
  <c r="AW461" i="14"/>
  <c r="AY461" i="14" s="1"/>
  <c r="CF461" i="14" s="1"/>
  <c r="CK461" i="14" s="1"/>
  <c r="BA217" i="3" s="1"/>
  <c r="CD211" i="14"/>
  <c r="BE211" i="14"/>
  <c r="BG211" i="14" s="1"/>
  <c r="BV462" i="14"/>
  <c r="BX462" i="14" s="1"/>
  <c r="BT462" i="14"/>
  <c r="BW462" i="14" s="1"/>
  <c r="CA462" i="14"/>
  <c r="CB462" i="14" s="1"/>
  <c r="BA212" i="14"/>
  <c r="BK212" i="14" s="1"/>
  <c r="AZ212" i="14"/>
  <c r="AC212" i="14"/>
  <c r="AK212" i="14"/>
  <c r="AL212" i="14" s="1"/>
  <c r="AM212" i="14" s="1"/>
  <c r="AN212" i="14" s="1"/>
  <c r="AO212" i="14" s="1"/>
  <c r="AP212" i="14" s="1"/>
  <c r="AF212" i="14"/>
  <c r="AQ212" i="14"/>
  <c r="AR212" i="14" s="1"/>
  <c r="AS212" i="14" s="1"/>
  <c r="AT212" i="14" s="1"/>
  <c r="AU212" i="14" s="1"/>
  <c r="BN212" i="14"/>
  <c r="BO212" i="14" s="1"/>
  <c r="AW210" i="14"/>
  <c r="BQ463" i="14"/>
  <c r="BR463" i="14" s="1"/>
  <c r="BN463" i="14"/>
  <c r="BO463" i="14" s="1"/>
  <c r="AB464" i="14"/>
  <c r="BI464" i="14"/>
  <c r="BJ464" i="14" s="1"/>
  <c r="BC464" i="14"/>
  <c r="BD464" i="14" s="1"/>
  <c r="AA464" i="14"/>
  <c r="AX464" i="14" s="1"/>
  <c r="BM464" i="14"/>
  <c r="BB464" i="14"/>
  <c r="AD464" i="14"/>
  <c r="AC463" i="14"/>
  <c r="AK463" i="14"/>
  <c r="AL463" i="14" s="1"/>
  <c r="AM463" i="14" s="1"/>
  <c r="AN463" i="14" s="1"/>
  <c r="AO463" i="14" s="1"/>
  <c r="AP463" i="14" s="1"/>
  <c r="BA463" i="14"/>
  <c r="BK463" i="14" s="1"/>
  <c r="AQ463" i="14"/>
  <c r="AR463" i="14" s="1"/>
  <c r="AS463" i="14" s="1"/>
  <c r="AT463" i="14" s="1"/>
  <c r="AU463" i="14" s="1"/>
  <c r="AF463" i="14"/>
  <c r="AG463" i="14" s="1"/>
  <c r="AH463" i="14" s="1"/>
  <c r="AI463" i="14" s="1"/>
  <c r="AJ463" i="14" s="1"/>
  <c r="AZ463" i="14"/>
  <c r="AV212" i="14"/>
  <c r="CD462" i="14"/>
  <c r="BE462" i="14"/>
  <c r="BG462" i="14" s="1"/>
  <c r="AE465" i="14"/>
  <c r="Z465" i="14"/>
  <c r="AE214" i="14"/>
  <c r="Z214" i="14"/>
  <c r="AV463" i="14"/>
  <c r="AW211" i="14"/>
  <c r="BZ462" i="14"/>
  <c r="BU462" i="14"/>
  <c r="BS462" i="14"/>
  <c r="AG462" i="14"/>
  <c r="AH462" i="14" s="1"/>
  <c r="AI462" i="14" s="1"/>
  <c r="AJ462" i="14" s="1"/>
  <c r="BB213" i="14"/>
  <c r="BM213" i="14"/>
  <c r="AB213" i="14"/>
  <c r="AD213" i="14"/>
  <c r="AA213" i="14"/>
  <c r="AX213" i="14" s="1"/>
  <c r="BI213" i="14"/>
  <c r="BJ213" i="14" s="1"/>
  <c r="BC213" i="14"/>
  <c r="BD213" i="14" s="1"/>
  <c r="BI220" i="3"/>
  <c r="BG220" i="3"/>
  <c r="BM220" i="3" s="1"/>
  <c r="C218" i="26"/>
  <c r="C218" i="25"/>
  <c r="D217" i="26"/>
  <c r="D217" i="25"/>
  <c r="BE220" i="3"/>
  <c r="AW217" i="3"/>
  <c r="CK220" i="3"/>
  <c r="CF221" i="3"/>
  <c r="BC220" i="3"/>
  <c r="BN220" i="3" s="1"/>
  <c r="BY221" i="3"/>
  <c r="CJ220" i="3"/>
  <c r="AV220" i="3" s="1"/>
  <c r="BR218" i="3"/>
  <c r="DD380" i="3"/>
  <c r="BJ219" i="3"/>
  <c r="BP219" i="3" s="1"/>
  <c r="BF219" i="3"/>
  <c r="BQ219" i="3" s="1"/>
  <c r="D221" i="3"/>
  <c r="DD381" i="3" s="1"/>
  <c r="BO219" i="3"/>
  <c r="AU219" i="3" s="1"/>
  <c r="C222" i="3"/>
  <c r="BW221" i="3"/>
  <c r="CI221" i="3" s="1"/>
  <c r="BL221" i="3"/>
  <c r="BK221" i="3"/>
  <c r="AH221" i="3"/>
  <c r="P218" i="26" s="1"/>
  <c r="AG221" i="3"/>
  <c r="O218" i="26" s="1"/>
  <c r="AY221" i="3"/>
  <c r="BD221" i="3" s="1"/>
  <c r="AJ221" i="3"/>
  <c r="R218" i="26" s="1"/>
  <c r="AI221" i="3"/>
  <c r="Q218" i="26" s="1"/>
  <c r="CM209" i="14" l="1"/>
  <c r="CG216" i="3" s="1"/>
  <c r="BV222" i="3"/>
  <c r="BU222" i="3"/>
  <c r="AY211" i="14"/>
  <c r="CE211" i="14" s="1"/>
  <c r="BQ211" i="14"/>
  <c r="BR211" i="14" s="1"/>
  <c r="AY210" i="14"/>
  <c r="CF210" i="14" s="1"/>
  <c r="BQ210" i="14"/>
  <c r="BR210" i="14" s="1"/>
  <c r="CE461" i="14"/>
  <c r="CJ461" i="14" s="1"/>
  <c r="AZ217" i="3" s="1"/>
  <c r="CH461" i="14"/>
  <c r="CM461" i="14" s="1"/>
  <c r="BB217" i="3" s="1"/>
  <c r="CH210" i="14"/>
  <c r="AV213" i="14"/>
  <c r="AQ213" i="14"/>
  <c r="AR213" i="14" s="1"/>
  <c r="AS213" i="14" s="1"/>
  <c r="AT213" i="14" s="1"/>
  <c r="AU213" i="14" s="1"/>
  <c r="AZ213" i="14"/>
  <c r="BA213" i="14"/>
  <c r="BK213" i="14" s="1"/>
  <c r="AC213" i="14"/>
  <c r="AK213" i="14"/>
  <c r="AL213" i="14" s="1"/>
  <c r="AM213" i="14" s="1"/>
  <c r="AN213" i="14" s="1"/>
  <c r="AO213" i="14" s="1"/>
  <c r="AP213" i="14" s="1"/>
  <c r="AF213" i="14"/>
  <c r="AG213" i="14" s="1"/>
  <c r="AH213" i="14" s="1"/>
  <c r="AI213" i="14" s="1"/>
  <c r="AJ213" i="14" s="1"/>
  <c r="BM465" i="14"/>
  <c r="BC465" i="14"/>
  <c r="BD465" i="14" s="1"/>
  <c r="BB465" i="14"/>
  <c r="AB465" i="14"/>
  <c r="AA465" i="14"/>
  <c r="AX465" i="14" s="1"/>
  <c r="BI465" i="14"/>
  <c r="BJ465" i="14" s="1"/>
  <c r="AD465" i="14"/>
  <c r="CD463" i="14"/>
  <c r="BE463" i="14"/>
  <c r="BG463" i="14" s="1"/>
  <c r="AK464" i="14"/>
  <c r="AL464" i="14" s="1"/>
  <c r="AM464" i="14" s="1"/>
  <c r="AN464" i="14" s="1"/>
  <c r="AO464" i="14" s="1"/>
  <c r="AP464" i="14" s="1"/>
  <c r="BA464" i="14"/>
  <c r="BK464" i="14" s="1"/>
  <c r="AC464" i="14"/>
  <c r="AF464" i="14"/>
  <c r="AG464" i="14" s="1"/>
  <c r="AH464" i="14" s="1"/>
  <c r="AI464" i="14" s="1"/>
  <c r="AJ464" i="14" s="1"/>
  <c r="AQ464" i="14"/>
  <c r="AR464" i="14" s="1"/>
  <c r="AS464" i="14" s="1"/>
  <c r="AT464" i="14" s="1"/>
  <c r="AU464" i="14" s="1"/>
  <c r="AZ464" i="14"/>
  <c r="BZ463" i="14"/>
  <c r="BS463" i="14"/>
  <c r="BU463" i="14"/>
  <c r="CD212" i="14"/>
  <c r="BE212" i="14"/>
  <c r="BG212" i="14" s="1"/>
  <c r="AD214" i="14"/>
  <c r="BC214" i="14"/>
  <c r="BD214" i="14" s="1"/>
  <c r="AB214" i="14"/>
  <c r="BI214" i="14"/>
  <c r="BJ214" i="14" s="1"/>
  <c r="BB214" i="14"/>
  <c r="BM214" i="14"/>
  <c r="AA214" i="14"/>
  <c r="AV214" i="14" s="1"/>
  <c r="AW463" i="14"/>
  <c r="AY463" i="14" s="1"/>
  <c r="CE463" i="14" s="1"/>
  <c r="AV464" i="14"/>
  <c r="CA463" i="14"/>
  <c r="CB463" i="14" s="1"/>
  <c r="BT463" i="14"/>
  <c r="BW463" i="14" s="1"/>
  <c r="BV463" i="14"/>
  <c r="BX463" i="14" s="1"/>
  <c r="Z466" i="14"/>
  <c r="AE466" i="14"/>
  <c r="AE215" i="14"/>
  <c r="Z215" i="14"/>
  <c r="BN213" i="14"/>
  <c r="BO213" i="14" s="1"/>
  <c r="AW462" i="14"/>
  <c r="AY462" i="14" s="1"/>
  <c r="CE462" i="14" s="1"/>
  <c r="CJ462" i="14" s="1"/>
  <c r="AZ218" i="3" s="1"/>
  <c r="BN464" i="14"/>
  <c r="BO464" i="14" s="1"/>
  <c r="BQ464" i="14"/>
  <c r="BR464" i="14" s="1"/>
  <c r="AG212" i="14"/>
  <c r="AH212" i="14" s="1"/>
  <c r="AI212" i="14" s="1"/>
  <c r="AJ212" i="14" s="1"/>
  <c r="BH221" i="3"/>
  <c r="D218" i="26"/>
  <c r="D218" i="25"/>
  <c r="C219" i="25"/>
  <c r="C219" i="26"/>
  <c r="BI221" i="3"/>
  <c r="BG221" i="3"/>
  <c r="BM221" i="3" s="1"/>
  <c r="BE221" i="3"/>
  <c r="AW218" i="3"/>
  <c r="CF222" i="3"/>
  <c r="CK221" i="3"/>
  <c r="BC221" i="3"/>
  <c r="BN221" i="3" s="1"/>
  <c r="BY222" i="3"/>
  <c r="BJ220" i="3"/>
  <c r="BP220" i="3" s="1"/>
  <c r="CJ221" i="3"/>
  <c r="AV221" i="3" s="1"/>
  <c r="BR219" i="3"/>
  <c r="BF220" i="3"/>
  <c r="BQ220" i="3" s="1"/>
  <c r="D222" i="3"/>
  <c r="BI222" i="3" s="1"/>
  <c r="C223" i="3"/>
  <c r="BL222" i="3"/>
  <c r="BK222" i="3"/>
  <c r="AY222" i="3"/>
  <c r="BD222" i="3" s="1"/>
  <c r="BW222" i="3"/>
  <c r="CJ222" i="3" s="1"/>
  <c r="AV222" i="3" s="1"/>
  <c r="AG222" i="3"/>
  <c r="O219" i="26" s="1"/>
  <c r="AJ222" i="3"/>
  <c r="R219" i="26" s="1"/>
  <c r="AI222" i="3"/>
  <c r="Q219" i="26" s="1"/>
  <c r="AH222" i="3"/>
  <c r="P219" i="26" s="1"/>
  <c r="BO220" i="3"/>
  <c r="AU220" i="3" s="1"/>
  <c r="CH211" i="14" l="1"/>
  <c r="CF211" i="14"/>
  <c r="CE210" i="14"/>
  <c r="BV223" i="3"/>
  <c r="BU223" i="3"/>
  <c r="BT211" i="14"/>
  <c r="BW211" i="14" s="1"/>
  <c r="CJ211" i="14" s="1"/>
  <c r="CC218" i="3" s="1"/>
  <c r="BU211" i="14"/>
  <c r="BS211" i="14"/>
  <c r="CA211" i="14"/>
  <c r="CB211" i="14" s="1"/>
  <c r="CM211" i="14" s="1"/>
  <c r="CG218" i="3" s="1"/>
  <c r="BV211" i="14"/>
  <c r="BX211" i="14" s="1"/>
  <c r="CK211" i="14" s="1"/>
  <c r="CD218" i="3" s="1"/>
  <c r="BZ211" i="14"/>
  <c r="BU210" i="14"/>
  <c r="BV210" i="14"/>
  <c r="BX210" i="14" s="1"/>
  <c r="CK210" i="14" s="1"/>
  <c r="CD217" i="3" s="1"/>
  <c r="CA210" i="14"/>
  <c r="CB210" i="14" s="1"/>
  <c r="CM210" i="14" s="1"/>
  <c r="CG217" i="3" s="1"/>
  <c r="BZ210" i="14"/>
  <c r="BT210" i="14"/>
  <c r="BW210" i="14" s="1"/>
  <c r="BS210" i="14"/>
  <c r="AV465" i="14"/>
  <c r="AW212" i="14"/>
  <c r="CJ463" i="14"/>
  <c r="AZ219" i="3" s="1"/>
  <c r="Z467" i="14"/>
  <c r="AE467" i="14"/>
  <c r="Z216" i="14"/>
  <c r="AE216" i="14"/>
  <c r="BS464" i="14"/>
  <c r="BZ464" i="14"/>
  <c r="BU464" i="14"/>
  <c r="CH462" i="14"/>
  <c r="CM462" i="14" s="1"/>
  <c r="BB218" i="3" s="1"/>
  <c r="AD215" i="14"/>
  <c r="AB215" i="14"/>
  <c r="BB215" i="14"/>
  <c r="BM215" i="14"/>
  <c r="BC215" i="14"/>
  <c r="BD215" i="14" s="1"/>
  <c r="BI215" i="14"/>
  <c r="BJ215" i="14" s="1"/>
  <c r="AA215" i="14"/>
  <c r="AX215" i="14" s="1"/>
  <c r="AK214" i="14"/>
  <c r="AL214" i="14" s="1"/>
  <c r="AM214" i="14" s="1"/>
  <c r="AN214" i="14" s="1"/>
  <c r="AO214" i="14" s="1"/>
  <c r="AP214" i="14" s="1"/>
  <c r="AZ214" i="14"/>
  <c r="BA214" i="14"/>
  <c r="BK214" i="14" s="1"/>
  <c r="AC214" i="14"/>
  <c r="AF214" i="14"/>
  <c r="AQ214" i="14"/>
  <c r="AR214" i="14" s="1"/>
  <c r="AS214" i="14" s="1"/>
  <c r="AT214" i="14" s="1"/>
  <c r="AU214" i="14" s="1"/>
  <c r="CF463" i="14"/>
  <c r="CK463" i="14" s="1"/>
  <c r="BA219" i="3" s="1"/>
  <c r="CH463" i="14"/>
  <c r="CM463" i="14" s="1"/>
  <c r="BB219" i="3" s="1"/>
  <c r="AK465" i="14"/>
  <c r="AL465" i="14" s="1"/>
  <c r="AM465" i="14" s="1"/>
  <c r="AN465" i="14" s="1"/>
  <c r="AO465" i="14" s="1"/>
  <c r="AP465" i="14" s="1"/>
  <c r="BA465" i="14"/>
  <c r="BK465" i="14" s="1"/>
  <c r="AQ465" i="14"/>
  <c r="AR465" i="14" s="1"/>
  <c r="AS465" i="14" s="1"/>
  <c r="AT465" i="14" s="1"/>
  <c r="AU465" i="14" s="1"/>
  <c r="AZ465" i="14"/>
  <c r="AC465" i="14"/>
  <c r="AF465" i="14"/>
  <c r="AG465" i="14" s="1"/>
  <c r="AH465" i="14" s="1"/>
  <c r="AI465" i="14" s="1"/>
  <c r="AJ465" i="14" s="1"/>
  <c r="BQ465" i="14"/>
  <c r="BR465" i="14" s="1"/>
  <c r="BN465" i="14"/>
  <c r="BO465" i="14" s="1"/>
  <c r="BN214" i="14"/>
  <c r="BO214" i="14" s="1"/>
  <c r="CF462" i="14"/>
  <c r="CK462" i="14" s="1"/>
  <c r="BA218" i="3" s="1"/>
  <c r="AW464" i="14"/>
  <c r="AY464" i="14" s="1"/>
  <c r="CD213" i="14"/>
  <c r="BE213" i="14"/>
  <c r="BG213" i="14" s="1"/>
  <c r="BT464" i="14"/>
  <c r="BW464" i="14" s="1"/>
  <c r="BV464" i="14"/>
  <c r="BX464" i="14" s="1"/>
  <c r="CA464" i="14"/>
  <c r="CB464" i="14" s="1"/>
  <c r="BM466" i="14"/>
  <c r="BC466" i="14"/>
  <c r="BD466" i="14" s="1"/>
  <c r="AA466" i="14"/>
  <c r="AX466" i="14" s="1"/>
  <c r="AB466" i="14"/>
  <c r="BI466" i="14"/>
  <c r="BJ466" i="14" s="1"/>
  <c r="AD466" i="14"/>
  <c r="BB466" i="14"/>
  <c r="AX214" i="14"/>
  <c r="CD464" i="14"/>
  <c r="BE464" i="14"/>
  <c r="BG464" i="14" s="1"/>
  <c r="AW213" i="14"/>
  <c r="D219" i="26"/>
  <c r="D219" i="25"/>
  <c r="C220" i="26"/>
  <c r="C220" i="25"/>
  <c r="BG222" i="3"/>
  <c r="BM222" i="3" s="1"/>
  <c r="BH222" i="3"/>
  <c r="BE222" i="3"/>
  <c r="AW219" i="3"/>
  <c r="CF223" i="3"/>
  <c r="CK222" i="3"/>
  <c r="BC222" i="3"/>
  <c r="BN222" i="3" s="1"/>
  <c r="DD382" i="3"/>
  <c r="BR220" i="3"/>
  <c r="CI222" i="3"/>
  <c r="BY223" i="3"/>
  <c r="BJ221" i="3"/>
  <c r="BP221" i="3" s="1"/>
  <c r="BF221" i="3"/>
  <c r="BQ221" i="3" s="1"/>
  <c r="D223" i="3"/>
  <c r="BO221" i="3"/>
  <c r="AU221" i="3" s="1"/>
  <c r="C224" i="3"/>
  <c r="BW223" i="3"/>
  <c r="CK223" i="3" s="1"/>
  <c r="BL223" i="3"/>
  <c r="BK223" i="3"/>
  <c r="AY223" i="3"/>
  <c r="AJ223" i="3"/>
  <c r="R220" i="26" s="1"/>
  <c r="AI223" i="3"/>
  <c r="Q220" i="26" s="1"/>
  <c r="AH223" i="3"/>
  <c r="P220" i="26" s="1"/>
  <c r="AG223" i="3"/>
  <c r="O220" i="26" s="1"/>
  <c r="CJ210" i="14" l="1"/>
  <c r="CC217" i="3" s="1"/>
  <c r="BD223" i="3"/>
  <c r="BV224" i="3"/>
  <c r="BU224" i="3"/>
  <c r="AV215" i="14"/>
  <c r="AY213" i="14"/>
  <c r="BQ213" i="14"/>
  <c r="BR213" i="14" s="1"/>
  <c r="AY212" i="14"/>
  <c r="CF212" i="14" s="1"/>
  <c r="BQ212" i="14"/>
  <c r="BR212" i="14" s="1"/>
  <c r="CF213" i="14"/>
  <c r="CE464" i="14"/>
  <c r="CJ464" i="14" s="1"/>
  <c r="AZ220" i="3" s="1"/>
  <c r="AW465" i="14"/>
  <c r="AY465" i="14" s="1"/>
  <c r="BN215" i="14"/>
  <c r="BO215" i="14" s="1"/>
  <c r="AZ466" i="14"/>
  <c r="AQ466" i="14"/>
  <c r="AR466" i="14" s="1"/>
  <c r="AS466" i="14" s="1"/>
  <c r="AT466" i="14" s="1"/>
  <c r="AU466" i="14" s="1"/>
  <c r="AK466" i="14"/>
  <c r="AL466" i="14" s="1"/>
  <c r="AM466" i="14" s="1"/>
  <c r="AN466" i="14" s="1"/>
  <c r="AO466" i="14" s="1"/>
  <c r="AP466" i="14" s="1"/>
  <c r="AC466" i="14"/>
  <c r="AF466" i="14"/>
  <c r="AG466" i="14" s="1"/>
  <c r="AH466" i="14" s="1"/>
  <c r="AI466" i="14" s="1"/>
  <c r="AJ466" i="14" s="1"/>
  <c r="BA466" i="14"/>
  <c r="BK466" i="14" s="1"/>
  <c r="BA215" i="14"/>
  <c r="BK215" i="14" s="1"/>
  <c r="AF215" i="14"/>
  <c r="AG215" i="14" s="1"/>
  <c r="AH215" i="14" s="1"/>
  <c r="AI215" i="14" s="1"/>
  <c r="AJ215" i="14" s="1"/>
  <c r="AK215" i="14"/>
  <c r="AL215" i="14" s="1"/>
  <c r="AM215" i="14" s="1"/>
  <c r="AN215" i="14" s="1"/>
  <c r="AO215" i="14" s="1"/>
  <c r="AP215" i="14" s="1"/>
  <c r="AQ215" i="14"/>
  <c r="AR215" i="14" s="1"/>
  <c r="AS215" i="14" s="1"/>
  <c r="AT215" i="14" s="1"/>
  <c r="AU215" i="14" s="1"/>
  <c r="AC215" i="14"/>
  <c r="AZ215" i="14"/>
  <c r="AD216" i="14"/>
  <c r="BC216" i="14"/>
  <c r="BD216" i="14" s="1"/>
  <c r="BM216" i="14"/>
  <c r="BI216" i="14"/>
  <c r="BJ216" i="14" s="1"/>
  <c r="AB216" i="14"/>
  <c r="BB216" i="14"/>
  <c r="AA216" i="14"/>
  <c r="AX216" i="14" s="1"/>
  <c r="BS465" i="14"/>
  <c r="BZ465" i="14"/>
  <c r="BU465" i="14"/>
  <c r="AE468" i="14"/>
  <c r="Z468" i="14"/>
  <c r="AE217" i="14"/>
  <c r="Z217" i="14"/>
  <c r="BE214" i="14"/>
  <c r="BG214" i="14" s="1"/>
  <c r="CD214" i="14"/>
  <c r="AV466" i="14"/>
  <c r="CH464" i="14"/>
  <c r="CM464" i="14" s="1"/>
  <c r="BB220" i="3" s="1"/>
  <c r="CF464" i="14"/>
  <c r="CK464" i="14" s="1"/>
  <c r="BA220" i="3" s="1"/>
  <c r="BQ466" i="14"/>
  <c r="BR466" i="14" s="1"/>
  <c r="BN466" i="14"/>
  <c r="BO466" i="14" s="1"/>
  <c r="CH213" i="14"/>
  <c r="CE213" i="14"/>
  <c r="BV465" i="14"/>
  <c r="BX465" i="14" s="1"/>
  <c r="CA465" i="14"/>
  <c r="CB465" i="14" s="1"/>
  <c r="BT465" i="14"/>
  <c r="BW465" i="14" s="1"/>
  <c r="BE465" i="14"/>
  <c r="BG465" i="14" s="1"/>
  <c r="CD465" i="14"/>
  <c r="AG214" i="14"/>
  <c r="AH214" i="14" s="1"/>
  <c r="AI214" i="14" s="1"/>
  <c r="AJ214" i="14" s="1"/>
  <c r="BC467" i="14"/>
  <c r="BD467" i="14" s="1"/>
  <c r="AD467" i="14"/>
  <c r="BM467" i="14"/>
  <c r="AA467" i="14"/>
  <c r="BB467" i="14"/>
  <c r="BI467" i="14"/>
  <c r="BJ467" i="14" s="1"/>
  <c r="AB467" i="14"/>
  <c r="BG223" i="3"/>
  <c r="BM223" i="3" s="1"/>
  <c r="D220" i="26"/>
  <c r="D220" i="25"/>
  <c r="C221" i="25"/>
  <c r="C221" i="26"/>
  <c r="BH223" i="3"/>
  <c r="BI223" i="3"/>
  <c r="BE223" i="3"/>
  <c r="AW220" i="3"/>
  <c r="CF224" i="3"/>
  <c r="BJ222" i="3"/>
  <c r="BP222" i="3" s="1"/>
  <c r="DD383" i="3"/>
  <c r="BC223" i="3"/>
  <c r="BN223" i="3" s="1"/>
  <c r="BR221" i="3"/>
  <c r="CJ223" i="3"/>
  <c r="AV223" i="3" s="1"/>
  <c r="CI223" i="3"/>
  <c r="BY224" i="3"/>
  <c r="BF222" i="3"/>
  <c r="BQ222" i="3" s="1"/>
  <c r="D224" i="3"/>
  <c r="BG224" i="3" s="1"/>
  <c r="BO222" i="3"/>
  <c r="AU222" i="3" s="1"/>
  <c r="C225" i="3"/>
  <c r="BW224" i="3"/>
  <c r="CI224" i="3" s="1"/>
  <c r="BL224" i="3"/>
  <c r="BK224" i="3"/>
  <c r="AY224" i="3"/>
  <c r="AI224" i="3"/>
  <c r="Q221" i="26" s="1"/>
  <c r="AH224" i="3"/>
  <c r="P221" i="26" s="1"/>
  <c r="AG224" i="3"/>
  <c r="O221" i="26" s="1"/>
  <c r="AJ224" i="3"/>
  <c r="R221" i="26" s="1"/>
  <c r="BD224" i="3" l="1"/>
  <c r="BV225" i="3"/>
  <c r="BU225" i="3"/>
  <c r="CE212" i="14"/>
  <c r="CH212" i="14"/>
  <c r="CA213" i="14"/>
  <c r="CB213" i="14" s="1"/>
  <c r="CM213" i="14" s="1"/>
  <c r="CG220" i="3" s="1"/>
  <c r="BZ213" i="14"/>
  <c r="BV213" i="14"/>
  <c r="BX213" i="14" s="1"/>
  <c r="CK213" i="14" s="1"/>
  <c r="CD220" i="3" s="1"/>
  <c r="BU213" i="14"/>
  <c r="BT213" i="14"/>
  <c r="BW213" i="14" s="1"/>
  <c r="CJ213" i="14" s="1"/>
  <c r="CC220" i="3" s="1"/>
  <c r="BS213" i="14"/>
  <c r="CA212" i="14"/>
  <c r="CB212" i="14" s="1"/>
  <c r="BT212" i="14"/>
  <c r="BW212" i="14" s="1"/>
  <c r="BV212" i="14"/>
  <c r="BX212" i="14" s="1"/>
  <c r="CK212" i="14" s="1"/>
  <c r="CD219" i="3" s="1"/>
  <c r="BZ212" i="14"/>
  <c r="BU212" i="14"/>
  <c r="BS212" i="14"/>
  <c r="AW214" i="14"/>
  <c r="AE469" i="14"/>
  <c r="Z469" i="14"/>
  <c r="Z218" i="14"/>
  <c r="AE218" i="14"/>
  <c r="AF467" i="14"/>
  <c r="AC467" i="14"/>
  <c r="AZ467" i="14"/>
  <c r="AQ467" i="14"/>
  <c r="AR467" i="14" s="1"/>
  <c r="AS467" i="14" s="1"/>
  <c r="AT467" i="14" s="1"/>
  <c r="AU467" i="14" s="1"/>
  <c r="AK467" i="14"/>
  <c r="AL467" i="14" s="1"/>
  <c r="AM467" i="14" s="1"/>
  <c r="AN467" i="14" s="1"/>
  <c r="AO467" i="14" s="1"/>
  <c r="AP467" i="14" s="1"/>
  <c r="BA467" i="14"/>
  <c r="BK467" i="14" s="1"/>
  <c r="CF465" i="14"/>
  <c r="CK465" i="14" s="1"/>
  <c r="BA221" i="3" s="1"/>
  <c r="CH465" i="14"/>
  <c r="CM465" i="14" s="1"/>
  <c r="BB221" i="3" s="1"/>
  <c r="CE465" i="14"/>
  <c r="CJ465" i="14" s="1"/>
  <c r="AZ221" i="3" s="1"/>
  <c r="BV466" i="14"/>
  <c r="BX466" i="14" s="1"/>
  <c r="BT466" i="14"/>
  <c r="BW466" i="14" s="1"/>
  <c r="CA466" i="14"/>
  <c r="CB466" i="14" s="1"/>
  <c r="AQ216" i="14"/>
  <c r="AR216" i="14" s="1"/>
  <c r="AS216" i="14" s="1"/>
  <c r="AT216" i="14" s="1"/>
  <c r="AU216" i="14" s="1"/>
  <c r="BA216" i="14"/>
  <c r="BK216" i="14" s="1"/>
  <c r="AC216" i="14"/>
  <c r="AF216" i="14"/>
  <c r="AZ216" i="14"/>
  <c r="AK216" i="14"/>
  <c r="AL216" i="14" s="1"/>
  <c r="AM216" i="14" s="1"/>
  <c r="AN216" i="14" s="1"/>
  <c r="AO216" i="14" s="1"/>
  <c r="AP216" i="14" s="1"/>
  <c r="AV216" i="14"/>
  <c r="BM468" i="14"/>
  <c r="BC468" i="14"/>
  <c r="BD468" i="14" s="1"/>
  <c r="AB468" i="14"/>
  <c r="BI468" i="14"/>
  <c r="BJ468" i="14" s="1"/>
  <c r="AA468" i="14"/>
  <c r="AV468" i="14" s="1"/>
  <c r="AD468" i="14"/>
  <c r="BB468" i="14"/>
  <c r="AX467" i="14"/>
  <c r="CD215" i="14"/>
  <c r="BE215" i="14"/>
  <c r="BG215" i="14" s="1"/>
  <c r="AW466" i="14"/>
  <c r="AY466" i="14" s="1"/>
  <c r="BN216" i="14"/>
  <c r="BO216" i="14" s="1"/>
  <c r="BQ467" i="14"/>
  <c r="BR467" i="14" s="1"/>
  <c r="BN467" i="14"/>
  <c r="BO467" i="14" s="1"/>
  <c r="BS466" i="14"/>
  <c r="BU466" i="14"/>
  <c r="BZ466" i="14"/>
  <c r="BB217" i="14"/>
  <c r="AB217" i="14"/>
  <c r="BM217" i="14"/>
  <c r="AD217" i="14"/>
  <c r="BI217" i="14"/>
  <c r="BJ217" i="14" s="1"/>
  <c r="AA217" i="14"/>
  <c r="AV217" i="14" s="1"/>
  <c r="BC217" i="14"/>
  <c r="BD217" i="14" s="1"/>
  <c r="AV467" i="14"/>
  <c r="AW215" i="14"/>
  <c r="CD466" i="14"/>
  <c r="BE466" i="14"/>
  <c r="BG466" i="14" s="1"/>
  <c r="BH224" i="3"/>
  <c r="D221" i="26"/>
  <c r="D221" i="25"/>
  <c r="C222" i="26"/>
  <c r="C222" i="25"/>
  <c r="BI224" i="3"/>
  <c r="BE224" i="3"/>
  <c r="CK224" i="3"/>
  <c r="AW221" i="3"/>
  <c r="CF225" i="3"/>
  <c r="BR222" i="3"/>
  <c r="BM224" i="3"/>
  <c r="BC224" i="3"/>
  <c r="BN224" i="3" s="1"/>
  <c r="DD384" i="3"/>
  <c r="BJ223" i="3"/>
  <c r="BP223" i="3" s="1"/>
  <c r="CJ224" i="3"/>
  <c r="AV224" i="3" s="1"/>
  <c r="BY225" i="3"/>
  <c r="BF223" i="3"/>
  <c r="BQ223" i="3" s="1"/>
  <c r="D225" i="3"/>
  <c r="BI225" i="3" s="1"/>
  <c r="C226" i="3"/>
  <c r="BK225" i="3"/>
  <c r="AY225" i="3"/>
  <c r="BW225" i="3"/>
  <c r="CK225" i="3" s="1"/>
  <c r="BL225" i="3"/>
  <c r="AH225" i="3"/>
  <c r="P222" i="26" s="1"/>
  <c r="AG225" i="3"/>
  <c r="O222" i="26" s="1"/>
  <c r="AJ225" i="3"/>
  <c r="R222" i="26" s="1"/>
  <c r="AI225" i="3"/>
  <c r="Q222" i="26" s="1"/>
  <c r="BO223" i="3"/>
  <c r="AU223" i="3" s="1"/>
  <c r="BD225" i="3" l="1"/>
  <c r="CM212" i="14"/>
  <c r="CG219" i="3" s="1"/>
  <c r="BV226" i="3"/>
  <c r="BU226" i="3"/>
  <c r="CJ212" i="14"/>
  <c r="CC219" i="3" s="1"/>
  <c r="AY214" i="14"/>
  <c r="CE214" i="14" s="1"/>
  <c r="BQ214" i="14"/>
  <c r="BR214" i="14" s="1"/>
  <c r="AY215" i="14"/>
  <c r="CH215" i="14" s="1"/>
  <c r="BQ215" i="14"/>
  <c r="BR215" i="14" s="1"/>
  <c r="CH214" i="14"/>
  <c r="CD216" i="14"/>
  <c r="BE216" i="14"/>
  <c r="BG216" i="14" s="1"/>
  <c r="CH466" i="14"/>
  <c r="CM466" i="14" s="1"/>
  <c r="BB222" i="3" s="1"/>
  <c r="CF466" i="14"/>
  <c r="CK466" i="14" s="1"/>
  <c r="BA222" i="3" s="1"/>
  <c r="CE466" i="14"/>
  <c r="CJ466" i="14" s="1"/>
  <c r="AZ222" i="3" s="1"/>
  <c r="BN217" i="14"/>
  <c r="BO217" i="14" s="1"/>
  <c r="AZ468" i="14"/>
  <c r="AK468" i="14"/>
  <c r="AL468" i="14" s="1"/>
  <c r="AM468" i="14" s="1"/>
  <c r="AN468" i="14" s="1"/>
  <c r="AO468" i="14" s="1"/>
  <c r="AP468" i="14" s="1"/>
  <c r="BA468" i="14"/>
  <c r="BK468" i="14" s="1"/>
  <c r="AC468" i="14"/>
  <c r="AF468" i="14"/>
  <c r="AG468" i="14" s="1"/>
  <c r="AH468" i="14" s="1"/>
  <c r="AI468" i="14" s="1"/>
  <c r="AJ468" i="14" s="1"/>
  <c r="AQ468" i="14"/>
  <c r="AR468" i="14" s="1"/>
  <c r="AS468" i="14" s="1"/>
  <c r="AT468" i="14" s="1"/>
  <c r="AU468" i="14" s="1"/>
  <c r="BN468" i="14"/>
  <c r="BO468" i="14" s="1"/>
  <c r="BQ468" i="14"/>
  <c r="BR468" i="14" s="1"/>
  <c r="BZ467" i="14"/>
  <c r="BS467" i="14"/>
  <c r="BU467" i="14"/>
  <c r="AB469" i="14"/>
  <c r="BB469" i="14"/>
  <c r="AA469" i="14"/>
  <c r="AX469" i="14" s="1"/>
  <c r="BC469" i="14"/>
  <c r="BD469" i="14" s="1"/>
  <c r="BM469" i="14"/>
  <c r="BI469" i="14"/>
  <c r="BJ469" i="14" s="1"/>
  <c r="AD469" i="14"/>
  <c r="Z470" i="14"/>
  <c r="AE470" i="14"/>
  <c r="AE219" i="14"/>
  <c r="Z219" i="14"/>
  <c r="AC217" i="14"/>
  <c r="AQ217" i="14"/>
  <c r="AR217" i="14" s="1"/>
  <c r="AS217" i="14" s="1"/>
  <c r="AT217" i="14" s="1"/>
  <c r="AU217" i="14" s="1"/>
  <c r="AK217" i="14"/>
  <c r="AL217" i="14" s="1"/>
  <c r="AM217" i="14" s="1"/>
  <c r="AN217" i="14" s="1"/>
  <c r="AO217" i="14" s="1"/>
  <c r="AP217" i="14" s="1"/>
  <c r="AF217" i="14"/>
  <c r="AG217" i="14" s="1"/>
  <c r="AH217" i="14" s="1"/>
  <c r="AI217" i="14" s="1"/>
  <c r="AJ217" i="14" s="1"/>
  <c r="AZ217" i="14"/>
  <c r="BA217" i="14"/>
  <c r="BK217" i="14" s="1"/>
  <c r="BC218" i="14"/>
  <c r="BD218" i="14" s="1"/>
  <c r="AB218" i="14"/>
  <c r="BI218" i="14"/>
  <c r="BJ218" i="14" s="1"/>
  <c r="BB218" i="14"/>
  <c r="AD218" i="14"/>
  <c r="AA218" i="14"/>
  <c r="BM218" i="14"/>
  <c r="AX217" i="14"/>
  <c r="CA467" i="14"/>
  <c r="CB467" i="14" s="1"/>
  <c r="BV467" i="14"/>
  <c r="BX467" i="14" s="1"/>
  <c r="BT467" i="14"/>
  <c r="BW467" i="14" s="1"/>
  <c r="AX468" i="14"/>
  <c r="AG216" i="14"/>
  <c r="AH216" i="14" s="1"/>
  <c r="AI216" i="14" s="1"/>
  <c r="AJ216" i="14" s="1"/>
  <c r="AG467" i="14"/>
  <c r="AH467" i="14" s="1"/>
  <c r="AI467" i="14" s="1"/>
  <c r="AJ467" i="14" s="1"/>
  <c r="BE467" i="14"/>
  <c r="BG467" i="14" s="1"/>
  <c r="CD467" i="14"/>
  <c r="BG225" i="3"/>
  <c r="BM225" i="3" s="1"/>
  <c r="BH225" i="3"/>
  <c r="D222" i="26"/>
  <c r="D222" i="25"/>
  <c r="C223" i="25"/>
  <c r="C223" i="26"/>
  <c r="BE225" i="3"/>
  <c r="CF226" i="3"/>
  <c r="AW222" i="3"/>
  <c r="BC225" i="3"/>
  <c r="BN225" i="3" s="1"/>
  <c r="BR223" i="3"/>
  <c r="CJ225" i="3"/>
  <c r="AV225" i="3" s="1"/>
  <c r="BY226" i="3"/>
  <c r="CI225" i="3"/>
  <c r="BJ224" i="3"/>
  <c r="BP224" i="3" s="1"/>
  <c r="DD385" i="3"/>
  <c r="BF224" i="3"/>
  <c r="BQ224" i="3" s="1"/>
  <c r="D226" i="3"/>
  <c r="BH226" i="3" s="1"/>
  <c r="C227" i="3"/>
  <c r="BK226" i="3"/>
  <c r="AY226" i="3"/>
  <c r="BW226" i="3"/>
  <c r="CI226" i="3" s="1"/>
  <c r="AG226" i="3"/>
  <c r="O223" i="26" s="1"/>
  <c r="AJ226" i="3"/>
  <c r="R223" i="26" s="1"/>
  <c r="BL226" i="3"/>
  <c r="AI226" i="3"/>
  <c r="Q223" i="26" s="1"/>
  <c r="AH226" i="3"/>
  <c r="P223" i="26" s="1"/>
  <c r="BO224" i="3"/>
  <c r="AU224" i="3" s="1"/>
  <c r="CF214" i="14" l="1"/>
  <c r="CE215" i="14"/>
  <c r="CF215" i="14"/>
  <c r="BD226" i="3"/>
  <c r="BV227" i="3"/>
  <c r="BU227" i="3"/>
  <c r="BU214" i="14"/>
  <c r="BV214" i="14"/>
  <c r="BX214" i="14" s="1"/>
  <c r="BZ214" i="14"/>
  <c r="BT214" i="14"/>
  <c r="BW214" i="14" s="1"/>
  <c r="CJ214" i="14" s="1"/>
  <c r="CC221" i="3" s="1"/>
  <c r="BS214" i="14"/>
  <c r="CA214" i="14"/>
  <c r="CB214" i="14" s="1"/>
  <c r="CM214" i="14" s="1"/>
  <c r="CG221" i="3" s="1"/>
  <c r="BS215" i="14"/>
  <c r="CA215" i="14"/>
  <c r="CB215" i="14" s="1"/>
  <c r="CM215" i="14" s="1"/>
  <c r="CG222" i="3" s="1"/>
  <c r="BZ215" i="14"/>
  <c r="BU215" i="14"/>
  <c r="BV215" i="14"/>
  <c r="BX215" i="14" s="1"/>
  <c r="BT215" i="14"/>
  <c r="BW215" i="14" s="1"/>
  <c r="DD386" i="3"/>
  <c r="AV469" i="14"/>
  <c r="AE471" i="14"/>
  <c r="Z471" i="14"/>
  <c r="Z220" i="14"/>
  <c r="AE220" i="14"/>
  <c r="AV218" i="14"/>
  <c r="AC218" i="14"/>
  <c r="AZ218" i="14"/>
  <c r="AQ218" i="14"/>
  <c r="AR218" i="14" s="1"/>
  <c r="AS218" i="14" s="1"/>
  <c r="AT218" i="14" s="1"/>
  <c r="AU218" i="14" s="1"/>
  <c r="AK218" i="14"/>
  <c r="AL218" i="14" s="1"/>
  <c r="AM218" i="14" s="1"/>
  <c r="AN218" i="14" s="1"/>
  <c r="AO218" i="14" s="1"/>
  <c r="AP218" i="14" s="1"/>
  <c r="AF218" i="14"/>
  <c r="BA218" i="14"/>
  <c r="BK218" i="14" s="1"/>
  <c r="AW216" i="14"/>
  <c r="AX218" i="14"/>
  <c r="AW217" i="14"/>
  <c r="BM470" i="14"/>
  <c r="AB470" i="14"/>
  <c r="BI470" i="14"/>
  <c r="BJ470" i="14" s="1"/>
  <c r="AA470" i="14"/>
  <c r="AV470" i="14" s="1"/>
  <c r="BC470" i="14"/>
  <c r="BD470" i="14" s="1"/>
  <c r="BB470" i="14"/>
  <c r="AD470" i="14"/>
  <c r="BV468" i="14"/>
  <c r="BX468" i="14" s="1"/>
  <c r="CA468" i="14"/>
  <c r="CB468" i="14" s="1"/>
  <c r="BT468" i="14"/>
  <c r="BW468" i="14" s="1"/>
  <c r="AW468" i="14"/>
  <c r="AY468" i="14" s="1"/>
  <c r="CD468" i="14"/>
  <c r="BE468" i="14"/>
  <c r="BG468" i="14" s="1"/>
  <c r="CD217" i="14"/>
  <c r="BE217" i="14"/>
  <c r="BG217" i="14" s="1"/>
  <c r="AZ469" i="14"/>
  <c r="AQ469" i="14"/>
  <c r="AR469" i="14" s="1"/>
  <c r="AS469" i="14" s="1"/>
  <c r="AT469" i="14" s="1"/>
  <c r="AU469" i="14" s="1"/>
  <c r="BA469" i="14"/>
  <c r="BK469" i="14" s="1"/>
  <c r="AF469" i="14"/>
  <c r="AC469" i="14"/>
  <c r="AK469" i="14"/>
  <c r="AL469" i="14" s="1"/>
  <c r="AM469" i="14" s="1"/>
  <c r="AN469" i="14" s="1"/>
  <c r="AO469" i="14" s="1"/>
  <c r="AP469" i="14" s="1"/>
  <c r="AW467" i="14"/>
  <c r="AY467" i="14" s="1"/>
  <c r="CH467" i="14" s="1"/>
  <c r="CM467" i="14" s="1"/>
  <c r="BB223" i="3" s="1"/>
  <c r="BN218" i="14"/>
  <c r="BO218" i="14" s="1"/>
  <c r="AD219" i="14"/>
  <c r="AB219" i="14"/>
  <c r="BM219" i="14"/>
  <c r="BB219" i="14"/>
  <c r="BC219" i="14"/>
  <c r="BD219" i="14" s="1"/>
  <c r="AA219" i="14"/>
  <c r="BI219" i="14"/>
  <c r="BJ219" i="14" s="1"/>
  <c r="BN469" i="14"/>
  <c r="BO469" i="14" s="1"/>
  <c r="BQ469" i="14"/>
  <c r="BR469" i="14" s="1"/>
  <c r="BZ468" i="14"/>
  <c r="BU468" i="14"/>
  <c r="BS468" i="14"/>
  <c r="C224" i="26"/>
  <c r="C224" i="25"/>
  <c r="BG226" i="3"/>
  <c r="BM226" i="3" s="1"/>
  <c r="D223" i="26"/>
  <c r="D223" i="25"/>
  <c r="BI226" i="3"/>
  <c r="BE226" i="3"/>
  <c r="CK226" i="3"/>
  <c r="CF227" i="3"/>
  <c r="AW223" i="3"/>
  <c r="BC226" i="3"/>
  <c r="BN226" i="3" s="1"/>
  <c r="BR224" i="3"/>
  <c r="CJ226" i="3"/>
  <c r="AV226" i="3" s="1"/>
  <c r="BY227" i="3"/>
  <c r="BJ225" i="3"/>
  <c r="BP225" i="3" s="1"/>
  <c r="BF225" i="3"/>
  <c r="BQ225" i="3" s="1"/>
  <c r="D227" i="3"/>
  <c r="C228" i="3"/>
  <c r="BL227" i="3"/>
  <c r="BK227" i="3"/>
  <c r="AY227" i="3"/>
  <c r="BD227" i="3" s="1"/>
  <c r="BW227" i="3"/>
  <c r="CJ227" i="3" s="1"/>
  <c r="AV227" i="3" s="1"/>
  <c r="AJ227" i="3"/>
  <c r="R224" i="26" s="1"/>
  <c r="AI227" i="3"/>
  <c r="Q224" i="26" s="1"/>
  <c r="AH227" i="3"/>
  <c r="P224" i="26" s="1"/>
  <c r="AG227" i="3"/>
  <c r="O224" i="26" s="1"/>
  <c r="BO225" i="3"/>
  <c r="AU225" i="3" s="1"/>
  <c r="CJ215" i="14" l="1"/>
  <c r="CC222" i="3" s="1"/>
  <c r="CK214" i="14"/>
  <c r="CD221" i="3" s="1"/>
  <c r="CK215" i="14"/>
  <c r="CD222" i="3" s="1"/>
  <c r="BU228" i="3"/>
  <c r="BV228" i="3"/>
  <c r="AY217" i="14"/>
  <c r="CF217" i="14" s="1"/>
  <c r="BQ217" i="14"/>
  <c r="BR217" i="14" s="1"/>
  <c r="AW224" i="3"/>
  <c r="AY216" i="14"/>
  <c r="CE216" i="14" s="1"/>
  <c r="BQ216" i="14"/>
  <c r="BR216" i="14" s="1"/>
  <c r="BS469" i="14"/>
  <c r="BZ469" i="14"/>
  <c r="BU469" i="14"/>
  <c r="BA219" i="14"/>
  <c r="BK219" i="14" s="1"/>
  <c r="AF219" i="14"/>
  <c r="AG219" i="14" s="1"/>
  <c r="AH219" i="14" s="1"/>
  <c r="AI219" i="14" s="1"/>
  <c r="AJ219" i="14" s="1"/>
  <c r="AC219" i="14"/>
  <c r="AK219" i="14"/>
  <c r="AL219" i="14" s="1"/>
  <c r="AM219" i="14" s="1"/>
  <c r="AN219" i="14" s="1"/>
  <c r="AO219" i="14" s="1"/>
  <c r="AP219" i="14" s="1"/>
  <c r="AZ219" i="14"/>
  <c r="AQ219" i="14"/>
  <c r="AR219" i="14" s="1"/>
  <c r="AS219" i="14" s="1"/>
  <c r="AT219" i="14" s="1"/>
  <c r="AU219" i="14" s="1"/>
  <c r="CD469" i="14"/>
  <c r="BE469" i="14"/>
  <c r="BG469" i="14" s="1"/>
  <c r="CF468" i="14"/>
  <c r="CK468" i="14" s="1"/>
  <c r="BA224" i="3" s="1"/>
  <c r="CH468" i="14"/>
  <c r="CM468" i="14" s="1"/>
  <c r="BB224" i="3" s="1"/>
  <c r="CE468" i="14"/>
  <c r="CJ468" i="14" s="1"/>
  <c r="AZ224" i="3" s="1"/>
  <c r="BQ470" i="14"/>
  <c r="BR470" i="14" s="1"/>
  <c r="BN470" i="14"/>
  <c r="BO470" i="14" s="1"/>
  <c r="CE467" i="14"/>
  <c r="CJ467" i="14" s="1"/>
  <c r="AZ223" i="3" s="1"/>
  <c r="BA470" i="14"/>
  <c r="BK470" i="14" s="1"/>
  <c r="AQ470" i="14"/>
  <c r="AR470" i="14" s="1"/>
  <c r="AS470" i="14" s="1"/>
  <c r="AT470" i="14" s="1"/>
  <c r="AU470" i="14" s="1"/>
  <c r="AC470" i="14"/>
  <c r="AZ470" i="14"/>
  <c r="AF470" i="14"/>
  <c r="AK470" i="14"/>
  <c r="AL470" i="14" s="1"/>
  <c r="AM470" i="14" s="1"/>
  <c r="AN470" i="14" s="1"/>
  <c r="AO470" i="14" s="1"/>
  <c r="AP470" i="14" s="1"/>
  <c r="CF467" i="14"/>
  <c r="CK467" i="14" s="1"/>
  <c r="BA223" i="3" s="1"/>
  <c r="BE218" i="14"/>
  <c r="BG218" i="14" s="1"/>
  <c r="CD218" i="14"/>
  <c r="AE472" i="14"/>
  <c r="Z472" i="14"/>
  <c r="Z221" i="14"/>
  <c r="AE221" i="14"/>
  <c r="AG218" i="14"/>
  <c r="AH218" i="14" s="1"/>
  <c r="AI218" i="14" s="1"/>
  <c r="AJ218" i="14" s="1"/>
  <c r="AA471" i="14"/>
  <c r="AV471" i="14" s="1"/>
  <c r="BM471" i="14"/>
  <c r="BB471" i="14"/>
  <c r="BI471" i="14"/>
  <c r="BJ471" i="14" s="1"/>
  <c r="AD471" i="14"/>
  <c r="AB471" i="14"/>
  <c r="BC471" i="14"/>
  <c r="BD471" i="14" s="1"/>
  <c r="AA220" i="14"/>
  <c r="AX220" i="14" s="1"/>
  <c r="BB220" i="14"/>
  <c r="BC220" i="14"/>
  <c r="BD220" i="14" s="1"/>
  <c r="BM220" i="14"/>
  <c r="BI220" i="14"/>
  <c r="BJ220" i="14" s="1"/>
  <c r="AB220" i="14"/>
  <c r="AD220" i="14"/>
  <c r="AX219" i="14"/>
  <c r="AX470" i="14"/>
  <c r="CA469" i="14"/>
  <c r="CB469" i="14" s="1"/>
  <c r="BV469" i="14"/>
  <c r="BX469" i="14" s="1"/>
  <c r="BT469" i="14"/>
  <c r="BW469" i="14" s="1"/>
  <c r="BN219" i="14"/>
  <c r="BO219" i="14" s="1"/>
  <c r="AG469" i="14"/>
  <c r="AH469" i="14" s="1"/>
  <c r="AI469" i="14" s="1"/>
  <c r="AJ469" i="14" s="1"/>
  <c r="AV219" i="14"/>
  <c r="DD387" i="3"/>
  <c r="D224" i="26"/>
  <c r="D224" i="25"/>
  <c r="C225" i="26"/>
  <c r="C225" i="25"/>
  <c r="BG227" i="3"/>
  <c r="BM227" i="3" s="1"/>
  <c r="BH227" i="3"/>
  <c r="BI227" i="3"/>
  <c r="BE227" i="3"/>
  <c r="CF228" i="3"/>
  <c r="CK227" i="3"/>
  <c r="BJ226" i="3"/>
  <c r="BP226" i="3" s="1"/>
  <c r="BC227" i="3"/>
  <c r="BN227" i="3" s="1"/>
  <c r="CI227" i="3"/>
  <c r="BY228" i="3"/>
  <c r="BR225" i="3"/>
  <c r="BF226" i="3"/>
  <c r="BQ226" i="3" s="1"/>
  <c r="D228" i="3"/>
  <c r="BO226" i="3"/>
  <c r="AU226" i="3" s="1"/>
  <c r="C229" i="3"/>
  <c r="BW228" i="3"/>
  <c r="CI228" i="3" s="1"/>
  <c r="BL228" i="3"/>
  <c r="AY228" i="3"/>
  <c r="BK228" i="3"/>
  <c r="AI228" i="3"/>
  <c r="Q225" i="26" s="1"/>
  <c r="AH228" i="3"/>
  <c r="P225" i="26" s="1"/>
  <c r="AG228" i="3"/>
  <c r="O225" i="26" s="1"/>
  <c r="AJ228" i="3"/>
  <c r="R225" i="26" s="1"/>
  <c r="CE217" i="14" l="1"/>
  <c r="CH217" i="14"/>
  <c r="BD228" i="3"/>
  <c r="AX471" i="14"/>
  <c r="BV229" i="3"/>
  <c r="BU229" i="3"/>
  <c r="CH216" i="14"/>
  <c r="CF216" i="14"/>
  <c r="BU216" i="14"/>
  <c r="BZ216" i="14"/>
  <c r="BT216" i="14"/>
  <c r="BW216" i="14" s="1"/>
  <c r="CJ216" i="14" s="1"/>
  <c r="CC223" i="3" s="1"/>
  <c r="CA216" i="14"/>
  <c r="CB216" i="14" s="1"/>
  <c r="BS216" i="14"/>
  <c r="BV216" i="14"/>
  <c r="BX216" i="14" s="1"/>
  <c r="BS217" i="14"/>
  <c r="CA217" i="14"/>
  <c r="CB217" i="14" s="1"/>
  <c r="BZ217" i="14"/>
  <c r="BU217" i="14"/>
  <c r="BV217" i="14"/>
  <c r="BX217" i="14" s="1"/>
  <c r="CK217" i="14" s="1"/>
  <c r="CD224" i="3" s="1"/>
  <c r="BT217" i="14"/>
  <c r="BW217" i="14" s="1"/>
  <c r="CJ217" i="14" s="1"/>
  <c r="CC224" i="3" s="1"/>
  <c r="BN220" i="14"/>
  <c r="BO220" i="14" s="1"/>
  <c r="AW218" i="14"/>
  <c r="BM472" i="14"/>
  <c r="AA472" i="14"/>
  <c r="AX472" i="14" s="1"/>
  <c r="BC472" i="14"/>
  <c r="BD472" i="14" s="1"/>
  <c r="BI472" i="14"/>
  <c r="BJ472" i="14" s="1"/>
  <c r="AB472" i="14"/>
  <c r="BB472" i="14"/>
  <c r="AD472" i="14"/>
  <c r="BE219" i="14"/>
  <c r="BG219" i="14" s="1"/>
  <c r="CD219" i="14"/>
  <c r="BQ471" i="14"/>
  <c r="BR471" i="14" s="1"/>
  <c r="BN471" i="14"/>
  <c r="BO471" i="14" s="1"/>
  <c r="AG470" i="14"/>
  <c r="AH470" i="14" s="1"/>
  <c r="AI470" i="14" s="1"/>
  <c r="AJ470" i="14" s="1"/>
  <c r="BS470" i="14"/>
  <c r="BZ470" i="14"/>
  <c r="BU470" i="14"/>
  <c r="AW219" i="14"/>
  <c r="AW469" i="14"/>
  <c r="AY469" i="14" s="1"/>
  <c r="CF469" i="14" s="1"/>
  <c r="CK469" i="14" s="1"/>
  <c r="BA225" i="3" s="1"/>
  <c r="Z473" i="14"/>
  <c r="AE473" i="14"/>
  <c r="AE222" i="14"/>
  <c r="Z222" i="14"/>
  <c r="AK220" i="14"/>
  <c r="AL220" i="14" s="1"/>
  <c r="AM220" i="14" s="1"/>
  <c r="AN220" i="14" s="1"/>
  <c r="AO220" i="14" s="1"/>
  <c r="AP220" i="14" s="1"/>
  <c r="BA220" i="14"/>
  <c r="BK220" i="14" s="1"/>
  <c r="AQ220" i="14"/>
  <c r="AR220" i="14" s="1"/>
  <c r="AS220" i="14" s="1"/>
  <c r="AT220" i="14" s="1"/>
  <c r="AU220" i="14" s="1"/>
  <c r="AZ220" i="14"/>
  <c r="AC220" i="14"/>
  <c r="AF220" i="14"/>
  <c r="AG220" i="14" s="1"/>
  <c r="AH220" i="14" s="1"/>
  <c r="AI220" i="14" s="1"/>
  <c r="AJ220" i="14" s="1"/>
  <c r="AF471" i="14"/>
  <c r="AG471" i="14" s="1"/>
  <c r="AH471" i="14" s="1"/>
  <c r="AI471" i="14" s="1"/>
  <c r="AJ471" i="14" s="1"/>
  <c r="AC471" i="14"/>
  <c r="AK471" i="14"/>
  <c r="AL471" i="14" s="1"/>
  <c r="AM471" i="14" s="1"/>
  <c r="AN471" i="14" s="1"/>
  <c r="AO471" i="14" s="1"/>
  <c r="AP471" i="14" s="1"/>
  <c r="BA471" i="14"/>
  <c r="BK471" i="14" s="1"/>
  <c r="AZ471" i="14"/>
  <c r="AQ471" i="14"/>
  <c r="AR471" i="14" s="1"/>
  <c r="AS471" i="14" s="1"/>
  <c r="AT471" i="14" s="1"/>
  <c r="AU471" i="14" s="1"/>
  <c r="BB221" i="14"/>
  <c r="BM221" i="14"/>
  <c r="AB221" i="14"/>
  <c r="AD221" i="14"/>
  <c r="BC221" i="14"/>
  <c r="BD221" i="14" s="1"/>
  <c r="AA221" i="14"/>
  <c r="AX221" i="14" s="1"/>
  <c r="BI221" i="14"/>
  <c r="BJ221" i="14" s="1"/>
  <c r="CD470" i="14"/>
  <c r="BE470" i="14"/>
  <c r="BG470" i="14" s="1"/>
  <c r="AV220" i="14"/>
  <c r="CA470" i="14"/>
  <c r="CB470" i="14" s="1"/>
  <c r="BT470" i="14"/>
  <c r="BW470" i="14" s="1"/>
  <c r="BV470" i="14"/>
  <c r="BX470" i="14" s="1"/>
  <c r="BH228" i="3"/>
  <c r="D225" i="26"/>
  <c r="D225" i="25"/>
  <c r="BG228" i="3"/>
  <c r="BM228" i="3" s="1"/>
  <c r="DD388" i="3"/>
  <c r="BI228" i="3"/>
  <c r="C226" i="25"/>
  <c r="C226" i="26"/>
  <c r="BJ227" i="3"/>
  <c r="BP227" i="3" s="1"/>
  <c r="BE228" i="3"/>
  <c r="CK228" i="3"/>
  <c r="BR226" i="3"/>
  <c r="AW225" i="3"/>
  <c r="CF229" i="3"/>
  <c r="BC228" i="3"/>
  <c r="BN228" i="3" s="1"/>
  <c r="BY229" i="3"/>
  <c r="CJ228" i="3"/>
  <c r="AV228" i="3" s="1"/>
  <c r="BF227" i="3"/>
  <c r="BQ227" i="3" s="1"/>
  <c r="D229" i="3"/>
  <c r="BW229" i="3"/>
  <c r="CJ229" i="3" s="1"/>
  <c r="AV229" i="3" s="1"/>
  <c r="BL229" i="3"/>
  <c r="BK229" i="3"/>
  <c r="AY229" i="3"/>
  <c r="BD229" i="3" s="1"/>
  <c r="C230" i="3"/>
  <c r="AH229" i="3"/>
  <c r="P226" i="26" s="1"/>
  <c r="AG229" i="3"/>
  <c r="O226" i="26" s="1"/>
  <c r="AJ229" i="3"/>
  <c r="R226" i="26" s="1"/>
  <c r="AI229" i="3"/>
  <c r="Q226" i="26" s="1"/>
  <c r="BO227" i="3"/>
  <c r="AU227" i="3" s="1"/>
  <c r="CM217" i="14" l="1"/>
  <c r="CG224" i="3" s="1"/>
  <c r="CM216" i="14"/>
  <c r="CG223" i="3" s="1"/>
  <c r="BV230" i="3"/>
  <c r="BU230" i="3"/>
  <c r="CK216" i="14"/>
  <c r="CD223" i="3" s="1"/>
  <c r="AW226" i="3"/>
  <c r="AY219" i="14"/>
  <c r="CH219" i="14" s="1"/>
  <c r="BQ219" i="14"/>
  <c r="BR219" i="14" s="1"/>
  <c r="AY218" i="14"/>
  <c r="CH218" i="14" s="1"/>
  <c r="BQ218" i="14"/>
  <c r="BR218" i="14" s="1"/>
  <c r="CH469" i="14"/>
  <c r="CM469" i="14" s="1"/>
  <c r="BB225" i="3" s="1"/>
  <c r="AQ221" i="14"/>
  <c r="AR221" i="14" s="1"/>
  <c r="AS221" i="14" s="1"/>
  <c r="AT221" i="14" s="1"/>
  <c r="AU221" i="14" s="1"/>
  <c r="AC221" i="14"/>
  <c r="AK221" i="14"/>
  <c r="AL221" i="14" s="1"/>
  <c r="AM221" i="14" s="1"/>
  <c r="AN221" i="14" s="1"/>
  <c r="AO221" i="14" s="1"/>
  <c r="AP221" i="14" s="1"/>
  <c r="AZ221" i="14"/>
  <c r="AF221" i="14"/>
  <c r="BA221" i="14"/>
  <c r="BK221" i="14" s="1"/>
  <c r="BN221" i="14"/>
  <c r="BO221" i="14" s="1"/>
  <c r="AW220" i="14"/>
  <c r="BE220" i="14"/>
  <c r="BG220" i="14" s="1"/>
  <c r="CD220" i="14"/>
  <c r="AV221" i="14"/>
  <c r="CE469" i="14"/>
  <c r="CJ469" i="14" s="1"/>
  <c r="AZ225" i="3" s="1"/>
  <c r="AB473" i="14"/>
  <c r="BI473" i="14"/>
  <c r="BJ473" i="14" s="1"/>
  <c r="AD473" i="14"/>
  <c r="BB473" i="14"/>
  <c r="AA473" i="14"/>
  <c r="AV473" i="14" s="1"/>
  <c r="BM473" i="14"/>
  <c r="BC473" i="14"/>
  <c r="BD473" i="14" s="1"/>
  <c r="AK472" i="14"/>
  <c r="AL472" i="14" s="1"/>
  <c r="AM472" i="14" s="1"/>
  <c r="AN472" i="14" s="1"/>
  <c r="AO472" i="14" s="1"/>
  <c r="AP472" i="14" s="1"/>
  <c r="AQ472" i="14"/>
  <c r="AR472" i="14" s="1"/>
  <c r="AS472" i="14" s="1"/>
  <c r="AT472" i="14" s="1"/>
  <c r="AU472" i="14" s="1"/>
  <c r="AC472" i="14"/>
  <c r="AZ472" i="14"/>
  <c r="BA472" i="14"/>
  <c r="BK472" i="14" s="1"/>
  <c r="AF472" i="14"/>
  <c r="AG472" i="14" s="1"/>
  <c r="AH472" i="14" s="1"/>
  <c r="AI472" i="14" s="1"/>
  <c r="AJ472" i="14" s="1"/>
  <c r="AD222" i="14"/>
  <c r="AA222" i="14"/>
  <c r="AB222" i="14"/>
  <c r="BC222" i="14"/>
  <c r="BD222" i="14" s="1"/>
  <c r="BB222" i="14"/>
  <c r="BI222" i="14"/>
  <c r="BJ222" i="14" s="1"/>
  <c r="BM222" i="14"/>
  <c r="BT471" i="14"/>
  <c r="BW471" i="14" s="1"/>
  <c r="BV471" i="14"/>
  <c r="BX471" i="14" s="1"/>
  <c r="CA471" i="14"/>
  <c r="CB471" i="14" s="1"/>
  <c r="AW470" i="14"/>
  <c r="AY470" i="14" s="1"/>
  <c r="CF470" i="14" s="1"/>
  <c r="CK470" i="14" s="1"/>
  <c r="BA226" i="3" s="1"/>
  <c r="CF219" i="14"/>
  <c r="CE219" i="14"/>
  <c r="BQ472" i="14"/>
  <c r="BR472" i="14" s="1"/>
  <c r="BN472" i="14"/>
  <c r="BO472" i="14" s="1"/>
  <c r="Z474" i="14"/>
  <c r="AE474" i="14"/>
  <c r="AE223" i="14"/>
  <c r="Z223" i="14"/>
  <c r="BZ471" i="14"/>
  <c r="BU471" i="14"/>
  <c r="BS471" i="14"/>
  <c r="CD471" i="14"/>
  <c r="BE471" i="14"/>
  <c r="BG471" i="14" s="1"/>
  <c r="AW471" i="14"/>
  <c r="AY471" i="14" s="1"/>
  <c r="AV472" i="14"/>
  <c r="BR227" i="3"/>
  <c r="C227" i="26"/>
  <c r="C227" i="25"/>
  <c r="BH229" i="3"/>
  <c r="D226" i="26"/>
  <c r="D226" i="25"/>
  <c r="BI229" i="3"/>
  <c r="BG229" i="3"/>
  <c r="BM229" i="3" s="1"/>
  <c r="BE229" i="3"/>
  <c r="CK229" i="3"/>
  <c r="CF230" i="3"/>
  <c r="BC229" i="3"/>
  <c r="BN229" i="3" s="1"/>
  <c r="DD389" i="3"/>
  <c r="CI229" i="3"/>
  <c r="BY230" i="3"/>
  <c r="BJ228" i="3"/>
  <c r="BP228" i="3" s="1"/>
  <c r="BF228" i="3"/>
  <c r="BQ228" i="3" s="1"/>
  <c r="D230" i="3"/>
  <c r="BH230" i="3" s="1"/>
  <c r="C231" i="3"/>
  <c r="BK230" i="3"/>
  <c r="AY230" i="3"/>
  <c r="BW230" i="3"/>
  <c r="CI230" i="3" s="1"/>
  <c r="BL230" i="3"/>
  <c r="AG230" i="3"/>
  <c r="O227" i="26" s="1"/>
  <c r="AJ230" i="3"/>
  <c r="R227" i="26" s="1"/>
  <c r="AI230" i="3"/>
  <c r="Q227" i="26" s="1"/>
  <c r="AH230" i="3"/>
  <c r="P227" i="26" s="1"/>
  <c r="BO228" i="3"/>
  <c r="AU228" i="3" s="1"/>
  <c r="BD230" i="3" l="1"/>
  <c r="CE218" i="14"/>
  <c r="CF218" i="14"/>
  <c r="BV231" i="3"/>
  <c r="BU231" i="3"/>
  <c r="AY220" i="14"/>
  <c r="CH220" i="14" s="1"/>
  <c r="BQ220" i="14"/>
  <c r="BR220" i="14" s="1"/>
  <c r="BV218" i="14"/>
  <c r="BX218" i="14" s="1"/>
  <c r="BS218" i="14"/>
  <c r="BZ218" i="14"/>
  <c r="BT218" i="14"/>
  <c r="BW218" i="14" s="1"/>
  <c r="BU218" i="14"/>
  <c r="CA218" i="14"/>
  <c r="CB218" i="14" s="1"/>
  <c r="CM218" i="14" s="1"/>
  <c r="CG225" i="3" s="1"/>
  <c r="BT219" i="14"/>
  <c r="BW219" i="14" s="1"/>
  <c r="CJ219" i="14" s="1"/>
  <c r="CC226" i="3" s="1"/>
  <c r="BS219" i="14"/>
  <c r="BV219" i="14"/>
  <c r="BX219" i="14" s="1"/>
  <c r="CK219" i="14" s="1"/>
  <c r="CD226" i="3" s="1"/>
  <c r="BU219" i="14"/>
  <c r="CA219" i="14"/>
  <c r="CB219" i="14" s="1"/>
  <c r="CM219" i="14" s="1"/>
  <c r="CG226" i="3" s="1"/>
  <c r="BZ219" i="14"/>
  <c r="AW227" i="3"/>
  <c r="CE470" i="14"/>
  <c r="CJ470" i="14" s="1"/>
  <c r="AZ226" i="3" s="1"/>
  <c r="CH471" i="14"/>
  <c r="CM471" i="14" s="1"/>
  <c r="BB227" i="3" s="1"/>
  <c r="CF471" i="14"/>
  <c r="CK471" i="14" s="1"/>
  <c r="BA227" i="3" s="1"/>
  <c r="CE471" i="14"/>
  <c r="CJ471" i="14" s="1"/>
  <c r="AZ227" i="3" s="1"/>
  <c r="BU472" i="14"/>
  <c r="BZ472" i="14"/>
  <c r="BS472" i="14"/>
  <c r="AD223" i="14"/>
  <c r="AB223" i="14"/>
  <c r="BB223" i="14"/>
  <c r="BM223" i="14"/>
  <c r="AA223" i="14"/>
  <c r="AX223" i="14" s="1"/>
  <c r="BC223" i="14"/>
  <c r="BD223" i="14" s="1"/>
  <c r="BI223" i="14"/>
  <c r="BJ223" i="14" s="1"/>
  <c r="BV472" i="14"/>
  <c r="BX472" i="14" s="1"/>
  <c r="BT472" i="14"/>
  <c r="BW472" i="14" s="1"/>
  <c r="CA472" i="14"/>
  <c r="CB472" i="14" s="1"/>
  <c r="BN222" i="14"/>
  <c r="BO222" i="14" s="1"/>
  <c r="BE472" i="14"/>
  <c r="BG472" i="14" s="1"/>
  <c r="CD472" i="14"/>
  <c r="BE221" i="14"/>
  <c r="BG221" i="14" s="1"/>
  <c r="CD221" i="14"/>
  <c r="CH470" i="14"/>
  <c r="CM470" i="14" s="1"/>
  <c r="BB226" i="3" s="1"/>
  <c r="AK222" i="14"/>
  <c r="AL222" i="14" s="1"/>
  <c r="AM222" i="14" s="1"/>
  <c r="AN222" i="14" s="1"/>
  <c r="AO222" i="14" s="1"/>
  <c r="AP222" i="14" s="1"/>
  <c r="BA222" i="14"/>
  <c r="BK222" i="14" s="1"/>
  <c r="AQ222" i="14"/>
  <c r="AR222" i="14" s="1"/>
  <c r="AS222" i="14" s="1"/>
  <c r="AT222" i="14" s="1"/>
  <c r="AU222" i="14" s="1"/>
  <c r="AF222" i="14"/>
  <c r="AG222" i="14" s="1"/>
  <c r="AH222" i="14" s="1"/>
  <c r="AI222" i="14" s="1"/>
  <c r="AJ222" i="14" s="1"/>
  <c r="AC222" i="14"/>
  <c r="AZ222" i="14"/>
  <c r="AW472" i="14"/>
  <c r="AY472" i="14" s="1"/>
  <c r="AQ473" i="14"/>
  <c r="AR473" i="14" s="1"/>
  <c r="AS473" i="14" s="1"/>
  <c r="AT473" i="14" s="1"/>
  <c r="AU473" i="14" s="1"/>
  <c r="BA473" i="14"/>
  <c r="BK473" i="14" s="1"/>
  <c r="AF473" i="14"/>
  <c r="AG473" i="14" s="1"/>
  <c r="AH473" i="14" s="1"/>
  <c r="AI473" i="14" s="1"/>
  <c r="AJ473" i="14" s="1"/>
  <c r="AC473" i="14"/>
  <c r="AK473" i="14"/>
  <c r="AL473" i="14" s="1"/>
  <c r="AM473" i="14" s="1"/>
  <c r="AN473" i="14" s="1"/>
  <c r="AO473" i="14" s="1"/>
  <c r="AP473" i="14" s="1"/>
  <c r="AZ473" i="14"/>
  <c r="AV222" i="14"/>
  <c r="AX222" i="14"/>
  <c r="AX473" i="14"/>
  <c r="AG221" i="14"/>
  <c r="AH221" i="14" s="1"/>
  <c r="AI221" i="14" s="1"/>
  <c r="AJ221" i="14" s="1"/>
  <c r="Z475" i="14"/>
  <c r="AE475" i="14"/>
  <c r="Z224" i="14"/>
  <c r="AE224" i="14"/>
  <c r="BM474" i="14"/>
  <c r="AA474" i="14"/>
  <c r="AX474" i="14" s="1"/>
  <c r="BC474" i="14"/>
  <c r="BD474" i="14" s="1"/>
  <c r="AB474" i="14"/>
  <c r="BI474" i="14"/>
  <c r="BJ474" i="14" s="1"/>
  <c r="AD474" i="14"/>
  <c r="BB474" i="14"/>
  <c r="BQ473" i="14"/>
  <c r="BR473" i="14" s="1"/>
  <c r="BN473" i="14"/>
  <c r="BO473" i="14" s="1"/>
  <c r="BI230" i="3"/>
  <c r="D227" i="26"/>
  <c r="D227" i="25"/>
  <c r="C228" i="26"/>
  <c r="C228" i="25"/>
  <c r="BG230" i="3"/>
  <c r="BM230" i="3" s="1"/>
  <c r="BE230" i="3"/>
  <c r="CK230" i="3"/>
  <c r="CF231" i="3"/>
  <c r="BC230" i="3"/>
  <c r="BN230" i="3" s="1"/>
  <c r="BR228" i="3"/>
  <c r="CJ230" i="3"/>
  <c r="AV230" i="3" s="1"/>
  <c r="BY231" i="3"/>
  <c r="BJ229" i="3"/>
  <c r="BP229" i="3" s="1"/>
  <c r="DD390" i="3"/>
  <c r="BF229" i="3"/>
  <c r="BQ229" i="3" s="1"/>
  <c r="D231" i="3"/>
  <c r="DD391" i="3" s="1"/>
  <c r="C232" i="3"/>
  <c r="BK231" i="3"/>
  <c r="AY231" i="3"/>
  <c r="BW231" i="3"/>
  <c r="CJ231" i="3" s="1"/>
  <c r="AV231" i="3" s="1"/>
  <c r="BL231" i="3"/>
  <c r="AJ231" i="3"/>
  <c r="R228" i="26" s="1"/>
  <c r="AI231" i="3"/>
  <c r="Q228" i="26" s="1"/>
  <c r="AH231" i="3"/>
  <c r="P228" i="26" s="1"/>
  <c r="AG231" i="3"/>
  <c r="O228" i="26" s="1"/>
  <c r="BO229" i="3"/>
  <c r="AU229" i="3" s="1"/>
  <c r="BD231" i="3" l="1"/>
  <c r="CE220" i="14"/>
  <c r="CF220" i="14"/>
  <c r="CK218" i="14"/>
  <c r="CD225" i="3" s="1"/>
  <c r="CJ218" i="14"/>
  <c r="CC225" i="3" s="1"/>
  <c r="BV232" i="3"/>
  <c r="BU232" i="3"/>
  <c r="BS220" i="14"/>
  <c r="CA220" i="14"/>
  <c r="CB220" i="14" s="1"/>
  <c r="CM220" i="14" s="1"/>
  <c r="CG227" i="3" s="1"/>
  <c r="BZ220" i="14"/>
  <c r="BU220" i="14"/>
  <c r="BT220" i="14"/>
  <c r="BW220" i="14" s="1"/>
  <c r="BV220" i="14"/>
  <c r="BX220" i="14" s="1"/>
  <c r="AW221" i="14"/>
  <c r="AV474" i="14"/>
  <c r="CE472" i="14"/>
  <c r="CJ472" i="14" s="1"/>
  <c r="AZ228" i="3" s="1"/>
  <c r="AE476" i="14"/>
  <c r="Z476" i="14"/>
  <c r="AE225" i="14"/>
  <c r="Z225" i="14"/>
  <c r="CA473" i="14"/>
  <c r="CB473" i="14" s="1"/>
  <c r="BV473" i="14"/>
  <c r="BX473" i="14" s="1"/>
  <c r="BT473" i="14"/>
  <c r="BW473" i="14" s="1"/>
  <c r="BQ474" i="14"/>
  <c r="BR474" i="14" s="1"/>
  <c r="BN474" i="14"/>
  <c r="BO474" i="14" s="1"/>
  <c r="AB475" i="14"/>
  <c r="BB475" i="14"/>
  <c r="BM475" i="14"/>
  <c r="AA475" i="14"/>
  <c r="AX475" i="14" s="1"/>
  <c r="AD475" i="14"/>
  <c r="BI475" i="14"/>
  <c r="BJ475" i="14" s="1"/>
  <c r="BC475" i="14"/>
  <c r="BD475" i="14" s="1"/>
  <c r="CH472" i="14"/>
  <c r="CM472" i="14" s="1"/>
  <c r="BB228" i="3" s="1"/>
  <c r="CF472" i="14"/>
  <c r="CK472" i="14" s="1"/>
  <c r="BA228" i="3" s="1"/>
  <c r="AD224" i="14"/>
  <c r="AB224" i="14"/>
  <c r="AA224" i="14"/>
  <c r="AX224" i="14" s="1"/>
  <c r="BB224" i="14"/>
  <c r="BI224" i="14"/>
  <c r="BJ224" i="14" s="1"/>
  <c r="BM224" i="14"/>
  <c r="BC224" i="14"/>
  <c r="BD224" i="14" s="1"/>
  <c r="AV223" i="14"/>
  <c r="CD473" i="14"/>
  <c r="BE473" i="14"/>
  <c r="BG473" i="14" s="1"/>
  <c r="AW473" i="14"/>
  <c r="AY473" i="14" s="1"/>
  <c r="BE222" i="14"/>
  <c r="BG222" i="14" s="1"/>
  <c r="CD222" i="14"/>
  <c r="AW222" i="14"/>
  <c r="BN223" i="14"/>
  <c r="BO223" i="14" s="1"/>
  <c r="BA223" i="14"/>
  <c r="BK223" i="14" s="1"/>
  <c r="AZ223" i="14"/>
  <c r="AQ223" i="14"/>
  <c r="AR223" i="14" s="1"/>
  <c r="AS223" i="14" s="1"/>
  <c r="AT223" i="14" s="1"/>
  <c r="AU223" i="14" s="1"/>
  <c r="AF223" i="14"/>
  <c r="AG223" i="14" s="1"/>
  <c r="AH223" i="14" s="1"/>
  <c r="AI223" i="14" s="1"/>
  <c r="AJ223" i="14" s="1"/>
  <c r="AK223" i="14"/>
  <c r="AL223" i="14" s="1"/>
  <c r="AM223" i="14" s="1"/>
  <c r="AN223" i="14" s="1"/>
  <c r="AO223" i="14" s="1"/>
  <c r="AP223" i="14" s="1"/>
  <c r="AC223" i="14"/>
  <c r="BS473" i="14"/>
  <c r="BZ473" i="14"/>
  <c r="BU473" i="14"/>
  <c r="AQ474" i="14"/>
  <c r="AR474" i="14" s="1"/>
  <c r="AS474" i="14" s="1"/>
  <c r="AT474" i="14" s="1"/>
  <c r="AU474" i="14" s="1"/>
  <c r="AK474" i="14"/>
  <c r="AL474" i="14" s="1"/>
  <c r="AM474" i="14" s="1"/>
  <c r="AN474" i="14" s="1"/>
  <c r="AO474" i="14" s="1"/>
  <c r="AP474" i="14" s="1"/>
  <c r="AF474" i="14"/>
  <c r="AG474" i="14" s="1"/>
  <c r="AH474" i="14" s="1"/>
  <c r="AI474" i="14" s="1"/>
  <c r="AJ474" i="14" s="1"/>
  <c r="AC474" i="14"/>
  <c r="BA474" i="14"/>
  <c r="BK474" i="14" s="1"/>
  <c r="AZ474" i="14"/>
  <c r="AV475" i="14"/>
  <c r="BI231" i="3"/>
  <c r="D228" i="26"/>
  <c r="D228" i="25"/>
  <c r="C229" i="26"/>
  <c r="C229" i="25"/>
  <c r="BG231" i="3"/>
  <c r="BM231" i="3" s="1"/>
  <c r="BH231" i="3"/>
  <c r="BE231" i="3"/>
  <c r="AW228" i="3"/>
  <c r="CK231" i="3"/>
  <c r="CF232" i="3"/>
  <c r="BC231" i="3"/>
  <c r="BN231" i="3" s="1"/>
  <c r="BR229" i="3"/>
  <c r="CI231" i="3"/>
  <c r="BY232" i="3"/>
  <c r="BJ230" i="3"/>
  <c r="BP230" i="3" s="1"/>
  <c r="BF230" i="3"/>
  <c r="BQ230" i="3" s="1"/>
  <c r="D232" i="3"/>
  <c r="C233" i="3"/>
  <c r="BW232" i="3"/>
  <c r="CI232" i="3" s="1"/>
  <c r="BL232" i="3"/>
  <c r="BK232" i="3"/>
  <c r="AY232" i="3"/>
  <c r="AI232" i="3"/>
  <c r="Q229" i="26" s="1"/>
  <c r="AH232" i="3"/>
  <c r="P229" i="26" s="1"/>
  <c r="AG232" i="3"/>
  <c r="O229" i="26" s="1"/>
  <c r="AJ232" i="3"/>
  <c r="R229" i="26" s="1"/>
  <c r="BO230" i="3"/>
  <c r="AU230" i="3" s="1"/>
  <c r="CK220" i="14" l="1"/>
  <c r="CD227" i="3" s="1"/>
  <c r="CJ220" i="14"/>
  <c r="CC227" i="3" s="1"/>
  <c r="BD232" i="3"/>
  <c r="BV233" i="3"/>
  <c r="BU233" i="3"/>
  <c r="AY222" i="14"/>
  <c r="CF222" i="14" s="1"/>
  <c r="BQ222" i="14"/>
  <c r="BR222" i="14" s="1"/>
  <c r="AY221" i="14"/>
  <c r="CH221" i="14" s="1"/>
  <c r="BQ221" i="14"/>
  <c r="BR221" i="14" s="1"/>
  <c r="AV224" i="14"/>
  <c r="CE473" i="14"/>
  <c r="CJ473" i="14" s="1"/>
  <c r="AZ229" i="3" s="1"/>
  <c r="CH473" i="14"/>
  <c r="CM473" i="14" s="1"/>
  <c r="BB229" i="3" s="1"/>
  <c r="CF473" i="14"/>
  <c r="CK473" i="14" s="1"/>
  <c r="BA229" i="3" s="1"/>
  <c r="BN224" i="14"/>
  <c r="BO224" i="14" s="1"/>
  <c r="BN475" i="14"/>
  <c r="BO475" i="14" s="1"/>
  <c r="BQ475" i="14"/>
  <c r="BR475" i="14" s="1"/>
  <c r="BV474" i="14"/>
  <c r="BX474" i="14" s="1"/>
  <c r="BT474" i="14"/>
  <c r="BW474" i="14" s="1"/>
  <c r="CA474" i="14"/>
  <c r="CB474" i="14" s="1"/>
  <c r="BB225" i="14"/>
  <c r="AD225" i="14"/>
  <c r="AB225" i="14"/>
  <c r="BM225" i="14"/>
  <c r="BI225" i="14"/>
  <c r="BJ225" i="14" s="1"/>
  <c r="BC225" i="14"/>
  <c r="BD225" i="14" s="1"/>
  <c r="AA225" i="14"/>
  <c r="AX225" i="14" s="1"/>
  <c r="CD223" i="14"/>
  <c r="BE223" i="14"/>
  <c r="BG223" i="14" s="1"/>
  <c r="BM476" i="14"/>
  <c r="BC476" i="14"/>
  <c r="BD476" i="14" s="1"/>
  <c r="AA476" i="14"/>
  <c r="AB476" i="14"/>
  <c r="BI476" i="14"/>
  <c r="BJ476" i="14" s="1"/>
  <c r="AD476" i="14"/>
  <c r="BB476" i="14"/>
  <c r="Z477" i="14"/>
  <c r="AE477" i="14"/>
  <c r="Z226" i="14"/>
  <c r="AE226" i="14"/>
  <c r="BE474" i="14"/>
  <c r="BG474" i="14" s="1"/>
  <c r="CD474" i="14"/>
  <c r="AW474" i="14"/>
  <c r="AY474" i="14" s="1"/>
  <c r="AW223" i="14"/>
  <c r="AC224" i="14"/>
  <c r="AZ224" i="14"/>
  <c r="BA224" i="14"/>
  <c r="BK224" i="14" s="1"/>
  <c r="AF224" i="14"/>
  <c r="AG224" i="14" s="1"/>
  <c r="AH224" i="14" s="1"/>
  <c r="AI224" i="14" s="1"/>
  <c r="AJ224" i="14" s="1"/>
  <c r="AQ224" i="14"/>
  <c r="AR224" i="14" s="1"/>
  <c r="AS224" i="14" s="1"/>
  <c r="AT224" i="14" s="1"/>
  <c r="AU224" i="14" s="1"/>
  <c r="AK224" i="14"/>
  <c r="AL224" i="14" s="1"/>
  <c r="AM224" i="14" s="1"/>
  <c r="AN224" i="14" s="1"/>
  <c r="AO224" i="14" s="1"/>
  <c r="AP224" i="14" s="1"/>
  <c r="AK475" i="14"/>
  <c r="AL475" i="14" s="1"/>
  <c r="AM475" i="14" s="1"/>
  <c r="AN475" i="14" s="1"/>
  <c r="AO475" i="14" s="1"/>
  <c r="AP475" i="14" s="1"/>
  <c r="BA475" i="14"/>
  <c r="BK475" i="14" s="1"/>
  <c r="AC475" i="14"/>
  <c r="AF475" i="14"/>
  <c r="AG475" i="14" s="1"/>
  <c r="AH475" i="14" s="1"/>
  <c r="AI475" i="14" s="1"/>
  <c r="AJ475" i="14" s="1"/>
  <c r="AZ475" i="14"/>
  <c r="AQ475" i="14"/>
  <c r="AR475" i="14" s="1"/>
  <c r="AS475" i="14" s="1"/>
  <c r="AT475" i="14" s="1"/>
  <c r="AU475" i="14" s="1"/>
  <c r="BS474" i="14"/>
  <c r="BZ474" i="14"/>
  <c r="BU474" i="14"/>
  <c r="AV476" i="14"/>
  <c r="C230" i="26"/>
  <c r="C230" i="25"/>
  <c r="BI232" i="3"/>
  <c r="D229" i="26"/>
  <c r="D229" i="25"/>
  <c r="BH232" i="3"/>
  <c r="BG232" i="3"/>
  <c r="BM232" i="3" s="1"/>
  <c r="BE232" i="3"/>
  <c r="AW229" i="3"/>
  <c r="CF233" i="3"/>
  <c r="CJ232" i="3"/>
  <c r="AV232" i="3" s="1"/>
  <c r="CK232" i="3"/>
  <c r="BC232" i="3"/>
  <c r="BN232" i="3" s="1"/>
  <c r="DD392" i="3"/>
  <c r="BR230" i="3"/>
  <c r="BY233" i="3"/>
  <c r="BJ231" i="3"/>
  <c r="BP231" i="3" s="1"/>
  <c r="BF231" i="3"/>
  <c r="BQ231" i="3" s="1"/>
  <c r="D233" i="3"/>
  <c r="C234" i="3"/>
  <c r="BW233" i="3"/>
  <c r="CI233" i="3" s="1"/>
  <c r="BL233" i="3"/>
  <c r="BK233" i="3"/>
  <c r="AY233" i="3"/>
  <c r="AH233" i="3"/>
  <c r="P230" i="26" s="1"/>
  <c r="AG233" i="3"/>
  <c r="O230" i="26" s="1"/>
  <c r="AJ233" i="3"/>
  <c r="R230" i="26" s="1"/>
  <c r="AI233" i="3"/>
  <c r="Q230" i="26" s="1"/>
  <c r="BO231" i="3"/>
  <c r="AU231" i="3" s="1"/>
  <c r="BD233" i="3" l="1"/>
  <c r="CE222" i="14"/>
  <c r="CH222" i="14"/>
  <c r="BV234" i="3"/>
  <c r="BU234" i="3"/>
  <c r="CE221" i="14"/>
  <c r="CF221" i="14"/>
  <c r="AY223" i="14"/>
  <c r="CF223" i="14" s="1"/>
  <c r="BQ223" i="14"/>
  <c r="BR223" i="14" s="1"/>
  <c r="BS222" i="14"/>
  <c r="BU222" i="14"/>
  <c r="BT222" i="14"/>
  <c r="BW222" i="14" s="1"/>
  <c r="CA222" i="14"/>
  <c r="CB222" i="14" s="1"/>
  <c r="BV222" i="14"/>
  <c r="BX222" i="14" s="1"/>
  <c r="CK222" i="14" s="1"/>
  <c r="CD229" i="3" s="1"/>
  <c r="BZ222" i="14"/>
  <c r="BZ221" i="14"/>
  <c r="BV221" i="14"/>
  <c r="BX221" i="14" s="1"/>
  <c r="BU221" i="14"/>
  <c r="BT221" i="14"/>
  <c r="BW221" i="14" s="1"/>
  <c r="CA221" i="14"/>
  <c r="CB221" i="14" s="1"/>
  <c r="CM221" i="14" s="1"/>
  <c r="CG228" i="3" s="1"/>
  <c r="BS221" i="14"/>
  <c r="CD475" i="14"/>
  <c r="BE475" i="14"/>
  <c r="BG475" i="14" s="1"/>
  <c r="BT475" i="14"/>
  <c r="BW475" i="14" s="1"/>
  <c r="CA475" i="14"/>
  <c r="CB475" i="14" s="1"/>
  <c r="BV475" i="14"/>
  <c r="BX475" i="14" s="1"/>
  <c r="AB477" i="14"/>
  <c r="BB477" i="14"/>
  <c r="AA477" i="14"/>
  <c r="AX477" i="14" s="1"/>
  <c r="BI477" i="14"/>
  <c r="BJ477" i="14" s="1"/>
  <c r="AD477" i="14"/>
  <c r="BM477" i="14"/>
  <c r="BC477" i="14"/>
  <c r="BD477" i="14" s="1"/>
  <c r="BQ476" i="14"/>
  <c r="BR476" i="14" s="1"/>
  <c r="BN476" i="14"/>
  <c r="BO476" i="14" s="1"/>
  <c r="AA226" i="14"/>
  <c r="AD226" i="14"/>
  <c r="BC226" i="14"/>
  <c r="BD226" i="14" s="1"/>
  <c r="AB226" i="14"/>
  <c r="BI226" i="14"/>
  <c r="BJ226" i="14" s="1"/>
  <c r="BB226" i="14"/>
  <c r="BM226" i="14"/>
  <c r="AC476" i="14"/>
  <c r="AK476" i="14"/>
  <c r="AL476" i="14" s="1"/>
  <c r="AM476" i="14" s="1"/>
  <c r="AN476" i="14" s="1"/>
  <c r="AO476" i="14" s="1"/>
  <c r="AP476" i="14" s="1"/>
  <c r="AQ476" i="14"/>
  <c r="AR476" i="14" s="1"/>
  <c r="AS476" i="14" s="1"/>
  <c r="AT476" i="14" s="1"/>
  <c r="AU476" i="14" s="1"/>
  <c r="AZ476" i="14"/>
  <c r="BA476" i="14"/>
  <c r="BK476" i="14" s="1"/>
  <c r="AF476" i="14"/>
  <c r="AG476" i="14" s="1"/>
  <c r="AH476" i="14" s="1"/>
  <c r="AI476" i="14" s="1"/>
  <c r="AJ476" i="14" s="1"/>
  <c r="BN225" i="14"/>
  <c r="BO225" i="14" s="1"/>
  <c r="BS475" i="14"/>
  <c r="BU475" i="14"/>
  <c r="BZ475" i="14"/>
  <c r="AW475" i="14"/>
  <c r="AY475" i="14" s="1"/>
  <c r="AW224" i="14"/>
  <c r="AE478" i="14"/>
  <c r="Z478" i="14"/>
  <c r="AE227" i="14"/>
  <c r="Z227" i="14"/>
  <c r="CD224" i="14"/>
  <c r="BE224" i="14"/>
  <c r="BG224" i="14" s="1"/>
  <c r="CE474" i="14"/>
  <c r="CJ474" i="14" s="1"/>
  <c r="AZ230" i="3" s="1"/>
  <c r="CF474" i="14"/>
  <c r="CK474" i="14" s="1"/>
  <c r="BA230" i="3" s="1"/>
  <c r="CH474" i="14"/>
  <c r="CM474" i="14" s="1"/>
  <c r="BB230" i="3" s="1"/>
  <c r="AX476" i="14"/>
  <c r="AQ225" i="14"/>
  <c r="AR225" i="14" s="1"/>
  <c r="AS225" i="14" s="1"/>
  <c r="AT225" i="14" s="1"/>
  <c r="AU225" i="14" s="1"/>
  <c r="AZ225" i="14"/>
  <c r="AC225" i="14"/>
  <c r="BA225" i="14"/>
  <c r="BK225" i="14" s="1"/>
  <c r="AK225" i="14"/>
  <c r="AL225" i="14" s="1"/>
  <c r="AM225" i="14" s="1"/>
  <c r="AN225" i="14" s="1"/>
  <c r="AO225" i="14" s="1"/>
  <c r="AP225" i="14" s="1"/>
  <c r="AF225" i="14"/>
  <c r="AV225" i="14"/>
  <c r="BH233" i="3"/>
  <c r="D230" i="26"/>
  <c r="D230" i="25"/>
  <c r="C231" i="26"/>
  <c r="C231" i="25"/>
  <c r="DD393" i="3"/>
  <c r="BG233" i="3"/>
  <c r="BM233" i="3" s="1"/>
  <c r="BI233" i="3"/>
  <c r="BE233" i="3"/>
  <c r="AW230" i="3"/>
  <c r="CK233" i="3"/>
  <c r="CF234" i="3"/>
  <c r="BC233" i="3"/>
  <c r="BN233" i="3" s="1"/>
  <c r="CJ233" i="3"/>
  <c r="AV233" i="3" s="1"/>
  <c r="BY234" i="3"/>
  <c r="BR231" i="3"/>
  <c r="BJ232" i="3"/>
  <c r="BP232" i="3" s="1"/>
  <c r="BF232" i="3"/>
  <c r="BQ232" i="3" s="1"/>
  <c r="D234" i="3"/>
  <c r="BO232" i="3"/>
  <c r="AU232" i="3" s="1"/>
  <c r="C235" i="3"/>
  <c r="BK234" i="3"/>
  <c r="AY234" i="3"/>
  <c r="BD234" i="3" s="1"/>
  <c r="BW234" i="3"/>
  <c r="CI234" i="3" s="1"/>
  <c r="BL234" i="3"/>
  <c r="AG234" i="3"/>
  <c r="O231" i="26" s="1"/>
  <c r="AJ234" i="3"/>
  <c r="R231" i="26" s="1"/>
  <c r="AI234" i="3"/>
  <c r="Q231" i="26" s="1"/>
  <c r="AH234" i="3"/>
  <c r="P231" i="26" s="1"/>
  <c r="CE223" i="14" l="1"/>
  <c r="CH223" i="14"/>
  <c r="CJ221" i="14"/>
  <c r="CC228" i="3" s="1"/>
  <c r="CM222" i="14"/>
  <c r="CG229" i="3" s="1"/>
  <c r="CJ222" i="14"/>
  <c r="CC229" i="3" s="1"/>
  <c r="BV235" i="3"/>
  <c r="BU235" i="3"/>
  <c r="CK221" i="14"/>
  <c r="CD228" i="3" s="1"/>
  <c r="BV223" i="14"/>
  <c r="BX223" i="14" s="1"/>
  <c r="CK223" i="14" s="1"/>
  <c r="CD230" i="3" s="1"/>
  <c r="CA223" i="14"/>
  <c r="CB223" i="14" s="1"/>
  <c r="CM223" i="14" s="1"/>
  <c r="CG230" i="3" s="1"/>
  <c r="BU223" i="14"/>
  <c r="BS223" i="14"/>
  <c r="BT223" i="14"/>
  <c r="BW223" i="14" s="1"/>
  <c r="CJ223" i="14" s="1"/>
  <c r="CC230" i="3" s="1"/>
  <c r="BZ223" i="14"/>
  <c r="AY224" i="14"/>
  <c r="CE224" i="14" s="1"/>
  <c r="BQ224" i="14"/>
  <c r="BR224" i="14" s="1"/>
  <c r="AV477" i="14"/>
  <c r="AG225" i="14"/>
  <c r="AH225" i="14" s="1"/>
  <c r="AI225" i="14" s="1"/>
  <c r="AJ225" i="14" s="1"/>
  <c r="AD227" i="14"/>
  <c r="AB227" i="14"/>
  <c r="BM227" i="14"/>
  <c r="BB227" i="14"/>
  <c r="AA227" i="14"/>
  <c r="BI227" i="14"/>
  <c r="BJ227" i="14" s="1"/>
  <c r="BC227" i="14"/>
  <c r="BD227" i="14" s="1"/>
  <c r="AW476" i="14"/>
  <c r="AY476" i="14" s="1"/>
  <c r="BN226" i="14"/>
  <c r="BO226" i="14" s="1"/>
  <c r="BV476" i="14"/>
  <c r="BX476" i="14" s="1"/>
  <c r="BT476" i="14"/>
  <c r="BW476" i="14" s="1"/>
  <c r="CA476" i="14"/>
  <c r="CB476" i="14" s="1"/>
  <c r="BQ477" i="14"/>
  <c r="BR477" i="14" s="1"/>
  <c r="BN477" i="14"/>
  <c r="BO477" i="14" s="1"/>
  <c r="Z479" i="14"/>
  <c r="AE479" i="14"/>
  <c r="Z228" i="14"/>
  <c r="AE228" i="14"/>
  <c r="BM478" i="14"/>
  <c r="BI478" i="14"/>
  <c r="BJ478" i="14" s="1"/>
  <c r="BC478" i="14"/>
  <c r="BD478" i="14" s="1"/>
  <c r="AA478" i="14"/>
  <c r="AX478" i="14" s="1"/>
  <c r="AB478" i="14"/>
  <c r="BB478" i="14"/>
  <c r="AD478" i="14"/>
  <c r="AK226" i="14"/>
  <c r="AL226" i="14" s="1"/>
  <c r="AM226" i="14" s="1"/>
  <c r="AN226" i="14" s="1"/>
  <c r="AO226" i="14" s="1"/>
  <c r="AP226" i="14" s="1"/>
  <c r="AF226" i="14"/>
  <c r="AG226" i="14" s="1"/>
  <c r="AH226" i="14" s="1"/>
  <c r="AI226" i="14" s="1"/>
  <c r="AJ226" i="14" s="1"/>
  <c r="AZ226" i="14"/>
  <c r="BA226" i="14"/>
  <c r="BK226" i="14" s="1"/>
  <c r="AC226" i="14"/>
  <c r="AQ226" i="14"/>
  <c r="AR226" i="14" s="1"/>
  <c r="AS226" i="14" s="1"/>
  <c r="AT226" i="14" s="1"/>
  <c r="AU226" i="14" s="1"/>
  <c r="CD225" i="14"/>
  <c r="BE225" i="14"/>
  <c r="BG225" i="14" s="1"/>
  <c r="CH224" i="14"/>
  <c r="BE476" i="14"/>
  <c r="BG476" i="14" s="1"/>
  <c r="CD476" i="14"/>
  <c r="AX226" i="14"/>
  <c r="AV226" i="14"/>
  <c r="BZ476" i="14"/>
  <c r="BU476" i="14"/>
  <c r="BS476" i="14"/>
  <c r="AQ477" i="14"/>
  <c r="AR477" i="14" s="1"/>
  <c r="AS477" i="14" s="1"/>
  <c r="AT477" i="14" s="1"/>
  <c r="AU477" i="14" s="1"/>
  <c r="AF477" i="14"/>
  <c r="AG477" i="14" s="1"/>
  <c r="AH477" i="14" s="1"/>
  <c r="AI477" i="14" s="1"/>
  <c r="AJ477" i="14" s="1"/>
  <c r="AC477" i="14"/>
  <c r="AK477" i="14"/>
  <c r="AL477" i="14" s="1"/>
  <c r="AM477" i="14" s="1"/>
  <c r="AN477" i="14" s="1"/>
  <c r="AO477" i="14" s="1"/>
  <c r="AP477" i="14" s="1"/>
  <c r="BA477" i="14"/>
  <c r="BK477" i="14" s="1"/>
  <c r="AZ477" i="14"/>
  <c r="CH475" i="14"/>
  <c r="CM475" i="14" s="1"/>
  <c r="BB231" i="3" s="1"/>
  <c r="CF475" i="14"/>
  <c r="CK475" i="14" s="1"/>
  <c r="BA231" i="3" s="1"/>
  <c r="CE475" i="14"/>
  <c r="CJ475" i="14" s="1"/>
  <c r="AZ231" i="3" s="1"/>
  <c r="BI234" i="3"/>
  <c r="D231" i="26"/>
  <c r="D231" i="25"/>
  <c r="C232" i="26"/>
  <c r="C232" i="25"/>
  <c r="DD394" i="3"/>
  <c r="BH234" i="3"/>
  <c r="BG234" i="3"/>
  <c r="BM234" i="3" s="1"/>
  <c r="BE234" i="3"/>
  <c r="AW231" i="3"/>
  <c r="CF235" i="3"/>
  <c r="CK234" i="3"/>
  <c r="BC234" i="3"/>
  <c r="BN234" i="3" s="1"/>
  <c r="CJ234" i="3"/>
  <c r="AV234" i="3" s="1"/>
  <c r="BR232" i="3"/>
  <c r="BY235" i="3"/>
  <c r="BJ233" i="3"/>
  <c r="BP233" i="3" s="1"/>
  <c r="BF233" i="3"/>
  <c r="BQ233" i="3" s="1"/>
  <c r="D235" i="3"/>
  <c r="BO233" i="3"/>
  <c r="AU233" i="3" s="1"/>
  <c r="C236" i="3"/>
  <c r="BW235" i="3"/>
  <c r="CI235" i="3" s="1"/>
  <c r="BL235" i="3"/>
  <c r="BK235" i="3"/>
  <c r="AY235" i="3"/>
  <c r="AJ235" i="3"/>
  <c r="R232" i="26" s="1"/>
  <c r="AI235" i="3"/>
  <c r="Q232" i="26" s="1"/>
  <c r="AH235" i="3"/>
  <c r="P232" i="26" s="1"/>
  <c r="AG235" i="3"/>
  <c r="O232" i="26" s="1"/>
  <c r="BD235" i="3" l="1"/>
  <c r="CF224" i="14"/>
  <c r="BU236" i="3"/>
  <c r="BV236" i="3"/>
  <c r="CA224" i="14"/>
  <c r="CB224" i="14" s="1"/>
  <c r="CM224" i="14" s="1"/>
  <c r="CG231" i="3" s="1"/>
  <c r="BS224" i="14"/>
  <c r="BU224" i="14"/>
  <c r="BV224" i="14"/>
  <c r="BX224" i="14" s="1"/>
  <c r="BZ224" i="14"/>
  <c r="BT224" i="14"/>
  <c r="BW224" i="14" s="1"/>
  <c r="CJ224" i="14" s="1"/>
  <c r="CC231" i="3" s="1"/>
  <c r="AV478" i="14"/>
  <c r="CE476" i="14"/>
  <c r="CJ476" i="14" s="1"/>
  <c r="AZ232" i="3" s="1"/>
  <c r="CF476" i="14"/>
  <c r="CK476" i="14" s="1"/>
  <c r="BA232" i="3" s="1"/>
  <c r="CH476" i="14"/>
  <c r="CM476" i="14" s="1"/>
  <c r="BB232" i="3" s="1"/>
  <c r="AA228" i="14"/>
  <c r="BB228" i="14"/>
  <c r="BM228" i="14"/>
  <c r="AB228" i="14"/>
  <c r="BI228" i="14"/>
  <c r="BJ228" i="14" s="1"/>
  <c r="AD228" i="14"/>
  <c r="BC228" i="14"/>
  <c r="BD228" i="14" s="1"/>
  <c r="AW477" i="14"/>
  <c r="AY477" i="14" s="1"/>
  <c r="AV227" i="14"/>
  <c r="AK227" i="14"/>
  <c r="AL227" i="14" s="1"/>
  <c r="AM227" i="14" s="1"/>
  <c r="AN227" i="14" s="1"/>
  <c r="AO227" i="14" s="1"/>
  <c r="AP227" i="14" s="1"/>
  <c r="AF227" i="14"/>
  <c r="AG227" i="14" s="1"/>
  <c r="AH227" i="14" s="1"/>
  <c r="AI227" i="14" s="1"/>
  <c r="AJ227" i="14" s="1"/>
  <c r="AQ227" i="14"/>
  <c r="AR227" i="14" s="1"/>
  <c r="AS227" i="14" s="1"/>
  <c r="AT227" i="14" s="1"/>
  <c r="AU227" i="14" s="1"/>
  <c r="AZ227" i="14"/>
  <c r="BA227" i="14"/>
  <c r="BK227" i="14" s="1"/>
  <c r="AC227" i="14"/>
  <c r="AE480" i="14"/>
  <c r="Z480" i="14"/>
  <c r="Z229" i="14"/>
  <c r="AE229" i="14"/>
  <c r="CD477" i="14"/>
  <c r="BE477" i="14"/>
  <c r="BG477" i="14" s="1"/>
  <c r="AW226" i="14"/>
  <c r="BQ478" i="14"/>
  <c r="BR478" i="14" s="1"/>
  <c r="BN478" i="14"/>
  <c r="BO478" i="14" s="1"/>
  <c r="AB479" i="14"/>
  <c r="BC479" i="14"/>
  <c r="BD479" i="14" s="1"/>
  <c r="AA479" i="14"/>
  <c r="BI479" i="14"/>
  <c r="BJ479" i="14" s="1"/>
  <c r="BM479" i="14"/>
  <c r="BB479" i="14"/>
  <c r="AD479" i="14"/>
  <c r="BU477" i="14"/>
  <c r="BS477" i="14"/>
  <c r="BZ477" i="14"/>
  <c r="AX227" i="14"/>
  <c r="CD226" i="14"/>
  <c r="BE226" i="14"/>
  <c r="BG226" i="14" s="1"/>
  <c r="AC478" i="14"/>
  <c r="AK478" i="14"/>
  <c r="AL478" i="14" s="1"/>
  <c r="AM478" i="14" s="1"/>
  <c r="AN478" i="14" s="1"/>
  <c r="AO478" i="14" s="1"/>
  <c r="AP478" i="14" s="1"/>
  <c r="BA478" i="14"/>
  <c r="BK478" i="14" s="1"/>
  <c r="AZ478" i="14"/>
  <c r="AQ478" i="14"/>
  <c r="AR478" i="14" s="1"/>
  <c r="AS478" i="14" s="1"/>
  <c r="AT478" i="14" s="1"/>
  <c r="AU478" i="14" s="1"/>
  <c r="AF478" i="14"/>
  <c r="AV228" i="14"/>
  <c r="BV477" i="14"/>
  <c r="BX477" i="14" s="1"/>
  <c r="CA477" i="14"/>
  <c r="CB477" i="14" s="1"/>
  <c r="BT477" i="14"/>
  <c r="BW477" i="14" s="1"/>
  <c r="BN227" i="14"/>
  <c r="BO227" i="14" s="1"/>
  <c r="AW225" i="14"/>
  <c r="C233" i="26"/>
  <c r="C233" i="25"/>
  <c r="BI235" i="3"/>
  <c r="D232" i="26"/>
  <c r="D232" i="25"/>
  <c r="DD395" i="3"/>
  <c r="BH235" i="3"/>
  <c r="BG235" i="3"/>
  <c r="BM235" i="3" s="1"/>
  <c r="BE235" i="3"/>
  <c r="CF236" i="3"/>
  <c r="AW232" i="3"/>
  <c r="CK235" i="3"/>
  <c r="BC235" i="3"/>
  <c r="BN235" i="3" s="1"/>
  <c r="CJ235" i="3"/>
  <c r="AV235" i="3" s="1"/>
  <c r="BJ234" i="3"/>
  <c r="BP234" i="3" s="1"/>
  <c r="BY236" i="3"/>
  <c r="BR233" i="3"/>
  <c r="BF234" i="3"/>
  <c r="BQ234" i="3" s="1"/>
  <c r="D236" i="3"/>
  <c r="BO234" i="3"/>
  <c r="AU234" i="3" s="1"/>
  <c r="C237" i="3"/>
  <c r="BK236" i="3"/>
  <c r="AY236" i="3"/>
  <c r="BW236" i="3"/>
  <c r="CJ236" i="3" s="1"/>
  <c r="AV236" i="3" s="1"/>
  <c r="BL236" i="3"/>
  <c r="AI236" i="3"/>
  <c r="Q233" i="26" s="1"/>
  <c r="AH236" i="3"/>
  <c r="P233" i="26" s="1"/>
  <c r="AG236" i="3"/>
  <c r="O233" i="26" s="1"/>
  <c r="AJ236" i="3"/>
  <c r="R233" i="26" s="1"/>
  <c r="CK224" i="14" l="1"/>
  <c r="CD231" i="3" s="1"/>
  <c r="BD236" i="3"/>
  <c r="BV237" i="3"/>
  <c r="BU237" i="3"/>
  <c r="AY226" i="14"/>
  <c r="BQ226" i="14"/>
  <c r="BR226" i="14" s="1"/>
  <c r="AY225" i="14"/>
  <c r="CH225" i="14" s="1"/>
  <c r="BQ225" i="14"/>
  <c r="BR225" i="14" s="1"/>
  <c r="BS478" i="14"/>
  <c r="BU478" i="14"/>
  <c r="BZ478" i="14"/>
  <c r="CD227" i="14"/>
  <c r="BE227" i="14"/>
  <c r="BG227" i="14" s="1"/>
  <c r="Z481" i="14"/>
  <c r="AE481" i="14"/>
  <c r="AE230" i="14"/>
  <c r="Z230" i="14"/>
  <c r="AG478" i="14"/>
  <c r="AH478" i="14" s="1"/>
  <c r="AI478" i="14" s="1"/>
  <c r="AJ478" i="14" s="1"/>
  <c r="CF226" i="14"/>
  <c r="CH226" i="14"/>
  <c r="CE226" i="14"/>
  <c r="BN479" i="14"/>
  <c r="BO479" i="14" s="1"/>
  <c r="BQ479" i="14"/>
  <c r="BR479" i="14" s="1"/>
  <c r="BM480" i="14"/>
  <c r="AA480" i="14"/>
  <c r="AV480" i="14" s="1"/>
  <c r="BI480" i="14"/>
  <c r="BJ480" i="14" s="1"/>
  <c r="BC480" i="14"/>
  <c r="BD480" i="14" s="1"/>
  <c r="AB480" i="14"/>
  <c r="BB480" i="14"/>
  <c r="AD480" i="14"/>
  <c r="AW227" i="14"/>
  <c r="BN228" i="14"/>
  <c r="BO228" i="14" s="1"/>
  <c r="CH477" i="14"/>
  <c r="CM477" i="14" s="1"/>
  <c r="BB233" i="3" s="1"/>
  <c r="CF477" i="14"/>
  <c r="CK477" i="14" s="1"/>
  <c r="BA233" i="3" s="1"/>
  <c r="CE477" i="14"/>
  <c r="CJ477" i="14" s="1"/>
  <c r="AZ233" i="3" s="1"/>
  <c r="AC479" i="14"/>
  <c r="BA479" i="14"/>
  <c r="BK479" i="14" s="1"/>
  <c r="AK479" i="14"/>
  <c r="AL479" i="14" s="1"/>
  <c r="AM479" i="14" s="1"/>
  <c r="AN479" i="14" s="1"/>
  <c r="AO479" i="14" s="1"/>
  <c r="AP479" i="14" s="1"/>
  <c r="AZ479" i="14"/>
  <c r="AQ479" i="14"/>
  <c r="AR479" i="14" s="1"/>
  <c r="AS479" i="14" s="1"/>
  <c r="AT479" i="14" s="1"/>
  <c r="AU479" i="14" s="1"/>
  <c r="AF479" i="14"/>
  <c r="AG479" i="14" s="1"/>
  <c r="AH479" i="14" s="1"/>
  <c r="AI479" i="14" s="1"/>
  <c r="AJ479" i="14" s="1"/>
  <c r="AQ228" i="14"/>
  <c r="AR228" i="14" s="1"/>
  <c r="AS228" i="14" s="1"/>
  <c r="AT228" i="14" s="1"/>
  <c r="AU228" i="14" s="1"/>
  <c r="BA228" i="14"/>
  <c r="BK228" i="14" s="1"/>
  <c r="AC228" i="14"/>
  <c r="AF228" i="14"/>
  <c r="AG228" i="14" s="1"/>
  <c r="AH228" i="14" s="1"/>
  <c r="AI228" i="14" s="1"/>
  <c r="AJ228" i="14" s="1"/>
  <c r="AZ228" i="14"/>
  <c r="AK228" i="14"/>
  <c r="AL228" i="14" s="1"/>
  <c r="AM228" i="14" s="1"/>
  <c r="AN228" i="14" s="1"/>
  <c r="AO228" i="14" s="1"/>
  <c r="AP228" i="14" s="1"/>
  <c r="AV479" i="14"/>
  <c r="AX479" i="14"/>
  <c r="BT478" i="14"/>
  <c r="BW478" i="14" s="1"/>
  <c r="BV478" i="14"/>
  <c r="BX478" i="14" s="1"/>
  <c r="CA478" i="14"/>
  <c r="CB478" i="14" s="1"/>
  <c r="CD478" i="14"/>
  <c r="BE478" i="14"/>
  <c r="BG478" i="14" s="1"/>
  <c r="BB229" i="14"/>
  <c r="BM229" i="14"/>
  <c r="AB229" i="14"/>
  <c r="AD229" i="14"/>
  <c r="BI229" i="14"/>
  <c r="BJ229" i="14" s="1"/>
  <c r="AA229" i="14"/>
  <c r="AX229" i="14" s="1"/>
  <c r="BC229" i="14"/>
  <c r="BD229" i="14" s="1"/>
  <c r="AX228" i="14"/>
  <c r="BI236" i="3"/>
  <c r="D233" i="25"/>
  <c r="D233" i="26"/>
  <c r="C234" i="26"/>
  <c r="C234" i="25"/>
  <c r="BG236" i="3"/>
  <c r="BM236" i="3" s="1"/>
  <c r="BH236" i="3"/>
  <c r="DD396" i="3"/>
  <c r="BE236" i="3"/>
  <c r="CF237" i="3"/>
  <c r="AW233" i="3"/>
  <c r="CK236" i="3"/>
  <c r="BJ235" i="3"/>
  <c r="BP235" i="3" s="1"/>
  <c r="BC236" i="3"/>
  <c r="BN236" i="3" s="1"/>
  <c r="BR234" i="3"/>
  <c r="CI236" i="3"/>
  <c r="BY237" i="3"/>
  <c r="BF235" i="3"/>
  <c r="BQ235" i="3" s="1"/>
  <c r="D237" i="3"/>
  <c r="C238" i="3"/>
  <c r="BW237" i="3"/>
  <c r="CK237" i="3" s="1"/>
  <c r="BL237" i="3"/>
  <c r="BK237" i="3"/>
  <c r="AY237" i="3"/>
  <c r="AH237" i="3"/>
  <c r="P234" i="26" s="1"/>
  <c r="AG237" i="3"/>
  <c r="O234" i="26" s="1"/>
  <c r="AJ237" i="3"/>
  <c r="R234" i="26" s="1"/>
  <c r="AI237" i="3"/>
  <c r="Q234" i="26" s="1"/>
  <c r="BO235" i="3"/>
  <c r="AU235" i="3" s="1"/>
  <c r="BD237" i="3" l="1"/>
  <c r="BV238" i="3"/>
  <c r="BU238" i="3"/>
  <c r="CE225" i="14"/>
  <c r="CF225" i="14"/>
  <c r="AW234" i="3"/>
  <c r="AY227" i="14"/>
  <c r="CE227" i="14" s="1"/>
  <c r="BQ227" i="14"/>
  <c r="BR227" i="14" s="1"/>
  <c r="BU226" i="14"/>
  <c r="BV226" i="14"/>
  <c r="BX226" i="14" s="1"/>
  <c r="CK226" i="14" s="1"/>
  <c r="CD233" i="3" s="1"/>
  <c r="BS226" i="14"/>
  <c r="BT226" i="14"/>
  <c r="BW226" i="14" s="1"/>
  <c r="CJ226" i="14" s="1"/>
  <c r="CC233" i="3" s="1"/>
  <c r="BZ226" i="14"/>
  <c r="CA226" i="14"/>
  <c r="CB226" i="14" s="1"/>
  <c r="CM226" i="14" s="1"/>
  <c r="CG233" i="3" s="1"/>
  <c r="BS225" i="14"/>
  <c r="BU225" i="14"/>
  <c r="BT225" i="14"/>
  <c r="BW225" i="14" s="1"/>
  <c r="BZ225" i="14"/>
  <c r="CA225" i="14"/>
  <c r="CB225" i="14" s="1"/>
  <c r="CM225" i="14" s="1"/>
  <c r="CG232" i="3" s="1"/>
  <c r="BV225" i="14"/>
  <c r="BX225" i="14" s="1"/>
  <c r="AX480" i="14"/>
  <c r="CH227" i="14"/>
  <c r="AE482" i="14"/>
  <c r="Z482" i="14"/>
  <c r="AE231" i="14"/>
  <c r="Z231" i="14"/>
  <c r="BQ480" i="14"/>
  <c r="BR480" i="14" s="1"/>
  <c r="BN480" i="14"/>
  <c r="BO480" i="14" s="1"/>
  <c r="AD230" i="14"/>
  <c r="BI230" i="14"/>
  <c r="BJ230" i="14" s="1"/>
  <c r="BM230" i="14"/>
  <c r="BB230" i="14"/>
  <c r="AA230" i="14"/>
  <c r="AB230" i="14"/>
  <c r="BC230" i="14"/>
  <c r="BD230" i="14" s="1"/>
  <c r="BE228" i="14"/>
  <c r="BG228" i="14" s="1"/>
  <c r="CD228" i="14"/>
  <c r="AW479" i="14"/>
  <c r="AY479" i="14" s="1"/>
  <c r="BU479" i="14"/>
  <c r="BS479" i="14"/>
  <c r="BZ479" i="14"/>
  <c r="CA479" i="14"/>
  <c r="CB479" i="14" s="1"/>
  <c r="BV479" i="14"/>
  <c r="BX479" i="14" s="1"/>
  <c r="BT479" i="14"/>
  <c r="BW479" i="14" s="1"/>
  <c r="AV229" i="14"/>
  <c r="BA229" i="14"/>
  <c r="BK229" i="14" s="1"/>
  <c r="AQ229" i="14"/>
  <c r="AR229" i="14" s="1"/>
  <c r="AS229" i="14" s="1"/>
  <c r="AT229" i="14" s="1"/>
  <c r="AU229" i="14" s="1"/>
  <c r="AZ229" i="14"/>
  <c r="AK229" i="14"/>
  <c r="AL229" i="14" s="1"/>
  <c r="AM229" i="14" s="1"/>
  <c r="AN229" i="14" s="1"/>
  <c r="AO229" i="14" s="1"/>
  <c r="AP229" i="14" s="1"/>
  <c r="AF229" i="14"/>
  <c r="AG229" i="14" s="1"/>
  <c r="AH229" i="14" s="1"/>
  <c r="AI229" i="14" s="1"/>
  <c r="AJ229" i="14" s="1"/>
  <c r="AC229" i="14"/>
  <c r="BN229" i="14"/>
  <c r="BO229" i="14" s="1"/>
  <c r="AW228" i="14"/>
  <c r="CD479" i="14"/>
  <c r="BE479" i="14"/>
  <c r="BG479" i="14" s="1"/>
  <c r="AQ480" i="14"/>
  <c r="AR480" i="14" s="1"/>
  <c r="AS480" i="14" s="1"/>
  <c r="AT480" i="14" s="1"/>
  <c r="AU480" i="14" s="1"/>
  <c r="BA480" i="14"/>
  <c r="BK480" i="14" s="1"/>
  <c r="AC480" i="14"/>
  <c r="AZ480" i="14"/>
  <c r="AF480" i="14"/>
  <c r="AG480" i="14" s="1"/>
  <c r="AH480" i="14" s="1"/>
  <c r="AI480" i="14" s="1"/>
  <c r="AJ480" i="14" s="1"/>
  <c r="AK480" i="14"/>
  <c r="AL480" i="14" s="1"/>
  <c r="AM480" i="14" s="1"/>
  <c r="AN480" i="14" s="1"/>
  <c r="AO480" i="14" s="1"/>
  <c r="AP480" i="14" s="1"/>
  <c r="AB481" i="14"/>
  <c r="AA481" i="14"/>
  <c r="AX481" i="14" s="1"/>
  <c r="BI481" i="14"/>
  <c r="BJ481" i="14" s="1"/>
  <c r="BC481" i="14"/>
  <c r="BD481" i="14" s="1"/>
  <c r="BM481" i="14"/>
  <c r="BB481" i="14"/>
  <c r="AD481" i="14"/>
  <c r="AW478" i="14"/>
  <c r="AY478" i="14" s="1"/>
  <c r="CF478" i="14" s="1"/>
  <c r="CK478" i="14" s="1"/>
  <c r="BA234" i="3" s="1"/>
  <c r="C235" i="25"/>
  <c r="C235" i="26"/>
  <c r="BH237" i="3"/>
  <c r="D234" i="26"/>
  <c r="D234" i="25"/>
  <c r="BG237" i="3"/>
  <c r="BM237" i="3" s="1"/>
  <c r="BI237" i="3"/>
  <c r="DD397" i="3"/>
  <c r="BE237" i="3"/>
  <c r="CF238" i="3"/>
  <c r="BJ236" i="3"/>
  <c r="BP236" i="3" s="1"/>
  <c r="BR235" i="3"/>
  <c r="BC237" i="3"/>
  <c r="BN237" i="3" s="1"/>
  <c r="CJ237" i="3"/>
  <c r="AV237" i="3" s="1"/>
  <c r="CI237" i="3"/>
  <c r="BY238" i="3"/>
  <c r="BF236" i="3"/>
  <c r="BQ236" i="3" s="1"/>
  <c r="D238" i="3"/>
  <c r="BI238" i="3" s="1"/>
  <c r="BO236" i="3"/>
  <c r="AU236" i="3" s="1"/>
  <c r="C239" i="3"/>
  <c r="BW238" i="3"/>
  <c r="CJ238" i="3" s="1"/>
  <c r="AV238" i="3" s="1"/>
  <c r="BL238" i="3"/>
  <c r="AY238" i="3"/>
  <c r="BK238" i="3"/>
  <c r="AG238" i="3"/>
  <c r="O235" i="26" s="1"/>
  <c r="AJ238" i="3"/>
  <c r="R235" i="26" s="1"/>
  <c r="AI238" i="3"/>
  <c r="Q235" i="26" s="1"/>
  <c r="AH238" i="3"/>
  <c r="P235" i="26" s="1"/>
  <c r="CJ225" i="14" l="1"/>
  <c r="CC232" i="3" s="1"/>
  <c r="CF227" i="14"/>
  <c r="BD238" i="3"/>
  <c r="BV239" i="3"/>
  <c r="BU239" i="3"/>
  <c r="CK225" i="14"/>
  <c r="CD232" i="3" s="1"/>
  <c r="BS227" i="14"/>
  <c r="BV227" i="14"/>
  <c r="BX227" i="14" s="1"/>
  <c r="CA227" i="14"/>
  <c r="CB227" i="14" s="1"/>
  <c r="CM227" i="14" s="1"/>
  <c r="CG234" i="3" s="1"/>
  <c r="BU227" i="14"/>
  <c r="BT227" i="14"/>
  <c r="BW227" i="14" s="1"/>
  <c r="CJ227" i="14" s="1"/>
  <c r="CC234" i="3" s="1"/>
  <c r="BZ227" i="14"/>
  <c r="AY228" i="14"/>
  <c r="CH228" i="14" s="1"/>
  <c r="BQ228" i="14"/>
  <c r="BR228" i="14" s="1"/>
  <c r="CH478" i="14"/>
  <c r="CM478" i="14" s="1"/>
  <c r="BB234" i="3" s="1"/>
  <c r="CE478" i="14"/>
  <c r="CJ478" i="14" s="1"/>
  <c r="AZ234" i="3" s="1"/>
  <c r="BE480" i="14"/>
  <c r="BG480" i="14" s="1"/>
  <c r="CD480" i="14"/>
  <c r="CH479" i="14"/>
  <c r="CM479" i="14" s="1"/>
  <c r="BB235" i="3" s="1"/>
  <c r="CE479" i="14"/>
  <c r="CJ479" i="14" s="1"/>
  <c r="AZ235" i="3" s="1"/>
  <c r="CF479" i="14"/>
  <c r="CK479" i="14" s="1"/>
  <c r="BA235" i="3" s="1"/>
  <c r="AQ230" i="14"/>
  <c r="AR230" i="14" s="1"/>
  <c r="AS230" i="14" s="1"/>
  <c r="AT230" i="14" s="1"/>
  <c r="AU230" i="14" s="1"/>
  <c r="AC230" i="14"/>
  <c r="AF230" i="14"/>
  <c r="BA230" i="14"/>
  <c r="BK230" i="14" s="1"/>
  <c r="AZ230" i="14"/>
  <c r="AK230" i="14"/>
  <c r="AL230" i="14" s="1"/>
  <c r="AM230" i="14" s="1"/>
  <c r="AN230" i="14" s="1"/>
  <c r="AO230" i="14" s="1"/>
  <c r="AP230" i="14" s="1"/>
  <c r="BC231" i="14"/>
  <c r="BD231" i="14" s="1"/>
  <c r="BI231" i="14"/>
  <c r="BJ231" i="14" s="1"/>
  <c r="AB231" i="14"/>
  <c r="AA231" i="14"/>
  <c r="AV231" i="14" s="1"/>
  <c r="AD231" i="14"/>
  <c r="BB231" i="14"/>
  <c r="BM231" i="14"/>
  <c r="AQ481" i="14"/>
  <c r="AR481" i="14" s="1"/>
  <c r="AS481" i="14" s="1"/>
  <c r="AT481" i="14" s="1"/>
  <c r="AU481" i="14" s="1"/>
  <c r="AF481" i="14"/>
  <c r="AC481" i="14"/>
  <c r="BA481" i="14"/>
  <c r="BK481" i="14" s="1"/>
  <c r="AZ481" i="14"/>
  <c r="AK481" i="14"/>
  <c r="AL481" i="14" s="1"/>
  <c r="AM481" i="14" s="1"/>
  <c r="AN481" i="14" s="1"/>
  <c r="AO481" i="14" s="1"/>
  <c r="AP481" i="14" s="1"/>
  <c r="BQ481" i="14"/>
  <c r="BR481" i="14" s="1"/>
  <c r="BN481" i="14"/>
  <c r="BO481" i="14" s="1"/>
  <c r="AW229" i="14"/>
  <c r="AV481" i="14"/>
  <c r="AX230" i="14"/>
  <c r="BV480" i="14"/>
  <c r="BX480" i="14" s="1"/>
  <c r="BT480" i="14"/>
  <c r="BW480" i="14" s="1"/>
  <c r="CA480" i="14"/>
  <c r="CB480" i="14" s="1"/>
  <c r="AW480" i="14"/>
  <c r="AY480" i="14" s="1"/>
  <c r="CD229" i="14"/>
  <c r="BE229" i="14"/>
  <c r="BG229" i="14" s="1"/>
  <c r="Z483" i="14"/>
  <c r="AE483" i="14"/>
  <c r="Z232" i="14"/>
  <c r="AE232" i="14"/>
  <c r="AV230" i="14"/>
  <c r="BN230" i="14"/>
  <c r="BO230" i="14" s="1"/>
  <c r="BZ480" i="14"/>
  <c r="BS480" i="14"/>
  <c r="BU480" i="14"/>
  <c r="BM482" i="14"/>
  <c r="BI482" i="14"/>
  <c r="BJ482" i="14" s="1"/>
  <c r="BC482" i="14"/>
  <c r="BD482" i="14" s="1"/>
  <c r="AB482" i="14"/>
  <c r="AA482" i="14"/>
  <c r="AV482" i="14" s="1"/>
  <c r="AD482" i="14"/>
  <c r="BB482" i="14"/>
  <c r="BH238" i="3"/>
  <c r="C236" i="26"/>
  <c r="C236" i="25"/>
  <c r="BG238" i="3"/>
  <c r="BM238" i="3" s="1"/>
  <c r="D235" i="26"/>
  <c r="D235" i="25"/>
  <c r="BE238" i="3"/>
  <c r="CK238" i="3"/>
  <c r="AW235" i="3"/>
  <c r="CF239" i="3"/>
  <c r="BR236" i="3"/>
  <c r="BC238" i="3"/>
  <c r="BN238" i="3" s="1"/>
  <c r="DD398" i="3"/>
  <c r="CI238" i="3"/>
  <c r="BY239" i="3"/>
  <c r="BJ237" i="3"/>
  <c r="BP237" i="3" s="1"/>
  <c r="BF237" i="3"/>
  <c r="BQ237" i="3" s="1"/>
  <c r="D239" i="3"/>
  <c r="BG239" i="3" s="1"/>
  <c r="BO237" i="3"/>
  <c r="AU237" i="3" s="1"/>
  <c r="C240" i="3"/>
  <c r="BK239" i="3"/>
  <c r="AY239" i="3"/>
  <c r="BD239" i="3" s="1"/>
  <c r="BW239" i="3"/>
  <c r="CK239" i="3" s="1"/>
  <c r="BL239" i="3"/>
  <c r="AJ239" i="3"/>
  <c r="R236" i="26" s="1"/>
  <c r="AI239" i="3"/>
  <c r="Q236" i="26" s="1"/>
  <c r="AH239" i="3"/>
  <c r="P236" i="26" s="1"/>
  <c r="AG239" i="3"/>
  <c r="O236" i="26" s="1"/>
  <c r="CK227" i="14" l="1"/>
  <c r="CD234" i="3" s="1"/>
  <c r="BV240" i="3"/>
  <c r="BU240" i="3"/>
  <c r="CF228" i="14"/>
  <c r="CE228" i="14"/>
  <c r="AW236" i="3"/>
  <c r="AY229" i="14"/>
  <c r="CF229" i="14" s="1"/>
  <c r="BQ229" i="14"/>
  <c r="BR229" i="14" s="1"/>
  <c r="CA228" i="14"/>
  <c r="CB228" i="14" s="1"/>
  <c r="CM228" i="14" s="1"/>
  <c r="CG235" i="3" s="1"/>
  <c r="BS228" i="14"/>
  <c r="BV228" i="14"/>
  <c r="BX228" i="14" s="1"/>
  <c r="BZ228" i="14"/>
  <c r="BU228" i="14"/>
  <c r="BT228" i="14"/>
  <c r="BW228" i="14" s="1"/>
  <c r="DD399" i="3"/>
  <c r="AX231" i="14"/>
  <c r="BM232" i="14"/>
  <c r="AA232" i="14"/>
  <c r="AV232" i="14" s="1"/>
  <c r="BC232" i="14"/>
  <c r="BD232" i="14" s="1"/>
  <c r="AB232" i="14"/>
  <c r="BI232" i="14"/>
  <c r="BJ232" i="14" s="1"/>
  <c r="AD232" i="14"/>
  <c r="BB232" i="14"/>
  <c r="AE484" i="14"/>
  <c r="Z484" i="14"/>
  <c r="AE233" i="14"/>
  <c r="Z233" i="14"/>
  <c r="BV481" i="14"/>
  <c r="BX481" i="14" s="1"/>
  <c r="BT481" i="14"/>
  <c r="BW481" i="14" s="1"/>
  <c r="CA481" i="14"/>
  <c r="CB481" i="14" s="1"/>
  <c r="AF231" i="14"/>
  <c r="AG231" i="14" s="1"/>
  <c r="AH231" i="14" s="1"/>
  <c r="AI231" i="14" s="1"/>
  <c r="AJ231" i="14" s="1"/>
  <c r="AK231" i="14"/>
  <c r="AL231" i="14" s="1"/>
  <c r="AM231" i="14" s="1"/>
  <c r="AN231" i="14" s="1"/>
  <c r="AO231" i="14" s="1"/>
  <c r="AP231" i="14" s="1"/>
  <c r="AQ231" i="14"/>
  <c r="AR231" i="14" s="1"/>
  <c r="AS231" i="14" s="1"/>
  <c r="AT231" i="14" s="1"/>
  <c r="AU231" i="14" s="1"/>
  <c r="BA231" i="14"/>
  <c r="BK231" i="14" s="1"/>
  <c r="AZ231" i="14"/>
  <c r="AC231" i="14"/>
  <c r="BE230" i="14"/>
  <c r="BG230" i="14" s="1"/>
  <c r="CD230" i="14"/>
  <c r="AK482" i="14"/>
  <c r="AL482" i="14" s="1"/>
  <c r="AM482" i="14" s="1"/>
  <c r="AN482" i="14" s="1"/>
  <c r="AO482" i="14" s="1"/>
  <c r="AP482" i="14" s="1"/>
  <c r="BA482" i="14"/>
  <c r="BK482" i="14" s="1"/>
  <c r="AQ482" i="14"/>
  <c r="AR482" i="14" s="1"/>
  <c r="AS482" i="14" s="1"/>
  <c r="AT482" i="14" s="1"/>
  <c r="AU482" i="14" s="1"/>
  <c r="AF482" i="14"/>
  <c r="AG482" i="14" s="1"/>
  <c r="AH482" i="14" s="1"/>
  <c r="AI482" i="14" s="1"/>
  <c r="AJ482" i="14" s="1"/>
  <c r="AZ482" i="14"/>
  <c r="AC482" i="14"/>
  <c r="BQ482" i="14"/>
  <c r="BR482" i="14" s="1"/>
  <c r="BN482" i="14"/>
  <c r="BO482" i="14" s="1"/>
  <c r="CD481" i="14"/>
  <c r="BE481" i="14"/>
  <c r="BG481" i="14" s="1"/>
  <c r="CH480" i="14"/>
  <c r="CM480" i="14" s="1"/>
  <c r="BB236" i="3" s="1"/>
  <c r="CF480" i="14"/>
  <c r="CK480" i="14" s="1"/>
  <c r="BA236" i="3" s="1"/>
  <c r="CE480" i="14"/>
  <c r="CJ480" i="14" s="1"/>
  <c r="AZ236" i="3" s="1"/>
  <c r="BN231" i="14"/>
  <c r="BO231" i="14" s="1"/>
  <c r="AX482" i="14"/>
  <c r="AB483" i="14"/>
  <c r="BI483" i="14"/>
  <c r="BJ483" i="14" s="1"/>
  <c r="BC483" i="14"/>
  <c r="BD483" i="14" s="1"/>
  <c r="AA483" i="14"/>
  <c r="AV483" i="14" s="1"/>
  <c r="BM483" i="14"/>
  <c r="BB483" i="14"/>
  <c r="AD483" i="14"/>
  <c r="CE229" i="14"/>
  <c r="BZ481" i="14"/>
  <c r="BU481" i="14"/>
  <c r="BS481" i="14"/>
  <c r="AG481" i="14"/>
  <c r="AH481" i="14" s="1"/>
  <c r="AI481" i="14" s="1"/>
  <c r="AJ481" i="14" s="1"/>
  <c r="AG230" i="14"/>
  <c r="AH230" i="14" s="1"/>
  <c r="AI230" i="14" s="1"/>
  <c r="AJ230" i="14" s="1"/>
  <c r="BH239" i="3"/>
  <c r="C237" i="25"/>
  <c r="C237" i="26"/>
  <c r="BI239" i="3"/>
  <c r="D236" i="26"/>
  <c r="D236" i="25"/>
  <c r="BE239" i="3"/>
  <c r="CF240" i="3"/>
  <c r="BC239" i="3"/>
  <c r="BN239" i="3" s="1"/>
  <c r="BY240" i="3"/>
  <c r="CI239" i="3"/>
  <c r="BR237" i="3"/>
  <c r="CJ239" i="3"/>
  <c r="AV239" i="3" s="1"/>
  <c r="BJ238" i="3"/>
  <c r="BP238" i="3" s="1"/>
  <c r="BF238" i="3"/>
  <c r="BQ238" i="3" s="1"/>
  <c r="D240" i="3"/>
  <c r="BH240" i="3" s="1"/>
  <c r="BO238" i="3"/>
  <c r="AU238" i="3" s="1"/>
  <c r="BM239" i="3"/>
  <c r="C241" i="3"/>
  <c r="BL240" i="3"/>
  <c r="BK240" i="3"/>
  <c r="AY240" i="3"/>
  <c r="BD240" i="3" s="1"/>
  <c r="BW240" i="3"/>
  <c r="CK240" i="3" s="1"/>
  <c r="AI240" i="3"/>
  <c r="Q237" i="26" s="1"/>
  <c r="AH240" i="3"/>
  <c r="P237" i="26" s="1"/>
  <c r="AG240" i="3"/>
  <c r="O237" i="26" s="1"/>
  <c r="AJ240" i="3"/>
  <c r="R237" i="26" s="1"/>
  <c r="CK228" i="14" l="1"/>
  <c r="CD235" i="3" s="1"/>
  <c r="BV241" i="3"/>
  <c r="BU241" i="3"/>
  <c r="CH229" i="14"/>
  <c r="CJ228" i="14"/>
  <c r="CC235" i="3" s="1"/>
  <c r="BZ229" i="14"/>
  <c r="CA229" i="14"/>
  <c r="CB229" i="14" s="1"/>
  <c r="BT229" i="14"/>
  <c r="BW229" i="14" s="1"/>
  <c r="CJ229" i="14" s="1"/>
  <c r="CC236" i="3" s="1"/>
  <c r="BU229" i="14"/>
  <c r="BV229" i="14"/>
  <c r="BX229" i="14" s="1"/>
  <c r="CK229" i="14" s="1"/>
  <c r="CD236" i="3" s="1"/>
  <c r="BS229" i="14"/>
  <c r="AX232" i="14"/>
  <c r="AW481" i="14"/>
  <c r="AY481" i="14" s="1"/>
  <c r="CE481" i="14" s="1"/>
  <c r="CJ481" i="14" s="1"/>
  <c r="AZ237" i="3" s="1"/>
  <c r="AW230" i="14"/>
  <c r="CD231" i="14"/>
  <c r="BE231" i="14"/>
  <c r="BG231" i="14" s="1"/>
  <c r="BM233" i="14"/>
  <c r="BI233" i="14"/>
  <c r="BJ233" i="14" s="1"/>
  <c r="AA233" i="14"/>
  <c r="AV233" i="14" s="1"/>
  <c r="BC233" i="14"/>
  <c r="BD233" i="14" s="1"/>
  <c r="AB233" i="14"/>
  <c r="AD233" i="14"/>
  <c r="BB233" i="14"/>
  <c r="BN483" i="14"/>
  <c r="BO483" i="14" s="1"/>
  <c r="BQ483" i="14"/>
  <c r="BR483" i="14" s="1"/>
  <c r="BU482" i="14"/>
  <c r="BS482" i="14"/>
  <c r="BZ482" i="14"/>
  <c r="CA482" i="14"/>
  <c r="CB482" i="14" s="1"/>
  <c r="BT482" i="14"/>
  <c r="BW482" i="14" s="1"/>
  <c r="BV482" i="14"/>
  <c r="BX482" i="14" s="1"/>
  <c r="CD482" i="14"/>
  <c r="BE482" i="14"/>
  <c r="BG482" i="14" s="1"/>
  <c r="BM484" i="14"/>
  <c r="BI484" i="14"/>
  <c r="BJ484" i="14" s="1"/>
  <c r="AB484" i="14"/>
  <c r="BC484" i="14"/>
  <c r="BD484" i="14" s="1"/>
  <c r="AA484" i="14"/>
  <c r="AV484" i="14" s="1"/>
  <c r="BB484" i="14"/>
  <c r="AD484" i="14"/>
  <c r="AZ232" i="14"/>
  <c r="AC232" i="14"/>
  <c r="AK232" i="14"/>
  <c r="AL232" i="14" s="1"/>
  <c r="AM232" i="14" s="1"/>
  <c r="AN232" i="14" s="1"/>
  <c r="AO232" i="14" s="1"/>
  <c r="AP232" i="14" s="1"/>
  <c r="AF232" i="14"/>
  <c r="AG232" i="14" s="1"/>
  <c r="AH232" i="14" s="1"/>
  <c r="AI232" i="14" s="1"/>
  <c r="AJ232" i="14" s="1"/>
  <c r="AQ232" i="14"/>
  <c r="AR232" i="14" s="1"/>
  <c r="AS232" i="14" s="1"/>
  <c r="AT232" i="14" s="1"/>
  <c r="AU232" i="14" s="1"/>
  <c r="BA232" i="14"/>
  <c r="BK232" i="14" s="1"/>
  <c r="AE485" i="14"/>
  <c r="Z485" i="14"/>
  <c r="AE234" i="14"/>
  <c r="Z234" i="14"/>
  <c r="AK483" i="14"/>
  <c r="AL483" i="14" s="1"/>
  <c r="AM483" i="14" s="1"/>
  <c r="AN483" i="14" s="1"/>
  <c r="AO483" i="14" s="1"/>
  <c r="AP483" i="14" s="1"/>
  <c r="BA483" i="14"/>
  <c r="BK483" i="14" s="1"/>
  <c r="AC483" i="14"/>
  <c r="AF483" i="14"/>
  <c r="AG483" i="14" s="1"/>
  <c r="AH483" i="14" s="1"/>
  <c r="AI483" i="14" s="1"/>
  <c r="AJ483" i="14" s="1"/>
  <c r="AQ483" i="14"/>
  <c r="AR483" i="14" s="1"/>
  <c r="AS483" i="14" s="1"/>
  <c r="AT483" i="14" s="1"/>
  <c r="AU483" i="14" s="1"/>
  <c r="AZ483" i="14"/>
  <c r="AX483" i="14"/>
  <c r="AW482" i="14"/>
  <c r="AY482" i="14" s="1"/>
  <c r="AW231" i="14"/>
  <c r="BN232" i="14"/>
  <c r="BO232" i="14" s="1"/>
  <c r="C238" i="26"/>
  <c r="C238" i="25"/>
  <c r="BG240" i="3"/>
  <c r="BM240" i="3" s="1"/>
  <c r="D237" i="26"/>
  <c r="D237" i="25"/>
  <c r="BI240" i="3"/>
  <c r="BE240" i="3"/>
  <c r="CF241" i="3"/>
  <c r="AW237" i="3"/>
  <c r="BJ239" i="3"/>
  <c r="BP239" i="3" s="1"/>
  <c r="BC240" i="3"/>
  <c r="BN240" i="3" s="1"/>
  <c r="DD400" i="3"/>
  <c r="BR238" i="3"/>
  <c r="BY241" i="3"/>
  <c r="CI240" i="3"/>
  <c r="CJ240" i="3"/>
  <c r="AV240" i="3" s="1"/>
  <c r="BF239" i="3"/>
  <c r="BQ239" i="3" s="1"/>
  <c r="D241" i="3"/>
  <c r="DD401" i="3" s="1"/>
  <c r="BO239" i="3"/>
  <c r="AU239" i="3" s="1"/>
  <c r="C242" i="3"/>
  <c r="BW241" i="3"/>
  <c r="CI241" i="3" s="1"/>
  <c r="BL241" i="3"/>
  <c r="BK241" i="3"/>
  <c r="AY241" i="3"/>
  <c r="AH241" i="3"/>
  <c r="P238" i="26" s="1"/>
  <c r="AG241" i="3"/>
  <c r="O238" i="26" s="1"/>
  <c r="AJ241" i="3"/>
  <c r="R238" i="26" s="1"/>
  <c r="AI241" i="3"/>
  <c r="Q238" i="26" s="1"/>
  <c r="BD241" i="3" l="1"/>
  <c r="CM229" i="14"/>
  <c r="CG236" i="3" s="1"/>
  <c r="BV242" i="3"/>
  <c r="BU242" i="3"/>
  <c r="CF482" i="14"/>
  <c r="CK482" i="14" s="1"/>
  <c r="BA238" i="3" s="1"/>
  <c r="AY231" i="14"/>
  <c r="CF231" i="14" s="1"/>
  <c r="BQ231" i="14"/>
  <c r="BR231" i="14" s="1"/>
  <c r="AY230" i="14"/>
  <c r="CH230" i="14" s="1"/>
  <c r="BQ230" i="14"/>
  <c r="BR230" i="14" s="1"/>
  <c r="CF481" i="14"/>
  <c r="CK481" i="14" s="1"/>
  <c r="BA237" i="3" s="1"/>
  <c r="CH481" i="14"/>
  <c r="CM481" i="14" s="1"/>
  <c r="BB237" i="3" s="1"/>
  <c r="AX233" i="14"/>
  <c r="Z486" i="14"/>
  <c r="AE486" i="14"/>
  <c r="AE235" i="14"/>
  <c r="Z235" i="14"/>
  <c r="CH482" i="14"/>
  <c r="CM482" i="14" s="1"/>
  <c r="BB238" i="3" s="1"/>
  <c r="CE482" i="14"/>
  <c r="CJ482" i="14" s="1"/>
  <c r="AZ238" i="3" s="1"/>
  <c r="BV483" i="14"/>
  <c r="BX483" i="14" s="1"/>
  <c r="BT483" i="14"/>
  <c r="BW483" i="14" s="1"/>
  <c r="CA483" i="14"/>
  <c r="CB483" i="14" s="1"/>
  <c r="BE483" i="14"/>
  <c r="BG483" i="14" s="1"/>
  <c r="CD483" i="14"/>
  <c r="AW483" i="14"/>
  <c r="AY483" i="14" s="1"/>
  <c r="AW232" i="14"/>
  <c r="CD232" i="14"/>
  <c r="BE232" i="14"/>
  <c r="BG232" i="14" s="1"/>
  <c r="AQ484" i="14"/>
  <c r="AR484" i="14" s="1"/>
  <c r="AS484" i="14" s="1"/>
  <c r="AT484" i="14" s="1"/>
  <c r="AU484" i="14" s="1"/>
  <c r="AF484" i="14"/>
  <c r="AK484" i="14"/>
  <c r="AL484" i="14" s="1"/>
  <c r="AM484" i="14" s="1"/>
  <c r="AN484" i="14" s="1"/>
  <c r="AO484" i="14" s="1"/>
  <c r="AP484" i="14" s="1"/>
  <c r="AC484" i="14"/>
  <c r="AZ484" i="14"/>
  <c r="BA484" i="14"/>
  <c r="BK484" i="14" s="1"/>
  <c r="BN484" i="14"/>
  <c r="BO484" i="14" s="1"/>
  <c r="BQ484" i="14"/>
  <c r="BR484" i="14" s="1"/>
  <c r="AB485" i="14"/>
  <c r="BC485" i="14"/>
  <c r="BD485" i="14" s="1"/>
  <c r="AA485" i="14"/>
  <c r="AV485" i="14" s="1"/>
  <c r="BI485" i="14"/>
  <c r="BJ485" i="14" s="1"/>
  <c r="AD485" i="14"/>
  <c r="BM485" i="14"/>
  <c r="BB485" i="14"/>
  <c r="BS483" i="14"/>
  <c r="BU483" i="14"/>
  <c r="BZ483" i="14"/>
  <c r="BN233" i="14"/>
  <c r="BO233" i="14" s="1"/>
  <c r="BM234" i="14"/>
  <c r="BI234" i="14"/>
  <c r="BJ234" i="14" s="1"/>
  <c r="AB234" i="14"/>
  <c r="AA234" i="14"/>
  <c r="AX234" i="14" s="1"/>
  <c r="BC234" i="14"/>
  <c r="BD234" i="14" s="1"/>
  <c r="AD234" i="14"/>
  <c r="BB234" i="14"/>
  <c r="AX484" i="14"/>
  <c r="AK233" i="14"/>
  <c r="AL233" i="14" s="1"/>
  <c r="AM233" i="14" s="1"/>
  <c r="AN233" i="14" s="1"/>
  <c r="AO233" i="14" s="1"/>
  <c r="AP233" i="14" s="1"/>
  <c r="AC233" i="14"/>
  <c r="BA233" i="14"/>
  <c r="BK233" i="14" s="1"/>
  <c r="AZ233" i="14"/>
  <c r="AF233" i="14"/>
  <c r="AG233" i="14" s="1"/>
  <c r="AH233" i="14" s="1"/>
  <c r="AI233" i="14" s="1"/>
  <c r="AJ233" i="14" s="1"/>
  <c r="AQ233" i="14"/>
  <c r="AR233" i="14" s="1"/>
  <c r="AS233" i="14" s="1"/>
  <c r="AT233" i="14" s="1"/>
  <c r="AU233" i="14" s="1"/>
  <c r="BI241" i="3"/>
  <c r="D238" i="26"/>
  <c r="D238" i="25"/>
  <c r="C239" i="25"/>
  <c r="C239" i="26"/>
  <c r="BG241" i="3"/>
  <c r="BM241" i="3" s="1"/>
  <c r="BH241" i="3"/>
  <c r="BE241" i="3"/>
  <c r="CF242" i="3"/>
  <c r="AW238" i="3"/>
  <c r="CK241" i="3"/>
  <c r="BR239" i="3"/>
  <c r="BC241" i="3"/>
  <c r="BN241" i="3" s="1"/>
  <c r="CJ241" i="3"/>
  <c r="AV241" i="3" s="1"/>
  <c r="BY242" i="3"/>
  <c r="BJ240" i="3"/>
  <c r="BP240" i="3" s="1"/>
  <c r="BF240" i="3"/>
  <c r="BQ240" i="3" s="1"/>
  <c r="D242" i="3"/>
  <c r="BI242" i="3" s="1"/>
  <c r="C243" i="3"/>
  <c r="BW242" i="3"/>
  <c r="CI242" i="3" s="1"/>
  <c r="BL242" i="3"/>
  <c r="AY242" i="3"/>
  <c r="BD242" i="3" s="1"/>
  <c r="BK242" i="3"/>
  <c r="AG242" i="3"/>
  <c r="O239" i="26" s="1"/>
  <c r="AJ242" i="3"/>
  <c r="R239" i="26" s="1"/>
  <c r="AI242" i="3"/>
  <c r="Q239" i="26" s="1"/>
  <c r="AH242" i="3"/>
  <c r="P239" i="26" s="1"/>
  <c r="BO240" i="3"/>
  <c r="AU240" i="3" s="1"/>
  <c r="CE231" i="14" l="1"/>
  <c r="CH231" i="14"/>
  <c r="BV243" i="3"/>
  <c r="BU243" i="3"/>
  <c r="CE230" i="14"/>
  <c r="CF230" i="14"/>
  <c r="BZ231" i="14"/>
  <c r="BV231" i="14"/>
  <c r="BX231" i="14" s="1"/>
  <c r="BS231" i="14"/>
  <c r="BT231" i="14"/>
  <c r="BW231" i="14" s="1"/>
  <c r="CJ231" i="14" s="1"/>
  <c r="CC238" i="3" s="1"/>
  <c r="BU231" i="14"/>
  <c r="CA231" i="14"/>
  <c r="CB231" i="14" s="1"/>
  <c r="AW239" i="3"/>
  <c r="AY232" i="14"/>
  <c r="CF232" i="14" s="1"/>
  <c r="BQ232" i="14"/>
  <c r="BR232" i="14" s="1"/>
  <c r="CK231" i="14"/>
  <c r="CD238" i="3" s="1"/>
  <c r="BS230" i="14"/>
  <c r="BV230" i="14"/>
  <c r="BX230" i="14" s="1"/>
  <c r="CK230" i="14" s="1"/>
  <c r="CD237" i="3" s="1"/>
  <c r="BZ230" i="14"/>
  <c r="CA230" i="14"/>
  <c r="CB230" i="14" s="1"/>
  <c r="CM230" i="14" s="1"/>
  <c r="CG237" i="3" s="1"/>
  <c r="BU230" i="14"/>
  <c r="BT230" i="14"/>
  <c r="BW230" i="14" s="1"/>
  <c r="AX485" i="14"/>
  <c r="DD402" i="3"/>
  <c r="BQ485" i="14"/>
  <c r="BR485" i="14" s="1"/>
  <c r="BN485" i="14"/>
  <c r="BO485" i="14" s="1"/>
  <c r="BS484" i="14"/>
  <c r="BU484" i="14"/>
  <c r="BZ484" i="14"/>
  <c r="CD233" i="14"/>
  <c r="BE233" i="14"/>
  <c r="BG233" i="14" s="1"/>
  <c r="BN234" i="14"/>
  <c r="BO234" i="14" s="1"/>
  <c r="AC485" i="14"/>
  <c r="AF485" i="14"/>
  <c r="AG485" i="14" s="1"/>
  <c r="AH485" i="14" s="1"/>
  <c r="AI485" i="14" s="1"/>
  <c r="AJ485" i="14" s="1"/>
  <c r="AK485" i="14"/>
  <c r="AL485" i="14" s="1"/>
  <c r="AM485" i="14" s="1"/>
  <c r="AN485" i="14" s="1"/>
  <c r="AO485" i="14" s="1"/>
  <c r="AP485" i="14" s="1"/>
  <c r="AQ485" i="14"/>
  <c r="AR485" i="14" s="1"/>
  <c r="AS485" i="14" s="1"/>
  <c r="AT485" i="14" s="1"/>
  <c r="AU485" i="14" s="1"/>
  <c r="BA485" i="14"/>
  <c r="BK485" i="14" s="1"/>
  <c r="AZ485" i="14"/>
  <c r="BV484" i="14"/>
  <c r="BX484" i="14" s="1"/>
  <c r="CA484" i="14"/>
  <c r="CB484" i="14" s="1"/>
  <c r="BT484" i="14"/>
  <c r="BW484" i="14" s="1"/>
  <c r="CE232" i="14"/>
  <c r="CF483" i="14"/>
  <c r="CK483" i="14" s="1"/>
  <c r="BA239" i="3" s="1"/>
  <c r="CE483" i="14"/>
  <c r="CJ483" i="14" s="1"/>
  <c r="AZ239" i="3" s="1"/>
  <c r="BM486" i="14"/>
  <c r="AA486" i="14"/>
  <c r="AV486" i="14" s="1"/>
  <c r="BI486" i="14"/>
  <c r="BJ486" i="14" s="1"/>
  <c r="BC486" i="14"/>
  <c r="BD486" i="14" s="1"/>
  <c r="AB486" i="14"/>
  <c r="AD486" i="14"/>
  <c r="BB486" i="14"/>
  <c r="BM235" i="14"/>
  <c r="BC235" i="14"/>
  <c r="BD235" i="14" s="1"/>
  <c r="BI235" i="14"/>
  <c r="BJ235" i="14" s="1"/>
  <c r="AA235" i="14"/>
  <c r="AX235" i="14" s="1"/>
  <c r="BB235" i="14"/>
  <c r="AB235" i="14"/>
  <c r="AD235" i="14"/>
  <c r="Z487" i="14"/>
  <c r="AE487" i="14"/>
  <c r="AE236" i="14"/>
  <c r="Z236" i="14"/>
  <c r="BA234" i="14"/>
  <c r="BK234" i="14" s="1"/>
  <c r="AQ234" i="14"/>
  <c r="AR234" i="14" s="1"/>
  <c r="AS234" i="14" s="1"/>
  <c r="AT234" i="14" s="1"/>
  <c r="AU234" i="14" s="1"/>
  <c r="AC234" i="14"/>
  <c r="AK234" i="14"/>
  <c r="AL234" i="14" s="1"/>
  <c r="AM234" i="14" s="1"/>
  <c r="AN234" i="14" s="1"/>
  <c r="AO234" i="14" s="1"/>
  <c r="AP234" i="14" s="1"/>
  <c r="AF234" i="14"/>
  <c r="AZ234" i="14"/>
  <c r="AG484" i="14"/>
  <c r="AH484" i="14" s="1"/>
  <c r="AI484" i="14" s="1"/>
  <c r="AJ484" i="14" s="1"/>
  <c r="AW233" i="14"/>
  <c r="BE484" i="14"/>
  <c r="BG484" i="14" s="1"/>
  <c r="CD484" i="14"/>
  <c r="CH483" i="14"/>
  <c r="CM483" i="14" s="1"/>
  <c r="BB239" i="3" s="1"/>
  <c r="AV234" i="14"/>
  <c r="C240" i="25"/>
  <c r="C240" i="26"/>
  <c r="BH242" i="3"/>
  <c r="BJ242" i="3" s="1"/>
  <c r="BP242" i="3" s="1"/>
  <c r="D239" i="26"/>
  <c r="D239" i="25"/>
  <c r="BG242" i="3"/>
  <c r="BM242" i="3" s="1"/>
  <c r="BE242" i="3"/>
  <c r="CF243" i="3"/>
  <c r="CK242" i="3"/>
  <c r="BJ241" i="3"/>
  <c r="BP241" i="3" s="1"/>
  <c r="BC242" i="3"/>
  <c r="BN242" i="3" s="1"/>
  <c r="BR240" i="3"/>
  <c r="CJ242" i="3"/>
  <c r="AV242" i="3" s="1"/>
  <c r="BY243" i="3"/>
  <c r="BF241" i="3"/>
  <c r="BQ241" i="3" s="1"/>
  <c r="D243" i="3"/>
  <c r="BO241" i="3"/>
  <c r="AU241" i="3" s="1"/>
  <c r="C244" i="3"/>
  <c r="BL243" i="3"/>
  <c r="BK243" i="3"/>
  <c r="AY243" i="3"/>
  <c r="BD243" i="3" s="1"/>
  <c r="BW243" i="3"/>
  <c r="CK243" i="3" s="1"/>
  <c r="AJ243" i="3"/>
  <c r="R240" i="26" s="1"/>
  <c r="AI243" i="3"/>
  <c r="Q240" i="26" s="1"/>
  <c r="AH243" i="3"/>
  <c r="P240" i="26" s="1"/>
  <c r="AG243" i="3"/>
  <c r="O240" i="26" s="1"/>
  <c r="CM231" i="14" l="1"/>
  <c r="CG238" i="3" s="1"/>
  <c r="CJ230" i="14"/>
  <c r="CC237" i="3" s="1"/>
  <c r="CH232" i="14"/>
  <c r="BU244" i="3"/>
  <c r="BV244" i="3"/>
  <c r="AX486" i="14"/>
  <c r="AY233" i="14"/>
  <c r="CH233" i="14" s="1"/>
  <c r="BQ233" i="14"/>
  <c r="BR233" i="14" s="1"/>
  <c r="CA232" i="14"/>
  <c r="CB232" i="14" s="1"/>
  <c r="BU232" i="14"/>
  <c r="BT232" i="14"/>
  <c r="BW232" i="14" s="1"/>
  <c r="CJ232" i="14" s="1"/>
  <c r="CC239" i="3" s="1"/>
  <c r="BZ232" i="14"/>
  <c r="BS232" i="14"/>
  <c r="BV232" i="14"/>
  <c r="BX232" i="14" s="1"/>
  <c r="CK232" i="14" s="1"/>
  <c r="CD239" i="3" s="1"/>
  <c r="AW484" i="14"/>
  <c r="AY484" i="14" s="1"/>
  <c r="CH484" i="14" s="1"/>
  <c r="CM484" i="14" s="1"/>
  <c r="BB240" i="3" s="1"/>
  <c r="Z488" i="14"/>
  <c r="AE488" i="14"/>
  <c r="Z237" i="14"/>
  <c r="AE237" i="14"/>
  <c r="BE234" i="14"/>
  <c r="BG234" i="14" s="1"/>
  <c r="CD234" i="14"/>
  <c r="BA235" i="14"/>
  <c r="BK235" i="14" s="1"/>
  <c r="AZ235" i="14"/>
  <c r="AQ235" i="14"/>
  <c r="AR235" i="14" s="1"/>
  <c r="AS235" i="14" s="1"/>
  <c r="AT235" i="14" s="1"/>
  <c r="AU235" i="14" s="1"/>
  <c r="AK235" i="14"/>
  <c r="AL235" i="14" s="1"/>
  <c r="AM235" i="14" s="1"/>
  <c r="AN235" i="14" s="1"/>
  <c r="AO235" i="14" s="1"/>
  <c r="AP235" i="14" s="1"/>
  <c r="AF235" i="14"/>
  <c r="AC235" i="14"/>
  <c r="BE485" i="14"/>
  <c r="BG485" i="14" s="1"/>
  <c r="CD485" i="14"/>
  <c r="CA485" i="14"/>
  <c r="CB485" i="14" s="1"/>
  <c r="BT485" i="14"/>
  <c r="BW485" i="14" s="1"/>
  <c r="BV485" i="14"/>
  <c r="BX485" i="14" s="1"/>
  <c r="AB487" i="14"/>
  <c r="BI487" i="14"/>
  <c r="BJ487" i="14" s="1"/>
  <c r="BC487" i="14"/>
  <c r="BD487" i="14" s="1"/>
  <c r="AA487" i="14"/>
  <c r="BM487" i="14"/>
  <c r="BB487" i="14"/>
  <c r="AD487" i="14"/>
  <c r="BA486" i="14"/>
  <c r="BK486" i="14" s="1"/>
  <c r="AQ486" i="14"/>
  <c r="AR486" i="14" s="1"/>
  <c r="AS486" i="14" s="1"/>
  <c r="AT486" i="14" s="1"/>
  <c r="AU486" i="14" s="1"/>
  <c r="AF486" i="14"/>
  <c r="AG486" i="14" s="1"/>
  <c r="AH486" i="14" s="1"/>
  <c r="AI486" i="14" s="1"/>
  <c r="AJ486" i="14" s="1"/>
  <c r="AK486" i="14"/>
  <c r="AL486" i="14" s="1"/>
  <c r="AM486" i="14" s="1"/>
  <c r="AN486" i="14" s="1"/>
  <c r="AO486" i="14" s="1"/>
  <c r="AP486" i="14" s="1"/>
  <c r="AZ486" i="14"/>
  <c r="AC486" i="14"/>
  <c r="AW485" i="14"/>
  <c r="AY485" i="14" s="1"/>
  <c r="AG234" i="14"/>
  <c r="AH234" i="14" s="1"/>
  <c r="AI234" i="14" s="1"/>
  <c r="AJ234" i="14" s="1"/>
  <c r="BC236" i="14"/>
  <c r="BD236" i="14" s="1"/>
  <c r="AB236" i="14"/>
  <c r="AA236" i="14"/>
  <c r="AX236" i="14" s="1"/>
  <c r="AD236" i="14"/>
  <c r="BB236" i="14"/>
  <c r="BM236" i="14"/>
  <c r="BI236" i="14"/>
  <c r="BJ236" i="14" s="1"/>
  <c r="AV235" i="14"/>
  <c r="BN235" i="14"/>
  <c r="BO235" i="14" s="1"/>
  <c r="BQ486" i="14"/>
  <c r="BR486" i="14" s="1"/>
  <c r="BN486" i="14"/>
  <c r="BO486" i="14" s="1"/>
  <c r="CF233" i="14"/>
  <c r="BS485" i="14"/>
  <c r="BZ485" i="14"/>
  <c r="BU485" i="14"/>
  <c r="C241" i="26"/>
  <c r="C241" i="25"/>
  <c r="BI243" i="3"/>
  <c r="D240" i="26"/>
  <c r="D240" i="25"/>
  <c r="BG243" i="3"/>
  <c r="BM243" i="3" s="1"/>
  <c r="BH243" i="3"/>
  <c r="BE243" i="3"/>
  <c r="AW240" i="3"/>
  <c r="CF244" i="3"/>
  <c r="BR241" i="3"/>
  <c r="BC243" i="3"/>
  <c r="BN243" i="3" s="1"/>
  <c r="DD403" i="3"/>
  <c r="BY244" i="3"/>
  <c r="CJ243" i="3"/>
  <c r="AV243" i="3" s="1"/>
  <c r="CI243" i="3"/>
  <c r="BF242" i="3"/>
  <c r="BQ242" i="3" s="1"/>
  <c r="BR242" i="3" s="1"/>
  <c r="D244" i="3"/>
  <c r="C245" i="3"/>
  <c r="BW244" i="3"/>
  <c r="CK244" i="3" s="1"/>
  <c r="BL244" i="3"/>
  <c r="BK244" i="3"/>
  <c r="AY244" i="3"/>
  <c r="AI244" i="3"/>
  <c r="Q241" i="26" s="1"/>
  <c r="AH244" i="3"/>
  <c r="P241" i="26" s="1"/>
  <c r="AG244" i="3"/>
  <c r="O241" i="26" s="1"/>
  <c r="AJ244" i="3"/>
  <c r="R241" i="26" s="1"/>
  <c r="BO242" i="3"/>
  <c r="AU242" i="3" s="1"/>
  <c r="BD244" i="3" l="1"/>
  <c r="CE233" i="14"/>
  <c r="CM232" i="14"/>
  <c r="CG239" i="3" s="1"/>
  <c r="BV245" i="3"/>
  <c r="BU245" i="3"/>
  <c r="BZ233" i="14"/>
  <c r="BS233" i="14"/>
  <c r="BV233" i="14"/>
  <c r="BX233" i="14" s="1"/>
  <c r="CK233" i="14" s="1"/>
  <c r="CD240" i="3" s="1"/>
  <c r="BU233" i="14"/>
  <c r="CA233" i="14"/>
  <c r="CB233" i="14" s="1"/>
  <c r="CM233" i="14" s="1"/>
  <c r="CG240" i="3" s="1"/>
  <c r="BT233" i="14"/>
  <c r="BW233" i="14" s="1"/>
  <c r="CE484" i="14"/>
  <c r="CJ484" i="14" s="1"/>
  <c r="AZ240" i="3" s="1"/>
  <c r="CF484" i="14"/>
  <c r="CK484" i="14" s="1"/>
  <c r="BA240" i="3" s="1"/>
  <c r="AZ487" i="14"/>
  <c r="AK487" i="14"/>
  <c r="AL487" i="14" s="1"/>
  <c r="AM487" i="14" s="1"/>
  <c r="AN487" i="14" s="1"/>
  <c r="AO487" i="14" s="1"/>
  <c r="AP487" i="14" s="1"/>
  <c r="BA487" i="14"/>
  <c r="BK487" i="14" s="1"/>
  <c r="AF487" i="14"/>
  <c r="AG487" i="14" s="1"/>
  <c r="AH487" i="14" s="1"/>
  <c r="AI487" i="14" s="1"/>
  <c r="AJ487" i="14" s="1"/>
  <c r="AQ487" i="14"/>
  <c r="AR487" i="14" s="1"/>
  <c r="AS487" i="14" s="1"/>
  <c r="AT487" i="14" s="1"/>
  <c r="AU487" i="14" s="1"/>
  <c r="AC487" i="14"/>
  <c r="AG235" i="14"/>
  <c r="AH235" i="14" s="1"/>
  <c r="AI235" i="14" s="1"/>
  <c r="AJ235" i="14" s="1"/>
  <c r="AE489" i="14"/>
  <c r="Z238" i="14"/>
  <c r="Z489" i="14"/>
  <c r="AE238" i="14"/>
  <c r="BZ486" i="14"/>
  <c r="BS486" i="14"/>
  <c r="BU486" i="14"/>
  <c r="BN236" i="14"/>
  <c r="BO236" i="14" s="1"/>
  <c r="BN487" i="14"/>
  <c r="BO487" i="14" s="1"/>
  <c r="BQ487" i="14"/>
  <c r="BR487" i="14" s="1"/>
  <c r="CH485" i="14"/>
  <c r="CM485" i="14" s="1"/>
  <c r="BB241" i="3" s="1"/>
  <c r="CE485" i="14"/>
  <c r="CJ485" i="14" s="1"/>
  <c r="AZ241" i="3" s="1"/>
  <c r="CF485" i="14"/>
  <c r="CK485" i="14" s="1"/>
  <c r="BA241" i="3" s="1"/>
  <c r="CD235" i="14"/>
  <c r="BE235" i="14"/>
  <c r="BG235" i="14" s="1"/>
  <c r="AV236" i="14"/>
  <c r="BM488" i="14"/>
  <c r="AB488" i="14"/>
  <c r="BI488" i="14"/>
  <c r="BJ488" i="14" s="1"/>
  <c r="AA488" i="14"/>
  <c r="AX488" i="14" s="1"/>
  <c r="BC488" i="14"/>
  <c r="BD488" i="14" s="1"/>
  <c r="AD488" i="14"/>
  <c r="BB488" i="14"/>
  <c r="BE486" i="14"/>
  <c r="BG486" i="14" s="1"/>
  <c r="CD486" i="14"/>
  <c r="AX487" i="14"/>
  <c r="AV487" i="14"/>
  <c r="BT486" i="14"/>
  <c r="BW486" i="14" s="1"/>
  <c r="BV486" i="14"/>
  <c r="BX486" i="14" s="1"/>
  <c r="CA486" i="14"/>
  <c r="CB486" i="14" s="1"/>
  <c r="AW486" i="14"/>
  <c r="AY486" i="14" s="1"/>
  <c r="AK236" i="14"/>
  <c r="AL236" i="14" s="1"/>
  <c r="AM236" i="14" s="1"/>
  <c r="AN236" i="14" s="1"/>
  <c r="AO236" i="14" s="1"/>
  <c r="AP236" i="14" s="1"/>
  <c r="AF236" i="14"/>
  <c r="AG236" i="14" s="1"/>
  <c r="AH236" i="14" s="1"/>
  <c r="AI236" i="14" s="1"/>
  <c r="AJ236" i="14" s="1"/>
  <c r="AC236" i="14"/>
  <c r="AZ236" i="14"/>
  <c r="BA236" i="14"/>
  <c r="BK236" i="14" s="1"/>
  <c r="AQ236" i="14"/>
  <c r="AR236" i="14" s="1"/>
  <c r="AS236" i="14" s="1"/>
  <c r="AT236" i="14" s="1"/>
  <c r="AU236" i="14" s="1"/>
  <c r="BB237" i="14"/>
  <c r="AB237" i="14"/>
  <c r="AD237" i="14"/>
  <c r="BM237" i="14"/>
  <c r="BI237" i="14"/>
  <c r="BJ237" i="14" s="1"/>
  <c r="BC237" i="14"/>
  <c r="BD237" i="14" s="1"/>
  <c r="AA237" i="14"/>
  <c r="AW234" i="14"/>
  <c r="BH244" i="3"/>
  <c r="D241" i="26"/>
  <c r="D241" i="25"/>
  <c r="C242" i="26"/>
  <c r="C242" i="25"/>
  <c r="BI244" i="3"/>
  <c r="BG244" i="3"/>
  <c r="BM244" i="3" s="1"/>
  <c r="BE244" i="3"/>
  <c r="CF245" i="3"/>
  <c r="AW241" i="3"/>
  <c r="BJ243" i="3"/>
  <c r="BP243" i="3" s="1"/>
  <c r="BC244" i="3"/>
  <c r="BN244" i="3" s="1"/>
  <c r="CI244" i="3"/>
  <c r="BY245" i="3"/>
  <c r="CJ244" i="3"/>
  <c r="AV244" i="3" s="1"/>
  <c r="DD404" i="3"/>
  <c r="BF243" i="3"/>
  <c r="BQ243" i="3" s="1"/>
  <c r="D245" i="3"/>
  <c r="BI245" i="3" s="1"/>
  <c r="AW242" i="3"/>
  <c r="BO243" i="3"/>
  <c r="AU243" i="3" s="1"/>
  <c r="BW245" i="3"/>
  <c r="CI245" i="3" s="1"/>
  <c r="BL245" i="3"/>
  <c r="BK245" i="3"/>
  <c r="AY245" i="3"/>
  <c r="C246" i="3"/>
  <c r="AH245" i="3"/>
  <c r="P242" i="26" s="1"/>
  <c r="AG245" i="3"/>
  <c r="O242" i="26" s="1"/>
  <c r="AJ245" i="3"/>
  <c r="R242" i="26" s="1"/>
  <c r="AI245" i="3"/>
  <c r="Q242" i="26" s="1"/>
  <c r="CJ233" i="14" l="1"/>
  <c r="CC240" i="3" s="1"/>
  <c r="BD245" i="3"/>
  <c r="BV246" i="3"/>
  <c r="BU246" i="3"/>
  <c r="AY234" i="14"/>
  <c r="CF234" i="14" s="1"/>
  <c r="BQ234" i="14"/>
  <c r="BR234" i="14" s="1"/>
  <c r="AQ237" i="14"/>
  <c r="AR237" i="14" s="1"/>
  <c r="AS237" i="14" s="1"/>
  <c r="AT237" i="14" s="1"/>
  <c r="AU237" i="14" s="1"/>
  <c r="AC237" i="14"/>
  <c r="AK237" i="14"/>
  <c r="AL237" i="14" s="1"/>
  <c r="AM237" i="14" s="1"/>
  <c r="AN237" i="14" s="1"/>
  <c r="AO237" i="14" s="1"/>
  <c r="AP237" i="14" s="1"/>
  <c r="BA237" i="14"/>
  <c r="BK237" i="14" s="1"/>
  <c r="AZ237" i="14"/>
  <c r="AF237" i="14"/>
  <c r="AG237" i="14" s="1"/>
  <c r="AH237" i="14" s="1"/>
  <c r="AI237" i="14" s="1"/>
  <c r="AJ237" i="14" s="1"/>
  <c r="AW236" i="14"/>
  <c r="CF486" i="14"/>
  <c r="CK486" i="14" s="1"/>
  <c r="BA242" i="3" s="1"/>
  <c r="CE486" i="14"/>
  <c r="CJ486" i="14" s="1"/>
  <c r="AZ242" i="3" s="1"/>
  <c r="CH486" i="14"/>
  <c r="CM486" i="14" s="1"/>
  <c r="BB242" i="3" s="1"/>
  <c r="BC238" i="14"/>
  <c r="BD238" i="14" s="1"/>
  <c r="BB238" i="14"/>
  <c r="AA238" i="14"/>
  <c r="AX238" i="14" s="1"/>
  <c r="AD238" i="14"/>
  <c r="BI238" i="14"/>
  <c r="BJ238" i="14" s="1"/>
  <c r="BM238" i="14"/>
  <c r="AB238" i="14"/>
  <c r="AW487" i="14"/>
  <c r="AY487" i="14" s="1"/>
  <c r="AV237" i="14"/>
  <c r="AQ488" i="14"/>
  <c r="AR488" i="14" s="1"/>
  <c r="AS488" i="14" s="1"/>
  <c r="AT488" i="14" s="1"/>
  <c r="AU488" i="14" s="1"/>
  <c r="AF488" i="14"/>
  <c r="AG488" i="14" s="1"/>
  <c r="AH488" i="14" s="1"/>
  <c r="AI488" i="14" s="1"/>
  <c r="AJ488" i="14" s="1"/>
  <c r="AZ488" i="14"/>
  <c r="AK488" i="14"/>
  <c r="AL488" i="14" s="1"/>
  <c r="AM488" i="14" s="1"/>
  <c r="AN488" i="14" s="1"/>
  <c r="AO488" i="14" s="1"/>
  <c r="AP488" i="14" s="1"/>
  <c r="BA488" i="14"/>
  <c r="BK488" i="14" s="1"/>
  <c r="AC488" i="14"/>
  <c r="AV488" i="14"/>
  <c r="BT487" i="14"/>
  <c r="BW487" i="14" s="1"/>
  <c r="BV487" i="14"/>
  <c r="BX487" i="14" s="1"/>
  <c r="CA487" i="14"/>
  <c r="CB487" i="14" s="1"/>
  <c r="CD236" i="14"/>
  <c r="BE236" i="14"/>
  <c r="BG236" i="14" s="1"/>
  <c r="BQ488" i="14"/>
  <c r="BR488" i="14" s="1"/>
  <c r="BN488" i="14"/>
  <c r="BO488" i="14" s="1"/>
  <c r="AE490" i="14"/>
  <c r="Z490" i="14"/>
  <c r="Z239" i="14"/>
  <c r="AE239" i="14"/>
  <c r="AX237" i="14"/>
  <c r="BN237" i="14"/>
  <c r="BO237" i="14" s="1"/>
  <c r="BS487" i="14"/>
  <c r="BZ487" i="14"/>
  <c r="BU487" i="14"/>
  <c r="AB489" i="14"/>
  <c r="BI489" i="14"/>
  <c r="BJ489" i="14" s="1"/>
  <c r="BC489" i="14"/>
  <c r="BD489" i="14" s="1"/>
  <c r="AA489" i="14"/>
  <c r="AV489" i="14" s="1"/>
  <c r="BM489" i="14"/>
  <c r="BB489" i="14"/>
  <c r="AD489" i="14"/>
  <c r="AW235" i="14"/>
  <c r="BE487" i="14"/>
  <c r="BG487" i="14" s="1"/>
  <c r="CD487" i="14"/>
  <c r="BG245" i="3"/>
  <c r="BM245" i="3" s="1"/>
  <c r="BH245" i="3"/>
  <c r="D242" i="26"/>
  <c r="D242" i="25"/>
  <c r="DD405" i="3"/>
  <c r="C243" i="25"/>
  <c r="C243" i="26"/>
  <c r="BE245" i="3"/>
  <c r="BR243" i="3"/>
  <c r="CF246" i="3"/>
  <c r="CK245" i="3"/>
  <c r="BC245" i="3"/>
  <c r="BN245" i="3" s="1"/>
  <c r="CJ245" i="3"/>
  <c r="AV245" i="3" s="1"/>
  <c r="BY246" i="3"/>
  <c r="BJ244" i="3"/>
  <c r="BP244" i="3" s="1"/>
  <c r="BF244" i="3"/>
  <c r="BQ244" i="3" s="1"/>
  <c r="D246" i="3"/>
  <c r="BG246" i="3" s="1"/>
  <c r="BO244" i="3"/>
  <c r="AU244" i="3" s="1"/>
  <c r="C247" i="3"/>
  <c r="BK246" i="3"/>
  <c r="AY246" i="3"/>
  <c r="BD246" i="3" s="1"/>
  <c r="BW246" i="3"/>
  <c r="CI246" i="3" s="1"/>
  <c r="BL246" i="3"/>
  <c r="AG246" i="3"/>
  <c r="O243" i="26" s="1"/>
  <c r="AJ246" i="3"/>
  <c r="R243" i="26" s="1"/>
  <c r="AI246" i="3"/>
  <c r="Q243" i="26" s="1"/>
  <c r="AH246" i="3"/>
  <c r="P243" i="26" s="1"/>
  <c r="CE234" i="14" l="1"/>
  <c r="CH234" i="14"/>
  <c r="BV247" i="3"/>
  <c r="BU247" i="3"/>
  <c r="AY236" i="14"/>
  <c r="CH236" i="14" s="1"/>
  <c r="BQ236" i="14"/>
  <c r="BR236" i="14" s="1"/>
  <c r="AW243" i="3"/>
  <c r="AY235" i="14"/>
  <c r="CF235" i="14" s="1"/>
  <c r="BQ235" i="14"/>
  <c r="BR235" i="14" s="1"/>
  <c r="BZ234" i="14"/>
  <c r="BT234" i="14"/>
  <c r="BW234" i="14" s="1"/>
  <c r="BU234" i="14"/>
  <c r="BS234" i="14"/>
  <c r="BV234" i="14"/>
  <c r="BX234" i="14" s="1"/>
  <c r="CK234" i="14" s="1"/>
  <c r="CD241" i="3" s="1"/>
  <c r="CA234" i="14"/>
  <c r="CB234" i="14" s="1"/>
  <c r="AV238" i="14"/>
  <c r="DD406" i="3"/>
  <c r="AX489" i="14"/>
  <c r="AE491" i="14"/>
  <c r="Z491" i="14"/>
  <c r="AE240" i="14"/>
  <c r="Z240" i="14"/>
  <c r="CF487" i="14"/>
  <c r="CK487" i="14" s="1"/>
  <c r="BA243" i="3" s="1"/>
  <c r="CH487" i="14"/>
  <c r="CM487" i="14" s="1"/>
  <c r="BB243" i="3" s="1"/>
  <c r="CE487" i="14"/>
  <c r="CJ487" i="14" s="1"/>
  <c r="AZ243" i="3" s="1"/>
  <c r="CF236" i="14"/>
  <c r="BS488" i="14"/>
  <c r="BU488" i="14"/>
  <c r="BZ488" i="14"/>
  <c r="AZ238" i="14"/>
  <c r="AQ238" i="14"/>
  <c r="AR238" i="14" s="1"/>
  <c r="AS238" i="14" s="1"/>
  <c r="AT238" i="14" s="1"/>
  <c r="AU238" i="14" s="1"/>
  <c r="AC238" i="14"/>
  <c r="AK238" i="14"/>
  <c r="AL238" i="14" s="1"/>
  <c r="AM238" i="14" s="1"/>
  <c r="AN238" i="14" s="1"/>
  <c r="AO238" i="14" s="1"/>
  <c r="AP238" i="14" s="1"/>
  <c r="BA238" i="14"/>
  <c r="BK238" i="14" s="1"/>
  <c r="AF238" i="14"/>
  <c r="AG238" i="14" s="1"/>
  <c r="AH238" i="14" s="1"/>
  <c r="AI238" i="14" s="1"/>
  <c r="AJ238" i="14" s="1"/>
  <c r="AD239" i="14"/>
  <c r="BB239" i="14"/>
  <c r="BM239" i="14"/>
  <c r="AB239" i="14"/>
  <c r="AA239" i="14"/>
  <c r="AX239" i="14" s="1"/>
  <c r="BI239" i="14"/>
  <c r="BJ239" i="14" s="1"/>
  <c r="BC239" i="14"/>
  <c r="BD239" i="14" s="1"/>
  <c r="BN238" i="14"/>
  <c r="BO238" i="14" s="1"/>
  <c r="AW237" i="14"/>
  <c r="CD488" i="14"/>
  <c r="BE488" i="14"/>
  <c r="BG488" i="14" s="1"/>
  <c r="BQ489" i="14"/>
  <c r="BR489" i="14" s="1"/>
  <c r="BN489" i="14"/>
  <c r="BO489" i="14" s="1"/>
  <c r="BV488" i="14"/>
  <c r="BX488" i="14" s="1"/>
  <c r="CA488" i="14"/>
  <c r="CB488" i="14" s="1"/>
  <c r="BT488" i="14"/>
  <c r="BW488" i="14" s="1"/>
  <c r="AC489" i="14"/>
  <c r="AK489" i="14"/>
  <c r="AL489" i="14" s="1"/>
  <c r="AM489" i="14" s="1"/>
  <c r="AN489" i="14" s="1"/>
  <c r="AO489" i="14" s="1"/>
  <c r="AP489" i="14" s="1"/>
  <c r="BA489" i="14"/>
  <c r="BK489" i="14" s="1"/>
  <c r="AZ489" i="14"/>
  <c r="AQ489" i="14"/>
  <c r="AR489" i="14" s="1"/>
  <c r="AS489" i="14" s="1"/>
  <c r="AT489" i="14" s="1"/>
  <c r="AU489" i="14" s="1"/>
  <c r="AF489" i="14"/>
  <c r="AG489" i="14" s="1"/>
  <c r="AH489" i="14" s="1"/>
  <c r="AI489" i="14" s="1"/>
  <c r="AJ489" i="14" s="1"/>
  <c r="BM490" i="14"/>
  <c r="BC490" i="14"/>
  <c r="BD490" i="14" s="1"/>
  <c r="AB490" i="14"/>
  <c r="AA490" i="14"/>
  <c r="AX490" i="14" s="1"/>
  <c r="BI490" i="14"/>
  <c r="BJ490" i="14" s="1"/>
  <c r="BB490" i="14"/>
  <c r="AD490" i="14"/>
  <c r="AW488" i="14"/>
  <c r="AY488" i="14" s="1"/>
  <c r="BE237" i="14"/>
  <c r="BG237" i="14" s="1"/>
  <c r="CD237" i="14"/>
  <c r="BH246" i="3"/>
  <c r="D243" i="26"/>
  <c r="D243" i="25"/>
  <c r="BI246" i="3"/>
  <c r="C244" i="26"/>
  <c r="C244" i="25"/>
  <c r="BE246" i="3"/>
  <c r="CK246" i="3"/>
  <c r="CF247" i="3"/>
  <c r="BC246" i="3"/>
  <c r="BN246" i="3" s="1"/>
  <c r="BR244" i="3"/>
  <c r="CJ246" i="3"/>
  <c r="AV246" i="3" s="1"/>
  <c r="BY247" i="3"/>
  <c r="BJ245" i="3"/>
  <c r="BP245" i="3" s="1"/>
  <c r="BM246" i="3"/>
  <c r="BF245" i="3"/>
  <c r="BQ245" i="3" s="1"/>
  <c r="D247" i="3"/>
  <c r="BI247" i="3" s="1"/>
  <c r="C248" i="3"/>
  <c r="BW247" i="3"/>
  <c r="CK247" i="3" s="1"/>
  <c r="BL247" i="3"/>
  <c r="BK247" i="3"/>
  <c r="AY247" i="3"/>
  <c r="AJ247" i="3"/>
  <c r="R244" i="26" s="1"/>
  <c r="AI247" i="3"/>
  <c r="Q244" i="26" s="1"/>
  <c r="AH247" i="3"/>
  <c r="P244" i="26" s="1"/>
  <c r="AG247" i="3"/>
  <c r="O244" i="26" s="1"/>
  <c r="BO245" i="3"/>
  <c r="AU245" i="3" s="1"/>
  <c r="CE236" i="14" l="1"/>
  <c r="CM234" i="14"/>
  <c r="CG241" i="3" s="1"/>
  <c r="CJ234" i="14"/>
  <c r="CC241" i="3" s="1"/>
  <c r="BD247" i="3"/>
  <c r="BV248" i="3"/>
  <c r="BU248" i="3"/>
  <c r="CE235" i="14"/>
  <c r="CH235" i="14"/>
  <c r="BS235" i="14"/>
  <c r="BV235" i="14"/>
  <c r="BX235" i="14" s="1"/>
  <c r="CK235" i="14" s="1"/>
  <c r="CD242" i="3" s="1"/>
  <c r="BU235" i="14"/>
  <c r="BT235" i="14"/>
  <c r="BW235" i="14" s="1"/>
  <c r="BZ235" i="14"/>
  <c r="CA235" i="14"/>
  <c r="CB235" i="14" s="1"/>
  <c r="BS236" i="14"/>
  <c r="BV236" i="14"/>
  <c r="BX236" i="14" s="1"/>
  <c r="CK236" i="14" s="1"/>
  <c r="CD243" i="3" s="1"/>
  <c r="BT236" i="14"/>
  <c r="BW236" i="14" s="1"/>
  <c r="CJ236" i="14" s="1"/>
  <c r="CC243" i="3" s="1"/>
  <c r="BU236" i="14"/>
  <c r="CA236" i="14"/>
  <c r="CB236" i="14" s="1"/>
  <c r="CM236" i="14" s="1"/>
  <c r="CG243" i="3" s="1"/>
  <c r="BZ236" i="14"/>
  <c r="AY237" i="14"/>
  <c r="CH237" i="14" s="1"/>
  <c r="BQ237" i="14"/>
  <c r="BR237" i="14" s="1"/>
  <c r="DD407" i="3"/>
  <c r="BN239" i="14"/>
  <c r="BO239" i="14" s="1"/>
  <c r="BN490" i="14"/>
  <c r="BO490" i="14" s="1"/>
  <c r="BQ490" i="14"/>
  <c r="BR490" i="14" s="1"/>
  <c r="BE489" i="14"/>
  <c r="BG489" i="14" s="1"/>
  <c r="CD489" i="14"/>
  <c r="Z492" i="14"/>
  <c r="AE492" i="14"/>
  <c r="AE241" i="14"/>
  <c r="Z241" i="14"/>
  <c r="BA490" i="14"/>
  <c r="BK490" i="14" s="1"/>
  <c r="AC490" i="14"/>
  <c r="AZ490" i="14"/>
  <c r="AK490" i="14"/>
  <c r="AL490" i="14" s="1"/>
  <c r="AM490" i="14" s="1"/>
  <c r="AN490" i="14" s="1"/>
  <c r="AO490" i="14" s="1"/>
  <c r="AP490" i="14" s="1"/>
  <c r="AF490" i="14"/>
  <c r="AQ490" i="14"/>
  <c r="AR490" i="14" s="1"/>
  <c r="AS490" i="14" s="1"/>
  <c r="AT490" i="14" s="1"/>
  <c r="AU490" i="14" s="1"/>
  <c r="BV489" i="14"/>
  <c r="BX489" i="14" s="1"/>
  <c r="CA489" i="14"/>
  <c r="CB489" i="14" s="1"/>
  <c r="BT489" i="14"/>
  <c r="BW489" i="14" s="1"/>
  <c r="BE238" i="14"/>
  <c r="BG238" i="14" s="1"/>
  <c r="CD238" i="14"/>
  <c r="AV490" i="14"/>
  <c r="BI240" i="14"/>
  <c r="BJ240" i="14" s="1"/>
  <c r="AB240" i="14"/>
  <c r="BM240" i="14"/>
  <c r="AA240" i="14"/>
  <c r="AV240" i="14" s="1"/>
  <c r="AD240" i="14"/>
  <c r="BC240" i="14"/>
  <c r="BD240" i="14" s="1"/>
  <c r="BB240" i="14"/>
  <c r="AW489" i="14"/>
  <c r="AY489" i="14" s="1"/>
  <c r="CE488" i="14"/>
  <c r="CJ488" i="14" s="1"/>
  <c r="AZ244" i="3" s="1"/>
  <c r="CH488" i="14"/>
  <c r="CM488" i="14" s="1"/>
  <c r="BB244" i="3" s="1"/>
  <c r="CF488" i="14"/>
  <c r="CK488" i="14" s="1"/>
  <c r="BA244" i="3" s="1"/>
  <c r="AW238" i="14"/>
  <c r="BM491" i="14"/>
  <c r="AA491" i="14"/>
  <c r="AX491" i="14" s="1"/>
  <c r="AB491" i="14"/>
  <c r="BB491" i="14"/>
  <c r="BC491" i="14"/>
  <c r="BD491" i="14" s="1"/>
  <c r="BI491" i="14"/>
  <c r="BJ491" i="14" s="1"/>
  <c r="AD491" i="14"/>
  <c r="BU489" i="14"/>
  <c r="BS489" i="14"/>
  <c r="BZ489" i="14"/>
  <c r="AV239" i="14"/>
  <c r="AC239" i="14"/>
  <c r="AQ239" i="14"/>
  <c r="AR239" i="14" s="1"/>
  <c r="AS239" i="14" s="1"/>
  <c r="AT239" i="14" s="1"/>
  <c r="AU239" i="14" s="1"/>
  <c r="AZ239" i="14"/>
  <c r="BA239" i="14"/>
  <c r="BK239" i="14" s="1"/>
  <c r="AF239" i="14"/>
  <c r="AG239" i="14" s="1"/>
  <c r="AH239" i="14" s="1"/>
  <c r="AI239" i="14" s="1"/>
  <c r="AJ239" i="14" s="1"/>
  <c r="AK239" i="14"/>
  <c r="AL239" i="14" s="1"/>
  <c r="AM239" i="14" s="1"/>
  <c r="AN239" i="14" s="1"/>
  <c r="AO239" i="14" s="1"/>
  <c r="AP239" i="14" s="1"/>
  <c r="BJ246" i="3"/>
  <c r="BP246" i="3" s="1"/>
  <c r="C245" i="26"/>
  <c r="C245" i="25"/>
  <c r="BG247" i="3"/>
  <c r="BM247" i="3" s="1"/>
  <c r="BH247" i="3"/>
  <c r="BJ247" i="3" s="1"/>
  <c r="BP247" i="3" s="1"/>
  <c r="D244" i="26"/>
  <c r="D244" i="25"/>
  <c r="BE247" i="3"/>
  <c r="AW244" i="3"/>
  <c r="CF248" i="3"/>
  <c r="BC247" i="3"/>
  <c r="BN247" i="3" s="1"/>
  <c r="CJ247" i="3"/>
  <c r="AV247" i="3" s="1"/>
  <c r="CI247" i="3"/>
  <c r="BY248" i="3"/>
  <c r="BR245" i="3"/>
  <c r="BF246" i="3"/>
  <c r="BQ246" i="3" s="1"/>
  <c r="D248" i="3"/>
  <c r="DD408" i="3" s="1"/>
  <c r="BO246" i="3"/>
  <c r="AU246" i="3" s="1"/>
  <c r="C249" i="3"/>
  <c r="BL248" i="3"/>
  <c r="BW248" i="3"/>
  <c r="CJ248" i="3" s="1"/>
  <c r="AV248" i="3" s="1"/>
  <c r="AY248" i="3"/>
  <c r="BK248" i="3"/>
  <c r="AI248" i="3"/>
  <c r="Q245" i="26" s="1"/>
  <c r="AH248" i="3"/>
  <c r="P245" i="26" s="1"/>
  <c r="AG248" i="3"/>
  <c r="O245" i="26" s="1"/>
  <c r="AJ248" i="3"/>
  <c r="R245" i="26" s="1"/>
  <c r="CF237" i="14" l="1"/>
  <c r="CE237" i="14"/>
  <c r="BD248" i="3"/>
  <c r="CJ235" i="14"/>
  <c r="CC242" i="3" s="1"/>
  <c r="CM235" i="14"/>
  <c r="CG242" i="3" s="1"/>
  <c r="BV249" i="3"/>
  <c r="BU249" i="3"/>
  <c r="BT237" i="14"/>
  <c r="BW237" i="14" s="1"/>
  <c r="BU237" i="14"/>
  <c r="CA237" i="14"/>
  <c r="CB237" i="14" s="1"/>
  <c r="CM237" i="14" s="1"/>
  <c r="CG244" i="3" s="1"/>
  <c r="BS237" i="14"/>
  <c r="BV237" i="14"/>
  <c r="BX237" i="14" s="1"/>
  <c r="BZ237" i="14"/>
  <c r="AY238" i="14"/>
  <c r="CF238" i="14" s="1"/>
  <c r="BQ238" i="14"/>
  <c r="BR238" i="14" s="1"/>
  <c r="AV491" i="14"/>
  <c r="AF491" i="14"/>
  <c r="AG491" i="14" s="1"/>
  <c r="AH491" i="14" s="1"/>
  <c r="AI491" i="14" s="1"/>
  <c r="AJ491" i="14" s="1"/>
  <c r="BA491" i="14"/>
  <c r="BK491" i="14" s="1"/>
  <c r="AZ491" i="14"/>
  <c r="AC491" i="14"/>
  <c r="AQ491" i="14"/>
  <c r="AR491" i="14" s="1"/>
  <c r="AS491" i="14" s="1"/>
  <c r="AT491" i="14" s="1"/>
  <c r="AU491" i="14" s="1"/>
  <c r="AK491" i="14"/>
  <c r="AL491" i="14" s="1"/>
  <c r="AM491" i="14" s="1"/>
  <c r="AN491" i="14" s="1"/>
  <c r="AO491" i="14" s="1"/>
  <c r="AP491" i="14" s="1"/>
  <c r="AC240" i="14"/>
  <c r="AZ240" i="14"/>
  <c r="AK240" i="14"/>
  <c r="AL240" i="14" s="1"/>
  <c r="AM240" i="14" s="1"/>
  <c r="AN240" i="14" s="1"/>
  <c r="AO240" i="14" s="1"/>
  <c r="AP240" i="14" s="1"/>
  <c r="AF240" i="14"/>
  <c r="AQ240" i="14"/>
  <c r="AR240" i="14" s="1"/>
  <c r="AS240" i="14" s="1"/>
  <c r="AT240" i="14" s="1"/>
  <c r="AU240" i="14" s="1"/>
  <c r="BA240" i="14"/>
  <c r="BK240" i="14" s="1"/>
  <c r="BT490" i="14"/>
  <c r="BW490" i="14" s="1"/>
  <c r="BV490" i="14"/>
  <c r="BX490" i="14" s="1"/>
  <c r="CA490" i="14"/>
  <c r="CB490" i="14" s="1"/>
  <c r="CD239" i="14"/>
  <c r="BE239" i="14"/>
  <c r="BG239" i="14" s="1"/>
  <c r="CH238" i="14"/>
  <c r="CD490" i="14"/>
  <c r="BE490" i="14"/>
  <c r="BG490" i="14" s="1"/>
  <c r="BU490" i="14"/>
  <c r="BS490" i="14"/>
  <c r="BZ490" i="14"/>
  <c r="AD241" i="14"/>
  <c r="BB241" i="14"/>
  <c r="AB241" i="14"/>
  <c r="BM241" i="14"/>
  <c r="AA241" i="14"/>
  <c r="AX241" i="14" s="1"/>
  <c r="BC241" i="14"/>
  <c r="BD241" i="14" s="1"/>
  <c r="BI241" i="14"/>
  <c r="BJ241" i="14" s="1"/>
  <c r="CH489" i="14"/>
  <c r="CM489" i="14" s="1"/>
  <c r="BB245" i="3" s="1"/>
  <c r="CE489" i="14"/>
  <c r="CJ489" i="14" s="1"/>
  <c r="AZ245" i="3" s="1"/>
  <c r="CF489" i="14"/>
  <c r="CK489" i="14" s="1"/>
  <c r="BA245" i="3" s="1"/>
  <c r="BQ491" i="14"/>
  <c r="BR491" i="14" s="1"/>
  <c r="BN491" i="14"/>
  <c r="BO491" i="14" s="1"/>
  <c r="BN240" i="14"/>
  <c r="BO240" i="14" s="1"/>
  <c r="BM492" i="14"/>
  <c r="BI492" i="14"/>
  <c r="BJ492" i="14" s="1"/>
  <c r="AB492" i="14"/>
  <c r="BC492" i="14"/>
  <c r="BD492" i="14" s="1"/>
  <c r="AA492" i="14"/>
  <c r="BB492" i="14"/>
  <c r="AD492" i="14"/>
  <c r="Z493" i="14"/>
  <c r="AE493" i="14"/>
  <c r="Z242" i="14"/>
  <c r="AE242" i="14"/>
  <c r="AW239" i="14"/>
  <c r="AX240" i="14"/>
  <c r="AG490" i="14"/>
  <c r="AH490" i="14" s="1"/>
  <c r="AI490" i="14" s="1"/>
  <c r="AJ490" i="14" s="1"/>
  <c r="BR246" i="3"/>
  <c r="BG248" i="3"/>
  <c r="BM248" i="3" s="1"/>
  <c r="D245" i="26"/>
  <c r="D245" i="25"/>
  <c r="C246" i="26"/>
  <c r="C246" i="25"/>
  <c r="BI248" i="3"/>
  <c r="BH248" i="3"/>
  <c r="BE248" i="3"/>
  <c r="CK248" i="3"/>
  <c r="AW245" i="3"/>
  <c r="CF249" i="3"/>
  <c r="BC248" i="3"/>
  <c r="BN248" i="3" s="1"/>
  <c r="CI248" i="3"/>
  <c r="BY249" i="3"/>
  <c r="BF247" i="3"/>
  <c r="BQ247" i="3" s="1"/>
  <c r="BR247" i="3" s="1"/>
  <c r="D249" i="3"/>
  <c r="C250" i="3"/>
  <c r="BL249" i="3"/>
  <c r="BW249" i="3"/>
  <c r="CK249" i="3" s="1"/>
  <c r="AY249" i="3"/>
  <c r="BD249" i="3" s="1"/>
  <c r="BK249" i="3"/>
  <c r="AH249" i="3"/>
  <c r="P246" i="26" s="1"/>
  <c r="AG249" i="3"/>
  <c r="O246" i="26" s="1"/>
  <c r="AJ249" i="3"/>
  <c r="R246" i="26" s="1"/>
  <c r="AI249" i="3"/>
  <c r="Q246" i="26" s="1"/>
  <c r="BO247" i="3"/>
  <c r="AU247" i="3" s="1"/>
  <c r="CE238" i="14" l="1"/>
  <c r="CK237" i="14"/>
  <c r="CD244" i="3" s="1"/>
  <c r="CJ237" i="14"/>
  <c r="CC244" i="3" s="1"/>
  <c r="BV250" i="3"/>
  <c r="BU250" i="3"/>
  <c r="BT238" i="14"/>
  <c r="BW238" i="14" s="1"/>
  <c r="BU238" i="14"/>
  <c r="BS238" i="14"/>
  <c r="BV238" i="14"/>
  <c r="BX238" i="14" s="1"/>
  <c r="CK238" i="14" s="1"/>
  <c r="CD245" i="3" s="1"/>
  <c r="BZ238" i="14"/>
  <c r="CA238" i="14"/>
  <c r="CB238" i="14" s="1"/>
  <c r="CM238" i="14" s="1"/>
  <c r="CG245" i="3" s="1"/>
  <c r="AY239" i="14"/>
  <c r="CH239" i="14" s="1"/>
  <c r="BQ239" i="14"/>
  <c r="BR239" i="14" s="1"/>
  <c r="AW246" i="3"/>
  <c r="CA491" i="14"/>
  <c r="CB491" i="14" s="1"/>
  <c r="BT491" i="14"/>
  <c r="BW491" i="14" s="1"/>
  <c r="BV491" i="14"/>
  <c r="BX491" i="14" s="1"/>
  <c r="Z494" i="14"/>
  <c r="AE494" i="14"/>
  <c r="Z243" i="14"/>
  <c r="AE243" i="14"/>
  <c r="BC493" i="14"/>
  <c r="BD493" i="14" s="1"/>
  <c r="BM493" i="14"/>
  <c r="AA493" i="14"/>
  <c r="AX493" i="14" s="1"/>
  <c r="AB493" i="14"/>
  <c r="BB493" i="14"/>
  <c r="AD493" i="14"/>
  <c r="BI493" i="14"/>
  <c r="BJ493" i="14" s="1"/>
  <c r="AZ492" i="14"/>
  <c r="AQ492" i="14"/>
  <c r="AR492" i="14" s="1"/>
  <c r="AS492" i="14" s="1"/>
  <c r="AT492" i="14" s="1"/>
  <c r="AU492" i="14" s="1"/>
  <c r="AK492" i="14"/>
  <c r="AL492" i="14" s="1"/>
  <c r="AM492" i="14" s="1"/>
  <c r="AN492" i="14" s="1"/>
  <c r="AO492" i="14" s="1"/>
  <c r="AP492" i="14" s="1"/>
  <c r="BA492" i="14"/>
  <c r="BK492" i="14" s="1"/>
  <c r="AF492" i="14"/>
  <c r="AC492" i="14"/>
  <c r="BQ492" i="14"/>
  <c r="BR492" i="14" s="1"/>
  <c r="BN492" i="14"/>
  <c r="BO492" i="14" s="1"/>
  <c r="BS491" i="14"/>
  <c r="BU491" i="14"/>
  <c r="BZ491" i="14"/>
  <c r="BN241" i="14"/>
  <c r="BO241" i="14" s="1"/>
  <c r="AW490" i="14"/>
  <c r="AY490" i="14" s="1"/>
  <c r="CF490" i="14" s="1"/>
  <c r="CK490" i="14" s="1"/>
  <c r="BA246" i="3" s="1"/>
  <c r="CD240" i="14"/>
  <c r="BE240" i="14"/>
  <c r="BG240" i="14" s="1"/>
  <c r="AD242" i="14"/>
  <c r="BC242" i="14"/>
  <c r="BD242" i="14" s="1"/>
  <c r="AA242" i="14"/>
  <c r="AX242" i="14" s="1"/>
  <c r="BI242" i="14"/>
  <c r="BJ242" i="14" s="1"/>
  <c r="BB242" i="14"/>
  <c r="AB242" i="14"/>
  <c r="BM242" i="14"/>
  <c r="AX492" i="14"/>
  <c r="AW491" i="14"/>
  <c r="AY491" i="14" s="1"/>
  <c r="AV241" i="14"/>
  <c r="AQ241" i="14"/>
  <c r="AR241" i="14" s="1"/>
  <c r="AS241" i="14" s="1"/>
  <c r="AT241" i="14" s="1"/>
  <c r="AU241" i="14" s="1"/>
  <c r="AK241" i="14"/>
  <c r="AL241" i="14" s="1"/>
  <c r="AM241" i="14" s="1"/>
  <c r="AN241" i="14" s="1"/>
  <c r="AO241" i="14" s="1"/>
  <c r="AP241" i="14" s="1"/>
  <c r="AF241" i="14"/>
  <c r="AC241" i="14"/>
  <c r="BA241" i="14"/>
  <c r="BK241" i="14" s="1"/>
  <c r="AZ241" i="14"/>
  <c r="CE239" i="14"/>
  <c r="AV492" i="14"/>
  <c r="AG240" i="14"/>
  <c r="AH240" i="14" s="1"/>
  <c r="AI240" i="14" s="1"/>
  <c r="AJ240" i="14" s="1"/>
  <c r="BE491" i="14"/>
  <c r="BG491" i="14" s="1"/>
  <c r="CD491" i="14"/>
  <c r="BH249" i="3"/>
  <c r="D246" i="26"/>
  <c r="D246" i="25"/>
  <c r="C247" i="25"/>
  <c r="C247" i="26"/>
  <c r="BI249" i="3"/>
  <c r="BG249" i="3"/>
  <c r="BM249" i="3" s="1"/>
  <c r="BE249" i="3"/>
  <c r="CF250" i="3"/>
  <c r="BC249" i="3"/>
  <c r="BN249" i="3" s="1"/>
  <c r="CJ249" i="3"/>
  <c r="AV249" i="3" s="1"/>
  <c r="CI249" i="3"/>
  <c r="BY250" i="3"/>
  <c r="BJ248" i="3"/>
  <c r="BP248" i="3" s="1"/>
  <c r="DD409" i="3"/>
  <c r="BF248" i="3"/>
  <c r="BQ248" i="3" s="1"/>
  <c r="D250" i="3"/>
  <c r="BG250" i="3" s="1"/>
  <c r="AW247" i="3"/>
  <c r="C251" i="3"/>
  <c r="BK250" i="3"/>
  <c r="AY250" i="3"/>
  <c r="BD250" i="3" s="1"/>
  <c r="BW250" i="3"/>
  <c r="CI250" i="3" s="1"/>
  <c r="BL250" i="3"/>
  <c r="AG250" i="3"/>
  <c r="O247" i="26" s="1"/>
  <c r="AJ250" i="3"/>
  <c r="R247" i="26" s="1"/>
  <c r="AI250" i="3"/>
  <c r="Q247" i="26" s="1"/>
  <c r="AH250" i="3"/>
  <c r="P247" i="26" s="1"/>
  <c r="BO248" i="3"/>
  <c r="AU248" i="3" s="1"/>
  <c r="CF239" i="14" l="1"/>
  <c r="CJ238" i="14"/>
  <c r="CC245" i="3" s="1"/>
  <c r="CH490" i="14"/>
  <c r="CM490" i="14" s="1"/>
  <c r="BB246" i="3" s="1"/>
  <c r="BV251" i="3"/>
  <c r="BU251" i="3"/>
  <c r="BZ239" i="14"/>
  <c r="BS239" i="14"/>
  <c r="CA239" i="14"/>
  <c r="CB239" i="14" s="1"/>
  <c r="CM239" i="14" s="1"/>
  <c r="CG246" i="3" s="1"/>
  <c r="BT239" i="14"/>
  <c r="BW239" i="14" s="1"/>
  <c r="CJ239" i="14" s="1"/>
  <c r="CC246" i="3" s="1"/>
  <c r="BU239" i="14"/>
  <c r="BV239" i="14"/>
  <c r="BX239" i="14" s="1"/>
  <c r="CK239" i="14" s="1"/>
  <c r="CD246" i="3" s="1"/>
  <c r="CE490" i="14"/>
  <c r="CJ490" i="14" s="1"/>
  <c r="AZ246" i="3" s="1"/>
  <c r="Z495" i="14"/>
  <c r="AE495" i="14"/>
  <c r="AE244" i="14"/>
  <c r="Z244" i="14"/>
  <c r="AW240" i="14"/>
  <c r="BN242" i="14"/>
  <c r="BO242" i="14" s="1"/>
  <c r="AQ493" i="14"/>
  <c r="AR493" i="14" s="1"/>
  <c r="AS493" i="14" s="1"/>
  <c r="AT493" i="14" s="1"/>
  <c r="AU493" i="14" s="1"/>
  <c r="AZ493" i="14"/>
  <c r="AC493" i="14"/>
  <c r="AF493" i="14"/>
  <c r="AK493" i="14"/>
  <c r="AL493" i="14" s="1"/>
  <c r="AM493" i="14" s="1"/>
  <c r="AN493" i="14" s="1"/>
  <c r="AO493" i="14" s="1"/>
  <c r="AP493" i="14" s="1"/>
  <c r="BA493" i="14"/>
  <c r="BK493" i="14" s="1"/>
  <c r="CE491" i="14"/>
  <c r="CJ491" i="14" s="1"/>
  <c r="AZ247" i="3" s="1"/>
  <c r="CH491" i="14"/>
  <c r="CM491" i="14" s="1"/>
  <c r="BB247" i="3" s="1"/>
  <c r="CF491" i="14"/>
  <c r="CK491" i="14" s="1"/>
  <c r="BA247" i="3" s="1"/>
  <c r="CD241" i="14"/>
  <c r="BE241" i="14"/>
  <c r="BG241" i="14" s="1"/>
  <c r="AV493" i="14"/>
  <c r="BU492" i="14"/>
  <c r="BZ492" i="14"/>
  <c r="BS492" i="14"/>
  <c r="AG492" i="14"/>
  <c r="AH492" i="14" s="1"/>
  <c r="AI492" i="14" s="1"/>
  <c r="AJ492" i="14" s="1"/>
  <c r="BQ493" i="14"/>
  <c r="BR493" i="14" s="1"/>
  <c r="BN493" i="14"/>
  <c r="BO493" i="14" s="1"/>
  <c r="AG241" i="14"/>
  <c r="AH241" i="14" s="1"/>
  <c r="AI241" i="14" s="1"/>
  <c r="AJ241" i="14" s="1"/>
  <c r="BA242" i="14"/>
  <c r="BK242" i="14" s="1"/>
  <c r="AQ242" i="14"/>
  <c r="AR242" i="14" s="1"/>
  <c r="AS242" i="14" s="1"/>
  <c r="AT242" i="14" s="1"/>
  <c r="AU242" i="14" s="1"/>
  <c r="AZ242" i="14"/>
  <c r="AC242" i="14"/>
  <c r="AK242" i="14"/>
  <c r="AL242" i="14" s="1"/>
  <c r="AM242" i="14" s="1"/>
  <c r="AN242" i="14" s="1"/>
  <c r="AO242" i="14" s="1"/>
  <c r="AP242" i="14" s="1"/>
  <c r="AF242" i="14"/>
  <c r="AG242" i="14" s="1"/>
  <c r="AH242" i="14" s="1"/>
  <c r="AI242" i="14" s="1"/>
  <c r="AJ242" i="14" s="1"/>
  <c r="AD243" i="14"/>
  <c r="BB243" i="14"/>
  <c r="BM243" i="14"/>
  <c r="AB243" i="14"/>
  <c r="BI243" i="14"/>
  <c r="BJ243" i="14" s="1"/>
  <c r="BC243" i="14"/>
  <c r="BD243" i="14" s="1"/>
  <c r="AA243" i="14"/>
  <c r="AV243" i="14" s="1"/>
  <c r="BV492" i="14"/>
  <c r="BX492" i="14" s="1"/>
  <c r="CA492" i="14"/>
  <c r="CB492" i="14" s="1"/>
  <c r="BT492" i="14"/>
  <c r="BW492" i="14" s="1"/>
  <c r="CD492" i="14"/>
  <c r="BE492" i="14"/>
  <c r="BG492" i="14" s="1"/>
  <c r="BM494" i="14"/>
  <c r="BI494" i="14"/>
  <c r="BJ494" i="14" s="1"/>
  <c r="AA494" i="14"/>
  <c r="AX494" i="14" s="1"/>
  <c r="AB494" i="14"/>
  <c r="BC494" i="14"/>
  <c r="BD494" i="14" s="1"/>
  <c r="AD494" i="14"/>
  <c r="BB494" i="14"/>
  <c r="AV242" i="14"/>
  <c r="C248" i="26"/>
  <c r="C248" i="25"/>
  <c r="BH250" i="3"/>
  <c r="D247" i="25"/>
  <c r="D247" i="26"/>
  <c r="BI250" i="3"/>
  <c r="BE250" i="3"/>
  <c r="CK250" i="3"/>
  <c r="CF251" i="3"/>
  <c r="BJ249" i="3"/>
  <c r="BP249" i="3" s="1"/>
  <c r="BC250" i="3"/>
  <c r="BN250" i="3" s="1"/>
  <c r="BR248" i="3"/>
  <c r="CJ250" i="3"/>
  <c r="AV250" i="3" s="1"/>
  <c r="BY251" i="3"/>
  <c r="BM250" i="3"/>
  <c r="BF249" i="3"/>
  <c r="BQ249" i="3" s="1"/>
  <c r="D251" i="3"/>
  <c r="BG251" i="3" s="1"/>
  <c r="DD410" i="3"/>
  <c r="C252" i="3"/>
  <c r="BL251" i="3"/>
  <c r="BK251" i="3"/>
  <c r="BW251" i="3"/>
  <c r="CJ251" i="3" s="1"/>
  <c r="AV251" i="3" s="1"/>
  <c r="AY251" i="3"/>
  <c r="AJ251" i="3"/>
  <c r="R248" i="26" s="1"/>
  <c r="AI251" i="3"/>
  <c r="Q248" i="26" s="1"/>
  <c r="AH251" i="3"/>
  <c r="P248" i="26" s="1"/>
  <c r="AG251" i="3"/>
  <c r="O248" i="26" s="1"/>
  <c r="BO249" i="3"/>
  <c r="AU249" i="3" s="1"/>
  <c r="BD251" i="3" l="1"/>
  <c r="BU252" i="3"/>
  <c r="BV252" i="3"/>
  <c r="AY240" i="14"/>
  <c r="BQ240" i="14"/>
  <c r="BR240" i="14" s="1"/>
  <c r="AW241" i="14"/>
  <c r="BA494" i="14"/>
  <c r="BK494" i="14" s="1"/>
  <c r="AQ494" i="14"/>
  <c r="AR494" i="14" s="1"/>
  <c r="AS494" i="14" s="1"/>
  <c r="AT494" i="14" s="1"/>
  <c r="AU494" i="14" s="1"/>
  <c r="AF494" i="14"/>
  <c r="AG494" i="14" s="1"/>
  <c r="AH494" i="14" s="1"/>
  <c r="AI494" i="14" s="1"/>
  <c r="AJ494" i="14" s="1"/>
  <c r="AK494" i="14"/>
  <c r="AL494" i="14" s="1"/>
  <c r="AM494" i="14" s="1"/>
  <c r="AN494" i="14" s="1"/>
  <c r="AO494" i="14" s="1"/>
  <c r="AP494" i="14" s="1"/>
  <c r="AZ494" i="14"/>
  <c r="AC494" i="14"/>
  <c r="AX243" i="14"/>
  <c r="BZ493" i="14"/>
  <c r="BU493" i="14"/>
  <c r="BS493" i="14"/>
  <c r="AD244" i="14"/>
  <c r="BM244" i="14"/>
  <c r="AA244" i="14"/>
  <c r="AX244" i="14" s="1"/>
  <c r="BC244" i="14"/>
  <c r="BD244" i="14" s="1"/>
  <c r="BB244" i="14"/>
  <c r="AB244" i="14"/>
  <c r="BI244" i="14"/>
  <c r="BJ244" i="14" s="1"/>
  <c r="BE493" i="14"/>
  <c r="BG493" i="14" s="1"/>
  <c r="CD493" i="14"/>
  <c r="AK243" i="14"/>
  <c r="AL243" i="14" s="1"/>
  <c r="AM243" i="14" s="1"/>
  <c r="AN243" i="14" s="1"/>
  <c r="AO243" i="14" s="1"/>
  <c r="AP243" i="14" s="1"/>
  <c r="BA243" i="14"/>
  <c r="BK243" i="14" s="1"/>
  <c r="AZ243" i="14"/>
  <c r="AC243" i="14"/>
  <c r="AF243" i="14"/>
  <c r="AQ243" i="14"/>
  <c r="AR243" i="14" s="1"/>
  <c r="AS243" i="14" s="1"/>
  <c r="AT243" i="14" s="1"/>
  <c r="AU243" i="14" s="1"/>
  <c r="BN243" i="14"/>
  <c r="BO243" i="14" s="1"/>
  <c r="BV493" i="14"/>
  <c r="BX493" i="14" s="1"/>
  <c r="CA493" i="14"/>
  <c r="CB493" i="14" s="1"/>
  <c r="BT493" i="14"/>
  <c r="BW493" i="14" s="1"/>
  <c r="BN494" i="14"/>
  <c r="BO494" i="14" s="1"/>
  <c r="BQ494" i="14"/>
  <c r="BR494" i="14" s="1"/>
  <c r="AW242" i="14"/>
  <c r="AE496" i="14"/>
  <c r="Z496" i="14"/>
  <c r="AE245" i="14"/>
  <c r="Z245" i="14"/>
  <c r="CD242" i="14"/>
  <c r="BE242" i="14"/>
  <c r="BG242" i="14" s="1"/>
  <c r="AV494" i="14"/>
  <c r="AW492" i="14"/>
  <c r="AY492" i="14" s="1"/>
  <c r="CF492" i="14" s="1"/>
  <c r="CK492" i="14" s="1"/>
  <c r="BA248" i="3" s="1"/>
  <c r="AG493" i="14"/>
  <c r="AH493" i="14" s="1"/>
  <c r="AI493" i="14" s="1"/>
  <c r="AJ493" i="14" s="1"/>
  <c r="AB495" i="14"/>
  <c r="BI495" i="14"/>
  <c r="BJ495" i="14" s="1"/>
  <c r="BC495" i="14"/>
  <c r="BD495" i="14" s="1"/>
  <c r="AA495" i="14"/>
  <c r="AV495" i="14" s="1"/>
  <c r="AD495" i="14"/>
  <c r="BM495" i="14"/>
  <c r="BB495" i="14"/>
  <c r="C249" i="26"/>
  <c r="C249" i="25"/>
  <c r="BI251" i="3"/>
  <c r="D248" i="26"/>
  <c r="D248" i="25"/>
  <c r="BH251" i="3"/>
  <c r="BE251" i="3"/>
  <c r="CK251" i="3"/>
  <c r="CF252" i="3"/>
  <c r="AW248" i="3"/>
  <c r="BR249" i="3"/>
  <c r="BJ250" i="3"/>
  <c r="BP250" i="3" s="1"/>
  <c r="BC251" i="3"/>
  <c r="BN251" i="3" s="1"/>
  <c r="CI251" i="3"/>
  <c r="BY252" i="3"/>
  <c r="D252" i="3"/>
  <c r="DD411" i="3"/>
  <c r="BF250" i="3"/>
  <c r="BQ250" i="3" s="1"/>
  <c r="C253" i="3"/>
  <c r="BW252" i="3"/>
  <c r="CK252" i="3" s="1"/>
  <c r="BL252" i="3"/>
  <c r="BK252" i="3"/>
  <c r="AY252" i="3"/>
  <c r="AI252" i="3"/>
  <c r="Q249" i="26" s="1"/>
  <c r="AH252" i="3"/>
  <c r="P249" i="26" s="1"/>
  <c r="AG252" i="3"/>
  <c r="O249" i="26" s="1"/>
  <c r="AJ252" i="3"/>
  <c r="R249" i="26" s="1"/>
  <c r="BM251" i="3"/>
  <c r="BO250" i="3"/>
  <c r="AU250" i="3" s="1"/>
  <c r="BD252" i="3" l="1"/>
  <c r="BV253" i="3"/>
  <c r="BU253" i="3"/>
  <c r="CE240" i="14"/>
  <c r="CF240" i="14"/>
  <c r="CH240" i="14"/>
  <c r="AY242" i="14"/>
  <c r="CH242" i="14" s="1"/>
  <c r="BQ242" i="14"/>
  <c r="BR242" i="14" s="1"/>
  <c r="BT240" i="14"/>
  <c r="BW240" i="14" s="1"/>
  <c r="CA240" i="14"/>
  <c r="CB240" i="14" s="1"/>
  <c r="CM240" i="14" s="1"/>
  <c r="CG247" i="3" s="1"/>
  <c r="BS240" i="14"/>
  <c r="BU240" i="14"/>
  <c r="BV240" i="14"/>
  <c r="BX240" i="14" s="1"/>
  <c r="CK240" i="14" s="1"/>
  <c r="CD247" i="3" s="1"/>
  <c r="BZ240" i="14"/>
  <c r="AW249" i="3"/>
  <c r="AY241" i="14"/>
  <c r="CE241" i="14" s="1"/>
  <c r="BQ241" i="14"/>
  <c r="BR241" i="14" s="1"/>
  <c r="AV244" i="14"/>
  <c r="AX495" i="14"/>
  <c r="CF242" i="14"/>
  <c r="AW493" i="14"/>
  <c r="AY493" i="14" s="1"/>
  <c r="CH493" i="14" s="1"/>
  <c r="CM493" i="14" s="1"/>
  <c r="BB249" i="3" s="1"/>
  <c r="BM245" i="14"/>
  <c r="AA245" i="14"/>
  <c r="AX245" i="14" s="1"/>
  <c r="BC245" i="14"/>
  <c r="BD245" i="14" s="1"/>
  <c r="AB245" i="14"/>
  <c r="BI245" i="14"/>
  <c r="BJ245" i="14" s="1"/>
  <c r="BB245" i="14"/>
  <c r="AD245" i="14"/>
  <c r="CH492" i="14"/>
  <c r="CM492" i="14" s="1"/>
  <c r="BB248" i="3" s="1"/>
  <c r="BE494" i="14"/>
  <c r="BG494" i="14" s="1"/>
  <c r="CD494" i="14"/>
  <c r="BA495" i="14"/>
  <c r="BK495" i="14" s="1"/>
  <c r="AF495" i="14"/>
  <c r="AG495" i="14" s="1"/>
  <c r="AH495" i="14" s="1"/>
  <c r="AI495" i="14" s="1"/>
  <c r="AJ495" i="14" s="1"/>
  <c r="AC495" i="14"/>
  <c r="AZ495" i="14"/>
  <c r="AQ495" i="14"/>
  <c r="AR495" i="14" s="1"/>
  <c r="AS495" i="14" s="1"/>
  <c r="AT495" i="14" s="1"/>
  <c r="AU495" i="14" s="1"/>
  <c r="AK495" i="14"/>
  <c r="AL495" i="14" s="1"/>
  <c r="AM495" i="14" s="1"/>
  <c r="AN495" i="14" s="1"/>
  <c r="AO495" i="14" s="1"/>
  <c r="AP495" i="14" s="1"/>
  <c r="BV494" i="14"/>
  <c r="BX494" i="14" s="1"/>
  <c r="CA494" i="14"/>
  <c r="CB494" i="14" s="1"/>
  <c r="BT494" i="14"/>
  <c r="BW494" i="14" s="1"/>
  <c r="BA244" i="14"/>
  <c r="BK244" i="14" s="1"/>
  <c r="AZ244" i="14"/>
  <c r="AC244" i="14"/>
  <c r="AF244" i="14"/>
  <c r="AQ244" i="14"/>
  <c r="AR244" i="14" s="1"/>
  <c r="AS244" i="14" s="1"/>
  <c r="AT244" i="14" s="1"/>
  <c r="AU244" i="14" s="1"/>
  <c r="AK244" i="14"/>
  <c r="AL244" i="14" s="1"/>
  <c r="AM244" i="14" s="1"/>
  <c r="AN244" i="14" s="1"/>
  <c r="AO244" i="14" s="1"/>
  <c r="AP244" i="14" s="1"/>
  <c r="CE492" i="14"/>
  <c r="CJ492" i="14" s="1"/>
  <c r="AZ248" i="3" s="1"/>
  <c r="AE497" i="14"/>
  <c r="Z497" i="14"/>
  <c r="AE246" i="14"/>
  <c r="Z246" i="14"/>
  <c r="CF493" i="14"/>
  <c r="CK493" i="14" s="1"/>
  <c r="BA249" i="3" s="1"/>
  <c r="AW494" i="14"/>
  <c r="AY494" i="14" s="1"/>
  <c r="BN495" i="14"/>
  <c r="BO495" i="14" s="1"/>
  <c r="BQ495" i="14"/>
  <c r="BR495" i="14" s="1"/>
  <c r="AA496" i="14"/>
  <c r="AX496" i="14" s="1"/>
  <c r="AB496" i="14"/>
  <c r="BB496" i="14"/>
  <c r="BC496" i="14"/>
  <c r="BD496" i="14" s="1"/>
  <c r="BM496" i="14"/>
  <c r="BI496" i="14"/>
  <c r="BJ496" i="14" s="1"/>
  <c r="AD496" i="14"/>
  <c r="BZ494" i="14"/>
  <c r="BU494" i="14"/>
  <c r="BS494" i="14"/>
  <c r="AG243" i="14"/>
  <c r="AH243" i="14" s="1"/>
  <c r="AI243" i="14" s="1"/>
  <c r="AJ243" i="14" s="1"/>
  <c r="CD243" i="14"/>
  <c r="BE243" i="14"/>
  <c r="BG243" i="14" s="1"/>
  <c r="BN244" i="14"/>
  <c r="BO244" i="14" s="1"/>
  <c r="BG252" i="3"/>
  <c r="BM252" i="3" s="1"/>
  <c r="D249" i="26"/>
  <c r="D249" i="25"/>
  <c r="C250" i="26"/>
  <c r="C250" i="25"/>
  <c r="BI252" i="3"/>
  <c r="BH252" i="3"/>
  <c r="BE252" i="3"/>
  <c r="CF253" i="3"/>
  <c r="BR250" i="3"/>
  <c r="BJ251" i="3"/>
  <c r="BP251" i="3" s="1"/>
  <c r="BC252" i="3"/>
  <c r="BN252" i="3" s="1"/>
  <c r="DD412" i="3"/>
  <c r="CJ252" i="3"/>
  <c r="AV252" i="3" s="1"/>
  <c r="CI252" i="3"/>
  <c r="BY253" i="3"/>
  <c r="BF251" i="3"/>
  <c r="BQ251" i="3" s="1"/>
  <c r="D253" i="3"/>
  <c r="BO251" i="3"/>
  <c r="AU251" i="3" s="1"/>
  <c r="BW253" i="3"/>
  <c r="CK253" i="3" s="1"/>
  <c r="BL253" i="3"/>
  <c r="C254" i="3"/>
  <c r="BK253" i="3"/>
  <c r="AY253" i="3"/>
  <c r="AH253" i="3"/>
  <c r="P250" i="26" s="1"/>
  <c r="AG253" i="3"/>
  <c r="O250" i="26" s="1"/>
  <c r="AJ253" i="3"/>
  <c r="R250" i="26" s="1"/>
  <c r="AI253" i="3"/>
  <c r="Q250" i="26" s="1"/>
  <c r="BD253" i="3" l="1"/>
  <c r="CJ240" i="14"/>
  <c r="CC247" i="3" s="1"/>
  <c r="BV254" i="3"/>
  <c r="BU254" i="3"/>
  <c r="CE242" i="14"/>
  <c r="CF241" i="14"/>
  <c r="CH241" i="14"/>
  <c r="AW250" i="3"/>
  <c r="BU242" i="14"/>
  <c r="BV242" i="14"/>
  <c r="BX242" i="14" s="1"/>
  <c r="CK242" i="14" s="1"/>
  <c r="CD249" i="3" s="1"/>
  <c r="BT242" i="14"/>
  <c r="BW242" i="14" s="1"/>
  <c r="BZ242" i="14"/>
  <c r="BS242" i="14"/>
  <c r="CA242" i="14"/>
  <c r="CB242" i="14" s="1"/>
  <c r="CM242" i="14" s="1"/>
  <c r="CG249" i="3" s="1"/>
  <c r="BT241" i="14"/>
  <c r="BW241" i="14" s="1"/>
  <c r="CJ241" i="14" s="1"/>
  <c r="CC248" i="3" s="1"/>
  <c r="BU241" i="14"/>
  <c r="BS241" i="14"/>
  <c r="BZ241" i="14"/>
  <c r="BV241" i="14"/>
  <c r="BX241" i="14" s="1"/>
  <c r="CA241" i="14"/>
  <c r="CB241" i="14" s="1"/>
  <c r="AV245" i="14"/>
  <c r="BQ496" i="14"/>
  <c r="BR496" i="14" s="1"/>
  <c r="BN496" i="14"/>
  <c r="BO496" i="14" s="1"/>
  <c r="AV496" i="14"/>
  <c r="BA496" i="14"/>
  <c r="BK496" i="14" s="1"/>
  <c r="AZ496" i="14"/>
  <c r="AK496" i="14"/>
  <c r="AL496" i="14" s="1"/>
  <c r="AM496" i="14" s="1"/>
  <c r="AN496" i="14" s="1"/>
  <c r="AO496" i="14" s="1"/>
  <c r="AP496" i="14" s="1"/>
  <c r="AQ496" i="14"/>
  <c r="AR496" i="14" s="1"/>
  <c r="AS496" i="14" s="1"/>
  <c r="AT496" i="14" s="1"/>
  <c r="AU496" i="14" s="1"/>
  <c r="AF496" i="14"/>
  <c r="AG496" i="14" s="1"/>
  <c r="AH496" i="14" s="1"/>
  <c r="AI496" i="14" s="1"/>
  <c r="AJ496" i="14" s="1"/>
  <c r="AC496" i="14"/>
  <c r="CE493" i="14"/>
  <c r="CJ493" i="14" s="1"/>
  <c r="AZ249" i="3" s="1"/>
  <c r="AD497" i="14"/>
  <c r="AB497" i="14"/>
  <c r="BB497" i="14"/>
  <c r="BC497" i="14"/>
  <c r="BD497" i="14" s="1"/>
  <c r="BI497" i="14"/>
  <c r="BJ497" i="14" s="1"/>
  <c r="BM497" i="14"/>
  <c r="AA497" i="14"/>
  <c r="AX497" i="14" s="1"/>
  <c r="BE244" i="14"/>
  <c r="BG244" i="14" s="1"/>
  <c r="CD244" i="14"/>
  <c r="BN245" i="14"/>
  <c r="BO245" i="14" s="1"/>
  <c r="AW243" i="14"/>
  <c r="BZ495" i="14"/>
  <c r="BU495" i="14"/>
  <c r="BS495" i="14"/>
  <c r="BB246" i="14"/>
  <c r="BC246" i="14"/>
  <c r="BD246" i="14" s="1"/>
  <c r="AA246" i="14"/>
  <c r="AX246" i="14" s="1"/>
  <c r="BM246" i="14"/>
  <c r="BI246" i="14"/>
  <c r="BJ246" i="14" s="1"/>
  <c r="AD246" i="14"/>
  <c r="AB246" i="14"/>
  <c r="AG244" i="14"/>
  <c r="AH244" i="14" s="1"/>
  <c r="AI244" i="14" s="1"/>
  <c r="AJ244" i="14" s="1"/>
  <c r="CE494" i="14"/>
  <c r="CJ494" i="14" s="1"/>
  <c r="AZ250" i="3" s="1"/>
  <c r="CH494" i="14"/>
  <c r="CM494" i="14" s="1"/>
  <c r="BB250" i="3" s="1"/>
  <c r="CF494" i="14"/>
  <c r="CK494" i="14" s="1"/>
  <c r="BA250" i="3" s="1"/>
  <c r="CA495" i="14"/>
  <c r="CB495" i="14" s="1"/>
  <c r="BV495" i="14"/>
  <c r="BX495" i="14" s="1"/>
  <c r="BT495" i="14"/>
  <c r="BW495" i="14" s="1"/>
  <c r="AE498" i="14"/>
  <c r="Z498" i="14"/>
  <c r="AE247" i="14"/>
  <c r="Z247" i="14"/>
  <c r="AV246" i="14"/>
  <c r="BE495" i="14"/>
  <c r="BG495" i="14" s="1"/>
  <c r="CD495" i="14"/>
  <c r="AW495" i="14"/>
  <c r="AY495" i="14" s="1"/>
  <c r="AZ245" i="14"/>
  <c r="AC245" i="14"/>
  <c r="AK245" i="14"/>
  <c r="AL245" i="14" s="1"/>
  <c r="AM245" i="14" s="1"/>
  <c r="AN245" i="14" s="1"/>
  <c r="AO245" i="14" s="1"/>
  <c r="AP245" i="14" s="1"/>
  <c r="AF245" i="14"/>
  <c r="AG245" i="14" s="1"/>
  <c r="AH245" i="14" s="1"/>
  <c r="AI245" i="14" s="1"/>
  <c r="AJ245" i="14" s="1"/>
  <c r="AQ245" i="14"/>
  <c r="AR245" i="14" s="1"/>
  <c r="AS245" i="14" s="1"/>
  <c r="AT245" i="14" s="1"/>
  <c r="AU245" i="14" s="1"/>
  <c r="BA245" i="14"/>
  <c r="BK245" i="14" s="1"/>
  <c r="BG253" i="3"/>
  <c r="BM253" i="3" s="1"/>
  <c r="D250" i="26"/>
  <c r="D250" i="25"/>
  <c r="C251" i="25"/>
  <c r="C251" i="26"/>
  <c r="BH253" i="3"/>
  <c r="BI253" i="3"/>
  <c r="BE253" i="3"/>
  <c r="CF254" i="3"/>
  <c r="BR251" i="3"/>
  <c r="BJ252" i="3"/>
  <c r="BP252" i="3" s="1"/>
  <c r="BC253" i="3"/>
  <c r="BN253" i="3" s="1"/>
  <c r="DD413" i="3"/>
  <c r="CJ253" i="3"/>
  <c r="AV253" i="3" s="1"/>
  <c r="CI253" i="3"/>
  <c r="BY254" i="3"/>
  <c r="D254" i="3"/>
  <c r="BG254" i="3" s="1"/>
  <c r="BF252" i="3"/>
  <c r="BQ252" i="3" s="1"/>
  <c r="C255" i="3"/>
  <c r="BW254" i="3"/>
  <c r="CJ254" i="3" s="1"/>
  <c r="AV254" i="3" s="1"/>
  <c r="BL254" i="3"/>
  <c r="BK254" i="3"/>
  <c r="AY254" i="3"/>
  <c r="AG254" i="3"/>
  <c r="O251" i="26" s="1"/>
  <c r="AJ254" i="3"/>
  <c r="R251" i="26" s="1"/>
  <c r="AI254" i="3"/>
  <c r="Q251" i="26" s="1"/>
  <c r="AH254" i="3"/>
  <c r="P251" i="26" s="1"/>
  <c r="BO252" i="3"/>
  <c r="AU252" i="3" s="1"/>
  <c r="BD254" i="3" l="1"/>
  <c r="CJ242" i="14"/>
  <c r="CC249" i="3" s="1"/>
  <c r="BV255" i="3"/>
  <c r="BU255" i="3"/>
  <c r="CK241" i="14"/>
  <c r="CD248" i="3" s="1"/>
  <c r="AV497" i="14"/>
  <c r="CM241" i="14"/>
  <c r="CG248" i="3" s="1"/>
  <c r="AY243" i="14"/>
  <c r="CF243" i="14" s="1"/>
  <c r="BQ243" i="14"/>
  <c r="BR243" i="14" s="1"/>
  <c r="AW251" i="3"/>
  <c r="BH254" i="3"/>
  <c r="CH243" i="14"/>
  <c r="CF495" i="14"/>
  <c r="CK495" i="14" s="1"/>
  <c r="BA251" i="3" s="1"/>
  <c r="CH495" i="14"/>
  <c r="CM495" i="14" s="1"/>
  <c r="BB251" i="3" s="1"/>
  <c r="CE495" i="14"/>
  <c r="CJ495" i="14" s="1"/>
  <c r="AZ251" i="3" s="1"/>
  <c r="AA498" i="14"/>
  <c r="AX498" i="14" s="1"/>
  <c r="BB498" i="14"/>
  <c r="BC498" i="14"/>
  <c r="BD498" i="14" s="1"/>
  <c r="BM498" i="14"/>
  <c r="AD498" i="14"/>
  <c r="BI498" i="14"/>
  <c r="BJ498" i="14" s="1"/>
  <c r="AB498" i="14"/>
  <c r="AW244" i="14"/>
  <c r="AZ497" i="14"/>
  <c r="AF497" i="14"/>
  <c r="AQ497" i="14"/>
  <c r="AR497" i="14" s="1"/>
  <c r="AS497" i="14" s="1"/>
  <c r="AT497" i="14" s="1"/>
  <c r="AU497" i="14" s="1"/>
  <c r="BA497" i="14"/>
  <c r="BK497" i="14" s="1"/>
  <c r="AC497" i="14"/>
  <c r="AK497" i="14"/>
  <c r="AL497" i="14" s="1"/>
  <c r="AM497" i="14" s="1"/>
  <c r="AN497" i="14" s="1"/>
  <c r="AO497" i="14" s="1"/>
  <c r="AP497" i="14" s="1"/>
  <c r="BT496" i="14"/>
  <c r="BW496" i="14" s="1"/>
  <c r="BV496" i="14"/>
  <c r="BX496" i="14" s="1"/>
  <c r="CA496" i="14"/>
  <c r="CB496" i="14" s="1"/>
  <c r="BN497" i="14"/>
  <c r="BO497" i="14" s="1"/>
  <c r="BQ497" i="14"/>
  <c r="BR497" i="14" s="1"/>
  <c r="AE499" i="14"/>
  <c r="Z499" i="14"/>
  <c r="AE248" i="14"/>
  <c r="Z248" i="14"/>
  <c r="AW245" i="14"/>
  <c r="CD245" i="14"/>
  <c r="BE245" i="14"/>
  <c r="BG245" i="14" s="1"/>
  <c r="BM247" i="14"/>
  <c r="BI247" i="14"/>
  <c r="BJ247" i="14" s="1"/>
  <c r="AA247" i="14"/>
  <c r="AX247" i="14" s="1"/>
  <c r="BC247" i="14"/>
  <c r="BD247" i="14" s="1"/>
  <c r="AB247" i="14"/>
  <c r="BB247" i="14"/>
  <c r="AD247" i="14"/>
  <c r="BN246" i="14"/>
  <c r="BO246" i="14" s="1"/>
  <c r="CE243" i="14"/>
  <c r="AC246" i="14"/>
  <c r="AQ246" i="14"/>
  <c r="AR246" i="14" s="1"/>
  <c r="AS246" i="14" s="1"/>
  <c r="AT246" i="14" s="1"/>
  <c r="AU246" i="14" s="1"/>
  <c r="AK246" i="14"/>
  <c r="AL246" i="14" s="1"/>
  <c r="AM246" i="14" s="1"/>
  <c r="AN246" i="14" s="1"/>
  <c r="AO246" i="14" s="1"/>
  <c r="AP246" i="14" s="1"/>
  <c r="AZ246" i="14"/>
  <c r="AF246" i="14"/>
  <c r="AG246" i="14" s="1"/>
  <c r="AH246" i="14" s="1"/>
  <c r="AI246" i="14" s="1"/>
  <c r="AJ246" i="14" s="1"/>
  <c r="BA246" i="14"/>
  <c r="BK246" i="14" s="1"/>
  <c r="AW496" i="14"/>
  <c r="AY496" i="14" s="1"/>
  <c r="CD496" i="14"/>
  <c r="BE496" i="14"/>
  <c r="BG496" i="14" s="1"/>
  <c r="BU496" i="14"/>
  <c r="BZ496" i="14"/>
  <c r="BS496" i="14"/>
  <c r="D251" i="26"/>
  <c r="D251" i="25"/>
  <c r="C252" i="26"/>
  <c r="C252" i="25"/>
  <c r="BI254" i="3"/>
  <c r="BE254" i="3"/>
  <c r="CK254" i="3"/>
  <c r="CF255" i="3"/>
  <c r="BR252" i="3"/>
  <c r="BC254" i="3"/>
  <c r="BN254" i="3" s="1"/>
  <c r="CI254" i="3"/>
  <c r="BY255" i="3"/>
  <c r="BJ253" i="3"/>
  <c r="BP253" i="3" s="1"/>
  <c r="BM254" i="3"/>
  <c r="DD414" i="3"/>
  <c r="BF253" i="3"/>
  <c r="BQ253" i="3" s="1"/>
  <c r="D255" i="3"/>
  <c r="BG255" i="3" s="1"/>
  <c r="BO253" i="3"/>
  <c r="AU253" i="3" s="1"/>
  <c r="C256" i="3"/>
  <c r="BL255" i="3"/>
  <c r="BW255" i="3"/>
  <c r="CK255" i="3" s="1"/>
  <c r="BK255" i="3"/>
  <c r="AY255" i="3"/>
  <c r="AJ255" i="3"/>
  <c r="R252" i="26" s="1"/>
  <c r="AI255" i="3"/>
  <c r="Q252" i="26" s="1"/>
  <c r="AH255" i="3"/>
  <c r="P252" i="26" s="1"/>
  <c r="AG255" i="3"/>
  <c r="O252" i="26" s="1"/>
  <c r="BD255" i="3" l="1"/>
  <c r="BV256" i="3"/>
  <c r="BU256" i="3"/>
  <c r="AY245" i="14"/>
  <c r="CE245" i="14" s="1"/>
  <c r="BQ245" i="14"/>
  <c r="BR245" i="14" s="1"/>
  <c r="AW252" i="3"/>
  <c r="AY244" i="14"/>
  <c r="CH244" i="14" s="1"/>
  <c r="BQ244" i="14"/>
  <c r="BR244" i="14" s="1"/>
  <c r="BS243" i="14"/>
  <c r="BV243" i="14"/>
  <c r="BX243" i="14" s="1"/>
  <c r="CK243" i="14" s="1"/>
  <c r="CD250" i="3" s="1"/>
  <c r="BZ243" i="14"/>
  <c r="CA243" i="14"/>
  <c r="CB243" i="14" s="1"/>
  <c r="CM243" i="14" s="1"/>
  <c r="CG250" i="3" s="1"/>
  <c r="BU243" i="14"/>
  <c r="BT243" i="14"/>
  <c r="BW243" i="14" s="1"/>
  <c r="CJ243" i="14" s="1"/>
  <c r="CC250" i="3" s="1"/>
  <c r="AV247" i="14"/>
  <c r="AE500" i="14"/>
  <c r="Z500" i="14"/>
  <c r="AE249" i="14"/>
  <c r="Z249" i="14"/>
  <c r="BN247" i="14"/>
  <c r="BO247" i="14" s="1"/>
  <c r="BB248" i="14"/>
  <c r="BM248" i="14"/>
  <c r="AA248" i="14"/>
  <c r="BC248" i="14"/>
  <c r="BD248" i="14" s="1"/>
  <c r="BI248" i="14"/>
  <c r="BJ248" i="14" s="1"/>
  <c r="AD248" i="14"/>
  <c r="AB248" i="14"/>
  <c r="CA497" i="14"/>
  <c r="CB497" i="14" s="1"/>
  <c r="BV497" i="14"/>
  <c r="BX497" i="14" s="1"/>
  <c r="BT497" i="14"/>
  <c r="BW497" i="14" s="1"/>
  <c r="AW246" i="14"/>
  <c r="BZ497" i="14"/>
  <c r="BS497" i="14"/>
  <c r="BU497" i="14"/>
  <c r="CD497" i="14"/>
  <c r="BE497" i="14"/>
  <c r="BG497" i="14" s="1"/>
  <c r="AC498" i="14"/>
  <c r="AZ498" i="14"/>
  <c r="AF498" i="14"/>
  <c r="AG498" i="14" s="1"/>
  <c r="AH498" i="14" s="1"/>
  <c r="AI498" i="14" s="1"/>
  <c r="AJ498" i="14" s="1"/>
  <c r="AK498" i="14"/>
  <c r="AL498" i="14" s="1"/>
  <c r="AM498" i="14" s="1"/>
  <c r="AN498" i="14" s="1"/>
  <c r="AO498" i="14" s="1"/>
  <c r="AP498" i="14" s="1"/>
  <c r="BA498" i="14"/>
  <c r="BK498" i="14" s="1"/>
  <c r="AQ498" i="14"/>
  <c r="AR498" i="14" s="1"/>
  <c r="AS498" i="14" s="1"/>
  <c r="AT498" i="14" s="1"/>
  <c r="AU498" i="14" s="1"/>
  <c r="CF496" i="14"/>
  <c r="CK496" i="14" s="1"/>
  <c r="BA252" i="3" s="1"/>
  <c r="CH496" i="14"/>
  <c r="CM496" i="14" s="1"/>
  <c r="BB252" i="3" s="1"/>
  <c r="CE496" i="14"/>
  <c r="CJ496" i="14" s="1"/>
  <c r="AZ252" i="3" s="1"/>
  <c r="BE246" i="14"/>
  <c r="BG246" i="14" s="1"/>
  <c r="CD246" i="14"/>
  <c r="AC247" i="14"/>
  <c r="AZ247" i="14"/>
  <c r="BA247" i="14"/>
  <c r="BK247" i="14" s="1"/>
  <c r="AF247" i="14"/>
  <c r="AG247" i="14" s="1"/>
  <c r="AH247" i="14" s="1"/>
  <c r="AI247" i="14" s="1"/>
  <c r="AJ247" i="14" s="1"/>
  <c r="AK247" i="14"/>
  <c r="AL247" i="14" s="1"/>
  <c r="AM247" i="14" s="1"/>
  <c r="AN247" i="14" s="1"/>
  <c r="AO247" i="14" s="1"/>
  <c r="AP247" i="14" s="1"/>
  <c r="AQ247" i="14"/>
  <c r="AR247" i="14" s="1"/>
  <c r="AS247" i="14" s="1"/>
  <c r="AT247" i="14" s="1"/>
  <c r="AU247" i="14" s="1"/>
  <c r="CF245" i="14"/>
  <c r="BI499" i="14"/>
  <c r="BJ499" i="14" s="1"/>
  <c r="AA499" i="14"/>
  <c r="BC499" i="14"/>
  <c r="BD499" i="14" s="1"/>
  <c r="AD499" i="14"/>
  <c r="BM499" i="14"/>
  <c r="AB499" i="14"/>
  <c r="BB499" i="14"/>
  <c r="AV498" i="14"/>
  <c r="AG497" i="14"/>
  <c r="AH497" i="14" s="1"/>
  <c r="AI497" i="14" s="1"/>
  <c r="AJ497" i="14" s="1"/>
  <c r="BQ498" i="14"/>
  <c r="BR498" i="14" s="1"/>
  <c r="BN498" i="14"/>
  <c r="BO498" i="14" s="1"/>
  <c r="BI255" i="3"/>
  <c r="C253" i="25"/>
  <c r="C253" i="26"/>
  <c r="BH255" i="3"/>
  <c r="D252" i="26"/>
  <c r="D252" i="25"/>
  <c r="BE255" i="3"/>
  <c r="CF256" i="3"/>
  <c r="BJ254" i="3"/>
  <c r="BP254" i="3" s="1"/>
  <c r="BC255" i="3"/>
  <c r="BN255" i="3" s="1"/>
  <c r="DD415" i="3"/>
  <c r="BR253" i="3"/>
  <c r="CI255" i="3"/>
  <c r="BY256" i="3"/>
  <c r="CJ255" i="3"/>
  <c r="AV255" i="3" s="1"/>
  <c r="BM255" i="3"/>
  <c r="BF254" i="3"/>
  <c r="BQ254" i="3" s="1"/>
  <c r="D256" i="3"/>
  <c r="BI256" i="3" s="1"/>
  <c r="BO254" i="3"/>
  <c r="AU254" i="3" s="1"/>
  <c r="C257" i="3"/>
  <c r="BK256" i="3"/>
  <c r="AY256" i="3"/>
  <c r="BD256" i="3" s="1"/>
  <c r="BW256" i="3"/>
  <c r="CK256" i="3" s="1"/>
  <c r="AI256" i="3"/>
  <c r="Q253" i="26" s="1"/>
  <c r="AH256" i="3"/>
  <c r="P253" i="26" s="1"/>
  <c r="AG256" i="3"/>
  <c r="O253" i="26" s="1"/>
  <c r="BL256" i="3"/>
  <c r="AJ256" i="3"/>
  <c r="R253" i="26" s="1"/>
  <c r="CH245" i="14" l="1"/>
  <c r="BV257" i="3"/>
  <c r="BU257" i="3"/>
  <c r="CE244" i="14"/>
  <c r="CF244" i="14"/>
  <c r="AY246" i="14"/>
  <c r="CF246" i="14" s="1"/>
  <c r="BQ246" i="14"/>
  <c r="BR246" i="14" s="1"/>
  <c r="BZ244" i="14"/>
  <c r="CA244" i="14"/>
  <c r="CB244" i="14" s="1"/>
  <c r="CM244" i="14" s="1"/>
  <c r="CG251" i="3" s="1"/>
  <c r="BS244" i="14"/>
  <c r="BT244" i="14"/>
  <c r="BW244" i="14" s="1"/>
  <c r="BU244" i="14"/>
  <c r="BV244" i="14"/>
  <c r="BX244" i="14" s="1"/>
  <c r="CK244" i="14" s="1"/>
  <c r="CD251" i="3" s="1"/>
  <c r="BU245" i="14"/>
  <c r="BT245" i="14"/>
  <c r="BW245" i="14" s="1"/>
  <c r="CJ245" i="14" s="1"/>
  <c r="CC252" i="3" s="1"/>
  <c r="BZ245" i="14"/>
  <c r="CA245" i="14"/>
  <c r="CB245" i="14" s="1"/>
  <c r="CM245" i="14" s="1"/>
  <c r="CG252" i="3" s="1"/>
  <c r="BV245" i="14"/>
  <c r="BX245" i="14" s="1"/>
  <c r="CK245" i="14" s="1"/>
  <c r="CD252" i="3" s="1"/>
  <c r="BS245" i="14"/>
  <c r="DD416" i="3"/>
  <c r="BA248" i="14"/>
  <c r="BK248" i="14" s="1"/>
  <c r="AQ248" i="14"/>
  <c r="AR248" i="14" s="1"/>
  <c r="AS248" i="14" s="1"/>
  <c r="AT248" i="14" s="1"/>
  <c r="AU248" i="14" s="1"/>
  <c r="AK248" i="14"/>
  <c r="AL248" i="14" s="1"/>
  <c r="AM248" i="14" s="1"/>
  <c r="AN248" i="14" s="1"/>
  <c r="AO248" i="14" s="1"/>
  <c r="AP248" i="14" s="1"/>
  <c r="AZ248" i="14"/>
  <c r="AC248" i="14"/>
  <c r="AF248" i="14"/>
  <c r="BS498" i="14"/>
  <c r="BU498" i="14"/>
  <c r="BZ498" i="14"/>
  <c r="CD498" i="14"/>
  <c r="BE498" i="14"/>
  <c r="BG498" i="14" s="1"/>
  <c r="AV248" i="14"/>
  <c r="AX248" i="14"/>
  <c r="CD247" i="14"/>
  <c r="BE247" i="14"/>
  <c r="BG247" i="14" s="1"/>
  <c r="CH246" i="14"/>
  <c r="BN248" i="14"/>
  <c r="BO248" i="14" s="1"/>
  <c r="CA498" i="14"/>
  <c r="CB498" i="14" s="1"/>
  <c r="BV498" i="14"/>
  <c r="BX498" i="14" s="1"/>
  <c r="BT498" i="14"/>
  <c r="BW498" i="14" s="1"/>
  <c r="AD500" i="14"/>
  <c r="AB500" i="14"/>
  <c r="BM500" i="14"/>
  <c r="BB500" i="14"/>
  <c r="AA500" i="14"/>
  <c r="AX500" i="14" s="1"/>
  <c r="BI500" i="14"/>
  <c r="BJ500" i="14" s="1"/>
  <c r="BC500" i="14"/>
  <c r="BD500" i="14" s="1"/>
  <c r="BN499" i="14"/>
  <c r="BO499" i="14" s="1"/>
  <c r="BQ499" i="14"/>
  <c r="BR499" i="14" s="1"/>
  <c r="AZ499" i="14"/>
  <c r="AK499" i="14"/>
  <c r="AL499" i="14" s="1"/>
  <c r="AM499" i="14" s="1"/>
  <c r="AN499" i="14" s="1"/>
  <c r="AO499" i="14" s="1"/>
  <c r="AP499" i="14" s="1"/>
  <c r="AF499" i="14"/>
  <c r="AG499" i="14" s="1"/>
  <c r="AH499" i="14" s="1"/>
  <c r="AI499" i="14" s="1"/>
  <c r="AJ499" i="14" s="1"/>
  <c r="BA499" i="14"/>
  <c r="BK499" i="14" s="1"/>
  <c r="AQ499" i="14"/>
  <c r="AR499" i="14" s="1"/>
  <c r="AS499" i="14" s="1"/>
  <c r="AT499" i="14" s="1"/>
  <c r="AU499" i="14" s="1"/>
  <c r="AC499" i="14"/>
  <c r="Z501" i="14"/>
  <c r="AE501" i="14"/>
  <c r="Z250" i="14"/>
  <c r="AE250" i="14"/>
  <c r="AX499" i="14"/>
  <c r="AW247" i="14"/>
  <c r="AW498" i="14"/>
  <c r="AY498" i="14" s="1"/>
  <c r="AW497" i="14"/>
  <c r="AY497" i="14" s="1"/>
  <c r="CF497" i="14" s="1"/>
  <c r="CK497" i="14" s="1"/>
  <c r="BA253" i="3" s="1"/>
  <c r="AV499" i="14"/>
  <c r="BM249" i="14"/>
  <c r="AB249" i="14"/>
  <c r="BC249" i="14"/>
  <c r="BD249" i="14" s="1"/>
  <c r="BI249" i="14"/>
  <c r="BJ249" i="14" s="1"/>
  <c r="AA249" i="14"/>
  <c r="AX249" i="14" s="1"/>
  <c r="AD249" i="14"/>
  <c r="BB249" i="14"/>
  <c r="C254" i="26"/>
  <c r="C254" i="25"/>
  <c r="BH256" i="3"/>
  <c r="D253" i="26"/>
  <c r="D253" i="25"/>
  <c r="BG256" i="3"/>
  <c r="BM256" i="3" s="1"/>
  <c r="BE256" i="3"/>
  <c r="CF257" i="3"/>
  <c r="AW253" i="3"/>
  <c r="BR254" i="3"/>
  <c r="BJ255" i="3"/>
  <c r="BP255" i="3" s="1"/>
  <c r="BC256" i="3"/>
  <c r="BN256" i="3" s="1"/>
  <c r="BY257" i="3"/>
  <c r="CJ256" i="3"/>
  <c r="AV256" i="3" s="1"/>
  <c r="CI256" i="3"/>
  <c r="BF255" i="3"/>
  <c r="BQ255" i="3" s="1"/>
  <c r="D257" i="3"/>
  <c r="DD417" i="3" s="1"/>
  <c r="C258" i="3"/>
  <c r="AI257" i="3"/>
  <c r="Q254" i="26" s="1"/>
  <c r="BK257" i="3"/>
  <c r="BL257" i="3"/>
  <c r="AJ257" i="3"/>
  <c r="R254" i="26" s="1"/>
  <c r="AG257" i="3"/>
  <c r="O254" i="26" s="1"/>
  <c r="AY257" i="3"/>
  <c r="BW257" i="3"/>
  <c r="CI257" i="3" s="1"/>
  <c r="AH257" i="3"/>
  <c r="P254" i="26" s="1"/>
  <c r="BO255" i="3"/>
  <c r="AU255" i="3" s="1"/>
  <c r="CE246" i="14" l="1"/>
  <c r="BD257" i="3"/>
  <c r="CJ244" i="14"/>
  <c r="CC251" i="3" s="1"/>
  <c r="BV258" i="3"/>
  <c r="BU258" i="3"/>
  <c r="CA246" i="14"/>
  <c r="CB246" i="14" s="1"/>
  <c r="CM246" i="14" s="1"/>
  <c r="CG253" i="3" s="1"/>
  <c r="BU246" i="14"/>
  <c r="BZ246" i="14"/>
  <c r="BT246" i="14"/>
  <c r="BW246" i="14" s="1"/>
  <c r="CJ246" i="14" s="1"/>
  <c r="CC253" i="3" s="1"/>
  <c r="BS246" i="14"/>
  <c r="BV246" i="14"/>
  <c r="BX246" i="14" s="1"/>
  <c r="CK246" i="14" s="1"/>
  <c r="CD253" i="3" s="1"/>
  <c r="AY247" i="14"/>
  <c r="CF247" i="14" s="1"/>
  <c r="BQ247" i="14"/>
  <c r="BR247" i="14" s="1"/>
  <c r="AW254" i="3"/>
  <c r="AA501" i="14"/>
  <c r="AV501" i="14" s="1"/>
  <c r="BM501" i="14"/>
  <c r="BC501" i="14"/>
  <c r="BD501" i="14" s="1"/>
  <c r="AB501" i="14"/>
  <c r="BB501" i="14"/>
  <c r="BI501" i="14"/>
  <c r="BJ501" i="14" s="1"/>
  <c r="AD501" i="14"/>
  <c r="BT499" i="14"/>
  <c r="BW499" i="14" s="1"/>
  <c r="BV499" i="14"/>
  <c r="BX499" i="14" s="1"/>
  <c r="CA499" i="14"/>
  <c r="CB499" i="14" s="1"/>
  <c r="AV500" i="14"/>
  <c r="CH498" i="14"/>
  <c r="CM498" i="14" s="1"/>
  <c r="BB254" i="3" s="1"/>
  <c r="CF498" i="14"/>
  <c r="CK498" i="14" s="1"/>
  <c r="BA254" i="3" s="1"/>
  <c r="CE498" i="14"/>
  <c r="CJ498" i="14" s="1"/>
  <c r="AZ254" i="3" s="1"/>
  <c r="BZ499" i="14"/>
  <c r="BS499" i="14"/>
  <c r="BU499" i="14"/>
  <c r="CH497" i="14"/>
  <c r="CM497" i="14" s="1"/>
  <c r="BB253" i="3" s="1"/>
  <c r="Z502" i="14"/>
  <c r="AE502" i="14"/>
  <c r="Z251" i="14"/>
  <c r="AE251" i="14"/>
  <c r="AK249" i="14"/>
  <c r="AL249" i="14" s="1"/>
  <c r="AM249" i="14" s="1"/>
  <c r="AN249" i="14" s="1"/>
  <c r="AO249" i="14" s="1"/>
  <c r="AP249" i="14" s="1"/>
  <c r="AQ249" i="14"/>
  <c r="AR249" i="14" s="1"/>
  <c r="AS249" i="14" s="1"/>
  <c r="AT249" i="14" s="1"/>
  <c r="AU249" i="14" s="1"/>
  <c r="AC249" i="14"/>
  <c r="AZ249" i="14"/>
  <c r="AF249" i="14"/>
  <c r="AG249" i="14" s="1"/>
  <c r="AH249" i="14" s="1"/>
  <c r="AI249" i="14" s="1"/>
  <c r="AJ249" i="14" s="1"/>
  <c r="BA249" i="14"/>
  <c r="BK249" i="14" s="1"/>
  <c r="BN249" i="14"/>
  <c r="BO249" i="14" s="1"/>
  <c r="AB250" i="14"/>
  <c r="BM250" i="14"/>
  <c r="BB250" i="14"/>
  <c r="AA250" i="14"/>
  <c r="AV250" i="14" s="1"/>
  <c r="AD250" i="14"/>
  <c r="BI250" i="14"/>
  <c r="BJ250" i="14" s="1"/>
  <c r="BC250" i="14"/>
  <c r="BD250" i="14" s="1"/>
  <c r="CE497" i="14"/>
  <c r="CJ497" i="14" s="1"/>
  <c r="AZ253" i="3" s="1"/>
  <c r="CD248" i="14"/>
  <c r="BE248" i="14"/>
  <c r="BG248" i="14" s="1"/>
  <c r="AG248" i="14"/>
  <c r="AH248" i="14" s="1"/>
  <c r="AI248" i="14" s="1"/>
  <c r="AJ248" i="14" s="1"/>
  <c r="AW499" i="14"/>
  <c r="AY499" i="14" s="1"/>
  <c r="AF500" i="14"/>
  <c r="AG500" i="14" s="1"/>
  <c r="AH500" i="14" s="1"/>
  <c r="AI500" i="14" s="1"/>
  <c r="AJ500" i="14" s="1"/>
  <c r="BA500" i="14"/>
  <c r="BK500" i="14" s="1"/>
  <c r="AK500" i="14"/>
  <c r="AL500" i="14" s="1"/>
  <c r="AM500" i="14" s="1"/>
  <c r="AN500" i="14" s="1"/>
  <c r="AO500" i="14" s="1"/>
  <c r="AP500" i="14" s="1"/>
  <c r="AQ500" i="14"/>
  <c r="AR500" i="14" s="1"/>
  <c r="AS500" i="14" s="1"/>
  <c r="AT500" i="14" s="1"/>
  <c r="AU500" i="14" s="1"/>
  <c r="AC500" i="14"/>
  <c r="AZ500" i="14"/>
  <c r="CD499" i="14"/>
  <c r="BE499" i="14"/>
  <c r="BG499" i="14" s="1"/>
  <c r="BQ500" i="14"/>
  <c r="BR500" i="14" s="1"/>
  <c r="BN500" i="14"/>
  <c r="BO500" i="14" s="1"/>
  <c r="AV249" i="14"/>
  <c r="C255" i="25"/>
  <c r="C255" i="26"/>
  <c r="BI257" i="3"/>
  <c r="D254" i="26"/>
  <c r="D254" i="25"/>
  <c r="BG257" i="3"/>
  <c r="BM257" i="3" s="1"/>
  <c r="BH257" i="3"/>
  <c r="BE257" i="3"/>
  <c r="CF258" i="3"/>
  <c r="CK257" i="3"/>
  <c r="BR255" i="3"/>
  <c r="BJ256" i="3"/>
  <c r="BP256" i="3" s="1"/>
  <c r="BC257" i="3"/>
  <c r="BN257" i="3" s="1"/>
  <c r="CJ257" i="3"/>
  <c r="AV257" i="3" s="1"/>
  <c r="BY258" i="3"/>
  <c r="BF256" i="3"/>
  <c r="BQ256" i="3" s="1"/>
  <c r="D258" i="3"/>
  <c r="BO256" i="3"/>
  <c r="AU256" i="3" s="1"/>
  <c r="C259" i="3"/>
  <c r="AY258" i="3"/>
  <c r="AJ258" i="3"/>
  <c r="R255" i="26" s="1"/>
  <c r="BK258" i="3"/>
  <c r="BL258" i="3"/>
  <c r="AG258" i="3"/>
  <c r="O255" i="26" s="1"/>
  <c r="AI258" i="3"/>
  <c r="Q255" i="26" s="1"/>
  <c r="AH258" i="3"/>
  <c r="P255" i="26" s="1"/>
  <c r="BW258" i="3"/>
  <c r="CK258" i="3" s="1"/>
  <c r="CH247" i="14" l="1"/>
  <c r="BD258" i="3"/>
  <c r="CE247" i="14"/>
  <c r="BV259" i="3"/>
  <c r="BU259" i="3"/>
  <c r="BS247" i="14"/>
  <c r="BV247" i="14"/>
  <c r="BX247" i="14" s="1"/>
  <c r="CK247" i="14" s="1"/>
  <c r="CD254" i="3" s="1"/>
  <c r="BZ247" i="14"/>
  <c r="BT247" i="14"/>
  <c r="BW247" i="14" s="1"/>
  <c r="BU247" i="14"/>
  <c r="CA247" i="14"/>
  <c r="CB247" i="14" s="1"/>
  <c r="CM247" i="14" s="1"/>
  <c r="CG254" i="3" s="1"/>
  <c r="AW255" i="3"/>
  <c r="AX250" i="14"/>
  <c r="BZ500" i="14"/>
  <c r="BS500" i="14"/>
  <c r="BU500" i="14"/>
  <c r="AW249" i="14"/>
  <c r="BM502" i="14"/>
  <c r="AB502" i="14"/>
  <c r="BB502" i="14"/>
  <c r="AD502" i="14"/>
  <c r="BC502" i="14"/>
  <c r="BD502" i="14" s="1"/>
  <c r="BI502" i="14"/>
  <c r="BJ502" i="14" s="1"/>
  <c r="AA502" i="14"/>
  <c r="AX502" i="14" s="1"/>
  <c r="CD249" i="14"/>
  <c r="BE249" i="14"/>
  <c r="BG249" i="14" s="1"/>
  <c r="BN501" i="14"/>
  <c r="BO501" i="14" s="1"/>
  <c r="BQ501" i="14"/>
  <c r="BR501" i="14" s="1"/>
  <c r="CD500" i="14"/>
  <c r="BE500" i="14"/>
  <c r="BG500" i="14" s="1"/>
  <c r="BM251" i="14"/>
  <c r="BI251" i="14"/>
  <c r="BJ251" i="14" s="1"/>
  <c r="AA251" i="14"/>
  <c r="BC251" i="14"/>
  <c r="BD251" i="14" s="1"/>
  <c r="AB251" i="14"/>
  <c r="AD251" i="14"/>
  <c r="BB251" i="14"/>
  <c r="AW248" i="14"/>
  <c r="AK501" i="14"/>
  <c r="AL501" i="14" s="1"/>
  <c r="AM501" i="14" s="1"/>
  <c r="AN501" i="14" s="1"/>
  <c r="AO501" i="14" s="1"/>
  <c r="AP501" i="14" s="1"/>
  <c r="BA501" i="14"/>
  <c r="BK501" i="14" s="1"/>
  <c r="AZ501" i="14"/>
  <c r="AC501" i="14"/>
  <c r="AQ501" i="14"/>
  <c r="AR501" i="14" s="1"/>
  <c r="AS501" i="14" s="1"/>
  <c r="AT501" i="14" s="1"/>
  <c r="AU501" i="14" s="1"/>
  <c r="AF501" i="14"/>
  <c r="AG501" i="14" s="1"/>
  <c r="AH501" i="14" s="1"/>
  <c r="AI501" i="14" s="1"/>
  <c r="AJ501" i="14" s="1"/>
  <c r="BT500" i="14"/>
  <c r="BW500" i="14" s="1"/>
  <c r="BV500" i="14"/>
  <c r="BX500" i="14" s="1"/>
  <c r="CA500" i="14"/>
  <c r="CB500" i="14" s="1"/>
  <c r="BN250" i="14"/>
  <c r="BO250" i="14" s="1"/>
  <c r="Z503" i="14"/>
  <c r="Z252" i="14"/>
  <c r="AE252" i="14"/>
  <c r="AE503" i="14"/>
  <c r="CF499" i="14"/>
  <c r="CK499" i="14" s="1"/>
  <c r="BA255" i="3" s="1"/>
  <c r="CE499" i="14"/>
  <c r="CJ499" i="14" s="1"/>
  <c r="AZ255" i="3" s="1"/>
  <c r="CH499" i="14"/>
  <c r="CM499" i="14" s="1"/>
  <c r="BB255" i="3" s="1"/>
  <c r="AW500" i="14"/>
  <c r="AY500" i="14" s="1"/>
  <c r="AK250" i="14"/>
  <c r="AL250" i="14" s="1"/>
  <c r="AM250" i="14" s="1"/>
  <c r="AN250" i="14" s="1"/>
  <c r="AO250" i="14" s="1"/>
  <c r="AP250" i="14" s="1"/>
  <c r="AF250" i="14"/>
  <c r="AG250" i="14" s="1"/>
  <c r="AH250" i="14" s="1"/>
  <c r="AI250" i="14" s="1"/>
  <c r="AJ250" i="14" s="1"/>
  <c r="AZ250" i="14"/>
  <c r="BA250" i="14"/>
  <c r="BK250" i="14" s="1"/>
  <c r="AC250" i="14"/>
  <c r="AQ250" i="14"/>
  <c r="AR250" i="14" s="1"/>
  <c r="AS250" i="14" s="1"/>
  <c r="AT250" i="14" s="1"/>
  <c r="AU250" i="14" s="1"/>
  <c r="AX501" i="14"/>
  <c r="BJ257" i="3"/>
  <c r="BP257" i="3" s="1"/>
  <c r="C256" i="26"/>
  <c r="C256" i="25"/>
  <c r="BI258" i="3"/>
  <c r="D255" i="26"/>
  <c r="D255" i="25"/>
  <c r="DD418" i="3"/>
  <c r="BH258" i="3"/>
  <c r="BG258" i="3"/>
  <c r="BM258" i="3" s="1"/>
  <c r="BE258" i="3"/>
  <c r="CF259" i="3"/>
  <c r="BR256" i="3"/>
  <c r="BC258" i="3"/>
  <c r="BN258" i="3" s="1"/>
  <c r="CI258" i="3"/>
  <c r="CJ258" i="3"/>
  <c r="AV258" i="3" s="1"/>
  <c r="BY259" i="3"/>
  <c r="BF257" i="3"/>
  <c r="BQ257" i="3" s="1"/>
  <c r="D259" i="3"/>
  <c r="BO257" i="3"/>
  <c r="AU257" i="3" s="1"/>
  <c r="BW259" i="3"/>
  <c r="CK259" i="3" s="1"/>
  <c r="AH259" i="3"/>
  <c r="P256" i="26" s="1"/>
  <c r="AY259" i="3"/>
  <c r="BK259" i="3"/>
  <c r="AG259" i="3"/>
  <c r="O256" i="26" s="1"/>
  <c r="AJ259" i="3"/>
  <c r="R256" i="26" s="1"/>
  <c r="BL259" i="3"/>
  <c r="AI259" i="3"/>
  <c r="Q256" i="26" s="1"/>
  <c r="BD259" i="3" l="1"/>
  <c r="CJ247" i="14"/>
  <c r="CC254" i="3" s="1"/>
  <c r="CF500" i="14"/>
  <c r="CK500" i="14" s="1"/>
  <c r="BA256" i="3" s="1"/>
  <c r="AW256" i="3"/>
  <c r="AY249" i="14"/>
  <c r="CF249" i="14" s="1"/>
  <c r="BQ249" i="14"/>
  <c r="BR249" i="14" s="1"/>
  <c r="AY248" i="14"/>
  <c r="CH248" i="14" s="1"/>
  <c r="BQ248" i="14"/>
  <c r="BR248" i="14" s="1"/>
  <c r="BM503" i="14"/>
  <c r="BB503" i="14"/>
  <c r="BI503" i="14"/>
  <c r="BJ503" i="14" s="1"/>
  <c r="AB503" i="14"/>
  <c r="AD503" i="14"/>
  <c r="BC503" i="14"/>
  <c r="BD503" i="14" s="1"/>
  <c r="AA503" i="14"/>
  <c r="AX503" i="14" s="1"/>
  <c r="AF251" i="14"/>
  <c r="AG251" i="14" s="1"/>
  <c r="AZ251" i="14"/>
  <c r="AK251" i="14"/>
  <c r="AL251" i="14" s="1"/>
  <c r="AM251" i="14" s="1"/>
  <c r="AN251" i="14" s="1"/>
  <c r="AO251" i="14" s="1"/>
  <c r="AP251" i="14" s="1"/>
  <c r="BA251" i="14"/>
  <c r="BK251" i="14" s="1"/>
  <c r="AC251" i="14"/>
  <c r="AQ251" i="14"/>
  <c r="AR251" i="14" s="1"/>
  <c r="AS251" i="14" s="1"/>
  <c r="AT251" i="14" s="1"/>
  <c r="AU251" i="14" s="1"/>
  <c r="CH500" i="14"/>
  <c r="CM500" i="14" s="1"/>
  <c r="BB256" i="3" s="1"/>
  <c r="CE500" i="14"/>
  <c r="CJ500" i="14" s="1"/>
  <c r="AZ256" i="3" s="1"/>
  <c r="AV251" i="14"/>
  <c r="CD501" i="14"/>
  <c r="BE501" i="14"/>
  <c r="BG501" i="14" s="1"/>
  <c r="BN251" i="14"/>
  <c r="BO251" i="14" s="1"/>
  <c r="BV501" i="14"/>
  <c r="BX501" i="14" s="1"/>
  <c r="BT501" i="14"/>
  <c r="BW501" i="14" s="1"/>
  <c r="CA501" i="14"/>
  <c r="CB501" i="14" s="1"/>
  <c r="CE249" i="14"/>
  <c r="AV502" i="14"/>
  <c r="AC502" i="14"/>
  <c r="AQ502" i="14"/>
  <c r="AR502" i="14" s="1"/>
  <c r="AS502" i="14" s="1"/>
  <c r="AT502" i="14" s="1"/>
  <c r="AU502" i="14" s="1"/>
  <c r="BA502" i="14"/>
  <c r="BK502" i="14" s="1"/>
  <c r="AF502" i="14"/>
  <c r="AK502" i="14"/>
  <c r="AL502" i="14" s="1"/>
  <c r="AM502" i="14" s="1"/>
  <c r="AN502" i="14" s="1"/>
  <c r="AO502" i="14" s="1"/>
  <c r="AP502" i="14" s="1"/>
  <c r="AZ502" i="14"/>
  <c r="BE250" i="14"/>
  <c r="BG250" i="14" s="1"/>
  <c r="CD250" i="14"/>
  <c r="CE248" i="14"/>
  <c r="AW250" i="14"/>
  <c r="BM252" i="14"/>
  <c r="AD252" i="14"/>
  <c r="BB252" i="14"/>
  <c r="AA252" i="14"/>
  <c r="AV252" i="14" s="1"/>
  <c r="AB252" i="14"/>
  <c r="BC252" i="14"/>
  <c r="BD252" i="14" s="1"/>
  <c r="BI252" i="14"/>
  <c r="BJ252" i="14" s="1"/>
  <c r="AW501" i="14"/>
  <c r="AY501" i="14" s="1"/>
  <c r="AX251" i="14"/>
  <c r="BS501" i="14"/>
  <c r="BZ501" i="14"/>
  <c r="BU501" i="14"/>
  <c r="BN502" i="14"/>
  <c r="BO502" i="14" s="1"/>
  <c r="BQ502" i="14"/>
  <c r="BR502" i="14" s="1"/>
  <c r="BR257" i="3"/>
  <c r="BI259" i="3"/>
  <c r="D256" i="26"/>
  <c r="D256" i="25"/>
  <c r="BG259" i="3"/>
  <c r="BM259" i="3" s="1"/>
  <c r="BH259" i="3"/>
  <c r="BE259" i="3"/>
  <c r="BJ258" i="3"/>
  <c r="BP258" i="3" s="1"/>
  <c r="BC259" i="3"/>
  <c r="BN259" i="3" s="1"/>
  <c r="CJ259" i="3"/>
  <c r="AV259" i="3" s="1"/>
  <c r="CI259" i="3"/>
  <c r="DD419" i="3"/>
  <c r="BF258" i="3"/>
  <c r="BQ258" i="3" s="1"/>
  <c r="BO258" i="3"/>
  <c r="AU258" i="3" s="1"/>
  <c r="CH249" i="14" l="1"/>
  <c r="CF248" i="14"/>
  <c r="BT249" i="14"/>
  <c r="BW249" i="14" s="1"/>
  <c r="BU249" i="14"/>
  <c r="BZ249" i="14"/>
  <c r="BV249" i="14"/>
  <c r="BX249" i="14" s="1"/>
  <c r="CK249" i="14" s="1"/>
  <c r="CD256" i="3" s="1"/>
  <c r="CA249" i="14"/>
  <c r="CB249" i="14" s="1"/>
  <c r="BS249" i="14"/>
  <c r="AY250" i="14"/>
  <c r="CH250" i="14" s="1"/>
  <c r="BQ250" i="14"/>
  <c r="BR250" i="14" s="1"/>
  <c r="CJ249" i="14"/>
  <c r="CC256" i="3" s="1"/>
  <c r="AW257" i="3"/>
  <c r="CA248" i="14"/>
  <c r="CB248" i="14" s="1"/>
  <c r="CM248" i="14" s="1"/>
  <c r="CG255" i="3" s="1"/>
  <c r="BZ248" i="14"/>
  <c r="BT248" i="14"/>
  <c r="BW248" i="14" s="1"/>
  <c r="BS248" i="14"/>
  <c r="BU248" i="14"/>
  <c r="BV248" i="14"/>
  <c r="BX248" i="14" s="1"/>
  <c r="CK248" i="14" s="1"/>
  <c r="CD255" i="3" s="1"/>
  <c r="CJ248" i="14"/>
  <c r="CC255" i="3" s="1"/>
  <c r="AV503" i="14"/>
  <c r="AX252" i="14"/>
  <c r="BN252" i="14"/>
  <c r="BO252" i="14" s="1"/>
  <c r="AC503" i="14"/>
  <c r="AZ503" i="14"/>
  <c r="AK503" i="14"/>
  <c r="AL503" i="14" s="1"/>
  <c r="AM503" i="14" s="1"/>
  <c r="AN503" i="14" s="1"/>
  <c r="AO503" i="14" s="1"/>
  <c r="AP503" i="14" s="1"/>
  <c r="AQ503" i="14"/>
  <c r="AR503" i="14" s="1"/>
  <c r="AS503" i="14" s="1"/>
  <c r="AT503" i="14" s="1"/>
  <c r="AU503" i="14" s="1"/>
  <c r="BA503" i="14"/>
  <c r="BK503" i="14" s="1"/>
  <c r="AF503" i="14"/>
  <c r="CF501" i="14"/>
  <c r="CK501" i="14" s="1"/>
  <c r="BA257" i="3" s="1"/>
  <c r="CE501" i="14"/>
  <c r="CJ501" i="14" s="1"/>
  <c r="AZ257" i="3" s="1"/>
  <c r="CH501" i="14"/>
  <c r="CM501" i="14" s="1"/>
  <c r="BB257" i="3" s="1"/>
  <c r="BQ503" i="14"/>
  <c r="BR503" i="14" s="1"/>
  <c r="BN503" i="14"/>
  <c r="BO503" i="14" s="1"/>
  <c r="BT502" i="14"/>
  <c r="BW502" i="14" s="1"/>
  <c r="BV502" i="14"/>
  <c r="BX502" i="14" s="1"/>
  <c r="CA502" i="14"/>
  <c r="CB502" i="14" s="1"/>
  <c r="AF252" i="14"/>
  <c r="AZ252" i="14"/>
  <c r="AK252" i="14"/>
  <c r="AL252" i="14" s="1"/>
  <c r="AM252" i="14" s="1"/>
  <c r="AN252" i="14" s="1"/>
  <c r="AO252" i="14" s="1"/>
  <c r="AP252" i="14" s="1"/>
  <c r="BA252" i="14"/>
  <c r="BK252" i="14" s="1"/>
  <c r="AC252" i="14"/>
  <c r="AQ252" i="14"/>
  <c r="AR252" i="14" s="1"/>
  <c r="AS252" i="14" s="1"/>
  <c r="AT252" i="14" s="1"/>
  <c r="AU252" i="14" s="1"/>
  <c r="BE502" i="14"/>
  <c r="BG502" i="14" s="1"/>
  <c r="CD502" i="14"/>
  <c r="CD251" i="14"/>
  <c r="BE251" i="14"/>
  <c r="BG251" i="14" s="1"/>
  <c r="BZ502" i="14"/>
  <c r="BU502" i="14"/>
  <c r="BS502" i="14"/>
  <c r="AG502" i="14"/>
  <c r="AH502" i="14" s="1"/>
  <c r="AI502" i="14" s="1"/>
  <c r="AJ502" i="14" s="1"/>
  <c r="AH251" i="14"/>
  <c r="AI251" i="14" s="1"/>
  <c r="AJ251" i="14" s="1"/>
  <c r="BR258" i="3"/>
  <c r="BJ259" i="3"/>
  <c r="BP259" i="3" s="1"/>
  <c r="BF259" i="3"/>
  <c r="BQ259" i="3" s="1"/>
  <c r="F32" i="6"/>
  <c r="L31" i="6" s="1"/>
  <c r="BO259" i="3"/>
  <c r="AU259" i="3" s="1"/>
  <c r="CM249" i="14" l="1"/>
  <c r="CG256" i="3" s="1"/>
  <c r="CF250" i="14"/>
  <c r="CE250" i="14"/>
  <c r="BS250" i="14"/>
  <c r="BZ250" i="14"/>
  <c r="BV250" i="14"/>
  <c r="BX250" i="14" s="1"/>
  <c r="CA250" i="14"/>
  <c r="CB250" i="14" s="1"/>
  <c r="CM250" i="14" s="1"/>
  <c r="CG257" i="3" s="1"/>
  <c r="BU250" i="14"/>
  <c r="BT250" i="14"/>
  <c r="BW250" i="14" s="1"/>
  <c r="AW258" i="3"/>
  <c r="AW502" i="14"/>
  <c r="AY502" i="14" s="1"/>
  <c r="CH502" i="14" s="1"/>
  <c r="CM502" i="14" s="1"/>
  <c r="BB258" i="3" s="1"/>
  <c r="AG252" i="14"/>
  <c r="AH252" i="14" s="1"/>
  <c r="AI252" i="14" s="1"/>
  <c r="AJ252" i="14" s="1"/>
  <c r="BZ503" i="14"/>
  <c r="BU503" i="14"/>
  <c r="BS503" i="14"/>
  <c r="AG503" i="14"/>
  <c r="AH503" i="14" s="1"/>
  <c r="AI503" i="14" s="1"/>
  <c r="AJ503" i="14" s="1"/>
  <c r="CD503" i="14"/>
  <c r="BE503" i="14"/>
  <c r="BG503" i="14" s="1"/>
  <c r="CA503" i="14"/>
  <c r="CB503" i="14" s="1"/>
  <c r="BT503" i="14"/>
  <c r="BW503" i="14" s="1"/>
  <c r="BV503" i="14"/>
  <c r="BX503" i="14" s="1"/>
  <c r="AW251" i="14"/>
  <c r="BE252" i="14"/>
  <c r="BG252" i="14" s="1"/>
  <c r="CD252" i="14"/>
  <c r="BR259" i="3"/>
  <c r="AU261" i="3"/>
  <c r="AU5" i="3" s="1"/>
  <c r="C16" i="6" s="1"/>
  <c r="E16" i="6" s="1"/>
  <c r="C32" i="6"/>
  <c r="CK250" i="14" l="1"/>
  <c r="CD257" i="3" s="1"/>
  <c r="CJ250" i="14"/>
  <c r="CC257" i="3" s="1"/>
  <c r="AY251" i="14"/>
  <c r="CH251" i="14" s="1"/>
  <c r="BQ251" i="14"/>
  <c r="BR251" i="14" s="1"/>
  <c r="CF502" i="14"/>
  <c r="CK502" i="14" s="1"/>
  <c r="BA258" i="3" s="1"/>
  <c r="CE502" i="14"/>
  <c r="CJ502" i="14" s="1"/>
  <c r="AZ258" i="3" s="1"/>
  <c r="CF251" i="14"/>
  <c r="AW252" i="14"/>
  <c r="AW503" i="14"/>
  <c r="AY503" i="14" s="1"/>
  <c r="CE503" i="14" s="1"/>
  <c r="CJ503" i="14" s="1"/>
  <c r="AZ259" i="3" s="1"/>
  <c r="AV261" i="3"/>
  <c r="AV5" i="3" s="1"/>
  <c r="F16" i="6" s="1"/>
  <c r="I31" i="6"/>
  <c r="K31" i="6" s="1"/>
  <c r="E32" i="6"/>
  <c r="CE251" i="14" l="1"/>
  <c r="AY252" i="14"/>
  <c r="CF252" i="14" s="1"/>
  <c r="BQ252" i="14"/>
  <c r="BR252" i="14" s="1"/>
  <c r="BZ251" i="14"/>
  <c r="BV251" i="14"/>
  <c r="BX251" i="14" s="1"/>
  <c r="CK251" i="14" s="1"/>
  <c r="CD258" i="3" s="1"/>
  <c r="BU251" i="14"/>
  <c r="CA251" i="14"/>
  <c r="CB251" i="14" s="1"/>
  <c r="CM251" i="14" s="1"/>
  <c r="CG258" i="3" s="1"/>
  <c r="BT251" i="14"/>
  <c r="BW251" i="14" s="1"/>
  <c r="BS251" i="14"/>
  <c r="CH252" i="14"/>
  <c r="CH503" i="14"/>
  <c r="CM503" i="14" s="1"/>
  <c r="BB259" i="3" s="1"/>
  <c r="CF503" i="14"/>
  <c r="CK503" i="14" s="1"/>
  <c r="BA259" i="3" s="1"/>
  <c r="AW259" i="3"/>
  <c r="AW261" i="3" s="1"/>
  <c r="AW5" i="3" s="1"/>
  <c r="AZ59" i="3"/>
  <c r="BA59" i="3"/>
  <c r="BB59" i="3"/>
  <c r="CJ251" i="14" l="1"/>
  <c r="CC258" i="3" s="1"/>
  <c r="CE252" i="14"/>
  <c r="CA252" i="14"/>
  <c r="CB252" i="14" s="1"/>
  <c r="CM252" i="14" s="1"/>
  <c r="CG259" i="3" s="1"/>
  <c r="BS252" i="14"/>
  <c r="BZ252" i="14"/>
  <c r="BT252" i="14"/>
  <c r="BW252" i="14" s="1"/>
  <c r="BV252" i="14"/>
  <c r="BX252" i="14" s="1"/>
  <c r="CK252" i="14" s="1"/>
  <c r="CD259" i="3" s="1"/>
  <c r="BU252" i="14"/>
  <c r="CG59" i="3"/>
  <c r="CD59" i="3"/>
  <c r="CC59" i="3"/>
  <c r="CJ252" i="14" l="1"/>
  <c r="CC259" i="3" s="1"/>
</calcChain>
</file>

<file path=xl/sharedStrings.xml><?xml version="1.0" encoding="utf-8"?>
<sst xmlns="http://schemas.openxmlformats.org/spreadsheetml/2006/main" count="7984" uniqueCount="704">
  <si>
    <t>General Guidelines:</t>
  </si>
  <si>
    <t>Project Name:</t>
  </si>
  <si>
    <t>Sponsor Name:</t>
  </si>
  <si>
    <t>Project Site Address:</t>
  </si>
  <si>
    <t>Total kW Savings</t>
  </si>
  <si>
    <t>Total kWh Savings</t>
  </si>
  <si>
    <t>If you need more rows, please contact program administrator.</t>
  </si>
  <si>
    <t>Savings Summary</t>
  </si>
  <si>
    <t>Winter
kW Savings</t>
  </si>
  <si>
    <t>Summer
kW Savings</t>
  </si>
  <si>
    <t>Total Summer
kW Savings</t>
  </si>
  <si>
    <t>Total Winter
kW Savings</t>
  </si>
  <si>
    <t>Total
kWh Savings</t>
  </si>
  <si>
    <t xml:space="preserve"> Claimed Savings by Measure</t>
  </si>
  <si>
    <t>Claimed
Project Savings</t>
  </si>
  <si>
    <t>Total
kW Savings</t>
  </si>
  <si>
    <t>Total Calculated
Project Savings</t>
  </si>
  <si>
    <t>El Paso Electric</t>
  </si>
  <si>
    <t>City:</t>
  </si>
  <si>
    <t>State:</t>
  </si>
  <si>
    <t>ZIP:</t>
  </si>
  <si>
    <t>ACE Version</t>
  </si>
  <si>
    <t>Utility Name:</t>
  </si>
  <si>
    <t>Building Type</t>
  </si>
  <si>
    <t>Public Assembly</t>
  </si>
  <si>
    <t>Hospital</t>
  </si>
  <si>
    <t>Retail</t>
  </si>
  <si>
    <t>Warehouse</t>
  </si>
  <si>
    <t>Office (Large)</t>
  </si>
  <si>
    <t>Office (Small)</t>
  </si>
  <si>
    <t>Air Cooled
Chiller</t>
  </si>
  <si>
    <t>Water Cooled
Chiller</t>
  </si>
  <si>
    <t>DX AC
Air Cooled</t>
  </si>
  <si>
    <t>DX HP
Air Cooled</t>
  </si>
  <si>
    <t>Replace-on-Burnout</t>
  </si>
  <si>
    <t>Building Type
(select from list)</t>
  </si>
  <si>
    <t>Total kW
Savings</t>
  </si>
  <si>
    <t>Total kWh
Savings</t>
  </si>
  <si>
    <t>Pre-Retrofit Equipment</t>
  </si>
  <si>
    <t>Manufacturer</t>
  </si>
  <si>
    <t># of
Units</t>
  </si>
  <si>
    <t>Rating
Type</t>
  </si>
  <si>
    <t>Manf.
Year</t>
  </si>
  <si>
    <t>Water Cooled Chiller</t>
  </si>
  <si>
    <t>Air Cooled Chiller</t>
  </si>
  <si>
    <t>SEER</t>
  </si>
  <si>
    <t>kW/ton</t>
  </si>
  <si>
    <t>PTAC</t>
  </si>
  <si>
    <t>PTHP</t>
  </si>
  <si>
    <t>System
Type</t>
  </si>
  <si>
    <t>EER</t>
  </si>
  <si>
    <t>Capacity
Min
(Tons)</t>
  </si>
  <si>
    <t>Capacity
Max
(Tons)</t>
  </si>
  <si>
    <t>DX AC Air Cooled</t>
  </si>
  <si>
    <t>DX HP Air Cooled</t>
  </si>
  <si>
    <t>Centrifugal</t>
  </si>
  <si>
    <t>Capacity
Range</t>
  </si>
  <si>
    <t>Application</t>
  </si>
  <si>
    <t>Early Retirement</t>
  </si>
  <si>
    <t>New Construction</t>
  </si>
  <si>
    <t>Scroll</t>
  </si>
  <si>
    <t>Screw</t>
  </si>
  <si>
    <t>Config.
ID #</t>
  </si>
  <si>
    <t>A</t>
  </si>
  <si>
    <t>B</t>
  </si>
  <si>
    <t>C</t>
  </si>
  <si>
    <t>D</t>
  </si>
  <si>
    <t>Line
Item #</t>
  </si>
  <si>
    <t>Chiller
Comp. Type</t>
  </si>
  <si>
    <t>Reverse
Cycle?</t>
  </si>
  <si>
    <t>Louvered
Sides?</t>
  </si>
  <si>
    <t>E</t>
  </si>
  <si>
    <t>F</t>
  </si>
  <si>
    <t>Yes</t>
  </si>
  <si>
    <t>No</t>
  </si>
  <si>
    <t>Chillers
ONLY</t>
  </si>
  <si>
    <t>Compressor
Type</t>
  </si>
  <si>
    <t>-</t>
  </si>
  <si>
    <t>Room AC/HP
w/o RC, w/ LS</t>
  </si>
  <si>
    <t>Room AC/HP
w/o RC &amp; LS</t>
  </si>
  <si>
    <t>Room AC/HP
w/ RC &amp; LS</t>
  </si>
  <si>
    <t>Room AC/HP
w/ RC, w/o LS</t>
  </si>
  <si>
    <t>Air Cooled
Centrifigal/
Screw/Scroll</t>
  </si>
  <si>
    <t>Water Cooled
Centrifigal</t>
  </si>
  <si>
    <t>Water Cooled
Screw/Scroll</t>
  </si>
  <si>
    <t>CAP
(Tons)</t>
  </si>
  <si>
    <t>PTAC NC</t>
  </si>
  <si>
    <t>PTAC Retrofit</t>
  </si>
  <si>
    <t>PTHP NC</t>
  </si>
  <si>
    <t>PTHP Retrofit</t>
  </si>
  <si>
    <t>a</t>
  </si>
  <si>
    <t>b</t>
  </si>
  <si>
    <t>c</t>
  </si>
  <si>
    <t>d</t>
  </si>
  <si>
    <t>e</t>
  </si>
  <si>
    <t>f</t>
  </si>
  <si>
    <t>g</t>
  </si>
  <si>
    <t>aaaaa1</t>
  </si>
  <si>
    <t>aaaaa2</t>
  </si>
  <si>
    <t>aaaaa3</t>
  </si>
  <si>
    <t>aaaaa4</t>
  </si>
  <si>
    <t>aaaaa5</t>
  </si>
  <si>
    <t>abaaa6</t>
  </si>
  <si>
    <t>abaaa7</t>
  </si>
  <si>
    <t>abaaa8</t>
  </si>
  <si>
    <t>abaaa9</t>
  </si>
  <si>
    <t>caaaa1</t>
  </si>
  <si>
    <t>caaaa2</t>
  </si>
  <si>
    <t>caaaa3</t>
  </si>
  <si>
    <t>caaaa4</t>
  </si>
  <si>
    <t>caaaa5</t>
  </si>
  <si>
    <t>cbaaa6</t>
  </si>
  <si>
    <t>cbaaa7</t>
  </si>
  <si>
    <t>cbaaa8</t>
  </si>
  <si>
    <t>cbaaa9</t>
  </si>
  <si>
    <t>aeacb15</t>
  </si>
  <si>
    <t>aeacb16</t>
  </si>
  <si>
    <t>aeacb17</t>
  </si>
  <si>
    <t>ceacb15</t>
  </si>
  <si>
    <t>ceacb16</t>
  </si>
  <si>
    <t>ceacb17</t>
  </si>
  <si>
    <t>aeacc20</t>
  </si>
  <si>
    <t>aeacb18</t>
  </si>
  <si>
    <t>aeacc21</t>
  </si>
  <si>
    <t>ceacb18</t>
  </si>
  <si>
    <t>ceacc20</t>
  </si>
  <si>
    <t>ceacc21</t>
  </si>
  <si>
    <t>All
Systems
11.25-20
Tons</t>
  </si>
  <si>
    <t>All
Systems
5.4-11.25
Tons</t>
  </si>
  <si>
    <t>Packaged
Systems
&lt; 5.4
Tons</t>
  </si>
  <si>
    <t>Split
Systems
&lt; 5.4
Tons</t>
  </si>
  <si>
    <t>All
Systems
20-63.3
Tons</t>
  </si>
  <si>
    <r>
      <t xml:space="preserve">All
Systems
</t>
    </r>
    <r>
      <rPr>
        <b/>
        <u/>
        <sz val="11"/>
        <color indexed="8"/>
        <rFont val="Calibri"/>
        <family val="2"/>
      </rPr>
      <t>&gt;</t>
    </r>
    <r>
      <rPr>
        <b/>
        <sz val="11"/>
        <color indexed="8"/>
        <rFont val="Calibri"/>
        <family val="2"/>
      </rPr>
      <t xml:space="preserve"> 63.3
Tons</t>
    </r>
  </si>
  <si>
    <t>Commercial A/C Evaluator Survey Form (ACE)</t>
  </si>
  <si>
    <t>Air Cooled Chillers</t>
  </si>
  <si>
    <t>Water Cooled Chillers</t>
  </si>
  <si>
    <t>PTAC/
PTHP</t>
  </si>
  <si>
    <t>Split/
Packaged?</t>
  </si>
  <si>
    <t>Split</t>
  </si>
  <si>
    <t>Packaged</t>
  </si>
  <si>
    <t>G</t>
  </si>
  <si>
    <t>Split/
Packaged</t>
  </si>
  <si>
    <t>s</t>
  </si>
  <si>
    <t>p</t>
  </si>
  <si>
    <t>PTAC?</t>
  </si>
  <si>
    <t>ER?</t>
  </si>
  <si>
    <t>Other?</t>
  </si>
  <si>
    <t>Centrifugal
150-300 Tons</t>
  </si>
  <si>
    <t>Screw/Scroll
&lt; 150 Tons</t>
  </si>
  <si>
    <t>Screw/Scroll
150-300 Tons</t>
  </si>
  <si>
    <t>Capacity
Lookup #</t>
  </si>
  <si>
    <t>SysType</t>
  </si>
  <si>
    <t>Lookup #</t>
  </si>
  <si>
    <t>FG</t>
  </si>
  <si>
    <t>1s</t>
  </si>
  <si>
    <t>1p</t>
  </si>
  <si>
    <t>6s</t>
  </si>
  <si>
    <t>6p</t>
  </si>
  <si>
    <t>cbaaa10</t>
  </si>
  <si>
    <t>abaaa10</t>
  </si>
  <si>
    <t>aeacb19</t>
  </si>
  <si>
    <t>aeacc22</t>
  </si>
  <si>
    <t>ceacb19</t>
  </si>
  <si>
    <t>ceacc22</t>
  </si>
  <si>
    <t>Year
Lookup</t>
  </si>
  <si>
    <t>2x</t>
  </si>
  <si>
    <t>3x</t>
  </si>
  <si>
    <t>4x</t>
  </si>
  <si>
    <t>5x</t>
  </si>
  <si>
    <t>7x</t>
  </si>
  <si>
    <t>41x</t>
  </si>
  <si>
    <t>40x</t>
  </si>
  <si>
    <t>39x</t>
  </si>
  <si>
    <t>31x</t>
  </si>
  <si>
    <t>30x</t>
  </si>
  <si>
    <t>29x</t>
  </si>
  <si>
    <t>10x</t>
  </si>
  <si>
    <t>9x</t>
  </si>
  <si>
    <t>8x</t>
  </si>
  <si>
    <t>x</t>
  </si>
  <si>
    <t>Weather Zone:</t>
  </si>
  <si>
    <t>Weather Zone 5: El Paso</t>
  </si>
  <si>
    <t>Deemed Savings Coefficients</t>
  </si>
  <si>
    <t>Weather Zone 4: Brownsville</t>
  </si>
  <si>
    <t>Weather Zone 3: Houston</t>
  </si>
  <si>
    <t>Weather Zone 2: Fort Worth</t>
  </si>
  <si>
    <t>Weather Zone 1: Amarillo</t>
  </si>
  <si>
    <t>Weather Zones:</t>
  </si>
  <si>
    <t>System Type
Lookup</t>
  </si>
  <si>
    <t>System Type</t>
  </si>
  <si>
    <t>Room HP</t>
  </si>
  <si>
    <t>Room AC</t>
  </si>
  <si>
    <t>h</t>
  </si>
  <si>
    <t>agbaa29</t>
  </si>
  <si>
    <t>agbaa30</t>
  </si>
  <si>
    <t>agbaa31</t>
  </si>
  <si>
    <t>agcaa29</t>
  </si>
  <si>
    <t>agcaa30</t>
  </si>
  <si>
    <t>cgbaa29</t>
  </si>
  <si>
    <t>cgbaa30</t>
  </si>
  <si>
    <t>cgbaa31</t>
  </si>
  <si>
    <t>cgcaa29</t>
  </si>
  <si>
    <t>cgcaa30</t>
  </si>
  <si>
    <t>cgcaa31</t>
  </si>
  <si>
    <t>agcaa31</t>
  </si>
  <si>
    <t>agdaa29</t>
  </si>
  <si>
    <t>agdaa30</t>
  </si>
  <si>
    <t>agdaa31</t>
  </si>
  <si>
    <t>ahbaa34</t>
  </si>
  <si>
    <t>ahbaa35</t>
  </si>
  <si>
    <t>ahbaa36</t>
  </si>
  <si>
    <t>ahcaa39</t>
  </si>
  <si>
    <t>ahcaa40</t>
  </si>
  <si>
    <t>ahcaa41</t>
  </si>
  <si>
    <t>ahdaa39</t>
  </si>
  <si>
    <t>ahdaa40</t>
  </si>
  <si>
    <t>ahdaa41</t>
  </si>
  <si>
    <t>cgdaa29</t>
  </si>
  <si>
    <t>cgdaa30</t>
  </si>
  <si>
    <t>cgdaa31</t>
  </si>
  <si>
    <t>chbaa34</t>
  </si>
  <si>
    <t>chbaa35</t>
  </si>
  <si>
    <t>chbaa36</t>
  </si>
  <si>
    <t>chcaa39</t>
  </si>
  <si>
    <t>chcaa40</t>
  </si>
  <si>
    <t>chcaa41</t>
  </si>
  <si>
    <t>chdaa39</t>
  </si>
  <si>
    <t>chdaa40</t>
  </si>
  <si>
    <t>chdaa41</t>
  </si>
  <si>
    <t>afacb15</t>
  </si>
  <si>
    <t>afacb16</t>
  </si>
  <si>
    <t>afacb17</t>
  </si>
  <si>
    <t>afacb18</t>
  </si>
  <si>
    <t>afacb19</t>
  </si>
  <si>
    <t>afacc20</t>
  </si>
  <si>
    <t>afacc21</t>
  </si>
  <si>
    <t>afacc22</t>
  </si>
  <si>
    <t>cfacb15</t>
  </si>
  <si>
    <t>cfacb16</t>
  </si>
  <si>
    <t>cfacb17</t>
  </si>
  <si>
    <t>cfacb18</t>
  </si>
  <si>
    <t>cfacb19</t>
  </si>
  <si>
    <t>cfacc20</t>
  </si>
  <si>
    <t>cfacc21</t>
  </si>
  <si>
    <t>cfacc22</t>
  </si>
  <si>
    <t>OfficeLg</t>
  </si>
  <si>
    <t>OfficeSm</t>
  </si>
  <si>
    <t>EUL
System Type</t>
  </si>
  <si>
    <t>PTAC/PTHP</t>
  </si>
  <si>
    <t>Room AC/HP</t>
  </si>
  <si>
    <t>DX Air Cooled AC/HP</t>
  </si>
  <si>
    <t>Calculated Savings by Measure</t>
  </si>
  <si>
    <t>Gray shaded cells are either automatically calculated, or no user input is required.</t>
  </si>
  <si>
    <t>Section 1     Project Information tab</t>
  </si>
  <si>
    <t>Section 2     Inventory tab</t>
  </si>
  <si>
    <t>Section 3     Summary tab</t>
  </si>
  <si>
    <t>Calculated savings and project information displays here based on user input. If project savings do not appear, check the Project Info and/or Inventory tabs to verify that all required inputs have been provided.</t>
  </si>
  <si>
    <t>Centrifugal Chiller</t>
  </si>
  <si>
    <t>Screw Chiller</t>
  </si>
  <si>
    <t>Scroll Chiller</t>
  </si>
  <si>
    <t>31xc</t>
  </si>
  <si>
    <t>30xc</t>
  </si>
  <si>
    <t>29xc</t>
  </si>
  <si>
    <t>Cent.
Chiller?</t>
  </si>
  <si>
    <t>Screw/Scroll
&gt; 150 Tons</t>
  </si>
  <si>
    <t>?</t>
  </si>
  <si>
    <t>Centrifugal
75-150 Tons</t>
  </si>
  <si>
    <t>Centrifugal
&lt; 75 Tons</t>
  </si>
  <si>
    <r>
      <t xml:space="preserve">Centrifugal
</t>
    </r>
    <r>
      <rPr>
        <b/>
        <u/>
        <sz val="10"/>
        <rFont val="Arial"/>
        <family val="2"/>
      </rPr>
      <t>&gt;</t>
    </r>
    <r>
      <rPr>
        <b/>
        <sz val="10"/>
        <rFont val="Arial"/>
        <family val="2"/>
      </rPr>
      <t xml:space="preserve"> 600 Tons</t>
    </r>
  </si>
  <si>
    <r>
      <t xml:space="preserve">Centrifugal
</t>
    </r>
    <r>
      <rPr>
        <b/>
        <sz val="11"/>
        <color indexed="8"/>
        <rFont val="Calibri"/>
        <family val="2"/>
      </rPr>
      <t>300-600 Tons</t>
    </r>
  </si>
  <si>
    <t>Screw/Scroll
75-150 Tons</t>
  </si>
  <si>
    <t>Screw/Scroll
&lt; 75 Tons</t>
  </si>
  <si>
    <t>Screw/Scroll
300-600 Tons</t>
  </si>
  <si>
    <r>
      <t xml:space="preserve">Screw/Scroll
</t>
    </r>
    <r>
      <rPr>
        <b/>
        <u/>
        <sz val="11"/>
        <color indexed="8"/>
        <rFont val="Calibri"/>
        <family val="2"/>
      </rPr>
      <t>&gt;</t>
    </r>
    <r>
      <rPr>
        <b/>
        <sz val="11"/>
        <color indexed="8"/>
        <rFont val="Calibri"/>
        <family val="2"/>
      </rPr>
      <t xml:space="preserve"> 600 Tons</t>
    </r>
  </si>
  <si>
    <t>32xc</t>
  </si>
  <si>
    <t>33xc</t>
  </si>
  <si>
    <t>34xc</t>
  </si>
  <si>
    <t>35xc</t>
  </si>
  <si>
    <t>36xc</t>
  </si>
  <si>
    <t>Centrifugal
&lt; 150 Tons</t>
  </si>
  <si>
    <r>
      <t xml:space="preserve">Centrifugal
</t>
    </r>
    <r>
      <rPr>
        <b/>
        <u/>
        <sz val="11"/>
        <color indexed="8"/>
        <rFont val="Calibri"/>
        <family val="2"/>
      </rPr>
      <t>&gt;</t>
    </r>
    <r>
      <rPr>
        <b/>
        <sz val="11"/>
        <color indexed="8"/>
        <rFont val="Calibri"/>
        <family val="2"/>
      </rPr>
      <t xml:space="preserve"> 150 Tons</t>
    </r>
  </si>
  <si>
    <t>Project Type
(select from list)</t>
  </si>
  <si>
    <t>Installed Equipment</t>
  </si>
  <si>
    <r>
      <t xml:space="preserve">The </t>
    </r>
    <r>
      <rPr>
        <b/>
        <sz val="11"/>
        <rFont val="Arial"/>
        <family val="2"/>
      </rPr>
      <t>A/C Evaluator (ACE)</t>
    </r>
    <r>
      <rPr>
        <sz val="11"/>
        <rFont val="Arial"/>
        <family val="2"/>
      </rPr>
      <t xml:space="preserve"> survey form is provided to facilitate the completion of Final Applications that involve HVAC measures. Each unique system should be entered on a separate line within the survey. Information must be supplied for all installed HVAC equipment.  </t>
    </r>
  </si>
  <si>
    <t>Window
Unit?</t>
  </si>
  <si>
    <t>Room
AC/HP
ONLY</t>
  </si>
  <si>
    <t>Fill out all required information as signified by a red "Required Input" message. This includes (but is not limited to) selecting the appropriate Utility Name and Weather Zone.</t>
  </si>
  <si>
    <t>Choose the Project Type and Building Type from the drop-down list in order to activate all required equipment description options.
Pre-Retrofit Equipment section: Enter information for all non-shaded fields. The shaded areas will automatically display details based on inputs (if applicable). This section is not required for New Construction projects.
Installed Equipment section: Enter information for all non-shaded fields. The shaded areas will automatically display details based on inputs (if applicable).
Total kW/kWh Savings: Total project demand and energy savings are calculated for each individual line and for the project as a whole.</t>
  </si>
  <si>
    <t>Custom Building Types</t>
  </si>
  <si>
    <t>#</t>
  </si>
  <si>
    <t>Description
(Enter your own description)</t>
  </si>
  <si>
    <t>AHRI
Reference #</t>
  </si>
  <si>
    <t>Estimated
Payment</t>
  </si>
  <si>
    <t>Estimated Payment</t>
  </si>
  <si>
    <t>Utility</t>
  </si>
  <si>
    <t>Rates</t>
  </si>
  <si>
    <t>Demand
(kW)</t>
  </si>
  <si>
    <t>Energy
(kWh)</t>
  </si>
  <si>
    <t>Measure
Life</t>
  </si>
  <si>
    <t>EUL</t>
  </si>
  <si>
    <t>Early
Retirement
Conversion</t>
  </si>
  <si>
    <t>kW
Savings
ROB</t>
  </si>
  <si>
    <t>Non-
Cent.
Chillers</t>
  </si>
  <si>
    <t>Cent.
Chillers</t>
  </si>
  <si>
    <t>RUL</t>
  </si>
  <si>
    <t>RUL (Years)</t>
  </si>
  <si>
    <t>Demand
Coeff</t>
  </si>
  <si>
    <t>Custom</t>
  </si>
  <si>
    <t>Centrigual Chillers</t>
  </si>
  <si>
    <t>AEP SWEPCO</t>
  </si>
  <si>
    <t>Texas-New Mexico Power</t>
  </si>
  <si>
    <t>AEP Texas Central Company</t>
  </si>
  <si>
    <t>AEP Texas North Company</t>
  </si>
  <si>
    <t>Apartment (Midrise)</t>
  </si>
  <si>
    <t>Hotel (Large)</t>
  </si>
  <si>
    <t>Hotel (Small)</t>
  </si>
  <si>
    <t>Restaurant (Full Service)</t>
  </si>
  <si>
    <t>Restaurant (Quick Service)</t>
  </si>
  <si>
    <t>Retail (Stand Alone)</t>
  </si>
  <si>
    <t>Retail (Strip Mall)</t>
  </si>
  <si>
    <t>Retail (Supermarket)</t>
  </si>
  <si>
    <t>School (Primary)</t>
  </si>
  <si>
    <t>School (Secondary)</t>
  </si>
  <si>
    <t xml:space="preserve">
</t>
  </si>
  <si>
    <t>[UTILITY] is making available a downloadable Software to facilitate project savings calculations. The Software is in a Microsoft Excel™ spreadsheet format. If the file does not open in your browser window, use the save file to disk option and open it within the application. In order to use the Software, users must accept the following license agreement:</t>
  </si>
  <si>
    <t xml:space="preserve">NOTICE TO USER: </t>
  </si>
  <si>
    <t xml:space="preserve">1. THIS IS A CONTRACT. PLEASE READ IT CAREFULLY. USE OF THIS SOFTWARE IS NOT REQUIRED FOR PARTICIPATION IN THE STANDARD OFFER PROGRAM. BY USING THE SOFTWARE CONTAINED HEREIN YOU ARE INDICATING YOUR ACCEPTANCE OF ALL THE TERMS AND CONDITIONS OF THIS AGREEMENT. IF YOU DO NOT AGREE WITH THE TERMS AND CONDITIONS OF THIS AGREEMENT, PLEASE DECLINE WHERE INSTRUCTED, AND YOU WILL NOT BE ABLE TO USE THE SOFTWARE.
</t>
  </si>
  <si>
    <t>This [UTILITY] End User License Agreement ("Agreement") sets forth the terms and conditions under which you are licensed to use the Software. Software means (A) all of the contents of any disk(s), CD-ROM(s) or other media with which this Agreement is provided, including but not limited to (i) [UTILITY] or third party software; and (ii) related explanatory written materials ("Documentation").</t>
  </si>
  <si>
    <t>[UTILITY] grants to you a nonexclusive license to use the Software, provided that you agree to the following:</t>
  </si>
  <si>
    <t xml:space="preserve">2. DISCLAIMER OF WARRANTIES. You expressly acknowledge and agree that use of the accompanying Software is at your sole risk. The [UTILITY] Software is provided "AS IS" and without warranty of any kind and [UTILITY] and [UTILITY]'s suppliers EXPRESSLY DISCLAIM ALL WARRANTIES AND/OR CONDITIONS, EXPRESS OR IMPLIED, INCLUDING, BUT NOT LIMITED TO, THE IMPLIED WARRANTIES AND/OR CONDITIONS OF MERCHANTABILITY OR SATISFACTORY QUALITY AND FITNESS FOR A PARTICULAR PURPOSE AND NONINFRINGEMENT OF THIRD PARTY RIGHTS. [UTILITY] DOES NOT WARRANT THAT THE FUNCTIONS CONTAINED IN THE [UTILITY] SOFTWARE WILL MEET YOUR REQUIREMENTS, OR THAT THE OPERATION OF THE [UTILITY] SOFTWARE WILL BE UNINTERRUPTED OR ERROR-FREE, OR AGAINST DEFECTS IN THE USE OF THE [UTILITY] SOFTWARE OR RELATED DOCUMENTATION IN TERMS OF THEIR CORRECTNESS, ACCURACY, RELIABILITY, OR OTHERWISE. NO ORAL OR WRITTEN INFORMATION OR ADVICE GIVEN BY [UTILITY] OR A [UTILITY] AUTHORIZED REPRESENTATIVE, OR A [UTILITY] SUPPLIER SHALL CREATE A WARRANTY OR IN ANY WAY DECREASE THE SCOPE OF THIS DISCLAIMER. SHOULD THE [UTILITY] SOFTWARE PROVE DEFECTIVE, YOU (AND NOT [UTILITY] OR A [UTILITY] AUTHORIZED REPRESENTATIVE OR SUPPLIER) ASSUME THE ENTIRE COST OF NECESSARY CORRECTIONS. SOME JURISDICTIONS DO NOT ALLOW THE EXCLUSION OF IMPLIED WARRANTIES, SO THE ABOVE EXCLUSION MAY NOT APPLY TO YOU. </t>
  </si>
  <si>
    <t xml:space="preserve">3. LIMITATION OF LIABILITY. IN NO EVENT WILL [UTILITY] OR ITS SUPPLIERS BE LIABLE TO YOU FOR ANY CONSEQUENTIAL, INDIRECT, INCIDENTAL, PUNITIVE OR SPECIAL DAMAGES, INCLUDING ANY LOST PROFITS OR LOST SAVINGS, EVEN IF A REPRESENTATIVE OF [UTILITY] OR ANY SUPPLIER HAS BEEN ADVISED OF THE POSSIBILITY OF SUCH DAMAGES, OR FOR ANY CLAIM BY ANY THIRD PARTY. SOME STATES OR JURISDICTIONS DO NOT ALLOW THE EXCLUSION OR LIMITATION OF INCIDENTAL OR CONSEQUENTIAL DAMAGES, SO THE ABOVE LIMITATIONS MAY NOT APPLY TO YOU. </t>
  </si>
  <si>
    <t xml:space="preserve">4. GOVERNING LAW AND GENERAL PROVISIONS. This Agreement will be governed by the laws in force in the State of Texas. This Agreement will not be governed by the United Nations Convention on Contracts for the International Sale of Goods, the application of which is expressly excluded. If any part of this Agreement is found void and unenforceable, it will not affect the validity of the balance of the Agreement, which shall remain valid and enforceable according to its terms. </t>
  </si>
  <si>
    <t>You agree that the Software will not be shipped, transferred or exported into any country or used in any manner prohibited by the United States Export Administration Act or any other export laws, restrictions or regulations. You further agree that the Software code, data, and outputs are proprietary and the property of [UTILITY] or Frontier Associates LLC, and that you will not use this Software for commercial purposes, except as related to participation in [UTILITY]’s energy efficiency programs. Any modifications, alterations, or reverse engineering of the Software code or data is prohibited. This Agreement shall automatically terminate upon failure by you to comply with its terms, in which event you must destroy all copies of the Software. This Agreement may only be modified in writing signed by an authorized representative of [UTILITY], although [UTILITY] may vary the terms of this Agreement in connection with the licensing of any Updates to you.</t>
  </si>
  <si>
    <t>If the above agreement is acceptable to you, click "Accept" to use the Software.</t>
  </si>
  <si>
    <t>Air Conditioning Evaluator (ACE) Tool</t>
  </si>
  <si>
    <t>Office (Medium)</t>
  </si>
  <si>
    <t>Nursing Home</t>
  </si>
  <si>
    <t>Medical (Clinic)</t>
  </si>
  <si>
    <t>Medical (Hospital)</t>
  </si>
  <si>
    <t>Religious Worship</t>
  </si>
  <si>
    <t>Retail (Convenience)</t>
  </si>
  <si>
    <t>School (University/College)</t>
  </si>
  <si>
    <t>Service</t>
  </si>
  <si>
    <t>Average
Floor Area</t>
  </si>
  <si>
    <t>Not specified</t>
  </si>
  <si>
    <t>AptMid</t>
  </si>
  <si>
    <t>HotelLg</t>
  </si>
  <si>
    <t>HotelLgER</t>
  </si>
  <si>
    <t>HotelSm</t>
  </si>
  <si>
    <t>Clinic</t>
  </si>
  <si>
    <t>Nursing</t>
  </si>
  <si>
    <t>OfficeMed</t>
  </si>
  <si>
    <t>PubAss</t>
  </si>
  <si>
    <t>Religious</t>
  </si>
  <si>
    <t>RestFull</t>
  </si>
  <si>
    <t>RestQuick</t>
  </si>
  <si>
    <t>Convenience</t>
  </si>
  <si>
    <t>StripMall</t>
  </si>
  <si>
    <t>Supermarket</t>
  </si>
  <si>
    <t>SchoolPri</t>
  </si>
  <si>
    <t>SchoolSec</t>
  </si>
  <si>
    <t>University</t>
  </si>
  <si>
    <t>HotelSmER</t>
  </si>
  <si>
    <t>WarehouseZ5</t>
  </si>
  <si>
    <t>SchoolPriZ5</t>
  </si>
  <si>
    <t>RetailZ5</t>
  </si>
  <si>
    <t>OfficeSmZ5</t>
  </si>
  <si>
    <t>Weather Zones 1-4</t>
  </si>
  <si>
    <t>Weather Zone 5</t>
  </si>
  <si>
    <t>Program</t>
  </si>
  <si>
    <t>Utilities:</t>
  </si>
  <si>
    <t>SWEPCOProg</t>
  </si>
  <si>
    <t>TCCProg</t>
  </si>
  <si>
    <t>TNCProg</t>
  </si>
  <si>
    <t>EPEProg</t>
  </si>
  <si>
    <t>TNMPProg</t>
  </si>
  <si>
    <t>Project ID:</t>
  </si>
  <si>
    <t>Inspected?</t>
  </si>
  <si>
    <t>Texas</t>
  </si>
  <si>
    <t>New Mexico</t>
  </si>
  <si>
    <t>Entergy</t>
  </si>
  <si>
    <t>Xcel Energy</t>
  </si>
  <si>
    <t>Picture 1</t>
  </si>
  <si>
    <t>Picture 2</t>
  </si>
  <si>
    <t>Picture 3</t>
  </si>
  <si>
    <t>Picture 4</t>
  </si>
  <si>
    <t>Picture 5</t>
  </si>
  <si>
    <t>Picture 6</t>
  </si>
  <si>
    <t>Picture 7</t>
  </si>
  <si>
    <t>Utility:</t>
  </si>
  <si>
    <t>Program State:</t>
  </si>
  <si>
    <t>Program Type:</t>
  </si>
  <si>
    <t>EPENMProg</t>
  </si>
  <si>
    <t>SCOREPlus</t>
  </si>
  <si>
    <t>Small Business Comprehensive</t>
  </si>
  <si>
    <t>Large Commercial Solutions</t>
  </si>
  <si>
    <t>SCORE</t>
  </si>
  <si>
    <t>Small Commercial Solutions</t>
  </si>
  <si>
    <t>Program List:</t>
  </si>
  <si>
    <t>State List:</t>
  </si>
  <si>
    <t>Peak kW Savings</t>
  </si>
  <si>
    <t>kWH Savings</t>
  </si>
  <si>
    <t>Estimated Incentive</t>
  </si>
  <si>
    <t>Company Name:</t>
  </si>
  <si>
    <t>Contact Name:</t>
  </si>
  <si>
    <t>Contact Phone:</t>
  </si>
  <si>
    <t>Service Address:</t>
  </si>
  <si>
    <t>Customer Information</t>
  </si>
  <si>
    <t>Contact Email:</t>
  </si>
  <si>
    <t>ZIP Code:</t>
  </si>
  <si>
    <t>PLEASE NOTE: The Company Name and Taxpayer ID # on W9 must match the Company Name on Federal tax return</t>
  </si>
  <si>
    <t>Payment Address:</t>
  </si>
  <si>
    <t>License #:</t>
  </si>
  <si>
    <t>(if applicable)</t>
  </si>
  <si>
    <r>
      <t>Payment Information</t>
    </r>
    <r>
      <rPr>
        <b/>
        <sz val="11"/>
        <rFont val="Arial"/>
        <family val="2"/>
      </rPr>
      <t xml:space="preserve"> (please provide an accompanying W9 if not currently on file with utility)</t>
    </r>
  </si>
  <si>
    <t>Payment Release &amp; Acknowledgement</t>
  </si>
  <si>
    <t>Applicant Signature:</t>
  </si>
  <si>
    <t>Date:</t>
  </si>
  <si>
    <t>Utility/Program
Designation</t>
  </si>
  <si>
    <t>State</t>
  </si>
  <si>
    <t>Commercial Solutions - Chiller Install</t>
  </si>
  <si>
    <t>Commercial Solutions - HVAC DX Install</t>
  </si>
  <si>
    <t>Sharyland</t>
  </si>
  <si>
    <t>EntProg</t>
  </si>
  <si>
    <t>SharyProg</t>
  </si>
  <si>
    <t>Picture 9</t>
  </si>
  <si>
    <t>XcelProg</t>
  </si>
  <si>
    <t>Retro-Commissioning</t>
  </si>
  <si>
    <t>Oncor</t>
  </si>
  <si>
    <t>OncorProg</t>
  </si>
  <si>
    <t>Picture 10</t>
  </si>
  <si>
    <t>CNPProg</t>
  </si>
  <si>
    <t>CenterPoint Energy</t>
  </si>
  <si>
    <t>Type 1</t>
  </si>
  <si>
    <t>Type 2</t>
  </si>
  <si>
    <t>Type 3</t>
  </si>
  <si>
    <t>Type 4</t>
  </si>
  <si>
    <t>Type 5</t>
  </si>
  <si>
    <t>Picture 8</t>
  </si>
  <si>
    <t>Commercial SOP</t>
  </si>
  <si>
    <t>Commercial SOP - HVAC DX Install</t>
  </si>
  <si>
    <t>Commercial SOP - Chiller Install</t>
  </si>
  <si>
    <t>ML
ROB</t>
  </si>
  <si>
    <t>WACC</t>
  </si>
  <si>
    <t>Escal.
Rate</t>
  </si>
  <si>
    <t>NPV
EUL,kW</t>
  </si>
  <si>
    <t>NPV
EUL,kWh</t>
  </si>
  <si>
    <t>NPV
Total,kW</t>
  </si>
  <si>
    <t>NPV
Total,kWh</t>
  </si>
  <si>
    <t>Wgt
kW</t>
  </si>
  <si>
    <t>Wgt
kWh</t>
  </si>
  <si>
    <t>NPV
ER,kW</t>
  </si>
  <si>
    <t>NPV
ROB,kW</t>
  </si>
  <si>
    <t>NPV
ER,kWh</t>
  </si>
  <si>
    <t>NPV
ROB,kWh</t>
  </si>
  <si>
    <t>kW
Savings
ER</t>
  </si>
  <si>
    <t>Commercial Solutions MTP</t>
  </si>
  <si>
    <t>SCORE/CitySmart MTP</t>
  </si>
  <si>
    <t>WZ</t>
  </si>
  <si>
    <t>WxZn234</t>
  </si>
  <si>
    <t>WxZn12</t>
  </si>
  <si>
    <t>WxZn5</t>
  </si>
  <si>
    <t>WxZn23</t>
  </si>
  <si>
    <t>WxZn3</t>
  </si>
  <si>
    <t>WxZn1</t>
  </si>
  <si>
    <t>WxZn24</t>
  </si>
  <si>
    <t>WxZn123</t>
  </si>
  <si>
    <t>WxZn List:</t>
  </si>
  <si>
    <t>WxZn12345</t>
  </si>
  <si>
    <t>Texas SCORE/CitySmart - Chiller Install</t>
  </si>
  <si>
    <t>Texas SCORE/CitySmart - HVAC DX Install</t>
  </si>
  <si>
    <t>Texas SCORE Lite - Chiller Install</t>
  </si>
  <si>
    <t>Texas SCORE Lite - HVAC DX Install</t>
  </si>
  <si>
    <t>Pre
Capacity/
Unit
(Tons)</t>
  </si>
  <si>
    <t>Minimum
Capacity/
Unit
(Tons)</t>
  </si>
  <si>
    <t>Maximum
Capacity/
Unit
(Tons)</t>
  </si>
  <si>
    <t>Minimum
Capacity/
Unit</t>
  </si>
  <si>
    <t>Maximum
Capacity/
Unit</t>
  </si>
  <si>
    <t>ERROR: Contact Program Manager. Post Capacity/Unit x Post # of Units must be within +/- 20% of Pre Capacity/Unit x Pre # of Units.</t>
  </si>
  <si>
    <t>State List: Replace "Texas" with "States" as EPE option to allow NM</t>
  </si>
  <si>
    <t>ESI ID or Account #:</t>
  </si>
  <si>
    <t>SCORE/CitySmart</t>
  </si>
  <si>
    <t>SCORE/CitySmart Lite</t>
  </si>
  <si>
    <t>aeacc23</t>
  </si>
  <si>
    <t>aeacc24</t>
  </si>
  <si>
    <t>aeabb25</t>
  </si>
  <si>
    <t>aeabb26</t>
  </si>
  <si>
    <t>aeabc27</t>
  </si>
  <si>
    <t>aeabc28</t>
  </si>
  <si>
    <t>ceacc23</t>
  </si>
  <si>
    <t>ceacc24</t>
  </si>
  <si>
    <t>ceabb25</t>
  </si>
  <si>
    <t>ceabb26</t>
  </si>
  <si>
    <t>ceabc27</t>
  </si>
  <si>
    <t>ceabc28</t>
  </si>
  <si>
    <t>afacc23</t>
  </si>
  <si>
    <t>afacc24</t>
  </si>
  <si>
    <t>afabb25</t>
  </si>
  <si>
    <t>afabb26</t>
  </si>
  <si>
    <t>afabc27</t>
  </si>
  <si>
    <t>afabc28</t>
  </si>
  <si>
    <t>cfacc23</t>
  </si>
  <si>
    <t>cfacc24</t>
  </si>
  <si>
    <t>cfabb25</t>
  </si>
  <si>
    <t>cfabb26</t>
  </si>
  <si>
    <t>cfabc27</t>
  </si>
  <si>
    <t>cfabc28</t>
  </si>
  <si>
    <t>agbaa32</t>
  </si>
  <si>
    <t>agbaa33</t>
  </si>
  <si>
    <t>agcaa32</t>
  </si>
  <si>
    <t>agcaa33</t>
  </si>
  <si>
    <t>agdaa32</t>
  </si>
  <si>
    <t>agdaa33</t>
  </si>
  <si>
    <t>ahbaa37</t>
  </si>
  <si>
    <t>ahbaa38</t>
  </si>
  <si>
    <t>ahcaa42</t>
  </si>
  <si>
    <t>ahcaa43</t>
  </si>
  <si>
    <t>ahdaa42</t>
  </si>
  <si>
    <t>ahdaa43</t>
  </si>
  <si>
    <t>cgbaa32</t>
  </si>
  <si>
    <t>cgbaa33</t>
  </si>
  <si>
    <t>cgcaa32</t>
  </si>
  <si>
    <t>cgcaa33</t>
  </si>
  <si>
    <t>cgdaa32</t>
  </si>
  <si>
    <t>cgdaa33</t>
  </si>
  <si>
    <t>chbaa37</t>
  </si>
  <si>
    <t>chbaa38</t>
  </si>
  <si>
    <t>chcaa42</t>
  </si>
  <si>
    <t>chcaa43</t>
  </si>
  <si>
    <t>chdaa42</t>
  </si>
  <si>
    <t>chdaa43</t>
  </si>
  <si>
    <t>Std.
Size?</t>
  </si>
  <si>
    <t>PTAC/
PTHP
Only</t>
  </si>
  <si>
    <t>HEEP - HVAC DX Install (Non-Direct)</t>
  </si>
  <si>
    <t>HEEP - Chiller Install (Non-Direct)</t>
  </si>
  <si>
    <t>HEEP - HVAC DX Install (Direct)</t>
  </si>
  <si>
    <t>HEEP - Chiller Install (Direct)</t>
  </si>
  <si>
    <t>Heating
Efficiency
Rating</t>
  </si>
  <si>
    <t>Non-Centrifugal Chillers</t>
  </si>
  <si>
    <t>DX AC/HP</t>
  </si>
  <si>
    <t>w/ Chiller Type</t>
  </si>
  <si>
    <t>Screw Air Cooled Chiller</t>
  </si>
  <si>
    <t>Scroll Air Cooled Chiller</t>
  </si>
  <si>
    <t>Centrifugal Air Cooled Chiller</t>
  </si>
  <si>
    <t>Screw Water Cooled Chiller</t>
  </si>
  <si>
    <t>Scroll Water Cooled Chiller</t>
  </si>
  <si>
    <t>Centrifugal Water Cooled Chiller</t>
  </si>
  <si>
    <r>
      <rPr>
        <b/>
        <sz val="12"/>
        <rFont val="Arial"/>
        <family val="2"/>
      </rPr>
      <t>Please fill out one copy of this form for each customer site involved in the project where HVAC measures are being installed.</t>
    </r>
    <r>
      <rPr>
        <sz val="12"/>
        <rFont val="Arial"/>
        <family val="2"/>
      </rPr>
      <t xml:space="preserve">
From left to right, fill in all non-shaded cells of the HVAC equipment inventory. Shaded (gray) values are either automatically calculated or not necessary. Use drop-down lists (if available).
To print this form click on File/Print/OK.</t>
    </r>
  </si>
  <si>
    <t>Model #</t>
  </si>
  <si>
    <t>32x</t>
  </si>
  <si>
    <t>33x</t>
  </si>
  <si>
    <t>37xc</t>
  </si>
  <si>
    <t>38xc</t>
  </si>
  <si>
    <t>42x</t>
  </si>
  <si>
    <t>43x</t>
  </si>
  <si>
    <t>Pre-Inspection Form</t>
  </si>
  <si>
    <t>Post-Inspection Form</t>
  </si>
  <si>
    <t>Post
Capacity/
Unit
(Tons)</t>
  </si>
  <si>
    <t>IEER</t>
  </si>
  <si>
    <t>IPLV</t>
  </si>
  <si>
    <t>Cooling
Baseline
η, FL</t>
  </si>
  <si>
    <t>Cooling
Baseline
η, PL</t>
  </si>
  <si>
    <t>Cooling
Baseline
η</t>
  </si>
  <si>
    <t>Cooling
Capacity
(Btu/hr)</t>
  </si>
  <si>
    <t>Capped
Cooling
Capacity</t>
  </si>
  <si>
    <t>Heating
Baseline
η</t>
  </si>
  <si>
    <t>HSPF</t>
  </si>
  <si>
    <t>COP</t>
  </si>
  <si>
    <t>Heating
Capacity/
Unit</t>
  </si>
  <si>
    <t>Cooling
Capacity/
Unit</t>
  </si>
  <si>
    <t>Heating
Capacity
Type</t>
  </si>
  <si>
    <t>Cooling
Capacity
Type</t>
  </si>
  <si>
    <t>Heating
Capacity
(Btu/hr)</t>
  </si>
  <si>
    <t>Capped
Heating
Capacity</t>
  </si>
  <si>
    <t>PTHP?</t>
  </si>
  <si>
    <t>2016 Air Conditioning Evaluator (ACE) Tool</t>
  </si>
  <si>
    <t>© 2016, Frontier Associates LLC</t>
  </si>
  <si>
    <t>IEER (EER)</t>
  </si>
  <si>
    <t>IPLV (EER)</t>
  </si>
  <si>
    <t>IPLV (kW/ton)</t>
  </si>
  <si>
    <t>Cooling FL
Efficiency
Rating</t>
  </si>
  <si>
    <t>Cooling PL
Efficiency
Rating</t>
  </si>
  <si>
    <r>
      <rPr>
        <b/>
        <sz val="10"/>
        <color indexed="8"/>
        <rFont val="Arial"/>
        <family val="2"/>
      </rPr>
      <t>Optional:</t>
    </r>
    <r>
      <rPr>
        <sz val="10"/>
        <color indexed="8"/>
        <rFont val="Arial"/>
        <family val="2"/>
      </rPr>
      <t xml:space="preserve">
Heating
Rating
Format</t>
    </r>
  </si>
  <si>
    <r>
      <rPr>
        <b/>
        <sz val="10"/>
        <color indexed="8"/>
        <rFont val="Arial"/>
        <family val="2"/>
      </rPr>
      <t>Optional:</t>
    </r>
    <r>
      <rPr>
        <sz val="10"/>
        <color indexed="8"/>
        <rFont val="Arial"/>
        <family val="2"/>
      </rPr>
      <t xml:space="preserve">
Cooling
Rating
Format</t>
    </r>
  </si>
  <si>
    <t>Heating
Rating
Format</t>
  </si>
  <si>
    <t>Cooling
Rating
Format</t>
  </si>
  <si>
    <t>Optional:
Cooling
Rating
Format</t>
  </si>
  <si>
    <t>Optional:
Heating
Rating
Format</t>
  </si>
  <si>
    <t>Total
Cooling
Capacity
(Tons)</t>
  </si>
  <si>
    <t>Existing
Equipment
Cooling PL
Efficiency
(kW/ton)</t>
  </si>
  <si>
    <t>Existing
Equipment
Cooling FL
Efficiency
(kW/ton)</t>
  </si>
  <si>
    <t>Existing
Equipment
Heating
Efficiency
(COP)</t>
  </si>
  <si>
    <t>Cooling FL
Efficiency
Rating
ROB</t>
  </si>
  <si>
    <t>Cooling PL
Efficiency
Rating
ROB</t>
  </si>
  <si>
    <t>Heating
Efficiency
Rating
ROB</t>
  </si>
  <si>
    <t>Cooling
kWh
Savings
ROB</t>
  </si>
  <si>
    <t>Heating
kWh
Savings
ROB</t>
  </si>
  <si>
    <t>Total
kWh
Savings
ROB</t>
  </si>
  <si>
    <t>PTHP Clg</t>
  </si>
  <si>
    <t>PTHP Htg</t>
  </si>
  <si>
    <t>Cooling
EFLHs</t>
  </si>
  <si>
    <t>Heating
EFLHs</t>
  </si>
  <si>
    <t>DX AC/HP
Air Cooled</t>
  </si>
  <si>
    <t>Coincidence Factors
(a and b)</t>
  </si>
  <si>
    <t>Equivalent Full-Load Hours
(c and d)</t>
  </si>
  <si>
    <t>DX AC</t>
  </si>
  <si>
    <t>DX HP Clg</t>
  </si>
  <si>
    <t>DX HP Htg</t>
  </si>
  <si>
    <t>DX HP</t>
  </si>
  <si>
    <t>c
Htg</t>
  </si>
  <si>
    <t>c
Clg</t>
  </si>
  <si>
    <t>d
Clg</t>
  </si>
  <si>
    <t>d
Htg</t>
  </si>
  <si>
    <t>Cooling
kWh
Savings
ER</t>
  </si>
  <si>
    <t>Heating
kWh
Savings
ER</t>
  </si>
  <si>
    <t>Total
kWh
Savings
ER</t>
  </si>
  <si>
    <t>Cooling FL
Efficiency
Rating
(in EER
or kW/ton)</t>
  </si>
  <si>
    <t>Cooling PL
Efficiency
Rating
(in SEER, IEER,
or IPLV)</t>
  </si>
  <si>
    <t>Heating
Efficiency
Rating
(in HSPF
or COP)</t>
  </si>
  <si>
    <r>
      <rPr>
        <b/>
        <sz val="10"/>
        <color indexed="8"/>
        <rFont val="Arial"/>
        <family val="2"/>
      </rPr>
      <t>Optional:</t>
    </r>
    <r>
      <rPr>
        <sz val="10"/>
        <color indexed="8"/>
        <rFont val="Arial"/>
        <family val="2"/>
      </rPr>
      <t xml:space="preserve">
Heating
Efficiency
Rating
(in HSPF
or COP)</t>
    </r>
  </si>
  <si>
    <r>
      <rPr>
        <b/>
        <sz val="10"/>
        <color indexed="8"/>
        <rFont val="Arial"/>
        <family val="2"/>
      </rPr>
      <t>Optional:</t>
    </r>
    <r>
      <rPr>
        <sz val="10"/>
        <color indexed="8"/>
        <rFont val="Arial"/>
        <family val="2"/>
      </rPr>
      <t xml:space="preserve">
Cooling PL
Efficiency
Rating
(in SEER, IEER,
or IPLV)</t>
    </r>
  </si>
  <si>
    <r>
      <rPr>
        <b/>
        <sz val="10"/>
        <color indexed="8"/>
        <rFont val="Arial"/>
        <family val="2"/>
      </rPr>
      <t>Optional:</t>
    </r>
    <r>
      <rPr>
        <sz val="10"/>
        <color indexed="8"/>
        <rFont val="Arial"/>
        <family val="2"/>
      </rPr>
      <t xml:space="preserve">
Cooling FL
Efficiency
Rating
(in EER
or kW/ton)</t>
    </r>
  </si>
  <si>
    <t>Optional:
Cooling FL
Efficiency
Rating
(in EER
or kW/ton)</t>
  </si>
  <si>
    <t>Optional:
Heating
Efficiency
Rating
(in HSPF
or COP)</t>
  </si>
  <si>
    <t>Total Pre
Cooling
Capacity
(Tons)</t>
  </si>
  <si>
    <t>Total Base
Cooling
Capacity
(Tons)</t>
  </si>
  <si>
    <t>Unitary
and
PTAC/
PTHP</t>
  </si>
  <si>
    <t>Total
Heating
Capacity
(Btu/hr)</t>
  </si>
  <si>
    <t>Sub-Category</t>
  </si>
  <si>
    <t>Definition</t>
  </si>
  <si>
    <t>Examples</t>
  </si>
  <si>
    <t>Education</t>
  </si>
  <si>
    <t>College</t>
  </si>
  <si>
    <t>Buildings used for academic or technical classroom instruction, such as elementary, middle, or high schools, and classroom buildings on college or university campuses. Buildings on education campuses for which the main use is not classroom are included in the category relating to their use. For example, administration buildings are part of "Office," dormitories are "Lodging," and libraries are "Public Assembly."</t>
  </si>
  <si>
    <t>Primary School</t>
  </si>
  <si>
    <t>Secondary School</t>
  </si>
  <si>
    <t>Food Sales</t>
  </si>
  <si>
    <t>Buildings used for retail or wholesale of food.</t>
  </si>
  <si>
    <t>1) Grocery Store or Food Market</t>
  </si>
  <si>
    <t>Food Service</t>
  </si>
  <si>
    <t>Full-Service Restaurant</t>
  </si>
  <si>
    <t>Buildings used for preparation and sale of food and beverages for consumption.</t>
  </si>
  <si>
    <t>1) Restaurant or Cafeteria</t>
  </si>
  <si>
    <t>Quick-Service Restaurant</t>
  </si>
  <si>
    <t>1) Fast Food</t>
  </si>
  <si>
    <t>Healthcare</t>
  </si>
  <si>
    <t>Buildings used as diagnostic and treatment facilities for inpatient care.</t>
  </si>
  <si>
    <t>Outpatient Healthcare</t>
  </si>
  <si>
    <t>Buildings used as diagnostic and treatment facilities for outpatient care. Medical offices are included here if they use any type of diagnostic medical equipment (if they do not, they are categorized as an office building).</t>
  </si>
  <si>
    <t>Large Multifamily</t>
  </si>
  <si>
    <t>Midrise Apartment</t>
  </si>
  <si>
    <t>Buildings containing multifamily dwelling units, having multiple stories, and equipped with elevators.</t>
  </si>
  <si>
    <t>No sub-categories collected.</t>
  </si>
  <si>
    <t>Lodging</t>
  </si>
  <si>
    <t>Large Hotel</t>
  </si>
  <si>
    <t>Buildings used to offer multiple accommodations for short-term or long-term residents, including skilled nursing and other residential care buildings.</t>
  </si>
  <si>
    <t>Small Hotel/Motel</t>
  </si>
  <si>
    <t>Mercantile</t>
  </si>
  <si>
    <t>Stand-Alone Retail</t>
  </si>
  <si>
    <t>Buildings used for the sale and display of goods other than food.</t>
  </si>
  <si>
    <t>Shopping malls comprised of multiple connected establishments.</t>
  </si>
  <si>
    <t>Office</t>
  </si>
  <si>
    <t>Large Office</t>
  </si>
  <si>
    <t>Buildings used for general office space, professional office, or administrative offices. Medical offices are included here if they do not use any type of diagnostic medical equipment (if they do, they are categorized as an outpatient health care building).</t>
  </si>
  <si>
    <t>Medium Office</t>
  </si>
  <si>
    <t>Small Office</t>
  </si>
  <si>
    <t xml:space="preserve">Public Assembly </t>
  </si>
  <si>
    <t>Buildings in which people gather for social or recreational activities, whether in private or non-private meeting halls.</t>
  </si>
  <si>
    <t>Buildings in which people gather for religious activities, (such as chapels, churches, mosques, synagogues, and temples).</t>
  </si>
  <si>
    <t>Buildings in which some type of service is provided, other than food service or retail sales of goods.</t>
  </si>
  <si>
    <t>Buildings used to store goods, manufactured products, merchandise, raw materials, or personal belongings (such as self-storage).</t>
  </si>
  <si>
    <t>Strip Mall  </t>
  </si>
  <si>
    <t>Average
# of Floors</t>
  </si>
  <si>
    <t>1) College or University
2) Career or Vocational Training
3) Adult Education</t>
  </si>
  <si>
    <t>1) Elementary or Middle School
2) Preschool or Daycare</t>
  </si>
  <si>
    <t>1) High School
2) Religious Education</t>
  </si>
  <si>
    <t>1) Gas Station with a Convenience Store
2) Convenience Store</t>
  </si>
  <si>
    <t>1) Hospital
2) Inpatient Rehabilitation</t>
  </si>
  <si>
    <t>1) Medical Office
2) Clinic or Outpatient Health Care
3) Veterinarian</t>
  </si>
  <si>
    <t>1) Motel or Inn
2) Hotel
3) Dormitory, Fraternity, or Sorority
4) Retirement Home, Nursing Home, Assisted Living, or other Residential Care
5) Convent or Monastery</t>
  </si>
  <si>
    <t>1) Retail Store
2) Beer, Wine, or Liquor Store
3) Rental Center
4) Dealership or Showroom for Vehicles or Boats
5) Studio or Gallery</t>
  </si>
  <si>
    <t>1) Strip Shopping Center
2) Enclosed Malls</t>
  </si>
  <si>
    <t>1) Administrative or Professional Office
2) Government Office
3) Mixed-Use Office
4) Bank or Other Financial Institution
5) Medical Office
6) Sales Office
7) Contractor’s Office (e.g. Construction, Plumbing, HVAC)
8) Non-Profit or Social Services
9) Non-Profit or Social Services
10) Research and Development
11) City Hall or City Center
12) Religious Office
13) Call Center</t>
  </si>
  <si>
    <t>1) Social or Meeting (e.g. Community Center, Lodge, Meeting Hall, Convention Center, Senior Center)
2) Recreation (e.g. Gymnasium, Health Club, Bowling Alley, Ice Rink, Field House, Indoor Racquet Sports)
3) Entertainment or Culture (e.g. Museum, Theater, Cinema, Sports Arena, Casino, Night Club)
4) Library
5) Funeral Home
6) Student Activities Center
7) Armory
8) Exhibition Hall
9) Broadcasting Studio
10) Transportation Terminal</t>
  </si>
  <si>
    <t>1) Vehicle Service or Vehicle Repair Shop
2) Vehicle Storage/Maintenance
3) Repair Shop
4) Dry Cleaner or Laundromat
5) Post Office or Postal Center
6) Car Wash
7) Gas Station with no Convenience Store
8) Photo Processing Shop
9) Beauty Parlor or Barber Shop
10) Tanning Salon
11) Copy Center or Printing Shop
12) Kennel</t>
  </si>
  <si>
    <t>1) Refrigerated Warehouse
2) Non-refrigerated warehouse
3) Distribution or Shipping Center</t>
  </si>
  <si>
    <r>
      <t>2016
AC</t>
    </r>
    <r>
      <rPr>
        <b/>
        <vertAlign val="subscript"/>
        <sz val="10"/>
        <color theme="1"/>
        <rFont val="Arial"/>
        <family val="2"/>
      </rPr>
      <t>kW</t>
    </r>
  </si>
  <si>
    <r>
      <rPr>
        <b/>
        <sz val="10"/>
        <color indexed="8"/>
        <rFont val="Arial"/>
        <family val="2"/>
      </rPr>
      <t>Optional:</t>
    </r>
    <r>
      <rPr>
        <sz val="10"/>
        <color indexed="8"/>
        <rFont val="Arial"/>
        <family val="2"/>
      </rPr>
      <t xml:space="preserve">
Cooling PL
Efficiency
Rating
(in SEER, IEER,
or kW/ton)</t>
    </r>
  </si>
  <si>
    <t>Cooling PL
Efficiency
Rating
(in SEER, IEER,
or kW/ton)</t>
  </si>
  <si>
    <t>Optional:
Cooling PL
Efficiency
Rating
(in SEER, IEER,
or kW/ton)</t>
  </si>
  <si>
    <t>Title:</t>
  </si>
  <si>
    <t>Date Reserved:</t>
  </si>
  <si>
    <t>Utility Authorization:</t>
  </si>
  <si>
    <t>Other</t>
  </si>
  <si>
    <t>Custom - Type 1</t>
  </si>
  <si>
    <t>Custom - Type 2</t>
  </si>
  <si>
    <t>Custom - Type 3</t>
  </si>
  <si>
    <t>Custom - Type 4</t>
  </si>
  <si>
    <t>Custom - Type 5</t>
  </si>
  <si>
    <t>Custom Bulilding</t>
  </si>
  <si>
    <t>SCORE Underserved/Small Score</t>
  </si>
  <si>
    <t>Open for Small Business (&lt; 100 kW)</t>
  </si>
  <si>
    <t>Texas-New Mexico PowerTexasOpen for Small Business (&lt; 100 kW)</t>
  </si>
  <si>
    <r>
      <t>2016
AC</t>
    </r>
    <r>
      <rPr>
        <b/>
        <vertAlign val="subscript"/>
        <sz val="10"/>
        <color theme="1"/>
        <rFont val="Arial"/>
        <family val="2"/>
      </rPr>
      <t>kWh</t>
    </r>
  </si>
</sst>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7" formatCode="&quot;$&quot;#,##0.00_);\(&quot;$&quot;#,##0.00\)"/>
    <numFmt numFmtId="41" formatCode="_(* #,##0_);_(* \(#,##0\);_(* &quot;-&quot;_);_(@_)"/>
    <numFmt numFmtId="44" formatCode="_(&quot;$&quot;* #,##0.00_);_(&quot;$&quot;* \(#,##0.00\);_(&quot;$&quot;* &quot;-&quot;??_);_(@_)"/>
    <numFmt numFmtId="43" formatCode="_(* #,##0.00_);_(* \(#,##0.00\);_(* &quot;-&quot;??_);_(@_)"/>
    <numFmt numFmtId="164" formatCode="0.0"/>
    <numFmt numFmtId="165" formatCode="_(* #,##0_);_(* \(#,##0\);_(* &quot;-&quot;??_);_(@_)"/>
    <numFmt numFmtId="166" formatCode="0.000"/>
    <numFmt numFmtId="167" formatCode=";;;"/>
    <numFmt numFmtId="168" formatCode="0.000_);\(0.000\)"/>
    <numFmt numFmtId="169" formatCode="0.0_);\(0.0\)"/>
    <numFmt numFmtId="170" formatCode="&quot;$&quot;#,##0.00"/>
    <numFmt numFmtId="171" formatCode="_(&quot;$&quot;* #,##0.000_);_(&quot;$&quot;* \(#,##0.000\);_(&quot;$&quot;* &quot;-&quot;???_);_(@_)"/>
    <numFmt numFmtId="172" formatCode="_(&quot;$&quot;* #,##0.00000_);_(&quot;$&quot;* \(#,##0.00000\);_(&quot;$&quot;* &quot;-&quot;?????_);_(@_)"/>
    <numFmt numFmtId="173" formatCode="0.00000%"/>
    <numFmt numFmtId="174" formatCode="#,##0.0"/>
  </numFmts>
  <fonts count="45" x14ac:knownFonts="1">
    <font>
      <sz val="11"/>
      <color theme="1"/>
      <name val="Calibri"/>
      <family val="2"/>
      <scheme val="minor"/>
    </font>
    <font>
      <b/>
      <sz val="10"/>
      <name val="Arial"/>
      <family val="2"/>
    </font>
    <font>
      <sz val="10"/>
      <name val="Arial"/>
      <family val="2"/>
    </font>
    <font>
      <sz val="10"/>
      <color indexed="8"/>
      <name val="Arial"/>
      <family val="2"/>
    </font>
    <font>
      <sz val="12"/>
      <name val="Times New Roman"/>
      <family val="1"/>
    </font>
    <font>
      <sz val="11"/>
      <name val="Arial"/>
      <family val="2"/>
    </font>
    <font>
      <b/>
      <sz val="11"/>
      <name val="Arial"/>
      <family val="2"/>
    </font>
    <font>
      <b/>
      <sz val="11"/>
      <color indexed="62"/>
      <name val="Arial"/>
      <family val="2"/>
    </font>
    <font>
      <sz val="10"/>
      <color indexed="63"/>
      <name val="Arial"/>
      <family val="2"/>
    </font>
    <font>
      <b/>
      <sz val="12"/>
      <name val="Arial"/>
      <family val="2"/>
    </font>
    <font>
      <b/>
      <sz val="10"/>
      <color indexed="8"/>
      <name val="Arial"/>
      <family val="2"/>
    </font>
    <font>
      <sz val="12"/>
      <name val="Arial"/>
      <family val="2"/>
    </font>
    <font>
      <b/>
      <sz val="14"/>
      <name val="Arial"/>
      <family val="2"/>
    </font>
    <font>
      <b/>
      <sz val="10"/>
      <color indexed="9"/>
      <name val="Arial"/>
      <family val="2"/>
    </font>
    <font>
      <b/>
      <sz val="18"/>
      <name val="Arial"/>
      <family val="2"/>
    </font>
    <font>
      <b/>
      <sz val="16"/>
      <name val="Arial"/>
      <family val="2"/>
    </font>
    <font>
      <sz val="7"/>
      <name val="Small Fonts"/>
      <family val="2"/>
    </font>
    <font>
      <b/>
      <sz val="20"/>
      <name val="Arial"/>
      <family val="2"/>
    </font>
    <font>
      <sz val="10"/>
      <color indexed="29"/>
      <name val="Arial"/>
      <family val="2"/>
    </font>
    <font>
      <sz val="10"/>
      <name val="Arial"/>
      <family val="2"/>
    </font>
    <font>
      <b/>
      <sz val="11"/>
      <color indexed="8"/>
      <name val="Calibri"/>
      <family val="2"/>
    </font>
    <font>
      <i/>
      <sz val="10"/>
      <color indexed="8"/>
      <name val="Arial"/>
      <family val="2"/>
    </font>
    <font>
      <b/>
      <u/>
      <sz val="11"/>
      <color indexed="8"/>
      <name val="Calibri"/>
      <family val="2"/>
    </font>
    <font>
      <sz val="11"/>
      <color theme="1"/>
      <name val="Calibri"/>
      <family val="2"/>
      <scheme val="minor"/>
    </font>
    <font>
      <u/>
      <sz val="8"/>
      <color theme="10"/>
      <name val="Arial"/>
      <family val="2"/>
    </font>
    <font>
      <u/>
      <sz val="8.5"/>
      <color theme="10"/>
      <name val="Arial"/>
      <family val="2"/>
    </font>
    <font>
      <b/>
      <sz val="10"/>
      <color theme="0"/>
      <name val="Arial"/>
      <family val="2"/>
    </font>
    <font>
      <sz val="11"/>
      <color theme="1"/>
      <name val="Arial"/>
      <family val="2"/>
    </font>
    <font>
      <b/>
      <sz val="10"/>
      <color theme="1"/>
      <name val="Arial"/>
      <family val="2"/>
    </font>
    <font>
      <sz val="10"/>
      <color theme="1"/>
      <name val="Arial"/>
      <family val="2"/>
    </font>
    <font>
      <b/>
      <u/>
      <sz val="10"/>
      <name val="Arial"/>
      <family val="2"/>
    </font>
    <font>
      <b/>
      <sz val="14"/>
      <color rgb="FF000000"/>
      <name val="Times New Roman"/>
      <family val="1"/>
    </font>
    <font>
      <sz val="8"/>
      <name val="Arial"/>
      <family val="2"/>
    </font>
    <font>
      <b/>
      <sz val="8"/>
      <name val="Arial"/>
      <family val="2"/>
    </font>
    <font>
      <sz val="8"/>
      <color theme="1"/>
      <name val="Arial"/>
      <family val="2"/>
    </font>
    <font>
      <sz val="11"/>
      <color indexed="63"/>
      <name val="Arial"/>
      <family val="2"/>
    </font>
    <font>
      <b/>
      <i/>
      <sz val="11"/>
      <color indexed="8"/>
      <name val="Arial"/>
      <family val="2"/>
    </font>
    <font>
      <b/>
      <sz val="11"/>
      <color theme="1"/>
      <name val="Arial"/>
      <family val="2"/>
    </font>
    <font>
      <b/>
      <sz val="16"/>
      <color theme="1"/>
      <name val="Arial"/>
      <family val="2"/>
    </font>
    <font>
      <sz val="14"/>
      <name val="Arial"/>
      <family val="2"/>
    </font>
    <font>
      <sz val="10"/>
      <color theme="0"/>
      <name val="Arial"/>
      <family val="2"/>
    </font>
    <font>
      <b/>
      <sz val="12"/>
      <color theme="1"/>
      <name val="Arial"/>
      <family val="2"/>
    </font>
    <font>
      <b/>
      <sz val="14"/>
      <color theme="1"/>
      <name val="Arial"/>
      <family val="2"/>
    </font>
    <font>
      <b/>
      <u/>
      <sz val="14"/>
      <name val="Arial"/>
      <family val="2"/>
    </font>
    <font>
      <b/>
      <vertAlign val="subscript"/>
      <sz val="10"/>
      <color theme="1"/>
      <name val="Arial"/>
      <family val="2"/>
    </font>
  </fonts>
  <fills count="19">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31"/>
        <bgColor indexed="8"/>
      </patternFill>
    </fill>
    <fill>
      <patternFill patternType="solid">
        <fgColor indexed="47"/>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0" tint="-0.499984740745262"/>
        <bgColor indexed="64"/>
      </patternFill>
    </fill>
    <fill>
      <patternFill patternType="solid">
        <fgColor theme="0" tint="-0.499984740745262"/>
        <bgColor indexed="8"/>
      </patternFill>
    </fill>
    <fill>
      <patternFill patternType="solid">
        <fgColor theme="0"/>
        <bgColor indexed="8"/>
      </patternFill>
    </fill>
    <fill>
      <patternFill patternType="solid">
        <fgColor theme="5" tint="0.39997558519241921"/>
        <bgColor indexed="64"/>
      </patternFill>
    </fill>
  </fills>
  <borders count="7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indexed="18"/>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diagonal/>
    </border>
    <border>
      <left/>
      <right/>
      <top style="thin">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bottom/>
      <diagonal/>
    </border>
    <border>
      <left style="medium">
        <color indexed="64"/>
      </left>
      <right style="thin">
        <color indexed="64"/>
      </right>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top/>
      <bottom style="dashed">
        <color auto="1"/>
      </bottom>
      <diagonal/>
    </border>
    <border>
      <left style="thin">
        <color indexed="64"/>
      </left>
      <right/>
      <top/>
      <bottom style="medium">
        <color indexed="64"/>
      </bottom>
      <diagonal/>
    </border>
  </borders>
  <cellStyleXfs count="86">
    <xf numFmtId="0" fontId="0" fillId="0" borderId="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4"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37" fontId="16" fillId="0" borderId="0"/>
    <xf numFmtId="0" fontId="2" fillId="0" borderId="0"/>
    <xf numFmtId="0" fontId="2" fillId="0" borderId="0"/>
    <xf numFmtId="0" fontId="2" fillId="0" borderId="0"/>
    <xf numFmtId="0" fontId="2" fillId="0" borderId="0"/>
    <xf numFmtId="0" fontId="2" fillId="0" borderId="0"/>
    <xf numFmtId="0" fontId="23" fillId="0" borderId="0"/>
    <xf numFmtId="0" fontId="19" fillId="0" borderId="0"/>
    <xf numFmtId="0" fontId="2" fillId="0" borderId="0"/>
    <xf numFmtId="0" fontId="4" fillId="0" borderId="0"/>
    <xf numFmtId="9" fontId="23"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 fillId="0" borderId="0"/>
    <xf numFmtId="0" fontId="4" fillId="0" borderId="0"/>
  </cellStyleXfs>
  <cellXfs count="1149">
    <xf numFmtId="0" fontId="0" fillId="0" borderId="0" xfId="0"/>
    <xf numFmtId="0" fontId="12" fillId="2" borderId="0" xfId="0" applyFont="1" applyFill="1" applyBorder="1" applyAlignment="1" applyProtection="1">
      <alignment horizontal="right" vertical="center" indent="1"/>
      <protection hidden="1"/>
    </xf>
    <xf numFmtId="0" fontId="13" fillId="2" borderId="0" xfId="0" applyFont="1" applyFill="1" applyBorder="1" applyAlignment="1" applyProtection="1">
      <alignment vertical="center"/>
      <protection hidden="1"/>
    </xf>
    <xf numFmtId="41" fontId="1" fillId="0" borderId="4" xfId="15" applyNumberFormat="1" applyFont="1" applyBorder="1" applyAlignment="1" applyProtection="1">
      <alignment horizontal="center" vertical="center"/>
      <protection hidden="1"/>
    </xf>
    <xf numFmtId="0" fontId="27" fillId="2" borderId="0" xfId="0" applyFont="1" applyFill="1" applyAlignment="1" applyProtection="1">
      <alignment vertical="center"/>
      <protection hidden="1"/>
    </xf>
    <xf numFmtId="0" fontId="2" fillId="2" borderId="0" xfId="0" applyFont="1" applyFill="1" applyAlignment="1" applyProtection="1">
      <alignment vertical="center"/>
      <protection hidden="1"/>
    </xf>
    <xf numFmtId="0" fontId="2" fillId="2" borderId="0" xfId="0" applyNumberFormat="1" applyFont="1" applyFill="1" applyBorder="1" applyAlignment="1" applyProtection="1">
      <alignment vertical="center"/>
      <protection hidden="1"/>
    </xf>
    <xf numFmtId="0" fontId="3" fillId="2" borderId="0" xfId="0" applyNumberFormat="1" applyFont="1" applyFill="1" applyBorder="1" applyAlignment="1" applyProtection="1">
      <alignment vertical="center"/>
      <protection hidden="1"/>
    </xf>
    <xf numFmtId="0" fontId="18" fillId="2" borderId="0" xfId="0" applyFont="1" applyFill="1" applyBorder="1" applyAlignment="1" applyProtection="1">
      <alignment horizontal="left" vertical="center"/>
      <protection hidden="1"/>
    </xf>
    <xf numFmtId="0" fontId="17" fillId="2" borderId="0" xfId="0" applyFont="1" applyFill="1" applyBorder="1" applyAlignment="1" applyProtection="1">
      <alignment horizontal="left" vertical="center"/>
      <protection hidden="1"/>
    </xf>
    <xf numFmtId="0" fontId="18" fillId="2" borderId="7" xfId="0" applyFont="1" applyFill="1" applyBorder="1" applyAlignment="1" applyProtection="1">
      <alignment horizontal="left" vertical="center"/>
      <protection hidden="1"/>
    </xf>
    <xf numFmtId="0" fontId="17" fillId="2" borderId="9" xfId="0" applyFont="1" applyFill="1" applyBorder="1" applyAlignment="1" applyProtection="1">
      <alignment horizontal="left" vertical="center"/>
      <protection hidden="1"/>
    </xf>
    <xf numFmtId="0" fontId="10" fillId="2" borderId="0" xfId="0" applyNumberFormat="1" applyFont="1" applyFill="1" applyBorder="1" applyAlignment="1" applyProtection="1">
      <alignment vertical="center"/>
      <protection hidden="1"/>
    </xf>
    <xf numFmtId="0" fontId="1" fillId="6" borderId="11" xfId="0" applyFont="1" applyFill="1" applyBorder="1" applyAlignment="1" applyProtection="1">
      <alignment horizontal="center" vertical="center"/>
      <protection hidden="1"/>
    </xf>
    <xf numFmtId="0" fontId="1" fillId="6" borderId="12" xfId="0" applyFont="1" applyFill="1" applyBorder="1" applyAlignment="1" applyProtection="1">
      <alignment horizontal="center" vertical="center"/>
      <protection hidden="1"/>
    </xf>
    <xf numFmtId="0" fontId="27" fillId="2" borderId="0" xfId="0" applyFont="1" applyFill="1" applyBorder="1" applyAlignment="1" applyProtection="1">
      <alignment vertical="center"/>
      <protection hidden="1"/>
    </xf>
    <xf numFmtId="43" fontId="10" fillId="4" borderId="13" xfId="2" applyFont="1" applyFill="1" applyBorder="1" applyAlignment="1" applyProtection="1">
      <alignment horizontal="center" vertical="center" wrapText="1"/>
      <protection hidden="1"/>
    </xf>
    <xf numFmtId="1" fontId="1" fillId="0" borderId="0" xfId="15" applyNumberFormat="1" applyFont="1" applyBorder="1" applyAlignment="1" applyProtection="1">
      <alignment horizontal="center" vertical="center"/>
      <protection hidden="1"/>
    </xf>
    <xf numFmtId="0" fontId="3" fillId="9" borderId="0" xfId="15" applyFont="1" applyFill="1" applyBorder="1" applyAlignment="1" applyProtection="1">
      <alignment vertical="center" wrapText="1"/>
      <protection hidden="1"/>
    </xf>
    <xf numFmtId="0" fontId="11" fillId="2" borderId="0" xfId="0" applyFont="1" applyFill="1" applyBorder="1" applyAlignment="1" applyProtection="1">
      <alignment vertical="center"/>
      <protection hidden="1"/>
    </xf>
    <xf numFmtId="0" fontId="11" fillId="2" borderId="0" xfId="0" applyNumberFormat="1" applyFont="1" applyFill="1" applyBorder="1" applyAlignment="1" applyProtection="1">
      <alignment vertical="center"/>
      <protection hidden="1"/>
    </xf>
    <xf numFmtId="0" fontId="1" fillId="6" borderId="14" xfId="0" applyFont="1" applyFill="1" applyBorder="1" applyAlignment="1" applyProtection="1">
      <alignment vertical="center"/>
      <protection hidden="1"/>
    </xf>
    <xf numFmtId="0" fontId="1" fillId="6" borderId="15" xfId="0" applyFont="1" applyFill="1" applyBorder="1" applyAlignment="1" applyProtection="1">
      <alignment vertical="center"/>
      <protection hidden="1"/>
    </xf>
    <xf numFmtId="43" fontId="1" fillId="0" borderId="16" xfId="15" applyNumberFormat="1" applyFont="1" applyBorder="1" applyAlignment="1" applyProtection="1">
      <alignment horizontal="center" vertical="center"/>
      <protection hidden="1"/>
    </xf>
    <xf numFmtId="43" fontId="1" fillId="0" borderId="10" xfId="15" applyNumberFormat="1" applyFont="1" applyBorder="1" applyAlignment="1" applyProtection="1">
      <alignment horizontal="center" vertical="center"/>
      <protection hidden="1"/>
    </xf>
    <xf numFmtId="41" fontId="1" fillId="9" borderId="17" xfId="15" applyNumberFormat="1" applyFont="1" applyFill="1" applyBorder="1" applyAlignment="1" applyProtection="1">
      <alignment horizontal="center" vertical="center"/>
      <protection hidden="1"/>
    </xf>
    <xf numFmtId="0" fontId="2" fillId="2" borderId="0" xfId="0" applyNumberFormat="1" applyFont="1" applyFill="1" applyAlignment="1" applyProtection="1">
      <alignment vertical="center"/>
      <protection hidden="1"/>
    </xf>
    <xf numFmtId="0" fontId="1" fillId="3" borderId="19" xfId="0" applyNumberFormat="1" applyFont="1" applyFill="1" applyBorder="1" applyAlignment="1" applyProtection="1">
      <alignment vertical="center"/>
      <protection hidden="1"/>
    </xf>
    <xf numFmtId="0" fontId="2" fillId="3" borderId="0" xfId="0" applyNumberFormat="1" applyFont="1" applyFill="1" applyAlignment="1" applyProtection="1">
      <alignment vertical="center"/>
      <protection hidden="1"/>
    </xf>
    <xf numFmtId="0" fontId="1" fillId="7" borderId="24" xfId="0" applyNumberFormat="1" applyFont="1" applyFill="1" applyBorder="1" applyAlignment="1" applyProtection="1">
      <alignment vertical="center"/>
      <protection hidden="1"/>
    </xf>
    <xf numFmtId="0" fontId="2" fillId="7" borderId="24" xfId="0" applyNumberFormat="1" applyFont="1" applyFill="1" applyBorder="1" applyAlignment="1" applyProtection="1">
      <alignment horizontal="left" vertical="center"/>
      <protection hidden="1"/>
    </xf>
    <xf numFmtId="0" fontId="2" fillId="2" borderId="0" xfId="0" applyNumberFormat="1" applyFont="1" applyFill="1" applyAlignment="1" applyProtection="1">
      <alignment horizontal="left" vertical="center"/>
      <protection hidden="1"/>
    </xf>
    <xf numFmtId="0" fontId="2" fillId="7" borderId="0" xfId="0" applyNumberFormat="1" applyFont="1" applyFill="1" applyAlignment="1" applyProtection="1">
      <alignment horizontal="left" vertical="center"/>
      <protection hidden="1"/>
    </xf>
    <xf numFmtId="0" fontId="14" fillId="9" borderId="0" xfId="15" applyFont="1" applyFill="1" applyBorder="1" applyAlignment="1" applyProtection="1">
      <alignment vertical="center"/>
      <protection hidden="1"/>
    </xf>
    <xf numFmtId="0" fontId="1" fillId="3" borderId="25" xfId="15" applyFont="1" applyFill="1" applyBorder="1" applyAlignment="1" applyProtection="1">
      <alignment horizontal="center" vertical="center" wrapText="1"/>
      <protection hidden="1"/>
    </xf>
    <xf numFmtId="0" fontId="1" fillId="3" borderId="24" xfId="15" applyFont="1" applyFill="1" applyBorder="1" applyAlignment="1" applyProtection="1">
      <alignment horizontal="center" vertical="center" wrapText="1"/>
      <protection hidden="1"/>
    </xf>
    <xf numFmtId="0" fontId="1" fillId="3" borderId="26" xfId="15" applyFont="1" applyFill="1" applyBorder="1" applyAlignment="1" applyProtection="1">
      <alignment horizontal="center" vertical="center" wrapText="1"/>
      <protection hidden="1"/>
    </xf>
    <xf numFmtId="0" fontId="1" fillId="3" borderId="27" xfId="15" applyFont="1" applyFill="1" applyBorder="1" applyAlignment="1" applyProtection="1">
      <alignment horizontal="center" vertical="center" wrapText="1"/>
      <protection hidden="1"/>
    </xf>
    <xf numFmtId="0" fontId="3" fillId="3" borderId="28" xfId="15" applyFont="1" applyFill="1" applyBorder="1" applyAlignment="1" applyProtection="1">
      <alignment horizontal="left" vertical="center" wrapText="1" indent="1"/>
      <protection hidden="1"/>
    </xf>
    <xf numFmtId="0" fontId="3" fillId="3" borderId="29" xfId="15" applyFont="1" applyFill="1" applyBorder="1" applyAlignment="1" applyProtection="1">
      <alignment horizontal="left" vertical="center" wrapText="1" indent="1"/>
      <protection hidden="1"/>
    </xf>
    <xf numFmtId="0" fontId="3" fillId="3" borderId="5" xfId="15" applyFont="1" applyFill="1" applyBorder="1" applyAlignment="1" applyProtection="1">
      <alignment horizontal="left" vertical="center" wrapText="1" indent="1"/>
      <protection hidden="1"/>
    </xf>
    <xf numFmtId="0" fontId="5" fillId="3" borderId="30" xfId="22" applyFont="1" applyFill="1" applyBorder="1" applyAlignment="1" applyProtection="1">
      <alignment horizontal="left" vertical="center" wrapText="1"/>
      <protection hidden="1"/>
    </xf>
    <xf numFmtId="0" fontId="7" fillId="3" borderId="31" xfId="22" applyFont="1" applyFill="1" applyBorder="1" applyAlignment="1" applyProtection="1">
      <alignment horizontal="left" vertical="center" wrapText="1" indent="4"/>
      <protection hidden="1"/>
    </xf>
    <xf numFmtId="0" fontId="7" fillId="2" borderId="31" xfId="22" applyFont="1" applyFill="1" applyBorder="1" applyAlignment="1" applyProtection="1">
      <alignment horizontal="left" vertical="center" wrapText="1"/>
      <protection hidden="1"/>
    </xf>
    <xf numFmtId="0" fontId="8" fillId="2" borderId="31" xfId="22" applyFont="1" applyFill="1" applyBorder="1" applyAlignment="1" applyProtection="1">
      <alignment horizontal="left" vertical="center" wrapText="1" indent="7"/>
      <protection hidden="1"/>
    </xf>
    <xf numFmtId="0" fontId="6" fillId="2" borderId="0" xfId="0" applyFont="1" applyFill="1" applyBorder="1" applyAlignment="1" applyProtection="1">
      <alignment horizontal="right" vertical="center"/>
      <protection hidden="1"/>
    </xf>
    <xf numFmtId="43" fontId="10" fillId="4" borderId="33" xfId="1" applyFont="1" applyFill="1" applyBorder="1" applyAlignment="1" applyProtection="1">
      <alignment horizontal="center" vertical="center" wrapText="1"/>
      <protection hidden="1"/>
    </xf>
    <xf numFmtId="0" fontId="1" fillId="6" borderId="1" xfId="0" applyFont="1" applyFill="1" applyBorder="1" applyAlignment="1" applyProtection="1">
      <alignment vertical="center"/>
      <protection hidden="1"/>
    </xf>
    <xf numFmtId="0" fontId="1" fillId="6" borderId="2" xfId="0" applyFont="1" applyFill="1" applyBorder="1" applyAlignment="1" applyProtection="1">
      <alignment vertical="center"/>
      <protection hidden="1"/>
    </xf>
    <xf numFmtId="0" fontId="3" fillId="10" borderId="1" xfId="0" applyNumberFormat="1" applyFont="1" applyFill="1" applyBorder="1" applyAlignment="1" applyProtection="1">
      <alignment horizontal="right" vertical="center" wrapText="1"/>
      <protection hidden="1"/>
    </xf>
    <xf numFmtId="10" fontId="3" fillId="10" borderId="2" xfId="23" applyNumberFormat="1" applyFont="1" applyFill="1" applyBorder="1" applyAlignment="1" applyProtection="1">
      <alignment horizontal="center" vertical="center" wrapText="1"/>
      <protection hidden="1"/>
    </xf>
    <xf numFmtId="0" fontId="3" fillId="10" borderId="2" xfId="0" applyNumberFormat="1" applyFont="1" applyFill="1" applyBorder="1" applyAlignment="1" applyProtection="1">
      <alignment horizontal="center" vertical="center" wrapText="1"/>
      <protection hidden="1"/>
    </xf>
    <xf numFmtId="165" fontId="3" fillId="10" borderId="2" xfId="1" applyNumberFormat="1" applyFont="1" applyFill="1" applyBorder="1" applyAlignment="1" applyProtection="1">
      <alignment horizontal="center" vertical="center" wrapText="1"/>
      <protection hidden="1"/>
    </xf>
    <xf numFmtId="0" fontId="3" fillId="10" borderId="2" xfId="0" applyNumberFormat="1" applyFont="1" applyFill="1" applyBorder="1" applyAlignment="1" applyProtection="1">
      <alignment horizontal="right" vertical="center" wrapText="1"/>
      <protection hidden="1"/>
    </xf>
    <xf numFmtId="0" fontId="10" fillId="10" borderId="3" xfId="0" applyNumberFormat="1" applyFont="1" applyFill="1" applyBorder="1" applyAlignment="1" applyProtection="1">
      <alignment horizontal="center" vertical="center" wrapText="1"/>
      <protection hidden="1"/>
    </xf>
    <xf numFmtId="166" fontId="13" fillId="10" borderId="7" xfId="0" applyNumberFormat="1" applyFont="1" applyFill="1" applyBorder="1" applyAlignment="1" applyProtection="1">
      <alignment horizontal="center" vertical="center" wrapText="1"/>
      <protection hidden="1"/>
    </xf>
    <xf numFmtId="0" fontId="10" fillId="10" borderId="8" xfId="0" applyNumberFormat="1" applyFont="1" applyFill="1" applyBorder="1" applyAlignment="1" applyProtection="1">
      <alignment horizontal="center" vertical="center" wrapText="1"/>
      <protection hidden="1"/>
    </xf>
    <xf numFmtId="0" fontId="1" fillId="3" borderId="22" xfId="0" applyNumberFormat="1" applyFont="1" applyFill="1" applyBorder="1" applyAlignment="1" applyProtection="1">
      <alignment horizontal="center" vertical="center" wrapText="1"/>
      <protection hidden="1"/>
    </xf>
    <xf numFmtId="0" fontId="2" fillId="2" borderId="0" xfId="15" applyFont="1" applyFill="1" applyAlignment="1" applyProtection="1">
      <alignment vertical="center"/>
      <protection hidden="1"/>
    </xf>
    <xf numFmtId="43" fontId="10" fillId="4" borderId="35" xfId="2" applyFont="1" applyFill="1" applyBorder="1" applyAlignment="1" applyProtection="1">
      <alignment horizontal="center" vertical="center" wrapText="1"/>
      <protection hidden="1"/>
    </xf>
    <xf numFmtId="43" fontId="10" fillId="4" borderId="36" xfId="2" applyFont="1" applyFill="1" applyBorder="1" applyAlignment="1" applyProtection="1">
      <alignment horizontal="center" vertical="center" wrapText="1"/>
      <protection hidden="1"/>
    </xf>
    <xf numFmtId="43" fontId="10" fillId="4" borderId="21" xfId="2" applyFont="1" applyFill="1" applyBorder="1" applyAlignment="1" applyProtection="1">
      <alignment horizontal="center" vertical="center" wrapText="1"/>
      <protection hidden="1"/>
    </xf>
    <xf numFmtId="0" fontId="2" fillId="2" borderId="0" xfId="15" applyFont="1" applyFill="1" applyBorder="1" applyAlignment="1" applyProtection="1">
      <alignment vertical="center"/>
      <protection hidden="1"/>
    </xf>
    <xf numFmtId="43" fontId="9" fillId="2" borderId="37" xfId="15" applyNumberFormat="1" applyFont="1" applyFill="1" applyBorder="1" applyAlignment="1" applyProtection="1">
      <alignment horizontal="center" vertical="center" wrapText="1"/>
      <protection hidden="1"/>
    </xf>
    <xf numFmtId="41" fontId="9" fillId="2" borderId="38" xfId="15" applyNumberFormat="1" applyFont="1" applyFill="1" applyBorder="1" applyAlignment="1" applyProtection="1">
      <alignment horizontal="center" vertical="center" wrapText="1"/>
      <protection hidden="1"/>
    </xf>
    <xf numFmtId="0" fontId="2" fillId="0" borderId="0" xfId="15" applyFont="1" applyAlignment="1" applyProtection="1">
      <alignment vertical="center"/>
      <protection hidden="1"/>
    </xf>
    <xf numFmtId="0" fontId="1" fillId="3" borderId="35" xfId="0" applyNumberFormat="1" applyFont="1" applyFill="1" applyBorder="1" applyAlignment="1" applyProtection="1">
      <alignment horizontal="center" vertical="center"/>
      <protection hidden="1"/>
    </xf>
    <xf numFmtId="0" fontId="1" fillId="3" borderId="21" xfId="0" applyNumberFormat="1" applyFont="1" applyFill="1" applyBorder="1" applyAlignment="1" applyProtection="1">
      <alignment horizontal="center" vertical="center"/>
      <protection hidden="1"/>
    </xf>
    <xf numFmtId="0" fontId="1" fillId="9" borderId="0" xfId="0" applyNumberFormat="1" applyFont="1" applyFill="1" applyBorder="1" applyAlignment="1" applyProtection="1">
      <alignment horizontal="center" vertical="center"/>
      <protection hidden="1"/>
    </xf>
    <xf numFmtId="0" fontId="1" fillId="3" borderId="35" xfId="0" applyNumberFormat="1" applyFont="1" applyFill="1" applyBorder="1" applyAlignment="1" applyProtection="1">
      <alignment horizontal="center" vertical="center" wrapText="1"/>
      <protection hidden="1"/>
    </xf>
    <xf numFmtId="0" fontId="1" fillId="3" borderId="39" xfId="0" applyNumberFormat="1" applyFont="1" applyFill="1" applyBorder="1" applyAlignment="1" applyProtection="1">
      <alignment horizontal="center" vertical="center" wrapText="1"/>
      <protection hidden="1"/>
    </xf>
    <xf numFmtId="0" fontId="1" fillId="3" borderId="40" xfId="0" applyNumberFormat="1" applyFont="1" applyFill="1" applyBorder="1" applyAlignment="1" applyProtection="1">
      <alignment horizontal="center" vertical="center"/>
      <protection hidden="1"/>
    </xf>
    <xf numFmtId="0" fontId="28" fillId="9" borderId="0" xfId="0" applyFont="1" applyFill="1" applyAlignment="1" applyProtection="1">
      <alignment horizontal="center" vertical="center"/>
      <protection hidden="1"/>
    </xf>
    <xf numFmtId="0" fontId="1" fillId="3" borderId="36" xfId="0" applyNumberFormat="1" applyFont="1" applyFill="1" applyBorder="1" applyAlignment="1" applyProtection="1">
      <alignment horizontal="center" vertical="center"/>
      <protection hidden="1"/>
    </xf>
    <xf numFmtId="0" fontId="1" fillId="3" borderId="41" xfId="0" applyNumberFormat="1" applyFont="1" applyFill="1" applyBorder="1" applyAlignment="1" applyProtection="1">
      <alignment horizontal="center" vertical="center"/>
      <protection hidden="1"/>
    </xf>
    <xf numFmtId="0" fontId="1" fillId="3" borderId="36" xfId="0" applyNumberFormat="1" applyFont="1" applyFill="1" applyBorder="1" applyAlignment="1" applyProtection="1">
      <alignment horizontal="center" vertical="center" wrapText="1"/>
      <protection hidden="1"/>
    </xf>
    <xf numFmtId="0" fontId="1" fillId="3" borderId="41" xfId="0" applyNumberFormat="1" applyFont="1" applyFill="1" applyBorder="1" applyAlignment="1" applyProtection="1">
      <alignment horizontal="center" vertical="center" wrapText="1"/>
      <protection hidden="1"/>
    </xf>
    <xf numFmtId="0" fontId="29" fillId="9" borderId="0" xfId="0" applyFont="1" applyFill="1" applyAlignment="1" applyProtection="1">
      <alignment horizontal="left" vertical="center"/>
      <protection hidden="1"/>
    </xf>
    <xf numFmtId="0" fontId="29" fillId="9" borderId="0" xfId="0" applyFont="1" applyFill="1" applyAlignment="1" applyProtection="1">
      <alignment horizontal="center" vertical="center"/>
      <protection hidden="1"/>
    </xf>
    <xf numFmtId="0" fontId="29" fillId="9" borderId="0" xfId="0" applyFont="1" applyFill="1" applyBorder="1" applyAlignment="1" applyProtection="1">
      <alignment horizontal="center" vertical="center"/>
      <protection hidden="1"/>
    </xf>
    <xf numFmtId="0" fontId="29" fillId="9" borderId="42" xfId="0" applyFont="1" applyFill="1" applyBorder="1" applyAlignment="1" applyProtection="1">
      <alignment horizontal="left" vertical="center"/>
      <protection hidden="1"/>
    </xf>
    <xf numFmtId="0" fontId="29" fillId="9" borderId="43" xfId="0" applyFont="1" applyFill="1" applyBorder="1" applyAlignment="1" applyProtection="1">
      <alignment horizontal="center" vertical="center"/>
      <protection hidden="1"/>
    </xf>
    <xf numFmtId="0" fontId="29" fillId="9" borderId="42" xfId="0" applyFont="1" applyFill="1" applyBorder="1" applyAlignment="1" applyProtection="1">
      <alignment horizontal="center" vertical="center"/>
      <protection hidden="1"/>
    </xf>
    <xf numFmtId="0" fontId="29" fillId="9" borderId="44" xfId="0" applyFont="1" applyFill="1" applyBorder="1" applyAlignment="1" applyProtection="1">
      <alignment horizontal="center" vertical="center"/>
      <protection hidden="1"/>
    </xf>
    <xf numFmtId="0" fontId="29" fillId="9" borderId="4" xfId="0" applyFont="1" applyFill="1" applyBorder="1" applyAlignment="1" applyProtection="1">
      <alignment horizontal="center" vertical="center"/>
      <protection hidden="1"/>
    </xf>
    <xf numFmtId="2" fontId="29" fillId="9" borderId="45" xfId="0" applyNumberFormat="1" applyFont="1" applyFill="1" applyBorder="1" applyAlignment="1" applyProtection="1">
      <alignment horizontal="center" vertical="center"/>
      <protection hidden="1"/>
    </xf>
    <xf numFmtId="0" fontId="29" fillId="9" borderId="45" xfId="0" applyFont="1" applyFill="1" applyBorder="1" applyAlignment="1" applyProtection="1">
      <alignment horizontal="center" vertical="center"/>
      <protection hidden="1"/>
    </xf>
    <xf numFmtId="0" fontId="29" fillId="9" borderId="46" xfId="0" applyFont="1" applyFill="1" applyBorder="1" applyAlignment="1" applyProtection="1">
      <alignment horizontal="center" vertical="center"/>
      <protection hidden="1"/>
    </xf>
    <xf numFmtId="0" fontId="29" fillId="9" borderId="47" xfId="0" applyFont="1" applyFill="1" applyBorder="1" applyAlignment="1" applyProtection="1">
      <alignment horizontal="left" vertical="center"/>
      <protection hidden="1"/>
    </xf>
    <xf numFmtId="0" fontId="29" fillId="9" borderId="48" xfId="0" applyFont="1" applyFill="1" applyBorder="1" applyAlignment="1" applyProtection="1">
      <alignment horizontal="center" vertical="center"/>
      <protection hidden="1"/>
    </xf>
    <xf numFmtId="0" fontId="29" fillId="9" borderId="47" xfId="0" applyFont="1" applyFill="1" applyBorder="1" applyAlignment="1" applyProtection="1">
      <alignment horizontal="center" vertical="center"/>
      <protection hidden="1"/>
    </xf>
    <xf numFmtId="2" fontId="29" fillId="9" borderId="22" xfId="0" applyNumberFormat="1" applyFont="1" applyFill="1" applyBorder="1" applyAlignment="1" applyProtection="1">
      <alignment horizontal="center" vertical="center"/>
      <protection hidden="1"/>
    </xf>
    <xf numFmtId="0" fontId="29" fillId="9" borderId="22" xfId="0" applyFont="1" applyFill="1" applyBorder="1" applyAlignment="1" applyProtection="1">
      <alignment horizontal="center" vertical="center"/>
      <protection hidden="1"/>
    </xf>
    <xf numFmtId="0" fontId="29" fillId="9" borderId="23" xfId="0" applyFont="1" applyFill="1" applyBorder="1" applyAlignment="1" applyProtection="1">
      <alignment horizontal="center" vertical="center"/>
      <protection hidden="1"/>
    </xf>
    <xf numFmtId="0" fontId="29" fillId="9" borderId="16" xfId="0" applyFont="1" applyFill="1" applyBorder="1" applyAlignment="1" applyProtection="1">
      <alignment horizontal="left" vertical="center"/>
      <protection hidden="1"/>
    </xf>
    <xf numFmtId="0" fontId="29" fillId="9" borderId="17" xfId="0" applyFont="1" applyFill="1" applyBorder="1" applyAlignment="1" applyProtection="1">
      <alignment horizontal="center" vertical="center"/>
      <protection hidden="1"/>
    </xf>
    <xf numFmtId="0" fontId="29" fillId="9" borderId="16" xfId="0" applyFont="1" applyFill="1" applyBorder="1" applyAlignment="1" applyProtection="1">
      <alignment horizontal="center" vertical="center"/>
      <protection hidden="1"/>
    </xf>
    <xf numFmtId="0" fontId="29" fillId="9" borderId="0" xfId="0" applyFont="1" applyFill="1" applyBorder="1" applyAlignment="1" applyProtection="1">
      <alignment horizontal="left" vertical="center"/>
      <protection hidden="1"/>
    </xf>
    <xf numFmtId="2" fontId="29" fillId="10" borderId="22" xfId="0" applyNumberFormat="1" applyFont="1" applyFill="1" applyBorder="1" applyAlignment="1" applyProtection="1">
      <alignment horizontal="center" vertical="center"/>
      <protection hidden="1"/>
    </xf>
    <xf numFmtId="2" fontId="29" fillId="9" borderId="10" xfId="0" applyNumberFormat="1" applyFont="1" applyFill="1" applyBorder="1" applyAlignment="1" applyProtection="1">
      <alignment horizontal="center" vertical="center"/>
      <protection hidden="1"/>
    </xf>
    <xf numFmtId="2" fontId="29" fillId="10" borderId="10" xfId="0" applyNumberFormat="1" applyFont="1" applyFill="1" applyBorder="1" applyAlignment="1" applyProtection="1">
      <alignment horizontal="center" vertical="center"/>
      <protection hidden="1"/>
    </xf>
    <xf numFmtId="0" fontId="29" fillId="9" borderId="10" xfId="0" applyFont="1" applyFill="1" applyBorder="1" applyAlignment="1" applyProtection="1">
      <alignment horizontal="center" vertical="center"/>
      <protection hidden="1"/>
    </xf>
    <xf numFmtId="0" fontId="29" fillId="9" borderId="49" xfId="0" applyFont="1" applyFill="1" applyBorder="1" applyAlignment="1" applyProtection="1">
      <alignment horizontal="center" vertical="center"/>
      <protection hidden="1"/>
    </xf>
    <xf numFmtId="2" fontId="29" fillId="9" borderId="26" xfId="0" applyNumberFormat="1" applyFont="1" applyFill="1" applyBorder="1" applyAlignment="1" applyProtection="1">
      <alignment horizontal="center" vertical="center"/>
      <protection hidden="1"/>
    </xf>
    <xf numFmtId="2" fontId="29" fillId="10" borderId="26" xfId="0" applyNumberFormat="1" applyFont="1" applyFill="1" applyBorder="1" applyAlignment="1" applyProtection="1">
      <alignment horizontal="center" vertical="center"/>
      <protection hidden="1"/>
    </xf>
    <xf numFmtId="0" fontId="29" fillId="9" borderId="27" xfId="0" applyFont="1" applyFill="1" applyBorder="1" applyAlignment="1" applyProtection="1">
      <alignment horizontal="center" vertical="center"/>
      <protection hidden="1"/>
    </xf>
    <xf numFmtId="2" fontId="29" fillId="9" borderId="50" xfId="0" applyNumberFormat="1" applyFont="1" applyFill="1" applyBorder="1" applyAlignment="1" applyProtection="1">
      <alignment horizontal="center" vertical="center"/>
      <protection hidden="1"/>
    </xf>
    <xf numFmtId="2" fontId="29" fillId="10" borderId="45" xfId="0" applyNumberFormat="1" applyFont="1" applyFill="1" applyBorder="1" applyAlignment="1" applyProtection="1">
      <alignment horizontal="center" vertical="center"/>
      <protection hidden="1"/>
    </xf>
    <xf numFmtId="0" fontId="29" fillId="9" borderId="4" xfId="0" quotePrefix="1" applyFont="1" applyFill="1" applyBorder="1" applyAlignment="1" applyProtection="1">
      <alignment horizontal="center" vertical="center"/>
      <protection hidden="1"/>
    </xf>
    <xf numFmtId="0" fontId="29" fillId="9" borderId="48" xfId="0" quotePrefix="1" applyFont="1" applyFill="1" applyBorder="1" applyAlignment="1" applyProtection="1">
      <alignment horizontal="center" vertical="center"/>
      <protection hidden="1"/>
    </xf>
    <xf numFmtId="0" fontId="29" fillId="9" borderId="27" xfId="0" quotePrefix="1" applyFont="1" applyFill="1" applyBorder="1" applyAlignment="1" applyProtection="1">
      <alignment horizontal="center" vertical="center"/>
      <protection hidden="1"/>
    </xf>
    <xf numFmtId="2" fontId="1" fillId="3" borderId="41" xfId="0" applyNumberFormat="1" applyFont="1" applyFill="1" applyBorder="1" applyAlignment="1" applyProtection="1">
      <alignment horizontal="center" vertical="center" wrapText="1"/>
      <protection hidden="1"/>
    </xf>
    <xf numFmtId="1" fontId="29" fillId="9" borderId="23" xfId="0" applyNumberFormat="1" applyFont="1" applyFill="1" applyBorder="1" applyAlignment="1" applyProtection="1">
      <alignment horizontal="center" vertical="center"/>
      <protection hidden="1"/>
    </xf>
    <xf numFmtId="1" fontId="29" fillId="9" borderId="46" xfId="0" quotePrefix="1" applyNumberFormat="1" applyFont="1" applyFill="1" applyBorder="1" applyAlignment="1" applyProtection="1">
      <alignment horizontal="center" vertical="center"/>
      <protection hidden="1"/>
    </xf>
    <xf numFmtId="2" fontId="29" fillId="10" borderId="46" xfId="0" applyNumberFormat="1" applyFont="1" applyFill="1" applyBorder="1" applyAlignment="1" applyProtection="1">
      <alignment horizontal="center" vertical="center"/>
      <protection hidden="1"/>
    </xf>
    <xf numFmtId="1" fontId="29" fillId="10" borderId="46" xfId="0" applyNumberFormat="1" applyFont="1" applyFill="1" applyBorder="1" applyAlignment="1" applyProtection="1">
      <alignment horizontal="center" vertical="center"/>
      <protection hidden="1"/>
    </xf>
    <xf numFmtId="2" fontId="29" fillId="10" borderId="23" xfId="0" applyNumberFormat="1" applyFont="1" applyFill="1" applyBorder="1" applyAlignment="1" applyProtection="1">
      <alignment horizontal="center" vertical="center"/>
      <protection hidden="1"/>
    </xf>
    <xf numFmtId="1" fontId="29" fillId="10" borderId="23" xfId="0" applyNumberFormat="1" applyFont="1" applyFill="1" applyBorder="1" applyAlignment="1" applyProtection="1">
      <alignment horizontal="center" vertical="center"/>
      <protection hidden="1"/>
    </xf>
    <xf numFmtId="2" fontId="29" fillId="10" borderId="49" xfId="0" applyNumberFormat="1" applyFont="1" applyFill="1" applyBorder="1" applyAlignment="1" applyProtection="1">
      <alignment horizontal="center" vertical="center"/>
      <protection hidden="1"/>
    </xf>
    <xf numFmtId="1" fontId="29" fillId="10" borderId="49" xfId="0" applyNumberFormat="1" applyFont="1" applyFill="1" applyBorder="1" applyAlignment="1" applyProtection="1">
      <alignment horizontal="center" vertical="center"/>
      <protection hidden="1"/>
    </xf>
    <xf numFmtId="164" fontId="29" fillId="9" borderId="45" xfId="0" applyNumberFormat="1" applyFont="1" applyFill="1" applyBorder="1" applyAlignment="1" applyProtection="1">
      <alignment horizontal="center" vertical="center"/>
      <protection hidden="1"/>
    </xf>
    <xf numFmtId="164" fontId="29" fillId="9" borderId="22" xfId="0" applyNumberFormat="1" applyFont="1" applyFill="1" applyBorder="1" applyAlignment="1" applyProtection="1">
      <alignment horizontal="center" vertical="center"/>
      <protection hidden="1"/>
    </xf>
    <xf numFmtId="164" fontId="29" fillId="9" borderId="10" xfId="0" applyNumberFormat="1" applyFont="1" applyFill="1" applyBorder="1" applyAlignment="1" applyProtection="1">
      <alignment horizontal="center" vertical="center"/>
      <protection hidden="1"/>
    </xf>
    <xf numFmtId="164" fontId="29" fillId="9" borderId="50" xfId="0" applyNumberFormat="1" applyFont="1" applyFill="1" applyBorder="1" applyAlignment="1" applyProtection="1">
      <alignment horizontal="center" vertical="center"/>
      <protection hidden="1"/>
    </xf>
    <xf numFmtId="166" fontId="29" fillId="9" borderId="22" xfId="0" applyNumberFormat="1" applyFont="1" applyFill="1" applyBorder="1" applyAlignment="1" applyProtection="1">
      <alignment horizontal="center" vertical="center"/>
      <protection hidden="1"/>
    </xf>
    <xf numFmtId="166" fontId="29" fillId="9" borderId="10" xfId="0" applyNumberFormat="1" applyFont="1" applyFill="1" applyBorder="1" applyAlignment="1" applyProtection="1">
      <alignment horizontal="center" vertical="center"/>
      <protection hidden="1"/>
    </xf>
    <xf numFmtId="166" fontId="29" fillId="9" borderId="50" xfId="0" applyNumberFormat="1" applyFont="1" applyFill="1" applyBorder="1" applyAlignment="1" applyProtection="1">
      <alignment horizontal="center" vertical="center"/>
      <protection hidden="1"/>
    </xf>
    <xf numFmtId="0" fontId="21" fillId="5" borderId="26" xfId="0" applyNumberFormat="1" applyFont="1" applyFill="1" applyBorder="1" applyAlignment="1" applyProtection="1">
      <alignment horizontal="center" vertical="center" wrapText="1"/>
      <protection hidden="1"/>
    </xf>
    <xf numFmtId="0" fontId="0" fillId="9" borderId="0" xfId="0" applyFill="1" applyAlignment="1">
      <alignment vertical="center"/>
    </xf>
    <xf numFmtId="164" fontId="0" fillId="9" borderId="22" xfId="0" applyNumberFormat="1" applyFill="1" applyBorder="1" applyAlignment="1">
      <alignment horizontal="center" vertical="center"/>
    </xf>
    <xf numFmtId="166" fontId="0" fillId="9" borderId="22" xfId="0" applyNumberFormat="1" applyFill="1" applyBorder="1" applyAlignment="1">
      <alignment horizontal="center" vertical="center"/>
    </xf>
    <xf numFmtId="0" fontId="1" fillId="3" borderId="48" xfId="0" applyNumberFormat="1" applyFont="1" applyFill="1" applyBorder="1" applyAlignment="1" applyProtection="1">
      <alignment horizontal="center" vertical="center" wrapText="1"/>
      <protection hidden="1"/>
    </xf>
    <xf numFmtId="0" fontId="1" fillId="3" borderId="10" xfId="0" applyNumberFormat="1" applyFont="1" applyFill="1" applyBorder="1" applyAlignment="1" applyProtection="1">
      <alignment horizontal="center" vertical="center" wrapText="1"/>
      <protection hidden="1"/>
    </xf>
    <xf numFmtId="0" fontId="1" fillId="3" borderId="17" xfId="0" applyNumberFormat="1" applyFont="1" applyFill="1" applyBorder="1" applyAlignment="1" applyProtection="1">
      <alignment horizontal="center" vertical="center" wrapText="1"/>
      <protection hidden="1"/>
    </xf>
    <xf numFmtId="0" fontId="0" fillId="9" borderId="44" xfId="0" applyFill="1" applyBorder="1" applyAlignment="1">
      <alignment horizontal="center" vertical="center"/>
    </xf>
    <xf numFmtId="166" fontId="0" fillId="9" borderId="45" xfId="0" applyNumberFormat="1" applyFill="1" applyBorder="1" applyAlignment="1">
      <alignment horizontal="center" vertical="center"/>
    </xf>
    <xf numFmtId="166" fontId="0" fillId="9" borderId="4" xfId="0" applyNumberFormat="1" applyFill="1" applyBorder="1" applyAlignment="1">
      <alignment horizontal="center" vertical="center"/>
    </xf>
    <xf numFmtId="0" fontId="0" fillId="9" borderId="47" xfId="0" applyFill="1" applyBorder="1" applyAlignment="1">
      <alignment horizontal="center" vertical="center"/>
    </xf>
    <xf numFmtId="166" fontId="0" fillId="9" borderId="48" xfId="0" applyNumberFormat="1" applyFill="1" applyBorder="1" applyAlignment="1">
      <alignment horizontal="center" vertical="center"/>
    </xf>
    <xf numFmtId="0" fontId="0" fillId="9" borderId="16" xfId="0" applyFill="1" applyBorder="1" applyAlignment="1">
      <alignment horizontal="center" vertical="center"/>
    </xf>
    <xf numFmtId="166" fontId="0" fillId="9" borderId="10" xfId="0" applyNumberFormat="1" applyFill="1" applyBorder="1" applyAlignment="1">
      <alignment horizontal="center" vertical="center"/>
    </xf>
    <xf numFmtId="166" fontId="0" fillId="9" borderId="17" xfId="0" applyNumberFormat="1" applyFill="1" applyBorder="1" applyAlignment="1">
      <alignment horizontal="center" vertical="center"/>
    </xf>
    <xf numFmtId="164" fontId="0" fillId="9" borderId="45" xfId="0" applyNumberFormat="1" applyFill="1" applyBorder="1" applyAlignment="1">
      <alignment horizontal="center" vertical="center"/>
    </xf>
    <xf numFmtId="164" fontId="0" fillId="9" borderId="4" xfId="0" applyNumberFormat="1" applyFill="1" applyBorder="1" applyAlignment="1">
      <alignment horizontal="center" vertical="center"/>
    </xf>
    <xf numFmtId="164" fontId="0" fillId="9" borderId="48" xfId="0" applyNumberFormat="1" applyFill="1" applyBorder="1" applyAlignment="1">
      <alignment horizontal="center" vertical="center"/>
    </xf>
    <xf numFmtId="0" fontId="29" fillId="9" borderId="0" xfId="0" quotePrefix="1" applyFont="1" applyFill="1" applyBorder="1" applyAlignment="1" applyProtection="1">
      <alignment horizontal="center" vertical="center"/>
      <protection hidden="1"/>
    </xf>
    <xf numFmtId="0" fontId="28" fillId="11" borderId="47" xfId="0" applyFont="1" applyFill="1" applyBorder="1" applyAlignment="1" applyProtection="1">
      <alignment horizontal="center" vertical="center"/>
      <protection hidden="1"/>
    </xf>
    <xf numFmtId="0" fontId="28" fillId="11" borderId="16" xfId="0" applyFont="1" applyFill="1" applyBorder="1" applyAlignment="1" applyProtection="1">
      <alignment horizontal="center" vertical="center"/>
      <protection hidden="1"/>
    </xf>
    <xf numFmtId="0" fontId="28" fillId="11" borderId="42" xfId="0" applyFont="1" applyFill="1" applyBorder="1" applyAlignment="1" applyProtection="1">
      <alignment horizontal="center" vertical="center"/>
      <protection hidden="1"/>
    </xf>
    <xf numFmtId="0" fontId="29" fillId="0" borderId="50" xfId="0" applyFont="1" applyFill="1" applyBorder="1" applyAlignment="1" applyProtection="1">
      <alignment horizontal="center" vertical="center"/>
      <protection hidden="1"/>
    </xf>
    <xf numFmtId="0" fontId="29" fillId="0" borderId="22" xfId="0" applyFont="1" applyFill="1" applyBorder="1" applyAlignment="1" applyProtection="1">
      <alignment horizontal="center" vertical="center"/>
      <protection hidden="1"/>
    </xf>
    <xf numFmtId="0" fontId="29" fillId="0" borderId="10" xfId="0" applyFont="1" applyFill="1" applyBorder="1" applyAlignment="1" applyProtection="1">
      <alignment horizontal="center" vertical="center"/>
      <protection hidden="1"/>
    </xf>
    <xf numFmtId="3" fontId="29" fillId="0" borderId="50" xfId="0" applyNumberFormat="1" applyFont="1" applyFill="1" applyBorder="1" applyAlignment="1" applyProtection="1">
      <alignment horizontal="center" vertical="center"/>
      <protection hidden="1"/>
    </xf>
    <xf numFmtId="3" fontId="29" fillId="0" borderId="22" xfId="0" applyNumberFormat="1" applyFont="1" applyFill="1" applyBorder="1" applyAlignment="1" applyProtection="1">
      <alignment horizontal="center" vertical="center"/>
      <protection hidden="1"/>
    </xf>
    <xf numFmtId="3" fontId="29" fillId="0" borderId="10" xfId="0" applyNumberFormat="1" applyFont="1" applyFill="1" applyBorder="1" applyAlignment="1" applyProtection="1">
      <alignment horizontal="center" vertical="center"/>
      <protection hidden="1"/>
    </xf>
    <xf numFmtId="0" fontId="1" fillId="12" borderId="36" xfId="0" applyNumberFormat="1" applyFont="1" applyFill="1" applyBorder="1" applyAlignment="1" applyProtection="1">
      <alignment horizontal="center" vertical="center" wrapText="1"/>
      <protection hidden="1"/>
    </xf>
    <xf numFmtId="0" fontId="1" fillId="13" borderId="36" xfId="0" applyNumberFormat="1" applyFont="1" applyFill="1" applyBorder="1" applyAlignment="1" applyProtection="1">
      <alignment horizontal="center" vertical="center" wrapText="1"/>
      <protection hidden="1"/>
    </xf>
    <xf numFmtId="0" fontId="1" fillId="14" borderId="36" xfId="0" applyNumberFormat="1" applyFont="1" applyFill="1" applyBorder="1" applyAlignment="1" applyProtection="1">
      <alignment horizontal="center" vertical="center" wrapText="1"/>
      <protection hidden="1"/>
    </xf>
    <xf numFmtId="166" fontId="29" fillId="0" borderId="50" xfId="0" applyNumberFormat="1" applyFont="1" applyFill="1" applyBorder="1" applyAlignment="1" applyProtection="1">
      <alignment horizontal="center" vertical="center"/>
      <protection hidden="1"/>
    </xf>
    <xf numFmtId="166" fontId="29" fillId="0" borderId="22" xfId="0" applyNumberFormat="1" applyFont="1" applyFill="1" applyBorder="1" applyAlignment="1" applyProtection="1">
      <alignment horizontal="center" vertical="center"/>
      <protection hidden="1"/>
    </xf>
    <xf numFmtId="166" fontId="29" fillId="0" borderId="10" xfId="0" applyNumberFormat="1" applyFont="1" applyFill="1" applyBorder="1" applyAlignment="1" applyProtection="1">
      <alignment horizontal="center" vertical="center"/>
      <protection hidden="1"/>
    </xf>
    <xf numFmtId="166" fontId="28" fillId="11" borderId="50" xfId="0" applyNumberFormat="1" applyFont="1" applyFill="1" applyBorder="1" applyAlignment="1" applyProtection="1">
      <alignment horizontal="center" vertical="center"/>
      <protection hidden="1"/>
    </xf>
    <xf numFmtId="166" fontId="28" fillId="11" borderId="22" xfId="0" applyNumberFormat="1" applyFont="1" applyFill="1" applyBorder="1" applyAlignment="1" applyProtection="1">
      <alignment horizontal="center" vertical="center"/>
      <protection hidden="1"/>
    </xf>
    <xf numFmtId="166" fontId="28" fillId="11" borderId="10" xfId="0" applyNumberFormat="1" applyFont="1" applyFill="1" applyBorder="1" applyAlignment="1" applyProtection="1">
      <alignment horizontal="center" vertical="center"/>
      <protection hidden="1"/>
    </xf>
    <xf numFmtId="0" fontId="1" fillId="3" borderId="26" xfId="0" applyNumberFormat="1" applyFont="1" applyFill="1" applyBorder="1" applyAlignment="1" applyProtection="1">
      <alignment horizontal="center" vertical="center" wrapText="1"/>
      <protection hidden="1"/>
    </xf>
    <xf numFmtId="0" fontId="1" fillId="3" borderId="27" xfId="0" applyNumberFormat="1" applyFont="1" applyFill="1" applyBorder="1" applyAlignment="1" applyProtection="1">
      <alignment horizontal="center" vertical="center" wrapText="1"/>
      <protection hidden="1"/>
    </xf>
    <xf numFmtId="1" fontId="29" fillId="0" borderId="50" xfId="0" applyNumberFormat="1" applyFont="1" applyFill="1" applyBorder="1" applyAlignment="1" applyProtection="1">
      <alignment horizontal="center" vertical="center"/>
      <protection hidden="1"/>
    </xf>
    <xf numFmtId="0" fontId="1" fillId="3" borderId="2" xfId="0" applyNumberFormat="1" applyFont="1" applyFill="1" applyBorder="1" applyAlignment="1" applyProtection="1">
      <alignment horizontal="center" vertical="center" wrapText="1"/>
      <protection hidden="1"/>
    </xf>
    <xf numFmtId="0" fontId="1" fillId="3" borderId="54" xfId="0" applyNumberFormat="1" applyFont="1" applyFill="1" applyBorder="1" applyAlignment="1" applyProtection="1">
      <alignment horizontal="center" vertical="center" wrapText="1"/>
      <protection hidden="1"/>
    </xf>
    <xf numFmtId="0" fontId="1" fillId="3" borderId="37" xfId="0" applyNumberFormat="1" applyFont="1" applyFill="1" applyBorder="1" applyAlignment="1" applyProtection="1">
      <alignment horizontal="center" vertical="center" wrapText="1"/>
      <protection hidden="1"/>
    </xf>
    <xf numFmtId="0" fontId="0" fillId="9" borderId="55" xfId="0" applyFill="1" applyBorder="1" applyAlignment="1">
      <alignment horizontal="center" vertical="center"/>
    </xf>
    <xf numFmtId="0" fontId="0" fillId="9" borderId="56" xfId="0" applyFill="1" applyBorder="1" applyAlignment="1">
      <alignment horizontal="center" vertical="center"/>
    </xf>
    <xf numFmtId="0" fontId="0" fillId="9" borderId="57" xfId="0" applyFill="1" applyBorder="1" applyAlignment="1">
      <alignment horizontal="center" vertical="center"/>
    </xf>
    <xf numFmtId="0" fontId="3" fillId="2" borderId="0" xfId="0" applyNumberFormat="1" applyFont="1" applyFill="1" applyBorder="1" applyAlignment="1" applyProtection="1">
      <alignment horizontal="center" vertical="center"/>
      <protection hidden="1"/>
    </xf>
    <xf numFmtId="0" fontId="1" fillId="3" borderId="19" xfId="0" applyNumberFormat="1" applyFont="1" applyFill="1" applyBorder="1" applyAlignment="1" applyProtection="1">
      <alignment horizontal="right" vertical="center"/>
      <protection hidden="1"/>
    </xf>
    <xf numFmtId="0" fontId="1" fillId="7" borderId="24" xfId="0" applyNumberFormat="1" applyFont="1" applyFill="1" applyBorder="1" applyAlignment="1" applyProtection="1">
      <alignment horizontal="right" vertical="center"/>
      <protection hidden="1"/>
    </xf>
    <xf numFmtId="0" fontId="2" fillId="2" borderId="0" xfId="0" applyFont="1" applyFill="1" applyAlignment="1" applyProtection="1">
      <alignment horizontal="center" vertical="center"/>
      <protection hidden="1"/>
    </xf>
    <xf numFmtId="0" fontId="2" fillId="2" borderId="0" xfId="0" applyNumberFormat="1" applyFont="1" applyFill="1" applyBorder="1" applyAlignment="1" applyProtection="1">
      <alignment horizontal="center" vertical="center"/>
      <protection hidden="1"/>
    </xf>
    <xf numFmtId="0" fontId="3" fillId="2" borderId="22" xfId="0" applyNumberFormat="1" applyFont="1" applyFill="1" applyBorder="1" applyAlignment="1" applyProtection="1">
      <alignment vertical="center" wrapText="1"/>
      <protection hidden="1"/>
    </xf>
    <xf numFmtId="0" fontId="3" fillId="2" borderId="22" xfId="0" applyNumberFormat="1" applyFont="1" applyFill="1" applyBorder="1" applyAlignment="1" applyProtection="1">
      <alignment vertical="center"/>
      <protection hidden="1"/>
    </xf>
    <xf numFmtId="0" fontId="29" fillId="9" borderId="25" xfId="0" applyFont="1" applyFill="1" applyBorder="1" applyAlignment="1" applyProtection="1">
      <alignment horizontal="center" vertical="center"/>
      <protection hidden="1"/>
    </xf>
    <xf numFmtId="164" fontId="29" fillId="9" borderId="26" xfId="0" applyNumberFormat="1" applyFont="1" applyFill="1" applyBorder="1" applyAlignment="1" applyProtection="1">
      <alignment horizontal="center" vertical="center"/>
      <protection hidden="1"/>
    </xf>
    <xf numFmtId="0" fontId="3" fillId="15" borderId="22" xfId="0" applyNumberFormat="1" applyFont="1" applyFill="1" applyBorder="1" applyAlignment="1" applyProtection="1">
      <alignment horizontal="center" vertical="center" wrapText="1"/>
      <protection hidden="1"/>
    </xf>
    <xf numFmtId="0" fontId="2" fillId="15" borderId="58" xfId="0" applyFont="1" applyFill="1" applyBorder="1" applyAlignment="1" applyProtection="1">
      <alignment horizontal="left" vertical="center"/>
      <protection hidden="1"/>
    </xf>
    <xf numFmtId="166" fontId="2" fillId="15" borderId="56" xfId="0" applyNumberFormat="1" applyFont="1" applyFill="1" applyBorder="1" applyAlignment="1" applyProtection="1">
      <alignment horizontal="center" vertical="center"/>
      <protection hidden="1"/>
    </xf>
    <xf numFmtId="2" fontId="3" fillId="15" borderId="56" xfId="0" applyNumberFormat="1" applyFont="1" applyFill="1" applyBorder="1" applyAlignment="1" applyProtection="1">
      <alignment horizontal="center" vertical="center" wrapText="1"/>
      <protection hidden="1"/>
    </xf>
    <xf numFmtId="3" fontId="3" fillId="15" borderId="52" xfId="0" applyNumberFormat="1" applyFont="1" applyFill="1" applyBorder="1" applyAlignment="1" applyProtection="1">
      <alignment horizontal="center" vertical="center" wrapText="1"/>
      <protection hidden="1"/>
    </xf>
    <xf numFmtId="0" fontId="2" fillId="15" borderId="47" xfId="0" applyNumberFormat="1" applyFont="1" applyFill="1" applyBorder="1" applyAlignment="1" applyProtection="1">
      <alignment horizontal="left" vertical="center"/>
      <protection hidden="1"/>
    </xf>
    <xf numFmtId="0" fontId="2" fillId="15" borderId="16" xfId="0" applyNumberFormat="1" applyFont="1" applyFill="1" applyBorder="1" applyAlignment="1" applyProtection="1">
      <alignment horizontal="left" vertical="center"/>
      <protection hidden="1"/>
    </xf>
    <xf numFmtId="166" fontId="2" fillId="15" borderId="57" xfId="0" applyNumberFormat="1" applyFont="1" applyFill="1" applyBorder="1" applyAlignment="1" applyProtection="1">
      <alignment horizontal="center" vertical="center"/>
      <protection hidden="1"/>
    </xf>
    <xf numFmtId="0" fontId="3" fillId="15" borderId="10" xfId="0" applyNumberFormat="1" applyFont="1" applyFill="1" applyBorder="1" applyAlignment="1" applyProtection="1">
      <alignment horizontal="center" vertical="center" wrapText="1"/>
      <protection hidden="1"/>
    </xf>
    <xf numFmtId="2" fontId="3" fillId="15" borderId="57" xfId="0" applyNumberFormat="1" applyFont="1" applyFill="1" applyBorder="1" applyAlignment="1" applyProtection="1">
      <alignment horizontal="center" vertical="center" wrapText="1"/>
      <protection hidden="1"/>
    </xf>
    <xf numFmtId="3" fontId="3" fillId="15" borderId="53" xfId="0" applyNumberFormat="1" applyFont="1" applyFill="1" applyBorder="1" applyAlignment="1" applyProtection="1">
      <alignment horizontal="center" vertical="center" wrapText="1"/>
      <protection hidden="1"/>
    </xf>
    <xf numFmtId="0" fontId="28" fillId="9" borderId="0" xfId="0" applyFont="1" applyFill="1" applyAlignment="1" applyProtection="1">
      <alignment horizontal="left" vertical="center"/>
      <protection hidden="1"/>
    </xf>
    <xf numFmtId="0" fontId="2" fillId="9" borderId="0" xfId="0" applyNumberFormat="1" applyFont="1" applyFill="1" applyBorder="1" applyAlignment="1" applyProtection="1">
      <alignment vertical="center" wrapText="1"/>
      <protection hidden="1"/>
    </xf>
    <xf numFmtId="0" fontId="1" fillId="3" borderId="28" xfId="0" applyNumberFormat="1" applyFont="1" applyFill="1" applyBorder="1" applyAlignment="1" applyProtection="1">
      <alignment horizontal="center" vertical="center" wrapText="1"/>
      <protection hidden="1"/>
    </xf>
    <xf numFmtId="0" fontId="1" fillId="3" borderId="12" xfId="0" applyNumberFormat="1" applyFont="1" applyFill="1" applyBorder="1" applyAlignment="1" applyProtection="1">
      <alignment horizontal="center" vertical="center" wrapText="1"/>
      <protection hidden="1"/>
    </xf>
    <xf numFmtId="0" fontId="1" fillId="3" borderId="29" xfId="0" applyNumberFormat="1" applyFont="1" applyFill="1" applyBorder="1" applyAlignment="1" applyProtection="1">
      <alignment horizontal="center" vertical="center" wrapText="1"/>
      <protection hidden="1"/>
    </xf>
    <xf numFmtId="166" fontId="2" fillId="15" borderId="58" xfId="0" applyNumberFormat="1" applyFont="1" applyFill="1" applyBorder="1" applyAlignment="1" applyProtection="1">
      <alignment horizontal="center" vertical="center"/>
      <protection hidden="1"/>
    </xf>
    <xf numFmtId="0" fontId="3" fillId="15" borderId="50" xfId="0" applyNumberFormat="1" applyFont="1" applyFill="1" applyBorder="1" applyAlignment="1" applyProtection="1">
      <alignment horizontal="center" vertical="center" wrapText="1"/>
      <protection hidden="1"/>
    </xf>
    <xf numFmtId="2" fontId="3" fillId="15" borderId="58" xfId="0" applyNumberFormat="1" applyFont="1" applyFill="1" applyBorder="1" applyAlignment="1" applyProtection="1">
      <alignment horizontal="center" vertical="center" wrapText="1"/>
      <protection hidden="1"/>
    </xf>
    <xf numFmtId="3" fontId="3" fillId="15" borderId="20" xfId="0" applyNumberFormat="1" applyFont="1" applyFill="1" applyBorder="1" applyAlignment="1" applyProtection="1">
      <alignment horizontal="center" vertical="center" wrapText="1"/>
      <protection hidden="1"/>
    </xf>
    <xf numFmtId="0" fontId="3" fillId="3" borderId="11" xfId="15" applyFont="1" applyFill="1" applyBorder="1" applyAlignment="1" applyProtection="1">
      <alignment horizontal="left" vertical="center" wrapText="1" indent="1"/>
      <protection hidden="1"/>
    </xf>
    <xf numFmtId="43" fontId="1" fillId="0" borderId="42" xfId="15" applyNumberFormat="1" applyFont="1" applyBorder="1" applyAlignment="1" applyProtection="1">
      <alignment horizontal="center" vertical="center"/>
      <protection hidden="1"/>
    </xf>
    <xf numFmtId="43" fontId="1" fillId="0" borderId="50" xfId="15" applyNumberFormat="1" applyFont="1" applyBorder="1" applyAlignment="1" applyProtection="1">
      <alignment horizontal="center" vertical="center"/>
      <protection hidden="1"/>
    </xf>
    <xf numFmtId="41" fontId="1" fillId="0" borderId="43" xfId="15" applyNumberFormat="1" applyFont="1" applyBorder="1" applyAlignment="1" applyProtection="1">
      <alignment horizontal="center" vertical="center"/>
      <protection hidden="1"/>
    </xf>
    <xf numFmtId="0" fontId="3" fillId="3" borderId="12" xfId="15" applyFont="1" applyFill="1" applyBorder="1" applyAlignment="1" applyProtection="1">
      <alignment horizontal="left" vertical="center" wrapText="1" indent="1"/>
      <protection hidden="1"/>
    </xf>
    <xf numFmtId="43" fontId="1" fillId="0" borderId="47" xfId="15" applyNumberFormat="1" applyFont="1" applyBorder="1" applyAlignment="1" applyProtection="1">
      <alignment horizontal="center" vertical="center"/>
      <protection hidden="1"/>
    </xf>
    <xf numFmtId="43" fontId="1" fillId="0" borderId="22" xfId="15" applyNumberFormat="1" applyFont="1" applyBorder="1" applyAlignment="1" applyProtection="1">
      <alignment horizontal="center" vertical="center"/>
      <protection hidden="1"/>
    </xf>
    <xf numFmtId="41" fontId="1" fillId="0" borderId="48" xfId="15" applyNumberFormat="1" applyFont="1" applyBorder="1" applyAlignment="1" applyProtection="1">
      <alignment horizontal="center" vertical="center"/>
      <protection hidden="1"/>
    </xf>
    <xf numFmtId="43" fontId="1" fillId="0" borderId="44" xfId="15" applyNumberFormat="1" applyFont="1" applyBorder="1" applyAlignment="1" applyProtection="1">
      <alignment horizontal="center" vertical="center"/>
      <protection hidden="1"/>
    </xf>
    <xf numFmtId="43" fontId="1" fillId="0" borderId="45" xfId="15" applyNumberFormat="1" applyFont="1" applyBorder="1" applyAlignment="1" applyProtection="1">
      <alignment horizontal="center" vertical="center"/>
      <protection hidden="1"/>
    </xf>
    <xf numFmtId="0" fontId="12" fillId="9" borderId="0" xfId="0" applyFont="1" applyFill="1" applyBorder="1" applyAlignment="1" applyProtection="1">
      <alignment horizontal="left" vertical="center"/>
      <protection hidden="1"/>
    </xf>
    <xf numFmtId="0" fontId="17" fillId="9" borderId="0" xfId="0" applyFont="1" applyFill="1" applyBorder="1" applyAlignment="1" applyProtection="1">
      <alignment horizontal="left" vertical="center"/>
      <protection hidden="1"/>
    </xf>
    <xf numFmtId="43" fontId="10" fillId="17" borderId="0" xfId="2" applyFont="1" applyFill="1" applyBorder="1" applyAlignment="1" applyProtection="1">
      <alignment horizontal="center" vertical="center" wrapText="1"/>
      <protection hidden="1"/>
    </xf>
    <xf numFmtId="41" fontId="10" fillId="17" borderId="0" xfId="1" applyNumberFormat="1" applyFont="1" applyFill="1" applyBorder="1" applyAlignment="1" applyProtection="1">
      <alignment horizontal="center" vertical="center" wrapText="1"/>
      <protection hidden="1"/>
    </xf>
    <xf numFmtId="0" fontId="1" fillId="9" borderId="0" xfId="0" applyFont="1" applyFill="1" applyBorder="1" applyAlignment="1" applyProtection="1">
      <alignment vertical="center"/>
      <protection hidden="1"/>
    </xf>
    <xf numFmtId="43" fontId="10" fillId="17" borderId="0" xfId="1" applyFont="1" applyFill="1" applyBorder="1" applyAlignment="1" applyProtection="1">
      <alignment horizontal="center" vertical="center" wrapText="1"/>
      <protection hidden="1"/>
    </xf>
    <xf numFmtId="0" fontId="2" fillId="9" borderId="0" xfId="0" applyFont="1" applyFill="1" applyAlignment="1" applyProtection="1">
      <alignment vertical="center"/>
      <protection hidden="1"/>
    </xf>
    <xf numFmtId="0" fontId="2" fillId="15" borderId="56" xfId="0" applyNumberFormat="1" applyFont="1" applyFill="1" applyBorder="1" applyAlignment="1" applyProtection="1">
      <alignment horizontal="left" vertical="center"/>
      <protection hidden="1"/>
    </xf>
    <xf numFmtId="0" fontId="2" fillId="15" borderId="57" xfId="0" applyNumberFormat="1" applyFont="1" applyFill="1" applyBorder="1" applyAlignment="1" applyProtection="1">
      <alignment horizontal="left" vertical="center"/>
      <protection hidden="1"/>
    </xf>
    <xf numFmtId="43" fontId="1" fillId="10" borderId="44" xfId="15" applyNumberFormat="1" applyFont="1" applyFill="1" applyBorder="1" applyAlignment="1" applyProtection="1">
      <alignment horizontal="center" vertical="center"/>
      <protection hidden="1"/>
    </xf>
    <xf numFmtId="43" fontId="1" fillId="10" borderId="62" xfId="15" applyNumberFormat="1" applyFont="1" applyFill="1" applyBorder="1" applyAlignment="1" applyProtection="1">
      <alignment horizontal="center" vertical="center"/>
      <protection hidden="1"/>
    </xf>
    <xf numFmtId="43" fontId="1" fillId="10" borderId="45" xfId="15" applyNumberFormat="1" applyFont="1" applyFill="1" applyBorder="1" applyAlignment="1" applyProtection="1">
      <alignment horizontal="center" vertical="center"/>
      <protection hidden="1"/>
    </xf>
    <xf numFmtId="41" fontId="1" fillId="10" borderId="4" xfId="15" applyNumberFormat="1" applyFont="1" applyFill="1" applyBorder="1" applyAlignment="1" applyProtection="1">
      <alignment horizontal="center" vertical="center"/>
      <protection hidden="1"/>
    </xf>
    <xf numFmtId="43" fontId="1" fillId="10" borderId="42" xfId="15" applyNumberFormat="1" applyFont="1" applyFill="1" applyBorder="1" applyAlignment="1" applyProtection="1">
      <alignment horizontal="center" vertical="center"/>
      <protection hidden="1"/>
    </xf>
    <xf numFmtId="43" fontId="1" fillId="10" borderId="19" xfId="15" applyNumberFormat="1" applyFont="1" applyFill="1" applyBorder="1" applyAlignment="1" applyProtection="1">
      <alignment horizontal="center" vertical="center"/>
      <protection hidden="1"/>
    </xf>
    <xf numFmtId="43" fontId="1" fillId="10" borderId="50" xfId="15" applyNumberFormat="1" applyFont="1" applyFill="1" applyBorder="1" applyAlignment="1" applyProtection="1">
      <alignment horizontal="center" vertical="center"/>
      <protection hidden="1"/>
    </xf>
    <xf numFmtId="41" fontId="1" fillId="10" borderId="43" xfId="15" applyNumberFormat="1" applyFont="1" applyFill="1" applyBorder="1" applyAlignment="1" applyProtection="1">
      <alignment horizontal="center" vertical="center"/>
      <protection hidden="1"/>
    </xf>
    <xf numFmtId="43" fontId="1" fillId="10" borderId="47" xfId="15" applyNumberFormat="1" applyFont="1" applyFill="1" applyBorder="1" applyAlignment="1" applyProtection="1">
      <alignment horizontal="center" vertical="center"/>
      <protection hidden="1"/>
    </xf>
    <xf numFmtId="43" fontId="1" fillId="10" borderId="61" xfId="15" applyNumberFormat="1" applyFont="1" applyFill="1" applyBorder="1" applyAlignment="1" applyProtection="1">
      <alignment horizontal="center" vertical="center"/>
      <protection hidden="1"/>
    </xf>
    <xf numFmtId="43" fontId="1" fillId="10" borderId="22" xfId="15" applyNumberFormat="1" applyFont="1" applyFill="1" applyBorder="1" applyAlignment="1" applyProtection="1">
      <alignment horizontal="center" vertical="center"/>
      <protection hidden="1"/>
    </xf>
    <xf numFmtId="41" fontId="1" fillId="10" borderId="48" xfId="15" applyNumberFormat="1" applyFont="1" applyFill="1" applyBorder="1" applyAlignment="1" applyProtection="1">
      <alignment horizontal="center" vertical="center"/>
      <protection hidden="1"/>
    </xf>
    <xf numFmtId="43" fontId="1" fillId="10" borderId="16" xfId="15" applyNumberFormat="1" applyFont="1" applyFill="1" applyBorder="1" applyAlignment="1" applyProtection="1">
      <alignment horizontal="center" vertical="center"/>
      <protection hidden="1"/>
    </xf>
    <xf numFmtId="43" fontId="1" fillId="10" borderId="63" xfId="15" applyNumberFormat="1" applyFont="1" applyFill="1" applyBorder="1" applyAlignment="1" applyProtection="1">
      <alignment horizontal="center" vertical="center"/>
      <protection hidden="1"/>
    </xf>
    <xf numFmtId="43" fontId="1" fillId="10" borderId="10" xfId="15" applyNumberFormat="1" applyFont="1" applyFill="1" applyBorder="1" applyAlignment="1" applyProtection="1">
      <alignment horizontal="center" vertical="center"/>
      <protection hidden="1"/>
    </xf>
    <xf numFmtId="41" fontId="1" fillId="10" borderId="17" xfId="15" applyNumberFormat="1" applyFont="1" applyFill="1" applyBorder="1" applyAlignment="1" applyProtection="1">
      <alignment horizontal="center" vertical="center"/>
      <protection hidden="1"/>
    </xf>
    <xf numFmtId="43" fontId="9" fillId="10" borderId="64" xfId="15" applyNumberFormat="1" applyFont="1" applyFill="1" applyBorder="1" applyAlignment="1" applyProtection="1">
      <alignment horizontal="center" vertical="center" wrapText="1"/>
      <protection hidden="1"/>
    </xf>
    <xf numFmtId="43" fontId="9" fillId="10" borderId="37" xfId="15" applyNumberFormat="1" applyFont="1" applyFill="1" applyBorder="1" applyAlignment="1" applyProtection="1">
      <alignment horizontal="center" vertical="center" wrapText="1"/>
      <protection hidden="1"/>
    </xf>
    <xf numFmtId="43" fontId="9" fillId="10" borderId="54" xfId="15" applyNumberFormat="1" applyFont="1" applyFill="1" applyBorder="1" applyAlignment="1" applyProtection="1">
      <alignment horizontal="center" vertical="center" wrapText="1"/>
      <protection hidden="1"/>
    </xf>
    <xf numFmtId="41" fontId="9" fillId="10" borderId="65" xfId="15" applyNumberFormat="1" applyFont="1" applyFill="1" applyBorder="1" applyAlignment="1" applyProtection="1">
      <alignment horizontal="center" vertical="center" wrapText="1"/>
      <protection hidden="1"/>
    </xf>
    <xf numFmtId="0" fontId="6" fillId="15" borderId="31" xfId="22" applyFont="1" applyFill="1" applyBorder="1" applyAlignment="1" applyProtection="1">
      <alignment horizontal="left" vertical="center" wrapText="1" indent="4"/>
      <protection hidden="1"/>
    </xf>
    <xf numFmtId="0" fontId="3" fillId="3" borderId="70" xfId="15" applyFont="1" applyFill="1" applyBorder="1" applyAlignment="1" applyProtection="1">
      <alignment horizontal="left" vertical="center" wrapText="1" indent="1"/>
      <protection hidden="1"/>
    </xf>
    <xf numFmtId="43" fontId="1" fillId="0" borderId="25" xfId="15" applyNumberFormat="1" applyFont="1" applyBorder="1" applyAlignment="1" applyProtection="1">
      <alignment horizontal="center" vertical="center"/>
      <protection hidden="1"/>
    </xf>
    <xf numFmtId="43" fontId="1" fillId="10" borderId="24" xfId="15" applyNumberFormat="1" applyFont="1" applyFill="1" applyBorder="1" applyAlignment="1" applyProtection="1">
      <alignment horizontal="center" vertical="center"/>
      <protection hidden="1"/>
    </xf>
    <xf numFmtId="43" fontId="1" fillId="0" borderId="26" xfId="15" applyNumberFormat="1" applyFont="1" applyBorder="1" applyAlignment="1" applyProtection="1">
      <alignment horizontal="center" vertical="center"/>
      <protection hidden="1"/>
    </xf>
    <xf numFmtId="41" fontId="1" fillId="0" borderId="27" xfId="15" applyNumberFormat="1" applyFont="1" applyBorder="1" applyAlignment="1" applyProtection="1">
      <alignment horizontal="center" vertical="center"/>
      <protection hidden="1"/>
    </xf>
    <xf numFmtId="43" fontId="1" fillId="10" borderId="25" xfId="15" applyNumberFormat="1" applyFont="1" applyFill="1" applyBorder="1" applyAlignment="1" applyProtection="1">
      <alignment horizontal="center" vertical="center"/>
      <protection hidden="1"/>
    </xf>
    <xf numFmtId="43" fontId="1" fillId="10" borderId="26" xfId="15" applyNumberFormat="1" applyFont="1" applyFill="1" applyBorder="1" applyAlignment="1" applyProtection="1">
      <alignment horizontal="center" vertical="center"/>
      <protection hidden="1"/>
    </xf>
    <xf numFmtId="41" fontId="1" fillId="10" borderId="27" xfId="15" applyNumberFormat="1" applyFont="1" applyFill="1" applyBorder="1" applyAlignment="1" applyProtection="1">
      <alignment horizontal="center" vertical="center"/>
      <protection hidden="1"/>
    </xf>
    <xf numFmtId="4" fontId="2" fillId="15" borderId="58" xfId="0" applyNumberFormat="1" applyFont="1" applyFill="1" applyBorder="1" applyAlignment="1" applyProtection="1">
      <alignment horizontal="center" vertical="center"/>
      <protection hidden="1"/>
    </xf>
    <xf numFmtId="4" fontId="2" fillId="15" borderId="56" xfId="0" applyNumberFormat="1" applyFont="1" applyFill="1" applyBorder="1" applyAlignment="1" applyProtection="1">
      <alignment horizontal="center" vertical="center"/>
      <protection hidden="1"/>
    </xf>
    <xf numFmtId="4" fontId="2" fillId="15" borderId="57" xfId="0" applyNumberFormat="1" applyFont="1" applyFill="1" applyBorder="1" applyAlignment="1" applyProtection="1">
      <alignment horizontal="center" vertical="center"/>
      <protection hidden="1"/>
    </xf>
    <xf numFmtId="0" fontId="1" fillId="3" borderId="56" xfId="0" applyNumberFormat="1" applyFont="1" applyFill="1" applyBorder="1" applyAlignment="1" applyProtection="1">
      <alignment horizontal="center" vertical="center" wrapText="1"/>
      <protection hidden="1"/>
    </xf>
    <xf numFmtId="0" fontId="1" fillId="3" borderId="60" xfId="0" applyNumberFormat="1" applyFont="1" applyFill="1" applyBorder="1" applyAlignment="1" applyProtection="1">
      <alignment horizontal="center" vertical="center" wrapText="1"/>
      <protection hidden="1"/>
    </xf>
    <xf numFmtId="0" fontId="1" fillId="3" borderId="57" xfId="0" applyNumberFormat="1" applyFont="1" applyFill="1" applyBorder="1" applyAlignment="1" applyProtection="1">
      <alignment horizontal="center" vertical="center" wrapText="1"/>
      <protection hidden="1"/>
    </xf>
    <xf numFmtId="166" fontId="0" fillId="9" borderId="55" xfId="0" applyNumberFormat="1" applyFill="1" applyBorder="1" applyAlignment="1">
      <alignment horizontal="center" vertical="center"/>
    </xf>
    <xf numFmtId="166" fontId="0" fillId="9" borderId="56" xfId="0" applyNumberFormat="1" applyFill="1" applyBorder="1" applyAlignment="1">
      <alignment horizontal="center" vertical="center"/>
    </xf>
    <xf numFmtId="166" fontId="0" fillId="9" borderId="57" xfId="0" applyNumberFormat="1" applyFill="1" applyBorder="1" applyAlignment="1">
      <alignment horizontal="center" vertical="center"/>
    </xf>
    <xf numFmtId="0" fontId="1" fillId="3" borderId="47" xfId="0" applyNumberFormat="1" applyFont="1" applyFill="1" applyBorder="1" applyAlignment="1" applyProtection="1">
      <alignment horizontal="center" vertical="center" wrapText="1"/>
      <protection hidden="1"/>
    </xf>
    <xf numFmtId="0" fontId="1" fillId="3" borderId="25" xfId="0" applyNumberFormat="1" applyFont="1" applyFill="1" applyBorder="1" applyAlignment="1" applyProtection="1">
      <alignment horizontal="center" vertical="center" wrapText="1"/>
      <protection hidden="1"/>
    </xf>
    <xf numFmtId="0" fontId="1" fillId="3" borderId="16" xfId="0" applyNumberFormat="1" applyFont="1" applyFill="1" applyBorder="1" applyAlignment="1" applyProtection="1">
      <alignment horizontal="center" vertical="center" wrapText="1"/>
      <protection hidden="1"/>
    </xf>
    <xf numFmtId="166" fontId="0" fillId="9" borderId="44" xfId="0" applyNumberFormat="1" applyFill="1" applyBorder="1" applyAlignment="1">
      <alignment horizontal="center" vertical="center"/>
    </xf>
    <xf numFmtId="166" fontId="0" fillId="9" borderId="47" xfId="0" applyNumberFormat="1" applyFill="1" applyBorder="1" applyAlignment="1">
      <alignment horizontal="center" vertical="center"/>
    </xf>
    <xf numFmtId="166" fontId="0" fillId="9" borderId="16" xfId="0" applyNumberFormat="1" applyFill="1" applyBorder="1" applyAlignment="1">
      <alignment horizontal="center" vertical="center"/>
    </xf>
    <xf numFmtId="0" fontId="1" fillId="3" borderId="61" xfId="0" applyNumberFormat="1" applyFont="1" applyFill="1" applyBorder="1" applyAlignment="1" applyProtection="1">
      <alignment horizontal="center" vertical="center" wrapText="1"/>
      <protection hidden="1"/>
    </xf>
    <xf numFmtId="0" fontId="1" fillId="3" borderId="24" xfId="0" applyNumberFormat="1" applyFont="1" applyFill="1" applyBorder="1" applyAlignment="1" applyProtection="1">
      <alignment horizontal="center" vertical="center" wrapText="1"/>
      <protection hidden="1"/>
    </xf>
    <xf numFmtId="0" fontId="1" fillId="3" borderId="63" xfId="0" applyNumberFormat="1" applyFont="1" applyFill="1" applyBorder="1" applyAlignment="1" applyProtection="1">
      <alignment horizontal="center" vertical="center" wrapText="1"/>
      <protection hidden="1"/>
    </xf>
    <xf numFmtId="166" fontId="0" fillId="9" borderId="62" xfId="0" applyNumberFormat="1" applyFill="1" applyBorder="1" applyAlignment="1">
      <alignment horizontal="center" vertical="center"/>
    </xf>
    <xf numFmtId="166" fontId="0" fillId="9" borderId="61" xfId="0" applyNumberFormat="1" applyFill="1" applyBorder="1" applyAlignment="1">
      <alignment horizontal="center" vertical="center"/>
    </xf>
    <xf numFmtId="166" fontId="0" fillId="9" borderId="63" xfId="0" applyNumberFormat="1" applyFill="1" applyBorder="1" applyAlignment="1">
      <alignment horizontal="center" vertical="center"/>
    </xf>
    <xf numFmtId="0" fontId="1" fillId="3" borderId="23" xfId="0" applyNumberFormat="1" applyFont="1" applyFill="1" applyBorder="1" applyAlignment="1" applyProtection="1">
      <alignment horizontal="center" vertical="center" wrapText="1"/>
      <protection hidden="1"/>
    </xf>
    <xf numFmtId="0" fontId="1" fillId="3" borderId="72" xfId="0" applyNumberFormat="1" applyFont="1" applyFill="1" applyBorder="1" applyAlignment="1" applyProtection="1">
      <alignment horizontal="center" vertical="center" wrapText="1"/>
      <protection hidden="1"/>
    </xf>
    <xf numFmtId="0" fontId="1" fillId="3" borderId="49" xfId="0" applyNumberFormat="1" applyFont="1" applyFill="1" applyBorder="1" applyAlignment="1" applyProtection="1">
      <alignment horizontal="center" vertical="center" wrapText="1"/>
      <protection hidden="1"/>
    </xf>
    <xf numFmtId="166" fontId="0" fillId="9" borderId="46" xfId="0" applyNumberFormat="1" applyFill="1" applyBorder="1" applyAlignment="1">
      <alignment horizontal="center" vertical="center"/>
    </xf>
    <xf numFmtId="166" fontId="0" fillId="9" borderId="23" xfId="0" applyNumberFormat="1" applyFill="1" applyBorder="1" applyAlignment="1">
      <alignment horizontal="center" vertical="center"/>
    </xf>
    <xf numFmtId="166" fontId="0" fillId="9" borderId="49" xfId="0" applyNumberFormat="1" applyFill="1" applyBorder="1" applyAlignment="1">
      <alignment horizontal="center" vertical="center"/>
    </xf>
    <xf numFmtId="0" fontId="21" fillId="5" borderId="23" xfId="0" applyNumberFormat="1" applyFont="1" applyFill="1" applyBorder="1" applyAlignment="1" applyProtection="1">
      <alignment horizontal="center" vertical="center" wrapText="1"/>
      <protection hidden="1"/>
    </xf>
    <xf numFmtId="0" fontId="12" fillId="3" borderId="14" xfId="0" applyFont="1" applyFill="1" applyBorder="1" applyAlignment="1" applyProtection="1">
      <alignment horizontal="left" vertical="center"/>
      <protection hidden="1"/>
    </xf>
    <xf numFmtId="0" fontId="12" fillId="3" borderId="15" xfId="0" applyFont="1" applyFill="1" applyBorder="1" applyAlignment="1" applyProtection="1">
      <alignment horizontal="center" vertical="center"/>
      <protection hidden="1"/>
    </xf>
    <xf numFmtId="0" fontId="2" fillId="0" borderId="50" xfId="0" applyFont="1" applyFill="1" applyBorder="1" applyAlignment="1" applyProtection="1">
      <alignment horizontal="center" vertical="center"/>
      <protection locked="0"/>
    </xf>
    <xf numFmtId="0" fontId="2" fillId="0" borderId="22" xfId="0" applyFont="1" applyFill="1" applyBorder="1" applyAlignment="1" applyProtection="1">
      <alignment horizontal="center" vertical="center"/>
      <protection locked="0"/>
    </xf>
    <xf numFmtId="0" fontId="1" fillId="6" borderId="48" xfId="15" applyFont="1" applyFill="1" applyBorder="1" applyAlignment="1" applyProtection="1">
      <alignment horizontal="center" vertical="center" wrapText="1"/>
      <protection hidden="1"/>
    </xf>
    <xf numFmtId="0" fontId="0" fillId="0" borderId="0" xfId="0" applyAlignment="1">
      <alignment wrapText="1"/>
    </xf>
    <xf numFmtId="167" fontId="2" fillId="2" borderId="0" xfId="15" applyNumberFormat="1" applyFont="1" applyFill="1" applyAlignment="1" applyProtection="1">
      <alignment vertical="center"/>
      <protection hidden="1"/>
    </xf>
    <xf numFmtId="0" fontId="1" fillId="6" borderId="22" xfId="15" applyFont="1" applyFill="1" applyBorder="1" applyAlignment="1" applyProtection="1">
      <alignment horizontal="center" vertical="center" wrapText="1"/>
      <protection hidden="1"/>
    </xf>
    <xf numFmtId="0" fontId="12" fillId="3" borderId="14" xfId="0" applyFont="1" applyFill="1" applyBorder="1" applyAlignment="1" applyProtection="1">
      <alignment horizontal="center" vertical="center"/>
      <protection hidden="1"/>
    </xf>
    <xf numFmtId="43" fontId="10" fillId="4" borderId="45" xfId="2" applyFont="1" applyFill="1" applyBorder="1" applyAlignment="1" applyProtection="1">
      <alignment horizontal="center" vertical="center" wrapText="1"/>
      <protection hidden="1"/>
    </xf>
    <xf numFmtId="165" fontId="10" fillId="16" borderId="50" xfId="1" applyNumberFormat="1" applyFont="1" applyFill="1" applyBorder="1" applyAlignment="1" applyProtection="1">
      <alignment horizontal="center" vertical="center" wrapText="1"/>
      <protection hidden="1"/>
    </xf>
    <xf numFmtId="43" fontId="10" fillId="4" borderId="36" xfId="1" applyFont="1" applyFill="1" applyBorder="1" applyAlignment="1" applyProtection="1">
      <alignment horizontal="center" vertical="center" wrapText="1"/>
      <protection hidden="1"/>
    </xf>
    <xf numFmtId="44" fontId="10" fillId="16" borderId="20" xfId="1" applyNumberFormat="1" applyFont="1" applyFill="1" applyBorder="1" applyAlignment="1" applyProtection="1">
      <alignment horizontal="center" vertical="center" wrapText="1"/>
      <protection hidden="1"/>
    </xf>
    <xf numFmtId="0" fontId="10" fillId="7" borderId="4" xfId="0" applyNumberFormat="1" applyFont="1" applyFill="1" applyBorder="1" applyAlignment="1" applyProtection="1">
      <alignment horizontal="center" vertical="center" wrapText="1"/>
      <protection hidden="1"/>
    </xf>
    <xf numFmtId="0" fontId="10" fillId="7" borderId="21" xfId="0" applyNumberFormat="1" applyFont="1" applyFill="1" applyBorder="1" applyAlignment="1" applyProtection="1">
      <alignment horizontal="center" vertical="center" wrapText="1"/>
      <protection hidden="1"/>
    </xf>
    <xf numFmtId="43" fontId="10" fillId="16" borderId="33" xfId="1" applyNumberFormat="1" applyFont="1" applyFill="1" applyBorder="1" applyAlignment="1" applyProtection="1">
      <alignment horizontal="center" vertical="center" wrapText="1"/>
      <protection hidden="1"/>
    </xf>
    <xf numFmtId="41" fontId="10" fillId="16" borderId="36" xfId="1" applyNumberFormat="1" applyFont="1" applyFill="1" applyBorder="1" applyAlignment="1" applyProtection="1">
      <alignment horizontal="center" vertical="center" wrapText="1"/>
      <protection hidden="1"/>
    </xf>
    <xf numFmtId="44" fontId="10" fillId="15" borderId="21" xfId="0" applyNumberFormat="1" applyFont="1" applyFill="1" applyBorder="1" applyAlignment="1" applyProtection="1">
      <alignment horizontal="center" vertical="center" wrapText="1"/>
      <protection hidden="1"/>
    </xf>
    <xf numFmtId="0" fontId="29" fillId="9" borderId="0" xfId="0" applyFont="1" applyFill="1" applyProtection="1">
      <protection hidden="1"/>
    </xf>
    <xf numFmtId="0" fontId="28" fillId="10" borderId="47" xfId="0" applyFont="1" applyFill="1" applyBorder="1" applyAlignment="1" applyProtection="1">
      <alignment horizontal="center" vertical="center"/>
      <protection hidden="1"/>
    </xf>
    <xf numFmtId="2" fontId="29" fillId="9" borderId="22" xfId="0" applyNumberFormat="1" applyFont="1" applyFill="1" applyBorder="1" applyAlignment="1" applyProtection="1">
      <alignment horizontal="center" vertical="center"/>
      <protection locked="0"/>
    </xf>
    <xf numFmtId="3" fontId="29" fillId="9" borderId="23" xfId="0" applyNumberFormat="1" applyFont="1" applyFill="1" applyBorder="1" applyAlignment="1" applyProtection="1">
      <alignment horizontal="center" vertical="center"/>
      <protection locked="0"/>
    </xf>
    <xf numFmtId="2" fontId="29" fillId="9" borderId="23" xfId="0" applyNumberFormat="1" applyFont="1" applyFill="1" applyBorder="1" applyAlignment="1" applyProtection="1">
      <alignment horizontal="center" vertical="center"/>
      <protection locked="0"/>
    </xf>
    <xf numFmtId="3" fontId="29" fillId="9" borderId="48" xfId="0" applyNumberFormat="1" applyFont="1" applyFill="1" applyBorder="1" applyAlignment="1" applyProtection="1">
      <alignment horizontal="center" vertical="center"/>
      <protection locked="0"/>
    </xf>
    <xf numFmtId="0" fontId="28" fillId="10" borderId="16" xfId="0" applyFont="1" applyFill="1" applyBorder="1" applyAlignment="1" applyProtection="1">
      <alignment horizontal="center" vertical="center"/>
      <protection hidden="1"/>
    </xf>
    <xf numFmtId="2" fontId="29" fillId="9" borderId="10" xfId="0" applyNumberFormat="1" applyFont="1" applyFill="1" applyBorder="1" applyAlignment="1" applyProtection="1">
      <alignment horizontal="center" vertical="center"/>
      <protection locked="0"/>
    </xf>
    <xf numFmtId="3" fontId="29" fillId="9" borderId="49" xfId="0" applyNumberFormat="1" applyFont="1" applyFill="1" applyBorder="1" applyAlignment="1" applyProtection="1">
      <alignment horizontal="center" vertical="center"/>
      <protection locked="0"/>
    </xf>
    <xf numFmtId="2" fontId="29" fillId="9" borderId="49" xfId="0" applyNumberFormat="1" applyFont="1" applyFill="1" applyBorder="1" applyAlignment="1" applyProtection="1">
      <alignment horizontal="center" vertical="center"/>
      <protection locked="0"/>
    </xf>
    <xf numFmtId="3" fontId="29" fillId="9" borderId="17" xfId="0" applyNumberFormat="1" applyFont="1" applyFill="1" applyBorder="1" applyAlignment="1" applyProtection="1">
      <alignment horizontal="center" vertical="center"/>
      <protection locked="0"/>
    </xf>
    <xf numFmtId="0" fontId="29" fillId="9" borderId="22" xfId="0" applyFont="1" applyFill="1" applyBorder="1" applyAlignment="1" applyProtection="1">
      <alignment horizontal="center" vertical="center"/>
      <protection hidden="1"/>
    </xf>
    <xf numFmtId="0" fontId="10" fillId="10" borderId="2" xfId="0" applyNumberFormat="1" applyFont="1" applyFill="1" applyBorder="1" applyAlignment="1" applyProtection="1">
      <alignment horizontal="center" vertical="center" wrapText="1"/>
      <protection hidden="1"/>
    </xf>
    <xf numFmtId="0" fontId="10" fillId="10" borderId="7" xfId="0" applyNumberFormat="1" applyFont="1" applyFill="1" applyBorder="1" applyAlignment="1" applyProtection="1">
      <alignment horizontal="center" vertical="center" wrapText="1"/>
      <protection hidden="1"/>
    </xf>
    <xf numFmtId="43" fontId="10" fillId="16" borderId="35" xfId="1" applyNumberFormat="1" applyFont="1" applyFill="1" applyBorder="1" applyAlignment="1" applyProtection="1">
      <alignment horizontal="center" vertical="center" wrapText="1"/>
      <protection hidden="1"/>
    </xf>
    <xf numFmtId="43" fontId="10" fillId="16" borderId="19" xfId="1" applyNumberFormat="1" applyFont="1" applyFill="1" applyBorder="1" applyAlignment="1" applyProtection="1">
      <alignment horizontal="center" vertical="center" wrapText="1"/>
      <protection hidden="1"/>
    </xf>
    <xf numFmtId="0" fontId="28" fillId="11" borderId="44" xfId="0" applyFont="1" applyFill="1" applyBorder="1" applyAlignment="1" applyProtection="1">
      <alignment horizontal="center" vertical="center"/>
      <protection hidden="1"/>
    </xf>
    <xf numFmtId="0" fontId="29" fillId="0" borderId="45" xfId="0" applyFont="1" applyFill="1" applyBorder="1" applyAlignment="1" applyProtection="1">
      <alignment horizontal="center" vertical="center"/>
      <protection hidden="1"/>
    </xf>
    <xf numFmtId="3" fontId="29" fillId="0" borderId="45" xfId="0" applyNumberFormat="1" applyFont="1" applyFill="1" applyBorder="1" applyAlignment="1" applyProtection="1">
      <alignment horizontal="center" vertical="center"/>
      <protection hidden="1"/>
    </xf>
    <xf numFmtId="166" fontId="29" fillId="0" borderId="45" xfId="0" applyNumberFormat="1" applyFont="1" applyFill="1" applyBorder="1" applyAlignment="1" applyProtection="1">
      <alignment horizontal="center" vertical="center"/>
      <protection hidden="1"/>
    </xf>
    <xf numFmtId="1" fontId="29" fillId="0" borderId="45" xfId="0" applyNumberFormat="1" applyFont="1" applyFill="1" applyBorder="1" applyAlignment="1" applyProtection="1">
      <alignment horizontal="center" vertical="center"/>
      <protection hidden="1"/>
    </xf>
    <xf numFmtId="166" fontId="28" fillId="11" borderId="45" xfId="0" applyNumberFormat="1" applyFont="1" applyFill="1" applyBorder="1" applyAlignment="1" applyProtection="1">
      <alignment horizontal="center" vertical="center"/>
      <protection hidden="1"/>
    </xf>
    <xf numFmtId="0" fontId="29" fillId="9" borderId="44" xfId="0" applyFont="1" applyFill="1" applyBorder="1" applyAlignment="1" applyProtection="1">
      <alignment horizontal="left" vertical="center"/>
      <protection hidden="1"/>
    </xf>
    <xf numFmtId="168" fontId="3" fillId="16" borderId="50" xfId="1" applyNumberFormat="1" applyFont="1" applyFill="1" applyBorder="1" applyAlignment="1" applyProtection="1">
      <alignment horizontal="center" vertical="center" wrapText="1"/>
      <protection hidden="1"/>
    </xf>
    <xf numFmtId="168" fontId="3" fillId="16" borderId="34" xfId="1" applyNumberFormat="1" applyFont="1" applyFill="1" applyBorder="1" applyAlignment="1" applyProtection="1">
      <alignment horizontal="center" vertical="center" wrapText="1"/>
      <protection hidden="1"/>
    </xf>
    <xf numFmtId="0" fontId="3" fillId="16" borderId="44" xfId="1" applyNumberFormat="1" applyFont="1" applyFill="1" applyBorder="1" applyAlignment="1" applyProtection="1">
      <alignment horizontal="center" vertical="center" wrapText="1"/>
      <protection hidden="1"/>
    </xf>
    <xf numFmtId="0" fontId="3" fillId="16" borderId="50" xfId="1" applyNumberFormat="1" applyFont="1" applyFill="1" applyBorder="1" applyAlignment="1" applyProtection="1">
      <alignment horizontal="center" vertical="center" wrapText="1"/>
      <protection hidden="1"/>
    </xf>
    <xf numFmtId="0" fontId="3" fillId="16" borderId="42" xfId="1" applyNumberFormat="1" applyFont="1" applyFill="1" applyBorder="1" applyAlignment="1" applyProtection="1">
      <alignment horizontal="center" vertical="center" wrapText="1"/>
      <protection hidden="1"/>
    </xf>
    <xf numFmtId="0" fontId="3" fillId="16" borderId="67" xfId="1" applyNumberFormat="1" applyFont="1" applyFill="1" applyBorder="1" applyAlignment="1" applyProtection="1">
      <alignment horizontal="center" vertical="center" wrapText="1"/>
      <protection hidden="1"/>
    </xf>
    <xf numFmtId="0" fontId="3" fillId="16" borderId="34" xfId="1" applyNumberFormat="1" applyFont="1" applyFill="1" applyBorder="1" applyAlignment="1" applyProtection="1">
      <alignment horizontal="center" vertical="center" wrapText="1"/>
      <protection hidden="1"/>
    </xf>
    <xf numFmtId="0" fontId="0" fillId="9" borderId="0" xfId="0" applyFill="1" applyAlignment="1">
      <alignment horizontal="center" vertical="center"/>
    </xf>
    <xf numFmtId="0" fontId="27" fillId="2" borderId="0" xfId="0" applyFont="1" applyFill="1" applyAlignment="1" applyProtection="1">
      <alignment horizontal="center" vertical="center"/>
      <protection hidden="1"/>
    </xf>
    <xf numFmtId="0" fontId="12" fillId="9" borderId="0" xfId="0" applyFont="1" applyFill="1" applyBorder="1" applyAlignment="1" applyProtection="1">
      <alignment horizontal="center" vertical="center"/>
      <protection hidden="1"/>
    </xf>
    <xf numFmtId="0" fontId="17" fillId="9" borderId="0" xfId="0" applyFont="1" applyFill="1" applyBorder="1" applyAlignment="1" applyProtection="1">
      <alignment horizontal="center" vertical="center"/>
      <protection hidden="1"/>
    </xf>
    <xf numFmtId="0" fontId="17" fillId="2" borderId="0" xfId="0" applyFont="1" applyFill="1" applyBorder="1" applyAlignment="1" applyProtection="1">
      <alignment horizontal="center" vertical="center"/>
      <protection hidden="1"/>
    </xf>
    <xf numFmtId="0" fontId="1" fillId="9" borderId="0" xfId="0" applyFont="1" applyFill="1" applyBorder="1" applyAlignment="1" applyProtection="1">
      <alignment horizontal="center" vertical="center"/>
      <protection hidden="1"/>
    </xf>
    <xf numFmtId="0" fontId="2" fillId="9" borderId="0" xfId="0" applyFont="1" applyFill="1" applyAlignment="1" applyProtection="1">
      <alignment horizontal="center" vertical="center"/>
      <protection hidden="1"/>
    </xf>
    <xf numFmtId="169" fontId="3" fillId="16" borderId="50" xfId="1" applyNumberFormat="1" applyFont="1" applyFill="1" applyBorder="1" applyAlignment="1" applyProtection="1">
      <alignment horizontal="center" vertical="center" wrapText="1"/>
      <protection hidden="1"/>
    </xf>
    <xf numFmtId="169" fontId="3" fillId="16" borderId="34" xfId="1" applyNumberFormat="1" applyFont="1" applyFill="1" applyBorder="1" applyAlignment="1" applyProtection="1">
      <alignment horizontal="center" vertical="center" wrapText="1"/>
      <protection hidden="1"/>
    </xf>
    <xf numFmtId="0" fontId="1" fillId="6" borderId="22" xfId="15" applyFont="1" applyFill="1" applyBorder="1" applyAlignment="1" applyProtection="1">
      <alignment horizontal="center" vertical="center" wrapText="1"/>
      <protection hidden="1"/>
    </xf>
    <xf numFmtId="0" fontId="1" fillId="2" borderId="22" xfId="0" applyNumberFormat="1" applyFont="1" applyFill="1" applyBorder="1" applyAlignment="1" applyProtection="1">
      <alignment horizontal="center" vertical="center" wrapText="1"/>
      <protection hidden="1"/>
    </xf>
    <xf numFmtId="0" fontId="1" fillId="2" borderId="23" xfId="0" applyNumberFormat="1" applyFont="1" applyFill="1" applyBorder="1" applyAlignment="1" applyProtection="1">
      <alignment horizontal="center" vertical="center" wrapText="1"/>
      <protection hidden="1"/>
    </xf>
    <xf numFmtId="41" fontId="1" fillId="9" borderId="0" xfId="15" applyNumberFormat="1" applyFont="1" applyFill="1" applyBorder="1" applyAlignment="1" applyProtection="1">
      <alignment horizontal="center" vertical="center"/>
      <protection hidden="1"/>
    </xf>
    <xf numFmtId="0" fontId="3" fillId="9" borderId="2" xfId="15" applyFont="1" applyFill="1" applyBorder="1" applyAlignment="1" applyProtection="1">
      <alignment horizontal="left" vertical="center" wrapText="1" indent="1"/>
      <protection hidden="1"/>
    </xf>
    <xf numFmtId="43" fontId="1" fillId="9" borderId="2" xfId="15" applyNumberFormat="1" applyFont="1" applyFill="1" applyBorder="1" applyAlignment="1" applyProtection="1">
      <alignment horizontal="center" vertical="center"/>
      <protection hidden="1"/>
    </xf>
    <xf numFmtId="41" fontId="1" fillId="9" borderId="2" xfId="15" applyNumberFormat="1" applyFont="1" applyFill="1" applyBorder="1" applyAlignment="1" applyProtection="1">
      <alignment horizontal="center" vertical="center"/>
      <protection hidden="1"/>
    </xf>
    <xf numFmtId="0" fontId="3" fillId="9" borderId="0" xfId="15" applyFont="1" applyFill="1" applyBorder="1" applyAlignment="1" applyProtection="1">
      <alignment horizontal="left" vertical="center" wrapText="1" indent="1"/>
      <protection hidden="1"/>
    </xf>
    <xf numFmtId="43" fontId="1" fillId="9" borderId="0" xfId="15" applyNumberFormat="1" applyFont="1" applyFill="1" applyBorder="1" applyAlignment="1" applyProtection="1">
      <alignment horizontal="center" vertical="center"/>
      <protection hidden="1"/>
    </xf>
    <xf numFmtId="0" fontId="2" fillId="2" borderId="0" xfId="0" applyNumberFormat="1" applyFont="1" applyFill="1" applyAlignment="1" applyProtection="1">
      <alignment horizontal="center" vertical="center"/>
      <protection hidden="1"/>
    </xf>
    <xf numFmtId="0" fontId="1" fillId="3" borderId="19" xfId="0" applyNumberFormat="1" applyFont="1" applyFill="1" applyBorder="1" applyAlignment="1" applyProtection="1">
      <alignment horizontal="center" vertical="center"/>
      <protection hidden="1"/>
    </xf>
    <xf numFmtId="0" fontId="2" fillId="7" borderId="24" xfId="0" applyNumberFormat="1" applyFont="1" applyFill="1" applyBorder="1" applyAlignment="1" applyProtection="1">
      <alignment horizontal="center" vertical="center"/>
      <protection hidden="1"/>
    </xf>
    <xf numFmtId="0" fontId="1" fillId="7" borderId="24" xfId="0" applyNumberFormat="1" applyFont="1" applyFill="1" applyBorder="1" applyAlignment="1" applyProtection="1">
      <alignment horizontal="center" vertical="center"/>
      <protection hidden="1"/>
    </xf>
    <xf numFmtId="0" fontId="32" fillId="15" borderId="0" xfId="22" applyFont="1" applyFill="1" applyBorder="1" applyAlignment="1" applyProtection="1">
      <alignment horizontal="left" vertical="center" wrapText="1"/>
      <protection hidden="1"/>
    </xf>
    <xf numFmtId="0" fontId="32" fillId="9" borderId="0" xfId="85" applyFont="1" applyFill="1"/>
    <xf numFmtId="0" fontId="32" fillId="3" borderId="0" xfId="22" applyFont="1" applyFill="1" applyBorder="1" applyAlignment="1" applyProtection="1">
      <alignment horizontal="left" vertical="center" wrapText="1"/>
      <protection hidden="1"/>
    </xf>
    <xf numFmtId="0" fontId="33" fillId="15" borderId="0" xfId="22" applyFont="1" applyFill="1" applyBorder="1" applyAlignment="1" applyProtection="1">
      <alignment horizontal="left" vertical="center" wrapText="1" indent="4"/>
      <protection hidden="1"/>
    </xf>
    <xf numFmtId="0" fontId="34" fillId="9" borderId="0" xfId="0" applyFont="1" applyFill="1"/>
    <xf numFmtId="0" fontId="34" fillId="9" borderId="0" xfId="0" applyFont="1" applyFill="1" applyProtection="1">
      <protection locked="0"/>
    </xf>
    <xf numFmtId="0" fontId="32" fillId="3" borderId="0" xfId="22" applyFont="1" applyFill="1" applyBorder="1" applyAlignment="1" applyProtection="1">
      <alignment horizontal="center" vertical="center" wrapText="1"/>
      <protection hidden="1"/>
    </xf>
    <xf numFmtId="0" fontId="32" fillId="3" borderId="0" xfId="22" applyFont="1" applyFill="1" applyBorder="1" applyAlignment="1" applyProtection="1">
      <alignment vertical="center" wrapText="1"/>
      <protection hidden="1"/>
    </xf>
    <xf numFmtId="0" fontId="9" fillId="3" borderId="0" xfId="22" applyFont="1" applyFill="1" applyBorder="1" applyAlignment="1" applyProtection="1">
      <alignment horizontal="center" vertical="center"/>
      <protection hidden="1"/>
    </xf>
    <xf numFmtId="43" fontId="2" fillId="3" borderId="0" xfId="0" applyNumberFormat="1" applyFont="1" applyFill="1" applyAlignment="1" applyProtection="1">
      <alignment horizontal="center" vertical="center"/>
      <protection hidden="1"/>
    </xf>
    <xf numFmtId="43" fontId="2" fillId="2" borderId="0" xfId="0" applyNumberFormat="1" applyFont="1" applyFill="1" applyAlignment="1" applyProtection="1">
      <alignment horizontal="center" vertical="center"/>
      <protection hidden="1"/>
    </xf>
    <xf numFmtId="41" fontId="2" fillId="3" borderId="0" xfId="0" applyNumberFormat="1" applyFont="1" applyFill="1" applyAlignment="1" applyProtection="1">
      <alignment horizontal="center" vertical="center"/>
      <protection hidden="1"/>
    </xf>
    <xf numFmtId="41" fontId="2" fillId="2" borderId="0" xfId="0" applyNumberFormat="1" applyFont="1" applyFill="1" applyAlignment="1" applyProtection="1">
      <alignment horizontal="center" vertical="center"/>
      <protection hidden="1"/>
    </xf>
    <xf numFmtId="41" fontId="2" fillId="7" borderId="0" xfId="0" quotePrefix="1" applyNumberFormat="1" applyFont="1" applyFill="1" applyAlignment="1" applyProtection="1">
      <alignment horizontal="center" vertical="center"/>
      <protection hidden="1"/>
    </xf>
    <xf numFmtId="41" fontId="2" fillId="7" borderId="24" xfId="0" applyNumberFormat="1" applyFont="1" applyFill="1" applyBorder="1" applyAlignment="1" applyProtection="1">
      <alignment horizontal="center" vertical="center"/>
      <protection hidden="1"/>
    </xf>
    <xf numFmtId="41" fontId="2" fillId="7" borderId="0" xfId="0" applyNumberFormat="1" applyFont="1" applyFill="1" applyAlignment="1" applyProtection="1">
      <alignment horizontal="center" vertical="center"/>
      <protection hidden="1"/>
    </xf>
    <xf numFmtId="41" fontId="3" fillId="2" borderId="0" xfId="0" applyNumberFormat="1" applyFont="1" applyFill="1" applyBorder="1" applyAlignment="1" applyProtection="1">
      <alignment horizontal="center" vertical="center" wrapText="1"/>
      <protection hidden="1"/>
    </xf>
    <xf numFmtId="41" fontId="3" fillId="7" borderId="0" xfId="0" applyNumberFormat="1" applyFont="1" applyFill="1" applyBorder="1" applyAlignment="1" applyProtection="1">
      <alignment horizontal="center" vertical="center" wrapText="1"/>
      <protection hidden="1"/>
    </xf>
    <xf numFmtId="41" fontId="3" fillId="2" borderId="0" xfId="0" quotePrefix="1" applyNumberFormat="1" applyFont="1" applyFill="1" applyBorder="1" applyAlignment="1" applyProtection="1">
      <alignment horizontal="center" vertical="center" wrapText="1"/>
      <protection hidden="1"/>
    </xf>
    <xf numFmtId="41" fontId="3" fillId="7" borderId="0" xfId="0" quotePrefix="1" applyNumberFormat="1" applyFont="1" applyFill="1" applyBorder="1" applyAlignment="1" applyProtection="1">
      <alignment horizontal="center" vertical="center" wrapText="1"/>
      <protection hidden="1"/>
    </xf>
    <xf numFmtId="41" fontId="2" fillId="3" borderId="0" xfId="0" quotePrefix="1" applyNumberFormat="1" applyFont="1" applyFill="1" applyAlignment="1" applyProtection="1">
      <alignment horizontal="center" vertical="center"/>
      <protection hidden="1"/>
    </xf>
    <xf numFmtId="41" fontId="2" fillId="9" borderId="0" xfId="0" applyNumberFormat="1" applyFont="1" applyFill="1" applyAlignment="1" applyProtection="1">
      <alignment horizontal="center" vertical="center"/>
      <protection hidden="1"/>
    </xf>
    <xf numFmtId="41" fontId="2" fillId="9" borderId="0" xfId="0" quotePrefix="1" applyNumberFormat="1" applyFont="1" applyFill="1" applyAlignment="1" applyProtection="1">
      <alignment horizontal="center" vertical="center"/>
      <protection hidden="1"/>
    </xf>
    <xf numFmtId="43" fontId="2" fillId="3" borderId="0" xfId="0" quotePrefix="1" applyNumberFormat="1" applyFont="1" applyFill="1" applyAlignment="1" applyProtection="1">
      <alignment horizontal="center" vertical="center"/>
      <protection hidden="1"/>
    </xf>
    <xf numFmtId="43" fontId="2" fillId="9" borderId="0" xfId="0" applyNumberFormat="1" applyFont="1" applyFill="1" applyAlignment="1" applyProtection="1">
      <alignment horizontal="center" vertical="center"/>
      <protection hidden="1"/>
    </xf>
    <xf numFmtId="43" fontId="2" fillId="9" borderId="0" xfId="0" quotePrefix="1" applyNumberFormat="1" applyFont="1" applyFill="1" applyAlignment="1" applyProtection="1">
      <alignment horizontal="center" vertical="center"/>
      <protection hidden="1"/>
    </xf>
    <xf numFmtId="43" fontId="2" fillId="7" borderId="0" xfId="0" applyNumberFormat="1" applyFont="1" applyFill="1" applyAlignment="1" applyProtection="1">
      <alignment horizontal="center" vertical="center"/>
      <protection hidden="1"/>
    </xf>
    <xf numFmtId="43" fontId="2" fillId="7" borderId="24" xfId="0" applyNumberFormat="1" applyFont="1" applyFill="1" applyBorder="1" applyAlignment="1" applyProtection="1">
      <alignment horizontal="center" vertical="center"/>
      <protection hidden="1"/>
    </xf>
    <xf numFmtId="43" fontId="3" fillId="2" borderId="0" xfId="0" applyNumberFormat="1" applyFont="1" applyFill="1" applyBorder="1" applyAlignment="1" applyProtection="1">
      <alignment horizontal="center" vertical="center" wrapText="1"/>
      <protection hidden="1"/>
    </xf>
    <xf numFmtId="43" fontId="3" fillId="7" borderId="0" xfId="0" applyNumberFormat="1" applyFont="1" applyFill="1" applyBorder="1" applyAlignment="1" applyProtection="1">
      <alignment horizontal="center" vertical="center" wrapText="1"/>
      <protection hidden="1"/>
    </xf>
    <xf numFmtId="43" fontId="2" fillId="7" borderId="0" xfId="0" quotePrefix="1" applyNumberFormat="1" applyFont="1" applyFill="1" applyAlignment="1" applyProtection="1">
      <alignment horizontal="center" vertical="center"/>
      <protection hidden="1"/>
    </xf>
    <xf numFmtId="43" fontId="3" fillId="2" borderId="0" xfId="0" quotePrefix="1" applyNumberFormat="1" applyFont="1" applyFill="1" applyBorder="1" applyAlignment="1" applyProtection="1">
      <alignment horizontal="center" vertical="center" wrapText="1"/>
      <protection hidden="1"/>
    </xf>
    <xf numFmtId="43" fontId="3" fillId="7" borderId="0" xfId="0" quotePrefix="1" applyNumberFormat="1" applyFont="1" applyFill="1" applyBorder="1" applyAlignment="1" applyProtection="1">
      <alignment horizontal="center" vertical="center" wrapText="1"/>
      <protection hidden="1"/>
    </xf>
    <xf numFmtId="0" fontId="2" fillId="0" borderId="0" xfId="0" applyNumberFormat="1" applyFont="1" applyFill="1" applyAlignment="1" applyProtection="1">
      <alignment vertical="center"/>
      <protection hidden="1"/>
    </xf>
    <xf numFmtId="0" fontId="27" fillId="2" borderId="32" xfId="0" applyFont="1" applyFill="1" applyBorder="1" applyAlignment="1" applyProtection="1">
      <alignment vertical="center"/>
      <protection hidden="1"/>
    </xf>
    <xf numFmtId="0" fontId="27" fillId="2" borderId="0" xfId="0" applyFont="1" applyFill="1" applyAlignment="1" applyProtection="1">
      <alignment vertical="center" wrapText="1"/>
      <protection hidden="1"/>
    </xf>
    <xf numFmtId="0" fontId="7" fillId="2" borderId="0" xfId="22" applyFont="1" applyFill="1" applyBorder="1" applyAlignment="1" applyProtection="1">
      <alignment horizontal="left" vertical="center" wrapText="1"/>
      <protection hidden="1"/>
    </xf>
    <xf numFmtId="0" fontId="5" fillId="2" borderId="0" xfId="22" applyFont="1" applyFill="1" applyBorder="1" applyAlignment="1" applyProtection="1">
      <alignment horizontal="left" vertical="center" wrapText="1"/>
      <protection hidden="1"/>
    </xf>
    <xf numFmtId="0" fontId="35" fillId="2" borderId="31" xfId="22" applyFont="1" applyFill="1" applyBorder="1" applyAlignment="1" applyProtection="1">
      <alignment horizontal="left" vertical="center" wrapText="1"/>
      <protection hidden="1"/>
    </xf>
    <xf numFmtId="0" fontId="36" fillId="2" borderId="31" xfId="22" applyFont="1" applyFill="1" applyBorder="1" applyAlignment="1" applyProtection="1">
      <alignment horizontal="left" vertical="center" wrapText="1"/>
      <protection hidden="1"/>
    </xf>
    <xf numFmtId="0" fontId="5" fillId="2" borderId="31" xfId="22" applyFont="1" applyFill="1" applyBorder="1" applyAlignment="1" applyProtection="1">
      <alignment horizontal="left" vertical="center" wrapText="1"/>
      <protection hidden="1"/>
    </xf>
    <xf numFmtId="0" fontId="6" fillId="2" borderId="0" xfId="0" applyFont="1" applyFill="1" applyAlignment="1" applyProtection="1">
      <alignment vertical="center" wrapText="1"/>
      <protection hidden="1"/>
    </xf>
    <xf numFmtId="0" fontId="5" fillId="2" borderId="0" xfId="0" applyNumberFormat="1" applyFont="1" applyFill="1" applyBorder="1" applyAlignment="1" applyProtection="1">
      <alignment vertical="center"/>
      <protection hidden="1"/>
    </xf>
    <xf numFmtId="0" fontId="29" fillId="9" borderId="22" xfId="0" applyFont="1" applyFill="1" applyBorder="1" applyAlignment="1">
      <alignment horizontal="center" vertical="center" wrapText="1"/>
    </xf>
    <xf numFmtId="37" fontId="29" fillId="9" borderId="22" xfId="1" applyNumberFormat="1" applyFont="1" applyFill="1" applyBorder="1" applyAlignment="1">
      <alignment horizontal="center" vertical="center" wrapText="1"/>
    </xf>
    <xf numFmtId="0" fontId="29" fillId="9" borderId="22" xfId="0" applyFont="1" applyFill="1" applyBorder="1" applyAlignment="1" applyProtection="1">
      <alignment horizontal="left" vertical="center"/>
      <protection hidden="1"/>
    </xf>
    <xf numFmtId="0" fontId="2" fillId="2" borderId="22" xfId="0" applyNumberFormat="1" applyFont="1" applyFill="1" applyBorder="1" applyAlignment="1" applyProtection="1">
      <alignment vertical="center"/>
      <protection hidden="1"/>
    </xf>
    <xf numFmtId="0" fontId="28" fillId="10" borderId="10" xfId="0" applyFont="1" applyFill="1" applyBorder="1" applyAlignment="1" applyProtection="1">
      <alignment horizontal="center" vertical="center" wrapText="1"/>
      <protection hidden="1"/>
    </xf>
    <xf numFmtId="0" fontId="28" fillId="10" borderId="17" xfId="0" applyFont="1" applyFill="1" applyBorder="1" applyAlignment="1" applyProtection="1">
      <alignment horizontal="center" vertical="center" wrapText="1"/>
      <protection hidden="1"/>
    </xf>
    <xf numFmtId="0" fontId="29" fillId="9" borderId="35" xfId="0" applyFont="1" applyFill="1" applyBorder="1" applyAlignment="1" applyProtection="1">
      <alignment horizontal="center" vertical="center"/>
      <protection hidden="1"/>
    </xf>
    <xf numFmtId="44" fontId="29" fillId="9" borderId="36" xfId="0" applyNumberFormat="1" applyFont="1" applyFill="1" applyBorder="1" applyAlignment="1" applyProtection="1">
      <alignment vertical="center"/>
      <protection hidden="1"/>
    </xf>
    <xf numFmtId="0" fontId="29" fillId="9" borderId="33" xfId="0" applyFont="1" applyFill="1" applyBorder="1" applyAlignment="1" applyProtection="1">
      <alignment horizontal="center" vertical="center"/>
      <protection hidden="1"/>
    </xf>
    <xf numFmtId="0" fontId="29" fillId="9" borderId="47" xfId="0" applyFont="1" applyFill="1" applyBorder="1" applyAlignment="1" applyProtection="1">
      <alignment horizontal="center" vertical="center"/>
    </xf>
    <xf numFmtId="0" fontId="29" fillId="9" borderId="16" xfId="0" applyFont="1" applyFill="1" applyBorder="1" applyAlignment="1" applyProtection="1">
      <alignment horizontal="center" vertical="center"/>
    </xf>
    <xf numFmtId="0" fontId="28" fillId="10" borderId="49" xfId="0" applyFont="1" applyFill="1" applyBorder="1" applyAlignment="1" applyProtection="1">
      <alignment horizontal="center" vertical="center" wrapText="1"/>
      <protection hidden="1"/>
    </xf>
    <xf numFmtId="0" fontId="2" fillId="3" borderId="48" xfId="0"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hidden="1"/>
    </xf>
    <xf numFmtId="0" fontId="29" fillId="2" borderId="0" xfId="0" applyFont="1" applyFill="1" applyAlignment="1" applyProtection="1">
      <alignment vertical="center"/>
      <protection hidden="1"/>
    </xf>
    <xf numFmtId="0" fontId="1" fillId="9" borderId="0" xfId="0" applyFont="1" applyFill="1" applyBorder="1" applyAlignment="1" applyProtection="1">
      <alignment horizontal="right" vertical="center" indent="1"/>
      <protection hidden="1"/>
    </xf>
    <xf numFmtId="0" fontId="1" fillId="2" borderId="0" xfId="0" applyFont="1" applyFill="1" applyBorder="1" applyAlignment="1" applyProtection="1">
      <alignment horizontal="right" vertical="center" indent="1"/>
      <protection hidden="1"/>
    </xf>
    <xf numFmtId="0" fontId="1" fillId="2" borderId="0" xfId="0" applyFont="1" applyFill="1" applyBorder="1" applyAlignment="1" applyProtection="1">
      <alignment horizontal="center" vertical="center" wrapText="1"/>
      <protection hidden="1"/>
    </xf>
    <xf numFmtId="0" fontId="37" fillId="2" borderId="0" xfId="0" applyFont="1" applyFill="1" applyAlignment="1" applyProtection="1">
      <alignment horizontal="right" vertical="center" indent="1"/>
      <protection hidden="1"/>
    </xf>
    <xf numFmtId="0" fontId="29" fillId="2" borderId="0" xfId="0" applyFont="1" applyFill="1" applyAlignment="1" applyProtection="1">
      <alignment horizontal="center" vertical="center"/>
      <protection hidden="1"/>
    </xf>
    <xf numFmtId="0" fontId="29" fillId="2" borderId="5" xfId="0" applyFont="1" applyFill="1" applyBorder="1" applyAlignment="1" applyProtection="1">
      <alignment horizontal="center" vertical="center"/>
      <protection hidden="1"/>
    </xf>
    <xf numFmtId="0" fontId="29" fillId="9" borderId="0" xfId="0" applyFont="1" applyFill="1" applyBorder="1" applyAlignment="1" applyProtection="1">
      <alignment vertical="center"/>
      <protection hidden="1"/>
    </xf>
    <xf numFmtId="0" fontId="40" fillId="2" borderId="0" xfId="0" applyFont="1" applyFill="1" applyAlignment="1" applyProtection="1">
      <alignment vertical="center"/>
      <protection hidden="1"/>
    </xf>
    <xf numFmtId="0" fontId="2" fillId="9" borderId="0" xfId="0" applyFont="1" applyFill="1" applyBorder="1" applyAlignment="1" applyProtection="1">
      <alignment horizontal="left" vertical="center" indent="1"/>
      <protection hidden="1"/>
    </xf>
    <xf numFmtId="0" fontId="6" fillId="9" borderId="0" xfId="0" applyNumberFormat="1" applyFont="1" applyFill="1" applyBorder="1" applyAlignment="1" applyProtection="1">
      <alignment horizontal="right" vertical="center" indent="1"/>
      <protection hidden="1"/>
    </xf>
    <xf numFmtId="0" fontId="27" fillId="2" borderId="5" xfId="0" applyFont="1" applyFill="1" applyBorder="1" applyAlignment="1" applyProtection="1">
      <alignment horizontal="center" vertical="center"/>
      <protection locked="0"/>
    </xf>
    <xf numFmtId="0" fontId="12" fillId="3" borderId="15" xfId="0" applyFont="1" applyFill="1" applyBorder="1" applyAlignment="1" applyProtection="1">
      <alignment horizontal="left" vertical="center"/>
      <protection hidden="1"/>
    </xf>
    <xf numFmtId="0" fontId="43" fillId="2" borderId="0" xfId="0" applyFont="1" applyFill="1" applyBorder="1" applyAlignment="1" applyProtection="1">
      <alignment vertical="center"/>
      <protection hidden="1"/>
    </xf>
    <xf numFmtId="0" fontId="29" fillId="9" borderId="44" xfId="0" applyFont="1" applyFill="1" applyBorder="1" applyAlignment="1" applyProtection="1">
      <alignment horizontal="center" vertical="center"/>
    </xf>
    <xf numFmtId="0" fontId="2" fillId="9" borderId="0" xfId="0" applyNumberFormat="1" applyFont="1" applyFill="1" applyBorder="1" applyAlignment="1" applyProtection="1">
      <alignment horizontal="left" vertical="center" indent="1"/>
      <protection hidden="1"/>
    </xf>
    <xf numFmtId="0" fontId="12" fillId="2" borderId="0" xfId="0" applyFont="1" applyFill="1" applyAlignment="1" applyProtection="1">
      <alignment horizontal="right" vertical="center" indent="1"/>
      <protection hidden="1"/>
    </xf>
    <xf numFmtId="0" fontId="12" fillId="2" borderId="0" xfId="0" applyFont="1" applyFill="1" applyBorder="1" applyAlignment="1" applyProtection="1">
      <alignment horizontal="right" vertical="center" indent="1"/>
      <protection hidden="1"/>
    </xf>
    <xf numFmtId="0" fontId="26" fillId="9" borderId="0" xfId="0" quotePrefix="1" applyFont="1" applyFill="1" applyBorder="1" applyAlignment="1" applyProtection="1">
      <alignment horizontal="left" vertical="center"/>
      <protection hidden="1"/>
    </xf>
    <xf numFmtId="0" fontId="27" fillId="2" borderId="0" xfId="0" applyFont="1" applyFill="1" applyAlignment="1" applyProtection="1">
      <alignment vertical="center"/>
      <protection hidden="1"/>
    </xf>
    <xf numFmtId="0" fontId="2" fillId="2" borderId="0" xfId="0" applyFont="1" applyFill="1" applyAlignment="1" applyProtection="1">
      <alignment vertical="center"/>
      <protection hidden="1"/>
    </xf>
    <xf numFmtId="0" fontId="2" fillId="2" borderId="0" xfId="0" applyNumberFormat="1" applyFont="1" applyFill="1" applyBorder="1" applyAlignment="1" applyProtection="1">
      <alignment vertical="center"/>
      <protection hidden="1"/>
    </xf>
    <xf numFmtId="0" fontId="3" fillId="2" borderId="0" xfId="0" applyNumberFormat="1" applyFont="1" applyFill="1" applyBorder="1" applyAlignment="1" applyProtection="1">
      <alignment vertical="center"/>
      <protection hidden="1"/>
    </xf>
    <xf numFmtId="0" fontId="18" fillId="2" borderId="0" xfId="0" applyFont="1" applyFill="1" applyBorder="1" applyAlignment="1" applyProtection="1">
      <alignment horizontal="left" vertical="center"/>
      <protection hidden="1"/>
    </xf>
    <xf numFmtId="0" fontId="17" fillId="2" borderId="0" xfId="0" applyFont="1" applyFill="1" applyBorder="1" applyAlignment="1" applyProtection="1">
      <alignment horizontal="left" vertical="center"/>
      <protection hidden="1"/>
    </xf>
    <xf numFmtId="0" fontId="10" fillId="2" borderId="0" xfId="0" applyNumberFormat="1" applyFont="1" applyFill="1" applyBorder="1" applyAlignment="1" applyProtection="1">
      <alignment vertical="center"/>
      <protection hidden="1"/>
    </xf>
    <xf numFmtId="0" fontId="1" fillId="6" borderId="11" xfId="0" applyFont="1" applyFill="1" applyBorder="1" applyAlignment="1" applyProtection="1">
      <alignment horizontal="center" vertical="center"/>
      <protection hidden="1"/>
    </xf>
    <xf numFmtId="0" fontId="1" fillId="6" borderId="12" xfId="0" applyFont="1" applyFill="1" applyBorder="1" applyAlignment="1" applyProtection="1">
      <alignment horizontal="center" vertical="center"/>
      <protection hidden="1"/>
    </xf>
    <xf numFmtId="0" fontId="6" fillId="2" borderId="0" xfId="0" applyFont="1" applyFill="1" applyBorder="1" applyAlignment="1" applyProtection="1">
      <alignment horizontal="right" vertical="center" indent="1"/>
      <protection hidden="1"/>
    </xf>
    <xf numFmtId="0" fontId="2" fillId="2" borderId="0" xfId="0" applyFont="1" applyFill="1" applyAlignment="1" applyProtection="1">
      <alignment horizontal="left" vertical="center"/>
      <protection hidden="1"/>
    </xf>
    <xf numFmtId="0" fontId="6" fillId="2" borderId="0" xfId="0" applyFont="1" applyFill="1" applyBorder="1" applyAlignment="1" applyProtection="1">
      <alignment horizontal="right" indent="1"/>
      <protection hidden="1"/>
    </xf>
    <xf numFmtId="0" fontId="12" fillId="2" borderId="75" xfId="0" applyFont="1" applyFill="1" applyBorder="1" applyAlignment="1" applyProtection="1">
      <alignment horizontal="right" vertical="center" indent="1"/>
      <protection hidden="1"/>
    </xf>
    <xf numFmtId="0" fontId="5" fillId="2" borderId="75" xfId="0" applyFont="1" applyFill="1" applyBorder="1" applyAlignment="1" applyProtection="1">
      <alignment horizontal="left" indent="1"/>
      <protection hidden="1"/>
    </xf>
    <xf numFmtId="0" fontId="27" fillId="2" borderId="0" xfId="0" applyFont="1" applyFill="1" applyBorder="1" applyAlignment="1" applyProtection="1">
      <alignment vertical="center"/>
      <protection hidden="1"/>
    </xf>
    <xf numFmtId="0" fontId="27" fillId="2" borderId="75" xfId="0" applyFont="1" applyFill="1" applyBorder="1" applyAlignment="1" applyProtection="1">
      <alignment vertical="center"/>
      <protection hidden="1"/>
    </xf>
    <xf numFmtId="0" fontId="11" fillId="2" borderId="75" xfId="0" applyNumberFormat="1" applyFont="1" applyFill="1" applyBorder="1" applyAlignment="1" applyProtection="1">
      <alignment horizontal="left" vertical="center" indent="1"/>
      <protection hidden="1"/>
    </xf>
    <xf numFmtId="0" fontId="11" fillId="2" borderId="75" xfId="0" applyFont="1" applyFill="1" applyBorder="1" applyAlignment="1" applyProtection="1">
      <alignment horizontal="left" vertical="center" indent="1"/>
      <protection hidden="1"/>
    </xf>
    <xf numFmtId="0" fontId="11" fillId="2" borderId="0" xfId="0" applyNumberFormat="1" applyFont="1" applyFill="1" applyBorder="1" applyAlignment="1" applyProtection="1">
      <alignment horizontal="left" vertical="center" indent="1"/>
      <protection hidden="1"/>
    </xf>
    <xf numFmtId="0" fontId="11" fillId="2" borderId="0" xfId="0" applyFont="1" applyFill="1" applyBorder="1" applyAlignment="1" applyProtection="1">
      <alignment horizontal="left" vertical="center" indent="1"/>
      <protection hidden="1"/>
    </xf>
    <xf numFmtId="0" fontId="5" fillId="2" borderId="0" xfId="0" applyFont="1" applyFill="1" applyBorder="1" applyAlignment="1" applyProtection="1">
      <alignment vertical="center"/>
      <protection hidden="1"/>
    </xf>
    <xf numFmtId="0" fontId="5" fillId="2" borderId="75" xfId="0" applyFont="1" applyFill="1" applyBorder="1" applyAlignment="1" applyProtection="1">
      <alignment horizontal="left" indent="1"/>
      <protection locked="0"/>
    </xf>
    <xf numFmtId="0" fontId="29" fillId="9" borderId="0" xfId="0" applyFont="1" applyFill="1" applyAlignment="1" applyProtection="1">
      <alignment vertical="center"/>
      <protection hidden="1"/>
    </xf>
    <xf numFmtId="0" fontId="27" fillId="2" borderId="75" xfId="0" applyFont="1" applyFill="1" applyBorder="1" applyAlignment="1" applyProtection="1">
      <alignment horizontal="center"/>
      <protection locked="0"/>
    </xf>
    <xf numFmtId="7" fontId="0" fillId="0" borderId="0" xfId="0" applyNumberFormat="1"/>
    <xf numFmtId="0" fontId="0" fillId="9" borderId="0" xfId="0" applyFill="1"/>
    <xf numFmtId="164" fontId="3" fillId="16" borderId="22" xfId="1" applyNumberFormat="1" applyFont="1" applyFill="1" applyBorder="1" applyAlignment="1" applyProtection="1">
      <alignment horizontal="center" vertical="center" wrapText="1"/>
      <protection hidden="1"/>
    </xf>
    <xf numFmtId="0" fontId="3" fillId="16" borderId="45" xfId="1" applyNumberFormat="1" applyFont="1" applyFill="1" applyBorder="1" applyAlignment="1" applyProtection="1">
      <alignment horizontal="center" vertical="center" wrapText="1"/>
      <protection hidden="1"/>
    </xf>
    <xf numFmtId="166" fontId="2" fillId="15" borderId="55" xfId="0" applyNumberFormat="1" applyFont="1" applyFill="1" applyBorder="1" applyAlignment="1" applyProtection="1">
      <alignment horizontal="center" vertical="center"/>
      <protection hidden="1"/>
    </xf>
    <xf numFmtId="169" fontId="3" fillId="16" borderId="45" xfId="1" applyNumberFormat="1" applyFont="1" applyFill="1" applyBorder="1" applyAlignment="1" applyProtection="1">
      <alignment horizontal="center" vertical="center" wrapText="1"/>
      <protection hidden="1"/>
    </xf>
    <xf numFmtId="164" fontId="3" fillId="16" borderId="45" xfId="1" applyNumberFormat="1" applyFont="1" applyFill="1" applyBorder="1" applyAlignment="1" applyProtection="1">
      <alignment horizontal="center" vertical="center" wrapText="1"/>
      <protection hidden="1"/>
    </xf>
    <xf numFmtId="164" fontId="3" fillId="16" borderId="10" xfId="1" applyNumberFormat="1" applyFont="1" applyFill="1" applyBorder="1" applyAlignment="1" applyProtection="1">
      <alignment horizontal="center" vertical="center" wrapText="1"/>
      <protection hidden="1"/>
    </xf>
    <xf numFmtId="0" fontId="28" fillId="10" borderId="39" xfId="0" applyFont="1" applyFill="1" applyBorder="1" applyAlignment="1" applyProtection="1">
      <alignment horizontal="center" vertical="center"/>
    </xf>
    <xf numFmtId="0" fontId="28" fillId="10" borderId="40" xfId="0" applyFont="1" applyFill="1" applyBorder="1" applyAlignment="1" applyProtection="1">
      <alignment horizontal="center" vertical="center"/>
    </xf>
    <xf numFmtId="43" fontId="3" fillId="16" borderId="45" xfId="1" applyNumberFormat="1" applyFont="1" applyFill="1" applyBorder="1" applyAlignment="1" applyProtection="1">
      <alignment horizontal="center" vertical="center" wrapText="1"/>
      <protection hidden="1"/>
    </xf>
    <xf numFmtId="43" fontId="3" fillId="16" borderId="22" xfId="1" applyNumberFormat="1" applyFont="1" applyFill="1" applyBorder="1" applyAlignment="1" applyProtection="1">
      <alignment horizontal="center" vertical="center" wrapText="1"/>
      <protection hidden="1"/>
    </xf>
    <xf numFmtId="43" fontId="3" fillId="16" borderId="10" xfId="1" applyNumberFormat="1" applyFont="1" applyFill="1" applyBorder="1" applyAlignment="1" applyProtection="1">
      <alignment horizontal="center" vertical="center" wrapText="1"/>
      <protection hidden="1"/>
    </xf>
    <xf numFmtId="41" fontId="3" fillId="16" borderId="4" xfId="1" applyNumberFormat="1" applyFont="1" applyFill="1" applyBorder="1" applyAlignment="1" applyProtection="1">
      <alignment horizontal="center" vertical="center" wrapText="1"/>
      <protection hidden="1"/>
    </xf>
    <xf numFmtId="41" fontId="3" fillId="16" borderId="48" xfId="1" applyNumberFormat="1" applyFont="1" applyFill="1" applyBorder="1" applyAlignment="1" applyProtection="1">
      <alignment horizontal="center" vertical="center" wrapText="1"/>
      <protection hidden="1"/>
    </xf>
    <xf numFmtId="41" fontId="3" fillId="16" borderId="17" xfId="1" applyNumberFormat="1" applyFont="1" applyFill="1" applyBorder="1" applyAlignment="1" applyProtection="1">
      <alignment horizontal="center" vertical="center" wrapText="1"/>
      <protection hidden="1"/>
    </xf>
    <xf numFmtId="41" fontId="3" fillId="16" borderId="50" xfId="1" applyNumberFormat="1" applyFont="1" applyFill="1" applyBorder="1" applyAlignment="1" applyProtection="1">
      <alignment horizontal="center" vertical="center" wrapText="1"/>
      <protection hidden="1"/>
    </xf>
    <xf numFmtId="41" fontId="3" fillId="16" borderId="34" xfId="1" applyNumberFormat="1" applyFont="1" applyFill="1" applyBorder="1" applyAlignment="1" applyProtection="1">
      <alignment horizontal="center" vertical="center" wrapText="1"/>
      <protection hidden="1"/>
    </xf>
    <xf numFmtId="43" fontId="3" fillId="16" borderId="50" xfId="1" applyNumberFormat="1" applyFont="1" applyFill="1" applyBorder="1" applyAlignment="1" applyProtection="1">
      <alignment horizontal="center" vertical="center" wrapText="1"/>
      <protection hidden="1"/>
    </xf>
    <xf numFmtId="43" fontId="3" fillId="16" borderId="34" xfId="1" applyNumberFormat="1" applyFont="1" applyFill="1" applyBorder="1" applyAlignment="1" applyProtection="1">
      <alignment horizontal="center" vertical="center" wrapText="1"/>
      <protection hidden="1"/>
    </xf>
    <xf numFmtId="10" fontId="29" fillId="9" borderId="36" xfId="0" applyNumberFormat="1" applyFont="1" applyFill="1" applyBorder="1" applyAlignment="1" applyProtection="1">
      <alignment horizontal="center" vertical="center"/>
      <protection hidden="1"/>
    </xf>
    <xf numFmtId="0" fontId="2" fillId="10" borderId="7" xfId="0" applyFont="1" applyFill="1" applyBorder="1" applyAlignment="1" applyProtection="1">
      <alignment horizontal="center" vertical="center" wrapText="1"/>
      <protection hidden="1"/>
    </xf>
    <xf numFmtId="0" fontId="2" fillId="0" borderId="50" xfId="0" applyNumberFormat="1" applyFont="1" applyFill="1" applyBorder="1" applyAlignment="1" applyProtection="1">
      <alignment horizontal="center" vertical="center"/>
      <protection locked="0"/>
    </xf>
    <xf numFmtId="0" fontId="2" fillId="0" borderId="22" xfId="0" applyNumberFormat="1" applyFont="1" applyFill="1" applyBorder="1" applyAlignment="1" applyProtection="1">
      <alignment horizontal="center" vertical="center"/>
      <protection locked="0"/>
    </xf>
    <xf numFmtId="0" fontId="29" fillId="9" borderId="26" xfId="0" applyFont="1" applyFill="1" applyBorder="1" applyAlignment="1" applyProtection="1">
      <alignment horizontal="center" vertical="center"/>
      <protection hidden="1"/>
    </xf>
    <xf numFmtId="0" fontId="29" fillId="9" borderId="72" xfId="0" applyFont="1" applyFill="1" applyBorder="1" applyAlignment="1" applyProtection="1">
      <alignment horizontal="center" vertical="center"/>
      <protection hidden="1"/>
    </xf>
    <xf numFmtId="2" fontId="29" fillId="10" borderId="72" xfId="0" applyNumberFormat="1" applyFont="1" applyFill="1" applyBorder="1" applyAlignment="1" applyProtection="1">
      <alignment horizontal="center" vertical="center"/>
      <protection hidden="1"/>
    </xf>
    <xf numFmtId="1" fontId="29" fillId="10" borderId="72" xfId="0" applyNumberFormat="1" applyFont="1" applyFill="1" applyBorder="1" applyAlignment="1" applyProtection="1">
      <alignment horizontal="center" vertical="center"/>
      <protection hidden="1"/>
    </xf>
    <xf numFmtId="0" fontId="28" fillId="11" borderId="25" xfId="0" applyFont="1" applyFill="1" applyBorder="1" applyAlignment="1" applyProtection="1">
      <alignment horizontal="center" vertical="center"/>
      <protection hidden="1"/>
    </xf>
    <xf numFmtId="0" fontId="29" fillId="0" borderId="26" xfId="0" applyFont="1" applyFill="1" applyBorder="1" applyAlignment="1" applyProtection="1">
      <alignment horizontal="center" vertical="center"/>
      <protection hidden="1"/>
    </xf>
    <xf numFmtId="3" fontId="29" fillId="0" borderId="26" xfId="0" applyNumberFormat="1" applyFont="1" applyFill="1" applyBorder="1" applyAlignment="1" applyProtection="1">
      <alignment horizontal="center" vertical="center"/>
      <protection hidden="1"/>
    </xf>
    <xf numFmtId="166" fontId="29" fillId="0" borderId="26" xfId="0" applyNumberFormat="1" applyFont="1" applyFill="1" applyBorder="1" applyAlignment="1" applyProtection="1">
      <alignment horizontal="center" vertical="center"/>
      <protection hidden="1"/>
    </xf>
    <xf numFmtId="166" fontId="28" fillId="11" borderId="26" xfId="0" applyNumberFormat="1" applyFont="1" applyFill="1" applyBorder="1" applyAlignment="1" applyProtection="1">
      <alignment horizontal="center" vertical="center"/>
      <protection hidden="1"/>
    </xf>
    <xf numFmtId="0" fontId="29" fillId="9" borderId="0" xfId="0" applyFont="1" applyFill="1" applyBorder="1" applyAlignment="1" applyProtection="1">
      <alignment horizontal="center" vertical="center" wrapText="1"/>
      <protection hidden="1"/>
    </xf>
    <xf numFmtId="2" fontId="29" fillId="9" borderId="0" xfId="0" applyNumberFormat="1" applyFont="1" applyFill="1" applyBorder="1" applyAlignment="1" applyProtection="1">
      <alignment horizontal="center" vertical="center"/>
      <protection hidden="1"/>
    </xf>
    <xf numFmtId="0" fontId="12" fillId="3" borderId="66" xfId="0" applyFont="1" applyFill="1" applyBorder="1" applyAlignment="1" applyProtection="1">
      <alignment horizontal="center" vertical="center"/>
      <protection hidden="1"/>
    </xf>
    <xf numFmtId="0" fontId="29" fillId="2" borderId="0" xfId="0" applyFont="1" applyFill="1" applyBorder="1" applyAlignment="1" applyProtection="1">
      <alignment horizontal="center" vertical="center"/>
      <protection hidden="1"/>
    </xf>
    <xf numFmtId="0" fontId="29" fillId="2" borderId="22" xfId="0" applyFont="1" applyFill="1" applyBorder="1" applyAlignment="1" applyProtection="1">
      <alignment vertical="center"/>
      <protection hidden="1"/>
    </xf>
    <xf numFmtId="0" fontId="29" fillId="2" borderId="22" xfId="0" applyFont="1" applyFill="1" applyBorder="1" applyAlignment="1" applyProtection="1">
      <alignment horizontal="center" vertical="center"/>
      <protection hidden="1"/>
    </xf>
    <xf numFmtId="0" fontId="29" fillId="9" borderId="22" xfId="0" applyFont="1" applyFill="1" applyBorder="1" applyAlignment="1" applyProtection="1">
      <alignment vertical="center"/>
      <protection hidden="1"/>
    </xf>
    <xf numFmtId="0" fontId="6" fillId="2" borderId="0" xfId="0" applyFont="1" applyFill="1" applyBorder="1" applyAlignment="1" applyProtection="1">
      <alignment horizontal="left" vertical="center" indent="1"/>
      <protection locked="0"/>
    </xf>
    <xf numFmtId="0" fontId="37" fillId="2" borderId="0" xfId="0" applyFont="1" applyFill="1" applyBorder="1" applyAlignment="1" applyProtection="1">
      <alignment horizontal="left" vertical="center" indent="1"/>
      <protection locked="0"/>
    </xf>
    <xf numFmtId="164" fontId="0" fillId="0" borderId="48" xfId="0" applyNumberFormat="1" applyFill="1" applyBorder="1" applyAlignment="1">
      <alignment horizontal="center" vertical="center"/>
    </xf>
    <xf numFmtId="174" fontId="2" fillId="0" borderId="50" xfId="0" applyNumberFormat="1" applyFont="1" applyFill="1" applyBorder="1" applyAlignment="1" applyProtection="1">
      <alignment horizontal="center" vertical="center"/>
      <protection locked="0"/>
    </xf>
    <xf numFmtId="174" fontId="2" fillId="0" borderId="22" xfId="0" applyNumberFormat="1" applyFont="1" applyFill="1" applyBorder="1" applyAlignment="1" applyProtection="1">
      <alignment horizontal="center" vertical="center"/>
      <protection locked="0"/>
    </xf>
    <xf numFmtId="0" fontId="40" fillId="2" borderId="0" xfId="0" applyNumberFormat="1" applyFont="1" applyFill="1" applyBorder="1" applyAlignment="1" applyProtection="1">
      <alignment horizontal="left" vertical="center" indent="1"/>
      <protection hidden="1"/>
    </xf>
    <xf numFmtId="4" fontId="2" fillId="15" borderId="10" xfId="0" applyNumberFormat="1" applyFont="1" applyFill="1" applyBorder="1" applyAlignment="1" applyProtection="1">
      <alignment horizontal="center" vertical="center"/>
      <protection hidden="1"/>
    </xf>
    <xf numFmtId="43" fontId="3" fillId="16" borderId="45" xfId="1" applyNumberFormat="1" applyFont="1" applyFill="1" applyBorder="1" applyAlignment="1" applyProtection="1">
      <alignment horizontal="center" vertical="center" wrapText="1"/>
      <protection hidden="1"/>
    </xf>
    <xf numFmtId="41" fontId="3" fillId="16" borderId="45" xfId="1" applyNumberFormat="1" applyFont="1" applyFill="1" applyBorder="1" applyAlignment="1" applyProtection="1">
      <alignment horizontal="center" vertical="center" wrapText="1"/>
      <protection hidden="1"/>
    </xf>
    <xf numFmtId="0" fontId="2" fillId="2" borderId="1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3" borderId="71" xfId="0" applyFont="1" applyFill="1" applyBorder="1" applyAlignment="1" applyProtection="1">
      <alignment horizontal="center" vertical="center"/>
      <protection locked="0"/>
    </xf>
    <xf numFmtId="0" fontId="2" fillId="3" borderId="22" xfId="0" applyFont="1" applyFill="1" applyBorder="1" applyAlignment="1" applyProtection="1">
      <alignment horizontal="center" vertical="center"/>
      <protection locked="0"/>
    </xf>
    <xf numFmtId="0" fontId="2" fillId="2" borderId="18" xfId="0" applyFont="1" applyFill="1" applyBorder="1" applyAlignment="1" applyProtection="1">
      <alignment horizontal="center" vertical="center"/>
      <protection locked="0"/>
    </xf>
    <xf numFmtId="0" fontId="2" fillId="2" borderId="43" xfId="0" applyFont="1" applyFill="1" applyBorder="1" applyAlignment="1" applyProtection="1">
      <alignment horizontal="center" vertical="center"/>
      <protection locked="0"/>
    </xf>
    <xf numFmtId="0" fontId="2" fillId="3" borderId="59" xfId="0" applyFont="1" applyFill="1" applyBorder="1" applyAlignment="1" applyProtection="1">
      <alignment horizontal="center" vertical="center"/>
      <protection locked="0"/>
    </xf>
    <xf numFmtId="0" fontId="2" fillId="3" borderId="17" xfId="0" applyFont="1" applyFill="1" applyBorder="1" applyAlignment="1" applyProtection="1">
      <alignment horizontal="center" vertical="center"/>
      <protection locked="0"/>
    </xf>
    <xf numFmtId="0" fontId="2" fillId="3" borderId="10" xfId="0" applyFont="1" applyFill="1" applyBorder="1" applyAlignment="1" applyProtection="1">
      <alignment horizontal="center" vertical="center"/>
      <protection locked="0"/>
    </xf>
    <xf numFmtId="0" fontId="29" fillId="9" borderId="26" xfId="0" applyFont="1" applyFill="1" applyBorder="1" applyAlignment="1" applyProtection="1">
      <alignment horizontal="center" vertical="center"/>
      <protection hidden="1"/>
    </xf>
    <xf numFmtId="0" fontId="29" fillId="9" borderId="50" xfId="0" applyFont="1" applyFill="1" applyBorder="1" applyAlignment="1" applyProtection="1">
      <alignment horizontal="center" vertical="center"/>
      <protection hidden="1"/>
    </xf>
    <xf numFmtId="0" fontId="29" fillId="9" borderId="42" xfId="0" applyFont="1" applyFill="1" applyBorder="1" applyAlignment="1" applyProtection="1">
      <alignment horizontal="center" vertical="center"/>
      <protection hidden="1"/>
    </xf>
    <xf numFmtId="164" fontId="0" fillId="0" borderId="22" xfId="0" applyNumberFormat="1" applyFill="1" applyBorder="1" applyAlignment="1">
      <alignment horizontal="center" vertical="center"/>
    </xf>
    <xf numFmtId="164" fontId="0" fillId="0" borderId="10" xfId="0" applyNumberFormat="1" applyFill="1" applyBorder="1" applyAlignment="1">
      <alignment horizontal="center" vertical="center"/>
    </xf>
    <xf numFmtId="164" fontId="0" fillId="0" borderId="17" xfId="0" applyNumberFormat="1" applyFill="1" applyBorder="1" applyAlignment="1">
      <alignment horizontal="center" vertical="center"/>
    </xf>
    <xf numFmtId="0" fontId="0" fillId="0" borderId="16" xfId="0" applyFill="1" applyBorder="1" applyAlignment="1">
      <alignment horizontal="center" vertical="center"/>
    </xf>
    <xf numFmtId="0" fontId="0" fillId="9" borderId="42" xfId="0" applyFill="1" applyBorder="1" applyAlignment="1">
      <alignment horizontal="center" vertical="center"/>
    </xf>
    <xf numFmtId="0" fontId="0" fillId="9" borderId="58" xfId="0" applyFill="1" applyBorder="1" applyAlignment="1">
      <alignment horizontal="center" vertical="center"/>
    </xf>
    <xf numFmtId="164" fontId="0" fillId="9" borderId="50" xfId="0" applyNumberFormat="1" applyFill="1" applyBorder="1" applyAlignment="1">
      <alignment horizontal="center" vertical="center"/>
    </xf>
    <xf numFmtId="164" fontId="0" fillId="9" borderId="43" xfId="0" applyNumberFormat="1" applyFill="1" applyBorder="1" applyAlignment="1">
      <alignment horizontal="center" vertical="center"/>
    </xf>
    <xf numFmtId="173" fontId="29" fillId="9" borderId="4" xfId="0" applyNumberFormat="1" applyFont="1" applyFill="1" applyBorder="1" applyAlignment="1" applyProtection="1">
      <alignment horizontal="center" vertical="center"/>
      <protection locked="0"/>
    </xf>
    <xf numFmtId="0" fontId="3" fillId="7" borderId="10" xfId="0" applyNumberFormat="1" applyFont="1" applyFill="1" applyBorder="1" applyAlignment="1" applyProtection="1">
      <alignment horizontal="center" vertical="center" wrapText="1"/>
      <protection hidden="1"/>
    </xf>
    <xf numFmtId="0" fontId="2" fillId="0" borderId="19" xfId="0" applyFont="1" applyFill="1" applyBorder="1" applyAlignment="1" applyProtection="1">
      <alignment horizontal="center" vertical="center"/>
      <protection locked="0"/>
    </xf>
    <xf numFmtId="0" fontId="2" fillId="3" borderId="61" xfId="0" applyFont="1" applyFill="1" applyBorder="1" applyAlignment="1" applyProtection="1">
      <alignment horizontal="center" vertical="center"/>
      <protection locked="0"/>
    </xf>
    <xf numFmtId="0" fontId="2" fillId="0" borderId="61" xfId="0" applyFont="1" applyFill="1" applyBorder="1" applyAlignment="1" applyProtection="1">
      <alignment horizontal="center" vertical="center"/>
      <protection locked="0"/>
    </xf>
    <xf numFmtId="0" fontId="2" fillId="3" borderId="63" xfId="0" applyFont="1" applyFill="1" applyBorder="1" applyAlignment="1" applyProtection="1">
      <alignment horizontal="center" vertical="center"/>
      <protection locked="0"/>
    </xf>
    <xf numFmtId="169" fontId="10" fillId="16" borderId="55" xfId="1" applyNumberFormat="1" applyFont="1" applyFill="1" applyBorder="1" applyAlignment="1" applyProtection="1">
      <alignment horizontal="center" vertical="center" wrapText="1"/>
      <protection hidden="1"/>
    </xf>
    <xf numFmtId="169" fontId="10" fillId="16" borderId="56" xfId="1" applyNumberFormat="1" applyFont="1" applyFill="1" applyBorder="1" applyAlignment="1" applyProtection="1">
      <alignment horizontal="center" vertical="center" wrapText="1"/>
      <protection hidden="1"/>
    </xf>
    <xf numFmtId="169" fontId="10" fillId="16" borderId="57" xfId="1" applyNumberFormat="1" applyFont="1" applyFill="1" applyBorder="1" applyAlignment="1" applyProtection="1">
      <alignment horizontal="center" vertical="center" wrapText="1"/>
      <protection hidden="1"/>
    </xf>
    <xf numFmtId="0" fontId="21" fillId="7" borderId="22" xfId="0" applyNumberFormat="1" applyFont="1" applyFill="1" applyBorder="1" applyAlignment="1" applyProtection="1">
      <alignment horizontal="center" vertical="center" wrapText="1"/>
      <protection hidden="1"/>
    </xf>
    <xf numFmtId="174" fontId="2" fillId="15" borderId="22" xfId="0" applyNumberFormat="1" applyFont="1" applyFill="1" applyBorder="1" applyAlignment="1" applyProtection="1">
      <alignment horizontal="center" vertical="center"/>
    </xf>
    <xf numFmtId="164" fontId="2" fillId="0" borderId="22" xfId="0" applyNumberFormat="1" applyFont="1" applyFill="1" applyBorder="1" applyAlignment="1" applyProtection="1">
      <alignment horizontal="center" vertical="center"/>
      <protection locked="0"/>
    </xf>
    <xf numFmtId="174" fontId="2" fillId="3" borderId="22" xfId="0" applyNumberFormat="1" applyFont="1" applyFill="1" applyBorder="1" applyAlignment="1" applyProtection="1">
      <alignment horizontal="center" vertical="center"/>
      <protection locked="0"/>
    </xf>
    <xf numFmtId="0" fontId="2" fillId="3" borderId="22" xfId="0" applyNumberFormat="1" applyFont="1" applyFill="1" applyBorder="1" applyAlignment="1" applyProtection="1">
      <alignment horizontal="center" vertical="center"/>
      <protection locked="0"/>
    </xf>
    <xf numFmtId="164" fontId="2" fillId="3" borderId="22" xfId="0" applyNumberFormat="1" applyFont="1" applyFill="1" applyBorder="1" applyAlignment="1" applyProtection="1">
      <alignment horizontal="center" vertical="center"/>
      <protection locked="0"/>
    </xf>
    <xf numFmtId="0" fontId="2" fillId="0" borderId="48" xfId="0" applyFont="1" applyFill="1" applyBorder="1" applyAlignment="1" applyProtection="1">
      <alignment horizontal="center" vertical="center"/>
      <protection locked="0"/>
    </xf>
    <xf numFmtId="174" fontId="2" fillId="3" borderId="10" xfId="0" applyNumberFormat="1" applyFont="1" applyFill="1" applyBorder="1" applyAlignment="1" applyProtection="1">
      <alignment horizontal="center" vertical="center"/>
      <protection locked="0"/>
    </xf>
    <xf numFmtId="174" fontId="2" fillId="15" borderId="10" xfId="0" applyNumberFormat="1" applyFont="1" applyFill="1" applyBorder="1" applyAlignment="1" applyProtection="1">
      <alignment horizontal="center" vertical="center"/>
    </xf>
    <xf numFmtId="0" fontId="2" fillId="3" borderId="10" xfId="0" applyNumberFormat="1" applyFont="1" applyFill="1" applyBorder="1" applyAlignment="1" applyProtection="1">
      <alignment horizontal="center" vertical="center"/>
      <protection locked="0"/>
    </xf>
    <xf numFmtId="164" fontId="2" fillId="3" borderId="10" xfId="0" applyNumberFormat="1" applyFont="1" applyFill="1" applyBorder="1" applyAlignment="1" applyProtection="1">
      <alignment horizontal="center" vertical="center"/>
      <protection locked="0"/>
    </xf>
    <xf numFmtId="174" fontId="2" fillId="15" borderId="50" xfId="0" applyNumberFormat="1" applyFont="1" applyFill="1" applyBorder="1" applyAlignment="1" applyProtection="1">
      <alignment horizontal="center" vertical="center"/>
    </xf>
    <xf numFmtId="164" fontId="2" fillId="0" borderId="50" xfId="0" applyNumberFormat="1" applyFont="1" applyFill="1" applyBorder="1" applyAlignment="1" applyProtection="1">
      <alignment horizontal="center" vertical="center"/>
      <protection locked="0"/>
    </xf>
    <xf numFmtId="0" fontId="2" fillId="0" borderId="43" xfId="0" applyFont="1" applyFill="1" applyBorder="1" applyAlignment="1" applyProtection="1">
      <alignment horizontal="center" vertical="center"/>
      <protection locked="0"/>
    </xf>
    <xf numFmtId="0" fontId="2" fillId="0" borderId="50" xfId="0" applyFont="1" applyFill="1" applyBorder="1" applyAlignment="1" applyProtection="1">
      <alignment horizontal="left" vertical="center"/>
      <protection locked="0"/>
    </xf>
    <xf numFmtId="0" fontId="2" fillId="3" borderId="47" xfId="0" applyFont="1" applyFill="1" applyBorder="1" applyAlignment="1" applyProtection="1">
      <alignment horizontal="left" vertical="center"/>
      <protection locked="0"/>
    </xf>
    <xf numFmtId="0" fontId="2" fillId="3" borderId="22" xfId="0" applyFont="1" applyFill="1" applyBorder="1" applyAlignment="1" applyProtection="1">
      <alignment horizontal="left" vertical="center"/>
      <protection locked="0"/>
    </xf>
    <xf numFmtId="0" fontId="2" fillId="0" borderId="22" xfId="0" applyFont="1" applyFill="1" applyBorder="1" applyAlignment="1" applyProtection="1">
      <alignment horizontal="left" vertical="center"/>
      <protection locked="0"/>
    </xf>
    <xf numFmtId="0" fontId="2" fillId="3" borderId="16" xfId="0" applyFont="1" applyFill="1" applyBorder="1" applyAlignment="1" applyProtection="1">
      <alignment horizontal="left" vertical="center"/>
      <protection locked="0"/>
    </xf>
    <xf numFmtId="0" fontId="2" fillId="3" borderId="10" xfId="0" applyFont="1" applyFill="1" applyBorder="1" applyAlignment="1" applyProtection="1">
      <alignment horizontal="left" vertical="center"/>
      <protection locked="0"/>
    </xf>
    <xf numFmtId="0" fontId="2" fillId="2" borderId="42" xfId="0" applyFont="1" applyFill="1" applyBorder="1" applyAlignment="1" applyProtection="1">
      <alignment horizontal="left" vertical="center"/>
      <protection locked="0"/>
    </xf>
    <xf numFmtId="0" fontId="2" fillId="2" borderId="50" xfId="0" applyFont="1" applyFill="1" applyBorder="1" applyAlignment="1" applyProtection="1">
      <alignment horizontal="left" vertical="center"/>
      <protection locked="0"/>
    </xf>
    <xf numFmtId="164" fontId="1" fillId="0" borderId="5" xfId="15" applyNumberFormat="1" applyFont="1" applyBorder="1" applyAlignment="1" applyProtection="1">
      <alignment horizontal="center" vertical="center"/>
      <protection hidden="1"/>
    </xf>
    <xf numFmtId="0" fontId="3" fillId="2" borderId="22" xfId="0" applyNumberFormat="1" applyFont="1" applyFill="1" applyBorder="1" applyAlignment="1" applyProtection="1">
      <alignment horizontal="center" vertical="center" wrapText="1"/>
      <protection hidden="1"/>
    </xf>
    <xf numFmtId="0" fontId="3" fillId="2" borderId="22" xfId="0" applyNumberFormat="1" applyFont="1" applyFill="1" applyBorder="1" applyAlignment="1" applyProtection="1">
      <alignment horizontal="center" vertical="center"/>
      <protection hidden="1"/>
    </xf>
    <xf numFmtId="0" fontId="29" fillId="9" borderId="22" xfId="0" applyFont="1" applyFill="1" applyBorder="1" applyAlignment="1" applyProtection="1">
      <alignment horizontal="center" vertical="center"/>
      <protection hidden="1"/>
    </xf>
    <xf numFmtId="44" fontId="3" fillId="16" borderId="45" xfId="1" applyNumberFormat="1" applyFont="1" applyFill="1" applyBorder="1" applyAlignment="1" applyProtection="1">
      <alignment horizontal="center" vertical="center" wrapText="1"/>
      <protection hidden="1"/>
    </xf>
    <xf numFmtId="44" fontId="3" fillId="16" borderId="22" xfId="1" applyNumberFormat="1" applyFont="1" applyFill="1" applyBorder="1" applyAlignment="1" applyProtection="1">
      <alignment horizontal="center" vertical="center" wrapText="1"/>
      <protection hidden="1"/>
    </xf>
    <xf numFmtId="44" fontId="3" fillId="16" borderId="10" xfId="1" applyNumberFormat="1" applyFont="1" applyFill="1" applyBorder="1" applyAlignment="1" applyProtection="1">
      <alignment horizontal="center" vertical="center" wrapText="1"/>
      <protection hidden="1"/>
    </xf>
    <xf numFmtId="0" fontId="2" fillId="0" borderId="58" xfId="0" applyFont="1" applyFill="1" applyBorder="1" applyAlignment="1" applyProtection="1">
      <alignment horizontal="left" vertical="center"/>
      <protection locked="0"/>
    </xf>
    <xf numFmtId="0" fontId="2" fillId="3" borderId="56" xfId="0" applyFont="1" applyFill="1" applyBorder="1" applyAlignment="1" applyProtection="1">
      <alignment horizontal="left" vertical="center"/>
      <protection locked="0"/>
    </xf>
    <xf numFmtId="0" fontId="2" fillId="0" borderId="56" xfId="0" applyFont="1" applyFill="1" applyBorder="1" applyAlignment="1" applyProtection="1">
      <alignment horizontal="left" vertical="center"/>
      <protection locked="0"/>
    </xf>
    <xf numFmtId="0" fontId="2" fillId="3" borderId="57" xfId="0" applyFont="1" applyFill="1" applyBorder="1" applyAlignment="1" applyProtection="1">
      <alignment horizontal="left" vertical="center"/>
      <protection locked="0"/>
    </xf>
    <xf numFmtId="0" fontId="29" fillId="9" borderId="26" xfId="0" applyFont="1" applyFill="1" applyBorder="1" applyAlignment="1" applyProtection="1">
      <alignment horizontal="center" vertical="center"/>
      <protection hidden="1"/>
    </xf>
    <xf numFmtId="1" fontId="29" fillId="9" borderId="0" xfId="0" applyNumberFormat="1" applyFont="1" applyFill="1" applyBorder="1" applyAlignment="1" applyProtection="1">
      <alignment horizontal="center" vertical="center"/>
      <protection hidden="1"/>
    </xf>
    <xf numFmtId="0" fontId="28" fillId="9" borderId="0" xfId="0" applyFont="1" applyFill="1" applyBorder="1" applyAlignment="1" applyProtection="1">
      <alignment horizontal="center" vertical="center"/>
      <protection hidden="1"/>
    </xf>
    <xf numFmtId="0" fontId="0" fillId="9" borderId="0" xfId="0" applyFill="1" applyAlignment="1"/>
    <xf numFmtId="0" fontId="1" fillId="3" borderId="70" xfId="0" applyNumberFormat="1" applyFont="1" applyFill="1" applyBorder="1" applyAlignment="1" applyProtection="1">
      <alignment horizontal="center" vertical="center" wrapText="1"/>
      <protection hidden="1"/>
    </xf>
    <xf numFmtId="0" fontId="1" fillId="6" borderId="66" xfId="0" applyFont="1" applyFill="1" applyBorder="1" applyAlignment="1" applyProtection="1">
      <alignment vertical="center"/>
      <protection hidden="1"/>
    </xf>
    <xf numFmtId="0" fontId="29" fillId="9" borderId="26" xfId="0" applyFont="1" applyFill="1" applyBorder="1" applyAlignment="1" applyProtection="1">
      <alignment horizontal="center" vertical="center"/>
      <protection hidden="1"/>
    </xf>
    <xf numFmtId="0" fontId="29" fillId="9" borderId="50" xfId="0" applyFont="1" applyFill="1" applyBorder="1" applyAlignment="1" applyProtection="1">
      <alignment horizontal="center" vertical="center"/>
      <protection hidden="1"/>
    </xf>
    <xf numFmtId="0" fontId="0" fillId="9" borderId="25" xfId="0" applyFill="1" applyBorder="1" applyAlignment="1">
      <alignment horizontal="center" vertical="center"/>
    </xf>
    <xf numFmtId="0" fontId="0" fillId="9" borderId="54" xfId="0" applyFill="1" applyBorder="1" applyAlignment="1">
      <alignment horizontal="center" vertical="center"/>
    </xf>
    <xf numFmtId="164" fontId="0" fillId="0" borderId="26" xfId="0" applyNumberFormat="1" applyFill="1" applyBorder="1" applyAlignment="1">
      <alignment horizontal="center" vertical="center"/>
    </xf>
    <xf numFmtId="164" fontId="0" fillId="0" borderId="27" xfId="0" applyNumberFormat="1" applyFill="1" applyBorder="1" applyAlignment="1">
      <alignment horizontal="center" vertical="center"/>
    </xf>
    <xf numFmtId="166" fontId="0" fillId="9" borderId="25" xfId="0" applyNumberFormat="1" applyFill="1" applyBorder="1" applyAlignment="1">
      <alignment horizontal="center" vertical="center"/>
    </xf>
    <xf numFmtId="166" fontId="0" fillId="9" borderId="26" xfId="0" applyNumberFormat="1" applyFill="1" applyBorder="1" applyAlignment="1">
      <alignment horizontal="center" vertical="center"/>
    </xf>
    <xf numFmtId="166" fontId="0" fillId="9" borderId="24" xfId="0" applyNumberFormat="1" applyFill="1" applyBorder="1" applyAlignment="1">
      <alignment horizontal="center" vertical="center"/>
    </xf>
    <xf numFmtId="166" fontId="0" fillId="9" borderId="27" xfId="0" applyNumberFormat="1" applyFill="1" applyBorder="1" applyAlignment="1">
      <alignment horizontal="center" vertical="center"/>
    </xf>
    <xf numFmtId="166" fontId="0" fillId="9" borderId="60" xfId="0" applyNumberFormat="1" applyFill="1" applyBorder="1" applyAlignment="1">
      <alignment horizontal="center" vertical="center"/>
    </xf>
    <xf numFmtId="166" fontId="0" fillId="9" borderId="72" xfId="0" applyNumberFormat="1" applyFill="1" applyBorder="1" applyAlignment="1">
      <alignment horizontal="center" vertical="center"/>
    </xf>
    <xf numFmtId="164" fontId="0" fillId="9" borderId="26" xfId="0" applyNumberFormat="1" applyFill="1" applyBorder="1" applyAlignment="1">
      <alignment horizontal="center" vertical="center"/>
    </xf>
    <xf numFmtId="164" fontId="0" fillId="9" borderId="27" xfId="0" applyNumberFormat="1" applyFill="1" applyBorder="1" applyAlignment="1">
      <alignment horizontal="center" vertical="center"/>
    </xf>
    <xf numFmtId="0" fontId="1" fillId="3" borderId="14" xfId="0" applyNumberFormat="1" applyFont="1" applyFill="1" applyBorder="1" applyAlignment="1" applyProtection="1">
      <alignment horizontal="center" vertical="center" wrapText="1"/>
      <protection hidden="1"/>
    </xf>
    <xf numFmtId="0" fontId="28" fillId="11" borderId="50" xfId="0" applyFont="1" applyFill="1" applyBorder="1" applyAlignment="1" applyProtection="1">
      <alignment horizontal="center" vertical="center"/>
      <protection hidden="1"/>
    </xf>
    <xf numFmtId="164" fontId="28" fillId="11" borderId="60" xfId="0" applyNumberFormat="1" applyFont="1" applyFill="1" applyBorder="1" applyAlignment="1" applyProtection="1">
      <alignment horizontal="center" vertical="center"/>
      <protection hidden="1"/>
    </xf>
    <xf numFmtId="166" fontId="28" fillId="11" borderId="58" xfId="0" applyNumberFormat="1" applyFont="1" applyFill="1" applyBorder="1" applyAlignment="1" applyProtection="1">
      <alignment horizontal="center" vertical="center"/>
      <protection hidden="1"/>
    </xf>
    <xf numFmtId="166" fontId="28" fillId="11" borderId="60" xfId="0" applyNumberFormat="1" applyFont="1" applyFill="1" applyBorder="1" applyAlignment="1" applyProtection="1">
      <alignment horizontal="center" vertical="center"/>
      <protection hidden="1"/>
    </xf>
    <xf numFmtId="0" fontId="29" fillId="10" borderId="50" xfId="0" applyFont="1" applyFill="1" applyBorder="1" applyAlignment="1" applyProtection="1">
      <alignment horizontal="center" vertical="center"/>
      <protection hidden="1"/>
    </xf>
    <xf numFmtId="164" fontId="29" fillId="10" borderId="10" xfId="0" applyNumberFormat="1" applyFont="1" applyFill="1" applyBorder="1" applyAlignment="1" applyProtection="1">
      <alignment horizontal="center" vertical="center"/>
      <protection hidden="1"/>
    </xf>
    <xf numFmtId="0" fontId="29" fillId="10" borderId="26" xfId="0" applyFont="1" applyFill="1" applyBorder="1" applyAlignment="1" applyProtection="1">
      <alignment horizontal="center" vertical="center"/>
      <protection hidden="1"/>
    </xf>
    <xf numFmtId="164" fontId="28" fillId="11" borderId="57" xfId="0" applyNumberFormat="1" applyFont="1" applyFill="1" applyBorder="1" applyAlignment="1" applyProtection="1">
      <alignment horizontal="center" vertical="center"/>
      <protection hidden="1"/>
    </xf>
    <xf numFmtId="0" fontId="29" fillId="10" borderId="20" xfId="0" applyFont="1" applyFill="1" applyBorder="1" applyAlignment="1" applyProtection="1">
      <alignment horizontal="center" vertical="center"/>
      <protection hidden="1"/>
    </xf>
    <xf numFmtId="0" fontId="29" fillId="10" borderId="22" xfId="0" applyFont="1" applyFill="1" applyBorder="1" applyAlignment="1" applyProtection="1">
      <alignment horizontal="center" vertical="center"/>
      <protection hidden="1"/>
    </xf>
    <xf numFmtId="0" fontId="28" fillId="11" borderId="10" xfId="0" applyFont="1" applyFill="1" applyBorder="1" applyAlignment="1" applyProtection="1">
      <alignment horizontal="center" vertical="center"/>
      <protection hidden="1"/>
    </xf>
    <xf numFmtId="164" fontId="28" fillId="11" borderId="55" xfId="0" applyNumberFormat="1" applyFont="1" applyFill="1" applyBorder="1" applyAlignment="1" applyProtection="1">
      <alignment horizontal="center" vertical="center"/>
      <protection hidden="1"/>
    </xf>
    <xf numFmtId="164" fontId="28" fillId="11" borderId="56" xfId="0" applyNumberFormat="1" applyFont="1" applyFill="1" applyBorder="1" applyAlignment="1" applyProtection="1">
      <alignment horizontal="center" vertical="center"/>
      <protection hidden="1"/>
    </xf>
    <xf numFmtId="0" fontId="28" fillId="11" borderId="45" xfId="0" applyFont="1" applyFill="1" applyBorder="1" applyAlignment="1" applyProtection="1">
      <alignment horizontal="center" vertical="center"/>
      <protection hidden="1"/>
    </xf>
    <xf numFmtId="0" fontId="29" fillId="10" borderId="53" xfId="0" applyFont="1" applyFill="1" applyBorder="1" applyAlignment="1" applyProtection="1">
      <alignment horizontal="center" vertical="center"/>
      <protection hidden="1"/>
    </xf>
    <xf numFmtId="0" fontId="29" fillId="10" borderId="51" xfId="0" applyFont="1" applyFill="1" applyBorder="1" applyAlignment="1" applyProtection="1">
      <alignment horizontal="center" vertical="center"/>
      <protection hidden="1"/>
    </xf>
    <xf numFmtId="0" fontId="28" fillId="11" borderId="26" xfId="0" applyFont="1" applyFill="1" applyBorder="1" applyAlignment="1" applyProtection="1">
      <alignment horizontal="center" vertical="center"/>
      <protection hidden="1"/>
    </xf>
    <xf numFmtId="0" fontId="1" fillId="3" borderId="33" xfId="0" applyNumberFormat="1" applyFont="1" applyFill="1" applyBorder="1" applyAlignment="1" applyProtection="1">
      <alignment horizontal="center" vertical="center" wrapText="1"/>
      <protection hidden="1"/>
    </xf>
    <xf numFmtId="164" fontId="29" fillId="0" borderId="26" xfId="0" applyNumberFormat="1" applyFont="1" applyFill="1" applyBorder="1" applyAlignment="1" applyProtection="1">
      <alignment horizontal="center" vertical="center"/>
      <protection hidden="1"/>
    </xf>
    <xf numFmtId="164" fontId="29" fillId="0" borderId="50" xfId="0" applyNumberFormat="1" applyFont="1" applyFill="1" applyBorder="1" applyAlignment="1" applyProtection="1">
      <alignment horizontal="center" vertical="center"/>
      <protection hidden="1"/>
    </xf>
    <xf numFmtId="166" fontId="28" fillId="11" borderId="55" xfId="0" applyNumberFormat="1" applyFont="1" applyFill="1" applyBorder="1" applyAlignment="1" applyProtection="1">
      <alignment horizontal="center" vertical="center"/>
      <protection hidden="1"/>
    </xf>
    <xf numFmtId="164" fontId="29" fillId="10" borderId="50" xfId="0" applyNumberFormat="1" applyFont="1" applyFill="1" applyBorder="1" applyAlignment="1" applyProtection="1">
      <alignment horizontal="center" vertical="center"/>
      <protection hidden="1"/>
    </xf>
    <xf numFmtId="166" fontId="28" fillId="11" borderId="56" xfId="0" applyNumberFormat="1" applyFont="1" applyFill="1" applyBorder="1" applyAlignment="1" applyProtection="1">
      <alignment horizontal="center" vertical="center"/>
      <protection hidden="1"/>
    </xf>
    <xf numFmtId="0" fontId="29" fillId="10" borderId="45" xfId="0" applyFont="1" applyFill="1" applyBorder="1" applyAlignment="1" applyProtection="1">
      <alignment horizontal="center" vertical="center"/>
      <protection hidden="1"/>
    </xf>
    <xf numFmtId="164" fontId="28" fillId="11" borderId="58" xfId="0" applyNumberFormat="1" applyFont="1" applyFill="1" applyBorder="1" applyAlignment="1" applyProtection="1">
      <alignment horizontal="center" vertical="center"/>
      <protection hidden="1"/>
    </xf>
    <xf numFmtId="164" fontId="29" fillId="0" borderId="45" xfId="0" applyNumberFormat="1" applyFont="1" applyFill="1" applyBorder="1" applyAlignment="1" applyProtection="1">
      <alignment horizontal="center" vertical="center"/>
      <protection hidden="1"/>
    </xf>
    <xf numFmtId="164" fontId="29" fillId="10" borderId="22" xfId="0" applyNumberFormat="1" applyFont="1" applyFill="1" applyBorder="1" applyAlignment="1" applyProtection="1">
      <alignment horizontal="center" vertical="center"/>
      <protection hidden="1"/>
    </xf>
    <xf numFmtId="164" fontId="29" fillId="10" borderId="45" xfId="0" applyNumberFormat="1" applyFont="1" applyFill="1" applyBorder="1" applyAlignment="1" applyProtection="1">
      <alignment horizontal="center" vertical="center"/>
      <protection hidden="1"/>
    </xf>
    <xf numFmtId="164" fontId="29" fillId="0" borderId="22" xfId="0" applyNumberFormat="1" applyFont="1" applyFill="1" applyBorder="1" applyAlignment="1" applyProtection="1">
      <alignment horizontal="center" vertical="center"/>
      <protection hidden="1"/>
    </xf>
    <xf numFmtId="0" fontId="29" fillId="10" borderId="52" xfId="0" applyFont="1" applyFill="1" applyBorder="1" applyAlignment="1" applyProtection="1">
      <alignment horizontal="center" vertical="center"/>
      <protection hidden="1"/>
    </xf>
    <xf numFmtId="0" fontId="28" fillId="11" borderId="22" xfId="0" applyFont="1" applyFill="1" applyBorder="1" applyAlignment="1" applyProtection="1">
      <alignment horizontal="center" vertical="center"/>
      <protection hidden="1"/>
    </xf>
    <xf numFmtId="164" fontId="29" fillId="0" borderId="10" xfId="0" applyNumberFormat="1" applyFont="1" applyFill="1" applyBorder="1" applyAlignment="1" applyProtection="1">
      <alignment horizontal="center" vertical="center"/>
      <protection hidden="1"/>
    </xf>
    <xf numFmtId="0" fontId="29" fillId="10" borderId="10" xfId="0" applyFont="1" applyFill="1" applyBorder="1" applyAlignment="1" applyProtection="1">
      <alignment horizontal="center" vertical="center"/>
      <protection hidden="1"/>
    </xf>
    <xf numFmtId="164" fontId="29" fillId="10" borderId="26" xfId="0" applyNumberFormat="1" applyFont="1" applyFill="1" applyBorder="1" applyAlignment="1" applyProtection="1">
      <alignment horizontal="center" vertical="center"/>
      <protection hidden="1"/>
    </xf>
    <xf numFmtId="166" fontId="28" fillId="11" borderId="57" xfId="0" applyNumberFormat="1" applyFont="1" applyFill="1" applyBorder="1" applyAlignment="1" applyProtection="1">
      <alignment horizontal="center" vertical="center"/>
      <protection hidden="1"/>
    </xf>
    <xf numFmtId="0" fontId="27" fillId="2" borderId="0" xfId="0" applyFont="1" applyFill="1" applyAlignment="1" applyProtection="1">
      <alignment vertical="center"/>
      <protection hidden="1"/>
    </xf>
    <xf numFmtId="0" fontId="2" fillId="2" borderId="0" xfId="0" applyFont="1" applyFill="1" applyAlignment="1" applyProtection="1">
      <alignment vertical="center"/>
      <protection hidden="1"/>
    </xf>
    <xf numFmtId="0" fontId="2" fillId="2" borderId="0" xfId="0" applyNumberFormat="1" applyFont="1" applyFill="1" applyBorder="1" applyAlignment="1" applyProtection="1">
      <alignment vertical="center"/>
      <protection hidden="1"/>
    </xf>
    <xf numFmtId="0" fontId="3" fillId="2" borderId="0" xfId="0" applyNumberFormat="1" applyFont="1" applyFill="1" applyBorder="1" applyAlignment="1" applyProtection="1">
      <alignment vertical="center"/>
      <protection hidden="1"/>
    </xf>
    <xf numFmtId="0" fontId="17" fillId="2" borderId="0" xfId="0" applyFont="1" applyFill="1" applyBorder="1" applyAlignment="1" applyProtection="1">
      <alignment horizontal="left" vertical="center"/>
      <protection hidden="1"/>
    </xf>
    <xf numFmtId="0" fontId="17" fillId="2" borderId="9" xfId="0" applyFont="1" applyFill="1" applyBorder="1" applyAlignment="1" applyProtection="1">
      <alignment horizontal="left" vertical="center"/>
      <protection hidden="1"/>
    </xf>
    <xf numFmtId="0" fontId="1" fillId="6" borderId="14" xfId="0" applyFont="1" applyFill="1" applyBorder="1" applyAlignment="1" applyProtection="1">
      <alignment vertical="center"/>
      <protection hidden="1"/>
    </xf>
    <xf numFmtId="0" fontId="3" fillId="10" borderId="2" xfId="0" applyNumberFormat="1" applyFont="1" applyFill="1" applyBorder="1" applyAlignment="1" applyProtection="1">
      <alignment horizontal="center" vertical="center" wrapText="1"/>
      <protection hidden="1"/>
    </xf>
    <xf numFmtId="165" fontId="3" fillId="10" borderId="2" xfId="1" applyNumberFormat="1" applyFont="1" applyFill="1" applyBorder="1" applyAlignment="1" applyProtection="1">
      <alignment horizontal="center" vertical="center" wrapText="1"/>
      <protection hidden="1"/>
    </xf>
    <xf numFmtId="0" fontId="3" fillId="10" borderId="2" xfId="0" applyNumberFormat="1" applyFont="1" applyFill="1" applyBorder="1" applyAlignment="1" applyProtection="1">
      <alignment horizontal="right" vertical="center" wrapText="1"/>
      <protection hidden="1"/>
    </xf>
    <xf numFmtId="166" fontId="13" fillId="10" borderId="7" xfId="0" applyNumberFormat="1" applyFont="1" applyFill="1" applyBorder="1" applyAlignment="1" applyProtection="1">
      <alignment horizontal="center" vertical="center" wrapText="1"/>
      <protection hidden="1"/>
    </xf>
    <xf numFmtId="0" fontId="1" fillId="3" borderId="22" xfId="0" applyNumberFormat="1" applyFont="1" applyFill="1" applyBorder="1" applyAlignment="1" applyProtection="1">
      <alignment horizontal="center" vertical="center" wrapText="1"/>
      <protection hidden="1"/>
    </xf>
    <xf numFmtId="0" fontId="1" fillId="3" borderId="35" xfId="0" applyNumberFormat="1" applyFont="1" applyFill="1" applyBorder="1" applyAlignment="1" applyProtection="1">
      <alignment horizontal="center" vertical="center" wrapText="1"/>
      <protection hidden="1"/>
    </xf>
    <xf numFmtId="0" fontId="1" fillId="3" borderId="21" xfId="0" applyNumberFormat="1" applyFont="1" applyFill="1" applyBorder="1" applyAlignment="1" applyProtection="1">
      <alignment horizontal="center" vertical="center" wrapText="1"/>
      <protection hidden="1"/>
    </xf>
    <xf numFmtId="0" fontId="1" fillId="3" borderId="36" xfId="0" applyNumberFormat="1" applyFont="1" applyFill="1" applyBorder="1" applyAlignment="1" applyProtection="1">
      <alignment horizontal="center" vertical="center" wrapText="1"/>
      <protection hidden="1"/>
    </xf>
    <xf numFmtId="0" fontId="29" fillId="9" borderId="0" xfId="0" applyFont="1" applyFill="1" applyAlignment="1" applyProtection="1">
      <alignment horizontal="center" vertical="center"/>
      <protection hidden="1"/>
    </xf>
    <xf numFmtId="0" fontId="29" fillId="9" borderId="0" xfId="0" applyFont="1" applyFill="1" applyBorder="1" applyAlignment="1" applyProtection="1">
      <alignment horizontal="center" vertical="center"/>
      <protection hidden="1"/>
    </xf>
    <xf numFmtId="0" fontId="29" fillId="9" borderId="45" xfId="0" applyFont="1" applyFill="1" applyBorder="1" applyAlignment="1" applyProtection="1">
      <alignment horizontal="center" vertical="center"/>
      <protection hidden="1"/>
    </xf>
    <xf numFmtId="0" fontId="29" fillId="9" borderId="22" xfId="0" applyFont="1" applyFill="1" applyBorder="1" applyAlignment="1" applyProtection="1">
      <alignment horizontal="center" vertical="center"/>
      <protection hidden="1"/>
    </xf>
    <xf numFmtId="0" fontId="29" fillId="9" borderId="10" xfId="0" applyFont="1" applyFill="1" applyBorder="1" applyAlignment="1" applyProtection="1">
      <alignment horizontal="center" vertical="center"/>
      <protection hidden="1"/>
    </xf>
    <xf numFmtId="0" fontId="29" fillId="9" borderId="26" xfId="0" applyFont="1" applyFill="1" applyBorder="1" applyAlignment="1" applyProtection="1">
      <alignment horizontal="center" vertical="center"/>
      <protection hidden="1"/>
    </xf>
    <xf numFmtId="0" fontId="1" fillId="3" borderId="15" xfId="0" applyNumberFormat="1" applyFont="1" applyFill="1" applyBorder="1" applyAlignment="1" applyProtection="1">
      <alignment horizontal="center" vertical="center" wrapText="1"/>
      <protection hidden="1"/>
    </xf>
    <xf numFmtId="0" fontId="29" fillId="9" borderId="51" xfId="0" applyFont="1" applyFill="1" applyBorder="1" applyAlignment="1" applyProtection="1">
      <alignment horizontal="center" vertical="center"/>
      <protection hidden="1"/>
    </xf>
    <xf numFmtId="0" fontId="29" fillId="9" borderId="52" xfId="0" applyFont="1" applyFill="1" applyBorder="1" applyAlignment="1" applyProtection="1">
      <alignment horizontal="center" vertical="center"/>
      <protection hidden="1"/>
    </xf>
    <xf numFmtId="0" fontId="29" fillId="9" borderId="53" xfId="0" applyFont="1" applyFill="1" applyBorder="1" applyAlignment="1" applyProtection="1">
      <alignment horizontal="center" vertical="center"/>
      <protection hidden="1"/>
    </xf>
    <xf numFmtId="164" fontId="29" fillId="9" borderId="45" xfId="0" applyNumberFormat="1" applyFont="1" applyFill="1" applyBorder="1" applyAlignment="1" applyProtection="1">
      <alignment horizontal="center" vertical="center"/>
      <protection hidden="1"/>
    </xf>
    <xf numFmtId="164" fontId="29" fillId="9" borderId="22" xfId="0" applyNumberFormat="1" applyFont="1" applyFill="1" applyBorder="1" applyAlignment="1" applyProtection="1">
      <alignment horizontal="center" vertical="center"/>
      <protection hidden="1"/>
    </xf>
    <xf numFmtId="164" fontId="29" fillId="9" borderId="10" xfId="0" applyNumberFormat="1" applyFont="1" applyFill="1" applyBorder="1" applyAlignment="1" applyProtection="1">
      <alignment horizontal="center" vertical="center"/>
      <protection hidden="1"/>
    </xf>
    <xf numFmtId="164" fontId="29" fillId="9" borderId="50" xfId="0" applyNumberFormat="1" applyFont="1" applyFill="1" applyBorder="1" applyAlignment="1" applyProtection="1">
      <alignment horizontal="center" vertical="center"/>
      <protection hidden="1"/>
    </xf>
    <xf numFmtId="166" fontId="29" fillId="9" borderId="45" xfId="0" applyNumberFormat="1" applyFont="1" applyFill="1" applyBorder="1" applyAlignment="1" applyProtection="1">
      <alignment horizontal="center" vertical="center"/>
      <protection hidden="1"/>
    </xf>
    <xf numFmtId="166" fontId="29" fillId="9" borderId="22" xfId="0" applyNumberFormat="1" applyFont="1" applyFill="1" applyBorder="1" applyAlignment="1" applyProtection="1">
      <alignment horizontal="center" vertical="center"/>
      <protection hidden="1"/>
    </xf>
    <xf numFmtId="166" fontId="29" fillId="9" borderId="10" xfId="0" applyNumberFormat="1" applyFont="1" applyFill="1" applyBorder="1" applyAlignment="1" applyProtection="1">
      <alignment horizontal="center" vertical="center"/>
      <protection hidden="1"/>
    </xf>
    <xf numFmtId="166" fontId="29" fillId="9" borderId="50" xfId="0" applyNumberFormat="1" applyFont="1" applyFill="1" applyBorder="1" applyAlignment="1" applyProtection="1">
      <alignment horizontal="center" vertical="center"/>
      <protection hidden="1"/>
    </xf>
    <xf numFmtId="0" fontId="0" fillId="9" borderId="0" xfId="0" applyFill="1" applyAlignment="1">
      <alignment vertical="center"/>
    </xf>
    <xf numFmtId="164" fontId="0" fillId="9" borderId="22" xfId="0" applyNumberFormat="1" applyFill="1" applyBorder="1" applyAlignment="1">
      <alignment horizontal="center" vertical="center"/>
    </xf>
    <xf numFmtId="166" fontId="0" fillId="9" borderId="22" xfId="0" applyNumberFormat="1" applyFill="1" applyBorder="1" applyAlignment="1">
      <alignment horizontal="center" vertical="center"/>
    </xf>
    <xf numFmtId="0" fontId="1" fillId="3" borderId="48" xfId="0" applyNumberFormat="1" applyFont="1" applyFill="1" applyBorder="1" applyAlignment="1" applyProtection="1">
      <alignment horizontal="center" vertical="center" wrapText="1"/>
      <protection hidden="1"/>
    </xf>
    <xf numFmtId="0" fontId="1" fillId="3" borderId="10" xfId="0" applyNumberFormat="1" applyFont="1" applyFill="1" applyBorder="1" applyAlignment="1" applyProtection="1">
      <alignment horizontal="center" vertical="center" wrapText="1"/>
      <protection hidden="1"/>
    </xf>
    <xf numFmtId="0" fontId="1" fillId="3" borderId="17" xfId="0" applyNumberFormat="1" applyFont="1" applyFill="1" applyBorder="1" applyAlignment="1" applyProtection="1">
      <alignment horizontal="center" vertical="center" wrapText="1"/>
      <protection hidden="1"/>
    </xf>
    <xf numFmtId="0" fontId="0" fillId="9" borderId="44" xfId="0" applyFill="1" applyBorder="1" applyAlignment="1">
      <alignment horizontal="center" vertical="center"/>
    </xf>
    <xf numFmtId="166" fontId="0" fillId="9" borderId="45" xfId="0" applyNumberFormat="1" applyFill="1" applyBorder="1" applyAlignment="1">
      <alignment horizontal="center" vertical="center"/>
    </xf>
    <xf numFmtId="166" fontId="0" fillId="9" borderId="4" xfId="0" applyNumberFormat="1" applyFill="1" applyBorder="1" applyAlignment="1">
      <alignment horizontal="center" vertical="center"/>
    </xf>
    <xf numFmtId="0" fontId="0" fillId="9" borderId="47" xfId="0" applyFill="1" applyBorder="1" applyAlignment="1">
      <alignment horizontal="center" vertical="center"/>
    </xf>
    <xf numFmtId="166" fontId="0" fillId="9" borderId="48" xfId="0" applyNumberFormat="1" applyFill="1" applyBorder="1" applyAlignment="1">
      <alignment horizontal="center" vertical="center"/>
    </xf>
    <xf numFmtId="0" fontId="0" fillId="9" borderId="16" xfId="0" applyFill="1" applyBorder="1" applyAlignment="1">
      <alignment horizontal="center" vertical="center"/>
    </xf>
    <xf numFmtId="166" fontId="0" fillId="9" borderId="10" xfId="0" applyNumberFormat="1" applyFill="1" applyBorder="1" applyAlignment="1">
      <alignment horizontal="center" vertical="center"/>
    </xf>
    <xf numFmtId="166" fontId="0" fillId="9" borderId="17" xfId="0" applyNumberFormat="1" applyFill="1" applyBorder="1" applyAlignment="1">
      <alignment horizontal="center" vertical="center"/>
    </xf>
    <xf numFmtId="164" fontId="0" fillId="9" borderId="45" xfId="0" applyNumberFormat="1" applyFill="1" applyBorder="1" applyAlignment="1">
      <alignment horizontal="center" vertical="center"/>
    </xf>
    <xf numFmtId="164" fontId="0" fillId="9" borderId="4" xfId="0" applyNumberFormat="1" applyFill="1" applyBorder="1" applyAlignment="1">
      <alignment horizontal="center" vertical="center"/>
    </xf>
    <xf numFmtId="164" fontId="0" fillId="9" borderId="48" xfId="0" applyNumberFormat="1" applyFill="1" applyBorder="1" applyAlignment="1">
      <alignment horizontal="center" vertical="center"/>
    </xf>
    <xf numFmtId="0" fontId="28" fillId="11" borderId="48" xfId="0" applyFont="1" applyFill="1" applyBorder="1" applyAlignment="1" applyProtection="1">
      <alignment horizontal="center" vertical="center"/>
      <protection hidden="1"/>
    </xf>
    <xf numFmtId="0" fontId="28" fillId="11" borderId="17" xfId="0" applyFont="1" applyFill="1" applyBorder="1" applyAlignment="1" applyProtection="1">
      <alignment horizontal="center" vertical="center"/>
      <protection hidden="1"/>
    </xf>
    <xf numFmtId="0" fontId="28" fillId="11" borderId="43" xfId="0" applyFont="1" applyFill="1" applyBorder="1" applyAlignment="1" applyProtection="1">
      <alignment horizontal="center" vertical="center"/>
      <protection hidden="1"/>
    </xf>
    <xf numFmtId="0" fontId="29" fillId="0" borderId="50" xfId="0" applyFont="1" applyFill="1" applyBorder="1" applyAlignment="1" applyProtection="1">
      <alignment horizontal="center" vertical="center"/>
      <protection hidden="1"/>
    </xf>
    <xf numFmtId="0" fontId="29" fillId="0" borderId="22" xfId="0" applyFont="1" applyFill="1" applyBorder="1" applyAlignment="1" applyProtection="1">
      <alignment horizontal="center" vertical="center"/>
      <protection hidden="1"/>
    </xf>
    <xf numFmtId="0" fontId="29" fillId="0" borderId="10" xfId="0" applyFont="1" applyFill="1" applyBorder="1" applyAlignment="1" applyProtection="1">
      <alignment horizontal="center" vertical="center"/>
      <protection hidden="1"/>
    </xf>
    <xf numFmtId="3" fontId="29" fillId="0" borderId="50" xfId="0" applyNumberFormat="1" applyFont="1" applyFill="1" applyBorder="1" applyAlignment="1" applyProtection="1">
      <alignment horizontal="center" vertical="center"/>
      <protection hidden="1"/>
    </xf>
    <xf numFmtId="3" fontId="29" fillId="0" borderId="22" xfId="0" applyNumberFormat="1" applyFont="1" applyFill="1" applyBorder="1" applyAlignment="1" applyProtection="1">
      <alignment horizontal="center" vertical="center"/>
      <protection hidden="1"/>
    </xf>
    <xf numFmtId="3" fontId="29" fillId="0" borderId="10" xfId="0" applyNumberFormat="1" applyFont="1" applyFill="1" applyBorder="1" applyAlignment="1" applyProtection="1">
      <alignment horizontal="center" vertical="center"/>
      <protection hidden="1"/>
    </xf>
    <xf numFmtId="0" fontId="1" fillId="12" borderId="36" xfId="0" applyNumberFormat="1" applyFont="1" applyFill="1" applyBorder="1" applyAlignment="1" applyProtection="1">
      <alignment horizontal="center" vertical="center" wrapText="1"/>
      <protection hidden="1"/>
    </xf>
    <xf numFmtId="0" fontId="1" fillId="13" borderId="36" xfId="0" applyNumberFormat="1" applyFont="1" applyFill="1" applyBorder="1" applyAlignment="1" applyProtection="1">
      <alignment horizontal="center" vertical="center" wrapText="1"/>
      <protection hidden="1"/>
    </xf>
    <xf numFmtId="0" fontId="1" fillId="14" borderId="36" xfId="0" applyNumberFormat="1" applyFont="1" applyFill="1" applyBorder="1" applyAlignment="1" applyProtection="1">
      <alignment horizontal="center" vertical="center" wrapText="1"/>
      <protection hidden="1"/>
    </xf>
    <xf numFmtId="166" fontId="29" fillId="0" borderId="50" xfId="0" applyNumberFormat="1" applyFont="1" applyFill="1" applyBorder="1" applyAlignment="1" applyProtection="1">
      <alignment horizontal="center" vertical="center"/>
      <protection hidden="1"/>
    </xf>
    <xf numFmtId="166" fontId="29" fillId="0" borderId="22" xfId="0" applyNumberFormat="1" applyFont="1" applyFill="1" applyBorder="1" applyAlignment="1" applyProtection="1">
      <alignment horizontal="center" vertical="center"/>
      <protection hidden="1"/>
    </xf>
    <xf numFmtId="166" fontId="29" fillId="0" borderId="10" xfId="0" applyNumberFormat="1" applyFont="1" applyFill="1" applyBorder="1" applyAlignment="1" applyProtection="1">
      <alignment horizontal="center" vertical="center"/>
      <protection hidden="1"/>
    </xf>
    <xf numFmtId="0" fontId="1" fillId="3" borderId="26" xfId="0" applyNumberFormat="1" applyFont="1" applyFill="1" applyBorder="1" applyAlignment="1" applyProtection="1">
      <alignment horizontal="center" vertical="center" wrapText="1"/>
      <protection hidden="1"/>
    </xf>
    <xf numFmtId="0" fontId="1" fillId="3" borderId="27" xfId="0" applyNumberFormat="1" applyFont="1" applyFill="1" applyBorder="1" applyAlignment="1" applyProtection="1">
      <alignment horizontal="center" vertical="center" wrapText="1"/>
      <protection hidden="1"/>
    </xf>
    <xf numFmtId="0" fontId="29" fillId="9" borderId="50" xfId="0" applyFont="1" applyFill="1" applyBorder="1" applyAlignment="1" applyProtection="1">
      <alignment horizontal="center" vertical="center"/>
      <protection hidden="1"/>
    </xf>
    <xf numFmtId="0" fontId="1" fillId="3" borderId="2" xfId="0" applyNumberFormat="1" applyFont="1" applyFill="1" applyBorder="1" applyAlignment="1" applyProtection="1">
      <alignment horizontal="center" vertical="center" wrapText="1"/>
      <protection hidden="1"/>
    </xf>
    <xf numFmtId="0" fontId="1" fillId="3" borderId="54" xfId="0" applyNumberFormat="1" applyFont="1" applyFill="1" applyBorder="1" applyAlignment="1" applyProtection="1">
      <alignment horizontal="center" vertical="center" wrapText="1"/>
      <protection hidden="1"/>
    </xf>
    <xf numFmtId="0" fontId="1" fillId="3" borderId="37" xfId="0" applyNumberFormat="1" applyFont="1" applyFill="1" applyBorder="1" applyAlignment="1" applyProtection="1">
      <alignment horizontal="center" vertical="center" wrapText="1"/>
      <protection hidden="1"/>
    </xf>
    <xf numFmtId="0" fontId="0" fillId="9" borderId="55" xfId="0" applyFill="1" applyBorder="1" applyAlignment="1">
      <alignment horizontal="center" vertical="center"/>
    </xf>
    <xf numFmtId="0" fontId="0" fillId="9" borderId="57" xfId="0" applyFill="1" applyBorder="1" applyAlignment="1">
      <alignment horizontal="center" vertical="center"/>
    </xf>
    <xf numFmtId="0" fontId="3" fillId="2" borderId="0" xfId="0" applyNumberFormat="1" applyFont="1" applyFill="1" applyBorder="1" applyAlignment="1" applyProtection="1">
      <alignment horizontal="center" vertical="center"/>
      <protection hidden="1"/>
    </xf>
    <xf numFmtId="0" fontId="2" fillId="2" borderId="0" xfId="0" applyFont="1" applyFill="1" applyAlignment="1" applyProtection="1">
      <alignment horizontal="center" vertical="center"/>
      <protection hidden="1"/>
    </xf>
    <xf numFmtId="0" fontId="2" fillId="2" borderId="0" xfId="0" applyNumberFormat="1" applyFont="1" applyFill="1" applyBorder="1" applyAlignment="1" applyProtection="1">
      <alignment horizontal="center" vertical="center"/>
      <protection hidden="1"/>
    </xf>
    <xf numFmtId="164" fontId="29" fillId="9" borderId="26" xfId="0" applyNumberFormat="1" applyFont="1" applyFill="1" applyBorder="1" applyAlignment="1" applyProtection="1">
      <alignment horizontal="center" vertical="center"/>
      <protection hidden="1"/>
    </xf>
    <xf numFmtId="166" fontId="29" fillId="9" borderId="26" xfId="0" applyNumberFormat="1" applyFont="1" applyFill="1" applyBorder="1" applyAlignment="1" applyProtection="1">
      <alignment horizontal="center" vertical="center"/>
      <protection hidden="1"/>
    </xf>
    <xf numFmtId="166" fontId="2" fillId="15" borderId="56" xfId="0" applyNumberFormat="1" applyFont="1" applyFill="1" applyBorder="1" applyAlignment="1" applyProtection="1">
      <alignment horizontal="center" vertical="center"/>
      <protection hidden="1"/>
    </xf>
    <xf numFmtId="166" fontId="2" fillId="15" borderId="57" xfId="0" applyNumberFormat="1" applyFont="1" applyFill="1" applyBorder="1" applyAlignment="1" applyProtection="1">
      <alignment horizontal="center" vertical="center"/>
      <protection hidden="1"/>
    </xf>
    <xf numFmtId="166" fontId="2" fillId="15" borderId="58" xfId="0" applyNumberFormat="1" applyFont="1" applyFill="1" applyBorder="1" applyAlignment="1" applyProtection="1">
      <alignment horizontal="center" vertical="center"/>
      <protection hidden="1"/>
    </xf>
    <xf numFmtId="0" fontId="12" fillId="9" borderId="0" xfId="0" applyFont="1" applyFill="1" applyBorder="1" applyAlignment="1" applyProtection="1">
      <alignment horizontal="left" vertical="center"/>
      <protection hidden="1"/>
    </xf>
    <xf numFmtId="0" fontId="17" fillId="9" borderId="0" xfId="0" applyFont="1" applyFill="1" applyBorder="1" applyAlignment="1" applyProtection="1">
      <alignment horizontal="left" vertical="center"/>
      <protection hidden="1"/>
    </xf>
    <xf numFmtId="43" fontId="10" fillId="17" borderId="0" xfId="2" applyFont="1" applyFill="1" applyBorder="1" applyAlignment="1" applyProtection="1">
      <alignment horizontal="center" vertical="center" wrapText="1"/>
      <protection hidden="1"/>
    </xf>
    <xf numFmtId="41" fontId="10" fillId="17" borderId="0" xfId="1" applyNumberFormat="1" applyFont="1" applyFill="1" applyBorder="1" applyAlignment="1" applyProtection="1">
      <alignment horizontal="center" vertical="center" wrapText="1"/>
      <protection hidden="1"/>
    </xf>
    <xf numFmtId="0" fontId="1" fillId="9" borderId="0" xfId="0" applyFont="1" applyFill="1" applyBorder="1" applyAlignment="1" applyProtection="1">
      <alignment vertical="center"/>
      <protection hidden="1"/>
    </xf>
    <xf numFmtId="43" fontId="10" fillId="17" borderId="0" xfId="1" applyFont="1" applyFill="1" applyBorder="1" applyAlignment="1" applyProtection="1">
      <alignment horizontal="center" vertical="center" wrapText="1"/>
      <protection hidden="1"/>
    </xf>
    <xf numFmtId="0" fontId="2" fillId="9" borderId="0" xfId="0" applyFont="1" applyFill="1" applyAlignment="1" applyProtection="1">
      <alignment vertical="center"/>
      <protection hidden="1"/>
    </xf>
    <xf numFmtId="0" fontId="1" fillId="3" borderId="56" xfId="0" applyNumberFormat="1" applyFont="1" applyFill="1" applyBorder="1" applyAlignment="1" applyProtection="1">
      <alignment horizontal="center" vertical="center" wrapText="1"/>
      <protection hidden="1"/>
    </xf>
    <xf numFmtId="0" fontId="1" fillId="3" borderId="60" xfId="0" applyNumberFormat="1" applyFont="1" applyFill="1" applyBorder="1" applyAlignment="1" applyProtection="1">
      <alignment horizontal="center" vertical="center" wrapText="1"/>
      <protection hidden="1"/>
    </xf>
    <xf numFmtId="0" fontId="1" fillId="3" borderId="57" xfId="0" applyNumberFormat="1" applyFont="1" applyFill="1" applyBorder="1" applyAlignment="1" applyProtection="1">
      <alignment horizontal="center" vertical="center" wrapText="1"/>
      <protection hidden="1"/>
    </xf>
    <xf numFmtId="166" fontId="0" fillId="9" borderId="55" xfId="0" applyNumberFormat="1" applyFill="1" applyBorder="1" applyAlignment="1">
      <alignment horizontal="center" vertical="center"/>
    </xf>
    <xf numFmtId="166" fontId="0" fillId="9" borderId="56" xfId="0" applyNumberFormat="1" applyFill="1" applyBorder="1" applyAlignment="1">
      <alignment horizontal="center" vertical="center"/>
    </xf>
    <xf numFmtId="166" fontId="0" fillId="9" borderId="57" xfId="0" applyNumberFormat="1" applyFill="1" applyBorder="1" applyAlignment="1">
      <alignment horizontal="center" vertical="center"/>
    </xf>
    <xf numFmtId="0" fontId="1" fillId="3" borderId="47" xfId="0" applyNumberFormat="1" applyFont="1" applyFill="1" applyBorder="1" applyAlignment="1" applyProtection="1">
      <alignment horizontal="center" vertical="center" wrapText="1"/>
      <protection hidden="1"/>
    </xf>
    <xf numFmtId="0" fontId="1" fillId="3" borderId="25" xfId="0" applyNumberFormat="1" applyFont="1" applyFill="1" applyBorder="1" applyAlignment="1" applyProtection="1">
      <alignment horizontal="center" vertical="center" wrapText="1"/>
      <protection hidden="1"/>
    </xf>
    <xf numFmtId="0" fontId="1" fillId="3" borderId="16" xfId="0" applyNumberFormat="1" applyFont="1" applyFill="1" applyBorder="1" applyAlignment="1" applyProtection="1">
      <alignment horizontal="center" vertical="center" wrapText="1"/>
      <protection hidden="1"/>
    </xf>
    <xf numFmtId="166" fontId="0" fillId="9" borderId="44" xfId="0" applyNumberFormat="1" applyFill="1" applyBorder="1" applyAlignment="1">
      <alignment horizontal="center" vertical="center"/>
    </xf>
    <xf numFmtId="166" fontId="0" fillId="9" borderId="47" xfId="0" applyNumberFormat="1" applyFill="1" applyBorder="1" applyAlignment="1">
      <alignment horizontal="center" vertical="center"/>
    </xf>
    <xf numFmtId="0" fontId="1" fillId="3" borderId="61" xfId="0" applyNumberFormat="1" applyFont="1" applyFill="1" applyBorder="1" applyAlignment="1" applyProtection="1">
      <alignment horizontal="center" vertical="center" wrapText="1"/>
      <protection hidden="1"/>
    </xf>
    <xf numFmtId="0" fontId="1" fillId="3" borderId="24" xfId="0" applyNumberFormat="1" applyFont="1" applyFill="1" applyBorder="1" applyAlignment="1" applyProtection="1">
      <alignment horizontal="center" vertical="center" wrapText="1"/>
      <protection hidden="1"/>
    </xf>
    <xf numFmtId="0" fontId="1" fillId="3" borderId="63" xfId="0" applyNumberFormat="1" applyFont="1" applyFill="1" applyBorder="1" applyAlignment="1" applyProtection="1">
      <alignment horizontal="center" vertical="center" wrapText="1"/>
      <protection hidden="1"/>
    </xf>
    <xf numFmtId="166" fontId="0" fillId="9" borderId="62" xfId="0" applyNumberFormat="1" applyFill="1" applyBorder="1" applyAlignment="1">
      <alignment horizontal="center" vertical="center"/>
    </xf>
    <xf numFmtId="166" fontId="0" fillId="9" borderId="61" xfId="0" applyNumberFormat="1" applyFill="1" applyBorder="1" applyAlignment="1">
      <alignment horizontal="center" vertical="center"/>
    </xf>
    <xf numFmtId="166" fontId="0" fillId="9" borderId="63" xfId="0" applyNumberFormat="1" applyFill="1" applyBorder="1" applyAlignment="1">
      <alignment horizontal="center" vertical="center"/>
    </xf>
    <xf numFmtId="0" fontId="1" fillId="3" borderId="23" xfId="0" applyNumberFormat="1" applyFont="1" applyFill="1" applyBorder="1" applyAlignment="1" applyProtection="1">
      <alignment horizontal="center" vertical="center" wrapText="1"/>
      <protection hidden="1"/>
    </xf>
    <xf numFmtId="0" fontId="1" fillId="3" borderId="72" xfId="0" applyNumberFormat="1" applyFont="1" applyFill="1" applyBorder="1" applyAlignment="1" applyProtection="1">
      <alignment horizontal="center" vertical="center" wrapText="1"/>
      <protection hidden="1"/>
    </xf>
    <xf numFmtId="0" fontId="1" fillId="3" borderId="49" xfId="0" applyNumberFormat="1" applyFont="1" applyFill="1" applyBorder="1" applyAlignment="1" applyProtection="1">
      <alignment horizontal="center" vertical="center" wrapText="1"/>
      <protection hidden="1"/>
    </xf>
    <xf numFmtId="166" fontId="0" fillId="9" borderId="46" xfId="0" applyNumberFormat="1" applyFill="1" applyBorder="1" applyAlignment="1">
      <alignment horizontal="center" vertical="center"/>
    </xf>
    <xf numFmtId="166" fontId="0" fillId="9" borderId="23" xfId="0" applyNumberFormat="1" applyFill="1" applyBorder="1" applyAlignment="1">
      <alignment horizontal="center" vertical="center"/>
    </xf>
    <xf numFmtId="166" fontId="0" fillId="9" borderId="49" xfId="0" applyNumberFormat="1" applyFill="1" applyBorder="1" applyAlignment="1">
      <alignment horizontal="center" vertical="center"/>
    </xf>
    <xf numFmtId="0" fontId="12" fillId="3" borderId="14" xfId="0" applyFont="1" applyFill="1" applyBorder="1" applyAlignment="1" applyProtection="1">
      <alignment horizontal="left" vertical="center"/>
      <protection hidden="1"/>
    </xf>
    <xf numFmtId="0" fontId="2" fillId="0" borderId="50" xfId="0" applyFont="1" applyFill="1" applyBorder="1" applyAlignment="1" applyProtection="1">
      <alignment horizontal="center" vertical="center"/>
      <protection locked="0"/>
    </xf>
    <xf numFmtId="0" fontId="3" fillId="3" borderId="22" xfId="0" applyNumberFormat="1" applyFont="1" applyFill="1" applyBorder="1" applyAlignment="1" applyProtection="1">
      <alignment horizontal="center" vertical="center" wrapText="1"/>
      <protection locked="0"/>
    </xf>
    <xf numFmtId="0" fontId="2" fillId="0" borderId="22" xfId="0" applyFont="1" applyFill="1" applyBorder="1" applyAlignment="1" applyProtection="1">
      <alignment horizontal="center" vertical="center"/>
      <protection locked="0"/>
    </xf>
    <xf numFmtId="0" fontId="3" fillId="3" borderId="10" xfId="0" applyNumberFormat="1" applyFont="1" applyFill="1" applyBorder="1" applyAlignment="1" applyProtection="1">
      <alignment horizontal="center" vertical="center" wrapText="1"/>
      <protection locked="0"/>
    </xf>
    <xf numFmtId="0" fontId="29" fillId="0" borderId="45" xfId="0" applyFont="1" applyFill="1" applyBorder="1" applyAlignment="1" applyProtection="1">
      <alignment horizontal="center" vertical="center"/>
      <protection hidden="1"/>
    </xf>
    <xf numFmtId="3" fontId="29" fillId="0" borderId="45" xfId="0" applyNumberFormat="1" applyFont="1" applyFill="1" applyBorder="1" applyAlignment="1" applyProtection="1">
      <alignment horizontal="center" vertical="center"/>
      <protection hidden="1"/>
    </xf>
    <xf numFmtId="166" fontId="29" fillId="0" borderId="45" xfId="0" applyNumberFormat="1" applyFont="1" applyFill="1" applyBorder="1" applyAlignment="1" applyProtection="1">
      <alignment horizontal="center" vertical="center"/>
      <protection hidden="1"/>
    </xf>
    <xf numFmtId="0" fontId="28" fillId="11" borderId="4" xfId="0" applyFont="1" applyFill="1" applyBorder="1" applyAlignment="1" applyProtection="1">
      <alignment horizontal="center" vertical="center"/>
      <protection hidden="1"/>
    </xf>
    <xf numFmtId="168" fontId="3" fillId="16" borderId="50" xfId="1" applyNumberFormat="1" applyFont="1" applyFill="1" applyBorder="1" applyAlignment="1" applyProtection="1">
      <alignment horizontal="center" vertical="center" wrapText="1"/>
      <protection hidden="1"/>
    </xf>
    <xf numFmtId="168" fontId="3" fillId="16" borderId="34" xfId="1" applyNumberFormat="1" applyFont="1" applyFill="1" applyBorder="1" applyAlignment="1" applyProtection="1">
      <alignment horizontal="center" vertical="center" wrapText="1"/>
      <protection hidden="1"/>
    </xf>
    <xf numFmtId="0" fontId="1" fillId="2" borderId="22" xfId="0" applyNumberFormat="1" applyFont="1" applyFill="1" applyBorder="1" applyAlignment="1" applyProtection="1">
      <alignment horizontal="center" vertical="center" wrapText="1"/>
      <protection hidden="1"/>
    </xf>
    <xf numFmtId="0" fontId="1" fillId="2" borderId="23" xfId="0" applyNumberFormat="1" applyFont="1" applyFill="1" applyBorder="1" applyAlignment="1" applyProtection="1">
      <alignment horizontal="center" vertical="center" wrapText="1"/>
      <protection hidden="1"/>
    </xf>
    <xf numFmtId="0" fontId="2" fillId="2" borderId="0" xfId="0" applyNumberFormat="1" applyFont="1" applyFill="1" applyAlignment="1" applyProtection="1">
      <alignment horizontal="center" vertical="center"/>
      <protection hidden="1"/>
    </xf>
    <xf numFmtId="0" fontId="1" fillId="3" borderId="19" xfId="0" applyNumberFormat="1" applyFont="1" applyFill="1" applyBorder="1" applyAlignment="1" applyProtection="1">
      <alignment horizontal="center" vertical="center"/>
      <protection hidden="1"/>
    </xf>
    <xf numFmtId="0" fontId="2" fillId="7" borderId="24" xfId="0" applyNumberFormat="1" applyFont="1" applyFill="1" applyBorder="1" applyAlignment="1" applyProtection="1">
      <alignment horizontal="center" vertical="center"/>
      <protection hidden="1"/>
    </xf>
    <xf numFmtId="41" fontId="2" fillId="3" borderId="0" xfId="0" applyNumberFormat="1" applyFont="1" applyFill="1" applyAlignment="1" applyProtection="1">
      <alignment horizontal="center" vertical="center"/>
      <protection hidden="1"/>
    </xf>
    <xf numFmtId="41" fontId="2" fillId="2" borderId="0" xfId="0" applyNumberFormat="1" applyFont="1" applyFill="1" applyAlignment="1" applyProtection="1">
      <alignment horizontal="center" vertical="center"/>
      <protection hidden="1"/>
    </xf>
    <xf numFmtId="41" fontId="2" fillId="7" borderId="0" xfId="0" quotePrefix="1" applyNumberFormat="1" applyFont="1" applyFill="1" applyAlignment="1" applyProtection="1">
      <alignment horizontal="center" vertical="center"/>
      <protection hidden="1"/>
    </xf>
    <xf numFmtId="41" fontId="2" fillId="7" borderId="0" xfId="0" applyNumberFormat="1" applyFont="1" applyFill="1" applyAlignment="1" applyProtection="1">
      <alignment horizontal="center" vertical="center"/>
      <protection hidden="1"/>
    </xf>
    <xf numFmtId="41" fontId="3" fillId="2" borderId="0" xfId="0" applyNumberFormat="1" applyFont="1" applyFill="1" applyBorder="1" applyAlignment="1" applyProtection="1">
      <alignment horizontal="center" vertical="center" wrapText="1"/>
      <protection hidden="1"/>
    </xf>
    <xf numFmtId="41" fontId="3" fillId="7" borderId="0" xfId="0" applyNumberFormat="1" applyFont="1" applyFill="1" applyBorder="1" applyAlignment="1" applyProtection="1">
      <alignment horizontal="center" vertical="center" wrapText="1"/>
      <protection hidden="1"/>
    </xf>
    <xf numFmtId="41" fontId="2" fillId="3" borderId="0" xfId="0" quotePrefix="1" applyNumberFormat="1" applyFont="1" applyFill="1" applyAlignment="1" applyProtection="1">
      <alignment horizontal="center" vertical="center"/>
      <protection hidden="1"/>
    </xf>
    <xf numFmtId="41" fontId="2" fillId="9" borderId="0" xfId="0" applyNumberFormat="1" applyFont="1" applyFill="1" applyAlignment="1" applyProtection="1">
      <alignment horizontal="center" vertical="center"/>
      <protection hidden="1"/>
    </xf>
    <xf numFmtId="41" fontId="2" fillId="9" borderId="0" xfId="0" quotePrefix="1" applyNumberFormat="1" applyFont="1" applyFill="1" applyAlignment="1" applyProtection="1">
      <alignment horizontal="center" vertical="center"/>
      <protection hidden="1"/>
    </xf>
    <xf numFmtId="0" fontId="2" fillId="3" borderId="48" xfId="0" applyFont="1" applyFill="1" applyBorder="1" applyAlignment="1" applyProtection="1">
      <alignment horizontal="center" vertical="center"/>
      <protection locked="0"/>
    </xf>
    <xf numFmtId="0" fontId="29" fillId="9" borderId="0" xfId="0" applyFont="1" applyFill="1" applyAlignment="1" applyProtection="1">
      <alignment vertical="center"/>
      <protection hidden="1"/>
    </xf>
    <xf numFmtId="166" fontId="2" fillId="15" borderId="55" xfId="0" applyNumberFormat="1" applyFont="1" applyFill="1" applyBorder="1" applyAlignment="1" applyProtection="1">
      <alignment horizontal="center" vertical="center"/>
      <protection hidden="1"/>
    </xf>
    <xf numFmtId="41" fontId="3" fillId="16" borderId="45" xfId="1" applyNumberFormat="1" applyFont="1" applyFill="1" applyBorder="1" applyAlignment="1" applyProtection="1">
      <alignment horizontal="center" vertical="center" wrapText="1"/>
      <protection hidden="1"/>
    </xf>
    <xf numFmtId="41" fontId="3" fillId="16" borderId="50" xfId="1" applyNumberFormat="1" applyFont="1" applyFill="1" applyBorder="1" applyAlignment="1" applyProtection="1">
      <alignment horizontal="center" vertical="center" wrapText="1"/>
      <protection hidden="1"/>
    </xf>
    <xf numFmtId="41" fontId="3" fillId="16" borderId="34" xfId="1" applyNumberFormat="1" applyFont="1" applyFill="1" applyBorder="1" applyAlignment="1" applyProtection="1">
      <alignment horizontal="center" vertical="center" wrapText="1"/>
      <protection hidden="1"/>
    </xf>
    <xf numFmtId="0" fontId="2" fillId="0" borderId="50" xfId="0" applyNumberFormat="1" applyFont="1" applyFill="1" applyBorder="1" applyAlignment="1" applyProtection="1">
      <alignment horizontal="center" vertical="center"/>
      <protection locked="0"/>
    </xf>
    <xf numFmtId="0" fontId="2" fillId="0" borderId="22" xfId="0" applyNumberFormat="1" applyFont="1" applyFill="1" applyBorder="1" applyAlignment="1" applyProtection="1">
      <alignment horizontal="center" vertical="center"/>
      <protection locked="0"/>
    </xf>
    <xf numFmtId="0" fontId="29" fillId="0" borderId="26" xfId="0" applyFont="1" applyFill="1" applyBorder="1" applyAlignment="1" applyProtection="1">
      <alignment horizontal="center" vertical="center"/>
      <protection hidden="1"/>
    </xf>
    <xf numFmtId="3" fontId="29" fillId="0" borderId="26" xfId="0" applyNumberFormat="1" applyFont="1" applyFill="1" applyBorder="1" applyAlignment="1" applyProtection="1">
      <alignment horizontal="center" vertical="center"/>
      <protection hidden="1"/>
    </xf>
    <xf numFmtId="166" fontId="29" fillId="0" borderId="26" xfId="0" applyNumberFormat="1" applyFont="1" applyFill="1" applyBorder="1" applyAlignment="1" applyProtection="1">
      <alignment horizontal="center" vertical="center"/>
      <protection hidden="1"/>
    </xf>
    <xf numFmtId="0" fontId="28" fillId="11" borderId="27" xfId="0" applyFont="1" applyFill="1" applyBorder="1" applyAlignment="1" applyProtection="1">
      <alignment horizontal="center" vertical="center"/>
      <protection hidden="1"/>
    </xf>
    <xf numFmtId="174" fontId="2" fillId="0" borderId="50" xfId="0" applyNumberFormat="1" applyFont="1" applyFill="1" applyBorder="1" applyAlignment="1" applyProtection="1">
      <alignment horizontal="center" vertical="center"/>
      <protection locked="0"/>
    </xf>
    <xf numFmtId="174" fontId="3" fillId="3" borderId="22" xfId="0" applyNumberFormat="1" applyFont="1" applyFill="1" applyBorder="1" applyAlignment="1" applyProtection="1">
      <alignment horizontal="center" vertical="center" wrapText="1"/>
      <protection locked="0"/>
    </xf>
    <xf numFmtId="174" fontId="2" fillId="0" borderId="22" xfId="0" applyNumberFormat="1" applyFont="1" applyFill="1" applyBorder="1" applyAlignment="1" applyProtection="1">
      <alignment horizontal="center" vertical="center"/>
      <protection locked="0"/>
    </xf>
    <xf numFmtId="174" fontId="3" fillId="3" borderId="10" xfId="0" applyNumberFormat="1" applyFont="1" applyFill="1" applyBorder="1" applyAlignment="1" applyProtection="1">
      <alignment horizontal="center" vertical="center" wrapText="1"/>
      <protection locked="0"/>
    </xf>
    <xf numFmtId="0" fontId="2" fillId="3" borderId="22" xfId="0" applyFont="1" applyFill="1" applyBorder="1" applyAlignment="1" applyProtection="1">
      <alignment horizontal="center" vertical="center"/>
      <protection locked="0"/>
    </xf>
    <xf numFmtId="0" fontId="2" fillId="3" borderId="17" xfId="0" applyFont="1" applyFill="1" applyBorder="1" applyAlignment="1" applyProtection="1">
      <alignment horizontal="center" vertical="center"/>
      <protection locked="0"/>
    </xf>
    <xf numFmtId="0" fontId="2" fillId="3" borderId="10" xfId="0" applyFont="1" applyFill="1" applyBorder="1" applyAlignment="1" applyProtection="1">
      <alignment horizontal="center" vertical="center"/>
      <protection locked="0"/>
    </xf>
    <xf numFmtId="164" fontId="0" fillId="0" borderId="22" xfId="0" applyNumberFormat="1" applyFill="1" applyBorder="1" applyAlignment="1">
      <alignment horizontal="center" vertical="center"/>
    </xf>
    <xf numFmtId="164" fontId="0" fillId="0" borderId="10" xfId="0" applyNumberFormat="1" applyFill="1" applyBorder="1" applyAlignment="1">
      <alignment horizontal="center" vertical="center"/>
    </xf>
    <xf numFmtId="164" fontId="0" fillId="0" borderId="17" xfId="0" applyNumberFormat="1" applyFill="1" applyBorder="1" applyAlignment="1">
      <alignment horizontal="center" vertical="center"/>
    </xf>
    <xf numFmtId="0" fontId="0" fillId="9" borderId="42" xfId="0" applyFill="1" applyBorder="1" applyAlignment="1">
      <alignment horizontal="center" vertical="center"/>
    </xf>
    <xf numFmtId="0" fontId="0" fillId="9" borderId="58" xfId="0" applyFill="1" applyBorder="1" applyAlignment="1">
      <alignment horizontal="center" vertical="center"/>
    </xf>
    <xf numFmtId="164" fontId="2" fillId="0" borderId="22" xfId="0" applyNumberFormat="1" applyFont="1" applyFill="1" applyBorder="1" applyAlignment="1" applyProtection="1">
      <alignment horizontal="center" vertical="center"/>
      <protection locked="0"/>
    </xf>
    <xf numFmtId="174" fontId="2" fillId="3" borderId="22" xfId="0" applyNumberFormat="1" applyFont="1" applyFill="1" applyBorder="1" applyAlignment="1" applyProtection="1">
      <alignment horizontal="center" vertical="center"/>
      <protection locked="0"/>
    </xf>
    <xf numFmtId="0" fontId="2" fillId="3" borderId="22" xfId="0" applyNumberFormat="1" applyFont="1" applyFill="1" applyBorder="1" applyAlignment="1" applyProtection="1">
      <alignment horizontal="center" vertical="center"/>
      <protection locked="0"/>
    </xf>
    <xf numFmtId="164" fontId="2" fillId="3" borderId="22" xfId="0" applyNumberFormat="1" applyFont="1" applyFill="1" applyBorder="1" applyAlignment="1" applyProtection="1">
      <alignment horizontal="center" vertical="center"/>
      <protection locked="0"/>
    </xf>
    <xf numFmtId="0" fontId="2" fillId="0" borderId="48" xfId="0" applyFont="1" applyFill="1" applyBorder="1" applyAlignment="1" applyProtection="1">
      <alignment horizontal="center" vertical="center"/>
      <protection locked="0"/>
    </xf>
    <xf numFmtId="174" fontId="2" fillId="3" borderId="10" xfId="0" applyNumberFormat="1" applyFont="1" applyFill="1" applyBorder="1" applyAlignment="1" applyProtection="1">
      <alignment horizontal="center" vertical="center"/>
      <protection locked="0"/>
    </xf>
    <xf numFmtId="0" fontId="2" fillId="3" borderId="10" xfId="0" applyNumberFormat="1" applyFont="1" applyFill="1" applyBorder="1" applyAlignment="1" applyProtection="1">
      <alignment horizontal="center" vertical="center"/>
      <protection locked="0"/>
    </xf>
    <xf numFmtId="164" fontId="2" fillId="3" borderId="10" xfId="0" applyNumberFormat="1" applyFont="1" applyFill="1" applyBorder="1" applyAlignment="1" applyProtection="1">
      <alignment horizontal="center" vertical="center"/>
      <protection locked="0"/>
    </xf>
    <xf numFmtId="164" fontId="2" fillId="0" borderId="50" xfId="0" applyNumberFormat="1" applyFont="1" applyFill="1" applyBorder="1" applyAlignment="1" applyProtection="1">
      <alignment horizontal="center" vertical="center"/>
      <protection locked="0"/>
    </xf>
    <xf numFmtId="0" fontId="2" fillId="0" borderId="43" xfId="0" applyFont="1" applyFill="1" applyBorder="1" applyAlignment="1" applyProtection="1">
      <alignment horizontal="center" vertical="center"/>
      <protection locked="0"/>
    </xf>
    <xf numFmtId="0" fontId="2" fillId="3" borderId="22" xfId="0" applyFont="1" applyFill="1" applyBorder="1" applyAlignment="1" applyProtection="1">
      <alignment horizontal="left" vertical="center"/>
      <protection locked="0"/>
    </xf>
    <xf numFmtId="0" fontId="2" fillId="3" borderId="10" xfId="0" applyFont="1" applyFill="1" applyBorder="1" applyAlignment="1" applyProtection="1">
      <alignment horizontal="left" vertical="center"/>
      <protection locked="0"/>
    </xf>
    <xf numFmtId="0" fontId="2" fillId="0" borderId="50" xfId="0" applyFont="1" applyFill="1" applyBorder="1" applyAlignment="1" applyProtection="1">
      <alignment horizontal="left" vertical="center"/>
      <protection locked="0"/>
    </xf>
    <xf numFmtId="0" fontId="2" fillId="0" borderId="22" xfId="0" applyFont="1" applyFill="1" applyBorder="1" applyAlignment="1" applyProtection="1">
      <alignment horizontal="left" vertical="center"/>
      <protection locked="0"/>
    </xf>
    <xf numFmtId="0" fontId="0" fillId="9" borderId="25" xfId="0" applyFill="1" applyBorder="1" applyAlignment="1">
      <alignment horizontal="center" vertical="center"/>
    </xf>
    <xf numFmtId="0" fontId="0" fillId="9" borderId="54" xfId="0" applyFill="1" applyBorder="1" applyAlignment="1">
      <alignment horizontal="center" vertical="center"/>
    </xf>
    <xf numFmtId="164" fontId="0" fillId="0" borderId="26" xfId="0" applyNumberFormat="1" applyFill="1" applyBorder="1" applyAlignment="1">
      <alignment horizontal="center" vertical="center"/>
    </xf>
    <xf numFmtId="164" fontId="0" fillId="0" borderId="27" xfId="0" applyNumberFormat="1" applyFill="1" applyBorder="1" applyAlignment="1">
      <alignment horizontal="center" vertical="center"/>
    </xf>
    <xf numFmtId="166" fontId="0" fillId="9" borderId="26" xfId="0" applyNumberFormat="1" applyFill="1" applyBorder="1" applyAlignment="1">
      <alignment horizontal="center" vertical="center"/>
    </xf>
    <xf numFmtId="166" fontId="0" fillId="9" borderId="24" xfId="0" applyNumberFormat="1" applyFill="1" applyBorder="1" applyAlignment="1">
      <alignment horizontal="center" vertical="center"/>
    </xf>
    <xf numFmtId="166" fontId="0" fillId="9" borderId="27" xfId="0" applyNumberFormat="1" applyFill="1" applyBorder="1" applyAlignment="1">
      <alignment horizontal="center" vertical="center"/>
    </xf>
    <xf numFmtId="166" fontId="0" fillId="9" borderId="60" xfId="0" applyNumberFormat="1" applyFill="1" applyBorder="1" applyAlignment="1">
      <alignment horizontal="center" vertical="center"/>
    </xf>
    <xf numFmtId="166" fontId="0" fillId="9" borderId="72" xfId="0" applyNumberFormat="1" applyFill="1" applyBorder="1" applyAlignment="1">
      <alignment horizontal="center" vertical="center"/>
    </xf>
    <xf numFmtId="164" fontId="0" fillId="10" borderId="22" xfId="0" applyNumberFormat="1" applyFill="1" applyBorder="1" applyAlignment="1">
      <alignment horizontal="center" vertical="center"/>
    </xf>
    <xf numFmtId="164" fontId="0" fillId="10" borderId="48" xfId="0" applyNumberFormat="1" applyFill="1" applyBorder="1" applyAlignment="1">
      <alignment horizontal="center" vertical="center"/>
    </xf>
    <xf numFmtId="164" fontId="0" fillId="10" borderId="26" xfId="0" applyNumberFormat="1" applyFill="1" applyBorder="1" applyAlignment="1">
      <alignment horizontal="center" vertical="center"/>
    </xf>
    <xf numFmtId="164" fontId="0" fillId="10" borderId="27" xfId="0" applyNumberFormat="1" applyFill="1" applyBorder="1" applyAlignment="1">
      <alignment horizontal="center" vertical="center"/>
    </xf>
    <xf numFmtId="164" fontId="0" fillId="10" borderId="10" xfId="0" applyNumberFormat="1" applyFill="1" applyBorder="1" applyAlignment="1">
      <alignment horizontal="center" vertical="center"/>
    </xf>
    <xf numFmtId="164" fontId="0" fillId="10" borderId="17" xfId="0" applyNumberFormat="1" applyFill="1" applyBorder="1" applyAlignment="1">
      <alignment horizontal="center" vertical="center"/>
    </xf>
    <xf numFmtId="164" fontId="0" fillId="10" borderId="45" xfId="0" applyNumberFormat="1" applyFill="1" applyBorder="1" applyAlignment="1">
      <alignment horizontal="center" vertical="center"/>
    </xf>
    <xf numFmtId="164" fontId="0" fillId="10" borderId="4" xfId="0" applyNumberFormat="1" applyFill="1" applyBorder="1" applyAlignment="1">
      <alignment horizontal="center" vertical="center"/>
    </xf>
    <xf numFmtId="164" fontId="0" fillId="10" borderId="44" xfId="0" applyNumberFormat="1" applyFill="1" applyBorder="1" applyAlignment="1">
      <alignment horizontal="center" vertical="center"/>
    </xf>
    <xf numFmtId="164" fontId="0" fillId="10" borderId="62" xfId="0" applyNumberFormat="1" applyFill="1" applyBorder="1" applyAlignment="1">
      <alignment horizontal="center" vertical="center"/>
    </xf>
    <xf numFmtId="164" fontId="0" fillId="10" borderId="55" xfId="0" applyNumberFormat="1" applyFill="1" applyBorder="1" applyAlignment="1">
      <alignment horizontal="center" vertical="center"/>
    </xf>
    <xf numFmtId="164" fontId="0" fillId="10" borderId="46" xfId="0" applyNumberFormat="1" applyFill="1" applyBorder="1" applyAlignment="1">
      <alignment horizontal="center" vertical="center"/>
    </xf>
    <xf numFmtId="164" fontId="0" fillId="10" borderId="47" xfId="0" applyNumberFormat="1" applyFill="1" applyBorder="1" applyAlignment="1">
      <alignment horizontal="center" vertical="center"/>
    </xf>
    <xf numFmtId="164" fontId="0" fillId="10" borderId="61" xfId="0" applyNumberFormat="1" applyFill="1" applyBorder="1" applyAlignment="1">
      <alignment horizontal="center" vertical="center"/>
    </xf>
    <xf numFmtId="164" fontId="0" fillId="10" borderId="56" xfId="0" applyNumberFormat="1" applyFill="1" applyBorder="1" applyAlignment="1">
      <alignment horizontal="center" vertical="center"/>
    </xf>
    <xf numFmtId="164" fontId="0" fillId="10" borderId="23" xfId="0" applyNumberFormat="1" applyFill="1" applyBorder="1" applyAlignment="1">
      <alignment horizontal="center" vertical="center"/>
    </xf>
    <xf numFmtId="164" fontId="0" fillId="10" borderId="25" xfId="0" applyNumberFormat="1" applyFill="1" applyBorder="1" applyAlignment="1">
      <alignment horizontal="center" vertical="center"/>
    </xf>
    <xf numFmtId="164" fontId="0" fillId="10" borderId="24" xfId="0" applyNumberFormat="1" applyFill="1" applyBorder="1" applyAlignment="1">
      <alignment horizontal="center" vertical="center"/>
    </xf>
    <xf numFmtId="164" fontId="0" fillId="10" borderId="60" xfId="0" applyNumberFormat="1" applyFill="1" applyBorder="1" applyAlignment="1">
      <alignment horizontal="center" vertical="center"/>
    </xf>
    <xf numFmtId="164" fontId="0" fillId="10" borderId="72" xfId="0" applyNumberFormat="1" applyFill="1" applyBorder="1" applyAlignment="1">
      <alignment horizontal="center" vertical="center"/>
    </xf>
    <xf numFmtId="164" fontId="0" fillId="10" borderId="16" xfId="0" applyNumberFormat="1" applyFill="1" applyBorder="1" applyAlignment="1">
      <alignment horizontal="center" vertical="center"/>
    </xf>
    <xf numFmtId="164" fontId="0" fillId="10" borderId="63" xfId="0" applyNumberFormat="1" applyFill="1" applyBorder="1" applyAlignment="1">
      <alignment horizontal="center" vertical="center"/>
    </xf>
    <xf numFmtId="164" fontId="0" fillId="10" borderId="57" xfId="0" applyNumberFormat="1" applyFill="1" applyBorder="1" applyAlignment="1">
      <alignment horizontal="center" vertical="center"/>
    </xf>
    <xf numFmtId="164" fontId="0" fillId="10" borderId="49" xfId="0" applyNumberFormat="1" applyFill="1" applyBorder="1" applyAlignment="1">
      <alignment horizontal="center" vertical="center"/>
    </xf>
    <xf numFmtId="0" fontId="1" fillId="10" borderId="10" xfId="0" applyNumberFormat="1" applyFont="1" applyFill="1" applyBorder="1" applyAlignment="1" applyProtection="1">
      <alignment horizontal="center" vertical="center" wrapText="1"/>
      <protection hidden="1"/>
    </xf>
    <xf numFmtId="0" fontId="1" fillId="10" borderId="17" xfId="0" applyNumberFormat="1" applyFont="1" applyFill="1" applyBorder="1" applyAlignment="1" applyProtection="1">
      <alignment horizontal="center" vertical="center" wrapText="1"/>
      <protection hidden="1"/>
    </xf>
    <xf numFmtId="0" fontId="1" fillId="10" borderId="16" xfId="0" applyNumberFormat="1" applyFont="1" applyFill="1" applyBorder="1" applyAlignment="1" applyProtection="1">
      <alignment horizontal="center" vertical="center" wrapText="1"/>
      <protection hidden="1"/>
    </xf>
    <xf numFmtId="0" fontId="1" fillId="10" borderId="63" xfId="0" applyNumberFormat="1" applyFont="1" applyFill="1" applyBorder="1" applyAlignment="1" applyProtection="1">
      <alignment horizontal="center" vertical="center" wrapText="1"/>
      <protection hidden="1"/>
    </xf>
    <xf numFmtId="0" fontId="1" fillId="10" borderId="57" xfId="0" applyNumberFormat="1" applyFont="1" applyFill="1" applyBorder="1" applyAlignment="1" applyProtection="1">
      <alignment horizontal="center" vertical="center" wrapText="1"/>
      <protection hidden="1"/>
    </xf>
    <xf numFmtId="0" fontId="1" fillId="10" borderId="49" xfId="0" applyNumberFormat="1" applyFont="1" applyFill="1" applyBorder="1" applyAlignment="1" applyProtection="1">
      <alignment horizontal="center" vertical="center" wrapText="1"/>
      <protection hidden="1"/>
    </xf>
    <xf numFmtId="164" fontId="2" fillId="0" borderId="45" xfId="0" applyNumberFormat="1" applyFont="1" applyFill="1" applyBorder="1" applyAlignment="1" applyProtection="1">
      <alignment horizontal="center" vertical="center"/>
      <protection locked="0"/>
    </xf>
    <xf numFmtId="0" fontId="3" fillId="15" borderId="58" xfId="0" applyNumberFormat="1" applyFont="1" applyFill="1" applyBorder="1" applyAlignment="1" applyProtection="1">
      <alignment horizontal="center" vertical="center" wrapText="1"/>
      <protection hidden="1"/>
    </xf>
    <xf numFmtId="0" fontId="3" fillId="15" borderId="56" xfId="0" applyNumberFormat="1" applyFont="1" applyFill="1" applyBorder="1" applyAlignment="1" applyProtection="1">
      <alignment horizontal="center" vertical="center" wrapText="1"/>
      <protection hidden="1"/>
    </xf>
    <xf numFmtId="0" fontId="3" fillId="15" borderId="57" xfId="0" applyNumberFormat="1" applyFont="1" applyFill="1" applyBorder="1" applyAlignment="1" applyProtection="1">
      <alignment horizontal="center" vertical="center" wrapText="1"/>
      <protection hidden="1"/>
    </xf>
    <xf numFmtId="164" fontId="3" fillId="15" borderId="58" xfId="0" applyNumberFormat="1" applyFont="1" applyFill="1" applyBorder="1" applyAlignment="1" applyProtection="1">
      <alignment horizontal="center" vertical="center" wrapText="1"/>
      <protection hidden="1"/>
    </xf>
    <xf numFmtId="164" fontId="3" fillId="15" borderId="56" xfId="0" applyNumberFormat="1" applyFont="1" applyFill="1" applyBorder="1" applyAlignment="1" applyProtection="1">
      <alignment horizontal="center" vertical="center" wrapText="1"/>
      <protection hidden="1"/>
    </xf>
    <xf numFmtId="164" fontId="3" fillId="15" borderId="57" xfId="0" applyNumberFormat="1" applyFont="1" applyFill="1" applyBorder="1" applyAlignment="1" applyProtection="1">
      <alignment horizontal="center" vertical="center" wrapText="1"/>
      <protection hidden="1"/>
    </xf>
    <xf numFmtId="164" fontId="2" fillId="15" borderId="58" xfId="0" applyNumberFormat="1" applyFont="1" applyFill="1" applyBorder="1" applyAlignment="1" applyProtection="1">
      <alignment horizontal="center" vertical="center"/>
      <protection hidden="1"/>
    </xf>
    <xf numFmtId="164" fontId="2" fillId="15" borderId="56" xfId="0" applyNumberFormat="1" applyFont="1" applyFill="1" applyBorder="1" applyAlignment="1" applyProtection="1">
      <alignment horizontal="center" vertical="center"/>
      <protection hidden="1"/>
    </xf>
    <xf numFmtId="164" fontId="2" fillId="15" borderId="57" xfId="0" applyNumberFormat="1" applyFont="1" applyFill="1" applyBorder="1" applyAlignment="1" applyProtection="1">
      <alignment horizontal="center" vertical="center"/>
      <protection hidden="1"/>
    </xf>
    <xf numFmtId="164" fontId="2" fillId="15" borderId="55" xfId="0" applyNumberFormat="1" applyFont="1" applyFill="1" applyBorder="1" applyAlignment="1" applyProtection="1">
      <alignment horizontal="center" vertical="center"/>
      <protection hidden="1"/>
    </xf>
    <xf numFmtId="164" fontId="3" fillId="16" borderId="50" xfId="1" applyNumberFormat="1" applyFont="1" applyFill="1" applyBorder="1" applyAlignment="1" applyProtection="1">
      <alignment horizontal="center" vertical="center" wrapText="1"/>
      <protection hidden="1"/>
    </xf>
    <xf numFmtId="164" fontId="3" fillId="16" borderId="34" xfId="1" applyNumberFormat="1" applyFont="1" applyFill="1" applyBorder="1" applyAlignment="1" applyProtection="1">
      <alignment horizontal="center" vertical="center" wrapText="1"/>
      <protection hidden="1"/>
    </xf>
    <xf numFmtId="3" fontId="3" fillId="15" borderId="45" xfId="0" applyNumberFormat="1" applyFont="1" applyFill="1" applyBorder="1" applyAlignment="1" applyProtection="1">
      <alignment horizontal="center" vertical="center" wrapText="1"/>
      <protection hidden="1"/>
    </xf>
    <xf numFmtId="3" fontId="3" fillId="15" borderId="22" xfId="0" applyNumberFormat="1" applyFont="1" applyFill="1" applyBorder="1" applyAlignment="1" applyProtection="1">
      <alignment horizontal="center" vertical="center" wrapText="1"/>
      <protection hidden="1"/>
    </xf>
    <xf numFmtId="3" fontId="3" fillId="15" borderId="10" xfId="0" applyNumberFormat="1" applyFont="1" applyFill="1" applyBorder="1" applyAlignment="1" applyProtection="1">
      <alignment horizontal="center" vertical="center" wrapText="1"/>
      <protection hidden="1"/>
    </xf>
    <xf numFmtId="0" fontId="2" fillId="9" borderId="0" xfId="0" applyNumberFormat="1" applyFont="1" applyFill="1" applyBorder="1" applyAlignment="1" applyProtection="1">
      <alignment vertical="center"/>
      <protection hidden="1"/>
    </xf>
    <xf numFmtId="0" fontId="3" fillId="9" borderId="0" xfId="0" applyNumberFormat="1" applyFont="1" applyFill="1" applyBorder="1" applyAlignment="1" applyProtection="1">
      <alignment vertical="center"/>
      <protection hidden="1"/>
    </xf>
    <xf numFmtId="0" fontId="10" fillId="9" borderId="0" xfId="0" applyNumberFormat="1" applyFont="1" applyFill="1" applyBorder="1" applyAlignment="1" applyProtection="1">
      <alignment vertical="center"/>
      <protection hidden="1"/>
    </xf>
    <xf numFmtId="0" fontId="3" fillId="7" borderId="10" xfId="0" applyNumberFormat="1" applyFont="1" applyFill="1" applyBorder="1" applyAlignment="1" applyProtection="1">
      <alignment horizontal="center" vertical="center" wrapText="1"/>
      <protection hidden="1"/>
    </xf>
    <xf numFmtId="0" fontId="3" fillId="5" borderId="34" xfId="0" applyNumberFormat="1" applyFont="1" applyFill="1" applyBorder="1" applyAlignment="1" applyProtection="1">
      <alignment horizontal="center" vertical="center" wrapText="1"/>
      <protection hidden="1"/>
    </xf>
    <xf numFmtId="0" fontId="3" fillId="5" borderId="10" xfId="0" applyNumberFormat="1" applyFont="1" applyFill="1" applyBorder="1" applyAlignment="1" applyProtection="1">
      <alignment horizontal="center" vertical="center" wrapText="1"/>
      <protection hidden="1"/>
    </xf>
    <xf numFmtId="174" fontId="2" fillId="15" borderId="58" xfId="0" applyNumberFormat="1" applyFont="1" applyFill="1" applyBorder="1" applyAlignment="1" applyProtection="1">
      <alignment horizontal="center" vertical="center"/>
      <protection hidden="1"/>
    </xf>
    <xf numFmtId="174" fontId="2" fillId="15" borderId="10" xfId="0" applyNumberFormat="1" applyFont="1" applyFill="1" applyBorder="1" applyAlignment="1" applyProtection="1">
      <alignment horizontal="center" vertical="center"/>
      <protection hidden="1"/>
    </xf>
    <xf numFmtId="174" fontId="2" fillId="15" borderId="56" xfId="0" applyNumberFormat="1" applyFont="1" applyFill="1" applyBorder="1" applyAlignment="1" applyProtection="1">
      <alignment horizontal="center" vertical="center"/>
      <protection hidden="1"/>
    </xf>
    <xf numFmtId="174" fontId="2" fillId="15" borderId="57" xfId="0" applyNumberFormat="1" applyFont="1" applyFill="1" applyBorder="1" applyAlignment="1" applyProtection="1">
      <alignment horizontal="center" vertical="center"/>
      <protection hidden="1"/>
    </xf>
    <xf numFmtId="0" fontId="2" fillId="9" borderId="22" xfId="0" applyFont="1" applyFill="1" applyBorder="1" applyAlignment="1">
      <alignment vertical="center" wrapText="1"/>
    </xf>
    <xf numFmtId="37" fontId="29" fillId="9" borderId="22" xfId="1" quotePrefix="1" applyNumberFormat="1" applyFont="1" applyFill="1" applyBorder="1" applyAlignment="1">
      <alignment horizontal="center" vertical="center" wrapText="1"/>
    </xf>
    <xf numFmtId="0" fontId="1" fillId="3" borderId="22" xfId="22" applyFont="1" applyFill="1" applyBorder="1" applyAlignment="1" applyProtection="1">
      <alignment horizontal="center" vertical="center" wrapText="1"/>
      <protection hidden="1"/>
    </xf>
    <xf numFmtId="0" fontId="1" fillId="3" borderId="26" xfId="22" applyFont="1" applyFill="1" applyBorder="1" applyAlignment="1" applyProtection="1">
      <alignment horizontal="center" vertical="center" wrapText="1"/>
      <protection hidden="1"/>
    </xf>
    <xf numFmtId="0" fontId="28" fillId="9" borderId="0" xfId="0" applyFont="1" applyFill="1" applyAlignment="1">
      <alignment horizontal="center" vertical="center" wrapText="1"/>
    </xf>
    <xf numFmtId="0" fontId="29" fillId="9" borderId="22" xfId="0" applyFont="1" applyFill="1" applyBorder="1" applyAlignment="1">
      <alignment vertical="center" wrapText="1"/>
    </xf>
    <xf numFmtId="0" fontId="29" fillId="9" borderId="0" xfId="0" applyFont="1" applyFill="1" applyAlignment="1">
      <alignment vertical="center" wrapText="1"/>
    </xf>
    <xf numFmtId="0" fontId="29" fillId="9" borderId="0" xfId="0" applyFont="1" applyFill="1" applyAlignment="1">
      <alignment vertical="center"/>
    </xf>
    <xf numFmtId="0" fontId="29" fillId="9" borderId="22" xfId="0" applyFont="1" applyFill="1" applyBorder="1" applyAlignment="1">
      <alignment vertical="top" wrapText="1"/>
    </xf>
    <xf numFmtId="0" fontId="1" fillId="3" borderId="26" xfId="22" applyFont="1" applyFill="1" applyBorder="1" applyAlignment="1" applyProtection="1">
      <alignment horizontal="center" vertical="center" wrapText="1"/>
      <protection hidden="1"/>
    </xf>
    <xf numFmtId="0" fontId="29" fillId="9" borderId="22" xfId="0" applyFont="1" applyFill="1" applyBorder="1" applyAlignment="1">
      <alignment vertical="center" wrapText="1"/>
    </xf>
    <xf numFmtId="0" fontId="2" fillId="0" borderId="28"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1" fillId="6" borderId="14" xfId="0" applyFont="1" applyFill="1" applyBorder="1" applyAlignment="1" applyProtection="1">
      <alignment vertical="center"/>
      <protection hidden="1"/>
    </xf>
    <xf numFmtId="0" fontId="1" fillId="6" borderId="15" xfId="0" applyFont="1" applyFill="1" applyBorder="1" applyAlignment="1" applyProtection="1">
      <alignment vertical="center"/>
      <protection hidden="1"/>
    </xf>
    <xf numFmtId="0" fontId="12" fillId="3" borderId="66" xfId="0" applyFont="1" applyFill="1" applyBorder="1" applyAlignment="1" applyProtection="1">
      <alignment horizontal="left" vertical="center"/>
      <protection hidden="1"/>
    </xf>
    <xf numFmtId="0" fontId="12" fillId="3" borderId="14" xfId="0" applyFont="1" applyFill="1" applyBorder="1" applyAlignment="1" applyProtection="1">
      <alignment horizontal="left" vertical="center"/>
      <protection hidden="1"/>
    </xf>
    <xf numFmtId="0" fontId="2" fillId="3" borderId="12" xfId="0" applyFont="1" applyFill="1" applyBorder="1" applyAlignment="1" applyProtection="1">
      <alignment horizontal="center" vertical="center"/>
      <protection locked="0"/>
    </xf>
    <xf numFmtId="0" fontId="2" fillId="3" borderId="29" xfId="0" applyFont="1" applyFill="1" applyBorder="1" applyAlignment="1" applyProtection="1">
      <alignment horizontal="center" vertical="center"/>
      <protection locked="0"/>
    </xf>
    <xf numFmtId="0" fontId="12" fillId="3" borderId="15" xfId="0" applyFont="1" applyFill="1" applyBorder="1" applyAlignment="1" applyProtection="1">
      <alignment horizontal="left" vertical="center"/>
      <protection hidden="1"/>
    </xf>
    <xf numFmtId="0" fontId="11" fillId="2" borderId="0" xfId="0" applyFont="1" applyFill="1" applyBorder="1" applyAlignment="1" applyProtection="1">
      <alignment vertical="center" wrapText="1"/>
      <protection hidden="1"/>
    </xf>
    <xf numFmtId="0" fontId="11" fillId="2" borderId="68" xfId="0" applyFont="1" applyFill="1" applyBorder="1" applyAlignment="1" applyProtection="1">
      <alignment vertical="center" wrapText="1"/>
      <protection hidden="1"/>
    </xf>
    <xf numFmtId="173" fontId="29" fillId="0" borderId="48" xfId="0" applyNumberFormat="1" applyFont="1" applyFill="1" applyBorder="1" applyAlignment="1" applyProtection="1">
      <alignment horizontal="center" vertical="center"/>
      <protection locked="0"/>
    </xf>
    <xf numFmtId="0" fontId="2" fillId="11" borderId="47" xfId="0" applyFont="1" applyFill="1" applyBorder="1" applyAlignment="1" applyProtection="1">
      <alignment horizontal="center" vertical="center"/>
    </xf>
    <xf numFmtId="0" fontId="2" fillId="11" borderId="22" xfId="0" applyFont="1" applyFill="1" applyBorder="1" applyAlignment="1" applyProtection="1">
      <alignment horizontal="center" vertical="center"/>
    </xf>
    <xf numFmtId="0" fontId="2" fillId="11" borderId="58" xfId="0" applyFont="1" applyFill="1" applyBorder="1" applyAlignment="1" applyProtection="1">
      <alignment horizontal="center" vertical="center"/>
      <protection hidden="1"/>
    </xf>
    <xf numFmtId="44" fontId="2" fillId="11" borderId="22" xfId="0" applyNumberFormat="1" applyFont="1" applyFill="1" applyBorder="1" applyAlignment="1" applyProtection="1">
      <alignment vertical="center"/>
      <protection locked="0"/>
    </xf>
    <xf numFmtId="44" fontId="2" fillId="11" borderId="48" xfId="0" applyNumberFormat="1" applyFont="1" applyFill="1" applyBorder="1" applyAlignment="1" applyProtection="1">
      <alignment vertical="center"/>
      <protection locked="0"/>
    </xf>
    <xf numFmtId="0" fontId="2" fillId="11" borderId="60" xfId="0" applyFont="1" applyFill="1" applyBorder="1" applyAlignment="1" applyProtection="1">
      <alignment horizontal="center" vertical="center"/>
    </xf>
    <xf numFmtId="44" fontId="29" fillId="0" borderId="36" xfId="0" applyNumberFormat="1" applyFont="1" applyFill="1" applyBorder="1" applyAlignment="1" applyProtection="1">
      <alignment vertical="center"/>
      <protection hidden="1"/>
    </xf>
    <xf numFmtId="172" fontId="29" fillId="0" borderId="21" xfId="0" applyNumberFormat="1" applyFont="1" applyFill="1" applyBorder="1" applyAlignment="1" applyProtection="1">
      <alignment vertical="center"/>
      <protection hidden="1"/>
    </xf>
    <xf numFmtId="9" fontId="29" fillId="0" borderId="36" xfId="0" applyNumberFormat="1" applyFont="1" applyFill="1" applyBorder="1" applyAlignment="1" applyProtection="1">
      <alignment horizontal="center" vertical="center"/>
      <protection hidden="1"/>
    </xf>
    <xf numFmtId="0" fontId="2" fillId="2" borderId="19" xfId="0" applyNumberFormat="1" applyFont="1" applyFill="1" applyBorder="1" applyAlignment="1" applyProtection="1">
      <alignment vertical="center"/>
      <protection hidden="1"/>
    </xf>
    <xf numFmtId="43" fontId="2" fillId="2" borderId="19" xfId="0" applyNumberFormat="1" applyFont="1" applyFill="1" applyBorder="1" applyAlignment="1" applyProtection="1">
      <alignment horizontal="center" vertical="center"/>
      <protection hidden="1"/>
    </xf>
    <xf numFmtId="41" fontId="2" fillId="2" borderId="19" xfId="0" applyNumberFormat="1" applyFont="1" applyFill="1" applyBorder="1" applyAlignment="1" applyProtection="1">
      <alignment horizontal="center" vertical="center"/>
      <protection hidden="1"/>
    </xf>
    <xf numFmtId="0" fontId="2" fillId="2" borderId="19" xfId="0" applyNumberFormat="1" applyFont="1" applyFill="1" applyBorder="1" applyAlignment="1" applyProtection="1">
      <alignment horizontal="left" vertical="center"/>
      <protection hidden="1"/>
    </xf>
    <xf numFmtId="43" fontId="3" fillId="2" borderId="19" xfId="0" applyNumberFormat="1" applyFont="1" applyFill="1" applyBorder="1" applyAlignment="1" applyProtection="1">
      <alignment horizontal="center" vertical="center" wrapText="1"/>
      <protection hidden="1"/>
    </xf>
    <xf numFmtId="43" fontId="3" fillId="2" borderId="19" xfId="0" quotePrefix="1" applyNumberFormat="1" applyFont="1" applyFill="1" applyBorder="1" applyAlignment="1" applyProtection="1">
      <alignment horizontal="center" vertical="center" wrapText="1"/>
      <protection hidden="1"/>
    </xf>
    <xf numFmtId="41" fontId="3" fillId="2" borderId="19" xfId="0" applyNumberFormat="1" applyFont="1" applyFill="1" applyBorder="1" applyAlignment="1" applyProtection="1">
      <alignment horizontal="center" vertical="center" wrapText="1"/>
      <protection hidden="1"/>
    </xf>
    <xf numFmtId="41" fontId="3" fillId="2" borderId="19" xfId="0" quotePrefix="1" applyNumberFormat="1" applyFont="1" applyFill="1" applyBorder="1" applyAlignment="1" applyProtection="1">
      <alignment horizontal="center" vertical="center" wrapText="1"/>
      <protection hidden="1"/>
    </xf>
    <xf numFmtId="43" fontId="2" fillId="9" borderId="19" xfId="0" quotePrefix="1" applyNumberFormat="1" applyFont="1" applyFill="1" applyBorder="1" applyAlignment="1" applyProtection="1">
      <alignment horizontal="center" vertical="center"/>
      <protection hidden="1"/>
    </xf>
    <xf numFmtId="41" fontId="2" fillId="9" borderId="19" xfId="0" quotePrefix="1" applyNumberFormat="1" applyFont="1" applyFill="1" applyBorder="1" applyAlignment="1" applyProtection="1">
      <alignment horizontal="center" vertical="center"/>
      <protection hidden="1"/>
    </xf>
    <xf numFmtId="0" fontId="29" fillId="10" borderId="22" xfId="0" applyFont="1" applyFill="1" applyBorder="1" applyAlignment="1" applyProtection="1">
      <alignment horizontal="center" vertical="center"/>
    </xf>
    <xf numFmtId="0" fontId="29" fillId="10" borderId="10" xfId="0" applyFont="1" applyFill="1" applyBorder="1" applyAlignment="1" applyProtection="1">
      <alignment horizontal="center" vertical="center"/>
    </xf>
    <xf numFmtId="0" fontId="29" fillId="9" borderId="0" xfId="0" applyFont="1" applyFill="1" applyAlignment="1" applyProtection="1">
      <alignment horizontal="left" vertical="center"/>
      <protection hidden="1"/>
    </xf>
    <xf numFmtId="0" fontId="28" fillId="9" borderId="0" xfId="0" applyFont="1" applyFill="1" applyAlignment="1" applyProtection="1">
      <alignment horizontal="left" vertical="center"/>
      <protection hidden="1"/>
    </xf>
    <xf numFmtId="0" fontId="2" fillId="2" borderId="22" xfId="0" applyNumberFormat="1" applyFont="1" applyFill="1" applyBorder="1" applyAlignment="1" applyProtection="1">
      <alignment vertical="center"/>
      <protection hidden="1"/>
    </xf>
    <xf numFmtId="0" fontId="2" fillId="2" borderId="13" xfId="0" applyFont="1" applyFill="1" applyBorder="1" applyAlignment="1" applyProtection="1">
      <alignment horizontal="center" vertical="center"/>
      <protection locked="0"/>
    </xf>
    <xf numFmtId="0" fontId="2" fillId="9" borderId="0" xfId="0" applyNumberFormat="1" applyFont="1" applyFill="1" applyBorder="1" applyAlignment="1" applyProtection="1">
      <alignment vertical="center" wrapText="1"/>
      <protection hidden="1"/>
    </xf>
    <xf numFmtId="0" fontId="3" fillId="9" borderId="0" xfId="0" applyNumberFormat="1" applyFont="1" applyFill="1" applyBorder="1" applyAlignment="1" applyProtection="1">
      <alignment vertical="center"/>
      <protection hidden="1"/>
    </xf>
    <xf numFmtId="0" fontId="2" fillId="3" borderId="0" xfId="0" applyNumberFormat="1" applyFont="1" applyFill="1" applyBorder="1" applyAlignment="1" applyProtection="1">
      <alignment vertical="center"/>
      <protection hidden="1"/>
    </xf>
    <xf numFmtId="43" fontId="2" fillId="3" borderId="0" xfId="0" applyNumberFormat="1" applyFont="1" applyFill="1" applyBorder="1" applyAlignment="1" applyProtection="1">
      <alignment horizontal="center" vertical="center"/>
      <protection hidden="1"/>
    </xf>
    <xf numFmtId="41" fontId="2" fillId="3" borderId="0" xfId="0" applyNumberFormat="1" applyFont="1" applyFill="1" applyBorder="1" applyAlignment="1" applyProtection="1">
      <alignment horizontal="center" vertical="center"/>
      <protection hidden="1"/>
    </xf>
    <xf numFmtId="0" fontId="2" fillId="2" borderId="22" xfId="0" applyNumberFormat="1" applyFont="1" applyFill="1" applyBorder="1" applyAlignment="1" applyProtection="1">
      <alignment vertical="center"/>
      <protection hidden="1"/>
    </xf>
    <xf numFmtId="0" fontId="0" fillId="0" borderId="0" xfId="0"/>
    <xf numFmtId="0" fontId="29" fillId="9" borderId="0" xfId="0" applyFont="1" applyFill="1" applyProtection="1">
      <protection hidden="1"/>
    </xf>
    <xf numFmtId="0" fontId="29" fillId="9" borderId="22" xfId="0" applyFont="1" applyFill="1" applyBorder="1" applyAlignment="1" applyProtection="1">
      <alignment horizontal="center" vertical="center"/>
      <protection locked="0"/>
    </xf>
    <xf numFmtId="0" fontId="29" fillId="9" borderId="10" xfId="0" applyFont="1" applyFill="1" applyBorder="1" applyAlignment="1" applyProtection="1">
      <alignment horizontal="center" vertical="center"/>
      <protection locked="0"/>
    </xf>
    <xf numFmtId="0" fontId="2" fillId="2" borderId="22" xfId="0" applyNumberFormat="1" applyFont="1" applyFill="1" applyBorder="1" applyAlignment="1" applyProtection="1">
      <alignment vertical="center"/>
      <protection hidden="1"/>
    </xf>
    <xf numFmtId="0" fontId="2" fillId="0" borderId="44" xfId="0" applyFont="1" applyFill="1" applyBorder="1" applyAlignment="1" applyProtection="1">
      <alignment horizontal="center" vertical="center"/>
    </xf>
    <xf numFmtId="0" fontId="2" fillId="0" borderId="55" xfId="0" applyFont="1" applyFill="1" applyBorder="1" applyAlignment="1" applyProtection="1">
      <alignment horizontal="center" vertical="center"/>
    </xf>
    <xf numFmtId="0" fontId="2" fillId="0" borderId="74" xfId="0" applyFont="1" applyFill="1" applyBorder="1" applyAlignment="1" applyProtection="1">
      <alignment horizontal="center" vertical="center"/>
    </xf>
    <xf numFmtId="0" fontId="2" fillId="0" borderId="55" xfId="0" applyFont="1" applyFill="1" applyBorder="1" applyAlignment="1" applyProtection="1">
      <alignment horizontal="center" vertical="center"/>
      <protection hidden="1"/>
    </xf>
    <xf numFmtId="44" fontId="2" fillId="0" borderId="45" xfId="0" applyNumberFormat="1" applyFont="1" applyFill="1" applyBorder="1" applyAlignment="1" applyProtection="1">
      <alignment vertical="center"/>
      <protection locked="0"/>
    </xf>
    <xf numFmtId="44" fontId="2" fillId="0" borderId="4" xfId="0" applyNumberFormat="1" applyFont="1" applyFill="1" applyBorder="1" applyAlignment="1" applyProtection="1">
      <alignment vertical="center"/>
      <protection locked="0"/>
    </xf>
    <xf numFmtId="0" fontId="2" fillId="0" borderId="47" xfId="0" applyFont="1" applyFill="1" applyBorder="1" applyAlignment="1" applyProtection="1">
      <alignment horizontal="center" vertical="center"/>
    </xf>
    <xf numFmtId="0" fontId="2" fillId="0" borderId="56" xfId="0" applyFont="1" applyFill="1" applyBorder="1" applyAlignment="1" applyProtection="1">
      <alignment horizontal="center" vertical="center"/>
    </xf>
    <xf numFmtId="0" fontId="2" fillId="0" borderId="22" xfId="0" applyFont="1" applyFill="1" applyBorder="1" applyAlignment="1" applyProtection="1">
      <alignment horizontal="center" vertical="center"/>
    </xf>
    <xf numFmtId="0" fontId="2" fillId="0" borderId="58" xfId="0" applyFont="1" applyFill="1" applyBorder="1" applyAlignment="1" applyProtection="1">
      <alignment horizontal="center" vertical="center"/>
      <protection hidden="1"/>
    </xf>
    <xf numFmtId="44" fontId="2" fillId="0" borderId="22" xfId="0" applyNumberFormat="1" applyFont="1" applyFill="1" applyBorder="1" applyAlignment="1" applyProtection="1">
      <alignment vertical="center"/>
      <protection locked="0"/>
    </xf>
    <xf numFmtId="44" fontId="2" fillId="0" borderId="48" xfId="0" applyNumberFormat="1" applyFont="1" applyFill="1" applyBorder="1" applyAlignment="1" applyProtection="1">
      <alignment vertical="center"/>
      <protection locked="0"/>
    </xf>
    <xf numFmtId="0" fontId="2" fillId="0" borderId="58" xfId="0" applyFont="1" applyFill="1" applyBorder="1" applyAlignment="1" applyProtection="1">
      <alignment horizontal="center" vertical="center"/>
    </xf>
    <xf numFmtId="0" fontId="2" fillId="0" borderId="22" xfId="0" applyFont="1" applyFill="1" applyBorder="1" applyAlignment="1" applyProtection="1">
      <alignment horizontal="center" vertical="center"/>
      <protection hidden="1"/>
    </xf>
    <xf numFmtId="171" fontId="2" fillId="0" borderId="48" xfId="0" applyNumberFormat="1" applyFont="1" applyFill="1" applyBorder="1" applyAlignment="1" applyProtection="1">
      <alignment vertical="center"/>
      <protection locked="0"/>
    </xf>
    <xf numFmtId="0" fontId="2" fillId="0" borderId="16" xfId="0" applyFont="1" applyFill="1" applyBorder="1" applyAlignment="1" applyProtection="1">
      <alignment horizontal="center" vertical="center"/>
    </xf>
    <xf numFmtId="0" fontId="2" fillId="0" borderId="10" xfId="0" applyFont="1" applyFill="1" applyBorder="1" applyAlignment="1" applyProtection="1">
      <alignment horizontal="center" vertical="center"/>
    </xf>
    <xf numFmtId="0" fontId="2" fillId="0" borderId="10" xfId="0" applyFont="1" applyFill="1" applyBorder="1" applyAlignment="1" applyProtection="1">
      <alignment horizontal="center" vertical="center"/>
      <protection hidden="1"/>
    </xf>
    <xf numFmtId="44" fontId="2" fillId="0" borderId="10" xfId="0" applyNumberFormat="1" applyFont="1" applyFill="1" applyBorder="1" applyAlignment="1" applyProtection="1">
      <alignment vertical="center"/>
      <protection locked="0"/>
    </xf>
    <xf numFmtId="171" fontId="2" fillId="0" borderId="17" xfId="0" applyNumberFormat="1" applyFont="1" applyFill="1" applyBorder="1" applyAlignment="1" applyProtection="1">
      <alignment vertical="center"/>
      <protection locked="0"/>
    </xf>
    <xf numFmtId="0" fontId="2" fillId="0" borderId="60" xfId="0" applyFont="1" applyFill="1" applyBorder="1" applyAlignment="1" applyProtection="1">
      <alignment horizontal="center" vertical="center"/>
    </xf>
    <xf numFmtId="0" fontId="2" fillId="9" borderId="47" xfId="0" applyFont="1" applyFill="1" applyBorder="1" applyAlignment="1" applyProtection="1">
      <alignment horizontal="center" vertical="center"/>
    </xf>
    <xf numFmtId="0" fontId="2" fillId="9" borderId="60" xfId="0" applyFont="1" applyFill="1" applyBorder="1" applyAlignment="1" applyProtection="1">
      <alignment horizontal="center" vertical="center"/>
    </xf>
    <xf numFmtId="0" fontId="2" fillId="9" borderId="22" xfId="0" applyFont="1" applyFill="1" applyBorder="1" applyAlignment="1" applyProtection="1">
      <alignment horizontal="center" vertical="center"/>
    </xf>
    <xf numFmtId="0" fontId="2" fillId="9" borderId="58" xfId="0" applyFont="1" applyFill="1" applyBorder="1" applyAlignment="1" applyProtection="1">
      <alignment horizontal="center" vertical="center"/>
      <protection hidden="1"/>
    </xf>
    <xf numFmtId="44" fontId="2" fillId="9" borderId="22" xfId="0" applyNumberFormat="1" applyFont="1" applyFill="1" applyBorder="1" applyAlignment="1" applyProtection="1">
      <alignment vertical="center"/>
      <protection locked="0"/>
    </xf>
    <xf numFmtId="44" fontId="2" fillId="9" borderId="48" xfId="0" applyNumberFormat="1" applyFont="1" applyFill="1" applyBorder="1" applyAlignment="1" applyProtection="1">
      <alignment vertical="center"/>
      <protection locked="0"/>
    </xf>
    <xf numFmtId="173" fontId="29" fillId="9" borderId="17" xfId="0" applyNumberFormat="1" applyFont="1" applyFill="1" applyBorder="1" applyAlignment="1" applyProtection="1">
      <alignment horizontal="center" vertical="center"/>
      <protection locked="0"/>
    </xf>
    <xf numFmtId="0" fontId="3" fillId="5" borderId="34" xfId="0" applyNumberFormat="1" applyFont="1" applyFill="1" applyBorder="1" applyAlignment="1" applyProtection="1">
      <alignment horizontal="center" vertical="center" wrapText="1"/>
      <protection hidden="1"/>
    </xf>
    <xf numFmtId="0" fontId="3" fillId="5" borderId="10" xfId="0" applyNumberFormat="1" applyFont="1" applyFill="1" applyBorder="1" applyAlignment="1" applyProtection="1">
      <alignment horizontal="center" vertical="center" wrapText="1"/>
      <protection hidden="1"/>
    </xf>
    <xf numFmtId="0" fontId="32" fillId="3" borderId="0" xfId="22" applyFont="1" applyFill="1" applyBorder="1" applyAlignment="1" applyProtection="1">
      <alignment horizontal="left" vertical="center" wrapText="1"/>
      <protection hidden="1"/>
    </xf>
    <xf numFmtId="0" fontId="9" fillId="3" borderId="0" xfId="22" applyFont="1" applyFill="1" applyBorder="1" applyAlignment="1" applyProtection="1">
      <alignment horizontal="center" vertical="center"/>
      <protection hidden="1"/>
    </xf>
    <xf numFmtId="0" fontId="32" fillId="3" borderId="0" xfId="22" applyFont="1" applyFill="1" applyBorder="1" applyAlignment="1" applyProtection="1">
      <alignment horizontal="center" vertical="center" wrapText="1"/>
      <protection hidden="1"/>
    </xf>
    <xf numFmtId="0" fontId="29" fillId="9" borderId="26" xfId="0" applyFont="1" applyFill="1" applyBorder="1" applyAlignment="1">
      <alignment horizontal="left" vertical="top" wrapText="1"/>
    </xf>
    <xf numFmtId="0" fontId="29" fillId="9" borderId="50" xfId="0" applyFont="1" applyFill="1" applyBorder="1" applyAlignment="1">
      <alignment horizontal="left" vertical="top" wrapText="1"/>
    </xf>
    <xf numFmtId="0" fontId="29" fillId="9" borderId="64" xfId="0" applyFont="1" applyFill="1" applyBorder="1" applyAlignment="1">
      <alignment horizontal="left" vertical="top" wrapText="1"/>
    </xf>
    <xf numFmtId="0" fontId="29" fillId="9" borderId="26" xfId="0" applyFont="1" applyFill="1" applyBorder="1" applyAlignment="1">
      <alignment horizontal="left" vertical="center" wrapText="1"/>
    </xf>
    <xf numFmtId="0" fontId="29" fillId="9" borderId="64" xfId="0" applyFont="1" applyFill="1" applyBorder="1" applyAlignment="1">
      <alignment horizontal="left" vertical="center" wrapText="1"/>
    </xf>
    <xf numFmtId="0" fontId="29" fillId="9" borderId="50" xfId="0" applyFont="1" applyFill="1" applyBorder="1" applyAlignment="1">
      <alignment horizontal="left" vertical="center" wrapText="1"/>
    </xf>
    <xf numFmtId="0" fontId="29" fillId="9" borderId="26" xfId="0" applyFont="1" applyFill="1" applyBorder="1" applyAlignment="1">
      <alignment vertical="center" wrapText="1"/>
    </xf>
    <xf numFmtId="0" fontId="29" fillId="9" borderId="64" xfId="0" applyFont="1" applyFill="1" applyBorder="1" applyAlignment="1">
      <alignment vertical="center" wrapText="1"/>
    </xf>
    <xf numFmtId="0" fontId="29" fillId="9" borderId="50" xfId="0" applyFont="1" applyFill="1" applyBorder="1" applyAlignment="1">
      <alignment vertical="center" wrapText="1"/>
    </xf>
    <xf numFmtId="0" fontId="5" fillId="2" borderId="75" xfId="0" applyFont="1" applyFill="1" applyBorder="1" applyAlignment="1" applyProtection="1">
      <alignment horizontal="left" indent="1"/>
      <protection locked="0"/>
    </xf>
    <xf numFmtId="0" fontId="27" fillId="2" borderId="0" xfId="0" applyFont="1" applyFill="1" applyBorder="1" applyAlignment="1" applyProtection="1">
      <alignment horizontal="left" vertical="center" wrapText="1"/>
      <protection hidden="1"/>
    </xf>
    <xf numFmtId="0" fontId="37" fillId="2" borderId="66" xfId="0" applyFont="1" applyFill="1" applyBorder="1" applyAlignment="1" applyProtection="1">
      <alignment horizontal="left" vertical="center" indent="1"/>
      <protection locked="0"/>
    </xf>
    <xf numFmtId="0" fontId="37" fillId="2" borderId="14" xfId="0" applyFont="1" applyFill="1" applyBorder="1" applyAlignment="1" applyProtection="1">
      <alignment horizontal="left" vertical="center" indent="1"/>
      <protection locked="0"/>
    </xf>
    <xf numFmtId="0" fontId="37" fillId="2" borderId="15" xfId="0" applyFont="1" applyFill="1" applyBorder="1" applyAlignment="1" applyProtection="1">
      <alignment horizontal="left" vertical="center" indent="1"/>
      <protection locked="0"/>
    </xf>
    <xf numFmtId="170" fontId="12" fillId="9" borderId="22" xfId="0" applyNumberFormat="1" applyFont="1" applyFill="1" applyBorder="1" applyAlignment="1" applyProtection="1">
      <alignment horizontal="center" vertical="center"/>
      <protection hidden="1"/>
    </xf>
    <xf numFmtId="4" fontId="42" fillId="2" borderId="22" xfId="0" applyNumberFormat="1" applyFont="1" applyFill="1" applyBorder="1" applyAlignment="1" applyProtection="1">
      <alignment horizontal="center" vertical="center"/>
      <protection hidden="1"/>
    </xf>
    <xf numFmtId="0" fontId="9" fillId="2" borderId="23" xfId="0" applyFont="1" applyFill="1" applyBorder="1" applyAlignment="1" applyProtection="1">
      <alignment horizontal="center" vertical="center"/>
      <protection hidden="1"/>
    </xf>
    <xf numFmtId="0" fontId="9" fillId="2" borderId="61" xfId="0" applyFont="1" applyFill="1" applyBorder="1" applyAlignment="1" applyProtection="1">
      <alignment horizontal="center" vertical="center"/>
      <protection hidden="1"/>
    </xf>
    <xf numFmtId="3" fontId="12" fillId="2" borderId="23" xfId="0" applyNumberFormat="1" applyFont="1" applyFill="1" applyBorder="1" applyAlignment="1" applyProtection="1">
      <alignment horizontal="center" vertical="center"/>
      <protection hidden="1"/>
    </xf>
    <xf numFmtId="3" fontId="12" fillId="2" borderId="61" xfId="0" applyNumberFormat="1" applyFont="1" applyFill="1" applyBorder="1" applyAlignment="1" applyProtection="1">
      <alignment horizontal="center" vertical="center"/>
      <protection hidden="1"/>
    </xf>
    <xf numFmtId="0" fontId="17" fillId="2" borderId="0" xfId="0" applyFont="1" applyFill="1" applyBorder="1" applyAlignment="1" applyProtection="1">
      <alignment horizontal="center" vertical="center"/>
      <protection hidden="1"/>
    </xf>
    <xf numFmtId="0" fontId="38" fillId="2" borderId="0" xfId="0" applyFont="1" applyFill="1" applyBorder="1" applyAlignment="1" applyProtection="1">
      <alignment horizontal="center" vertical="center"/>
      <protection hidden="1"/>
    </xf>
    <xf numFmtId="0" fontId="39" fillId="2" borderId="0" xfId="0" applyFont="1" applyFill="1" applyBorder="1" applyAlignment="1" applyProtection="1">
      <alignment horizontal="center" vertical="center"/>
      <protection hidden="1"/>
    </xf>
    <xf numFmtId="0" fontId="41" fillId="2" borderId="22" xfId="0" applyFont="1" applyFill="1" applyBorder="1" applyAlignment="1" applyProtection="1">
      <alignment horizontal="center" vertical="center"/>
      <protection hidden="1"/>
    </xf>
    <xf numFmtId="0" fontId="9" fillId="2" borderId="22" xfId="0" applyFont="1" applyFill="1" applyBorder="1" applyAlignment="1" applyProtection="1">
      <alignment horizontal="center" vertical="center"/>
      <protection hidden="1"/>
    </xf>
    <xf numFmtId="0" fontId="6" fillId="2" borderId="66" xfId="0" applyFont="1" applyFill="1" applyBorder="1" applyAlignment="1" applyProtection="1">
      <alignment horizontal="left" vertical="center" indent="1"/>
      <protection locked="0"/>
    </xf>
    <xf numFmtId="0" fontId="6" fillId="2" borderId="14" xfId="0" applyFont="1" applyFill="1" applyBorder="1" applyAlignment="1" applyProtection="1">
      <alignment horizontal="left" vertical="center" indent="1"/>
      <protection locked="0"/>
    </xf>
    <xf numFmtId="0" fontId="6" fillId="2" borderId="15" xfId="0" applyFont="1" applyFill="1" applyBorder="1" applyAlignment="1" applyProtection="1">
      <alignment horizontal="left" vertical="center" indent="1"/>
      <protection locked="0"/>
    </xf>
    <xf numFmtId="49" fontId="5" fillId="2" borderId="75" xfId="0" applyNumberFormat="1" applyFont="1" applyFill="1" applyBorder="1" applyAlignment="1" applyProtection="1">
      <alignment horizontal="left" indent="1"/>
      <protection locked="0"/>
    </xf>
    <xf numFmtId="0" fontId="10" fillId="5" borderId="62" xfId="0" applyNumberFormat="1" applyFont="1" applyFill="1" applyBorder="1" applyAlignment="1" applyProtection="1">
      <alignment horizontal="left" vertical="center" wrapText="1"/>
      <protection hidden="1"/>
    </xf>
    <xf numFmtId="0" fontId="10" fillId="5" borderId="51" xfId="0" applyNumberFormat="1" applyFont="1" applyFill="1" applyBorder="1" applyAlignment="1" applyProtection="1">
      <alignment horizontal="left" vertical="center" wrapText="1"/>
      <protection hidden="1"/>
    </xf>
    <xf numFmtId="0" fontId="1" fillId="3" borderId="73" xfId="0" applyFont="1" applyFill="1" applyBorder="1" applyAlignment="1" applyProtection="1">
      <alignment horizontal="center" vertical="center" wrapText="1"/>
      <protection hidden="1"/>
    </xf>
    <xf numFmtId="0" fontId="1" fillId="3" borderId="64"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3" borderId="45" xfId="0" applyFont="1" applyFill="1" applyBorder="1" applyAlignment="1" applyProtection="1">
      <alignment horizontal="center" vertical="center" wrapText="1"/>
      <protection hidden="1"/>
    </xf>
    <xf numFmtId="0" fontId="1" fillId="3" borderId="22"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3" fillId="5" borderId="26" xfId="0" applyNumberFormat="1" applyFont="1" applyFill="1" applyBorder="1" applyAlignment="1" applyProtection="1">
      <alignment horizontal="center" vertical="center" wrapText="1"/>
      <protection hidden="1"/>
    </xf>
    <xf numFmtId="0" fontId="3" fillId="5" borderId="34" xfId="0" applyNumberFormat="1" applyFont="1" applyFill="1" applyBorder="1" applyAlignment="1" applyProtection="1">
      <alignment horizontal="center" vertical="center" wrapText="1"/>
      <protection hidden="1"/>
    </xf>
    <xf numFmtId="0" fontId="3" fillId="5" borderId="27" xfId="0" applyNumberFormat="1" applyFont="1" applyFill="1" applyBorder="1" applyAlignment="1" applyProtection="1">
      <alignment horizontal="center" vertical="center" wrapText="1"/>
      <protection hidden="1"/>
    </xf>
    <xf numFmtId="0" fontId="3" fillId="5" borderId="38" xfId="0" applyNumberFormat="1" applyFont="1" applyFill="1" applyBorder="1" applyAlignment="1" applyProtection="1">
      <alignment horizontal="center" vertical="center" wrapText="1"/>
      <protection hidden="1"/>
    </xf>
    <xf numFmtId="0" fontId="3" fillId="5" borderId="60" xfId="0" applyNumberFormat="1" applyFont="1" applyFill="1" applyBorder="1" applyAlignment="1" applyProtection="1">
      <alignment horizontal="center" vertical="center" wrapText="1"/>
      <protection hidden="1"/>
    </xf>
    <xf numFmtId="0" fontId="3" fillId="5" borderId="37" xfId="0" applyNumberFormat="1" applyFont="1" applyFill="1" applyBorder="1" applyAlignment="1" applyProtection="1">
      <alignment horizontal="center" vertical="center" wrapText="1"/>
      <protection hidden="1"/>
    </xf>
    <xf numFmtId="0" fontId="1" fillId="3" borderId="4" xfId="0" applyFont="1" applyFill="1" applyBorder="1" applyAlignment="1" applyProtection="1">
      <alignment horizontal="center" vertical="center" wrapText="1"/>
      <protection hidden="1"/>
    </xf>
    <xf numFmtId="0" fontId="1" fillId="3" borderId="48" xfId="0" applyFont="1" applyFill="1" applyBorder="1" applyAlignment="1" applyProtection="1">
      <alignment horizontal="center" vertical="center" wrapText="1"/>
      <protection hidden="1"/>
    </xf>
    <xf numFmtId="0" fontId="1" fillId="3" borderId="17" xfId="0" applyFont="1" applyFill="1" applyBorder="1" applyAlignment="1" applyProtection="1">
      <alignment horizontal="center" vertical="center" wrapText="1"/>
      <protection hidden="1"/>
    </xf>
    <xf numFmtId="0" fontId="10" fillId="2" borderId="22" xfId="0" applyNumberFormat="1" applyFont="1" applyFill="1" applyBorder="1" applyAlignment="1" applyProtection="1">
      <alignment horizontal="center" vertical="center"/>
      <protection hidden="1"/>
    </xf>
    <xf numFmtId="0" fontId="3" fillId="7" borderId="22" xfId="0" applyNumberFormat="1" applyFont="1" applyFill="1" applyBorder="1" applyAlignment="1" applyProtection="1">
      <alignment horizontal="center" vertical="center" wrapText="1"/>
      <protection hidden="1"/>
    </xf>
    <xf numFmtId="0" fontId="3" fillId="7" borderId="10" xfId="0" applyNumberFormat="1" applyFont="1" applyFill="1" applyBorder="1" applyAlignment="1" applyProtection="1">
      <alignment horizontal="center" vertical="center" wrapText="1"/>
      <protection hidden="1"/>
    </xf>
    <xf numFmtId="0" fontId="3" fillId="7" borderId="48" xfId="0" applyNumberFormat="1" applyFont="1" applyFill="1" applyBorder="1" applyAlignment="1" applyProtection="1">
      <alignment horizontal="center" vertical="center" wrapText="1"/>
      <protection hidden="1"/>
    </xf>
    <xf numFmtId="0" fontId="3" fillId="7" borderId="17" xfId="0" applyNumberFormat="1" applyFont="1" applyFill="1" applyBorder="1" applyAlignment="1" applyProtection="1">
      <alignment horizontal="center" vertical="center" wrapText="1"/>
      <protection hidden="1"/>
    </xf>
    <xf numFmtId="0" fontId="10" fillId="7" borderId="13" xfId="0" applyNumberFormat="1" applyFont="1" applyFill="1" applyBorder="1" applyAlignment="1" applyProtection="1">
      <alignment horizontal="left" vertical="center" wrapText="1"/>
      <protection hidden="1"/>
    </xf>
    <xf numFmtId="0" fontId="10" fillId="7" borderId="62" xfId="0" applyNumberFormat="1" applyFont="1" applyFill="1" applyBorder="1" applyAlignment="1" applyProtection="1">
      <alignment horizontal="left" vertical="center" wrapText="1"/>
      <protection hidden="1"/>
    </xf>
    <xf numFmtId="0" fontId="10" fillId="7" borderId="51" xfId="0" applyNumberFormat="1" applyFont="1" applyFill="1" applyBorder="1" applyAlignment="1" applyProtection="1">
      <alignment horizontal="left" vertical="center" wrapText="1"/>
      <protection hidden="1"/>
    </xf>
    <xf numFmtId="0" fontId="3" fillId="7" borderId="47" xfId="0" applyNumberFormat="1" applyFont="1" applyFill="1" applyBorder="1" applyAlignment="1" applyProtection="1">
      <alignment horizontal="center" vertical="center" wrapText="1"/>
      <protection hidden="1"/>
    </xf>
    <xf numFmtId="0" fontId="3" fillId="7" borderId="16" xfId="0" applyNumberFormat="1" applyFont="1" applyFill="1" applyBorder="1" applyAlignment="1" applyProtection="1">
      <alignment horizontal="center" vertical="center" wrapText="1"/>
      <protection hidden="1"/>
    </xf>
    <xf numFmtId="0" fontId="3" fillId="7" borderId="56" xfId="0" applyNumberFormat="1" applyFont="1" applyFill="1" applyBorder="1" applyAlignment="1" applyProtection="1">
      <alignment horizontal="center" vertical="center" wrapText="1"/>
      <protection hidden="1"/>
    </xf>
    <xf numFmtId="0" fontId="3" fillId="7" borderId="57" xfId="0" applyNumberFormat="1" applyFont="1" applyFill="1" applyBorder="1" applyAlignment="1" applyProtection="1">
      <alignment horizontal="center" vertical="center" wrapText="1"/>
      <protection hidden="1"/>
    </xf>
    <xf numFmtId="0" fontId="3" fillId="7" borderId="26" xfId="0" applyNumberFormat="1" applyFont="1" applyFill="1" applyBorder="1" applyAlignment="1" applyProtection="1">
      <alignment horizontal="center" vertical="center" wrapText="1"/>
      <protection hidden="1"/>
    </xf>
    <xf numFmtId="0" fontId="3" fillId="7" borderId="34" xfId="0" applyNumberFormat="1" applyFont="1" applyFill="1" applyBorder="1" applyAlignment="1" applyProtection="1">
      <alignment horizontal="center" vertical="center" wrapText="1"/>
      <protection hidden="1"/>
    </xf>
    <xf numFmtId="0" fontId="2" fillId="10" borderId="6" xfId="0" applyFont="1" applyFill="1" applyBorder="1" applyAlignment="1" applyProtection="1">
      <alignment horizontal="center" vertical="center" wrapText="1"/>
      <protection hidden="1"/>
    </xf>
    <xf numFmtId="0" fontId="2" fillId="10" borderId="7" xfId="0" applyFont="1" applyFill="1" applyBorder="1" applyAlignment="1" applyProtection="1">
      <alignment horizontal="center" vertical="center" wrapText="1"/>
      <protection hidden="1"/>
    </xf>
    <xf numFmtId="0" fontId="3" fillId="8" borderId="3" xfId="0" applyNumberFormat="1" applyFont="1" applyFill="1" applyBorder="1" applyAlignment="1" applyProtection="1">
      <alignment horizontal="center" vertical="center" wrapText="1"/>
      <protection hidden="1"/>
    </xf>
    <xf numFmtId="0" fontId="3" fillId="8" borderId="68" xfId="0" applyNumberFormat="1" applyFont="1" applyFill="1" applyBorder="1" applyAlignment="1" applyProtection="1">
      <alignment horizontal="center" vertical="center" wrapText="1"/>
      <protection hidden="1"/>
    </xf>
    <xf numFmtId="0" fontId="3" fillId="8" borderId="8" xfId="0" applyNumberFormat="1" applyFont="1" applyFill="1" applyBorder="1" applyAlignment="1" applyProtection="1">
      <alignment horizontal="center" vertical="center" wrapText="1"/>
      <protection hidden="1"/>
    </xf>
    <xf numFmtId="0" fontId="3" fillId="8" borderId="39" xfId="0" applyNumberFormat="1" applyFont="1" applyFill="1" applyBorder="1" applyAlignment="1" applyProtection="1">
      <alignment horizontal="center" vertical="center" wrapText="1"/>
      <protection hidden="1"/>
    </xf>
    <xf numFmtId="0" fontId="3" fillId="8" borderId="69" xfId="0" applyNumberFormat="1" applyFont="1" applyFill="1" applyBorder="1" applyAlignment="1" applyProtection="1">
      <alignment horizontal="center" vertical="center" wrapText="1"/>
      <protection hidden="1"/>
    </xf>
    <xf numFmtId="0" fontId="3" fillId="8" borderId="67" xfId="0" applyNumberFormat="1" applyFont="1" applyFill="1" applyBorder="1" applyAlignment="1" applyProtection="1">
      <alignment horizontal="center" vertical="center" wrapText="1"/>
      <protection hidden="1"/>
    </xf>
    <xf numFmtId="0" fontId="3" fillId="6" borderId="30" xfId="0" applyNumberFormat="1" applyFont="1" applyFill="1" applyBorder="1" applyAlignment="1" applyProtection="1">
      <alignment horizontal="center" vertical="center" wrapText="1"/>
      <protection hidden="1"/>
    </xf>
    <xf numFmtId="0" fontId="3" fillId="6" borderId="31" xfId="0" applyNumberFormat="1" applyFont="1" applyFill="1" applyBorder="1" applyAlignment="1" applyProtection="1">
      <alignment horizontal="center" vertical="center" wrapText="1"/>
      <protection hidden="1"/>
    </xf>
    <xf numFmtId="0" fontId="3" fillId="6" borderId="32" xfId="0" applyNumberFormat="1" applyFont="1" applyFill="1" applyBorder="1" applyAlignment="1" applyProtection="1">
      <alignment horizontal="center" vertical="center" wrapText="1"/>
      <protection hidden="1"/>
    </xf>
    <xf numFmtId="0" fontId="3" fillId="5" borderId="72" xfId="0" applyNumberFormat="1" applyFont="1" applyFill="1" applyBorder="1" applyAlignment="1" applyProtection="1">
      <alignment horizontal="center" vertical="center" wrapText="1"/>
      <protection hidden="1"/>
    </xf>
    <xf numFmtId="0" fontId="3" fillId="5" borderId="76" xfId="0" applyNumberFormat="1" applyFont="1" applyFill="1" applyBorder="1" applyAlignment="1" applyProtection="1">
      <alignment horizontal="center" vertical="center" wrapText="1"/>
      <protection hidden="1"/>
    </xf>
    <xf numFmtId="0" fontId="3" fillId="5" borderId="22" xfId="0" applyNumberFormat="1" applyFont="1" applyFill="1" applyBorder="1" applyAlignment="1" applyProtection="1">
      <alignment horizontal="center" vertical="center" wrapText="1"/>
      <protection hidden="1"/>
    </xf>
    <xf numFmtId="0" fontId="3" fillId="5" borderId="10" xfId="0" applyNumberFormat="1" applyFont="1" applyFill="1" applyBorder="1" applyAlignment="1" applyProtection="1">
      <alignment horizontal="center" vertical="center" wrapText="1"/>
      <protection hidden="1"/>
    </xf>
    <xf numFmtId="0" fontId="11" fillId="2" borderId="0" xfId="0" applyFont="1" applyFill="1" applyBorder="1" applyAlignment="1" applyProtection="1">
      <alignment horizontal="left" vertical="center" wrapText="1"/>
      <protection hidden="1"/>
    </xf>
    <xf numFmtId="0" fontId="27" fillId="3" borderId="10" xfId="0" applyFont="1" applyFill="1" applyBorder="1" applyAlignment="1" applyProtection="1">
      <alignment vertical="center"/>
      <protection hidden="1"/>
    </xf>
    <xf numFmtId="0" fontId="10" fillId="7" borderId="40" xfId="0" applyNumberFormat="1" applyFont="1" applyFill="1" applyBorder="1" applyAlignment="1" applyProtection="1">
      <alignment horizontal="center" vertical="center" wrapText="1"/>
      <protection hidden="1"/>
    </xf>
    <xf numFmtId="0" fontId="10" fillId="7" borderId="65" xfId="0" applyNumberFormat="1" applyFont="1" applyFill="1" applyBorder="1" applyAlignment="1" applyProtection="1">
      <alignment horizontal="center" vertical="center" wrapText="1"/>
      <protection hidden="1"/>
    </xf>
    <xf numFmtId="0" fontId="10" fillId="7" borderId="38" xfId="0" applyNumberFormat="1" applyFont="1" applyFill="1" applyBorder="1" applyAlignment="1" applyProtection="1">
      <alignment horizontal="center" vertical="center" wrapText="1"/>
      <protection hidden="1"/>
    </xf>
    <xf numFmtId="0" fontId="1" fillId="3" borderId="62" xfId="0" applyFont="1" applyFill="1" applyBorder="1" applyAlignment="1" applyProtection="1">
      <alignment horizontal="center" vertical="center" wrapText="1"/>
      <protection hidden="1"/>
    </xf>
    <xf numFmtId="0" fontId="1" fillId="3" borderId="0" xfId="0" applyFont="1" applyFill="1" applyBorder="1" applyAlignment="1" applyProtection="1">
      <alignment horizontal="center" vertical="center" wrapText="1"/>
      <protection hidden="1"/>
    </xf>
    <xf numFmtId="0" fontId="27" fillId="3" borderId="63" xfId="0" applyFont="1" applyFill="1" applyBorder="1" applyAlignment="1" applyProtection="1">
      <alignment vertical="center"/>
      <protection hidden="1"/>
    </xf>
    <xf numFmtId="0" fontId="10" fillId="7" borderId="55" xfId="0" applyNumberFormat="1" applyFont="1" applyFill="1" applyBorder="1" applyAlignment="1" applyProtection="1">
      <alignment horizontal="left" vertical="top"/>
      <protection hidden="1"/>
    </xf>
    <xf numFmtId="0" fontId="10" fillId="7" borderId="45" xfId="0" applyNumberFormat="1" applyFont="1" applyFill="1" applyBorder="1" applyAlignment="1" applyProtection="1">
      <alignment horizontal="left" vertical="top"/>
      <protection hidden="1"/>
    </xf>
    <xf numFmtId="0" fontId="10" fillId="7" borderId="4" xfId="0" applyNumberFormat="1" applyFont="1" applyFill="1" applyBorder="1" applyAlignment="1" applyProtection="1">
      <alignment horizontal="left" vertical="top"/>
      <protection hidden="1"/>
    </xf>
    <xf numFmtId="0" fontId="1" fillId="3" borderId="39" xfId="0" applyFont="1" applyFill="1" applyBorder="1" applyAlignment="1" applyProtection="1">
      <alignment horizontal="center" vertical="center" wrapText="1"/>
      <protection hidden="1"/>
    </xf>
    <xf numFmtId="0" fontId="1" fillId="3" borderId="69" xfId="0" applyFont="1" applyFill="1" applyBorder="1" applyAlignment="1" applyProtection="1">
      <alignment horizontal="center" vertical="center" wrapText="1"/>
      <protection hidden="1"/>
    </xf>
    <xf numFmtId="0" fontId="1" fillId="3" borderId="67" xfId="0" applyFont="1" applyFill="1" applyBorder="1" applyAlignment="1" applyProtection="1">
      <alignment horizontal="center" vertical="center" wrapText="1"/>
      <protection hidden="1"/>
    </xf>
    <xf numFmtId="0" fontId="3" fillId="5" borderId="25" xfId="0" applyNumberFormat="1" applyFont="1" applyFill="1" applyBorder="1" applyAlignment="1" applyProtection="1">
      <alignment horizontal="center" vertical="center" wrapText="1"/>
      <protection hidden="1"/>
    </xf>
    <xf numFmtId="0" fontId="3" fillId="5" borderId="67" xfId="0" applyNumberFormat="1" applyFont="1" applyFill="1" applyBorder="1" applyAlignment="1" applyProtection="1">
      <alignment horizontal="center" vertical="center" wrapText="1"/>
      <protection hidden="1"/>
    </xf>
    <xf numFmtId="0" fontId="10" fillId="5" borderId="13" xfId="0" applyNumberFormat="1" applyFont="1" applyFill="1" applyBorder="1" applyAlignment="1" applyProtection="1">
      <alignment horizontal="left" vertical="top"/>
      <protection hidden="1"/>
    </xf>
    <xf numFmtId="0" fontId="10" fillId="5" borderId="62" xfId="0" applyNumberFormat="1" applyFont="1" applyFill="1" applyBorder="1" applyAlignment="1" applyProtection="1">
      <alignment horizontal="left" vertical="top"/>
      <protection hidden="1"/>
    </xf>
    <xf numFmtId="0" fontId="10" fillId="5" borderId="51" xfId="0" applyNumberFormat="1" applyFont="1" applyFill="1" applyBorder="1" applyAlignment="1" applyProtection="1">
      <alignment horizontal="left" vertical="top"/>
      <protection hidden="1"/>
    </xf>
    <xf numFmtId="0" fontId="3" fillId="5" borderId="48" xfId="0" applyNumberFormat="1" applyFont="1" applyFill="1" applyBorder="1" applyAlignment="1" applyProtection="1">
      <alignment horizontal="center" vertical="center" wrapText="1"/>
      <protection hidden="1"/>
    </xf>
    <xf numFmtId="0" fontId="3" fillId="5" borderId="17" xfId="0" applyNumberFormat="1" applyFont="1" applyFill="1" applyBorder="1" applyAlignment="1" applyProtection="1">
      <alignment horizontal="center" vertical="center" wrapText="1"/>
      <protection hidden="1"/>
    </xf>
    <xf numFmtId="0" fontId="1" fillId="3" borderId="55" xfId="0" applyFont="1" applyFill="1" applyBorder="1" applyAlignment="1" applyProtection="1">
      <alignment horizontal="center" vertical="center" wrapText="1"/>
      <protection hidden="1"/>
    </xf>
    <xf numFmtId="0" fontId="1" fillId="3" borderId="54" xfId="0" applyFont="1" applyFill="1" applyBorder="1" applyAlignment="1" applyProtection="1">
      <alignment horizontal="center" vertical="center" wrapText="1"/>
      <protection hidden="1"/>
    </xf>
    <xf numFmtId="0" fontId="27" fillId="3" borderId="57" xfId="0" applyFont="1" applyFill="1" applyBorder="1" applyAlignment="1" applyProtection="1">
      <alignment vertical="center"/>
      <protection hidden="1"/>
    </xf>
    <xf numFmtId="0" fontId="2" fillId="18" borderId="30" xfId="0" applyFont="1" applyFill="1" applyBorder="1" applyAlignment="1" applyProtection="1">
      <alignment horizontal="center" vertical="center" textRotation="90" wrapText="1"/>
      <protection hidden="1"/>
    </xf>
    <xf numFmtId="0" fontId="2" fillId="18" borderId="31" xfId="0" applyFont="1" applyFill="1" applyBorder="1" applyAlignment="1" applyProtection="1">
      <alignment horizontal="center" vertical="center" textRotation="90" wrapText="1"/>
      <protection hidden="1"/>
    </xf>
    <xf numFmtId="0" fontId="2" fillId="18" borderId="32" xfId="0" applyFont="1" applyFill="1" applyBorder="1" applyAlignment="1" applyProtection="1">
      <alignment horizontal="center" vertical="center" textRotation="90" wrapText="1"/>
      <protection hidden="1"/>
    </xf>
    <xf numFmtId="0" fontId="1" fillId="2" borderId="23" xfId="0" applyNumberFormat="1" applyFont="1" applyFill="1" applyBorder="1" applyAlignment="1" applyProtection="1">
      <alignment horizontal="center" vertical="center" wrapText="1"/>
      <protection hidden="1"/>
    </xf>
    <xf numFmtId="0" fontId="1" fillId="2" borderId="61" xfId="0" applyNumberFormat="1" applyFont="1" applyFill="1" applyBorder="1" applyAlignment="1" applyProtection="1">
      <alignment horizontal="center" vertical="center" wrapText="1"/>
      <protection hidden="1"/>
    </xf>
    <xf numFmtId="0" fontId="1" fillId="2" borderId="56" xfId="0" applyNumberFormat="1" applyFont="1" applyFill="1" applyBorder="1" applyAlignment="1" applyProtection="1">
      <alignment horizontal="center" vertical="center" wrapText="1"/>
      <protection hidden="1"/>
    </xf>
    <xf numFmtId="0" fontId="10" fillId="2" borderId="26" xfId="0" applyNumberFormat="1" applyFont="1" applyFill="1" applyBorder="1" applyAlignment="1" applyProtection="1">
      <alignment horizontal="center" vertical="center"/>
      <protection hidden="1"/>
    </xf>
    <xf numFmtId="0" fontId="10" fillId="2" borderId="50" xfId="0" applyNumberFormat="1" applyFont="1" applyFill="1" applyBorder="1" applyAlignment="1" applyProtection="1">
      <alignment horizontal="center" vertical="center"/>
      <protection hidden="1"/>
    </xf>
    <xf numFmtId="0" fontId="10" fillId="2" borderId="60" xfId="0" applyNumberFormat="1" applyFont="1" applyFill="1" applyBorder="1" applyAlignment="1" applyProtection="1">
      <alignment horizontal="center" vertical="center"/>
      <protection hidden="1"/>
    </xf>
    <xf numFmtId="0" fontId="10" fillId="2" borderId="58" xfId="0" applyNumberFormat="1" applyFont="1" applyFill="1" applyBorder="1" applyAlignment="1" applyProtection="1">
      <alignment horizontal="center" vertical="center"/>
      <protection hidden="1"/>
    </xf>
    <xf numFmtId="0" fontId="29" fillId="9" borderId="25" xfId="0" applyFont="1" applyFill="1" applyBorder="1" applyAlignment="1" applyProtection="1">
      <alignment horizontal="center" vertical="center" wrapText="1"/>
      <protection hidden="1"/>
    </xf>
    <xf numFmtId="0" fontId="29" fillId="9" borderId="69" xfId="0" applyFont="1" applyFill="1" applyBorder="1" applyAlignment="1" applyProtection="1">
      <alignment horizontal="center" vertical="center" wrapText="1"/>
      <protection hidden="1"/>
    </xf>
    <xf numFmtId="0" fontId="29" fillId="9" borderId="42" xfId="0" applyFont="1" applyFill="1" applyBorder="1" applyAlignment="1" applyProtection="1">
      <alignment horizontal="center" vertical="center" wrapText="1"/>
      <protection hidden="1"/>
    </xf>
    <xf numFmtId="0" fontId="29" fillId="9" borderId="67" xfId="0" applyFont="1" applyFill="1" applyBorder="1" applyAlignment="1" applyProtection="1">
      <alignment horizontal="center" vertical="center" wrapText="1"/>
      <protection hidden="1"/>
    </xf>
    <xf numFmtId="0" fontId="29" fillId="9" borderId="26" xfId="0" applyFont="1" applyFill="1" applyBorder="1" applyAlignment="1" applyProtection="1">
      <alignment horizontal="center" vertical="center"/>
      <protection hidden="1"/>
    </xf>
    <xf numFmtId="0" fontId="29" fillId="9" borderId="64" xfId="0" applyFont="1" applyFill="1" applyBorder="1" applyAlignment="1" applyProtection="1">
      <alignment horizontal="center" vertical="center"/>
      <protection hidden="1"/>
    </xf>
    <xf numFmtId="0" fontId="29" fillId="9" borderId="50" xfId="0" applyFont="1" applyFill="1" applyBorder="1" applyAlignment="1" applyProtection="1">
      <alignment horizontal="center" vertical="center"/>
      <protection hidden="1"/>
    </xf>
    <xf numFmtId="0" fontId="29" fillId="9" borderId="39" xfId="0" applyFont="1" applyFill="1" applyBorder="1" applyAlignment="1" applyProtection="1">
      <alignment horizontal="center" vertical="center" wrapText="1"/>
      <protection hidden="1"/>
    </xf>
    <xf numFmtId="0" fontId="29" fillId="9" borderId="69" xfId="0" applyFont="1" applyFill="1" applyBorder="1" applyAlignment="1" applyProtection="1">
      <alignment horizontal="center" vertical="center"/>
      <protection hidden="1"/>
    </xf>
    <xf numFmtId="0" fontId="29" fillId="9" borderId="42" xfId="0" applyFont="1" applyFill="1" applyBorder="1" applyAlignment="1" applyProtection="1">
      <alignment horizontal="center" vertical="center"/>
      <protection hidden="1"/>
    </xf>
    <xf numFmtId="0" fontId="29" fillId="9" borderId="44" xfId="0" applyFont="1" applyFill="1" applyBorder="1" applyAlignment="1" applyProtection="1">
      <alignment horizontal="center" vertical="center" wrapText="1"/>
      <protection hidden="1"/>
    </xf>
    <xf numFmtId="0" fontId="29" fillId="9" borderId="47" xfId="0" applyFont="1" applyFill="1" applyBorder="1" applyAlignment="1" applyProtection="1">
      <alignment horizontal="center" vertical="center" wrapText="1"/>
      <protection hidden="1"/>
    </xf>
    <xf numFmtId="0" fontId="29" fillId="9" borderId="16" xfId="0" applyFont="1" applyFill="1" applyBorder="1" applyAlignment="1" applyProtection="1">
      <alignment horizontal="center" vertical="center" wrapText="1"/>
      <protection hidden="1"/>
    </xf>
    <xf numFmtId="0" fontId="1" fillId="3" borderId="25" xfId="0" applyNumberFormat="1" applyFont="1" applyFill="1" applyBorder="1" applyAlignment="1" applyProtection="1">
      <alignment horizontal="center" vertical="center" wrapText="1"/>
      <protection hidden="1"/>
    </xf>
    <xf numFmtId="0" fontId="1" fillId="3" borderId="69" xfId="0" applyNumberFormat="1" applyFont="1" applyFill="1" applyBorder="1" applyAlignment="1" applyProtection="1">
      <alignment horizontal="center" vertical="center" wrapText="1"/>
      <protection hidden="1"/>
    </xf>
    <xf numFmtId="0" fontId="1" fillId="3" borderId="67" xfId="0" applyNumberFormat="1" applyFont="1" applyFill="1" applyBorder="1" applyAlignment="1" applyProtection="1">
      <alignment horizontal="center" vertical="center" wrapText="1"/>
      <protection hidden="1"/>
    </xf>
    <xf numFmtId="0" fontId="1" fillId="3" borderId="26" xfId="0" applyNumberFormat="1" applyFont="1" applyFill="1" applyBorder="1" applyAlignment="1" applyProtection="1">
      <alignment horizontal="center" vertical="center" wrapText="1"/>
      <protection hidden="1"/>
    </xf>
    <xf numFmtId="0" fontId="1" fillId="3" borderId="64" xfId="0" applyNumberFormat="1" applyFont="1" applyFill="1" applyBorder="1" applyAlignment="1" applyProtection="1">
      <alignment horizontal="center" vertical="center" wrapText="1"/>
      <protection hidden="1"/>
    </xf>
    <xf numFmtId="0" fontId="1" fillId="3" borderId="34" xfId="0" applyNumberFormat="1" applyFont="1" applyFill="1" applyBorder="1" applyAlignment="1" applyProtection="1">
      <alignment horizontal="center" vertical="center" wrapText="1"/>
      <protection hidden="1"/>
    </xf>
    <xf numFmtId="0" fontId="1" fillId="3" borderId="27" xfId="0" applyNumberFormat="1" applyFont="1" applyFill="1" applyBorder="1" applyAlignment="1" applyProtection="1">
      <alignment horizontal="center" vertical="center" wrapText="1"/>
      <protection hidden="1"/>
    </xf>
    <xf numFmtId="0" fontId="1" fillId="3" borderId="65" xfId="0" applyNumberFormat="1" applyFont="1" applyFill="1" applyBorder="1" applyAlignment="1" applyProtection="1">
      <alignment horizontal="center" vertical="center" wrapText="1"/>
      <protection hidden="1"/>
    </xf>
    <xf numFmtId="0" fontId="1" fillId="3" borderId="38" xfId="0" applyNumberFormat="1" applyFont="1" applyFill="1" applyBorder="1" applyAlignment="1" applyProtection="1">
      <alignment horizontal="center" vertical="center" wrapText="1"/>
      <protection hidden="1"/>
    </xf>
    <xf numFmtId="0" fontId="1" fillId="3" borderId="13" xfId="0" applyNumberFormat="1" applyFont="1" applyFill="1" applyBorder="1" applyAlignment="1" applyProtection="1">
      <alignment horizontal="center" vertical="center" wrapText="1"/>
      <protection hidden="1"/>
    </xf>
    <xf numFmtId="0" fontId="1" fillId="3" borderId="62" xfId="0" applyNumberFormat="1" applyFont="1" applyFill="1" applyBorder="1" applyAlignment="1" applyProtection="1">
      <alignment horizontal="center" vertical="center" wrapText="1"/>
      <protection hidden="1"/>
    </xf>
    <xf numFmtId="0" fontId="1" fillId="3" borderId="51" xfId="0" applyNumberFormat="1" applyFont="1" applyFill="1" applyBorder="1" applyAlignment="1" applyProtection="1">
      <alignment horizontal="center" vertical="center" wrapText="1"/>
      <protection hidden="1"/>
    </xf>
    <xf numFmtId="0" fontId="1" fillId="3" borderId="39" xfId="0" applyNumberFormat="1" applyFont="1" applyFill="1" applyBorder="1" applyAlignment="1" applyProtection="1">
      <alignment horizontal="center" vertical="center" wrapText="1"/>
      <protection hidden="1"/>
    </xf>
    <xf numFmtId="0" fontId="1" fillId="3" borderId="46" xfId="0" applyNumberFormat="1" applyFont="1" applyFill="1" applyBorder="1" applyAlignment="1" applyProtection="1">
      <alignment horizontal="center" vertical="center" wrapText="1"/>
      <protection hidden="1"/>
    </xf>
    <xf numFmtId="0" fontId="28" fillId="10" borderId="45" xfId="0" applyFont="1" applyFill="1" applyBorder="1" applyAlignment="1" applyProtection="1">
      <alignment horizontal="center" vertical="center"/>
      <protection hidden="1"/>
    </xf>
    <xf numFmtId="0" fontId="28" fillId="10" borderId="4" xfId="0" applyFont="1" applyFill="1" applyBorder="1" applyAlignment="1" applyProtection="1">
      <alignment horizontal="center" vertical="center"/>
      <protection hidden="1"/>
    </xf>
    <xf numFmtId="0" fontId="28" fillId="10" borderId="73" xfId="0" applyFont="1" applyFill="1" applyBorder="1" applyAlignment="1" applyProtection="1">
      <alignment horizontal="center" vertical="center" wrapText="1"/>
      <protection hidden="1"/>
    </xf>
    <xf numFmtId="0" fontId="28" fillId="10" borderId="34" xfId="0" applyFont="1" applyFill="1" applyBorder="1" applyAlignment="1" applyProtection="1">
      <alignment horizontal="center" vertical="center"/>
      <protection hidden="1"/>
    </xf>
    <xf numFmtId="0" fontId="28" fillId="10" borderId="44" xfId="0" applyFont="1" applyFill="1" applyBorder="1" applyAlignment="1" applyProtection="1">
      <alignment horizontal="center" vertical="center"/>
      <protection hidden="1"/>
    </xf>
    <xf numFmtId="0" fontId="28" fillId="10" borderId="16" xfId="0" applyFont="1" applyFill="1" applyBorder="1" applyAlignment="1" applyProtection="1">
      <alignment horizontal="center" vertical="center"/>
      <protection hidden="1"/>
    </xf>
    <xf numFmtId="0" fontId="28" fillId="10" borderId="39" xfId="0" applyFont="1" applyFill="1" applyBorder="1" applyAlignment="1" applyProtection="1">
      <alignment horizontal="center" vertical="center"/>
      <protection hidden="1"/>
    </xf>
    <xf numFmtId="0" fontId="28" fillId="10" borderId="67" xfId="0" applyFont="1" applyFill="1" applyBorder="1" applyAlignment="1" applyProtection="1">
      <alignment horizontal="center" vertical="center"/>
      <protection hidden="1"/>
    </xf>
    <xf numFmtId="0" fontId="28" fillId="10" borderId="73" xfId="0" applyFont="1" applyFill="1" applyBorder="1" applyAlignment="1" applyProtection="1">
      <alignment horizontal="center" vertical="center"/>
      <protection hidden="1"/>
    </xf>
    <xf numFmtId="0" fontId="28" fillId="10" borderId="55" xfId="0" applyFont="1" applyFill="1" applyBorder="1" applyAlignment="1" applyProtection="1">
      <alignment horizontal="center" vertical="center"/>
      <protection hidden="1"/>
    </xf>
    <xf numFmtId="0" fontId="28" fillId="10" borderId="57" xfId="0" applyFont="1" applyFill="1" applyBorder="1" applyAlignment="1" applyProtection="1">
      <alignment horizontal="center" vertical="center"/>
      <protection hidden="1"/>
    </xf>
    <xf numFmtId="0" fontId="28" fillId="10" borderId="45" xfId="0" applyFont="1" applyFill="1" applyBorder="1" applyAlignment="1" applyProtection="1">
      <alignment horizontal="center" vertical="center" wrapText="1"/>
      <protection hidden="1"/>
    </xf>
    <xf numFmtId="0" fontId="28" fillId="10" borderId="10" xfId="0" applyFont="1" applyFill="1" applyBorder="1" applyAlignment="1" applyProtection="1">
      <alignment horizontal="center" vertical="center"/>
      <protection hidden="1"/>
    </xf>
    <xf numFmtId="0" fontId="28" fillId="10" borderId="4" xfId="0" applyFont="1" applyFill="1" applyBorder="1" applyAlignment="1" applyProtection="1">
      <alignment horizontal="center" vertical="center" wrapText="1"/>
      <protection hidden="1"/>
    </xf>
    <xf numFmtId="0" fontId="28" fillId="10" borderId="17" xfId="0" applyFont="1" applyFill="1" applyBorder="1" applyAlignment="1" applyProtection="1">
      <alignment horizontal="center" vertical="center"/>
      <protection hidden="1"/>
    </xf>
    <xf numFmtId="0" fontId="1" fillId="3" borderId="66" xfId="15" applyFont="1" applyFill="1" applyBorder="1" applyAlignment="1" applyProtection="1">
      <alignment horizontal="center" vertical="center" wrapText="1"/>
      <protection hidden="1"/>
    </xf>
    <xf numFmtId="0" fontId="1" fillId="3" borderId="14" xfId="15" applyFont="1" applyFill="1" applyBorder="1" applyAlignment="1" applyProtection="1">
      <alignment horizontal="center" vertical="center" wrapText="1"/>
      <protection hidden="1"/>
    </xf>
    <xf numFmtId="0" fontId="1" fillId="3" borderId="15" xfId="15" applyFont="1" applyFill="1" applyBorder="1" applyAlignment="1" applyProtection="1">
      <alignment horizontal="center" vertical="center" wrapText="1"/>
      <protection hidden="1"/>
    </xf>
    <xf numFmtId="0" fontId="1" fillId="6" borderId="42" xfId="15" applyFont="1" applyFill="1" applyBorder="1" applyAlignment="1" applyProtection="1">
      <alignment horizontal="center" vertical="center" wrapText="1"/>
      <protection hidden="1"/>
    </xf>
    <xf numFmtId="0" fontId="1" fillId="6" borderId="47" xfId="15" applyFont="1" applyFill="1" applyBorder="1" applyAlignment="1" applyProtection="1">
      <alignment horizontal="center" vertical="center" wrapText="1"/>
      <protection hidden="1"/>
    </xf>
    <xf numFmtId="0" fontId="1" fillId="6" borderId="50" xfId="15" applyFont="1" applyFill="1" applyBorder="1" applyAlignment="1" applyProtection="1">
      <alignment horizontal="center" vertical="center" wrapText="1"/>
      <protection hidden="1"/>
    </xf>
    <xf numFmtId="0" fontId="1" fillId="6" borderId="22" xfId="15" applyFont="1" applyFill="1" applyBorder="1" applyAlignment="1" applyProtection="1">
      <alignment horizontal="center" vertical="center" wrapText="1"/>
      <protection hidden="1"/>
    </xf>
    <xf numFmtId="0" fontId="1" fillId="10" borderId="46" xfId="15" applyFont="1" applyFill="1" applyBorder="1" applyAlignment="1" applyProtection="1">
      <alignment horizontal="center" vertical="center" wrapText="1"/>
      <protection hidden="1"/>
    </xf>
    <xf numFmtId="0" fontId="1" fillId="10" borderId="55" xfId="15" applyFont="1" applyFill="1" applyBorder="1" applyAlignment="1" applyProtection="1">
      <alignment horizontal="center" vertical="center" wrapText="1"/>
      <protection hidden="1"/>
    </xf>
    <xf numFmtId="0" fontId="1" fillId="10" borderId="62" xfId="15" applyFont="1" applyFill="1" applyBorder="1" applyAlignment="1" applyProtection="1">
      <alignment horizontal="center" vertical="center" wrapText="1"/>
      <protection hidden="1"/>
    </xf>
    <xf numFmtId="0" fontId="1" fillId="10" borderId="51" xfId="15" applyFont="1" applyFill="1" applyBorder="1" applyAlignment="1" applyProtection="1">
      <alignment horizontal="center" vertical="center" wrapText="1"/>
      <protection hidden="1"/>
    </xf>
    <xf numFmtId="0" fontId="1" fillId="3" borderId="1" xfId="15" applyFont="1" applyFill="1" applyBorder="1" applyAlignment="1" applyProtection="1">
      <alignment horizontal="center" vertical="center"/>
      <protection hidden="1"/>
    </xf>
    <xf numFmtId="0" fontId="1" fillId="3" borderId="2" xfId="15" applyFont="1" applyFill="1" applyBorder="1" applyAlignment="1" applyProtection="1">
      <alignment horizontal="center" vertical="center"/>
      <protection hidden="1"/>
    </xf>
    <xf numFmtId="0" fontId="1" fillId="3" borderId="3" xfId="15" applyFont="1" applyFill="1" applyBorder="1" applyAlignment="1" applyProtection="1">
      <alignment horizontal="center" vertical="center"/>
      <protection hidden="1"/>
    </xf>
    <xf numFmtId="0" fontId="1" fillId="3" borderId="18" xfId="15" applyFont="1" applyFill="1" applyBorder="1" applyAlignment="1" applyProtection="1">
      <alignment horizontal="center" vertical="center"/>
      <protection hidden="1"/>
    </xf>
    <xf numFmtId="0" fontId="1" fillId="3" borderId="19" xfId="15" applyFont="1" applyFill="1" applyBorder="1" applyAlignment="1" applyProtection="1">
      <alignment horizontal="center" vertical="center"/>
      <protection hidden="1"/>
    </xf>
    <xf numFmtId="0" fontId="1" fillId="3" borderId="20" xfId="15" applyFont="1" applyFill="1" applyBorder="1" applyAlignment="1" applyProtection="1">
      <alignment horizontal="center" vertical="center"/>
      <protection hidden="1"/>
    </xf>
    <xf numFmtId="0" fontId="15" fillId="3" borderId="28" xfId="15" applyFont="1" applyFill="1" applyBorder="1" applyAlignment="1" applyProtection="1">
      <alignment horizontal="center" vertical="center" wrapText="1"/>
      <protection hidden="1"/>
    </xf>
    <xf numFmtId="0" fontId="15" fillId="3" borderId="29" xfId="15" applyFont="1" applyFill="1" applyBorder="1" applyAlignment="1" applyProtection="1">
      <alignment horizontal="center" vertical="center" wrapText="1"/>
      <protection hidden="1"/>
    </xf>
    <xf numFmtId="0" fontId="15" fillId="3" borderId="70" xfId="15" applyFont="1" applyFill="1" applyBorder="1" applyAlignment="1" applyProtection="1">
      <alignment horizontal="center" vertical="center" wrapText="1"/>
      <protection hidden="1"/>
    </xf>
    <xf numFmtId="0" fontId="14" fillId="3" borderId="66" xfId="15" applyFont="1" applyFill="1" applyBorder="1" applyAlignment="1" applyProtection="1">
      <alignment horizontal="left" vertical="center" indent="1"/>
      <protection hidden="1"/>
    </xf>
    <xf numFmtId="0" fontId="14" fillId="3" borderId="14" xfId="15" applyFont="1" applyFill="1" applyBorder="1" applyAlignment="1" applyProtection="1">
      <alignment horizontal="left" vertical="center" indent="1"/>
      <protection hidden="1"/>
    </xf>
    <xf numFmtId="0" fontId="14" fillId="3" borderId="15" xfId="15" applyFont="1" applyFill="1" applyBorder="1" applyAlignment="1" applyProtection="1">
      <alignment horizontal="left" vertical="center" indent="1"/>
      <protection hidden="1"/>
    </xf>
    <xf numFmtId="0" fontId="11" fillId="2" borderId="13" xfId="0" applyFont="1" applyFill="1" applyBorder="1" applyAlignment="1" applyProtection="1">
      <alignment horizontal="left" vertical="center" indent="1"/>
      <protection hidden="1"/>
    </xf>
    <xf numFmtId="0" fontId="11" fillId="2" borderId="62" xfId="0" applyFont="1" applyFill="1" applyBorder="1" applyAlignment="1" applyProtection="1">
      <alignment horizontal="left" vertical="center" indent="1"/>
      <protection hidden="1"/>
    </xf>
    <xf numFmtId="0" fontId="11" fillId="2" borderId="51" xfId="0" applyFont="1" applyFill="1" applyBorder="1" applyAlignment="1" applyProtection="1">
      <alignment horizontal="left" vertical="center" indent="1"/>
      <protection hidden="1"/>
    </xf>
    <xf numFmtId="0" fontId="11" fillId="2" borderId="71" xfId="0" applyFont="1" applyFill="1" applyBorder="1" applyAlignment="1" applyProtection="1">
      <alignment horizontal="left" vertical="center" indent="1"/>
      <protection hidden="1"/>
    </xf>
    <xf numFmtId="0" fontId="11" fillId="2" borderId="61" xfId="0" applyFont="1" applyFill="1" applyBorder="1" applyAlignment="1" applyProtection="1">
      <alignment horizontal="left" vertical="center" indent="1"/>
      <protection hidden="1"/>
    </xf>
    <xf numFmtId="0" fontId="11" fillId="2" borderId="52" xfId="0" applyFont="1" applyFill="1" applyBorder="1" applyAlignment="1" applyProtection="1">
      <alignment horizontal="left" vertical="center" indent="1"/>
      <protection hidden="1"/>
    </xf>
    <xf numFmtId="0" fontId="11" fillId="2" borderId="71" xfId="0" applyNumberFormat="1" applyFont="1" applyFill="1" applyBorder="1" applyAlignment="1" applyProtection="1">
      <alignment horizontal="left" vertical="center" indent="1"/>
      <protection hidden="1"/>
    </xf>
    <xf numFmtId="0" fontId="11" fillId="2" borderId="61" xfId="0" applyNumberFormat="1" applyFont="1" applyFill="1" applyBorder="1" applyAlignment="1" applyProtection="1">
      <alignment horizontal="left" vertical="center" indent="1"/>
      <protection hidden="1"/>
    </xf>
    <xf numFmtId="0" fontId="11" fillId="2" borderId="52" xfId="0" applyNumberFormat="1" applyFont="1" applyFill="1" applyBorder="1" applyAlignment="1" applyProtection="1">
      <alignment horizontal="left" vertical="center" indent="1"/>
      <protection hidden="1"/>
    </xf>
    <xf numFmtId="0" fontId="11" fillId="2" borderId="59" xfId="0" applyNumberFormat="1" applyFont="1" applyFill="1" applyBorder="1" applyAlignment="1" applyProtection="1">
      <alignment horizontal="left" vertical="center" indent="1"/>
      <protection hidden="1"/>
    </xf>
    <xf numFmtId="0" fontId="11" fillId="2" borderId="63" xfId="0" applyNumberFormat="1" applyFont="1" applyFill="1" applyBorder="1" applyAlignment="1" applyProtection="1">
      <alignment horizontal="left" vertical="center" indent="1"/>
      <protection hidden="1"/>
    </xf>
    <xf numFmtId="0" fontId="11" fillId="2" borderId="53" xfId="0" applyNumberFormat="1" applyFont="1" applyFill="1" applyBorder="1" applyAlignment="1" applyProtection="1">
      <alignment horizontal="left" vertical="center" indent="1"/>
      <protection hidden="1"/>
    </xf>
    <xf numFmtId="164" fontId="2" fillId="0" borderId="58" xfId="0" applyNumberFormat="1" applyFont="1" applyFill="1" applyBorder="1" applyAlignment="1" applyProtection="1">
      <alignment horizontal="center" vertical="center"/>
      <protection locked="0"/>
    </xf>
    <xf numFmtId="164" fontId="2" fillId="3" borderId="56" xfId="0" applyNumberFormat="1" applyFont="1" applyFill="1" applyBorder="1" applyAlignment="1" applyProtection="1">
      <alignment horizontal="center" vertical="center"/>
      <protection locked="0"/>
    </xf>
    <xf numFmtId="164" fontId="2" fillId="0" borderId="56" xfId="0" applyNumberFormat="1" applyFont="1" applyFill="1" applyBorder="1" applyAlignment="1" applyProtection="1">
      <alignment horizontal="center" vertical="center"/>
      <protection locked="0"/>
    </xf>
    <xf numFmtId="164" fontId="2" fillId="3" borderId="57" xfId="0" applyNumberFormat="1" applyFont="1" applyFill="1" applyBorder="1" applyAlignment="1" applyProtection="1">
      <alignment horizontal="center" vertical="center"/>
      <protection locked="0"/>
    </xf>
    <xf numFmtId="0" fontId="2" fillId="2" borderId="44" xfId="0" applyFont="1" applyFill="1" applyBorder="1" applyAlignment="1" applyProtection="1">
      <alignment horizontal="left" vertical="center"/>
      <protection locked="0"/>
    </xf>
    <xf numFmtId="0" fontId="2" fillId="2" borderId="45" xfId="0" applyFont="1" applyFill="1" applyBorder="1" applyAlignment="1" applyProtection="1">
      <alignment horizontal="left" vertical="center"/>
      <protection locked="0"/>
    </xf>
    <xf numFmtId="0" fontId="2" fillId="0" borderId="45" xfId="0" applyFont="1" applyFill="1" applyBorder="1" applyAlignment="1" applyProtection="1">
      <alignment horizontal="center" vertical="center"/>
      <protection locked="0"/>
    </xf>
    <xf numFmtId="174" fontId="2" fillId="0" borderId="45" xfId="0" applyNumberFormat="1" applyFont="1" applyFill="1" applyBorder="1" applyAlignment="1" applyProtection="1">
      <alignment horizontal="center" vertical="center"/>
      <protection locked="0"/>
    </xf>
    <xf numFmtId="0" fontId="2" fillId="0" borderId="45" xfId="0" applyNumberFormat="1" applyFont="1" applyFill="1" applyBorder="1" applyAlignment="1" applyProtection="1">
      <alignment horizontal="center" vertical="center"/>
      <protection locked="0"/>
    </xf>
    <xf numFmtId="0" fontId="2" fillId="0" borderId="51" xfId="0" applyFont="1" applyFill="1" applyBorder="1" applyAlignment="1" applyProtection="1">
      <alignment horizontal="center" vertical="center"/>
      <protection locked="0"/>
    </xf>
    <xf numFmtId="0" fontId="2" fillId="3" borderId="52" xfId="0" applyFont="1" applyFill="1" applyBorder="1" applyAlignment="1" applyProtection="1">
      <alignment horizontal="center" vertical="center"/>
      <protection locked="0"/>
    </xf>
    <xf numFmtId="0" fontId="2" fillId="0" borderId="52" xfId="0" applyFont="1" applyFill="1" applyBorder="1" applyAlignment="1" applyProtection="1">
      <alignment horizontal="center" vertical="center"/>
      <protection locked="0"/>
    </xf>
    <xf numFmtId="0" fontId="2" fillId="3" borderId="53" xfId="0" applyFont="1" applyFill="1" applyBorder="1" applyAlignment="1" applyProtection="1">
      <alignment horizontal="center" vertical="center"/>
      <protection locked="0"/>
    </xf>
    <xf numFmtId="0" fontId="3" fillId="5" borderId="56" xfId="0" applyNumberFormat="1" applyFont="1" applyFill="1" applyBorder="1" applyAlignment="1" applyProtection="1">
      <alignment horizontal="center" vertical="center" wrapText="1"/>
      <protection hidden="1"/>
    </xf>
    <xf numFmtId="0" fontId="3" fillId="5" borderId="57" xfId="0" applyNumberFormat="1" applyFont="1" applyFill="1" applyBorder="1" applyAlignment="1" applyProtection="1">
      <alignment horizontal="center" vertical="center" wrapText="1"/>
      <protection hidden="1"/>
    </xf>
    <xf numFmtId="0" fontId="10" fillId="5" borderId="62" xfId="0" applyNumberFormat="1" applyFont="1" applyFill="1" applyBorder="1" applyAlignment="1" applyProtection="1">
      <alignment vertical="top"/>
      <protection hidden="1"/>
    </xf>
    <xf numFmtId="0" fontId="10" fillId="5" borderId="51" xfId="0" applyNumberFormat="1" applyFont="1" applyFill="1" applyBorder="1" applyAlignment="1" applyProtection="1">
      <alignment vertical="top"/>
      <protection hidden="1"/>
    </xf>
  </cellXfs>
  <cellStyles count="86">
    <cellStyle name="Comma" xfId="1" builtinId="3"/>
    <cellStyle name="Comma 2" xfId="2"/>
    <cellStyle name="Comma 2 2" xfId="3"/>
    <cellStyle name="Comma 2 3" xfId="4"/>
    <cellStyle name="Comma 3" xfId="5"/>
    <cellStyle name="Comma 4" xfId="6"/>
    <cellStyle name="Comma 4 2" xfId="30"/>
    <cellStyle name="Comma 4 2 2" xfId="46"/>
    <cellStyle name="Comma 4 2 2 2" xfId="78"/>
    <cellStyle name="Comma 4 2 3" xfId="62"/>
    <cellStyle name="Comma 4 3" xfId="38"/>
    <cellStyle name="Comma 4 3 2" xfId="70"/>
    <cellStyle name="Comma 4 4" xfId="54"/>
    <cellStyle name="Comma 5" xfId="7"/>
    <cellStyle name="Comma 5 2" xfId="31"/>
    <cellStyle name="Comma 5 2 2" xfId="47"/>
    <cellStyle name="Comma 5 2 2 2" xfId="79"/>
    <cellStyle name="Comma 5 2 3" xfId="63"/>
    <cellStyle name="Comma 5 3" xfId="39"/>
    <cellStyle name="Comma 5 3 2" xfId="71"/>
    <cellStyle name="Comma 5 4" xfId="55"/>
    <cellStyle name="Comma 6" xfId="29"/>
    <cellStyle name="Comma 6 2" xfId="45"/>
    <cellStyle name="Comma 6 2 2" xfId="77"/>
    <cellStyle name="Comma 6 3" xfId="61"/>
    <cellStyle name="Comma 7" xfId="37"/>
    <cellStyle name="Comma 7 2" xfId="69"/>
    <cellStyle name="Comma 8" xfId="53"/>
    <cellStyle name="Currency 2" xfId="8"/>
    <cellStyle name="Currency 3" xfId="9"/>
    <cellStyle name="Currency 4" xfId="10"/>
    <cellStyle name="Hyperlink 2" xfId="11"/>
    <cellStyle name="Hyperlink 3" xfId="12"/>
    <cellStyle name="no dec" xfId="13"/>
    <cellStyle name="Normal" xfId="0" builtinId="0"/>
    <cellStyle name="Normal 10" xfId="52"/>
    <cellStyle name="Normal 11" xfId="84"/>
    <cellStyle name="Normal 2" xfId="14"/>
    <cellStyle name="Normal 2 2" xfId="15"/>
    <cellStyle name="Normal 3" xfId="16"/>
    <cellStyle name="Normal 4" xfId="17"/>
    <cellStyle name="Normal 5" xfId="18"/>
    <cellStyle name="Normal 6" xfId="19"/>
    <cellStyle name="Normal 6 2" xfId="32"/>
    <cellStyle name="Normal 6 2 2" xfId="48"/>
    <cellStyle name="Normal 6 2 2 2" xfId="80"/>
    <cellStyle name="Normal 6 2 3" xfId="64"/>
    <cellStyle name="Normal 6 3" xfId="40"/>
    <cellStyle name="Normal 6 3 2" xfId="72"/>
    <cellStyle name="Normal 6 4" xfId="56"/>
    <cellStyle name="Normal 7" xfId="20"/>
    <cellStyle name="Normal 7 2" xfId="21"/>
    <cellStyle name="Normal 8" xfId="28"/>
    <cellStyle name="Normal 8 2" xfId="44"/>
    <cellStyle name="Normal 8 2 2" xfId="76"/>
    <cellStyle name="Normal 8 3" xfId="60"/>
    <cellStyle name="Normal 9" xfId="36"/>
    <cellStyle name="Normal 9 2" xfId="68"/>
    <cellStyle name="Normal_calclight_3121" xfId="22"/>
    <cellStyle name="Normal_HelperApplication_ResSOP_TNMP_2007_kjh" xfId="85"/>
    <cellStyle name="Percent" xfId="23" builtinId="5"/>
    <cellStyle name="Percent 2" xfId="24"/>
    <cellStyle name="Percent 3" xfId="25"/>
    <cellStyle name="Percent 3 2" xfId="34"/>
    <cellStyle name="Percent 3 2 2" xfId="50"/>
    <cellStyle name="Percent 3 2 2 2" xfId="82"/>
    <cellStyle name="Percent 3 2 3" xfId="66"/>
    <cellStyle name="Percent 3 3" xfId="42"/>
    <cellStyle name="Percent 3 3 2" xfId="74"/>
    <cellStyle name="Percent 3 4" xfId="58"/>
    <cellStyle name="Percent 4" xfId="26"/>
    <cellStyle name="Percent 5" xfId="27"/>
    <cellStyle name="Percent 5 2" xfId="35"/>
    <cellStyle name="Percent 5 2 2" xfId="51"/>
    <cellStyle name="Percent 5 2 2 2" xfId="83"/>
    <cellStyle name="Percent 5 2 3" xfId="67"/>
    <cellStyle name="Percent 5 3" xfId="43"/>
    <cellStyle name="Percent 5 3 2" xfId="75"/>
    <cellStyle name="Percent 5 4" xfId="59"/>
    <cellStyle name="Percent 6" xfId="33"/>
    <cellStyle name="Percent 6 2" xfId="49"/>
    <cellStyle name="Percent 6 2 2" xfId="81"/>
    <cellStyle name="Percent 6 3" xfId="65"/>
    <cellStyle name="Percent 7" xfId="41"/>
    <cellStyle name="Percent 7 2" xfId="73"/>
    <cellStyle name="Percent 8" xfId="57"/>
  </cellStyles>
  <dxfs count="20">
    <dxf>
      <font>
        <strike val="0"/>
      </font>
      <fill>
        <patternFill>
          <bgColor theme="0" tint="-0.499984740745262"/>
        </patternFill>
      </fill>
    </dxf>
    <dxf>
      <fill>
        <patternFill>
          <bgColor theme="0" tint="-0.499984740745262"/>
        </patternFill>
      </fill>
    </dxf>
    <dxf>
      <fill>
        <patternFill>
          <bgColor theme="0" tint="-0.499984740745262"/>
        </patternFill>
      </fill>
    </dxf>
    <dxf>
      <font>
        <b/>
        <i val="0"/>
        <color rgb="FFFF0000"/>
      </font>
    </dxf>
    <dxf>
      <fill>
        <patternFill>
          <bgColor theme="0" tint="-0.499984740745262"/>
        </patternFill>
      </fill>
    </dxf>
    <dxf>
      <font>
        <strike val="0"/>
        <color auto="1"/>
      </font>
      <fill>
        <patternFill>
          <bgColor theme="0" tint="-0.499984740745262"/>
        </patternFill>
      </fill>
    </dxf>
    <dxf>
      <fill>
        <patternFill>
          <bgColor theme="0" tint="-0.499984740745262"/>
        </patternFill>
      </fill>
    </dxf>
    <dxf>
      <fill>
        <patternFill>
          <bgColor theme="0" tint="-0.499984740745262"/>
        </patternFill>
      </fill>
    </dxf>
    <dxf>
      <font>
        <b/>
        <i val="0"/>
        <color rgb="FFFF0000"/>
      </font>
    </dxf>
    <dxf>
      <font>
        <strike val="0"/>
      </font>
      <fill>
        <patternFill>
          <bgColor theme="0" tint="-0.499984740745262"/>
        </patternFill>
      </fill>
    </dxf>
    <dxf>
      <font>
        <strike val="0"/>
      </font>
      <fill>
        <patternFill>
          <bgColor theme="0" tint="-0.499984740745262"/>
        </patternFill>
      </fill>
    </dxf>
    <dxf>
      <font>
        <strike val="0"/>
      </font>
      <fill>
        <patternFill>
          <bgColor theme="0" tint="-0.499984740745262"/>
        </patternFill>
      </fill>
    </dxf>
    <dxf>
      <font>
        <strike val="0"/>
      </font>
      <fill>
        <patternFill>
          <bgColor theme="0" tint="-0.499984740745262"/>
        </patternFill>
      </fill>
    </dxf>
    <dxf>
      <fill>
        <patternFill>
          <bgColor theme="0" tint="-0.499984740745262"/>
        </patternFill>
      </fill>
    </dxf>
    <dxf>
      <font>
        <strike val="0"/>
      </font>
      <fill>
        <patternFill>
          <bgColor theme="0" tint="-0.499984740745262"/>
        </patternFill>
      </fill>
    </dxf>
    <dxf>
      <font>
        <strike val="0"/>
        <color auto="1"/>
      </font>
      <fill>
        <patternFill>
          <bgColor theme="0" tint="-0.499984740745262"/>
        </patternFill>
      </fill>
    </dxf>
    <dxf>
      <font>
        <strike val="0"/>
        <color theme="0"/>
        <name val="Cambria"/>
        <scheme val="none"/>
      </font>
      <fill>
        <patternFill>
          <bgColor theme="0"/>
        </patternFill>
      </fill>
      <border>
        <left/>
        <right/>
        <top/>
        <bottom/>
      </border>
    </dxf>
    <dxf>
      <font>
        <strike val="0"/>
        <color theme="0"/>
      </font>
      <fill>
        <patternFill>
          <bgColor theme="0"/>
        </patternFill>
      </fill>
      <border>
        <left/>
        <right/>
        <top/>
        <bottom/>
      </border>
    </dxf>
    <dxf>
      <font>
        <strike val="0"/>
        <color theme="0"/>
      </font>
      <fill>
        <patternFill>
          <bgColor theme="0"/>
        </patternFill>
      </fill>
      <border>
        <left/>
        <right/>
        <top/>
        <bottom/>
      </border>
    </dxf>
    <dxf>
      <font>
        <strike val="0"/>
        <color theme="0"/>
        <name val="Cambria"/>
        <scheme val="none"/>
      </font>
      <fill>
        <patternFill>
          <bgColor theme="0"/>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26</xdr:row>
          <xdr:rowOff>104775</xdr:rowOff>
        </xdr:from>
        <xdr:to>
          <xdr:col>6</xdr:col>
          <xdr:colOff>381000</xdr:colOff>
          <xdr:row>29</xdr:row>
          <xdr:rowOff>0</xdr:rowOff>
        </xdr:to>
        <xdr:sp macro="" textlink="">
          <xdr:nvSpPr>
            <xdr:cNvPr id="14337" name="Button 1" hidden="1">
              <a:extLst>
                <a:ext uri="{63B3BB69-23CF-44E3-9099-C40C66FF867C}">
                  <a14:compatExt spid="_x0000_s14337"/>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none" strike="noStrike" baseline="0">
                  <a:solidFill>
                    <a:srgbClr val="000000"/>
                  </a:solidFill>
                  <a:latin typeface="Times New Roman"/>
                  <a:cs typeface="Times New Roman"/>
                </a:rPr>
                <a:t>Accept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238125</xdr:colOff>
          <xdr:row>26</xdr:row>
          <xdr:rowOff>104775</xdr:rowOff>
        </xdr:from>
        <xdr:to>
          <xdr:col>13</xdr:col>
          <xdr:colOff>9525</xdr:colOff>
          <xdr:row>29</xdr:row>
          <xdr:rowOff>0</xdr:rowOff>
        </xdr:to>
        <xdr:sp macro="" textlink="">
          <xdr:nvSpPr>
            <xdr:cNvPr id="14338" name="Button 2" hidden="1">
              <a:extLst>
                <a:ext uri="{63B3BB69-23CF-44E3-9099-C40C66FF867C}">
                  <a14:compatExt spid="_x0000_s14338"/>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none" strike="noStrike" baseline="0">
                  <a:solidFill>
                    <a:srgbClr val="000000"/>
                  </a:solidFill>
                  <a:latin typeface="Times New Roman"/>
                  <a:cs typeface="Times New Roman"/>
                </a:rPr>
                <a:t>Decline</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11</xdr:col>
      <xdr:colOff>11908</xdr:colOff>
      <xdr:row>3</xdr:row>
      <xdr:rowOff>33337</xdr:rowOff>
    </xdr:to>
    <xdr:pic>
      <xdr:nvPicPr>
        <xdr:cNvPr id="2" name="Picture 1"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10400" y="123825"/>
          <a:ext cx="1193008" cy="785812"/>
        </a:xfrm>
        <a:prstGeom prst="rect">
          <a:avLst/>
        </a:prstGeom>
        <a:ln>
          <a:solidFill>
            <a:sysClr val="windowText" lastClr="000000"/>
          </a:solidFill>
        </a:ln>
      </xdr:spPr>
    </xdr:pic>
    <xdr:clientData/>
  </xdr:twoCellAnchor>
  <xdr:twoCellAnchor editAs="oneCell">
    <xdr:from>
      <xdr:col>10</xdr:col>
      <xdr:colOff>9525</xdr:colOff>
      <xdr:row>1</xdr:row>
      <xdr:rowOff>4762</xdr:rowOff>
    </xdr:from>
    <xdr:to>
      <xdr:col>11</xdr:col>
      <xdr:colOff>21432</xdr:colOff>
      <xdr:row>3</xdr:row>
      <xdr:rowOff>42862</xdr:rowOff>
    </xdr:to>
    <xdr:pic>
      <xdr:nvPicPr>
        <xdr:cNvPr id="3" name="Picture 2"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10400" y="123825"/>
          <a:ext cx="1190626" cy="788193"/>
        </a:xfrm>
        <a:prstGeom prst="rect">
          <a:avLst/>
        </a:prstGeom>
        <a:ln>
          <a:solidFill>
            <a:sysClr val="windowText" lastClr="000000"/>
          </a:solidFill>
        </a:ln>
      </xdr:spPr>
    </xdr:pic>
    <xdr:clientData/>
  </xdr:twoCellAnchor>
  <xdr:twoCellAnchor editAs="oneCell">
    <xdr:from>
      <xdr:col>1</xdr:col>
      <xdr:colOff>2381</xdr:colOff>
      <xdr:row>1</xdr:row>
      <xdr:rowOff>4762</xdr:rowOff>
    </xdr:from>
    <xdr:to>
      <xdr:col>2</xdr:col>
      <xdr:colOff>607597</xdr:colOff>
      <xdr:row>3</xdr:row>
      <xdr:rowOff>242887</xdr:rowOff>
    </xdr:to>
    <xdr:pic>
      <xdr:nvPicPr>
        <xdr:cNvPr id="4" name="Picture 3" hidden="1"/>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43" t="1902" r="2143" b="2566"/>
        <a:stretch/>
      </xdr:blipFill>
      <xdr:spPr>
        <a:xfrm>
          <a:off x="180975" y="123825"/>
          <a:ext cx="1319591" cy="988218"/>
        </a:xfrm>
        <a:prstGeom prst="rect">
          <a:avLst/>
        </a:prstGeom>
        <a:ln>
          <a:noFill/>
        </a:ln>
      </xdr:spPr>
    </xdr:pic>
    <xdr:clientData/>
  </xdr:twoCellAnchor>
  <xdr:twoCellAnchor editAs="oneCell">
    <xdr:from>
      <xdr:col>1</xdr:col>
      <xdr:colOff>0</xdr:colOff>
      <xdr:row>1</xdr:row>
      <xdr:rowOff>0</xdr:rowOff>
    </xdr:from>
    <xdr:to>
      <xdr:col>3</xdr:col>
      <xdr:colOff>330704</xdr:colOff>
      <xdr:row>4</xdr:row>
      <xdr:rowOff>23811</xdr:rowOff>
    </xdr:to>
    <xdr:pic>
      <xdr:nvPicPr>
        <xdr:cNvPr id="5" name="Picture 4"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0975" y="123825"/>
          <a:ext cx="1759454" cy="1023936"/>
        </a:xfrm>
        <a:prstGeom prst="rect">
          <a:avLst/>
        </a:prstGeom>
      </xdr:spPr>
    </xdr:pic>
    <xdr:clientData/>
  </xdr:twoCellAnchor>
  <xdr:twoCellAnchor editAs="oneCell">
    <xdr:from>
      <xdr:col>1</xdr:col>
      <xdr:colOff>0</xdr:colOff>
      <xdr:row>1</xdr:row>
      <xdr:rowOff>0</xdr:rowOff>
    </xdr:from>
    <xdr:to>
      <xdr:col>2</xdr:col>
      <xdr:colOff>464967</xdr:colOff>
      <xdr:row>3</xdr:row>
      <xdr:rowOff>245267</xdr:rowOff>
    </xdr:to>
    <xdr:pic>
      <xdr:nvPicPr>
        <xdr:cNvPr id="6" name="Picture 5"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0975" y="123825"/>
          <a:ext cx="1179342" cy="997742"/>
        </a:xfrm>
        <a:prstGeom prst="rect">
          <a:avLst/>
        </a:prstGeom>
      </xdr:spPr>
    </xdr:pic>
    <xdr:clientData/>
  </xdr:twoCellAnchor>
  <xdr:twoCellAnchor editAs="oneCell">
    <xdr:from>
      <xdr:col>1</xdr:col>
      <xdr:colOff>0</xdr:colOff>
      <xdr:row>1</xdr:row>
      <xdr:rowOff>0</xdr:rowOff>
    </xdr:from>
    <xdr:to>
      <xdr:col>3</xdr:col>
      <xdr:colOff>0</xdr:colOff>
      <xdr:row>2</xdr:row>
      <xdr:rowOff>239477</xdr:rowOff>
    </xdr:to>
    <xdr:pic>
      <xdr:nvPicPr>
        <xdr:cNvPr id="7" name="Picture 6" hidden="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80975" y="123825"/>
          <a:ext cx="1428750" cy="744302"/>
        </a:xfrm>
        <a:prstGeom prst="rect">
          <a:avLst/>
        </a:prstGeom>
      </xdr:spPr>
    </xdr:pic>
    <xdr:clientData/>
  </xdr:twoCellAnchor>
  <xdr:twoCellAnchor editAs="oneCell">
    <xdr:from>
      <xdr:col>1</xdr:col>
      <xdr:colOff>0</xdr:colOff>
      <xdr:row>1</xdr:row>
      <xdr:rowOff>0</xdr:rowOff>
    </xdr:from>
    <xdr:to>
      <xdr:col>2</xdr:col>
      <xdr:colOff>654843</xdr:colOff>
      <xdr:row>4</xdr:row>
      <xdr:rowOff>1923</xdr:rowOff>
    </xdr:to>
    <xdr:pic>
      <xdr:nvPicPr>
        <xdr:cNvPr id="8" name="Picture 7" hidden="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80975" y="123825"/>
          <a:ext cx="1369218" cy="1002048"/>
        </a:xfrm>
        <a:prstGeom prst="rect">
          <a:avLst/>
        </a:prstGeom>
      </xdr:spPr>
    </xdr:pic>
    <xdr:clientData/>
  </xdr:twoCellAnchor>
  <xdr:twoCellAnchor editAs="oneCell">
    <xdr:from>
      <xdr:col>1</xdr:col>
      <xdr:colOff>0</xdr:colOff>
      <xdr:row>1</xdr:row>
      <xdr:rowOff>0</xdr:rowOff>
    </xdr:from>
    <xdr:to>
      <xdr:col>2</xdr:col>
      <xdr:colOff>442348</xdr:colOff>
      <xdr:row>3</xdr:row>
      <xdr:rowOff>247649</xdr:rowOff>
    </xdr:to>
    <xdr:pic>
      <xdr:nvPicPr>
        <xdr:cNvPr id="9" name="Picture 8" hidden="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80975" y="123825"/>
          <a:ext cx="1156723" cy="1000124"/>
        </a:xfrm>
        <a:prstGeom prst="rect">
          <a:avLst/>
        </a:prstGeom>
      </xdr:spPr>
    </xdr:pic>
    <xdr:clientData/>
  </xdr:twoCellAnchor>
  <xdr:twoCellAnchor editAs="oneCell">
    <xdr:from>
      <xdr:col>1</xdr:col>
      <xdr:colOff>0</xdr:colOff>
      <xdr:row>1</xdr:row>
      <xdr:rowOff>0</xdr:rowOff>
    </xdr:from>
    <xdr:to>
      <xdr:col>3</xdr:col>
      <xdr:colOff>363326</xdr:colOff>
      <xdr:row>3</xdr:row>
      <xdr:rowOff>59531</xdr:rowOff>
    </xdr:to>
    <xdr:pic>
      <xdr:nvPicPr>
        <xdr:cNvPr id="10" name="Picture 9" hidden="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0975" y="123825"/>
          <a:ext cx="1792076" cy="812006"/>
        </a:xfrm>
        <a:prstGeom prst="rect">
          <a:avLst/>
        </a:prstGeom>
      </xdr:spPr>
    </xdr:pic>
    <xdr:clientData/>
  </xdr:twoCellAnchor>
  <xdr:twoCellAnchor editAs="oneCell">
    <xdr:from>
      <xdr:col>1</xdr:col>
      <xdr:colOff>0</xdr:colOff>
      <xdr:row>1</xdr:row>
      <xdr:rowOff>0</xdr:rowOff>
    </xdr:from>
    <xdr:to>
      <xdr:col>2</xdr:col>
      <xdr:colOff>607218</xdr:colOff>
      <xdr:row>3</xdr:row>
      <xdr:rowOff>244741</xdr:rowOff>
    </xdr:to>
    <xdr:pic>
      <xdr:nvPicPr>
        <xdr:cNvPr id="11" name="Picture 10"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0975" y="123825"/>
          <a:ext cx="1321593" cy="9972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N1003"/>
  <sheetViews>
    <sheetView tabSelected="1" workbookViewId="0"/>
  </sheetViews>
  <sheetFormatPr defaultRowHeight="11.25" x14ac:dyDescent="0.2"/>
  <cols>
    <col min="1" max="2" width="2.7109375" style="352" customWidth="1"/>
    <col min="3" max="12" width="9.140625" style="352"/>
    <col min="13" max="14" width="2.7109375" style="352" customWidth="1"/>
    <col min="15" max="16384" width="9.140625" style="352"/>
  </cols>
  <sheetData>
    <row r="1" spans="1:14" s="349" customFormat="1" ht="11.25" customHeight="1" x14ac:dyDescent="0.2">
      <c r="A1" s="348"/>
      <c r="B1" s="348" t="s">
        <v>323</v>
      </c>
      <c r="C1" s="348"/>
      <c r="D1" s="348"/>
      <c r="E1" s="348"/>
      <c r="F1" s="348"/>
      <c r="G1" s="348"/>
      <c r="H1" s="348"/>
      <c r="I1" s="348"/>
      <c r="J1" s="348"/>
      <c r="K1" s="348"/>
      <c r="L1" s="348"/>
      <c r="M1" s="348" t="s">
        <v>323</v>
      </c>
      <c r="N1" s="348"/>
    </row>
    <row r="2" spans="1:14" s="349" customFormat="1" ht="5.0999999999999996" customHeight="1" x14ac:dyDescent="0.2">
      <c r="A2" s="348"/>
      <c r="B2" s="350"/>
      <c r="C2" s="354"/>
      <c r="D2" s="354"/>
      <c r="E2" s="354"/>
      <c r="F2" s="354"/>
      <c r="G2" s="354"/>
      <c r="H2" s="354"/>
      <c r="I2" s="354"/>
      <c r="J2" s="354"/>
      <c r="K2" s="354"/>
      <c r="L2" s="354"/>
      <c r="M2" s="350"/>
      <c r="N2" s="348"/>
    </row>
    <row r="3" spans="1:14" s="349" customFormat="1" ht="15.75" x14ac:dyDescent="0.2">
      <c r="A3" s="348"/>
      <c r="B3" s="350"/>
      <c r="C3" s="944" t="s">
        <v>334</v>
      </c>
      <c r="D3" s="944"/>
      <c r="E3" s="944"/>
      <c r="F3" s="944"/>
      <c r="G3" s="944"/>
      <c r="H3" s="944"/>
      <c r="I3" s="944"/>
      <c r="J3" s="944"/>
      <c r="K3" s="944"/>
      <c r="L3" s="944"/>
      <c r="M3" s="350"/>
      <c r="N3" s="348"/>
    </row>
    <row r="4" spans="1:14" s="349" customFormat="1" ht="5.0999999999999996" customHeight="1" x14ac:dyDescent="0.2">
      <c r="A4" s="348"/>
      <c r="B4" s="350"/>
      <c r="C4" s="356"/>
      <c r="D4" s="356"/>
      <c r="E4" s="356"/>
      <c r="F4" s="356"/>
      <c r="G4" s="356"/>
      <c r="H4" s="356"/>
      <c r="I4" s="356"/>
      <c r="J4" s="356"/>
      <c r="K4" s="356"/>
      <c r="L4" s="356"/>
      <c r="M4" s="350"/>
      <c r="N4" s="348"/>
    </row>
    <row r="5" spans="1:14" s="349" customFormat="1" ht="33.75" customHeight="1" x14ac:dyDescent="0.2">
      <c r="A5" s="348"/>
      <c r="B5" s="350"/>
      <c r="C5" s="943" t="s">
        <v>324</v>
      </c>
      <c r="D5" s="943"/>
      <c r="E5" s="943"/>
      <c r="F5" s="943"/>
      <c r="G5" s="943"/>
      <c r="H5" s="943"/>
      <c r="I5" s="943"/>
      <c r="J5" s="943"/>
      <c r="K5" s="943"/>
      <c r="L5" s="943"/>
      <c r="M5" s="350"/>
      <c r="N5" s="348"/>
    </row>
    <row r="6" spans="1:14" s="349" customFormat="1" ht="5.0999999999999996" customHeight="1" x14ac:dyDescent="0.2">
      <c r="A6" s="348"/>
      <c r="B6" s="350"/>
      <c r="C6" s="350"/>
      <c r="D6" s="350"/>
      <c r="E6" s="350"/>
      <c r="F6" s="350"/>
      <c r="G6" s="350"/>
      <c r="H6" s="350"/>
      <c r="I6" s="350"/>
      <c r="J6" s="350"/>
      <c r="K6" s="350"/>
      <c r="L6" s="350"/>
      <c r="M6" s="350"/>
      <c r="N6" s="348"/>
    </row>
    <row r="7" spans="1:14" s="349" customFormat="1" ht="11.25" customHeight="1" x14ac:dyDescent="0.2">
      <c r="A7" s="348"/>
      <c r="B7" s="350"/>
      <c r="C7" s="945" t="s">
        <v>325</v>
      </c>
      <c r="D7" s="945"/>
      <c r="E7" s="945"/>
      <c r="F7" s="945"/>
      <c r="G7" s="945"/>
      <c r="H7" s="945"/>
      <c r="I7" s="945"/>
      <c r="J7" s="945"/>
      <c r="K7" s="945"/>
      <c r="L7" s="945"/>
      <c r="M7" s="350"/>
      <c r="N7" s="348"/>
    </row>
    <row r="8" spans="1:14" s="349" customFormat="1" ht="5.0999999999999996" customHeight="1" x14ac:dyDescent="0.2">
      <c r="A8" s="348"/>
      <c r="B8" s="350"/>
      <c r="C8" s="354"/>
      <c r="D8" s="354"/>
      <c r="E8" s="354"/>
      <c r="F8" s="354"/>
      <c r="G8" s="354"/>
      <c r="H8" s="354"/>
      <c r="I8" s="354"/>
      <c r="J8" s="354"/>
      <c r="K8" s="354"/>
      <c r="L8" s="354"/>
      <c r="M8" s="350"/>
      <c r="N8" s="348"/>
    </row>
    <row r="9" spans="1:14" s="349" customFormat="1" ht="45" customHeight="1" x14ac:dyDescent="0.2">
      <c r="A9" s="348"/>
      <c r="B9" s="350"/>
      <c r="C9" s="943" t="s">
        <v>326</v>
      </c>
      <c r="D9" s="943"/>
      <c r="E9" s="943"/>
      <c r="F9" s="943"/>
      <c r="G9" s="943"/>
      <c r="H9" s="943"/>
      <c r="I9" s="943"/>
      <c r="J9" s="943"/>
      <c r="K9" s="943"/>
      <c r="L9" s="943"/>
      <c r="M9" s="350"/>
      <c r="N9" s="348"/>
    </row>
    <row r="10" spans="1:14" s="349" customFormat="1" ht="5.0999999999999996" customHeight="1" x14ac:dyDescent="0.2">
      <c r="A10" s="348"/>
      <c r="B10" s="350"/>
      <c r="C10" s="350"/>
      <c r="D10" s="350"/>
      <c r="E10" s="350"/>
      <c r="F10" s="350"/>
      <c r="G10" s="350"/>
      <c r="H10" s="350"/>
      <c r="I10" s="350"/>
      <c r="J10" s="350"/>
      <c r="K10" s="350"/>
      <c r="L10" s="350"/>
      <c r="M10" s="350"/>
      <c r="N10" s="348"/>
    </row>
    <row r="11" spans="1:14" s="349" customFormat="1" ht="45" customHeight="1" x14ac:dyDescent="0.2">
      <c r="A11" s="348"/>
      <c r="B11" s="350"/>
      <c r="C11" s="943" t="s">
        <v>327</v>
      </c>
      <c r="D11" s="943"/>
      <c r="E11" s="943"/>
      <c r="F11" s="943"/>
      <c r="G11" s="943"/>
      <c r="H11" s="943"/>
      <c r="I11" s="943"/>
      <c r="J11" s="943"/>
      <c r="K11" s="943"/>
      <c r="L11" s="943"/>
      <c r="M11" s="350"/>
      <c r="N11" s="348"/>
    </row>
    <row r="12" spans="1:14" s="349" customFormat="1" ht="5.0999999999999996" customHeight="1" x14ac:dyDescent="0.2">
      <c r="A12" s="348"/>
      <c r="B12" s="350"/>
      <c r="C12" s="350"/>
      <c r="D12" s="350"/>
      <c r="E12" s="350"/>
      <c r="F12" s="350"/>
      <c r="G12" s="350"/>
      <c r="H12" s="350"/>
      <c r="I12" s="350"/>
      <c r="J12" s="350"/>
      <c r="K12" s="350"/>
      <c r="L12" s="350"/>
      <c r="M12" s="350"/>
      <c r="N12" s="348"/>
    </row>
    <row r="13" spans="1:14" s="349" customFormat="1" ht="11.25" customHeight="1" x14ac:dyDescent="0.2">
      <c r="A13" s="348"/>
      <c r="B13" s="350"/>
      <c r="C13" s="943" t="s">
        <v>328</v>
      </c>
      <c r="D13" s="943"/>
      <c r="E13" s="943"/>
      <c r="F13" s="943"/>
      <c r="G13" s="943"/>
      <c r="H13" s="943"/>
      <c r="I13" s="943"/>
      <c r="J13" s="943"/>
      <c r="K13" s="943"/>
      <c r="L13" s="943"/>
      <c r="M13" s="350"/>
      <c r="N13" s="348"/>
    </row>
    <row r="14" spans="1:14" s="349" customFormat="1" ht="5.0999999999999996" customHeight="1" x14ac:dyDescent="0.2">
      <c r="A14" s="348"/>
      <c r="B14" s="350"/>
      <c r="C14" s="350"/>
      <c r="D14" s="350"/>
      <c r="E14" s="350"/>
      <c r="F14" s="350"/>
      <c r="G14" s="350"/>
      <c r="H14" s="350"/>
      <c r="I14" s="350"/>
      <c r="J14" s="350"/>
      <c r="K14" s="350"/>
      <c r="L14" s="350"/>
      <c r="M14" s="350"/>
      <c r="N14" s="348"/>
    </row>
    <row r="15" spans="1:14" s="349" customFormat="1" ht="56.25" customHeight="1" x14ac:dyDescent="0.2">
      <c r="A15" s="348"/>
      <c r="B15" s="350"/>
      <c r="C15" s="943" t="s">
        <v>329</v>
      </c>
      <c r="D15" s="943"/>
      <c r="E15" s="943"/>
      <c r="F15" s="943"/>
      <c r="G15" s="943"/>
      <c r="H15" s="943"/>
      <c r="I15" s="943"/>
      <c r="J15" s="943"/>
      <c r="K15" s="943"/>
      <c r="L15" s="943"/>
      <c r="M15" s="350"/>
      <c r="N15" s="348"/>
    </row>
    <row r="16" spans="1:14" s="349" customFormat="1" ht="5.0999999999999996" customHeight="1" x14ac:dyDescent="0.2">
      <c r="A16" s="348"/>
      <c r="B16" s="350"/>
      <c r="C16" s="350"/>
      <c r="D16" s="350"/>
      <c r="E16" s="350"/>
      <c r="F16" s="350"/>
      <c r="G16" s="350"/>
      <c r="H16" s="350"/>
      <c r="I16" s="350"/>
      <c r="J16" s="350"/>
      <c r="K16" s="350"/>
      <c r="L16" s="350"/>
      <c r="M16" s="350"/>
      <c r="N16" s="348"/>
    </row>
    <row r="17" spans="1:14" s="349" customFormat="1" ht="56.25" customHeight="1" x14ac:dyDescent="0.2">
      <c r="A17" s="348"/>
      <c r="B17" s="350"/>
      <c r="C17" s="943" t="s">
        <v>330</v>
      </c>
      <c r="D17" s="943"/>
      <c r="E17" s="943"/>
      <c r="F17" s="943"/>
      <c r="G17" s="943"/>
      <c r="H17" s="943"/>
      <c r="I17" s="943"/>
      <c r="J17" s="943"/>
      <c r="K17" s="943"/>
      <c r="L17" s="943"/>
      <c r="M17" s="350"/>
      <c r="N17" s="348"/>
    </row>
    <row r="18" spans="1:14" s="349" customFormat="1" ht="5.0999999999999996" customHeight="1" x14ac:dyDescent="0.2">
      <c r="A18" s="348"/>
      <c r="B18" s="350"/>
      <c r="C18" s="350"/>
      <c r="D18" s="350"/>
      <c r="E18" s="350"/>
      <c r="F18" s="350"/>
      <c r="G18" s="350"/>
      <c r="H18" s="350"/>
      <c r="I18" s="350"/>
      <c r="J18" s="350"/>
      <c r="K18" s="350"/>
      <c r="L18" s="350"/>
      <c r="M18" s="350"/>
      <c r="N18" s="348"/>
    </row>
    <row r="19" spans="1:14" s="349" customFormat="1" ht="45" customHeight="1" x14ac:dyDescent="0.2">
      <c r="A19" s="348"/>
      <c r="B19" s="350"/>
      <c r="C19" s="943" t="s">
        <v>331</v>
      </c>
      <c r="D19" s="943"/>
      <c r="E19" s="943"/>
      <c r="F19" s="943"/>
      <c r="G19" s="943"/>
      <c r="H19" s="943"/>
      <c r="I19" s="943"/>
      <c r="J19" s="943"/>
      <c r="K19" s="943"/>
      <c r="L19" s="943"/>
      <c r="M19" s="350"/>
      <c r="N19" s="348"/>
    </row>
    <row r="20" spans="1:14" s="349" customFormat="1" ht="5.0999999999999996" customHeight="1" x14ac:dyDescent="0.2">
      <c r="A20" s="348"/>
      <c r="B20" s="350"/>
      <c r="C20" s="350"/>
      <c r="D20" s="350"/>
      <c r="E20" s="350"/>
      <c r="F20" s="350"/>
      <c r="G20" s="350"/>
      <c r="H20" s="350"/>
      <c r="I20" s="350"/>
      <c r="J20" s="350"/>
      <c r="K20" s="350"/>
      <c r="L20" s="350"/>
      <c r="M20" s="350"/>
      <c r="N20" s="348"/>
    </row>
    <row r="21" spans="1:14" s="349" customFormat="1" ht="90" customHeight="1" x14ac:dyDescent="0.2">
      <c r="A21" s="351"/>
      <c r="B21" s="350"/>
      <c r="C21" s="943" t="s">
        <v>332</v>
      </c>
      <c r="D21" s="943"/>
      <c r="E21" s="943"/>
      <c r="F21" s="943"/>
      <c r="G21" s="943"/>
      <c r="H21" s="943"/>
      <c r="I21" s="943"/>
      <c r="J21" s="943"/>
      <c r="K21" s="943"/>
      <c r="L21" s="943"/>
      <c r="M21" s="350"/>
      <c r="N21" s="348"/>
    </row>
    <row r="22" spans="1:14" s="349" customFormat="1" ht="5.0999999999999996" customHeight="1" x14ac:dyDescent="0.2">
      <c r="A22" s="348"/>
      <c r="B22" s="350"/>
      <c r="C22" s="350"/>
      <c r="D22" s="350"/>
      <c r="E22" s="350"/>
      <c r="F22" s="350"/>
      <c r="G22" s="350"/>
      <c r="H22" s="350"/>
      <c r="I22" s="350"/>
      <c r="J22" s="350"/>
      <c r="K22" s="350"/>
      <c r="L22" s="350"/>
      <c r="M22" s="350"/>
      <c r="N22" s="348"/>
    </row>
    <row r="23" spans="1:14" s="349" customFormat="1" ht="11.25" customHeight="1" x14ac:dyDescent="0.2">
      <c r="A23" s="348"/>
      <c r="B23" s="350"/>
      <c r="C23" s="943" t="s">
        <v>333</v>
      </c>
      <c r="D23" s="943"/>
      <c r="E23" s="943"/>
      <c r="F23" s="943"/>
      <c r="G23" s="943"/>
      <c r="H23" s="943"/>
      <c r="I23" s="943"/>
      <c r="J23" s="943"/>
      <c r="K23" s="943"/>
      <c r="L23" s="943"/>
      <c r="M23" s="350"/>
      <c r="N23" s="348"/>
    </row>
    <row r="24" spans="1:14" s="349" customFormat="1" ht="5.0999999999999996" customHeight="1" x14ac:dyDescent="0.2">
      <c r="A24" s="348"/>
      <c r="B24" s="350"/>
      <c r="C24" s="355"/>
      <c r="D24" s="355"/>
      <c r="E24" s="355"/>
      <c r="F24" s="355"/>
      <c r="G24" s="355"/>
      <c r="H24" s="355"/>
      <c r="I24" s="355"/>
      <c r="J24" s="355"/>
      <c r="K24" s="355"/>
      <c r="L24" s="355"/>
      <c r="M24" s="350"/>
      <c r="N24" s="348"/>
    </row>
    <row r="25" spans="1:14" s="349" customFormat="1" ht="11.25" customHeight="1" x14ac:dyDescent="0.2">
      <c r="A25" s="348"/>
      <c r="B25" s="350"/>
      <c r="C25" s="943" t="s">
        <v>576</v>
      </c>
      <c r="D25" s="943"/>
      <c r="E25" s="943"/>
      <c r="F25" s="943"/>
      <c r="G25" s="943"/>
      <c r="H25" s="943"/>
      <c r="I25" s="943"/>
      <c r="J25" s="943"/>
      <c r="K25" s="943"/>
      <c r="L25" s="943"/>
      <c r="M25" s="350"/>
      <c r="N25" s="348"/>
    </row>
    <row r="26" spans="1:14" s="349" customFormat="1" ht="5.0999999999999996" customHeight="1" x14ac:dyDescent="0.2">
      <c r="A26" s="348"/>
      <c r="B26" s="350"/>
      <c r="C26" s="350"/>
      <c r="D26" s="350"/>
      <c r="E26" s="350"/>
      <c r="F26" s="350"/>
      <c r="G26" s="350"/>
      <c r="H26" s="350"/>
      <c r="I26" s="350"/>
      <c r="J26" s="350"/>
      <c r="K26" s="350"/>
      <c r="L26" s="350"/>
      <c r="M26" s="350"/>
      <c r="N26" s="348"/>
    </row>
    <row r="27" spans="1:14" s="349" customFormat="1" ht="11.25" customHeight="1" x14ac:dyDescent="0.2">
      <c r="A27" s="348"/>
      <c r="B27" s="348"/>
      <c r="C27" s="348"/>
      <c r="D27" s="348"/>
      <c r="E27" s="348"/>
      <c r="F27" s="348"/>
      <c r="G27" s="348"/>
      <c r="H27" s="348"/>
      <c r="I27" s="348"/>
      <c r="J27" s="348"/>
      <c r="K27" s="348"/>
      <c r="L27" s="348"/>
      <c r="M27" s="348"/>
      <c r="N27" s="348"/>
    </row>
    <row r="28" spans="1:14" s="349" customFormat="1" ht="11.25" customHeight="1" x14ac:dyDescent="0.2">
      <c r="A28" s="348"/>
      <c r="B28" s="348"/>
      <c r="C28" s="348"/>
      <c r="D28" s="348"/>
      <c r="E28" s="348"/>
      <c r="F28" s="348"/>
      <c r="G28" s="348"/>
      <c r="H28" s="348"/>
      <c r="I28" s="348"/>
      <c r="J28" s="348"/>
      <c r="K28" s="348"/>
      <c r="L28" s="348"/>
      <c r="M28" s="348"/>
      <c r="N28" s="348"/>
    </row>
    <row r="29" spans="1:14" s="349" customFormat="1" ht="11.25" customHeight="1" x14ac:dyDescent="0.2">
      <c r="A29" s="348"/>
      <c r="B29" s="348"/>
      <c r="C29" s="348"/>
      <c r="D29" s="348"/>
      <c r="E29" s="348"/>
      <c r="F29" s="348"/>
      <c r="G29" s="348"/>
      <c r="H29" s="348"/>
      <c r="I29" s="348"/>
      <c r="J29" s="348"/>
      <c r="K29" s="348"/>
      <c r="L29" s="348"/>
      <c r="M29" s="348"/>
      <c r="N29" s="348"/>
    </row>
    <row r="30" spans="1:14" s="349" customFormat="1" ht="11.25" customHeight="1" x14ac:dyDescent="0.2">
      <c r="A30" s="348"/>
      <c r="B30" s="348"/>
      <c r="C30" s="348"/>
      <c r="D30" s="348"/>
      <c r="E30" s="348"/>
      <c r="F30" s="348"/>
      <c r="G30" s="348"/>
      <c r="H30" s="348"/>
      <c r="I30" s="348"/>
      <c r="J30" s="348"/>
      <c r="K30" s="348"/>
      <c r="L30" s="348"/>
      <c r="M30" s="348"/>
      <c r="N30" s="348"/>
    </row>
    <row r="1000" spans="11:11" x14ac:dyDescent="0.2">
      <c r="K1000" s="352">
        <v>1</v>
      </c>
    </row>
    <row r="1003" spans="11:11" x14ac:dyDescent="0.2">
      <c r="K1003" s="353">
        <v>1</v>
      </c>
    </row>
  </sheetData>
  <sheetProtection password="D24D" sheet="1" objects="1" scenarios="1"/>
  <mergeCells count="12">
    <mergeCell ref="C17:L17"/>
    <mergeCell ref="C19:L19"/>
    <mergeCell ref="C21:L21"/>
    <mergeCell ref="C3:L3"/>
    <mergeCell ref="C25:L25"/>
    <mergeCell ref="C23:L23"/>
    <mergeCell ref="C5:L5"/>
    <mergeCell ref="C7:L7"/>
    <mergeCell ref="C9:L9"/>
    <mergeCell ref="C11:L11"/>
    <mergeCell ref="C13:L13"/>
    <mergeCell ref="C15:L15"/>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0]!Approve" altText="Accept">
                <anchor moveWithCells="1" sizeWithCells="1">
                  <from>
                    <xdr:col>1</xdr:col>
                    <xdr:colOff>0</xdr:colOff>
                    <xdr:row>26</xdr:row>
                    <xdr:rowOff>104775</xdr:rowOff>
                  </from>
                  <to>
                    <xdr:col>6</xdr:col>
                    <xdr:colOff>381000</xdr:colOff>
                    <xdr:row>29</xdr:row>
                    <xdr:rowOff>0</xdr:rowOff>
                  </to>
                </anchor>
              </controlPr>
            </control>
          </mc:Choice>
        </mc:AlternateContent>
        <mc:AlternateContent xmlns:mc="http://schemas.openxmlformats.org/markup-compatibility/2006">
          <mc:Choice Requires="x14">
            <control shapeId="14338" r:id="rId5" name="Button 2">
              <controlPr defaultSize="0" print="0" autoFill="0" autoPict="0" macro="[0]!Decline" altText="Decline">
                <anchor moveWithCells="1" sizeWithCells="1">
                  <from>
                    <xdr:col>7</xdr:col>
                    <xdr:colOff>238125</xdr:colOff>
                    <xdr:row>26</xdr:row>
                    <xdr:rowOff>104775</xdr:rowOff>
                  </from>
                  <to>
                    <xdr:col>13</xdr:col>
                    <xdr:colOff>9525</xdr:colOff>
                    <xdr:row>29</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CL33"/>
  <sheetViews>
    <sheetView zoomScaleNormal="10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2.7109375" style="128" customWidth="1"/>
    <col min="2" max="2" width="7.7109375" style="128" customWidth="1"/>
    <col min="3" max="3" width="4.7109375" style="128" customWidth="1"/>
    <col min="4" max="29" width="13.7109375" style="128" customWidth="1"/>
    <col min="30" max="30" width="7.7109375" style="648" customWidth="1"/>
    <col min="31" max="31" width="4.7109375" style="648" customWidth="1"/>
    <col min="32" max="57" width="13.7109375" style="648" customWidth="1"/>
    <col min="58" max="58" width="7.7109375" style="648" customWidth="1"/>
    <col min="59" max="59" width="4.7109375" style="648" customWidth="1"/>
    <col min="60" max="85" width="13.7109375" style="648" customWidth="1"/>
    <col min="86" max="86" width="4.7109375" style="128" customWidth="1"/>
    <col min="87" max="87" width="7.7109375" style="128" customWidth="1"/>
    <col min="88" max="90" width="8.7109375" style="326" customWidth="1"/>
    <col min="91" max="16384" width="9.140625" style="128"/>
  </cols>
  <sheetData>
    <row r="1" spans="2:90" ht="9.9499999999999993" customHeight="1" thickBot="1" x14ac:dyDescent="0.3"/>
    <row r="2" spans="2:90" ht="15" customHeight="1" x14ac:dyDescent="0.25">
      <c r="B2" s="1080" t="s">
        <v>42</v>
      </c>
      <c r="C2" s="167"/>
      <c r="D2" s="1081" t="s">
        <v>53</v>
      </c>
      <c r="E2" s="1078"/>
      <c r="F2" s="1078"/>
      <c r="G2" s="1078"/>
      <c r="H2" s="1078"/>
      <c r="I2" s="1079"/>
      <c r="J2" s="1081" t="s">
        <v>54</v>
      </c>
      <c r="K2" s="1078"/>
      <c r="L2" s="1078"/>
      <c r="M2" s="1078"/>
      <c r="N2" s="1078"/>
      <c r="O2" s="1079"/>
      <c r="P2" s="1077" t="s">
        <v>134</v>
      </c>
      <c r="Q2" s="1078"/>
      <c r="R2" s="1078"/>
      <c r="S2" s="1079"/>
      <c r="T2" s="1078" t="s">
        <v>135</v>
      </c>
      <c r="U2" s="1078"/>
      <c r="V2" s="1078"/>
      <c r="W2" s="1078"/>
      <c r="X2" s="1078"/>
      <c r="Y2" s="1078"/>
      <c r="Z2" s="1078"/>
      <c r="AA2" s="1078"/>
      <c r="AB2" s="1078"/>
      <c r="AC2" s="1079"/>
      <c r="AD2" s="1080" t="s">
        <v>42</v>
      </c>
      <c r="AE2" s="683"/>
      <c r="AF2" s="1081" t="s">
        <v>53</v>
      </c>
      <c r="AG2" s="1078"/>
      <c r="AH2" s="1078"/>
      <c r="AI2" s="1078"/>
      <c r="AJ2" s="1078"/>
      <c r="AK2" s="1079"/>
      <c r="AL2" s="1081" t="s">
        <v>54</v>
      </c>
      <c r="AM2" s="1078"/>
      <c r="AN2" s="1078"/>
      <c r="AO2" s="1078"/>
      <c r="AP2" s="1078"/>
      <c r="AQ2" s="1079"/>
      <c r="AR2" s="1077" t="s">
        <v>134</v>
      </c>
      <c r="AS2" s="1078"/>
      <c r="AT2" s="1078"/>
      <c r="AU2" s="1079"/>
      <c r="AV2" s="1078" t="s">
        <v>135</v>
      </c>
      <c r="AW2" s="1078"/>
      <c r="AX2" s="1078"/>
      <c r="AY2" s="1078"/>
      <c r="AZ2" s="1078"/>
      <c r="BA2" s="1078"/>
      <c r="BB2" s="1078"/>
      <c r="BC2" s="1078"/>
      <c r="BD2" s="1078"/>
      <c r="BE2" s="1079"/>
      <c r="BF2" s="1080" t="s">
        <v>42</v>
      </c>
      <c r="BG2" s="683"/>
      <c r="BH2" s="1081" t="s">
        <v>53</v>
      </c>
      <c r="BI2" s="1078"/>
      <c r="BJ2" s="1078"/>
      <c r="BK2" s="1078"/>
      <c r="BL2" s="1078"/>
      <c r="BM2" s="1079"/>
      <c r="BN2" s="1081" t="s">
        <v>54</v>
      </c>
      <c r="BO2" s="1078"/>
      <c r="BP2" s="1078"/>
      <c r="BQ2" s="1078"/>
      <c r="BR2" s="1078"/>
      <c r="BS2" s="1079"/>
      <c r="BT2" s="1077" t="s">
        <v>134</v>
      </c>
      <c r="BU2" s="1078"/>
      <c r="BV2" s="1078"/>
      <c r="BW2" s="1079"/>
      <c r="BX2" s="1078" t="s">
        <v>135</v>
      </c>
      <c r="BY2" s="1078"/>
      <c r="BZ2" s="1078"/>
      <c r="CA2" s="1078"/>
      <c r="CB2" s="1078"/>
      <c r="CC2" s="1078"/>
      <c r="CD2" s="1078"/>
      <c r="CE2" s="1078"/>
      <c r="CF2" s="1078"/>
      <c r="CG2" s="1079"/>
      <c r="CI2" s="1077" t="s">
        <v>305</v>
      </c>
      <c r="CJ2" s="1078"/>
      <c r="CK2" s="1078"/>
      <c r="CL2" s="1079"/>
    </row>
    <row r="3" spans="2:90" ht="55.5" x14ac:dyDescent="0.25">
      <c r="B3" s="1069"/>
      <c r="C3" s="168"/>
      <c r="D3" s="57" t="s">
        <v>130</v>
      </c>
      <c r="E3" s="57" t="s">
        <v>129</v>
      </c>
      <c r="F3" s="57" t="s">
        <v>128</v>
      </c>
      <c r="G3" s="57" t="s">
        <v>127</v>
      </c>
      <c r="H3" s="57" t="s">
        <v>131</v>
      </c>
      <c r="I3" s="131" t="s">
        <v>132</v>
      </c>
      <c r="J3" s="57" t="s">
        <v>130</v>
      </c>
      <c r="K3" s="57" t="s">
        <v>129</v>
      </c>
      <c r="L3" s="57" t="s">
        <v>128</v>
      </c>
      <c r="M3" s="57" t="s">
        <v>127</v>
      </c>
      <c r="N3" s="57" t="s">
        <v>131</v>
      </c>
      <c r="O3" s="131" t="s">
        <v>132</v>
      </c>
      <c r="P3" s="259" t="s">
        <v>279</v>
      </c>
      <c r="Q3" s="57" t="s">
        <v>280</v>
      </c>
      <c r="R3" s="265" t="s">
        <v>148</v>
      </c>
      <c r="S3" s="131" t="s">
        <v>264</v>
      </c>
      <c r="T3" s="253" t="s">
        <v>267</v>
      </c>
      <c r="U3" s="253" t="s">
        <v>266</v>
      </c>
      <c r="V3" s="57" t="s">
        <v>147</v>
      </c>
      <c r="W3" s="57" t="s">
        <v>269</v>
      </c>
      <c r="X3" s="57" t="s">
        <v>268</v>
      </c>
      <c r="Y3" s="57" t="s">
        <v>271</v>
      </c>
      <c r="Z3" s="57" t="s">
        <v>270</v>
      </c>
      <c r="AA3" s="57" t="s">
        <v>149</v>
      </c>
      <c r="AB3" s="271" t="s">
        <v>272</v>
      </c>
      <c r="AC3" s="131" t="s">
        <v>273</v>
      </c>
      <c r="AD3" s="1069"/>
      <c r="AE3" s="684"/>
      <c r="AF3" s="626" t="s">
        <v>130</v>
      </c>
      <c r="AG3" s="626" t="s">
        <v>129</v>
      </c>
      <c r="AH3" s="626" t="s">
        <v>128</v>
      </c>
      <c r="AI3" s="626" t="s">
        <v>127</v>
      </c>
      <c r="AJ3" s="626" t="s">
        <v>131</v>
      </c>
      <c r="AK3" s="651" t="s">
        <v>132</v>
      </c>
      <c r="AL3" s="626" t="s">
        <v>130</v>
      </c>
      <c r="AM3" s="626" t="s">
        <v>129</v>
      </c>
      <c r="AN3" s="626" t="s">
        <v>128</v>
      </c>
      <c r="AO3" s="626" t="s">
        <v>127</v>
      </c>
      <c r="AP3" s="626" t="s">
        <v>131</v>
      </c>
      <c r="AQ3" s="651" t="s">
        <v>132</v>
      </c>
      <c r="AR3" s="709" t="s">
        <v>279</v>
      </c>
      <c r="AS3" s="626" t="s">
        <v>280</v>
      </c>
      <c r="AT3" s="714" t="s">
        <v>148</v>
      </c>
      <c r="AU3" s="651" t="s">
        <v>264</v>
      </c>
      <c r="AV3" s="703" t="s">
        <v>267</v>
      </c>
      <c r="AW3" s="703" t="s">
        <v>266</v>
      </c>
      <c r="AX3" s="626" t="s">
        <v>147</v>
      </c>
      <c r="AY3" s="626" t="s">
        <v>269</v>
      </c>
      <c r="AZ3" s="626" t="s">
        <v>268</v>
      </c>
      <c r="BA3" s="626" t="s">
        <v>271</v>
      </c>
      <c r="BB3" s="626" t="s">
        <v>270</v>
      </c>
      <c r="BC3" s="626" t="s">
        <v>149</v>
      </c>
      <c r="BD3" s="720" t="s">
        <v>272</v>
      </c>
      <c r="BE3" s="651" t="s">
        <v>273</v>
      </c>
      <c r="BF3" s="1069"/>
      <c r="BG3" s="684"/>
      <c r="BH3" s="626" t="s">
        <v>130</v>
      </c>
      <c r="BI3" s="626" t="s">
        <v>129</v>
      </c>
      <c r="BJ3" s="626" t="s">
        <v>128</v>
      </c>
      <c r="BK3" s="626" t="s">
        <v>127</v>
      </c>
      <c r="BL3" s="626" t="s">
        <v>131</v>
      </c>
      <c r="BM3" s="651" t="s">
        <v>132</v>
      </c>
      <c r="BN3" s="626" t="s">
        <v>130</v>
      </c>
      <c r="BO3" s="626" t="s">
        <v>129</v>
      </c>
      <c r="BP3" s="626" t="s">
        <v>128</v>
      </c>
      <c r="BQ3" s="626" t="s">
        <v>127</v>
      </c>
      <c r="BR3" s="626" t="s">
        <v>131</v>
      </c>
      <c r="BS3" s="651" t="s">
        <v>132</v>
      </c>
      <c r="BT3" s="709" t="s">
        <v>279</v>
      </c>
      <c r="BU3" s="626" t="s">
        <v>280</v>
      </c>
      <c r="BV3" s="714" t="s">
        <v>148</v>
      </c>
      <c r="BW3" s="651" t="s">
        <v>264</v>
      </c>
      <c r="BX3" s="703" t="s">
        <v>267</v>
      </c>
      <c r="BY3" s="703" t="s">
        <v>266</v>
      </c>
      <c r="BZ3" s="626" t="s">
        <v>147</v>
      </c>
      <c r="CA3" s="626" t="s">
        <v>269</v>
      </c>
      <c r="CB3" s="626" t="s">
        <v>268</v>
      </c>
      <c r="CC3" s="626" t="s">
        <v>271</v>
      </c>
      <c r="CD3" s="626" t="s">
        <v>270</v>
      </c>
      <c r="CE3" s="626" t="s">
        <v>149</v>
      </c>
      <c r="CF3" s="720" t="s">
        <v>272</v>
      </c>
      <c r="CG3" s="651" t="s">
        <v>273</v>
      </c>
      <c r="CI3" s="1068" t="s">
        <v>42</v>
      </c>
      <c r="CJ3" s="1071" t="s">
        <v>626</v>
      </c>
      <c r="CK3" s="1071" t="s">
        <v>302</v>
      </c>
      <c r="CL3" s="1074" t="s">
        <v>303</v>
      </c>
    </row>
    <row r="4" spans="2:90" x14ac:dyDescent="0.25">
      <c r="B4" s="1069"/>
      <c r="C4" s="168">
        <v>1</v>
      </c>
      <c r="D4" s="164">
        <v>2</v>
      </c>
      <c r="E4" s="164">
        <v>3</v>
      </c>
      <c r="F4" s="164">
        <v>4</v>
      </c>
      <c r="G4" s="164">
        <v>5</v>
      </c>
      <c r="H4" s="164">
        <v>6</v>
      </c>
      <c r="I4" s="165">
        <v>7</v>
      </c>
      <c r="J4" s="164">
        <v>8</v>
      </c>
      <c r="K4" s="164">
        <v>9</v>
      </c>
      <c r="L4" s="164">
        <v>10</v>
      </c>
      <c r="M4" s="164">
        <v>11</v>
      </c>
      <c r="N4" s="164">
        <v>12</v>
      </c>
      <c r="O4" s="165">
        <v>13</v>
      </c>
      <c r="P4" s="260">
        <v>14</v>
      </c>
      <c r="Q4" s="164">
        <v>15</v>
      </c>
      <c r="R4" s="266">
        <v>16</v>
      </c>
      <c r="S4" s="165">
        <v>17</v>
      </c>
      <c r="T4" s="254">
        <v>18</v>
      </c>
      <c r="U4" s="254">
        <v>19</v>
      </c>
      <c r="V4" s="164">
        <v>20</v>
      </c>
      <c r="W4" s="164">
        <v>21</v>
      </c>
      <c r="X4" s="164">
        <v>22</v>
      </c>
      <c r="Y4" s="164">
        <v>23</v>
      </c>
      <c r="Z4" s="164">
        <v>24</v>
      </c>
      <c r="AA4" s="164">
        <v>25</v>
      </c>
      <c r="AB4" s="272">
        <v>26</v>
      </c>
      <c r="AC4" s="165">
        <v>27</v>
      </c>
      <c r="AD4" s="1069"/>
      <c r="AE4" s="684">
        <v>1</v>
      </c>
      <c r="AF4" s="680">
        <v>2</v>
      </c>
      <c r="AG4" s="680">
        <v>3</v>
      </c>
      <c r="AH4" s="680">
        <v>4</v>
      </c>
      <c r="AI4" s="680">
        <v>5</v>
      </c>
      <c r="AJ4" s="680">
        <v>6</v>
      </c>
      <c r="AK4" s="681">
        <v>7</v>
      </c>
      <c r="AL4" s="680">
        <v>8</v>
      </c>
      <c r="AM4" s="680">
        <v>9</v>
      </c>
      <c r="AN4" s="680">
        <v>10</v>
      </c>
      <c r="AO4" s="680">
        <v>11</v>
      </c>
      <c r="AP4" s="680">
        <v>12</v>
      </c>
      <c r="AQ4" s="681">
        <v>13</v>
      </c>
      <c r="AR4" s="710">
        <v>14</v>
      </c>
      <c r="AS4" s="680">
        <v>15</v>
      </c>
      <c r="AT4" s="715">
        <v>16</v>
      </c>
      <c r="AU4" s="681">
        <v>17</v>
      </c>
      <c r="AV4" s="704">
        <v>18</v>
      </c>
      <c r="AW4" s="704">
        <v>19</v>
      </c>
      <c r="AX4" s="680">
        <v>20</v>
      </c>
      <c r="AY4" s="680">
        <v>21</v>
      </c>
      <c r="AZ4" s="680">
        <v>22</v>
      </c>
      <c r="BA4" s="680">
        <v>23</v>
      </c>
      <c r="BB4" s="680">
        <v>24</v>
      </c>
      <c r="BC4" s="680">
        <v>25</v>
      </c>
      <c r="BD4" s="721">
        <v>26</v>
      </c>
      <c r="BE4" s="681">
        <v>27</v>
      </c>
      <c r="BF4" s="1069"/>
      <c r="BG4" s="684">
        <v>1</v>
      </c>
      <c r="BH4" s="680">
        <v>2</v>
      </c>
      <c r="BI4" s="680">
        <v>3</v>
      </c>
      <c r="BJ4" s="680">
        <v>4</v>
      </c>
      <c r="BK4" s="680">
        <v>5</v>
      </c>
      <c r="BL4" s="680">
        <v>6</v>
      </c>
      <c r="BM4" s="681">
        <v>7</v>
      </c>
      <c r="BN4" s="680">
        <v>8</v>
      </c>
      <c r="BO4" s="680">
        <v>9</v>
      </c>
      <c r="BP4" s="680">
        <v>10</v>
      </c>
      <c r="BQ4" s="680">
        <v>11</v>
      </c>
      <c r="BR4" s="680">
        <v>12</v>
      </c>
      <c r="BS4" s="681">
        <v>13</v>
      </c>
      <c r="BT4" s="710">
        <v>14</v>
      </c>
      <c r="BU4" s="680">
        <v>15</v>
      </c>
      <c r="BV4" s="715">
        <v>16</v>
      </c>
      <c r="BW4" s="681">
        <v>17</v>
      </c>
      <c r="BX4" s="704">
        <v>18</v>
      </c>
      <c r="BY4" s="704">
        <v>19</v>
      </c>
      <c r="BZ4" s="680">
        <v>20</v>
      </c>
      <c r="CA4" s="680">
        <v>21</v>
      </c>
      <c r="CB4" s="680">
        <v>22</v>
      </c>
      <c r="CC4" s="680">
        <v>23</v>
      </c>
      <c r="CD4" s="680">
        <v>24</v>
      </c>
      <c r="CE4" s="680">
        <v>25</v>
      </c>
      <c r="CF4" s="721">
        <v>26</v>
      </c>
      <c r="CG4" s="681">
        <v>27</v>
      </c>
      <c r="CI4" s="1069"/>
      <c r="CJ4" s="1072"/>
      <c r="CK4" s="1072"/>
      <c r="CL4" s="1075"/>
    </row>
    <row r="5" spans="2:90" ht="15.75" thickBot="1" x14ac:dyDescent="0.3">
      <c r="B5" s="1070"/>
      <c r="C5" s="169">
        <v>2</v>
      </c>
      <c r="D5" s="132" t="s">
        <v>50</v>
      </c>
      <c r="E5" s="132" t="s">
        <v>50</v>
      </c>
      <c r="F5" s="132" t="s">
        <v>50</v>
      </c>
      <c r="G5" s="132" t="s">
        <v>50</v>
      </c>
      <c r="H5" s="132" t="s">
        <v>50</v>
      </c>
      <c r="I5" s="133" t="s">
        <v>50</v>
      </c>
      <c r="J5" s="132" t="s">
        <v>50</v>
      </c>
      <c r="K5" s="132" t="s">
        <v>50</v>
      </c>
      <c r="L5" s="132" t="s">
        <v>50</v>
      </c>
      <c r="M5" s="132" t="s">
        <v>50</v>
      </c>
      <c r="N5" s="132" t="s">
        <v>50</v>
      </c>
      <c r="O5" s="133" t="s">
        <v>50</v>
      </c>
      <c r="P5" s="261" t="s">
        <v>50</v>
      </c>
      <c r="Q5" s="132" t="s">
        <v>50</v>
      </c>
      <c r="R5" s="267" t="s">
        <v>50</v>
      </c>
      <c r="S5" s="133" t="s">
        <v>50</v>
      </c>
      <c r="T5" s="255" t="s">
        <v>46</v>
      </c>
      <c r="U5" s="255" t="s">
        <v>46</v>
      </c>
      <c r="V5" s="132" t="s">
        <v>46</v>
      </c>
      <c r="W5" s="132" t="s">
        <v>46</v>
      </c>
      <c r="X5" s="132" t="s">
        <v>46</v>
      </c>
      <c r="Y5" s="132" t="s">
        <v>46</v>
      </c>
      <c r="Z5" s="132" t="s">
        <v>46</v>
      </c>
      <c r="AA5" s="132" t="s">
        <v>46</v>
      </c>
      <c r="AB5" s="273" t="s">
        <v>46</v>
      </c>
      <c r="AC5" s="133" t="s">
        <v>46</v>
      </c>
      <c r="AD5" s="1070"/>
      <c r="AE5" s="685">
        <v>2</v>
      </c>
      <c r="AF5" s="652" t="s">
        <v>45</v>
      </c>
      <c r="AG5" s="652" t="s">
        <v>45</v>
      </c>
      <c r="AH5" s="652" t="s">
        <v>577</v>
      </c>
      <c r="AI5" s="652" t="s">
        <v>577</v>
      </c>
      <c r="AJ5" s="652" t="s">
        <v>577</v>
      </c>
      <c r="AK5" s="653" t="s">
        <v>577</v>
      </c>
      <c r="AL5" s="652" t="s">
        <v>577</v>
      </c>
      <c r="AM5" s="652" t="s">
        <v>577</v>
      </c>
      <c r="AN5" s="652" t="s">
        <v>577</v>
      </c>
      <c r="AO5" s="652" t="s">
        <v>577</v>
      </c>
      <c r="AP5" s="652" t="s">
        <v>577</v>
      </c>
      <c r="AQ5" s="653" t="s">
        <v>577</v>
      </c>
      <c r="AR5" s="711" t="s">
        <v>578</v>
      </c>
      <c r="AS5" s="652" t="s">
        <v>578</v>
      </c>
      <c r="AT5" s="716" t="s">
        <v>578</v>
      </c>
      <c r="AU5" s="653" t="s">
        <v>578</v>
      </c>
      <c r="AV5" s="705" t="s">
        <v>579</v>
      </c>
      <c r="AW5" s="705" t="s">
        <v>579</v>
      </c>
      <c r="AX5" s="652" t="s">
        <v>579</v>
      </c>
      <c r="AY5" s="652" t="s">
        <v>579</v>
      </c>
      <c r="AZ5" s="652" t="s">
        <v>579</v>
      </c>
      <c r="BA5" s="652" t="s">
        <v>579</v>
      </c>
      <c r="BB5" s="652" t="s">
        <v>579</v>
      </c>
      <c r="BC5" s="652" t="s">
        <v>579</v>
      </c>
      <c r="BD5" s="722" t="s">
        <v>579</v>
      </c>
      <c r="BE5" s="653" t="s">
        <v>579</v>
      </c>
      <c r="BF5" s="1070"/>
      <c r="BG5" s="685">
        <v>2</v>
      </c>
      <c r="BH5" s="822"/>
      <c r="BI5" s="822"/>
      <c r="BJ5" s="822"/>
      <c r="BK5" s="822"/>
      <c r="BL5" s="822"/>
      <c r="BM5" s="823"/>
      <c r="BN5" s="652" t="s">
        <v>566</v>
      </c>
      <c r="BO5" s="652" t="s">
        <v>566</v>
      </c>
      <c r="BP5" s="652" t="s">
        <v>567</v>
      </c>
      <c r="BQ5" s="652" t="s">
        <v>567</v>
      </c>
      <c r="BR5" s="652" t="s">
        <v>567</v>
      </c>
      <c r="BS5" s="653" t="s">
        <v>567</v>
      </c>
      <c r="BT5" s="824"/>
      <c r="BU5" s="822"/>
      <c r="BV5" s="825"/>
      <c r="BW5" s="823"/>
      <c r="BX5" s="826"/>
      <c r="BY5" s="826"/>
      <c r="BZ5" s="822"/>
      <c r="CA5" s="822"/>
      <c r="CB5" s="822"/>
      <c r="CC5" s="822"/>
      <c r="CD5" s="822"/>
      <c r="CE5" s="822"/>
      <c r="CF5" s="827"/>
      <c r="CG5" s="823"/>
      <c r="CI5" s="1070"/>
      <c r="CJ5" s="1073"/>
      <c r="CK5" s="1073"/>
      <c r="CL5" s="1076"/>
    </row>
    <row r="6" spans="2:90" x14ac:dyDescent="0.25">
      <c r="B6" s="134" t="s">
        <v>265</v>
      </c>
      <c r="C6" s="170">
        <v>3</v>
      </c>
      <c r="D6" s="662">
        <f>VLOOKUP(LEFT(Summary!$C$38,4)-17,$B$7:$AC$33,3,FALSE)</f>
        <v>9.1999999999999993</v>
      </c>
      <c r="E6" s="142">
        <f>VLOOKUP(LEFT(Summary!$C$38,4)-17,$B$7:$AC$33,4,FALSE)</f>
        <v>9</v>
      </c>
      <c r="F6" s="142">
        <f>VLOOKUP(LEFT(Summary!$C$38,4)-17,$B$7:$AC$33,5,FALSE)</f>
        <v>8.9</v>
      </c>
      <c r="G6" s="142">
        <f>VLOOKUP(LEFT(Summary!$C$38,4)-17,$B$7:$AC$33,6,FALSE)</f>
        <v>8.3000000000000007</v>
      </c>
      <c r="H6" s="142">
        <f>VLOOKUP(LEFT(Summary!$C$38,4)-17,$B$7:$AC$33,7,FALSE)</f>
        <v>8.3000000000000007</v>
      </c>
      <c r="I6" s="143">
        <f>VLOOKUP(LEFT(Summary!$C$38,4)-17,$B$7:$AC$33,8,FALSE)</f>
        <v>8</v>
      </c>
      <c r="J6" s="142">
        <f>VLOOKUP(LEFT(Summary!$C$38,4)-17,$B$7:$AC$33,9,FALSE)</f>
        <v>9.1999999999999993</v>
      </c>
      <c r="K6" s="142">
        <f>VLOOKUP(LEFT(Summary!$C$38,4)-17,$B$7:$AC$33,10,FALSE)</f>
        <v>9</v>
      </c>
      <c r="L6" s="142">
        <f>VLOOKUP(LEFT(Summary!$C$38,4)-17,$B$7:$AC$33,11,FALSE)</f>
        <v>8.9</v>
      </c>
      <c r="M6" s="142">
        <f>VLOOKUP(LEFT(Summary!$C$38,4)-17,$B$7:$AC$33,12,FALSE)</f>
        <v>8.3000000000000007</v>
      </c>
      <c r="N6" s="142">
        <f>VLOOKUP(LEFT(Summary!$C$38,4)-17,$B$7:$AC$33,13,FALSE)</f>
        <v>8.3000000000000007</v>
      </c>
      <c r="O6" s="143">
        <f>VLOOKUP(LEFT(Summary!$C$38,4)-17,$B$7:$AC$33,14,FALSE)</f>
        <v>8.5</v>
      </c>
      <c r="P6" s="262">
        <f>VLOOKUP(LEFT(Summary!$C$38,4)-26,$B$7:$AC$33,15,FALSE)</f>
        <v>9.2119999999999997</v>
      </c>
      <c r="Q6" s="135">
        <f>VLOOKUP(LEFT(Summary!$C$38,4)-26,$B$7:$AC$33,16,FALSE)</f>
        <v>8.5299999999999994</v>
      </c>
      <c r="R6" s="268">
        <f>VLOOKUP(LEFT(Summary!$C$38,4)-21,$B$7:$AC$33,17,FALSE)</f>
        <v>9.2119999999999997</v>
      </c>
      <c r="S6" s="136">
        <f>VLOOKUP(LEFT(Summary!$C$38,4)-21,$B$7:$AC$33,18,FALSE)</f>
        <v>8.5299999999999994</v>
      </c>
      <c r="T6" s="256">
        <f>VLOOKUP(LEFT(Summary!$C$38,4)-26,$B$7:$AC$33,19,FALSE)</f>
        <v>0.92500000000000004</v>
      </c>
      <c r="U6" s="256">
        <f>VLOOKUP(LEFT(Summary!$C$38,4)-26,$B$7:$AC$33,20,FALSE)</f>
        <v>0.92500000000000004</v>
      </c>
      <c r="V6" s="135">
        <f>VLOOKUP(LEFT(Summary!$C$38,4)-26,$B$7:$AC$33,21,FALSE)</f>
        <v>0.83699999999999997</v>
      </c>
      <c r="W6" s="135">
        <f>VLOOKUP(LEFT(Summary!$C$38,4)-26,$B$7:$AC$33,22,FALSE)</f>
        <v>0.748</v>
      </c>
      <c r="X6" s="135">
        <f>VLOOKUP(LEFT(Summary!$C$38,4)-26,$B$7:$AC$33,23,FALSE)</f>
        <v>0.748</v>
      </c>
      <c r="Y6" s="135">
        <f>VLOOKUP(LEFT(Summary!$C$38,4)-21,$B$7:$AC$33,24,FALSE)</f>
        <v>0.92500000000000004</v>
      </c>
      <c r="Z6" s="135">
        <f>VLOOKUP(LEFT(Summary!$C$38,4)-21,$B$7:$AC$33,25,FALSE)</f>
        <v>0.92500000000000004</v>
      </c>
      <c r="AA6" s="135">
        <f>VLOOKUP(LEFT(Summary!$C$38,4)-21,$B$7:$AC$33,26,FALSE)</f>
        <v>0.83699999999999997</v>
      </c>
      <c r="AB6" s="274">
        <f>VLOOKUP(LEFT(Summary!$C$38,4)-21,$B$7:$AC$33,27,FALSE)</f>
        <v>0.748</v>
      </c>
      <c r="AC6" s="136">
        <f>VLOOKUP(LEFT(Summary!$C$38,4)-21,$B$7:$AC$33,28,FALSE)</f>
        <v>0.748</v>
      </c>
      <c r="AD6" s="654" t="s">
        <v>265</v>
      </c>
      <c r="AE6" s="686">
        <v>3</v>
      </c>
      <c r="AF6" s="662">
        <f>VLOOKUP(LEFT(Summary!$C$38,4)-17,$AD$7:$BE$33,3,FALSE)</f>
        <v>10</v>
      </c>
      <c r="AG6" s="662">
        <f>VLOOKUP(LEFT(Summary!$C$38,4)-17,$AD$7:$BE$33,4,FALSE)</f>
        <v>9.6999999999999993</v>
      </c>
      <c r="AH6" s="662">
        <f>VLOOKUP(LEFT(Summary!$C$38,4)-17,$AD$7:$BE$33,5,FALSE)</f>
        <v>9.1</v>
      </c>
      <c r="AI6" s="662">
        <f>VLOOKUP(LEFT(Summary!$C$38,4)-17,$AD$7:$BE$33,6,FALSE)</f>
        <v>8.5</v>
      </c>
      <c r="AJ6" s="662">
        <f>VLOOKUP(LEFT(Summary!$C$38,4)-17,$AD$7:$BE$33,7,FALSE)</f>
        <v>8.4</v>
      </c>
      <c r="AK6" s="663">
        <f>VLOOKUP(LEFT(Summary!$C$38,4)-17,$AD$7:$BE$33,8,FALSE)</f>
        <v>8.1</v>
      </c>
      <c r="AL6" s="662">
        <f>VLOOKUP(LEFT(Summary!$C$38,4)-17,$AD$7:$BE$33,9,FALSE)</f>
        <v>10</v>
      </c>
      <c r="AM6" s="662">
        <f>VLOOKUP(LEFT(Summary!$C$38,4)-17,$AD$7:$BE$33,10,FALSE)</f>
        <v>9.6999999999999993</v>
      </c>
      <c r="AN6" s="662">
        <f>VLOOKUP(LEFT(Summary!$C$38,4)-17,$AD$7:$BE$33,11,FALSE)</f>
        <v>9.1</v>
      </c>
      <c r="AO6" s="662">
        <f>VLOOKUP(LEFT(Summary!$C$38,4)-17,$AD$7:$BE$33,12,FALSE)</f>
        <v>8.4</v>
      </c>
      <c r="AP6" s="662">
        <f>VLOOKUP(LEFT(Summary!$C$38,4)-17,$AD$7:$BE$33,13,FALSE)</f>
        <v>8.4</v>
      </c>
      <c r="AQ6" s="663">
        <f>VLOOKUP(LEFT(Summary!$C$38,4)-17,$AD$7:$BE$33,14,FALSE)</f>
        <v>8.6</v>
      </c>
      <c r="AR6" s="712">
        <f>VLOOKUP(LEFT(Summary!$C$38,4)-26,$AD$7:$BE$33,15,FALSE)</f>
        <v>9.5540000000000003</v>
      </c>
      <c r="AS6" s="655">
        <f>VLOOKUP(LEFT(Summary!$C$38,4)-26,$AD$7:$BE$33,16,FALSE)</f>
        <v>8.5289999999999999</v>
      </c>
      <c r="AT6" s="717">
        <f>VLOOKUP(LEFT(Summary!$C$38,4)-21,$AD$7:$BE$33,17,FALSE)</f>
        <v>9.5540000000000003</v>
      </c>
      <c r="AU6" s="656">
        <f>VLOOKUP(LEFT(Summary!$C$38,4)-21,$AD$7:$BE$33,18,FALSE)</f>
        <v>8.5289999999999999</v>
      </c>
      <c r="AV6" s="706">
        <f>VLOOKUP(LEFT(Summary!$C$38,4)-26,$AD$7:$BE$33,19,FALSE)</f>
        <v>0.90200000000000002</v>
      </c>
      <c r="AW6" s="706">
        <f>VLOOKUP(LEFT(Summary!$C$38,4)-26,$AD$7:$BE$33,20,FALSE)</f>
        <v>0.90200000000000002</v>
      </c>
      <c r="AX6" s="655">
        <f>VLOOKUP(LEFT(Summary!$C$38,4)-26,$AD$7:$BE$33,21,FALSE)</f>
        <v>0.78100000000000003</v>
      </c>
      <c r="AY6" s="655">
        <f>VLOOKUP(LEFT(Summary!$C$38,4)-26,$AD$7:$BE$33,22,FALSE)</f>
        <v>0.73299999999999998</v>
      </c>
      <c r="AZ6" s="655">
        <f>VLOOKUP(LEFT(Summary!$C$38,4)-26,$AD$7:$BE$33,23,FALSE)</f>
        <v>0.73299999999999998</v>
      </c>
      <c r="BA6" s="655">
        <f>VLOOKUP(LEFT(Summary!$C$38,4)-21,$AD$7:$BE$33,24,FALSE)</f>
        <v>0.90200000000000002</v>
      </c>
      <c r="BB6" s="655">
        <f>VLOOKUP(LEFT(Summary!$C$38,4)-21,$AD$7:$BE$33,25,FALSE)</f>
        <v>0.90200000000000002</v>
      </c>
      <c r="BC6" s="655">
        <f>VLOOKUP(LEFT(Summary!$C$38,4)-21,$AD$7:$BE$33,26,FALSE)</f>
        <v>0.78100000000000003</v>
      </c>
      <c r="BD6" s="723">
        <f>VLOOKUP(LEFT(Summary!$C$38,4)-21,$AD$7:$BE$33,27,FALSE)</f>
        <v>0.73299999999999998</v>
      </c>
      <c r="BE6" s="656">
        <f>VLOOKUP(LEFT(Summary!$C$38,4)-21,$AD$7:$BE$33,28,FALSE)</f>
        <v>0.73299999999999998</v>
      </c>
      <c r="BF6" s="654" t="s">
        <v>265</v>
      </c>
      <c r="BG6" s="686">
        <v>3</v>
      </c>
      <c r="BH6" s="804"/>
      <c r="BI6" s="804"/>
      <c r="BJ6" s="804"/>
      <c r="BK6" s="804"/>
      <c r="BL6" s="804"/>
      <c r="BM6" s="805"/>
      <c r="BN6" s="662">
        <f>VLOOKUP(LEFT(Summary!$C$38,4)-17,$BF$7:$CG$33,9,FALSE)</f>
        <v>6.8</v>
      </c>
      <c r="BO6" s="662">
        <f>VLOOKUP(LEFT(Summary!$C$38,4)-17,$BF$7:$CG$33,10,FALSE)</f>
        <v>6.6</v>
      </c>
      <c r="BP6" s="662">
        <f>VLOOKUP(LEFT(Summary!$C$38,4)-17,$BF$7:$CG$33,11,FALSE)</f>
        <v>3</v>
      </c>
      <c r="BQ6" s="662">
        <f>VLOOKUP(LEFT(Summary!$C$38,4)-17,$BF$7:$CG$33,12,FALSE)</f>
        <v>2.9</v>
      </c>
      <c r="BR6" s="662">
        <f>VLOOKUP(LEFT(Summary!$C$38,4)-17,$BF$7:$CG$33,13,FALSE)</f>
        <v>2.9</v>
      </c>
      <c r="BS6" s="663">
        <f>VLOOKUP(LEFT(Summary!$C$38,4)-17,$BF$7:$CG$33,14,FALSE)</f>
        <v>2.9</v>
      </c>
      <c r="BT6" s="806"/>
      <c r="BU6" s="804"/>
      <c r="BV6" s="807"/>
      <c r="BW6" s="805"/>
      <c r="BX6" s="808"/>
      <c r="BY6" s="808"/>
      <c r="BZ6" s="804"/>
      <c r="CA6" s="804"/>
      <c r="CB6" s="804"/>
      <c r="CC6" s="804"/>
      <c r="CD6" s="804"/>
      <c r="CE6" s="804"/>
      <c r="CF6" s="809"/>
      <c r="CG6" s="805"/>
      <c r="CI6" s="654" t="s">
        <v>265</v>
      </c>
      <c r="CJ6" s="662">
        <v>2.2000000000000002</v>
      </c>
      <c r="CK6" s="662">
        <v>3.2</v>
      </c>
      <c r="CL6" s="663">
        <v>5.0999999999999996</v>
      </c>
    </row>
    <row r="7" spans="2:90" x14ac:dyDescent="0.25">
      <c r="B7" s="513">
        <v>1985</v>
      </c>
      <c r="C7" s="514">
        <v>4</v>
      </c>
      <c r="D7" s="129">
        <v>9.1999999999999993</v>
      </c>
      <c r="E7" s="129">
        <v>9</v>
      </c>
      <c r="F7" s="129">
        <v>8.9</v>
      </c>
      <c r="G7" s="129">
        <v>8</v>
      </c>
      <c r="H7" s="129">
        <v>8</v>
      </c>
      <c r="I7" s="144">
        <v>7.8</v>
      </c>
      <c r="J7" s="129">
        <v>9.1999999999999993</v>
      </c>
      <c r="K7" s="129">
        <v>9</v>
      </c>
      <c r="L7" s="129">
        <v>8.9</v>
      </c>
      <c r="M7" s="129">
        <v>8</v>
      </c>
      <c r="N7" s="129">
        <v>8</v>
      </c>
      <c r="O7" s="144">
        <v>7.8</v>
      </c>
      <c r="P7" s="263">
        <v>9.2119999999999997</v>
      </c>
      <c r="Q7" s="130">
        <v>8.5299999999999994</v>
      </c>
      <c r="R7" s="269">
        <v>9.2119999999999997</v>
      </c>
      <c r="S7" s="138">
        <v>8.5299999999999994</v>
      </c>
      <c r="T7" s="257">
        <v>0.92500000000000004</v>
      </c>
      <c r="U7" s="257">
        <v>0.92500000000000004</v>
      </c>
      <c r="V7" s="130">
        <v>0.83699999999999997</v>
      </c>
      <c r="W7" s="130">
        <v>0.748</v>
      </c>
      <c r="X7" s="130">
        <v>0.748</v>
      </c>
      <c r="Y7" s="130">
        <v>0.92500000000000004</v>
      </c>
      <c r="Z7" s="130">
        <v>0.92500000000000004</v>
      </c>
      <c r="AA7" s="130">
        <v>0.83699999999999997</v>
      </c>
      <c r="AB7" s="275">
        <v>0.748</v>
      </c>
      <c r="AC7" s="138">
        <v>0.748</v>
      </c>
      <c r="AD7" s="773">
        <v>1985</v>
      </c>
      <c r="AE7" s="774">
        <v>4</v>
      </c>
      <c r="AF7" s="649">
        <v>10</v>
      </c>
      <c r="AG7" s="649">
        <v>9.6999999999999993</v>
      </c>
      <c r="AH7" s="649">
        <v>9.1</v>
      </c>
      <c r="AI7" s="649">
        <v>8.1999999999999993</v>
      </c>
      <c r="AJ7" s="649">
        <v>8.1</v>
      </c>
      <c r="AK7" s="664">
        <v>7.9</v>
      </c>
      <c r="AL7" s="649">
        <v>10</v>
      </c>
      <c r="AM7" s="649">
        <v>9.6999999999999993</v>
      </c>
      <c r="AN7" s="649">
        <v>9.1</v>
      </c>
      <c r="AO7" s="649">
        <v>8.1</v>
      </c>
      <c r="AP7" s="649">
        <v>8.1</v>
      </c>
      <c r="AQ7" s="664">
        <v>7.9</v>
      </c>
      <c r="AR7" s="713">
        <v>9.5540000000000003</v>
      </c>
      <c r="AS7" s="650">
        <v>8.5289999999999999</v>
      </c>
      <c r="AT7" s="718">
        <v>9.5540000000000003</v>
      </c>
      <c r="AU7" s="658">
        <v>8.5289999999999999</v>
      </c>
      <c r="AV7" s="707">
        <v>0.90200000000000002</v>
      </c>
      <c r="AW7" s="707">
        <v>0.90200000000000002</v>
      </c>
      <c r="AX7" s="650">
        <v>0.78100000000000003</v>
      </c>
      <c r="AY7" s="650">
        <v>0.73299999999999998</v>
      </c>
      <c r="AZ7" s="650">
        <v>0.73299999999999998</v>
      </c>
      <c r="BA7" s="650">
        <v>0.90200000000000002</v>
      </c>
      <c r="BB7" s="650">
        <v>0.90200000000000002</v>
      </c>
      <c r="BC7" s="650">
        <v>0.78100000000000003</v>
      </c>
      <c r="BD7" s="724">
        <v>0.73299999999999998</v>
      </c>
      <c r="BE7" s="658">
        <v>0.73299999999999998</v>
      </c>
      <c r="BF7" s="773">
        <v>1985</v>
      </c>
      <c r="BG7" s="774">
        <v>4</v>
      </c>
      <c r="BH7" s="798"/>
      <c r="BI7" s="798"/>
      <c r="BJ7" s="798"/>
      <c r="BK7" s="798"/>
      <c r="BL7" s="798"/>
      <c r="BM7" s="799"/>
      <c r="BN7" s="649">
        <v>6.8</v>
      </c>
      <c r="BO7" s="649">
        <v>6.6</v>
      </c>
      <c r="BP7" s="649">
        <v>3</v>
      </c>
      <c r="BQ7" s="649">
        <v>3</v>
      </c>
      <c r="BR7" s="649">
        <v>3</v>
      </c>
      <c r="BS7" s="664">
        <v>3</v>
      </c>
      <c r="BT7" s="810"/>
      <c r="BU7" s="798"/>
      <c r="BV7" s="811"/>
      <c r="BW7" s="799"/>
      <c r="BX7" s="812"/>
      <c r="BY7" s="812"/>
      <c r="BZ7" s="798"/>
      <c r="CA7" s="798"/>
      <c r="CB7" s="798"/>
      <c r="CC7" s="798"/>
      <c r="CD7" s="798"/>
      <c r="CE7" s="798"/>
      <c r="CF7" s="813"/>
      <c r="CG7" s="799"/>
      <c r="CI7" s="773">
        <v>1985</v>
      </c>
      <c r="CJ7" s="515">
        <v>0</v>
      </c>
      <c r="CK7" s="515">
        <v>1.2</v>
      </c>
      <c r="CL7" s="516">
        <v>4.0999999999999996</v>
      </c>
    </row>
    <row r="8" spans="2:90" x14ac:dyDescent="0.25">
      <c r="B8" s="513">
        <v>1986</v>
      </c>
      <c r="C8" s="514">
        <v>5</v>
      </c>
      <c r="D8" s="129">
        <v>9.1999999999999993</v>
      </c>
      <c r="E8" s="129">
        <v>9</v>
      </c>
      <c r="F8" s="129">
        <v>8.9</v>
      </c>
      <c r="G8" s="129">
        <v>8</v>
      </c>
      <c r="H8" s="129">
        <v>8</v>
      </c>
      <c r="I8" s="144">
        <v>7.8</v>
      </c>
      <c r="J8" s="129">
        <v>9.1999999999999993</v>
      </c>
      <c r="K8" s="129">
        <v>9</v>
      </c>
      <c r="L8" s="129">
        <v>8.9</v>
      </c>
      <c r="M8" s="129">
        <v>8</v>
      </c>
      <c r="N8" s="129">
        <v>8</v>
      </c>
      <c r="O8" s="144">
        <v>7.8</v>
      </c>
      <c r="P8" s="713">
        <v>9.2119999999999997</v>
      </c>
      <c r="Q8" s="650">
        <v>8.5299999999999994</v>
      </c>
      <c r="R8" s="269">
        <v>9.2119999999999997</v>
      </c>
      <c r="S8" s="138">
        <v>8.5299999999999994</v>
      </c>
      <c r="T8" s="707">
        <v>0.92500000000000004</v>
      </c>
      <c r="U8" s="257">
        <v>0.92500000000000004</v>
      </c>
      <c r="V8" s="130">
        <v>0.83699999999999997</v>
      </c>
      <c r="W8" s="130">
        <v>0.748</v>
      </c>
      <c r="X8" s="130">
        <v>0.748</v>
      </c>
      <c r="Y8" s="650">
        <v>0.92500000000000004</v>
      </c>
      <c r="Z8" s="650">
        <v>0.92500000000000004</v>
      </c>
      <c r="AA8" s="130">
        <v>0.83699999999999997</v>
      </c>
      <c r="AB8" s="275">
        <v>0.748</v>
      </c>
      <c r="AC8" s="138">
        <v>0.748</v>
      </c>
      <c r="AD8" s="773">
        <v>1986</v>
      </c>
      <c r="AE8" s="774">
        <v>5</v>
      </c>
      <c r="AF8" s="649">
        <v>10</v>
      </c>
      <c r="AG8" s="649">
        <v>9.6999999999999993</v>
      </c>
      <c r="AH8" s="649">
        <v>9.1</v>
      </c>
      <c r="AI8" s="649">
        <v>8.1999999999999993</v>
      </c>
      <c r="AJ8" s="649">
        <v>8.1</v>
      </c>
      <c r="AK8" s="664">
        <v>7.9</v>
      </c>
      <c r="AL8" s="649">
        <v>10</v>
      </c>
      <c r="AM8" s="649">
        <v>9.6999999999999993</v>
      </c>
      <c r="AN8" s="649">
        <v>9.1</v>
      </c>
      <c r="AO8" s="649">
        <v>8.1</v>
      </c>
      <c r="AP8" s="649">
        <v>8.1</v>
      </c>
      <c r="AQ8" s="664">
        <v>7.9</v>
      </c>
      <c r="AR8" s="713">
        <v>9.5540000000000003</v>
      </c>
      <c r="AS8" s="650">
        <v>8.5289999999999999</v>
      </c>
      <c r="AT8" s="718">
        <v>9.5540000000000003</v>
      </c>
      <c r="AU8" s="658">
        <v>8.5289999999999999</v>
      </c>
      <c r="AV8" s="707">
        <v>0.90200000000000002</v>
      </c>
      <c r="AW8" s="707">
        <v>0.90200000000000002</v>
      </c>
      <c r="AX8" s="650">
        <v>0.78100000000000003</v>
      </c>
      <c r="AY8" s="650">
        <v>0.73299999999999998</v>
      </c>
      <c r="AZ8" s="650">
        <v>0.73299999999999998</v>
      </c>
      <c r="BA8" s="650">
        <v>0.90200000000000002</v>
      </c>
      <c r="BB8" s="650">
        <v>0.90200000000000002</v>
      </c>
      <c r="BC8" s="650">
        <v>0.78100000000000003</v>
      </c>
      <c r="BD8" s="724">
        <v>0.73299999999999998</v>
      </c>
      <c r="BE8" s="658">
        <v>0.73299999999999998</v>
      </c>
      <c r="BF8" s="773">
        <v>1986</v>
      </c>
      <c r="BG8" s="774">
        <v>5</v>
      </c>
      <c r="BH8" s="798"/>
      <c r="BI8" s="798"/>
      <c r="BJ8" s="798"/>
      <c r="BK8" s="798"/>
      <c r="BL8" s="798"/>
      <c r="BM8" s="799"/>
      <c r="BN8" s="649">
        <v>6.8</v>
      </c>
      <c r="BO8" s="649">
        <v>6.6</v>
      </c>
      <c r="BP8" s="649">
        <v>3</v>
      </c>
      <c r="BQ8" s="649">
        <v>3</v>
      </c>
      <c r="BR8" s="649">
        <v>3</v>
      </c>
      <c r="BS8" s="664">
        <v>3</v>
      </c>
      <c r="BT8" s="810"/>
      <c r="BU8" s="798"/>
      <c r="BV8" s="811"/>
      <c r="BW8" s="799"/>
      <c r="BX8" s="812"/>
      <c r="BY8" s="812"/>
      <c r="BZ8" s="798"/>
      <c r="CA8" s="798"/>
      <c r="CB8" s="798"/>
      <c r="CC8" s="798"/>
      <c r="CD8" s="798"/>
      <c r="CE8" s="798"/>
      <c r="CF8" s="813"/>
      <c r="CG8" s="799"/>
      <c r="CI8" s="773">
        <v>1986</v>
      </c>
      <c r="CJ8" s="515">
        <v>0</v>
      </c>
      <c r="CK8" s="515">
        <v>1.3</v>
      </c>
      <c r="CL8" s="516">
        <v>4.3</v>
      </c>
    </row>
    <row r="9" spans="2:90" x14ac:dyDescent="0.25">
      <c r="B9" s="513">
        <v>1987</v>
      </c>
      <c r="C9" s="514">
        <v>6</v>
      </c>
      <c r="D9" s="129">
        <v>9.1999999999999993</v>
      </c>
      <c r="E9" s="129">
        <v>9</v>
      </c>
      <c r="F9" s="129">
        <v>8.9</v>
      </c>
      <c r="G9" s="129">
        <v>8</v>
      </c>
      <c r="H9" s="129">
        <v>8</v>
      </c>
      <c r="I9" s="144">
        <v>7.8</v>
      </c>
      <c r="J9" s="129">
        <v>9.1999999999999993</v>
      </c>
      <c r="K9" s="129">
        <v>9</v>
      </c>
      <c r="L9" s="129">
        <v>8.9</v>
      </c>
      <c r="M9" s="129">
        <v>8</v>
      </c>
      <c r="N9" s="129">
        <v>8</v>
      </c>
      <c r="O9" s="144">
        <v>7.8</v>
      </c>
      <c r="P9" s="713">
        <v>9.2119999999999997</v>
      </c>
      <c r="Q9" s="650">
        <v>8.5299999999999994</v>
      </c>
      <c r="R9" s="269">
        <v>9.2119999999999997</v>
      </c>
      <c r="S9" s="138">
        <v>8.5299999999999994</v>
      </c>
      <c r="T9" s="707">
        <v>0.92500000000000004</v>
      </c>
      <c r="U9" s="257">
        <v>0.92500000000000004</v>
      </c>
      <c r="V9" s="130">
        <v>0.83699999999999997</v>
      </c>
      <c r="W9" s="130">
        <v>0.748</v>
      </c>
      <c r="X9" s="130">
        <v>0.748</v>
      </c>
      <c r="Y9" s="650">
        <v>0.92500000000000004</v>
      </c>
      <c r="Z9" s="650">
        <v>0.92500000000000004</v>
      </c>
      <c r="AA9" s="130">
        <v>0.83699999999999997</v>
      </c>
      <c r="AB9" s="275">
        <v>0.748</v>
      </c>
      <c r="AC9" s="138">
        <v>0.748</v>
      </c>
      <c r="AD9" s="773">
        <v>1987</v>
      </c>
      <c r="AE9" s="774">
        <v>6</v>
      </c>
      <c r="AF9" s="649">
        <v>10</v>
      </c>
      <c r="AG9" s="649">
        <v>9.6999999999999993</v>
      </c>
      <c r="AH9" s="649">
        <v>9.1</v>
      </c>
      <c r="AI9" s="649">
        <v>8.1999999999999993</v>
      </c>
      <c r="AJ9" s="649">
        <v>8.1</v>
      </c>
      <c r="AK9" s="664">
        <v>7.9</v>
      </c>
      <c r="AL9" s="649">
        <v>10</v>
      </c>
      <c r="AM9" s="649">
        <v>9.6999999999999993</v>
      </c>
      <c r="AN9" s="649">
        <v>9.1</v>
      </c>
      <c r="AO9" s="649">
        <v>8.1</v>
      </c>
      <c r="AP9" s="649">
        <v>8.1</v>
      </c>
      <c r="AQ9" s="664">
        <v>7.9</v>
      </c>
      <c r="AR9" s="713">
        <v>9.5540000000000003</v>
      </c>
      <c r="AS9" s="650">
        <v>8.5289999999999999</v>
      </c>
      <c r="AT9" s="718">
        <v>9.5540000000000003</v>
      </c>
      <c r="AU9" s="658">
        <v>8.5289999999999999</v>
      </c>
      <c r="AV9" s="707">
        <v>0.90200000000000002</v>
      </c>
      <c r="AW9" s="707">
        <v>0.90200000000000002</v>
      </c>
      <c r="AX9" s="650">
        <v>0.78100000000000003</v>
      </c>
      <c r="AY9" s="650">
        <v>0.73299999999999998</v>
      </c>
      <c r="AZ9" s="650">
        <v>0.73299999999999998</v>
      </c>
      <c r="BA9" s="650">
        <v>0.90200000000000002</v>
      </c>
      <c r="BB9" s="650">
        <v>0.90200000000000002</v>
      </c>
      <c r="BC9" s="650">
        <v>0.78100000000000003</v>
      </c>
      <c r="BD9" s="724">
        <v>0.73299999999999998</v>
      </c>
      <c r="BE9" s="658">
        <v>0.73299999999999998</v>
      </c>
      <c r="BF9" s="773">
        <v>1987</v>
      </c>
      <c r="BG9" s="774">
        <v>6</v>
      </c>
      <c r="BH9" s="798"/>
      <c r="BI9" s="798"/>
      <c r="BJ9" s="798"/>
      <c r="BK9" s="798"/>
      <c r="BL9" s="798"/>
      <c r="BM9" s="799"/>
      <c r="BN9" s="649">
        <v>6.8</v>
      </c>
      <c r="BO9" s="649">
        <v>6.6</v>
      </c>
      <c r="BP9" s="649">
        <v>3</v>
      </c>
      <c r="BQ9" s="649">
        <v>3</v>
      </c>
      <c r="BR9" s="649">
        <v>3</v>
      </c>
      <c r="BS9" s="664">
        <v>3</v>
      </c>
      <c r="BT9" s="810"/>
      <c r="BU9" s="798"/>
      <c r="BV9" s="811"/>
      <c r="BW9" s="799"/>
      <c r="BX9" s="812"/>
      <c r="BY9" s="812"/>
      <c r="BZ9" s="798"/>
      <c r="CA9" s="798"/>
      <c r="CB9" s="798"/>
      <c r="CC9" s="798"/>
      <c r="CD9" s="798"/>
      <c r="CE9" s="798"/>
      <c r="CF9" s="813"/>
      <c r="CG9" s="799"/>
      <c r="CI9" s="773">
        <v>1987</v>
      </c>
      <c r="CJ9" s="515">
        <v>0</v>
      </c>
      <c r="CK9" s="515">
        <v>1.5</v>
      </c>
      <c r="CL9" s="516">
        <v>4.5</v>
      </c>
    </row>
    <row r="10" spans="2:90" x14ac:dyDescent="0.25">
      <c r="B10" s="513">
        <v>1988</v>
      </c>
      <c r="C10" s="514">
        <v>7</v>
      </c>
      <c r="D10" s="129">
        <v>9.1999999999999993</v>
      </c>
      <c r="E10" s="129">
        <v>9</v>
      </c>
      <c r="F10" s="129">
        <v>8.9</v>
      </c>
      <c r="G10" s="129">
        <v>8</v>
      </c>
      <c r="H10" s="129">
        <v>8</v>
      </c>
      <c r="I10" s="144">
        <v>7.8</v>
      </c>
      <c r="J10" s="129">
        <v>9.1999999999999993</v>
      </c>
      <c r="K10" s="129">
        <v>9</v>
      </c>
      <c r="L10" s="129">
        <v>8.9</v>
      </c>
      <c r="M10" s="129">
        <v>8</v>
      </c>
      <c r="N10" s="129">
        <v>8</v>
      </c>
      <c r="O10" s="144">
        <v>7.8</v>
      </c>
      <c r="P10" s="713">
        <v>9.2119999999999997</v>
      </c>
      <c r="Q10" s="650">
        <v>8.5299999999999994</v>
      </c>
      <c r="R10" s="269">
        <v>9.2119999999999997</v>
      </c>
      <c r="S10" s="138">
        <v>8.5299999999999994</v>
      </c>
      <c r="T10" s="707">
        <v>0.92500000000000004</v>
      </c>
      <c r="U10" s="257">
        <v>0.92500000000000004</v>
      </c>
      <c r="V10" s="130">
        <v>0.83699999999999997</v>
      </c>
      <c r="W10" s="130">
        <v>0.748</v>
      </c>
      <c r="X10" s="130">
        <v>0.748</v>
      </c>
      <c r="Y10" s="650">
        <v>0.92500000000000004</v>
      </c>
      <c r="Z10" s="650">
        <v>0.92500000000000004</v>
      </c>
      <c r="AA10" s="130">
        <v>0.83699999999999997</v>
      </c>
      <c r="AB10" s="275">
        <v>0.748</v>
      </c>
      <c r="AC10" s="138">
        <v>0.748</v>
      </c>
      <c r="AD10" s="773">
        <v>1988</v>
      </c>
      <c r="AE10" s="774">
        <v>7</v>
      </c>
      <c r="AF10" s="649">
        <v>10</v>
      </c>
      <c r="AG10" s="649">
        <v>9.6999999999999993</v>
      </c>
      <c r="AH10" s="649">
        <v>9.1</v>
      </c>
      <c r="AI10" s="649">
        <v>8.1999999999999993</v>
      </c>
      <c r="AJ10" s="649">
        <v>8.1</v>
      </c>
      <c r="AK10" s="664">
        <v>7.9</v>
      </c>
      <c r="AL10" s="649">
        <v>10</v>
      </c>
      <c r="AM10" s="649">
        <v>9.6999999999999993</v>
      </c>
      <c r="AN10" s="649">
        <v>9.1</v>
      </c>
      <c r="AO10" s="649">
        <v>8.1</v>
      </c>
      <c r="AP10" s="649">
        <v>8.1</v>
      </c>
      <c r="AQ10" s="664">
        <v>7.9</v>
      </c>
      <c r="AR10" s="713">
        <v>9.5540000000000003</v>
      </c>
      <c r="AS10" s="650">
        <v>8.5289999999999999</v>
      </c>
      <c r="AT10" s="718">
        <v>9.5540000000000003</v>
      </c>
      <c r="AU10" s="658">
        <v>8.5289999999999999</v>
      </c>
      <c r="AV10" s="707">
        <v>0.90200000000000002</v>
      </c>
      <c r="AW10" s="707">
        <v>0.90200000000000002</v>
      </c>
      <c r="AX10" s="650">
        <v>0.78100000000000003</v>
      </c>
      <c r="AY10" s="650">
        <v>0.73299999999999998</v>
      </c>
      <c r="AZ10" s="650">
        <v>0.73299999999999998</v>
      </c>
      <c r="BA10" s="650">
        <v>0.90200000000000002</v>
      </c>
      <c r="BB10" s="650">
        <v>0.90200000000000002</v>
      </c>
      <c r="BC10" s="650">
        <v>0.78100000000000003</v>
      </c>
      <c r="BD10" s="724">
        <v>0.73299999999999998</v>
      </c>
      <c r="BE10" s="658">
        <v>0.73299999999999998</v>
      </c>
      <c r="BF10" s="773">
        <v>1988</v>
      </c>
      <c r="BG10" s="774">
        <v>7</v>
      </c>
      <c r="BH10" s="798"/>
      <c r="BI10" s="798"/>
      <c r="BJ10" s="798"/>
      <c r="BK10" s="798"/>
      <c r="BL10" s="798"/>
      <c r="BM10" s="799"/>
      <c r="BN10" s="649">
        <v>6.8</v>
      </c>
      <c r="BO10" s="649">
        <v>6.6</v>
      </c>
      <c r="BP10" s="649">
        <v>3</v>
      </c>
      <c r="BQ10" s="649">
        <v>3</v>
      </c>
      <c r="BR10" s="649">
        <v>3</v>
      </c>
      <c r="BS10" s="664">
        <v>3</v>
      </c>
      <c r="BT10" s="810"/>
      <c r="BU10" s="798"/>
      <c r="BV10" s="811"/>
      <c r="BW10" s="799"/>
      <c r="BX10" s="812"/>
      <c r="BY10" s="812"/>
      <c r="BZ10" s="798"/>
      <c r="CA10" s="798"/>
      <c r="CB10" s="798"/>
      <c r="CC10" s="798"/>
      <c r="CD10" s="798"/>
      <c r="CE10" s="798"/>
      <c r="CF10" s="813"/>
      <c r="CG10" s="799"/>
      <c r="CI10" s="773">
        <v>1988</v>
      </c>
      <c r="CJ10" s="515">
        <v>0</v>
      </c>
      <c r="CK10" s="515">
        <v>1.6</v>
      </c>
      <c r="CL10" s="516">
        <v>4.7</v>
      </c>
    </row>
    <row r="11" spans="2:90" x14ac:dyDescent="0.25">
      <c r="B11" s="513">
        <v>1989</v>
      </c>
      <c r="C11" s="514">
        <v>8</v>
      </c>
      <c r="D11" s="129">
        <v>9.1999999999999993</v>
      </c>
      <c r="E11" s="129">
        <v>9</v>
      </c>
      <c r="F11" s="129">
        <v>8.9</v>
      </c>
      <c r="G11" s="129">
        <v>8</v>
      </c>
      <c r="H11" s="129">
        <v>8</v>
      </c>
      <c r="I11" s="144">
        <v>7.8</v>
      </c>
      <c r="J11" s="129">
        <v>9.1999999999999993</v>
      </c>
      <c r="K11" s="129">
        <v>9</v>
      </c>
      <c r="L11" s="129">
        <v>8.9</v>
      </c>
      <c r="M11" s="129">
        <v>8</v>
      </c>
      <c r="N11" s="129">
        <v>8</v>
      </c>
      <c r="O11" s="144">
        <v>7.8</v>
      </c>
      <c r="P11" s="713">
        <v>9.2119999999999997</v>
      </c>
      <c r="Q11" s="650">
        <v>8.5299999999999994</v>
      </c>
      <c r="R11" s="269">
        <v>9.2119999999999997</v>
      </c>
      <c r="S11" s="138">
        <v>8.5299999999999994</v>
      </c>
      <c r="T11" s="707">
        <v>0.92500000000000004</v>
      </c>
      <c r="U11" s="257">
        <v>0.92500000000000004</v>
      </c>
      <c r="V11" s="130">
        <v>0.83699999999999997</v>
      </c>
      <c r="W11" s="130">
        <v>0.748</v>
      </c>
      <c r="X11" s="130">
        <v>0.748</v>
      </c>
      <c r="Y11" s="650">
        <v>0.92500000000000004</v>
      </c>
      <c r="Z11" s="650">
        <v>0.92500000000000004</v>
      </c>
      <c r="AA11" s="130">
        <v>0.83699999999999997</v>
      </c>
      <c r="AB11" s="275">
        <v>0.748</v>
      </c>
      <c r="AC11" s="138">
        <v>0.748</v>
      </c>
      <c r="AD11" s="773">
        <v>1989</v>
      </c>
      <c r="AE11" s="774">
        <v>8</v>
      </c>
      <c r="AF11" s="649">
        <v>10</v>
      </c>
      <c r="AG11" s="649">
        <v>9.6999999999999993</v>
      </c>
      <c r="AH11" s="649">
        <v>9.1</v>
      </c>
      <c r="AI11" s="649">
        <v>8.1999999999999993</v>
      </c>
      <c r="AJ11" s="649">
        <v>8.1</v>
      </c>
      <c r="AK11" s="664">
        <v>7.9</v>
      </c>
      <c r="AL11" s="649">
        <v>10</v>
      </c>
      <c r="AM11" s="649">
        <v>9.6999999999999993</v>
      </c>
      <c r="AN11" s="649">
        <v>9.1</v>
      </c>
      <c r="AO11" s="649">
        <v>8.1</v>
      </c>
      <c r="AP11" s="649">
        <v>8.1</v>
      </c>
      <c r="AQ11" s="664">
        <v>7.9</v>
      </c>
      <c r="AR11" s="713">
        <v>9.5540000000000003</v>
      </c>
      <c r="AS11" s="650">
        <v>8.5289999999999999</v>
      </c>
      <c r="AT11" s="718">
        <v>9.5540000000000003</v>
      </c>
      <c r="AU11" s="658">
        <v>8.5289999999999999</v>
      </c>
      <c r="AV11" s="707">
        <v>0.90200000000000002</v>
      </c>
      <c r="AW11" s="707">
        <v>0.90200000000000002</v>
      </c>
      <c r="AX11" s="650">
        <v>0.78100000000000003</v>
      </c>
      <c r="AY11" s="650">
        <v>0.73299999999999998</v>
      </c>
      <c r="AZ11" s="650">
        <v>0.73299999999999998</v>
      </c>
      <c r="BA11" s="650">
        <v>0.90200000000000002</v>
      </c>
      <c r="BB11" s="650">
        <v>0.90200000000000002</v>
      </c>
      <c r="BC11" s="650">
        <v>0.78100000000000003</v>
      </c>
      <c r="BD11" s="724">
        <v>0.73299999999999998</v>
      </c>
      <c r="BE11" s="658">
        <v>0.73299999999999998</v>
      </c>
      <c r="BF11" s="773">
        <v>1989</v>
      </c>
      <c r="BG11" s="774">
        <v>8</v>
      </c>
      <c r="BH11" s="798"/>
      <c r="BI11" s="798"/>
      <c r="BJ11" s="798"/>
      <c r="BK11" s="798"/>
      <c r="BL11" s="798"/>
      <c r="BM11" s="799"/>
      <c r="BN11" s="649">
        <v>6.8</v>
      </c>
      <c r="BO11" s="649">
        <v>6.6</v>
      </c>
      <c r="BP11" s="649">
        <v>3</v>
      </c>
      <c r="BQ11" s="649">
        <v>3</v>
      </c>
      <c r="BR11" s="649">
        <v>3</v>
      </c>
      <c r="BS11" s="664">
        <v>3</v>
      </c>
      <c r="BT11" s="810"/>
      <c r="BU11" s="798"/>
      <c r="BV11" s="811"/>
      <c r="BW11" s="799"/>
      <c r="BX11" s="812"/>
      <c r="BY11" s="812"/>
      <c r="BZ11" s="798"/>
      <c r="CA11" s="798"/>
      <c r="CB11" s="798"/>
      <c r="CC11" s="798"/>
      <c r="CD11" s="798"/>
      <c r="CE11" s="798"/>
      <c r="CF11" s="813"/>
      <c r="CG11" s="799"/>
      <c r="CI11" s="773">
        <v>1989</v>
      </c>
      <c r="CJ11" s="515">
        <v>0</v>
      </c>
      <c r="CK11" s="515">
        <v>1.8</v>
      </c>
      <c r="CL11" s="516">
        <v>4.9000000000000004</v>
      </c>
    </row>
    <row r="12" spans="2:90" x14ac:dyDescent="0.25">
      <c r="B12" s="137">
        <v>1990</v>
      </c>
      <c r="C12" s="171">
        <v>9</v>
      </c>
      <c r="D12" s="129">
        <v>9.1999999999999993</v>
      </c>
      <c r="E12" s="129">
        <v>9</v>
      </c>
      <c r="F12" s="129">
        <v>8.9</v>
      </c>
      <c r="G12" s="129">
        <v>8</v>
      </c>
      <c r="H12" s="129">
        <v>8</v>
      </c>
      <c r="I12" s="144">
        <v>7.8</v>
      </c>
      <c r="J12" s="129">
        <v>9.1999999999999993</v>
      </c>
      <c r="K12" s="129">
        <v>9</v>
      </c>
      <c r="L12" s="129">
        <v>8.9</v>
      </c>
      <c r="M12" s="129">
        <v>8</v>
      </c>
      <c r="N12" s="129">
        <v>8</v>
      </c>
      <c r="O12" s="144">
        <v>7.8</v>
      </c>
      <c r="P12" s="713">
        <v>9.2119999999999997</v>
      </c>
      <c r="Q12" s="650">
        <v>8.5299999999999994</v>
      </c>
      <c r="R12" s="269">
        <v>9.2119999999999997</v>
      </c>
      <c r="S12" s="138">
        <v>8.5299999999999994</v>
      </c>
      <c r="T12" s="707">
        <v>0.92500000000000004</v>
      </c>
      <c r="U12" s="257">
        <v>0.92500000000000004</v>
      </c>
      <c r="V12" s="130">
        <v>0.83699999999999997</v>
      </c>
      <c r="W12" s="130">
        <v>0.748</v>
      </c>
      <c r="X12" s="130">
        <v>0.748</v>
      </c>
      <c r="Y12" s="650">
        <v>0.92500000000000004</v>
      </c>
      <c r="Z12" s="650">
        <v>0.92500000000000004</v>
      </c>
      <c r="AA12" s="130">
        <v>0.83699999999999997</v>
      </c>
      <c r="AB12" s="275">
        <v>0.748</v>
      </c>
      <c r="AC12" s="138">
        <v>0.748</v>
      </c>
      <c r="AD12" s="657">
        <v>1990</v>
      </c>
      <c r="AE12" s="171">
        <v>9</v>
      </c>
      <c r="AF12" s="649">
        <v>10</v>
      </c>
      <c r="AG12" s="649">
        <v>9.6999999999999993</v>
      </c>
      <c r="AH12" s="649">
        <v>9.1</v>
      </c>
      <c r="AI12" s="649">
        <v>8.1999999999999993</v>
      </c>
      <c r="AJ12" s="649">
        <v>8.1</v>
      </c>
      <c r="AK12" s="664">
        <v>7.9</v>
      </c>
      <c r="AL12" s="649">
        <v>10</v>
      </c>
      <c r="AM12" s="649">
        <v>9.6999999999999993</v>
      </c>
      <c r="AN12" s="649">
        <v>9.1</v>
      </c>
      <c r="AO12" s="649">
        <v>8.1</v>
      </c>
      <c r="AP12" s="649">
        <v>8.1</v>
      </c>
      <c r="AQ12" s="664">
        <v>7.9</v>
      </c>
      <c r="AR12" s="713">
        <v>9.5540000000000003</v>
      </c>
      <c r="AS12" s="650">
        <v>8.5289999999999999</v>
      </c>
      <c r="AT12" s="718">
        <v>9.5540000000000003</v>
      </c>
      <c r="AU12" s="658">
        <v>8.5289999999999999</v>
      </c>
      <c r="AV12" s="707">
        <v>0.90200000000000002</v>
      </c>
      <c r="AW12" s="707">
        <v>0.90200000000000002</v>
      </c>
      <c r="AX12" s="650">
        <v>0.78100000000000003</v>
      </c>
      <c r="AY12" s="650">
        <v>0.73299999999999998</v>
      </c>
      <c r="AZ12" s="650">
        <v>0.73299999999999998</v>
      </c>
      <c r="BA12" s="650">
        <v>0.90200000000000002</v>
      </c>
      <c r="BB12" s="650">
        <v>0.90200000000000002</v>
      </c>
      <c r="BC12" s="650">
        <v>0.78100000000000003</v>
      </c>
      <c r="BD12" s="724">
        <v>0.73299999999999998</v>
      </c>
      <c r="BE12" s="658">
        <v>0.73299999999999998</v>
      </c>
      <c r="BF12" s="657">
        <v>1990</v>
      </c>
      <c r="BG12" s="171">
        <v>9</v>
      </c>
      <c r="BH12" s="798"/>
      <c r="BI12" s="798"/>
      <c r="BJ12" s="798"/>
      <c r="BK12" s="798"/>
      <c r="BL12" s="798"/>
      <c r="BM12" s="799"/>
      <c r="BN12" s="649">
        <v>6.8</v>
      </c>
      <c r="BO12" s="649">
        <v>6.6</v>
      </c>
      <c r="BP12" s="649">
        <v>3</v>
      </c>
      <c r="BQ12" s="649">
        <v>3</v>
      </c>
      <c r="BR12" s="649">
        <v>3</v>
      </c>
      <c r="BS12" s="664">
        <v>3</v>
      </c>
      <c r="BT12" s="810"/>
      <c r="BU12" s="798"/>
      <c r="BV12" s="811"/>
      <c r="BW12" s="799"/>
      <c r="BX12" s="812"/>
      <c r="BY12" s="812"/>
      <c r="BZ12" s="798"/>
      <c r="CA12" s="798"/>
      <c r="CB12" s="798"/>
      <c r="CC12" s="798"/>
      <c r="CD12" s="798"/>
      <c r="CE12" s="798"/>
      <c r="CF12" s="813"/>
      <c r="CG12" s="799"/>
      <c r="CI12" s="657">
        <v>1990</v>
      </c>
      <c r="CJ12" s="649">
        <v>0</v>
      </c>
      <c r="CK12" s="649">
        <v>1.9</v>
      </c>
      <c r="CL12" s="664">
        <v>5.0999999999999996</v>
      </c>
    </row>
    <row r="13" spans="2:90" x14ac:dyDescent="0.25">
      <c r="B13" s="137">
        <v>1991</v>
      </c>
      <c r="C13" s="514">
        <v>10</v>
      </c>
      <c r="D13" s="129">
        <v>9.1999999999999993</v>
      </c>
      <c r="E13" s="129">
        <v>9</v>
      </c>
      <c r="F13" s="129">
        <v>8.9</v>
      </c>
      <c r="G13" s="129">
        <v>8</v>
      </c>
      <c r="H13" s="129">
        <v>8</v>
      </c>
      <c r="I13" s="144">
        <v>7.8</v>
      </c>
      <c r="J13" s="129">
        <v>9.1999999999999993</v>
      </c>
      <c r="K13" s="129">
        <v>9</v>
      </c>
      <c r="L13" s="129">
        <v>8.9</v>
      </c>
      <c r="M13" s="129">
        <v>8</v>
      </c>
      <c r="N13" s="129">
        <v>8</v>
      </c>
      <c r="O13" s="144">
        <v>7.8</v>
      </c>
      <c r="P13" s="713">
        <v>9.2119999999999997</v>
      </c>
      <c r="Q13" s="650">
        <v>8.5299999999999994</v>
      </c>
      <c r="R13" s="269">
        <v>9.2119999999999997</v>
      </c>
      <c r="S13" s="138">
        <v>8.5299999999999994</v>
      </c>
      <c r="T13" s="707">
        <v>0.92500000000000004</v>
      </c>
      <c r="U13" s="257">
        <v>0.92500000000000004</v>
      </c>
      <c r="V13" s="130">
        <v>0.83699999999999997</v>
      </c>
      <c r="W13" s="130">
        <v>0.748</v>
      </c>
      <c r="X13" s="130">
        <v>0.748</v>
      </c>
      <c r="Y13" s="650">
        <v>0.92500000000000004</v>
      </c>
      <c r="Z13" s="650">
        <v>0.92500000000000004</v>
      </c>
      <c r="AA13" s="130">
        <v>0.83699999999999997</v>
      </c>
      <c r="AB13" s="275">
        <v>0.748</v>
      </c>
      <c r="AC13" s="138">
        <v>0.748</v>
      </c>
      <c r="AD13" s="657">
        <v>1991</v>
      </c>
      <c r="AE13" s="774">
        <v>10</v>
      </c>
      <c r="AF13" s="649">
        <v>10</v>
      </c>
      <c r="AG13" s="649">
        <v>9.6999999999999993</v>
      </c>
      <c r="AH13" s="649">
        <v>9.1</v>
      </c>
      <c r="AI13" s="649">
        <v>8.1999999999999993</v>
      </c>
      <c r="AJ13" s="649">
        <v>8.1</v>
      </c>
      <c r="AK13" s="664">
        <v>7.9</v>
      </c>
      <c r="AL13" s="649">
        <v>10</v>
      </c>
      <c r="AM13" s="649">
        <v>9.6999999999999993</v>
      </c>
      <c r="AN13" s="649">
        <v>9.1</v>
      </c>
      <c r="AO13" s="649">
        <v>8.1</v>
      </c>
      <c r="AP13" s="649">
        <v>8.1</v>
      </c>
      <c r="AQ13" s="664">
        <v>7.9</v>
      </c>
      <c r="AR13" s="713">
        <v>9.5540000000000003</v>
      </c>
      <c r="AS13" s="650">
        <v>8.5289999999999999</v>
      </c>
      <c r="AT13" s="718">
        <v>9.5540000000000003</v>
      </c>
      <c r="AU13" s="658">
        <v>8.5289999999999999</v>
      </c>
      <c r="AV13" s="707">
        <v>0.90200000000000002</v>
      </c>
      <c r="AW13" s="707">
        <v>0.90200000000000002</v>
      </c>
      <c r="AX13" s="650">
        <v>0.78100000000000003</v>
      </c>
      <c r="AY13" s="650">
        <v>0.73299999999999998</v>
      </c>
      <c r="AZ13" s="650">
        <v>0.73299999999999998</v>
      </c>
      <c r="BA13" s="650">
        <v>0.90200000000000002</v>
      </c>
      <c r="BB13" s="650">
        <v>0.90200000000000002</v>
      </c>
      <c r="BC13" s="650">
        <v>0.78100000000000003</v>
      </c>
      <c r="BD13" s="724">
        <v>0.73299999999999998</v>
      </c>
      <c r="BE13" s="658">
        <v>0.73299999999999998</v>
      </c>
      <c r="BF13" s="657">
        <v>1991</v>
      </c>
      <c r="BG13" s="774">
        <v>10</v>
      </c>
      <c r="BH13" s="798"/>
      <c r="BI13" s="798"/>
      <c r="BJ13" s="798"/>
      <c r="BK13" s="798"/>
      <c r="BL13" s="798"/>
      <c r="BM13" s="799"/>
      <c r="BN13" s="649">
        <v>6.8</v>
      </c>
      <c r="BO13" s="649">
        <v>6.6</v>
      </c>
      <c r="BP13" s="649">
        <v>3</v>
      </c>
      <c r="BQ13" s="649">
        <v>3</v>
      </c>
      <c r="BR13" s="649">
        <v>3</v>
      </c>
      <c r="BS13" s="664">
        <v>3</v>
      </c>
      <c r="BT13" s="810"/>
      <c r="BU13" s="798"/>
      <c r="BV13" s="811"/>
      <c r="BW13" s="799"/>
      <c r="BX13" s="812"/>
      <c r="BY13" s="812"/>
      <c r="BZ13" s="798"/>
      <c r="CA13" s="798"/>
      <c r="CB13" s="798"/>
      <c r="CC13" s="798"/>
      <c r="CD13" s="798"/>
      <c r="CE13" s="798"/>
      <c r="CF13" s="813"/>
      <c r="CG13" s="799"/>
      <c r="CI13" s="657">
        <v>1991</v>
      </c>
      <c r="CJ13" s="649">
        <v>0</v>
      </c>
      <c r="CK13" s="649">
        <v>2.1</v>
      </c>
      <c r="CL13" s="664">
        <v>5.4</v>
      </c>
    </row>
    <row r="14" spans="2:90" x14ac:dyDescent="0.25">
      <c r="B14" s="137">
        <v>1992</v>
      </c>
      <c r="C14" s="171">
        <v>11</v>
      </c>
      <c r="D14" s="129">
        <v>9.1999999999999993</v>
      </c>
      <c r="E14" s="129">
        <v>9</v>
      </c>
      <c r="F14" s="129">
        <v>8.9</v>
      </c>
      <c r="G14" s="129">
        <v>8.3000000000000007</v>
      </c>
      <c r="H14" s="129">
        <v>8.3000000000000007</v>
      </c>
      <c r="I14" s="144">
        <v>8</v>
      </c>
      <c r="J14" s="129">
        <v>9.1999999999999993</v>
      </c>
      <c r="K14" s="129">
        <v>9</v>
      </c>
      <c r="L14" s="129">
        <v>8.9</v>
      </c>
      <c r="M14" s="129">
        <v>8.3000000000000007</v>
      </c>
      <c r="N14" s="129">
        <v>8.3000000000000007</v>
      </c>
      <c r="O14" s="144">
        <v>8.5</v>
      </c>
      <c r="P14" s="713">
        <v>9.2119999999999997</v>
      </c>
      <c r="Q14" s="650">
        <v>8.5299999999999994</v>
      </c>
      <c r="R14" s="269">
        <v>9.2119999999999997</v>
      </c>
      <c r="S14" s="138">
        <v>8.5299999999999994</v>
      </c>
      <c r="T14" s="707">
        <v>0.92500000000000004</v>
      </c>
      <c r="U14" s="257">
        <v>0.92500000000000004</v>
      </c>
      <c r="V14" s="130">
        <v>0.83699999999999997</v>
      </c>
      <c r="W14" s="130">
        <v>0.748</v>
      </c>
      <c r="X14" s="130">
        <v>0.748</v>
      </c>
      <c r="Y14" s="650">
        <v>0.92500000000000004</v>
      </c>
      <c r="Z14" s="650">
        <v>0.92500000000000004</v>
      </c>
      <c r="AA14" s="130">
        <v>0.83699999999999997</v>
      </c>
      <c r="AB14" s="275">
        <v>0.748</v>
      </c>
      <c r="AC14" s="138">
        <v>0.748</v>
      </c>
      <c r="AD14" s="657">
        <v>1992</v>
      </c>
      <c r="AE14" s="171">
        <v>11</v>
      </c>
      <c r="AF14" s="649">
        <v>10</v>
      </c>
      <c r="AG14" s="649">
        <v>9.6999999999999993</v>
      </c>
      <c r="AH14" s="649">
        <v>9.1</v>
      </c>
      <c r="AI14" s="649">
        <v>8.5</v>
      </c>
      <c r="AJ14" s="649">
        <v>8.4</v>
      </c>
      <c r="AK14" s="664">
        <v>8.1</v>
      </c>
      <c r="AL14" s="649">
        <v>10</v>
      </c>
      <c r="AM14" s="649">
        <v>9.6999999999999993</v>
      </c>
      <c r="AN14" s="649">
        <v>9.1</v>
      </c>
      <c r="AO14" s="649">
        <v>8.4</v>
      </c>
      <c r="AP14" s="649">
        <v>8.4</v>
      </c>
      <c r="AQ14" s="664">
        <v>8.6</v>
      </c>
      <c r="AR14" s="713">
        <v>9.5540000000000003</v>
      </c>
      <c r="AS14" s="650">
        <v>8.5289999999999999</v>
      </c>
      <c r="AT14" s="718">
        <v>9.5540000000000003</v>
      </c>
      <c r="AU14" s="658">
        <v>8.5289999999999999</v>
      </c>
      <c r="AV14" s="707">
        <v>0.90200000000000002</v>
      </c>
      <c r="AW14" s="707">
        <v>0.90200000000000002</v>
      </c>
      <c r="AX14" s="650">
        <v>0.78100000000000003</v>
      </c>
      <c r="AY14" s="650">
        <v>0.73299999999999998</v>
      </c>
      <c r="AZ14" s="650">
        <v>0.73299999999999998</v>
      </c>
      <c r="BA14" s="650">
        <v>0.90200000000000002</v>
      </c>
      <c r="BB14" s="650">
        <v>0.90200000000000002</v>
      </c>
      <c r="BC14" s="650">
        <v>0.78100000000000003</v>
      </c>
      <c r="BD14" s="724">
        <v>0.73299999999999998</v>
      </c>
      <c r="BE14" s="658">
        <v>0.73299999999999998</v>
      </c>
      <c r="BF14" s="657">
        <v>1992</v>
      </c>
      <c r="BG14" s="171">
        <v>11</v>
      </c>
      <c r="BH14" s="798"/>
      <c r="BI14" s="798"/>
      <c r="BJ14" s="798"/>
      <c r="BK14" s="798"/>
      <c r="BL14" s="798"/>
      <c r="BM14" s="799"/>
      <c r="BN14" s="649">
        <v>6.8</v>
      </c>
      <c r="BO14" s="649">
        <v>6.6</v>
      </c>
      <c r="BP14" s="649">
        <v>3</v>
      </c>
      <c r="BQ14" s="649">
        <v>3</v>
      </c>
      <c r="BR14" s="649">
        <v>3</v>
      </c>
      <c r="BS14" s="664">
        <v>3</v>
      </c>
      <c r="BT14" s="810"/>
      <c r="BU14" s="798"/>
      <c r="BV14" s="811"/>
      <c r="BW14" s="799"/>
      <c r="BX14" s="812"/>
      <c r="BY14" s="812"/>
      <c r="BZ14" s="798"/>
      <c r="CA14" s="798"/>
      <c r="CB14" s="798"/>
      <c r="CC14" s="798"/>
      <c r="CD14" s="798"/>
      <c r="CE14" s="798"/>
      <c r="CF14" s="813"/>
      <c r="CG14" s="799"/>
      <c r="CI14" s="657">
        <v>1992</v>
      </c>
      <c r="CJ14" s="649">
        <v>0</v>
      </c>
      <c r="CK14" s="649">
        <v>2.4</v>
      </c>
      <c r="CL14" s="664">
        <v>5.6</v>
      </c>
    </row>
    <row r="15" spans="2:90" x14ac:dyDescent="0.25">
      <c r="B15" s="137">
        <v>1993</v>
      </c>
      <c r="C15" s="514">
        <v>12</v>
      </c>
      <c r="D15" s="129">
        <v>9.1999999999999993</v>
      </c>
      <c r="E15" s="129">
        <v>9</v>
      </c>
      <c r="F15" s="129">
        <v>8.9</v>
      </c>
      <c r="G15" s="129">
        <v>8.3000000000000007</v>
      </c>
      <c r="H15" s="129">
        <v>8.3000000000000007</v>
      </c>
      <c r="I15" s="144">
        <v>8</v>
      </c>
      <c r="J15" s="129">
        <v>9.1999999999999993</v>
      </c>
      <c r="K15" s="129">
        <v>9</v>
      </c>
      <c r="L15" s="129">
        <v>8.9</v>
      </c>
      <c r="M15" s="129">
        <v>8.3000000000000007</v>
      </c>
      <c r="N15" s="129">
        <v>8.3000000000000007</v>
      </c>
      <c r="O15" s="144">
        <v>8.5</v>
      </c>
      <c r="P15" s="713">
        <v>9.2119999999999997</v>
      </c>
      <c r="Q15" s="650">
        <v>8.5299999999999994</v>
      </c>
      <c r="R15" s="269">
        <v>9.2119999999999997</v>
      </c>
      <c r="S15" s="138">
        <v>8.5299999999999994</v>
      </c>
      <c r="T15" s="707">
        <v>0.92500000000000004</v>
      </c>
      <c r="U15" s="257">
        <v>0.92500000000000004</v>
      </c>
      <c r="V15" s="130">
        <v>0.83699999999999997</v>
      </c>
      <c r="W15" s="130">
        <v>0.748</v>
      </c>
      <c r="X15" s="130">
        <v>0.748</v>
      </c>
      <c r="Y15" s="650">
        <v>0.92500000000000004</v>
      </c>
      <c r="Z15" s="650">
        <v>0.92500000000000004</v>
      </c>
      <c r="AA15" s="130">
        <v>0.83699999999999997</v>
      </c>
      <c r="AB15" s="275">
        <v>0.748</v>
      </c>
      <c r="AC15" s="138">
        <v>0.748</v>
      </c>
      <c r="AD15" s="657">
        <v>1993</v>
      </c>
      <c r="AE15" s="774">
        <v>12</v>
      </c>
      <c r="AF15" s="649">
        <v>10</v>
      </c>
      <c r="AG15" s="649">
        <v>9.6999999999999993</v>
      </c>
      <c r="AH15" s="649">
        <v>9.1</v>
      </c>
      <c r="AI15" s="649">
        <v>8.5</v>
      </c>
      <c r="AJ15" s="649">
        <v>8.4</v>
      </c>
      <c r="AK15" s="664">
        <v>8.1</v>
      </c>
      <c r="AL15" s="649">
        <v>10</v>
      </c>
      <c r="AM15" s="649">
        <v>9.6999999999999993</v>
      </c>
      <c r="AN15" s="649">
        <v>9.1</v>
      </c>
      <c r="AO15" s="649">
        <v>8.4</v>
      </c>
      <c r="AP15" s="649">
        <v>8.4</v>
      </c>
      <c r="AQ15" s="664">
        <v>8.6</v>
      </c>
      <c r="AR15" s="713">
        <v>9.5540000000000003</v>
      </c>
      <c r="AS15" s="650">
        <v>8.5289999999999999</v>
      </c>
      <c r="AT15" s="718">
        <v>9.5540000000000003</v>
      </c>
      <c r="AU15" s="658">
        <v>8.5289999999999999</v>
      </c>
      <c r="AV15" s="707">
        <v>0.90200000000000002</v>
      </c>
      <c r="AW15" s="707">
        <v>0.90200000000000002</v>
      </c>
      <c r="AX15" s="650">
        <v>0.78100000000000003</v>
      </c>
      <c r="AY15" s="650">
        <v>0.73299999999999998</v>
      </c>
      <c r="AZ15" s="650">
        <v>0.73299999999999998</v>
      </c>
      <c r="BA15" s="650">
        <v>0.90200000000000002</v>
      </c>
      <c r="BB15" s="650">
        <v>0.90200000000000002</v>
      </c>
      <c r="BC15" s="650">
        <v>0.78100000000000003</v>
      </c>
      <c r="BD15" s="724">
        <v>0.73299999999999998</v>
      </c>
      <c r="BE15" s="658">
        <v>0.73299999999999998</v>
      </c>
      <c r="BF15" s="657">
        <v>1993</v>
      </c>
      <c r="BG15" s="774">
        <v>12</v>
      </c>
      <c r="BH15" s="798"/>
      <c r="BI15" s="798"/>
      <c r="BJ15" s="798"/>
      <c r="BK15" s="798"/>
      <c r="BL15" s="798"/>
      <c r="BM15" s="799"/>
      <c r="BN15" s="649">
        <v>6.8</v>
      </c>
      <c r="BO15" s="649">
        <v>6.6</v>
      </c>
      <c r="BP15" s="649">
        <v>3</v>
      </c>
      <c r="BQ15" s="649">
        <v>3</v>
      </c>
      <c r="BR15" s="649">
        <v>3</v>
      </c>
      <c r="BS15" s="664">
        <v>3</v>
      </c>
      <c r="BT15" s="810"/>
      <c r="BU15" s="798"/>
      <c r="BV15" s="811"/>
      <c r="BW15" s="799"/>
      <c r="BX15" s="812"/>
      <c r="BY15" s="812"/>
      <c r="BZ15" s="798"/>
      <c r="CA15" s="798"/>
      <c r="CB15" s="798"/>
      <c r="CC15" s="798"/>
      <c r="CD15" s="798"/>
      <c r="CE15" s="798"/>
      <c r="CF15" s="813"/>
      <c r="CG15" s="799"/>
      <c r="CI15" s="657">
        <v>1993</v>
      </c>
      <c r="CJ15" s="649">
        <v>1</v>
      </c>
      <c r="CK15" s="649">
        <v>2.6</v>
      </c>
      <c r="CL15" s="664">
        <v>5.9</v>
      </c>
    </row>
    <row r="16" spans="2:90" x14ac:dyDescent="0.25">
      <c r="B16" s="137">
        <v>1994</v>
      </c>
      <c r="C16" s="171">
        <v>13</v>
      </c>
      <c r="D16" s="129">
        <v>9.1999999999999993</v>
      </c>
      <c r="E16" s="129">
        <v>9</v>
      </c>
      <c r="F16" s="129">
        <v>8.9</v>
      </c>
      <c r="G16" s="129">
        <v>8.3000000000000007</v>
      </c>
      <c r="H16" s="129">
        <v>8.3000000000000007</v>
      </c>
      <c r="I16" s="144">
        <v>8</v>
      </c>
      <c r="J16" s="129">
        <v>9.1999999999999993</v>
      </c>
      <c r="K16" s="129">
        <v>9</v>
      </c>
      <c r="L16" s="129">
        <v>8.9</v>
      </c>
      <c r="M16" s="129">
        <v>8.3000000000000007</v>
      </c>
      <c r="N16" s="129">
        <v>8.3000000000000007</v>
      </c>
      <c r="O16" s="144">
        <v>8.5</v>
      </c>
      <c r="P16" s="713">
        <v>9.2119999999999997</v>
      </c>
      <c r="Q16" s="650">
        <v>8.5299999999999994</v>
      </c>
      <c r="R16" s="269">
        <v>9.2119999999999997</v>
      </c>
      <c r="S16" s="138">
        <v>8.5299999999999994</v>
      </c>
      <c r="T16" s="707">
        <v>0.92500000000000004</v>
      </c>
      <c r="U16" s="257">
        <v>0.92500000000000004</v>
      </c>
      <c r="V16" s="130">
        <v>0.83699999999999997</v>
      </c>
      <c r="W16" s="130">
        <v>0.748</v>
      </c>
      <c r="X16" s="130">
        <v>0.748</v>
      </c>
      <c r="Y16" s="650">
        <v>0.92500000000000004</v>
      </c>
      <c r="Z16" s="650">
        <v>0.92500000000000004</v>
      </c>
      <c r="AA16" s="130">
        <v>0.83699999999999997</v>
      </c>
      <c r="AB16" s="275">
        <v>0.748</v>
      </c>
      <c r="AC16" s="138">
        <v>0.748</v>
      </c>
      <c r="AD16" s="657">
        <v>1994</v>
      </c>
      <c r="AE16" s="171">
        <v>13</v>
      </c>
      <c r="AF16" s="649">
        <v>10</v>
      </c>
      <c r="AG16" s="649">
        <v>9.6999999999999993</v>
      </c>
      <c r="AH16" s="649">
        <v>9.1</v>
      </c>
      <c r="AI16" s="649">
        <v>8.5</v>
      </c>
      <c r="AJ16" s="649">
        <v>8.4</v>
      </c>
      <c r="AK16" s="664">
        <v>8.1</v>
      </c>
      <c r="AL16" s="649">
        <v>10</v>
      </c>
      <c r="AM16" s="649">
        <v>9.6999999999999993</v>
      </c>
      <c r="AN16" s="649">
        <v>9.1</v>
      </c>
      <c r="AO16" s="649">
        <v>8.4</v>
      </c>
      <c r="AP16" s="649">
        <v>8.4</v>
      </c>
      <c r="AQ16" s="664">
        <v>8.6</v>
      </c>
      <c r="AR16" s="713">
        <v>9.5540000000000003</v>
      </c>
      <c r="AS16" s="650">
        <v>8.5289999999999999</v>
      </c>
      <c r="AT16" s="718">
        <v>9.5540000000000003</v>
      </c>
      <c r="AU16" s="658">
        <v>8.5289999999999999</v>
      </c>
      <c r="AV16" s="707">
        <v>0.90200000000000002</v>
      </c>
      <c r="AW16" s="707">
        <v>0.90200000000000002</v>
      </c>
      <c r="AX16" s="650">
        <v>0.78100000000000003</v>
      </c>
      <c r="AY16" s="650">
        <v>0.73299999999999998</v>
      </c>
      <c r="AZ16" s="650">
        <v>0.73299999999999998</v>
      </c>
      <c r="BA16" s="650">
        <v>0.90200000000000002</v>
      </c>
      <c r="BB16" s="650">
        <v>0.90200000000000002</v>
      </c>
      <c r="BC16" s="650">
        <v>0.78100000000000003</v>
      </c>
      <c r="BD16" s="724">
        <v>0.73299999999999998</v>
      </c>
      <c r="BE16" s="658">
        <v>0.73299999999999998</v>
      </c>
      <c r="BF16" s="657">
        <v>1994</v>
      </c>
      <c r="BG16" s="171">
        <v>13</v>
      </c>
      <c r="BH16" s="798"/>
      <c r="BI16" s="798"/>
      <c r="BJ16" s="798"/>
      <c r="BK16" s="798"/>
      <c r="BL16" s="798"/>
      <c r="BM16" s="799"/>
      <c r="BN16" s="649">
        <v>6.8</v>
      </c>
      <c r="BO16" s="649">
        <v>6.6</v>
      </c>
      <c r="BP16" s="649">
        <v>3</v>
      </c>
      <c r="BQ16" s="649">
        <v>3</v>
      </c>
      <c r="BR16" s="649">
        <v>3</v>
      </c>
      <c r="BS16" s="664">
        <v>3</v>
      </c>
      <c r="BT16" s="810"/>
      <c r="BU16" s="798"/>
      <c r="BV16" s="811"/>
      <c r="BW16" s="799"/>
      <c r="BX16" s="812"/>
      <c r="BY16" s="812"/>
      <c r="BZ16" s="798"/>
      <c r="CA16" s="798"/>
      <c r="CB16" s="798"/>
      <c r="CC16" s="798"/>
      <c r="CD16" s="798"/>
      <c r="CE16" s="798"/>
      <c r="CF16" s="813"/>
      <c r="CG16" s="799"/>
      <c r="CI16" s="657">
        <v>1994</v>
      </c>
      <c r="CJ16" s="649">
        <v>1.1000000000000001</v>
      </c>
      <c r="CK16" s="649">
        <v>2.9</v>
      </c>
      <c r="CL16" s="664">
        <v>6.3</v>
      </c>
    </row>
    <row r="17" spans="2:90" x14ac:dyDescent="0.25">
      <c r="B17" s="137">
        <v>1995</v>
      </c>
      <c r="C17" s="514">
        <v>14</v>
      </c>
      <c r="D17" s="129">
        <v>9.1999999999999993</v>
      </c>
      <c r="E17" s="129">
        <v>9</v>
      </c>
      <c r="F17" s="129">
        <v>8.9</v>
      </c>
      <c r="G17" s="129">
        <v>8.3000000000000007</v>
      </c>
      <c r="H17" s="129">
        <v>8.3000000000000007</v>
      </c>
      <c r="I17" s="144">
        <v>8</v>
      </c>
      <c r="J17" s="129">
        <v>9.1999999999999993</v>
      </c>
      <c r="K17" s="129">
        <v>9</v>
      </c>
      <c r="L17" s="129">
        <v>8.9</v>
      </c>
      <c r="M17" s="129">
        <v>8.3000000000000007</v>
      </c>
      <c r="N17" s="129">
        <v>8.3000000000000007</v>
      </c>
      <c r="O17" s="144">
        <v>8.5</v>
      </c>
      <c r="P17" s="713">
        <v>9.2119999999999997</v>
      </c>
      <c r="Q17" s="650">
        <v>8.5299999999999994</v>
      </c>
      <c r="R17" s="269">
        <v>9.2119999999999997</v>
      </c>
      <c r="S17" s="138">
        <v>8.5299999999999994</v>
      </c>
      <c r="T17" s="707">
        <v>0.92500000000000004</v>
      </c>
      <c r="U17" s="257">
        <v>0.92500000000000004</v>
      </c>
      <c r="V17" s="130">
        <v>0.83699999999999997</v>
      </c>
      <c r="W17" s="130">
        <v>0.748</v>
      </c>
      <c r="X17" s="130">
        <v>0.748</v>
      </c>
      <c r="Y17" s="650">
        <v>0.92500000000000004</v>
      </c>
      <c r="Z17" s="650">
        <v>0.92500000000000004</v>
      </c>
      <c r="AA17" s="130">
        <v>0.83699999999999997</v>
      </c>
      <c r="AB17" s="275">
        <v>0.748</v>
      </c>
      <c r="AC17" s="138">
        <v>0.748</v>
      </c>
      <c r="AD17" s="657">
        <v>1995</v>
      </c>
      <c r="AE17" s="774">
        <v>14</v>
      </c>
      <c r="AF17" s="649">
        <v>10</v>
      </c>
      <c r="AG17" s="649">
        <v>9.6999999999999993</v>
      </c>
      <c r="AH17" s="649">
        <v>9.1</v>
      </c>
      <c r="AI17" s="649">
        <v>8.5</v>
      </c>
      <c r="AJ17" s="649">
        <v>8.4</v>
      </c>
      <c r="AK17" s="664">
        <v>8.1</v>
      </c>
      <c r="AL17" s="649">
        <v>10</v>
      </c>
      <c r="AM17" s="649">
        <v>9.6999999999999993</v>
      </c>
      <c r="AN17" s="649">
        <v>9.1</v>
      </c>
      <c r="AO17" s="649">
        <v>8.4</v>
      </c>
      <c r="AP17" s="649">
        <v>8.4</v>
      </c>
      <c r="AQ17" s="664">
        <v>8.6</v>
      </c>
      <c r="AR17" s="713">
        <v>9.5540000000000003</v>
      </c>
      <c r="AS17" s="650">
        <v>8.5289999999999999</v>
      </c>
      <c r="AT17" s="718">
        <v>9.5540000000000003</v>
      </c>
      <c r="AU17" s="658">
        <v>8.5289999999999999</v>
      </c>
      <c r="AV17" s="707">
        <v>0.90200000000000002</v>
      </c>
      <c r="AW17" s="707">
        <v>0.90200000000000002</v>
      </c>
      <c r="AX17" s="650">
        <v>0.78100000000000003</v>
      </c>
      <c r="AY17" s="650">
        <v>0.73299999999999998</v>
      </c>
      <c r="AZ17" s="650">
        <v>0.73299999999999998</v>
      </c>
      <c r="BA17" s="650">
        <v>0.90200000000000002</v>
      </c>
      <c r="BB17" s="650">
        <v>0.90200000000000002</v>
      </c>
      <c r="BC17" s="650">
        <v>0.78100000000000003</v>
      </c>
      <c r="BD17" s="724">
        <v>0.73299999999999998</v>
      </c>
      <c r="BE17" s="658">
        <v>0.73299999999999998</v>
      </c>
      <c r="BF17" s="657">
        <v>1995</v>
      </c>
      <c r="BG17" s="774">
        <v>14</v>
      </c>
      <c r="BH17" s="798"/>
      <c r="BI17" s="798"/>
      <c r="BJ17" s="798"/>
      <c r="BK17" s="798"/>
      <c r="BL17" s="798"/>
      <c r="BM17" s="799"/>
      <c r="BN17" s="649">
        <v>6.8</v>
      </c>
      <c r="BO17" s="649">
        <v>6.6</v>
      </c>
      <c r="BP17" s="649">
        <v>3</v>
      </c>
      <c r="BQ17" s="649">
        <v>3</v>
      </c>
      <c r="BR17" s="649">
        <v>3</v>
      </c>
      <c r="BS17" s="664">
        <v>3</v>
      </c>
      <c r="BT17" s="810"/>
      <c r="BU17" s="798"/>
      <c r="BV17" s="811"/>
      <c r="BW17" s="799"/>
      <c r="BX17" s="812"/>
      <c r="BY17" s="812"/>
      <c r="BZ17" s="798"/>
      <c r="CA17" s="798"/>
      <c r="CB17" s="798"/>
      <c r="CC17" s="798"/>
      <c r="CD17" s="798"/>
      <c r="CE17" s="798"/>
      <c r="CF17" s="813"/>
      <c r="CG17" s="799"/>
      <c r="CI17" s="657">
        <v>1995</v>
      </c>
      <c r="CJ17" s="649">
        <v>1.3</v>
      </c>
      <c r="CK17" s="649">
        <v>3.2</v>
      </c>
      <c r="CL17" s="664">
        <v>6.6</v>
      </c>
    </row>
    <row r="18" spans="2:90" x14ac:dyDescent="0.25">
      <c r="B18" s="137">
        <v>1996</v>
      </c>
      <c r="C18" s="171">
        <v>15</v>
      </c>
      <c r="D18" s="129">
        <v>9.1999999999999993</v>
      </c>
      <c r="E18" s="129">
        <v>9</v>
      </c>
      <c r="F18" s="129">
        <v>8.9</v>
      </c>
      <c r="G18" s="129">
        <v>8.3000000000000007</v>
      </c>
      <c r="H18" s="129">
        <v>8.3000000000000007</v>
      </c>
      <c r="I18" s="144">
        <v>8</v>
      </c>
      <c r="J18" s="129">
        <v>9.1999999999999993</v>
      </c>
      <c r="K18" s="129">
        <v>9</v>
      </c>
      <c r="L18" s="129">
        <v>8.9</v>
      </c>
      <c r="M18" s="129">
        <v>8.3000000000000007</v>
      </c>
      <c r="N18" s="129">
        <v>8.3000000000000007</v>
      </c>
      <c r="O18" s="144">
        <v>8.5</v>
      </c>
      <c r="P18" s="713">
        <v>9.2119999999999997</v>
      </c>
      <c r="Q18" s="650">
        <v>8.5299999999999994</v>
      </c>
      <c r="R18" s="269">
        <v>9.2119999999999997</v>
      </c>
      <c r="S18" s="138">
        <v>8.5299999999999994</v>
      </c>
      <c r="T18" s="707">
        <v>0.92500000000000004</v>
      </c>
      <c r="U18" s="257">
        <v>0.92500000000000004</v>
      </c>
      <c r="V18" s="130">
        <v>0.83699999999999997</v>
      </c>
      <c r="W18" s="130">
        <v>0.748</v>
      </c>
      <c r="X18" s="130">
        <v>0.748</v>
      </c>
      <c r="Y18" s="650">
        <v>0.92500000000000004</v>
      </c>
      <c r="Z18" s="650">
        <v>0.92500000000000004</v>
      </c>
      <c r="AA18" s="130">
        <v>0.83699999999999997</v>
      </c>
      <c r="AB18" s="275">
        <v>0.748</v>
      </c>
      <c r="AC18" s="138">
        <v>0.748</v>
      </c>
      <c r="AD18" s="657">
        <v>1996</v>
      </c>
      <c r="AE18" s="171">
        <v>15</v>
      </c>
      <c r="AF18" s="649">
        <v>10</v>
      </c>
      <c r="AG18" s="649">
        <v>9.6999999999999993</v>
      </c>
      <c r="AH18" s="649">
        <v>9.1</v>
      </c>
      <c r="AI18" s="649">
        <v>8.5</v>
      </c>
      <c r="AJ18" s="649">
        <v>8.4</v>
      </c>
      <c r="AK18" s="664">
        <v>8.1</v>
      </c>
      <c r="AL18" s="649">
        <v>10</v>
      </c>
      <c r="AM18" s="649">
        <v>9.6999999999999993</v>
      </c>
      <c r="AN18" s="649">
        <v>9.1</v>
      </c>
      <c r="AO18" s="649">
        <v>8.4</v>
      </c>
      <c r="AP18" s="649">
        <v>8.4</v>
      </c>
      <c r="AQ18" s="664">
        <v>8.6</v>
      </c>
      <c r="AR18" s="713">
        <v>9.5540000000000003</v>
      </c>
      <c r="AS18" s="650">
        <v>8.5289999999999999</v>
      </c>
      <c r="AT18" s="718">
        <v>9.5540000000000003</v>
      </c>
      <c r="AU18" s="658">
        <v>8.5289999999999999</v>
      </c>
      <c r="AV18" s="707">
        <v>0.90200000000000002</v>
      </c>
      <c r="AW18" s="707">
        <v>0.90200000000000002</v>
      </c>
      <c r="AX18" s="650">
        <v>0.78100000000000003</v>
      </c>
      <c r="AY18" s="650">
        <v>0.73299999999999998</v>
      </c>
      <c r="AZ18" s="650">
        <v>0.73299999999999998</v>
      </c>
      <c r="BA18" s="650">
        <v>0.90200000000000002</v>
      </c>
      <c r="BB18" s="650">
        <v>0.90200000000000002</v>
      </c>
      <c r="BC18" s="650">
        <v>0.78100000000000003</v>
      </c>
      <c r="BD18" s="724">
        <v>0.73299999999999998</v>
      </c>
      <c r="BE18" s="658">
        <v>0.73299999999999998</v>
      </c>
      <c r="BF18" s="657">
        <v>1996</v>
      </c>
      <c r="BG18" s="171">
        <v>15</v>
      </c>
      <c r="BH18" s="798"/>
      <c r="BI18" s="798"/>
      <c r="BJ18" s="798"/>
      <c r="BK18" s="798"/>
      <c r="BL18" s="798"/>
      <c r="BM18" s="799"/>
      <c r="BN18" s="649">
        <v>6.8</v>
      </c>
      <c r="BO18" s="649">
        <v>6.6</v>
      </c>
      <c r="BP18" s="649">
        <v>3</v>
      </c>
      <c r="BQ18" s="649">
        <v>3</v>
      </c>
      <c r="BR18" s="649">
        <v>3</v>
      </c>
      <c r="BS18" s="664">
        <v>3</v>
      </c>
      <c r="BT18" s="810"/>
      <c r="BU18" s="798"/>
      <c r="BV18" s="811"/>
      <c r="BW18" s="799"/>
      <c r="BX18" s="812"/>
      <c r="BY18" s="812"/>
      <c r="BZ18" s="798"/>
      <c r="CA18" s="798"/>
      <c r="CB18" s="798"/>
      <c r="CC18" s="798"/>
      <c r="CD18" s="798"/>
      <c r="CE18" s="798"/>
      <c r="CF18" s="813"/>
      <c r="CG18" s="799"/>
      <c r="CI18" s="657">
        <v>1996</v>
      </c>
      <c r="CJ18" s="649">
        <v>1.5</v>
      </c>
      <c r="CK18" s="649">
        <v>3.6</v>
      </c>
      <c r="CL18" s="664">
        <v>7.1</v>
      </c>
    </row>
    <row r="19" spans="2:90" x14ac:dyDescent="0.25">
      <c r="B19" s="137">
        <v>1997</v>
      </c>
      <c r="C19" s="514">
        <v>16</v>
      </c>
      <c r="D19" s="129">
        <v>9.1999999999999993</v>
      </c>
      <c r="E19" s="129">
        <v>9</v>
      </c>
      <c r="F19" s="129">
        <v>8.9</v>
      </c>
      <c r="G19" s="129">
        <v>8.3000000000000007</v>
      </c>
      <c r="H19" s="129">
        <v>8.3000000000000007</v>
      </c>
      <c r="I19" s="144">
        <v>8</v>
      </c>
      <c r="J19" s="129">
        <v>9.1999999999999993</v>
      </c>
      <c r="K19" s="129">
        <v>9</v>
      </c>
      <c r="L19" s="129">
        <v>8.9</v>
      </c>
      <c r="M19" s="129">
        <v>8.3000000000000007</v>
      </c>
      <c r="N19" s="129">
        <v>8.3000000000000007</v>
      </c>
      <c r="O19" s="144">
        <v>8.5</v>
      </c>
      <c r="P19" s="713">
        <v>9.2119999999999997</v>
      </c>
      <c r="Q19" s="650">
        <v>8.5299999999999994</v>
      </c>
      <c r="R19" s="269">
        <v>9.2119999999999997</v>
      </c>
      <c r="S19" s="138">
        <v>8.5299999999999994</v>
      </c>
      <c r="T19" s="707">
        <v>0.92500000000000004</v>
      </c>
      <c r="U19" s="257">
        <v>0.92500000000000004</v>
      </c>
      <c r="V19" s="130">
        <v>0.83699999999999997</v>
      </c>
      <c r="W19" s="130">
        <v>0.748</v>
      </c>
      <c r="X19" s="130">
        <v>0.748</v>
      </c>
      <c r="Y19" s="650">
        <v>0.92500000000000004</v>
      </c>
      <c r="Z19" s="650">
        <v>0.92500000000000004</v>
      </c>
      <c r="AA19" s="130">
        <v>0.83699999999999997</v>
      </c>
      <c r="AB19" s="275">
        <v>0.748</v>
      </c>
      <c r="AC19" s="138">
        <v>0.748</v>
      </c>
      <c r="AD19" s="657">
        <v>1997</v>
      </c>
      <c r="AE19" s="774">
        <v>16</v>
      </c>
      <c r="AF19" s="649">
        <v>10</v>
      </c>
      <c r="AG19" s="649">
        <v>9.6999999999999993</v>
      </c>
      <c r="AH19" s="649">
        <v>9.1</v>
      </c>
      <c r="AI19" s="649">
        <v>8.5</v>
      </c>
      <c r="AJ19" s="649">
        <v>8.4</v>
      </c>
      <c r="AK19" s="664">
        <v>8.1</v>
      </c>
      <c r="AL19" s="649">
        <v>10</v>
      </c>
      <c r="AM19" s="649">
        <v>9.6999999999999993</v>
      </c>
      <c r="AN19" s="649">
        <v>9.1</v>
      </c>
      <c r="AO19" s="649">
        <v>8.4</v>
      </c>
      <c r="AP19" s="649">
        <v>8.4</v>
      </c>
      <c r="AQ19" s="664">
        <v>8.6</v>
      </c>
      <c r="AR19" s="713">
        <v>9.5540000000000003</v>
      </c>
      <c r="AS19" s="650">
        <v>8.5289999999999999</v>
      </c>
      <c r="AT19" s="718">
        <v>9.5540000000000003</v>
      </c>
      <c r="AU19" s="658">
        <v>8.5289999999999999</v>
      </c>
      <c r="AV19" s="707">
        <v>0.90200000000000002</v>
      </c>
      <c r="AW19" s="707">
        <v>0.90200000000000002</v>
      </c>
      <c r="AX19" s="650">
        <v>0.78100000000000003</v>
      </c>
      <c r="AY19" s="650">
        <v>0.73299999999999998</v>
      </c>
      <c r="AZ19" s="650">
        <v>0.73299999999999998</v>
      </c>
      <c r="BA19" s="650">
        <v>0.90200000000000002</v>
      </c>
      <c r="BB19" s="650">
        <v>0.90200000000000002</v>
      </c>
      <c r="BC19" s="650">
        <v>0.78100000000000003</v>
      </c>
      <c r="BD19" s="724">
        <v>0.73299999999999998</v>
      </c>
      <c r="BE19" s="658">
        <v>0.73299999999999998</v>
      </c>
      <c r="BF19" s="657">
        <v>1997</v>
      </c>
      <c r="BG19" s="774">
        <v>16</v>
      </c>
      <c r="BH19" s="798"/>
      <c r="BI19" s="798"/>
      <c r="BJ19" s="798"/>
      <c r="BK19" s="798"/>
      <c r="BL19" s="798"/>
      <c r="BM19" s="799"/>
      <c r="BN19" s="649">
        <v>6.8</v>
      </c>
      <c r="BO19" s="649">
        <v>6.6</v>
      </c>
      <c r="BP19" s="649">
        <v>3</v>
      </c>
      <c r="BQ19" s="649">
        <v>3</v>
      </c>
      <c r="BR19" s="649">
        <v>3</v>
      </c>
      <c r="BS19" s="664">
        <v>3</v>
      </c>
      <c r="BT19" s="810"/>
      <c r="BU19" s="798"/>
      <c r="BV19" s="811"/>
      <c r="BW19" s="799"/>
      <c r="BX19" s="812"/>
      <c r="BY19" s="812"/>
      <c r="BZ19" s="798"/>
      <c r="CA19" s="798"/>
      <c r="CB19" s="798"/>
      <c r="CC19" s="798"/>
      <c r="CD19" s="798"/>
      <c r="CE19" s="798"/>
      <c r="CF19" s="813"/>
      <c r="CG19" s="799"/>
      <c r="CI19" s="657">
        <v>1997</v>
      </c>
      <c r="CJ19" s="649">
        <v>1.7</v>
      </c>
      <c r="CK19" s="649">
        <v>4</v>
      </c>
      <c r="CL19" s="664">
        <v>7.5</v>
      </c>
    </row>
    <row r="20" spans="2:90" x14ac:dyDescent="0.25">
      <c r="B20" s="137">
        <v>1998</v>
      </c>
      <c r="C20" s="171">
        <v>17</v>
      </c>
      <c r="D20" s="129">
        <v>9.1999999999999993</v>
      </c>
      <c r="E20" s="129">
        <v>9</v>
      </c>
      <c r="F20" s="129">
        <v>8.9</v>
      </c>
      <c r="G20" s="129">
        <v>8.3000000000000007</v>
      </c>
      <c r="H20" s="129">
        <v>8.3000000000000007</v>
      </c>
      <c r="I20" s="144">
        <v>8</v>
      </c>
      <c r="J20" s="129">
        <v>9.1999999999999993</v>
      </c>
      <c r="K20" s="129">
        <v>9</v>
      </c>
      <c r="L20" s="129">
        <v>8.9</v>
      </c>
      <c r="M20" s="129">
        <v>8.3000000000000007</v>
      </c>
      <c r="N20" s="129">
        <v>8.3000000000000007</v>
      </c>
      <c r="O20" s="144">
        <v>8.5</v>
      </c>
      <c r="P20" s="713">
        <v>9.2119999999999997</v>
      </c>
      <c r="Q20" s="650">
        <v>8.5299999999999994</v>
      </c>
      <c r="R20" s="269">
        <v>9.2119999999999997</v>
      </c>
      <c r="S20" s="138">
        <v>8.5299999999999994</v>
      </c>
      <c r="T20" s="707">
        <v>0.92500000000000004</v>
      </c>
      <c r="U20" s="257">
        <v>0.92500000000000004</v>
      </c>
      <c r="V20" s="130">
        <v>0.83699999999999997</v>
      </c>
      <c r="W20" s="130">
        <v>0.748</v>
      </c>
      <c r="X20" s="130">
        <v>0.748</v>
      </c>
      <c r="Y20" s="650">
        <v>0.92500000000000004</v>
      </c>
      <c r="Z20" s="650">
        <v>0.92500000000000004</v>
      </c>
      <c r="AA20" s="130">
        <v>0.83699999999999997</v>
      </c>
      <c r="AB20" s="275">
        <v>0.748</v>
      </c>
      <c r="AC20" s="138">
        <v>0.748</v>
      </c>
      <c r="AD20" s="657">
        <v>1998</v>
      </c>
      <c r="AE20" s="171">
        <v>17</v>
      </c>
      <c r="AF20" s="649">
        <v>10</v>
      </c>
      <c r="AG20" s="649">
        <v>9.6999999999999993</v>
      </c>
      <c r="AH20" s="649">
        <v>9.1</v>
      </c>
      <c r="AI20" s="649">
        <v>8.5</v>
      </c>
      <c r="AJ20" s="649">
        <v>8.4</v>
      </c>
      <c r="AK20" s="664">
        <v>8.1</v>
      </c>
      <c r="AL20" s="649">
        <v>10</v>
      </c>
      <c r="AM20" s="649">
        <v>9.6999999999999993</v>
      </c>
      <c r="AN20" s="649">
        <v>9.1</v>
      </c>
      <c r="AO20" s="649">
        <v>8.4</v>
      </c>
      <c r="AP20" s="649">
        <v>8.4</v>
      </c>
      <c r="AQ20" s="664">
        <v>8.6</v>
      </c>
      <c r="AR20" s="713">
        <v>9.5540000000000003</v>
      </c>
      <c r="AS20" s="650">
        <v>8.5289999999999999</v>
      </c>
      <c r="AT20" s="718">
        <v>9.5540000000000003</v>
      </c>
      <c r="AU20" s="658">
        <v>8.5289999999999999</v>
      </c>
      <c r="AV20" s="707">
        <v>0.90200000000000002</v>
      </c>
      <c r="AW20" s="707">
        <v>0.90200000000000002</v>
      </c>
      <c r="AX20" s="650">
        <v>0.78100000000000003</v>
      </c>
      <c r="AY20" s="650">
        <v>0.73299999999999998</v>
      </c>
      <c r="AZ20" s="650">
        <v>0.73299999999999998</v>
      </c>
      <c r="BA20" s="650">
        <v>0.90200000000000002</v>
      </c>
      <c r="BB20" s="650">
        <v>0.90200000000000002</v>
      </c>
      <c r="BC20" s="650">
        <v>0.78100000000000003</v>
      </c>
      <c r="BD20" s="724">
        <v>0.73299999999999998</v>
      </c>
      <c r="BE20" s="658">
        <v>0.73299999999999998</v>
      </c>
      <c r="BF20" s="657">
        <v>1998</v>
      </c>
      <c r="BG20" s="171">
        <v>17</v>
      </c>
      <c r="BH20" s="798"/>
      <c r="BI20" s="798"/>
      <c r="BJ20" s="798"/>
      <c r="BK20" s="798"/>
      <c r="BL20" s="798"/>
      <c r="BM20" s="799"/>
      <c r="BN20" s="649">
        <v>6.8</v>
      </c>
      <c r="BO20" s="649">
        <v>6.6</v>
      </c>
      <c r="BP20" s="649">
        <v>3</v>
      </c>
      <c r="BQ20" s="649">
        <v>3</v>
      </c>
      <c r="BR20" s="649">
        <v>3</v>
      </c>
      <c r="BS20" s="664">
        <v>3</v>
      </c>
      <c r="BT20" s="810"/>
      <c r="BU20" s="798"/>
      <c r="BV20" s="811"/>
      <c r="BW20" s="799"/>
      <c r="BX20" s="812"/>
      <c r="BY20" s="812"/>
      <c r="BZ20" s="798"/>
      <c r="CA20" s="798"/>
      <c r="CB20" s="798"/>
      <c r="CC20" s="798"/>
      <c r="CD20" s="798"/>
      <c r="CE20" s="798"/>
      <c r="CF20" s="813"/>
      <c r="CG20" s="799"/>
      <c r="CI20" s="657">
        <v>1998</v>
      </c>
      <c r="CJ20" s="649">
        <v>1.9</v>
      </c>
      <c r="CK20" s="649">
        <v>4.5</v>
      </c>
      <c r="CL20" s="664">
        <v>8.1</v>
      </c>
    </row>
    <row r="21" spans="2:90" x14ac:dyDescent="0.25">
      <c r="B21" s="137">
        <v>1999</v>
      </c>
      <c r="C21" s="514">
        <v>18</v>
      </c>
      <c r="D21" s="129">
        <v>9.1999999999999993</v>
      </c>
      <c r="E21" s="129">
        <v>9</v>
      </c>
      <c r="F21" s="129">
        <v>8.9</v>
      </c>
      <c r="G21" s="129">
        <v>8.3000000000000007</v>
      </c>
      <c r="H21" s="129">
        <v>8.3000000000000007</v>
      </c>
      <c r="I21" s="144">
        <v>8</v>
      </c>
      <c r="J21" s="129">
        <v>9.1999999999999993</v>
      </c>
      <c r="K21" s="129">
        <v>9</v>
      </c>
      <c r="L21" s="129">
        <v>8.9</v>
      </c>
      <c r="M21" s="129">
        <v>8.3000000000000007</v>
      </c>
      <c r="N21" s="129">
        <v>8.3000000000000007</v>
      </c>
      <c r="O21" s="144">
        <v>8.5</v>
      </c>
      <c r="P21" s="713">
        <v>9.2119999999999997</v>
      </c>
      <c r="Q21" s="650">
        <v>8.5299999999999994</v>
      </c>
      <c r="R21" s="269">
        <v>9.2119999999999997</v>
      </c>
      <c r="S21" s="138">
        <v>8.5299999999999994</v>
      </c>
      <c r="T21" s="707">
        <v>0.92500000000000004</v>
      </c>
      <c r="U21" s="257">
        <v>0.92500000000000004</v>
      </c>
      <c r="V21" s="130">
        <v>0.83699999999999997</v>
      </c>
      <c r="W21" s="130">
        <v>0.748</v>
      </c>
      <c r="X21" s="130">
        <v>0.748</v>
      </c>
      <c r="Y21" s="650">
        <v>0.92500000000000004</v>
      </c>
      <c r="Z21" s="650">
        <v>0.92500000000000004</v>
      </c>
      <c r="AA21" s="130">
        <v>0.83699999999999997</v>
      </c>
      <c r="AB21" s="275">
        <v>0.748</v>
      </c>
      <c r="AC21" s="138">
        <v>0.748</v>
      </c>
      <c r="AD21" s="657">
        <v>1999</v>
      </c>
      <c r="AE21" s="774">
        <v>18</v>
      </c>
      <c r="AF21" s="649">
        <v>10</v>
      </c>
      <c r="AG21" s="649">
        <v>9.6999999999999993</v>
      </c>
      <c r="AH21" s="649">
        <v>9.1</v>
      </c>
      <c r="AI21" s="649">
        <v>8.5</v>
      </c>
      <c r="AJ21" s="649">
        <v>8.4</v>
      </c>
      <c r="AK21" s="664">
        <v>8.1</v>
      </c>
      <c r="AL21" s="649">
        <v>10</v>
      </c>
      <c r="AM21" s="649">
        <v>9.6999999999999993</v>
      </c>
      <c r="AN21" s="649">
        <v>9.1</v>
      </c>
      <c r="AO21" s="649">
        <v>8.4</v>
      </c>
      <c r="AP21" s="649">
        <v>8.4</v>
      </c>
      <c r="AQ21" s="664">
        <v>8.6</v>
      </c>
      <c r="AR21" s="713">
        <v>9.5540000000000003</v>
      </c>
      <c r="AS21" s="650">
        <v>8.5289999999999999</v>
      </c>
      <c r="AT21" s="718">
        <v>9.5540000000000003</v>
      </c>
      <c r="AU21" s="658">
        <v>8.5289999999999999</v>
      </c>
      <c r="AV21" s="707">
        <v>0.90200000000000002</v>
      </c>
      <c r="AW21" s="707">
        <v>0.90200000000000002</v>
      </c>
      <c r="AX21" s="650">
        <v>0.78100000000000003</v>
      </c>
      <c r="AY21" s="650">
        <v>0.73299999999999998</v>
      </c>
      <c r="AZ21" s="650">
        <v>0.73299999999999998</v>
      </c>
      <c r="BA21" s="650">
        <v>0.90200000000000002</v>
      </c>
      <c r="BB21" s="650">
        <v>0.90200000000000002</v>
      </c>
      <c r="BC21" s="650">
        <v>0.78100000000000003</v>
      </c>
      <c r="BD21" s="724">
        <v>0.73299999999999998</v>
      </c>
      <c r="BE21" s="658">
        <v>0.73299999999999998</v>
      </c>
      <c r="BF21" s="657">
        <v>1999</v>
      </c>
      <c r="BG21" s="774">
        <v>18</v>
      </c>
      <c r="BH21" s="798"/>
      <c r="BI21" s="798"/>
      <c r="BJ21" s="798"/>
      <c r="BK21" s="798"/>
      <c r="BL21" s="798"/>
      <c r="BM21" s="799"/>
      <c r="BN21" s="649">
        <v>6.8</v>
      </c>
      <c r="BO21" s="649">
        <v>6.6</v>
      </c>
      <c r="BP21" s="649">
        <v>3</v>
      </c>
      <c r="BQ21" s="649">
        <v>2.9</v>
      </c>
      <c r="BR21" s="649">
        <v>2.9</v>
      </c>
      <c r="BS21" s="664">
        <v>2.9</v>
      </c>
      <c r="BT21" s="810"/>
      <c r="BU21" s="798"/>
      <c r="BV21" s="811"/>
      <c r="BW21" s="799"/>
      <c r="BX21" s="812"/>
      <c r="BY21" s="812"/>
      <c r="BZ21" s="798"/>
      <c r="CA21" s="798"/>
      <c r="CB21" s="798"/>
      <c r="CC21" s="798"/>
      <c r="CD21" s="798"/>
      <c r="CE21" s="798"/>
      <c r="CF21" s="813"/>
      <c r="CG21" s="799"/>
      <c r="CI21" s="657">
        <v>1999</v>
      </c>
      <c r="CJ21" s="649">
        <v>2.2000000000000002</v>
      </c>
      <c r="CK21" s="649">
        <v>5</v>
      </c>
      <c r="CL21" s="664">
        <v>8.6999999999999993</v>
      </c>
    </row>
    <row r="22" spans="2:90" x14ac:dyDescent="0.25">
      <c r="B22" s="137">
        <v>2000</v>
      </c>
      <c r="C22" s="171">
        <v>19</v>
      </c>
      <c r="D22" s="129">
        <v>9.1999999999999993</v>
      </c>
      <c r="E22" s="129">
        <v>9</v>
      </c>
      <c r="F22" s="129">
        <v>8.9</v>
      </c>
      <c r="G22" s="129">
        <v>8.3000000000000007</v>
      </c>
      <c r="H22" s="129">
        <v>8.3000000000000007</v>
      </c>
      <c r="I22" s="144">
        <v>8</v>
      </c>
      <c r="J22" s="129">
        <v>9.1999999999999993</v>
      </c>
      <c r="K22" s="129">
        <v>9</v>
      </c>
      <c r="L22" s="129">
        <v>8.9</v>
      </c>
      <c r="M22" s="129">
        <v>8.3000000000000007</v>
      </c>
      <c r="N22" s="129">
        <v>8.3000000000000007</v>
      </c>
      <c r="O22" s="144">
        <v>8.5</v>
      </c>
      <c r="P22" s="713">
        <v>9.2119999999999997</v>
      </c>
      <c r="Q22" s="650">
        <v>8.5299999999999994</v>
      </c>
      <c r="R22" s="269">
        <v>9.2119999999999997</v>
      </c>
      <c r="S22" s="138">
        <v>8.5299999999999994</v>
      </c>
      <c r="T22" s="707">
        <v>0.92500000000000004</v>
      </c>
      <c r="U22" s="257">
        <v>0.92500000000000004</v>
      </c>
      <c r="V22" s="130">
        <v>0.83699999999999997</v>
      </c>
      <c r="W22" s="130">
        <v>0.748</v>
      </c>
      <c r="X22" s="130">
        <v>0.748</v>
      </c>
      <c r="Y22" s="650">
        <v>0.92500000000000004</v>
      </c>
      <c r="Z22" s="650">
        <v>0.92500000000000004</v>
      </c>
      <c r="AA22" s="130">
        <v>0.83699999999999997</v>
      </c>
      <c r="AB22" s="275">
        <v>0.748</v>
      </c>
      <c r="AC22" s="138">
        <v>0.748</v>
      </c>
      <c r="AD22" s="657">
        <v>2000</v>
      </c>
      <c r="AE22" s="171">
        <v>19</v>
      </c>
      <c r="AF22" s="649">
        <v>10</v>
      </c>
      <c r="AG22" s="649">
        <v>9.6999999999999993</v>
      </c>
      <c r="AH22" s="649">
        <v>9.1</v>
      </c>
      <c r="AI22" s="649">
        <v>8.5</v>
      </c>
      <c r="AJ22" s="649">
        <v>8.4</v>
      </c>
      <c r="AK22" s="664">
        <v>8.1</v>
      </c>
      <c r="AL22" s="649">
        <v>10</v>
      </c>
      <c r="AM22" s="649">
        <v>9.6999999999999993</v>
      </c>
      <c r="AN22" s="649">
        <v>9.1</v>
      </c>
      <c r="AO22" s="649">
        <v>8.4</v>
      </c>
      <c r="AP22" s="649">
        <v>8.4</v>
      </c>
      <c r="AQ22" s="664">
        <v>8.6</v>
      </c>
      <c r="AR22" s="713">
        <v>9.5540000000000003</v>
      </c>
      <c r="AS22" s="650">
        <v>8.5289999999999999</v>
      </c>
      <c r="AT22" s="718">
        <v>9.5540000000000003</v>
      </c>
      <c r="AU22" s="658">
        <v>8.5289999999999999</v>
      </c>
      <c r="AV22" s="707">
        <v>0.90200000000000002</v>
      </c>
      <c r="AW22" s="707">
        <v>0.90200000000000002</v>
      </c>
      <c r="AX22" s="650">
        <v>0.78100000000000003</v>
      </c>
      <c r="AY22" s="650">
        <v>0.73299999999999998</v>
      </c>
      <c r="AZ22" s="650">
        <v>0.73299999999999998</v>
      </c>
      <c r="BA22" s="650">
        <v>0.90200000000000002</v>
      </c>
      <c r="BB22" s="650">
        <v>0.90200000000000002</v>
      </c>
      <c r="BC22" s="650">
        <v>0.78100000000000003</v>
      </c>
      <c r="BD22" s="724">
        <v>0.73299999999999998</v>
      </c>
      <c r="BE22" s="658">
        <v>0.73299999999999998</v>
      </c>
      <c r="BF22" s="657">
        <v>2000</v>
      </c>
      <c r="BG22" s="171">
        <v>19</v>
      </c>
      <c r="BH22" s="798"/>
      <c r="BI22" s="798"/>
      <c r="BJ22" s="798"/>
      <c r="BK22" s="798"/>
      <c r="BL22" s="798"/>
      <c r="BM22" s="799"/>
      <c r="BN22" s="649">
        <v>6.8</v>
      </c>
      <c r="BO22" s="649">
        <v>6.6</v>
      </c>
      <c r="BP22" s="649">
        <v>3</v>
      </c>
      <c r="BQ22" s="649">
        <v>2.9</v>
      </c>
      <c r="BR22" s="649">
        <v>2.9</v>
      </c>
      <c r="BS22" s="664">
        <v>2.9</v>
      </c>
      <c r="BT22" s="810"/>
      <c r="BU22" s="798"/>
      <c r="BV22" s="811"/>
      <c r="BW22" s="799"/>
      <c r="BX22" s="812"/>
      <c r="BY22" s="812"/>
      <c r="BZ22" s="798"/>
      <c r="CA22" s="798"/>
      <c r="CB22" s="798"/>
      <c r="CC22" s="798"/>
      <c r="CD22" s="798"/>
      <c r="CE22" s="798"/>
      <c r="CF22" s="813"/>
      <c r="CG22" s="799"/>
      <c r="CI22" s="657">
        <v>2000</v>
      </c>
      <c r="CJ22" s="649">
        <v>2.5</v>
      </c>
      <c r="CK22" s="649">
        <v>5.5</v>
      </c>
      <c r="CL22" s="664">
        <v>9.3000000000000007</v>
      </c>
    </row>
    <row r="23" spans="2:90" x14ac:dyDescent="0.25">
      <c r="B23" s="137">
        <v>2001</v>
      </c>
      <c r="C23" s="514">
        <v>20</v>
      </c>
      <c r="D23" s="129">
        <v>9.1999999999999993</v>
      </c>
      <c r="E23" s="129">
        <v>9</v>
      </c>
      <c r="F23" s="129">
        <v>8.9</v>
      </c>
      <c r="G23" s="129">
        <v>8.3000000000000007</v>
      </c>
      <c r="H23" s="129">
        <v>8.3000000000000007</v>
      </c>
      <c r="I23" s="144">
        <v>8</v>
      </c>
      <c r="J23" s="129">
        <v>9.1999999999999993</v>
      </c>
      <c r="K23" s="129">
        <v>9</v>
      </c>
      <c r="L23" s="129">
        <v>8.9</v>
      </c>
      <c r="M23" s="129">
        <v>8.3000000000000007</v>
      </c>
      <c r="N23" s="129">
        <v>8.3000000000000007</v>
      </c>
      <c r="O23" s="144">
        <v>8.5</v>
      </c>
      <c r="P23" s="713">
        <v>9.2119999999999997</v>
      </c>
      <c r="Q23" s="650">
        <v>8.5299999999999994</v>
      </c>
      <c r="R23" s="269">
        <v>9.2119999999999997</v>
      </c>
      <c r="S23" s="138">
        <v>8.5299999999999994</v>
      </c>
      <c r="T23" s="707">
        <v>0.92500000000000004</v>
      </c>
      <c r="U23" s="257">
        <v>0.92500000000000004</v>
      </c>
      <c r="V23" s="130">
        <v>0.83699999999999997</v>
      </c>
      <c r="W23" s="130">
        <v>0.748</v>
      </c>
      <c r="X23" s="130">
        <v>0.748</v>
      </c>
      <c r="Y23" s="650">
        <v>0.92500000000000004</v>
      </c>
      <c r="Z23" s="650">
        <v>0.92500000000000004</v>
      </c>
      <c r="AA23" s="130">
        <v>0.83699999999999997</v>
      </c>
      <c r="AB23" s="275">
        <v>0.748</v>
      </c>
      <c r="AC23" s="138">
        <v>0.748</v>
      </c>
      <c r="AD23" s="657">
        <v>2001</v>
      </c>
      <c r="AE23" s="774">
        <v>20</v>
      </c>
      <c r="AF23" s="649">
        <v>10</v>
      </c>
      <c r="AG23" s="649">
        <v>9.6999999999999993</v>
      </c>
      <c r="AH23" s="649">
        <v>9.1</v>
      </c>
      <c r="AI23" s="649">
        <v>8.5</v>
      </c>
      <c r="AJ23" s="649">
        <v>8.4</v>
      </c>
      <c r="AK23" s="664">
        <v>8.1</v>
      </c>
      <c r="AL23" s="649">
        <v>10</v>
      </c>
      <c r="AM23" s="649">
        <v>9.6999999999999993</v>
      </c>
      <c r="AN23" s="649">
        <v>9.1</v>
      </c>
      <c r="AO23" s="649">
        <v>8.4</v>
      </c>
      <c r="AP23" s="649">
        <v>8.4</v>
      </c>
      <c r="AQ23" s="664">
        <v>8.6</v>
      </c>
      <c r="AR23" s="713">
        <v>9.5540000000000003</v>
      </c>
      <c r="AS23" s="650">
        <v>8.5289999999999999</v>
      </c>
      <c r="AT23" s="718">
        <v>9.5540000000000003</v>
      </c>
      <c r="AU23" s="658">
        <v>8.5289999999999999</v>
      </c>
      <c r="AV23" s="707">
        <v>0.90200000000000002</v>
      </c>
      <c r="AW23" s="707">
        <v>0.90200000000000002</v>
      </c>
      <c r="AX23" s="650">
        <v>0.78100000000000003</v>
      </c>
      <c r="AY23" s="650">
        <v>0.73299999999999998</v>
      </c>
      <c r="AZ23" s="650">
        <v>0.73299999999999998</v>
      </c>
      <c r="BA23" s="650">
        <v>0.90200000000000002</v>
      </c>
      <c r="BB23" s="650">
        <v>0.90200000000000002</v>
      </c>
      <c r="BC23" s="650">
        <v>0.78100000000000003</v>
      </c>
      <c r="BD23" s="724">
        <v>0.73299999999999998</v>
      </c>
      <c r="BE23" s="658">
        <v>0.73299999999999998</v>
      </c>
      <c r="BF23" s="657">
        <v>2001</v>
      </c>
      <c r="BG23" s="774">
        <v>20</v>
      </c>
      <c r="BH23" s="798"/>
      <c r="BI23" s="798"/>
      <c r="BJ23" s="798"/>
      <c r="BK23" s="798"/>
      <c r="BL23" s="798"/>
      <c r="BM23" s="799"/>
      <c r="BN23" s="649">
        <v>6.8</v>
      </c>
      <c r="BO23" s="649">
        <v>6.6</v>
      </c>
      <c r="BP23" s="649">
        <v>3.2</v>
      </c>
      <c r="BQ23" s="649">
        <v>3.1</v>
      </c>
      <c r="BR23" s="649">
        <v>3.1</v>
      </c>
      <c r="BS23" s="664">
        <v>3.1</v>
      </c>
      <c r="BT23" s="810"/>
      <c r="BU23" s="798"/>
      <c r="BV23" s="811"/>
      <c r="BW23" s="799"/>
      <c r="BX23" s="812"/>
      <c r="BY23" s="812"/>
      <c r="BZ23" s="798"/>
      <c r="CA23" s="798"/>
      <c r="CB23" s="798"/>
      <c r="CC23" s="798"/>
      <c r="CD23" s="798"/>
      <c r="CE23" s="798"/>
      <c r="CF23" s="813"/>
      <c r="CG23" s="799"/>
      <c r="CI23" s="657">
        <v>2001</v>
      </c>
      <c r="CJ23" s="649">
        <v>2.8</v>
      </c>
      <c r="CK23" s="649">
        <v>6.2</v>
      </c>
      <c r="CL23" s="664">
        <v>10.1</v>
      </c>
    </row>
    <row r="24" spans="2:90" x14ac:dyDescent="0.25">
      <c r="B24" s="137">
        <v>2002</v>
      </c>
      <c r="C24" s="171">
        <v>21</v>
      </c>
      <c r="D24" s="129">
        <v>9.1999999999999993</v>
      </c>
      <c r="E24" s="129">
        <v>9</v>
      </c>
      <c r="F24" s="129">
        <v>10.1</v>
      </c>
      <c r="G24" s="129">
        <v>9.5</v>
      </c>
      <c r="H24" s="129">
        <v>9.3000000000000007</v>
      </c>
      <c r="I24" s="144">
        <v>9</v>
      </c>
      <c r="J24" s="129">
        <v>9.1999999999999993</v>
      </c>
      <c r="K24" s="129">
        <v>9</v>
      </c>
      <c r="L24" s="129">
        <v>9.9</v>
      </c>
      <c r="M24" s="129">
        <v>9.1</v>
      </c>
      <c r="N24" s="129">
        <v>8.8000000000000007</v>
      </c>
      <c r="O24" s="144">
        <v>8.8000000000000007</v>
      </c>
      <c r="P24" s="263">
        <v>9.5540000000000003</v>
      </c>
      <c r="Q24" s="130">
        <v>9.5540000000000003</v>
      </c>
      <c r="R24" s="269">
        <v>9.5540000000000003</v>
      </c>
      <c r="S24" s="138">
        <v>9.5540000000000003</v>
      </c>
      <c r="T24" s="257">
        <v>0.70299999999999996</v>
      </c>
      <c r="U24" s="257">
        <v>0.70299999999999996</v>
      </c>
      <c r="V24" s="130">
        <v>0.63400000000000001</v>
      </c>
      <c r="W24" s="130">
        <v>0.57599999999999996</v>
      </c>
      <c r="X24" s="130">
        <v>0.57599999999999996</v>
      </c>
      <c r="Y24" s="130">
        <v>0.79</v>
      </c>
      <c r="Z24" s="130">
        <v>0.79</v>
      </c>
      <c r="AA24" s="130">
        <v>0.71799999999999997</v>
      </c>
      <c r="AB24" s="275">
        <v>0.63900000000000001</v>
      </c>
      <c r="AC24" s="138">
        <v>0.63900000000000001</v>
      </c>
      <c r="AD24" s="657">
        <v>2002</v>
      </c>
      <c r="AE24" s="171">
        <v>21</v>
      </c>
      <c r="AF24" s="649">
        <v>10</v>
      </c>
      <c r="AG24" s="649">
        <v>9.6999999999999993</v>
      </c>
      <c r="AH24" s="649">
        <v>10.3</v>
      </c>
      <c r="AI24" s="649">
        <v>9.6999999999999993</v>
      </c>
      <c r="AJ24" s="649">
        <v>9.4</v>
      </c>
      <c r="AK24" s="664">
        <v>9.1</v>
      </c>
      <c r="AL24" s="649">
        <v>10</v>
      </c>
      <c r="AM24" s="649">
        <v>9.6999999999999993</v>
      </c>
      <c r="AN24" s="649">
        <v>10.1</v>
      </c>
      <c r="AO24" s="649">
        <v>9.1999999999999993</v>
      </c>
      <c r="AP24" s="649">
        <v>8.9</v>
      </c>
      <c r="AQ24" s="664">
        <v>8.9</v>
      </c>
      <c r="AR24" s="713">
        <v>10.407</v>
      </c>
      <c r="AS24" s="650">
        <v>10.407</v>
      </c>
      <c r="AT24" s="718">
        <v>10.407</v>
      </c>
      <c r="AU24" s="658">
        <v>10.407</v>
      </c>
      <c r="AV24" s="707">
        <v>0.67</v>
      </c>
      <c r="AW24" s="707">
        <v>0.67</v>
      </c>
      <c r="AX24" s="650">
        <v>0.59599999999999997</v>
      </c>
      <c r="AY24" s="650">
        <v>0.54900000000000004</v>
      </c>
      <c r="AZ24" s="650">
        <v>0.54900000000000004</v>
      </c>
      <c r="BA24" s="650">
        <v>0.67600000000000005</v>
      </c>
      <c r="BB24" s="650">
        <v>0.67600000000000005</v>
      </c>
      <c r="BC24" s="650">
        <v>0.628</v>
      </c>
      <c r="BD24" s="724">
        <v>0.57199999999999995</v>
      </c>
      <c r="BE24" s="658">
        <v>0.57199999999999995</v>
      </c>
      <c r="BF24" s="657">
        <v>2002</v>
      </c>
      <c r="BG24" s="171">
        <v>21</v>
      </c>
      <c r="BH24" s="798"/>
      <c r="BI24" s="798"/>
      <c r="BJ24" s="798"/>
      <c r="BK24" s="798"/>
      <c r="BL24" s="798"/>
      <c r="BM24" s="799"/>
      <c r="BN24" s="649">
        <v>6.8</v>
      </c>
      <c r="BO24" s="649">
        <v>6.6</v>
      </c>
      <c r="BP24" s="649">
        <v>3.2</v>
      </c>
      <c r="BQ24" s="649">
        <v>3.1</v>
      </c>
      <c r="BR24" s="649">
        <v>3.1</v>
      </c>
      <c r="BS24" s="664">
        <v>3.1</v>
      </c>
      <c r="BT24" s="810"/>
      <c r="BU24" s="798"/>
      <c r="BV24" s="811"/>
      <c r="BW24" s="799"/>
      <c r="BX24" s="812"/>
      <c r="BY24" s="812"/>
      <c r="BZ24" s="798"/>
      <c r="CA24" s="798"/>
      <c r="CB24" s="798"/>
      <c r="CC24" s="798"/>
      <c r="CD24" s="798"/>
      <c r="CE24" s="798"/>
      <c r="CF24" s="813"/>
      <c r="CG24" s="799"/>
      <c r="CI24" s="657">
        <v>2002</v>
      </c>
      <c r="CJ24" s="649">
        <v>3.3</v>
      </c>
      <c r="CK24" s="649">
        <v>6.8</v>
      </c>
      <c r="CL24" s="664">
        <v>10.9</v>
      </c>
    </row>
    <row r="25" spans="2:90" x14ac:dyDescent="0.25">
      <c r="B25" s="137">
        <v>2003</v>
      </c>
      <c r="C25" s="514">
        <v>22</v>
      </c>
      <c r="D25" s="129">
        <v>9.1999999999999993</v>
      </c>
      <c r="E25" s="129">
        <v>9</v>
      </c>
      <c r="F25" s="129">
        <v>10.1</v>
      </c>
      <c r="G25" s="129">
        <v>9.5</v>
      </c>
      <c r="H25" s="129">
        <v>9.3000000000000007</v>
      </c>
      <c r="I25" s="144">
        <v>9</v>
      </c>
      <c r="J25" s="129">
        <v>9.1999999999999993</v>
      </c>
      <c r="K25" s="129">
        <v>9</v>
      </c>
      <c r="L25" s="129">
        <v>9.9</v>
      </c>
      <c r="M25" s="129">
        <v>9.1</v>
      </c>
      <c r="N25" s="129">
        <v>8.8000000000000007</v>
      </c>
      <c r="O25" s="144">
        <v>8.8000000000000007</v>
      </c>
      <c r="P25" s="263">
        <v>9.5540000000000003</v>
      </c>
      <c r="Q25" s="650">
        <v>9.5540000000000003</v>
      </c>
      <c r="R25" s="269">
        <v>9.5540000000000003</v>
      </c>
      <c r="S25" s="138">
        <v>9.5540000000000003</v>
      </c>
      <c r="T25" s="257">
        <v>0.70299999999999996</v>
      </c>
      <c r="U25" s="257">
        <v>0.70299999999999996</v>
      </c>
      <c r="V25" s="130">
        <v>0.63400000000000001</v>
      </c>
      <c r="W25" s="130">
        <v>0.57599999999999996</v>
      </c>
      <c r="X25" s="130">
        <v>0.57599999999999996</v>
      </c>
      <c r="Y25" s="130">
        <v>0.79</v>
      </c>
      <c r="Z25" s="130">
        <v>0.79</v>
      </c>
      <c r="AA25" s="130">
        <v>0.71799999999999997</v>
      </c>
      <c r="AB25" s="275">
        <v>0.63900000000000001</v>
      </c>
      <c r="AC25" s="138">
        <v>0.63900000000000001</v>
      </c>
      <c r="AD25" s="657">
        <v>2003</v>
      </c>
      <c r="AE25" s="774">
        <v>22</v>
      </c>
      <c r="AF25" s="649">
        <v>10</v>
      </c>
      <c r="AG25" s="649">
        <v>9.6999999999999993</v>
      </c>
      <c r="AH25" s="649">
        <v>10.3</v>
      </c>
      <c r="AI25" s="649">
        <v>9.6999999999999993</v>
      </c>
      <c r="AJ25" s="649">
        <v>9.4</v>
      </c>
      <c r="AK25" s="664">
        <v>9.1</v>
      </c>
      <c r="AL25" s="649">
        <v>10</v>
      </c>
      <c r="AM25" s="649">
        <v>9.6999999999999993</v>
      </c>
      <c r="AN25" s="649">
        <v>10.1</v>
      </c>
      <c r="AO25" s="649">
        <v>9.1999999999999993</v>
      </c>
      <c r="AP25" s="649">
        <v>8.9</v>
      </c>
      <c r="AQ25" s="664">
        <v>8.9</v>
      </c>
      <c r="AR25" s="713">
        <v>10.407</v>
      </c>
      <c r="AS25" s="650">
        <v>10.407</v>
      </c>
      <c r="AT25" s="718">
        <v>10.407</v>
      </c>
      <c r="AU25" s="658">
        <v>10.407</v>
      </c>
      <c r="AV25" s="707">
        <v>0.67</v>
      </c>
      <c r="AW25" s="707">
        <v>0.67</v>
      </c>
      <c r="AX25" s="650">
        <v>0.59599999999999997</v>
      </c>
      <c r="AY25" s="650">
        <v>0.54900000000000004</v>
      </c>
      <c r="AZ25" s="650">
        <v>0.54900000000000004</v>
      </c>
      <c r="BA25" s="650">
        <v>0.67600000000000005</v>
      </c>
      <c r="BB25" s="650">
        <v>0.67600000000000005</v>
      </c>
      <c r="BC25" s="650">
        <v>0.628</v>
      </c>
      <c r="BD25" s="724">
        <v>0.57199999999999995</v>
      </c>
      <c r="BE25" s="658">
        <v>0.57199999999999995</v>
      </c>
      <c r="BF25" s="657">
        <v>2003</v>
      </c>
      <c r="BG25" s="774">
        <v>22</v>
      </c>
      <c r="BH25" s="798"/>
      <c r="BI25" s="798"/>
      <c r="BJ25" s="798"/>
      <c r="BK25" s="798"/>
      <c r="BL25" s="798"/>
      <c r="BM25" s="799"/>
      <c r="BN25" s="649">
        <v>6.8</v>
      </c>
      <c r="BO25" s="649">
        <v>6.6</v>
      </c>
      <c r="BP25" s="649">
        <v>3.2</v>
      </c>
      <c r="BQ25" s="649">
        <v>3.1</v>
      </c>
      <c r="BR25" s="649">
        <v>3.1</v>
      </c>
      <c r="BS25" s="664">
        <v>3.1</v>
      </c>
      <c r="BT25" s="810"/>
      <c r="BU25" s="798"/>
      <c r="BV25" s="811"/>
      <c r="BW25" s="799"/>
      <c r="BX25" s="812"/>
      <c r="BY25" s="812"/>
      <c r="BZ25" s="798"/>
      <c r="CA25" s="798"/>
      <c r="CB25" s="798"/>
      <c r="CC25" s="798"/>
      <c r="CD25" s="798"/>
      <c r="CE25" s="798"/>
      <c r="CF25" s="813"/>
      <c r="CG25" s="799"/>
      <c r="CI25" s="657">
        <v>2003</v>
      </c>
      <c r="CJ25" s="649">
        <v>3.8</v>
      </c>
      <c r="CK25" s="649">
        <v>7.5</v>
      </c>
      <c r="CL25" s="664">
        <v>11.9</v>
      </c>
    </row>
    <row r="26" spans="2:90" x14ac:dyDescent="0.25">
      <c r="B26" s="137">
        <v>2004</v>
      </c>
      <c r="C26" s="171">
        <v>23</v>
      </c>
      <c r="D26" s="129">
        <v>9.1999999999999993</v>
      </c>
      <c r="E26" s="129">
        <v>9</v>
      </c>
      <c r="F26" s="129">
        <v>10.1</v>
      </c>
      <c r="G26" s="129">
        <v>9.5</v>
      </c>
      <c r="H26" s="129">
        <v>9.3000000000000007</v>
      </c>
      <c r="I26" s="144">
        <v>9</v>
      </c>
      <c r="J26" s="129">
        <v>9.1999999999999993</v>
      </c>
      <c r="K26" s="129">
        <v>9</v>
      </c>
      <c r="L26" s="129">
        <v>9.9</v>
      </c>
      <c r="M26" s="129">
        <v>9.1</v>
      </c>
      <c r="N26" s="129">
        <v>8.8000000000000007</v>
      </c>
      <c r="O26" s="144">
        <v>8.8000000000000007</v>
      </c>
      <c r="P26" s="263">
        <v>9.5540000000000003</v>
      </c>
      <c r="Q26" s="650">
        <v>9.5540000000000003</v>
      </c>
      <c r="R26" s="269">
        <v>9.5540000000000003</v>
      </c>
      <c r="S26" s="138">
        <v>9.5540000000000003</v>
      </c>
      <c r="T26" s="257">
        <v>0.70299999999999996</v>
      </c>
      <c r="U26" s="257">
        <v>0.70299999999999996</v>
      </c>
      <c r="V26" s="130">
        <v>0.63400000000000001</v>
      </c>
      <c r="W26" s="130">
        <v>0.57599999999999996</v>
      </c>
      <c r="X26" s="130">
        <v>0.57599999999999996</v>
      </c>
      <c r="Y26" s="130">
        <v>0.79</v>
      </c>
      <c r="Z26" s="130">
        <v>0.79</v>
      </c>
      <c r="AA26" s="130">
        <v>0.71799999999999997</v>
      </c>
      <c r="AB26" s="275">
        <v>0.63900000000000001</v>
      </c>
      <c r="AC26" s="138">
        <v>0.63900000000000001</v>
      </c>
      <c r="AD26" s="657">
        <v>2004</v>
      </c>
      <c r="AE26" s="171">
        <v>23</v>
      </c>
      <c r="AF26" s="649">
        <v>10</v>
      </c>
      <c r="AG26" s="649">
        <v>9.6999999999999993</v>
      </c>
      <c r="AH26" s="649">
        <v>10.3</v>
      </c>
      <c r="AI26" s="649">
        <v>9.6999999999999993</v>
      </c>
      <c r="AJ26" s="649">
        <v>9.4</v>
      </c>
      <c r="AK26" s="664">
        <v>9.1</v>
      </c>
      <c r="AL26" s="649">
        <v>10</v>
      </c>
      <c r="AM26" s="649">
        <v>9.6999999999999993</v>
      </c>
      <c r="AN26" s="649">
        <v>10.1</v>
      </c>
      <c r="AO26" s="649">
        <v>9.1999999999999993</v>
      </c>
      <c r="AP26" s="649">
        <v>8.9</v>
      </c>
      <c r="AQ26" s="664">
        <v>8.9</v>
      </c>
      <c r="AR26" s="713">
        <v>10.407</v>
      </c>
      <c r="AS26" s="650">
        <v>10.407</v>
      </c>
      <c r="AT26" s="718">
        <v>10.407</v>
      </c>
      <c r="AU26" s="658">
        <v>10.407</v>
      </c>
      <c r="AV26" s="707">
        <v>0.67</v>
      </c>
      <c r="AW26" s="707">
        <v>0.67</v>
      </c>
      <c r="AX26" s="650">
        <v>0.59599999999999997</v>
      </c>
      <c r="AY26" s="650">
        <v>0.54900000000000004</v>
      </c>
      <c r="AZ26" s="650">
        <v>0.54900000000000004</v>
      </c>
      <c r="BA26" s="650">
        <v>0.67600000000000005</v>
      </c>
      <c r="BB26" s="650">
        <v>0.67600000000000005</v>
      </c>
      <c r="BC26" s="650">
        <v>0.628</v>
      </c>
      <c r="BD26" s="724">
        <v>0.57199999999999995</v>
      </c>
      <c r="BE26" s="658">
        <v>0.57199999999999995</v>
      </c>
      <c r="BF26" s="657">
        <v>2004</v>
      </c>
      <c r="BG26" s="171">
        <v>23</v>
      </c>
      <c r="BH26" s="798"/>
      <c r="BI26" s="798"/>
      <c r="BJ26" s="798"/>
      <c r="BK26" s="798"/>
      <c r="BL26" s="798"/>
      <c r="BM26" s="799"/>
      <c r="BN26" s="649">
        <v>6.8</v>
      </c>
      <c r="BO26" s="649">
        <v>6.6</v>
      </c>
      <c r="BP26" s="649">
        <v>3.2</v>
      </c>
      <c r="BQ26" s="649">
        <v>3.1</v>
      </c>
      <c r="BR26" s="649">
        <v>3.1</v>
      </c>
      <c r="BS26" s="664">
        <v>3.1</v>
      </c>
      <c r="BT26" s="810"/>
      <c r="BU26" s="798"/>
      <c r="BV26" s="811"/>
      <c r="BW26" s="799"/>
      <c r="BX26" s="812"/>
      <c r="BY26" s="812"/>
      <c r="BZ26" s="798"/>
      <c r="CA26" s="798"/>
      <c r="CB26" s="798"/>
      <c r="CC26" s="798"/>
      <c r="CD26" s="798"/>
      <c r="CE26" s="798"/>
      <c r="CF26" s="813"/>
      <c r="CG26" s="799"/>
      <c r="CI26" s="657">
        <v>2004</v>
      </c>
      <c r="CJ26" s="649">
        <v>4.4000000000000004</v>
      </c>
      <c r="CK26" s="649">
        <v>8.3000000000000007</v>
      </c>
      <c r="CL26" s="664">
        <v>12.9</v>
      </c>
    </row>
    <row r="27" spans="2:90" x14ac:dyDescent="0.25">
      <c r="B27" s="137">
        <v>2005</v>
      </c>
      <c r="C27" s="514">
        <v>24</v>
      </c>
      <c r="D27" s="129">
        <v>9.1999999999999993</v>
      </c>
      <c r="E27" s="129">
        <v>9</v>
      </c>
      <c r="F27" s="129">
        <v>10.1</v>
      </c>
      <c r="G27" s="129">
        <v>9.5</v>
      </c>
      <c r="H27" s="129">
        <v>9.3000000000000007</v>
      </c>
      <c r="I27" s="144">
        <v>9</v>
      </c>
      <c r="J27" s="129">
        <v>9.1999999999999993</v>
      </c>
      <c r="K27" s="129">
        <v>9</v>
      </c>
      <c r="L27" s="129">
        <v>9.9</v>
      </c>
      <c r="M27" s="129">
        <v>9.1</v>
      </c>
      <c r="N27" s="129">
        <v>8.8000000000000007</v>
      </c>
      <c r="O27" s="144">
        <v>8.8000000000000007</v>
      </c>
      <c r="P27" s="263">
        <v>9.5540000000000003</v>
      </c>
      <c r="Q27" s="650">
        <v>9.5540000000000003</v>
      </c>
      <c r="R27" s="269">
        <v>9.5540000000000003</v>
      </c>
      <c r="S27" s="138">
        <v>9.5540000000000003</v>
      </c>
      <c r="T27" s="257">
        <v>0.70299999999999996</v>
      </c>
      <c r="U27" s="257">
        <v>0.70299999999999996</v>
      </c>
      <c r="V27" s="130">
        <v>0.63400000000000001</v>
      </c>
      <c r="W27" s="130">
        <v>0.57599999999999996</v>
      </c>
      <c r="X27" s="130">
        <v>0.57599999999999996</v>
      </c>
      <c r="Y27" s="130">
        <v>0.79</v>
      </c>
      <c r="Z27" s="130">
        <v>0.79</v>
      </c>
      <c r="AA27" s="130">
        <v>0.71799999999999997</v>
      </c>
      <c r="AB27" s="275">
        <v>0.63900000000000001</v>
      </c>
      <c r="AC27" s="138">
        <v>0.63900000000000001</v>
      </c>
      <c r="AD27" s="657">
        <v>2005</v>
      </c>
      <c r="AE27" s="774">
        <v>24</v>
      </c>
      <c r="AF27" s="649">
        <v>10</v>
      </c>
      <c r="AG27" s="649">
        <v>9.6999999999999993</v>
      </c>
      <c r="AH27" s="649">
        <v>10.3</v>
      </c>
      <c r="AI27" s="649">
        <v>9.6999999999999993</v>
      </c>
      <c r="AJ27" s="649">
        <v>9.4</v>
      </c>
      <c r="AK27" s="664">
        <v>9.1</v>
      </c>
      <c r="AL27" s="649">
        <v>10</v>
      </c>
      <c r="AM27" s="649">
        <v>9.6999999999999993</v>
      </c>
      <c r="AN27" s="649">
        <v>10.1</v>
      </c>
      <c r="AO27" s="649">
        <v>9.1999999999999993</v>
      </c>
      <c r="AP27" s="649">
        <v>8.9</v>
      </c>
      <c r="AQ27" s="664">
        <v>8.9</v>
      </c>
      <c r="AR27" s="713">
        <v>10.407</v>
      </c>
      <c r="AS27" s="650">
        <v>10.407</v>
      </c>
      <c r="AT27" s="718">
        <v>10.407</v>
      </c>
      <c r="AU27" s="658">
        <v>10.407</v>
      </c>
      <c r="AV27" s="707">
        <v>0.67</v>
      </c>
      <c r="AW27" s="707">
        <v>0.67</v>
      </c>
      <c r="AX27" s="650">
        <v>0.59599999999999997</v>
      </c>
      <c r="AY27" s="650">
        <v>0.54900000000000004</v>
      </c>
      <c r="AZ27" s="650">
        <v>0.54900000000000004</v>
      </c>
      <c r="BA27" s="650">
        <v>0.67600000000000005</v>
      </c>
      <c r="BB27" s="650">
        <v>0.67600000000000005</v>
      </c>
      <c r="BC27" s="650">
        <v>0.628</v>
      </c>
      <c r="BD27" s="724">
        <v>0.57199999999999995</v>
      </c>
      <c r="BE27" s="658">
        <v>0.57199999999999995</v>
      </c>
      <c r="BF27" s="657">
        <v>2005</v>
      </c>
      <c r="BG27" s="774">
        <v>24</v>
      </c>
      <c r="BH27" s="798"/>
      <c r="BI27" s="798"/>
      <c r="BJ27" s="798"/>
      <c r="BK27" s="798"/>
      <c r="BL27" s="798"/>
      <c r="BM27" s="799"/>
      <c r="BN27" s="649">
        <v>6.8</v>
      </c>
      <c r="BO27" s="649">
        <v>6.6</v>
      </c>
      <c r="BP27" s="649">
        <v>3.2</v>
      </c>
      <c r="BQ27" s="649">
        <v>3.1</v>
      </c>
      <c r="BR27" s="649">
        <v>3.1</v>
      </c>
      <c r="BS27" s="664">
        <v>3.1</v>
      </c>
      <c r="BT27" s="810"/>
      <c r="BU27" s="798"/>
      <c r="BV27" s="811"/>
      <c r="BW27" s="799"/>
      <c r="BX27" s="812"/>
      <c r="BY27" s="812"/>
      <c r="BZ27" s="798"/>
      <c r="CA27" s="798"/>
      <c r="CB27" s="798"/>
      <c r="CC27" s="798"/>
      <c r="CD27" s="798"/>
      <c r="CE27" s="798"/>
      <c r="CF27" s="813"/>
      <c r="CG27" s="799"/>
      <c r="CI27" s="657">
        <v>2005</v>
      </c>
      <c r="CJ27" s="649">
        <v>5</v>
      </c>
      <c r="CK27" s="649">
        <v>9.1</v>
      </c>
      <c r="CL27" s="664">
        <v>13.9</v>
      </c>
    </row>
    <row r="28" spans="2:90" x14ac:dyDescent="0.25">
      <c r="B28" s="137">
        <v>2006</v>
      </c>
      <c r="C28" s="171">
        <v>25</v>
      </c>
      <c r="D28" s="129">
        <v>11.2</v>
      </c>
      <c r="E28" s="129">
        <v>11.2</v>
      </c>
      <c r="F28" s="129">
        <v>10.1</v>
      </c>
      <c r="G28" s="129">
        <v>9.5</v>
      </c>
      <c r="H28" s="129">
        <v>9.3000000000000007</v>
      </c>
      <c r="I28" s="144">
        <v>9</v>
      </c>
      <c r="J28" s="129">
        <v>11.2</v>
      </c>
      <c r="K28" s="129">
        <v>11.2</v>
      </c>
      <c r="L28" s="129">
        <v>9.9</v>
      </c>
      <c r="M28" s="129">
        <v>9.1</v>
      </c>
      <c r="N28" s="129">
        <v>8.8000000000000007</v>
      </c>
      <c r="O28" s="144">
        <v>8.8000000000000007</v>
      </c>
      <c r="P28" s="263">
        <v>9.5540000000000003</v>
      </c>
      <c r="Q28" s="650">
        <v>9.5540000000000003</v>
      </c>
      <c r="R28" s="269">
        <v>9.5540000000000003</v>
      </c>
      <c r="S28" s="138">
        <v>9.5540000000000003</v>
      </c>
      <c r="T28" s="257">
        <v>0.70299999999999996</v>
      </c>
      <c r="U28" s="257">
        <v>0.70299999999999996</v>
      </c>
      <c r="V28" s="130">
        <v>0.63400000000000001</v>
      </c>
      <c r="W28" s="130">
        <v>0.57599999999999996</v>
      </c>
      <c r="X28" s="130">
        <v>0.57599999999999996</v>
      </c>
      <c r="Y28" s="130">
        <v>0.79</v>
      </c>
      <c r="Z28" s="130">
        <v>0.79</v>
      </c>
      <c r="AA28" s="130">
        <v>0.71799999999999997</v>
      </c>
      <c r="AB28" s="275">
        <v>0.63900000000000001</v>
      </c>
      <c r="AC28" s="138">
        <v>0.63900000000000001</v>
      </c>
      <c r="AD28" s="657">
        <v>2006</v>
      </c>
      <c r="AE28" s="171">
        <v>25</v>
      </c>
      <c r="AF28" s="649">
        <v>13</v>
      </c>
      <c r="AG28" s="649">
        <v>13</v>
      </c>
      <c r="AH28" s="649">
        <v>10.3</v>
      </c>
      <c r="AI28" s="649">
        <v>9.6999999999999993</v>
      </c>
      <c r="AJ28" s="649">
        <v>9.4</v>
      </c>
      <c r="AK28" s="664">
        <v>9.1</v>
      </c>
      <c r="AL28" s="649">
        <v>13</v>
      </c>
      <c r="AM28" s="649">
        <v>13</v>
      </c>
      <c r="AN28" s="649">
        <v>10.1</v>
      </c>
      <c r="AO28" s="649">
        <v>9.1999999999999993</v>
      </c>
      <c r="AP28" s="649">
        <v>8.9</v>
      </c>
      <c r="AQ28" s="664">
        <v>8.9</v>
      </c>
      <c r="AR28" s="713">
        <v>10.407</v>
      </c>
      <c r="AS28" s="650">
        <v>10.407</v>
      </c>
      <c r="AT28" s="718">
        <v>10.407</v>
      </c>
      <c r="AU28" s="658">
        <v>10.407</v>
      </c>
      <c r="AV28" s="707">
        <v>0.67</v>
      </c>
      <c r="AW28" s="707">
        <v>0.67</v>
      </c>
      <c r="AX28" s="650">
        <v>0.59599999999999997</v>
      </c>
      <c r="AY28" s="650">
        <v>0.54900000000000004</v>
      </c>
      <c r="AZ28" s="650">
        <v>0.54900000000000004</v>
      </c>
      <c r="BA28" s="650">
        <v>0.67600000000000005</v>
      </c>
      <c r="BB28" s="650">
        <v>0.67600000000000005</v>
      </c>
      <c r="BC28" s="650">
        <v>0.628</v>
      </c>
      <c r="BD28" s="724">
        <v>0.57199999999999995</v>
      </c>
      <c r="BE28" s="658">
        <v>0.57199999999999995</v>
      </c>
      <c r="BF28" s="657">
        <v>2006</v>
      </c>
      <c r="BG28" s="171">
        <v>25</v>
      </c>
      <c r="BH28" s="798"/>
      <c r="BI28" s="798"/>
      <c r="BJ28" s="798"/>
      <c r="BK28" s="798"/>
      <c r="BL28" s="798"/>
      <c r="BM28" s="799"/>
      <c r="BN28" s="649">
        <v>7.7</v>
      </c>
      <c r="BO28" s="649">
        <v>7.7</v>
      </c>
      <c r="BP28" s="649">
        <v>3.2</v>
      </c>
      <c r="BQ28" s="649">
        <v>3.1</v>
      </c>
      <c r="BR28" s="649">
        <v>3.1</v>
      </c>
      <c r="BS28" s="664">
        <v>3.1</v>
      </c>
      <c r="BT28" s="810"/>
      <c r="BU28" s="798"/>
      <c r="BV28" s="811"/>
      <c r="BW28" s="799"/>
      <c r="BX28" s="812"/>
      <c r="BY28" s="812"/>
      <c r="BZ28" s="798"/>
      <c r="CA28" s="798"/>
      <c r="CB28" s="798"/>
      <c r="CC28" s="798"/>
      <c r="CD28" s="798"/>
      <c r="CE28" s="798"/>
      <c r="CF28" s="813"/>
      <c r="CG28" s="799"/>
      <c r="CI28" s="657">
        <v>2006</v>
      </c>
      <c r="CJ28" s="649">
        <v>5.7</v>
      </c>
      <c r="CK28" s="649">
        <v>10</v>
      </c>
      <c r="CL28" s="664">
        <v>14.9</v>
      </c>
    </row>
    <row r="29" spans="2:90" x14ac:dyDescent="0.25">
      <c r="B29" s="137">
        <v>2007</v>
      </c>
      <c r="C29" s="514">
        <v>26</v>
      </c>
      <c r="D29" s="509">
        <v>11.2</v>
      </c>
      <c r="E29" s="509">
        <v>11.2</v>
      </c>
      <c r="F29" s="509">
        <v>10.1</v>
      </c>
      <c r="G29" s="509">
        <v>9.5</v>
      </c>
      <c r="H29" s="509">
        <v>9.3000000000000007</v>
      </c>
      <c r="I29" s="490">
        <v>9</v>
      </c>
      <c r="J29" s="509">
        <v>11.2</v>
      </c>
      <c r="K29" s="509">
        <v>11.2</v>
      </c>
      <c r="L29" s="509">
        <v>9.9</v>
      </c>
      <c r="M29" s="509">
        <v>9.1</v>
      </c>
      <c r="N29" s="509">
        <v>8.8000000000000007</v>
      </c>
      <c r="O29" s="490">
        <v>8.8000000000000007</v>
      </c>
      <c r="P29" s="263">
        <v>9.5540000000000003</v>
      </c>
      <c r="Q29" s="650">
        <v>9.5540000000000003</v>
      </c>
      <c r="R29" s="269">
        <v>9.5540000000000003</v>
      </c>
      <c r="S29" s="138">
        <v>9.5540000000000003</v>
      </c>
      <c r="T29" s="257">
        <v>0.70299999999999996</v>
      </c>
      <c r="U29" s="257">
        <v>0.70299999999999996</v>
      </c>
      <c r="V29" s="130">
        <v>0.63400000000000001</v>
      </c>
      <c r="W29" s="130">
        <v>0.57599999999999996</v>
      </c>
      <c r="X29" s="130">
        <v>0.57599999999999996</v>
      </c>
      <c r="Y29" s="130">
        <v>0.79</v>
      </c>
      <c r="Z29" s="130">
        <v>0.79</v>
      </c>
      <c r="AA29" s="130">
        <v>0.71799999999999997</v>
      </c>
      <c r="AB29" s="275">
        <v>0.63900000000000001</v>
      </c>
      <c r="AC29" s="138">
        <v>0.63900000000000001</v>
      </c>
      <c r="AD29" s="657">
        <v>2007</v>
      </c>
      <c r="AE29" s="774">
        <v>26</v>
      </c>
      <c r="AF29" s="770">
        <v>13</v>
      </c>
      <c r="AG29" s="770">
        <v>13</v>
      </c>
      <c r="AH29" s="649">
        <v>10.3</v>
      </c>
      <c r="AI29" s="649">
        <v>9.6999999999999993</v>
      </c>
      <c r="AJ29" s="649">
        <v>9.4</v>
      </c>
      <c r="AK29" s="664">
        <v>9.1</v>
      </c>
      <c r="AL29" s="770">
        <v>13</v>
      </c>
      <c r="AM29" s="770">
        <v>13</v>
      </c>
      <c r="AN29" s="649">
        <v>10.1</v>
      </c>
      <c r="AO29" s="649">
        <v>9.1999999999999993</v>
      </c>
      <c r="AP29" s="649">
        <v>8.9</v>
      </c>
      <c r="AQ29" s="664">
        <v>8.9</v>
      </c>
      <c r="AR29" s="713">
        <v>10.407</v>
      </c>
      <c r="AS29" s="650">
        <v>10.407</v>
      </c>
      <c r="AT29" s="718">
        <v>10.407</v>
      </c>
      <c r="AU29" s="658">
        <v>10.407</v>
      </c>
      <c r="AV29" s="707">
        <v>0.67</v>
      </c>
      <c r="AW29" s="707">
        <v>0.67</v>
      </c>
      <c r="AX29" s="650">
        <v>0.59599999999999997</v>
      </c>
      <c r="AY29" s="650">
        <v>0.54900000000000004</v>
      </c>
      <c r="AZ29" s="650">
        <v>0.54900000000000004</v>
      </c>
      <c r="BA29" s="650">
        <v>0.67600000000000005</v>
      </c>
      <c r="BB29" s="650">
        <v>0.67600000000000005</v>
      </c>
      <c r="BC29" s="650">
        <v>0.628</v>
      </c>
      <c r="BD29" s="724">
        <v>0.57199999999999995</v>
      </c>
      <c r="BE29" s="658">
        <v>0.57199999999999995</v>
      </c>
      <c r="BF29" s="657">
        <v>2007</v>
      </c>
      <c r="BG29" s="774">
        <v>26</v>
      </c>
      <c r="BH29" s="798"/>
      <c r="BI29" s="798"/>
      <c r="BJ29" s="798"/>
      <c r="BK29" s="798"/>
      <c r="BL29" s="798"/>
      <c r="BM29" s="799"/>
      <c r="BN29" s="770">
        <v>7.7</v>
      </c>
      <c r="BO29" s="770">
        <v>7.7</v>
      </c>
      <c r="BP29" s="649">
        <v>3.2</v>
      </c>
      <c r="BQ29" s="649">
        <v>3.1</v>
      </c>
      <c r="BR29" s="649">
        <v>3.1</v>
      </c>
      <c r="BS29" s="664">
        <v>3.1</v>
      </c>
      <c r="BT29" s="810"/>
      <c r="BU29" s="798"/>
      <c r="BV29" s="811"/>
      <c r="BW29" s="799"/>
      <c r="BX29" s="812"/>
      <c r="BY29" s="812"/>
      <c r="BZ29" s="798"/>
      <c r="CA29" s="798"/>
      <c r="CB29" s="798"/>
      <c r="CC29" s="798"/>
      <c r="CD29" s="798"/>
      <c r="CE29" s="798"/>
      <c r="CF29" s="813"/>
      <c r="CG29" s="799"/>
      <c r="CI29" s="657">
        <v>2007</v>
      </c>
      <c r="CJ29" s="649">
        <v>6.5</v>
      </c>
      <c r="CK29" s="649">
        <v>10.9</v>
      </c>
      <c r="CL29" s="664">
        <v>15.9</v>
      </c>
    </row>
    <row r="30" spans="2:90" x14ac:dyDescent="0.25">
      <c r="B30" s="137">
        <v>2008</v>
      </c>
      <c r="C30" s="171">
        <v>27</v>
      </c>
      <c r="D30" s="509">
        <v>11.2</v>
      </c>
      <c r="E30" s="509">
        <v>11.2</v>
      </c>
      <c r="F30" s="509">
        <v>10.1</v>
      </c>
      <c r="G30" s="509">
        <v>9.5</v>
      </c>
      <c r="H30" s="509">
        <v>9.3000000000000007</v>
      </c>
      <c r="I30" s="490">
        <v>9</v>
      </c>
      <c r="J30" s="509">
        <v>11.2</v>
      </c>
      <c r="K30" s="509">
        <v>11.2</v>
      </c>
      <c r="L30" s="509">
        <v>9.9</v>
      </c>
      <c r="M30" s="509">
        <v>9.1</v>
      </c>
      <c r="N30" s="509">
        <v>8.8000000000000007</v>
      </c>
      <c r="O30" s="490">
        <v>8.8000000000000007</v>
      </c>
      <c r="P30" s="263">
        <v>9.5540000000000003</v>
      </c>
      <c r="Q30" s="650">
        <v>9.5540000000000003</v>
      </c>
      <c r="R30" s="269">
        <v>9.5540000000000003</v>
      </c>
      <c r="S30" s="138">
        <v>9.5540000000000003</v>
      </c>
      <c r="T30" s="257">
        <v>0.70299999999999996</v>
      </c>
      <c r="U30" s="257">
        <v>0.70299999999999996</v>
      </c>
      <c r="V30" s="130">
        <v>0.63400000000000001</v>
      </c>
      <c r="W30" s="130">
        <v>0.57599999999999996</v>
      </c>
      <c r="X30" s="130">
        <v>0.57599999999999996</v>
      </c>
      <c r="Y30" s="130">
        <v>0.79</v>
      </c>
      <c r="Z30" s="130">
        <v>0.79</v>
      </c>
      <c r="AA30" s="130">
        <v>0.71799999999999997</v>
      </c>
      <c r="AB30" s="275">
        <v>0.63900000000000001</v>
      </c>
      <c r="AC30" s="138">
        <v>0.63900000000000001</v>
      </c>
      <c r="AD30" s="657">
        <v>2008</v>
      </c>
      <c r="AE30" s="171">
        <v>27</v>
      </c>
      <c r="AF30" s="770">
        <v>13</v>
      </c>
      <c r="AG30" s="770">
        <v>13</v>
      </c>
      <c r="AH30" s="649">
        <v>10.3</v>
      </c>
      <c r="AI30" s="649">
        <v>9.6999999999999993</v>
      </c>
      <c r="AJ30" s="649">
        <v>9.4</v>
      </c>
      <c r="AK30" s="664">
        <v>9.1</v>
      </c>
      <c r="AL30" s="770">
        <v>13</v>
      </c>
      <c r="AM30" s="770">
        <v>13</v>
      </c>
      <c r="AN30" s="649">
        <v>10.1</v>
      </c>
      <c r="AO30" s="649">
        <v>9.1999999999999993</v>
      </c>
      <c r="AP30" s="649">
        <v>8.9</v>
      </c>
      <c r="AQ30" s="664">
        <v>8.9</v>
      </c>
      <c r="AR30" s="713">
        <v>10.407</v>
      </c>
      <c r="AS30" s="650">
        <v>10.407</v>
      </c>
      <c r="AT30" s="718">
        <v>10.407</v>
      </c>
      <c r="AU30" s="658">
        <v>10.407</v>
      </c>
      <c r="AV30" s="707">
        <v>0.67</v>
      </c>
      <c r="AW30" s="707">
        <v>0.67</v>
      </c>
      <c r="AX30" s="650">
        <v>0.59599999999999997</v>
      </c>
      <c r="AY30" s="650">
        <v>0.54900000000000004</v>
      </c>
      <c r="AZ30" s="650">
        <v>0.54900000000000004</v>
      </c>
      <c r="BA30" s="650">
        <v>0.67600000000000005</v>
      </c>
      <c r="BB30" s="650">
        <v>0.67600000000000005</v>
      </c>
      <c r="BC30" s="650">
        <v>0.628</v>
      </c>
      <c r="BD30" s="724">
        <v>0.57199999999999995</v>
      </c>
      <c r="BE30" s="658">
        <v>0.57199999999999995</v>
      </c>
      <c r="BF30" s="657">
        <v>2008</v>
      </c>
      <c r="BG30" s="171">
        <v>27</v>
      </c>
      <c r="BH30" s="798"/>
      <c r="BI30" s="798"/>
      <c r="BJ30" s="798"/>
      <c r="BK30" s="798"/>
      <c r="BL30" s="798"/>
      <c r="BM30" s="799"/>
      <c r="BN30" s="770">
        <v>7.7</v>
      </c>
      <c r="BO30" s="770">
        <v>7.7</v>
      </c>
      <c r="BP30" s="649">
        <v>3.2</v>
      </c>
      <c r="BQ30" s="649">
        <v>3.1</v>
      </c>
      <c r="BR30" s="649">
        <v>3.1</v>
      </c>
      <c r="BS30" s="664">
        <v>3.1</v>
      </c>
      <c r="BT30" s="810"/>
      <c r="BU30" s="798"/>
      <c r="BV30" s="811"/>
      <c r="BW30" s="799"/>
      <c r="BX30" s="812"/>
      <c r="BY30" s="812"/>
      <c r="BZ30" s="798"/>
      <c r="CA30" s="798"/>
      <c r="CB30" s="798"/>
      <c r="CC30" s="798"/>
      <c r="CD30" s="798"/>
      <c r="CE30" s="798"/>
      <c r="CF30" s="813"/>
      <c r="CG30" s="799"/>
      <c r="CI30" s="657">
        <v>2008</v>
      </c>
      <c r="CJ30" s="649">
        <v>7.3</v>
      </c>
      <c r="CK30" s="649">
        <v>11.8</v>
      </c>
      <c r="CL30" s="664">
        <v>16.899999999999999</v>
      </c>
    </row>
    <row r="31" spans="2:90" x14ac:dyDescent="0.25">
      <c r="B31" s="137">
        <v>2009</v>
      </c>
      <c r="C31" s="514">
        <v>28</v>
      </c>
      <c r="D31" s="509">
        <v>11.2</v>
      </c>
      <c r="E31" s="509">
        <v>11.2</v>
      </c>
      <c r="F31" s="509">
        <v>10.1</v>
      </c>
      <c r="G31" s="509">
        <v>9.5</v>
      </c>
      <c r="H31" s="509">
        <v>9.3000000000000007</v>
      </c>
      <c r="I31" s="490">
        <v>9</v>
      </c>
      <c r="J31" s="509">
        <v>11.2</v>
      </c>
      <c r="K31" s="509">
        <v>11.2</v>
      </c>
      <c r="L31" s="509">
        <v>9.9</v>
      </c>
      <c r="M31" s="509">
        <v>9.1</v>
      </c>
      <c r="N31" s="509">
        <v>8.8000000000000007</v>
      </c>
      <c r="O31" s="490">
        <v>8.8000000000000007</v>
      </c>
      <c r="P31" s="263">
        <v>9.5540000000000003</v>
      </c>
      <c r="Q31" s="650">
        <v>9.5540000000000003</v>
      </c>
      <c r="R31" s="269">
        <v>9.5540000000000003</v>
      </c>
      <c r="S31" s="138">
        <v>9.5540000000000003</v>
      </c>
      <c r="T31" s="257">
        <v>0.70299999999999996</v>
      </c>
      <c r="U31" s="257">
        <v>0.70299999999999996</v>
      </c>
      <c r="V31" s="130">
        <v>0.63400000000000001</v>
      </c>
      <c r="W31" s="130">
        <v>0.57599999999999996</v>
      </c>
      <c r="X31" s="130">
        <v>0.57599999999999996</v>
      </c>
      <c r="Y31" s="130">
        <v>0.79</v>
      </c>
      <c r="Z31" s="130">
        <v>0.79</v>
      </c>
      <c r="AA31" s="130">
        <v>0.71799999999999997</v>
      </c>
      <c r="AB31" s="275">
        <v>0.63900000000000001</v>
      </c>
      <c r="AC31" s="138">
        <v>0.63900000000000001</v>
      </c>
      <c r="AD31" s="657">
        <v>2009</v>
      </c>
      <c r="AE31" s="774">
        <v>28</v>
      </c>
      <c r="AF31" s="770">
        <v>13</v>
      </c>
      <c r="AG31" s="770">
        <v>13</v>
      </c>
      <c r="AH31" s="649">
        <v>10.3</v>
      </c>
      <c r="AI31" s="649">
        <v>9.6999999999999993</v>
      </c>
      <c r="AJ31" s="649">
        <v>9.4</v>
      </c>
      <c r="AK31" s="664">
        <v>9.1</v>
      </c>
      <c r="AL31" s="770">
        <v>13</v>
      </c>
      <c r="AM31" s="770">
        <v>13</v>
      </c>
      <c r="AN31" s="649">
        <v>10.1</v>
      </c>
      <c r="AO31" s="649">
        <v>9.1999999999999993</v>
      </c>
      <c r="AP31" s="649">
        <v>8.9</v>
      </c>
      <c r="AQ31" s="664">
        <v>8.9</v>
      </c>
      <c r="AR31" s="713">
        <v>10.407</v>
      </c>
      <c r="AS31" s="650">
        <v>10.407</v>
      </c>
      <c r="AT31" s="718">
        <v>10.407</v>
      </c>
      <c r="AU31" s="658">
        <v>10.407</v>
      </c>
      <c r="AV31" s="707">
        <v>0.67</v>
      </c>
      <c r="AW31" s="707">
        <v>0.67</v>
      </c>
      <c r="AX31" s="650">
        <v>0.59599999999999997</v>
      </c>
      <c r="AY31" s="650">
        <v>0.54900000000000004</v>
      </c>
      <c r="AZ31" s="650">
        <v>0.54900000000000004</v>
      </c>
      <c r="BA31" s="650">
        <v>0.67600000000000005</v>
      </c>
      <c r="BB31" s="650">
        <v>0.67600000000000005</v>
      </c>
      <c r="BC31" s="650">
        <v>0.628</v>
      </c>
      <c r="BD31" s="724">
        <v>0.57199999999999995</v>
      </c>
      <c r="BE31" s="658">
        <v>0.57199999999999995</v>
      </c>
      <c r="BF31" s="657">
        <v>2009</v>
      </c>
      <c r="BG31" s="774">
        <v>28</v>
      </c>
      <c r="BH31" s="798"/>
      <c r="BI31" s="798"/>
      <c r="BJ31" s="798"/>
      <c r="BK31" s="798"/>
      <c r="BL31" s="798"/>
      <c r="BM31" s="799"/>
      <c r="BN31" s="770">
        <v>7.7</v>
      </c>
      <c r="BO31" s="770">
        <v>7.7</v>
      </c>
      <c r="BP31" s="649">
        <v>3.2</v>
      </c>
      <c r="BQ31" s="649">
        <v>3.1</v>
      </c>
      <c r="BR31" s="649">
        <v>3.1</v>
      </c>
      <c r="BS31" s="664">
        <v>3.1</v>
      </c>
      <c r="BT31" s="810"/>
      <c r="BU31" s="798"/>
      <c r="BV31" s="811"/>
      <c r="BW31" s="799"/>
      <c r="BX31" s="812"/>
      <c r="BY31" s="812"/>
      <c r="BZ31" s="798"/>
      <c r="CA31" s="798"/>
      <c r="CB31" s="798"/>
      <c r="CC31" s="798"/>
      <c r="CD31" s="798"/>
      <c r="CE31" s="798"/>
      <c r="CF31" s="813"/>
      <c r="CG31" s="799"/>
      <c r="CI31" s="657">
        <v>2009</v>
      </c>
      <c r="CJ31" s="649">
        <v>8.1999999999999993</v>
      </c>
      <c r="CK31" s="649">
        <v>12.7</v>
      </c>
      <c r="CL31" s="664">
        <v>17.899999999999999</v>
      </c>
    </row>
    <row r="32" spans="2:90" x14ac:dyDescent="0.25">
      <c r="B32" s="567">
        <v>2010</v>
      </c>
      <c r="C32" s="568">
        <v>29</v>
      </c>
      <c r="D32" s="569">
        <v>11.2</v>
      </c>
      <c r="E32" s="569">
        <v>11.2</v>
      </c>
      <c r="F32" s="569">
        <v>11</v>
      </c>
      <c r="G32" s="569">
        <v>10.8</v>
      </c>
      <c r="H32" s="569">
        <v>9.8000000000000007</v>
      </c>
      <c r="I32" s="570">
        <v>9.5</v>
      </c>
      <c r="J32" s="569">
        <v>11.2</v>
      </c>
      <c r="K32" s="569">
        <v>11.2</v>
      </c>
      <c r="L32" s="569">
        <v>10.8</v>
      </c>
      <c r="M32" s="569">
        <v>10.4</v>
      </c>
      <c r="N32" s="569">
        <v>9.3000000000000007</v>
      </c>
      <c r="O32" s="570">
        <v>9.3000000000000007</v>
      </c>
      <c r="P32" s="571">
        <v>9.5619999999999994</v>
      </c>
      <c r="Q32" s="572">
        <v>9.5619999999999994</v>
      </c>
      <c r="R32" s="573">
        <v>9.5619999999999994</v>
      </c>
      <c r="S32" s="574">
        <v>9.5619999999999994</v>
      </c>
      <c r="T32" s="575">
        <v>0.63400000000000001</v>
      </c>
      <c r="U32" s="575">
        <v>0.63400000000000001</v>
      </c>
      <c r="V32" s="572">
        <v>0.63400000000000001</v>
      </c>
      <c r="W32" s="572">
        <v>0.57599999999999996</v>
      </c>
      <c r="X32" s="572">
        <v>0.56999999999999995</v>
      </c>
      <c r="Y32" s="572">
        <v>0.78</v>
      </c>
      <c r="Z32" s="572">
        <v>0.77500000000000002</v>
      </c>
      <c r="AA32" s="572">
        <v>0.68</v>
      </c>
      <c r="AB32" s="576">
        <v>0.62</v>
      </c>
      <c r="AC32" s="574">
        <v>0.62</v>
      </c>
      <c r="AD32" s="789">
        <v>2010</v>
      </c>
      <c r="AE32" s="790">
        <v>29</v>
      </c>
      <c r="AF32" s="791">
        <v>13</v>
      </c>
      <c r="AG32" s="791">
        <v>13</v>
      </c>
      <c r="AH32" s="791">
        <v>11.2</v>
      </c>
      <c r="AI32" s="791">
        <v>11</v>
      </c>
      <c r="AJ32" s="791">
        <v>9.9</v>
      </c>
      <c r="AK32" s="792">
        <v>9.6</v>
      </c>
      <c r="AL32" s="791">
        <v>13</v>
      </c>
      <c r="AM32" s="791">
        <v>13</v>
      </c>
      <c r="AN32" s="791">
        <v>11</v>
      </c>
      <c r="AO32" s="791">
        <v>10.5</v>
      </c>
      <c r="AP32" s="791">
        <v>9.4</v>
      </c>
      <c r="AQ32" s="792">
        <v>9.4</v>
      </c>
      <c r="AR32" s="571">
        <v>12.75</v>
      </c>
      <c r="AS32" s="793">
        <v>12.75</v>
      </c>
      <c r="AT32" s="794">
        <v>12.75</v>
      </c>
      <c r="AU32" s="795">
        <v>12.75</v>
      </c>
      <c r="AV32" s="796">
        <v>0.59599999999999997</v>
      </c>
      <c r="AW32" s="796">
        <v>0.59599999999999997</v>
      </c>
      <c r="AX32" s="793">
        <v>0.59599999999999997</v>
      </c>
      <c r="AY32" s="793">
        <v>0.54900000000000004</v>
      </c>
      <c r="AZ32" s="793">
        <v>0.53900000000000003</v>
      </c>
      <c r="BA32" s="793">
        <v>0.63</v>
      </c>
      <c r="BB32" s="793">
        <v>0.61499999999999999</v>
      </c>
      <c r="BC32" s="793">
        <v>0.57999999999999996</v>
      </c>
      <c r="BD32" s="797">
        <v>0.54</v>
      </c>
      <c r="BE32" s="795">
        <v>0.54</v>
      </c>
      <c r="BF32" s="789">
        <v>2010</v>
      </c>
      <c r="BG32" s="790">
        <v>29</v>
      </c>
      <c r="BH32" s="800"/>
      <c r="BI32" s="800"/>
      <c r="BJ32" s="800"/>
      <c r="BK32" s="800"/>
      <c r="BL32" s="800"/>
      <c r="BM32" s="801"/>
      <c r="BN32" s="791">
        <v>7.7</v>
      </c>
      <c r="BO32" s="791">
        <v>7.7</v>
      </c>
      <c r="BP32" s="791">
        <v>3.3</v>
      </c>
      <c r="BQ32" s="791">
        <v>3.2</v>
      </c>
      <c r="BR32" s="791">
        <v>3.2</v>
      </c>
      <c r="BS32" s="792">
        <v>3.2</v>
      </c>
      <c r="BT32" s="814"/>
      <c r="BU32" s="800"/>
      <c r="BV32" s="815"/>
      <c r="BW32" s="801"/>
      <c r="BX32" s="816"/>
      <c r="BY32" s="816"/>
      <c r="BZ32" s="800"/>
      <c r="CA32" s="800"/>
      <c r="CB32" s="800"/>
      <c r="CC32" s="800"/>
      <c r="CD32" s="800"/>
      <c r="CE32" s="800"/>
      <c r="CF32" s="817"/>
      <c r="CG32" s="801"/>
      <c r="CI32" s="789">
        <v>2010</v>
      </c>
      <c r="CJ32" s="577">
        <v>9.1</v>
      </c>
      <c r="CK32" s="577">
        <v>13.7</v>
      </c>
      <c r="CL32" s="578">
        <v>18.899999999999999</v>
      </c>
    </row>
    <row r="33" spans="2:90" ht="15.75" thickBot="1" x14ac:dyDescent="0.3">
      <c r="B33" s="139">
        <v>2011</v>
      </c>
      <c r="C33" s="172">
        <v>30</v>
      </c>
      <c r="D33" s="510">
        <v>11.2</v>
      </c>
      <c r="E33" s="510">
        <v>11.2</v>
      </c>
      <c r="F33" s="510">
        <v>11</v>
      </c>
      <c r="G33" s="510">
        <v>10.8</v>
      </c>
      <c r="H33" s="510">
        <v>9.8000000000000007</v>
      </c>
      <c r="I33" s="511">
        <v>9.5</v>
      </c>
      <c r="J33" s="510">
        <v>11.2</v>
      </c>
      <c r="K33" s="510">
        <v>11.2</v>
      </c>
      <c r="L33" s="510">
        <v>10.8</v>
      </c>
      <c r="M33" s="510">
        <v>10.4</v>
      </c>
      <c r="N33" s="510">
        <v>9.3000000000000007</v>
      </c>
      <c r="O33" s="511">
        <v>9.3000000000000007</v>
      </c>
      <c r="P33" s="264">
        <v>9.5619999999999994</v>
      </c>
      <c r="Q33" s="140">
        <v>9.5619999999999994</v>
      </c>
      <c r="R33" s="270">
        <v>9.5619999999999994</v>
      </c>
      <c r="S33" s="141">
        <v>9.5619999999999994</v>
      </c>
      <c r="T33" s="258">
        <v>0.63400000000000001</v>
      </c>
      <c r="U33" s="258">
        <v>0.63400000000000001</v>
      </c>
      <c r="V33" s="140">
        <v>0.63400000000000001</v>
      </c>
      <c r="W33" s="140">
        <v>0.57599999999999996</v>
      </c>
      <c r="X33" s="140">
        <v>0.56999999999999995</v>
      </c>
      <c r="Y33" s="140">
        <v>0.78</v>
      </c>
      <c r="Z33" s="140">
        <v>0.77500000000000002</v>
      </c>
      <c r="AA33" s="140">
        <v>0.68</v>
      </c>
      <c r="AB33" s="276">
        <v>0.62</v>
      </c>
      <c r="AC33" s="141">
        <v>0.62</v>
      </c>
      <c r="AD33" s="659">
        <v>2011</v>
      </c>
      <c r="AE33" s="687">
        <v>30</v>
      </c>
      <c r="AF33" s="771">
        <v>13</v>
      </c>
      <c r="AG33" s="771">
        <v>13</v>
      </c>
      <c r="AH33" s="771">
        <v>11.2</v>
      </c>
      <c r="AI33" s="771">
        <v>11</v>
      </c>
      <c r="AJ33" s="771">
        <v>9.9</v>
      </c>
      <c r="AK33" s="772">
        <v>9.6</v>
      </c>
      <c r="AL33" s="771">
        <v>13</v>
      </c>
      <c r="AM33" s="771">
        <v>13</v>
      </c>
      <c r="AN33" s="771">
        <v>11</v>
      </c>
      <c r="AO33" s="771">
        <v>10.5</v>
      </c>
      <c r="AP33" s="771">
        <v>9.4</v>
      </c>
      <c r="AQ33" s="772">
        <v>9.4</v>
      </c>
      <c r="AR33" s="264">
        <v>12.75</v>
      </c>
      <c r="AS33" s="660">
        <v>12.75</v>
      </c>
      <c r="AT33" s="719">
        <v>12.75</v>
      </c>
      <c r="AU33" s="661">
        <v>12.75</v>
      </c>
      <c r="AV33" s="708">
        <v>0.59599999999999997</v>
      </c>
      <c r="AW33" s="708">
        <v>0.59599999999999997</v>
      </c>
      <c r="AX33" s="660">
        <v>0.59599999999999997</v>
      </c>
      <c r="AY33" s="660">
        <v>0.54900000000000004</v>
      </c>
      <c r="AZ33" s="660">
        <v>0.53900000000000003</v>
      </c>
      <c r="BA33" s="660">
        <v>0.63</v>
      </c>
      <c r="BB33" s="660">
        <v>0.61499999999999999</v>
      </c>
      <c r="BC33" s="660">
        <v>0.57999999999999996</v>
      </c>
      <c r="BD33" s="725">
        <v>0.54</v>
      </c>
      <c r="BE33" s="661">
        <v>0.54</v>
      </c>
      <c r="BF33" s="659">
        <v>2011</v>
      </c>
      <c r="BG33" s="687">
        <v>30</v>
      </c>
      <c r="BH33" s="802"/>
      <c r="BI33" s="802"/>
      <c r="BJ33" s="802"/>
      <c r="BK33" s="802"/>
      <c r="BL33" s="802"/>
      <c r="BM33" s="803"/>
      <c r="BN33" s="771">
        <v>7.7</v>
      </c>
      <c r="BO33" s="771">
        <v>7.7</v>
      </c>
      <c r="BP33" s="771">
        <v>3.3</v>
      </c>
      <c r="BQ33" s="771">
        <v>3.2</v>
      </c>
      <c r="BR33" s="771">
        <v>3.2</v>
      </c>
      <c r="BS33" s="772">
        <v>3.2</v>
      </c>
      <c r="BT33" s="818"/>
      <c r="BU33" s="802"/>
      <c r="BV33" s="819"/>
      <c r="BW33" s="803"/>
      <c r="BX33" s="820"/>
      <c r="BY33" s="820"/>
      <c r="BZ33" s="802"/>
      <c r="CA33" s="802"/>
      <c r="CB33" s="802"/>
      <c r="CC33" s="802"/>
      <c r="CD33" s="802"/>
      <c r="CE33" s="802"/>
      <c r="CF33" s="821"/>
      <c r="CG33" s="803"/>
      <c r="CI33" s="512">
        <v>2011</v>
      </c>
      <c r="CJ33" s="771">
        <v>10</v>
      </c>
      <c r="CK33" s="771">
        <v>14.7</v>
      </c>
      <c r="CL33" s="772">
        <v>19.899999999999999</v>
      </c>
    </row>
  </sheetData>
  <sheetProtection password="D24D" sheet="1" objects="1" scenarios="1"/>
  <mergeCells count="20">
    <mergeCell ref="BX2:CG2"/>
    <mergeCell ref="AD2:AD5"/>
    <mergeCell ref="BF2:BF5"/>
    <mergeCell ref="BH2:BM2"/>
    <mergeCell ref="BN2:BS2"/>
    <mergeCell ref="BT2:BW2"/>
    <mergeCell ref="AR2:AU2"/>
    <mergeCell ref="AV2:BE2"/>
    <mergeCell ref="AF2:AK2"/>
    <mergeCell ref="AL2:AQ2"/>
    <mergeCell ref="T2:AC2"/>
    <mergeCell ref="B2:B5"/>
    <mergeCell ref="D2:I2"/>
    <mergeCell ref="J2:O2"/>
    <mergeCell ref="P2:S2"/>
    <mergeCell ref="CI3:CI5"/>
    <mergeCell ref="CJ3:CJ5"/>
    <mergeCell ref="CK3:CK5"/>
    <mergeCell ref="CL3:CL5"/>
    <mergeCell ref="CI2:CL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Q35"/>
  <sheetViews>
    <sheetView zoomScaleNormal="100" workbookViewId="0">
      <pane xSplit="1" ySplit="3" topLeftCell="B4" activePane="bottomRight" state="frozen"/>
      <selection pane="topRight" activeCell="B1" sqref="B1"/>
      <selection pane="bottomLeft" activeCell="A4" sqref="A4"/>
      <selection pane="bottomRight" activeCell="B4" sqref="B4"/>
    </sheetView>
  </sheetViews>
  <sheetFormatPr defaultRowHeight="12.75" x14ac:dyDescent="0.25"/>
  <cols>
    <col min="1" max="1" width="2.7109375" style="446" customWidth="1"/>
    <col min="2" max="2" width="25.85546875" style="446" customWidth="1"/>
    <col min="3" max="3" width="12.7109375" style="446" customWidth="1"/>
    <col min="4" max="4" width="36.85546875" style="446" customWidth="1"/>
    <col min="5" max="10" width="10.7109375" style="446" customWidth="1"/>
    <col min="11" max="11" width="4.7109375" style="446" customWidth="1"/>
    <col min="12" max="12" width="26.7109375" style="446" bestFit="1" customWidth="1"/>
    <col min="13" max="13" width="12.7109375" style="446" customWidth="1"/>
    <col min="14" max="14" width="38.140625" style="446" bestFit="1" customWidth="1"/>
    <col min="15" max="15" width="62.42578125" style="446" hidden="1" customWidth="1"/>
    <col min="16" max="17" width="10.7109375" style="446" customWidth="1"/>
    <col min="18" max="16384" width="9.140625" style="446"/>
  </cols>
  <sheetData>
    <row r="1" spans="2:17" ht="9.9499999999999993" customHeight="1" thickBot="1" x14ac:dyDescent="0.3"/>
    <row r="2" spans="2:17" ht="15" customHeight="1" x14ac:dyDescent="0.25">
      <c r="B2" s="1086" t="s">
        <v>294</v>
      </c>
      <c r="C2" s="1091" t="s">
        <v>419</v>
      </c>
      <c r="D2" s="1090" t="s">
        <v>369</v>
      </c>
      <c r="E2" s="1082" t="s">
        <v>295</v>
      </c>
      <c r="F2" s="1082"/>
      <c r="G2" s="1093" t="s">
        <v>444</v>
      </c>
      <c r="H2" s="1082" t="s">
        <v>443</v>
      </c>
      <c r="I2" s="1093" t="s">
        <v>686</v>
      </c>
      <c r="J2" s="1095" t="s">
        <v>703</v>
      </c>
      <c r="L2" s="1088" t="s">
        <v>294</v>
      </c>
      <c r="M2" s="1091" t="s">
        <v>419</v>
      </c>
      <c r="N2" s="1090" t="s">
        <v>369</v>
      </c>
      <c r="O2" s="1084" t="s">
        <v>418</v>
      </c>
      <c r="P2" s="1082" t="s">
        <v>295</v>
      </c>
      <c r="Q2" s="1083"/>
    </row>
    <row r="3" spans="2:17" ht="30" customHeight="1" thickBot="1" x14ac:dyDescent="0.3">
      <c r="B3" s="1087"/>
      <c r="C3" s="1092"/>
      <c r="D3" s="1085"/>
      <c r="E3" s="395" t="s">
        <v>296</v>
      </c>
      <c r="F3" s="395" t="s">
        <v>297</v>
      </c>
      <c r="G3" s="1094"/>
      <c r="H3" s="1094"/>
      <c r="I3" s="1094"/>
      <c r="J3" s="1096"/>
      <c r="L3" s="1089"/>
      <c r="M3" s="1092"/>
      <c r="N3" s="1085"/>
      <c r="O3" s="1085"/>
      <c r="P3" s="402" t="s">
        <v>296</v>
      </c>
      <c r="Q3" s="396" t="s">
        <v>297</v>
      </c>
    </row>
    <row r="4" spans="2:17" ht="30" customHeight="1" thickBot="1" x14ac:dyDescent="0.3">
      <c r="B4" s="397" t="str">
        <f>IF('Project Info'!$D$6="","Not Selected",'Project Info'!$D$6)</f>
        <v>Not Selected</v>
      </c>
      <c r="C4" s="399" t="str">
        <f>IF('Project Info'!$D$10="","Not Selected",'Project Info'!$D$10)</f>
        <v>Not Selected</v>
      </c>
      <c r="D4" s="399" t="str">
        <f>IF('Project Info'!$H$10="","Not Selected",'Project Info'!$H$10)</f>
        <v>Not Selected</v>
      </c>
      <c r="E4" s="398">
        <f>IF(OR($B$4="Not Selected",$C$4="Not Selected",$D$4="Not Selected"),0,VLOOKUP(CONCATENATE($B$4,$C$4,$D$4),$O$4:$Q$34,2,FALSE))</f>
        <v>0</v>
      </c>
      <c r="F4" s="398">
        <f>IF(OR($B$4="Not Selected",$C$4="Not Selected",$D$4="Not Selected"),0,VLOOKUP(CONCATENATE($B$4,$C$4,$D$4),$O$4:$Q$34,3,FALSE))</f>
        <v>0</v>
      </c>
      <c r="G4" s="885">
        <v>0.02</v>
      </c>
      <c r="H4" s="468">
        <f>IF($B$4="Not Selected",0,VLOOKUP($B$4,$B$7:$C$16,2,FALSE))</f>
        <v>0</v>
      </c>
      <c r="I4" s="883">
        <v>80</v>
      </c>
      <c r="J4" s="884">
        <v>5.0880000000000002E-2</v>
      </c>
      <c r="L4" s="913" t="s">
        <v>309</v>
      </c>
      <c r="M4" s="914" t="s">
        <v>378</v>
      </c>
      <c r="N4" s="915" t="s">
        <v>439</v>
      </c>
      <c r="O4" s="916" t="str">
        <f>CONCATENATE($L4,$M4,$N4)</f>
        <v>AEP SWEPCOTexasCommercial SOP</v>
      </c>
      <c r="P4" s="917">
        <v>350</v>
      </c>
      <c r="Q4" s="918">
        <v>0.09</v>
      </c>
    </row>
    <row r="5" spans="2:17" ht="30" customHeight="1" thickBot="1" x14ac:dyDescent="0.3">
      <c r="B5" s="412"/>
      <c r="C5" s="412"/>
      <c r="D5" s="412"/>
      <c r="E5" s="412"/>
      <c r="F5" s="412"/>
      <c r="G5" s="412"/>
      <c r="H5" s="412"/>
      <c r="I5" s="412"/>
      <c r="J5" s="412"/>
      <c r="L5" s="919" t="s">
        <v>311</v>
      </c>
      <c r="M5" s="920" t="s">
        <v>378</v>
      </c>
      <c r="N5" s="921" t="s">
        <v>439</v>
      </c>
      <c r="O5" s="922" t="str">
        <f>CONCATENATE($L5,$M5,$N5)</f>
        <v>AEP Texas Central CompanyTexasCommercial SOP</v>
      </c>
      <c r="P5" s="923">
        <v>350</v>
      </c>
      <c r="Q5" s="924">
        <v>0.09</v>
      </c>
    </row>
    <row r="6" spans="2:17" ht="30" customHeight="1" thickBot="1" x14ac:dyDescent="0.3">
      <c r="B6" s="456" t="s">
        <v>294</v>
      </c>
      <c r="C6" s="457" t="s">
        <v>443</v>
      </c>
      <c r="L6" s="919" t="s">
        <v>312</v>
      </c>
      <c r="M6" s="920" t="s">
        <v>378</v>
      </c>
      <c r="N6" s="921" t="s">
        <v>439</v>
      </c>
      <c r="O6" s="922" t="str">
        <f>CONCATENATE($L6,$M6,$N6)</f>
        <v>AEP Texas North CompanyTexasCommercial SOP</v>
      </c>
      <c r="P6" s="923">
        <v>350</v>
      </c>
      <c r="Q6" s="924">
        <v>0.09</v>
      </c>
    </row>
    <row r="7" spans="2:17" ht="30" customHeight="1" x14ac:dyDescent="0.25">
      <c r="B7" s="419" t="s">
        <v>309</v>
      </c>
      <c r="C7" s="517">
        <v>7.7700000000000005E-2</v>
      </c>
      <c r="L7" s="919" t="s">
        <v>432</v>
      </c>
      <c r="M7" s="933" t="s">
        <v>378</v>
      </c>
      <c r="N7" s="921" t="s">
        <v>441</v>
      </c>
      <c r="O7" s="922" t="str">
        <f t="shared" ref="O7:O34" si="0">CONCATENATE($L7,$M7,$N7)</f>
        <v>CenterPoint EnergyTexasCommercial SOP - Chiller Install</v>
      </c>
      <c r="P7" s="923">
        <v>285</v>
      </c>
      <c r="Q7" s="924">
        <v>0.11</v>
      </c>
    </row>
    <row r="8" spans="2:17" ht="30" customHeight="1" x14ac:dyDescent="0.25">
      <c r="B8" s="400" t="s">
        <v>311</v>
      </c>
      <c r="C8" s="876">
        <v>7.4992000000000003E-2</v>
      </c>
      <c r="L8" s="919" t="s">
        <v>432</v>
      </c>
      <c r="M8" s="933" t="s">
        <v>378</v>
      </c>
      <c r="N8" s="921" t="s">
        <v>440</v>
      </c>
      <c r="O8" s="922" t="str">
        <f t="shared" si="0"/>
        <v>CenterPoint EnergyTexasCommercial SOP - HVAC DX Install</v>
      </c>
      <c r="P8" s="923">
        <v>265</v>
      </c>
      <c r="Q8" s="924">
        <v>0.1</v>
      </c>
    </row>
    <row r="9" spans="2:17" ht="30" customHeight="1" x14ac:dyDescent="0.25">
      <c r="B9" s="400" t="s">
        <v>312</v>
      </c>
      <c r="C9" s="876">
        <v>7.4579999999999994E-2</v>
      </c>
      <c r="L9" s="919" t="s">
        <v>432</v>
      </c>
      <c r="M9" s="933" t="s">
        <v>378</v>
      </c>
      <c r="N9" s="921" t="s">
        <v>536</v>
      </c>
      <c r="O9" s="922" t="str">
        <f t="shared" si="0"/>
        <v>CenterPoint EnergyTexasHEEP - Chiller Install (Direct)</v>
      </c>
      <c r="P9" s="923">
        <v>285</v>
      </c>
      <c r="Q9" s="924">
        <v>0.11</v>
      </c>
    </row>
    <row r="10" spans="2:17" ht="30" customHeight="1" x14ac:dyDescent="0.25">
      <c r="B10" s="400" t="s">
        <v>432</v>
      </c>
      <c r="C10" s="876">
        <v>8.2100000000000006E-2</v>
      </c>
      <c r="L10" s="919" t="s">
        <v>432</v>
      </c>
      <c r="M10" s="933" t="s">
        <v>378</v>
      </c>
      <c r="N10" s="921" t="s">
        <v>535</v>
      </c>
      <c r="O10" s="922" t="str">
        <f t="shared" si="0"/>
        <v>CenterPoint EnergyTexasHEEP - HVAC DX Install (Direct)</v>
      </c>
      <c r="P10" s="923">
        <v>265</v>
      </c>
      <c r="Q10" s="924">
        <v>0.1</v>
      </c>
    </row>
    <row r="11" spans="2:17" ht="30" customHeight="1" x14ac:dyDescent="0.25">
      <c r="B11" s="400" t="s">
        <v>17</v>
      </c>
      <c r="C11" s="876">
        <v>6.9400000000000003E-2</v>
      </c>
      <c r="L11" s="919" t="s">
        <v>432</v>
      </c>
      <c r="M11" s="933" t="s">
        <v>378</v>
      </c>
      <c r="N11" s="921" t="s">
        <v>534</v>
      </c>
      <c r="O11" s="922" t="str">
        <f t="shared" si="0"/>
        <v>CenterPoint EnergyTexasHEEP - Chiller Install (Non-Direct)</v>
      </c>
      <c r="P11" s="923">
        <v>240</v>
      </c>
      <c r="Q11" s="924">
        <v>0.09</v>
      </c>
    </row>
    <row r="12" spans="2:17" ht="30" customHeight="1" x14ac:dyDescent="0.25">
      <c r="B12" s="400" t="s">
        <v>380</v>
      </c>
      <c r="C12" s="876">
        <v>8.3000000000000004E-2</v>
      </c>
      <c r="L12" s="919" t="s">
        <v>432</v>
      </c>
      <c r="M12" s="933" t="s">
        <v>378</v>
      </c>
      <c r="N12" s="921" t="s">
        <v>533</v>
      </c>
      <c r="O12" s="922" t="str">
        <f t="shared" si="0"/>
        <v>CenterPoint EnergyTexasHEEP - HVAC DX Install (Non-Direct)</v>
      </c>
      <c r="P12" s="923">
        <v>230</v>
      </c>
      <c r="Q12" s="924">
        <v>0.09</v>
      </c>
    </row>
    <row r="13" spans="2:17" ht="30" customHeight="1" x14ac:dyDescent="0.25">
      <c r="B13" s="400" t="s">
        <v>428</v>
      </c>
      <c r="C13" s="876">
        <v>8.14E-2</v>
      </c>
      <c r="L13" s="919" t="s">
        <v>432</v>
      </c>
      <c r="M13" s="933" t="s">
        <v>378</v>
      </c>
      <c r="N13" s="921" t="s">
        <v>469</v>
      </c>
      <c r="O13" s="922" t="str">
        <f t="shared" si="0"/>
        <v>CenterPoint EnergyTexasTexas SCORE/CitySmart - Chiller Install</v>
      </c>
      <c r="P13" s="923">
        <v>190</v>
      </c>
      <c r="Q13" s="924">
        <v>0.06</v>
      </c>
    </row>
    <row r="14" spans="2:17" ht="30" customHeight="1" x14ac:dyDescent="0.25">
      <c r="B14" s="400" t="s">
        <v>422</v>
      </c>
      <c r="C14" s="876">
        <v>8.2000000000000003E-2</v>
      </c>
      <c r="L14" s="919" t="s">
        <v>432</v>
      </c>
      <c r="M14" s="933" t="s">
        <v>378</v>
      </c>
      <c r="N14" s="921" t="s">
        <v>470</v>
      </c>
      <c r="O14" s="922" t="str">
        <f t="shared" si="0"/>
        <v>CenterPoint EnergyTexasTexas SCORE/CitySmart - HVAC DX Install</v>
      </c>
      <c r="P14" s="923">
        <v>190</v>
      </c>
      <c r="Q14" s="924">
        <v>0.04</v>
      </c>
    </row>
    <row r="15" spans="2:17" ht="30" customHeight="1" x14ac:dyDescent="0.25">
      <c r="B15" s="400" t="s">
        <v>310</v>
      </c>
      <c r="C15" s="876">
        <v>9.9022499999999999E-2</v>
      </c>
      <c r="L15" s="919" t="s">
        <v>432</v>
      </c>
      <c r="M15" s="933" t="s">
        <v>378</v>
      </c>
      <c r="N15" s="921" t="s">
        <v>471</v>
      </c>
      <c r="O15" s="922" t="str">
        <f t="shared" si="0"/>
        <v>CenterPoint EnergyTexasTexas SCORE Lite - Chiller Install</v>
      </c>
      <c r="P15" s="923">
        <v>285</v>
      </c>
      <c r="Q15" s="924">
        <v>0.11</v>
      </c>
    </row>
    <row r="16" spans="2:17" ht="30" customHeight="1" thickBot="1" x14ac:dyDescent="0.3">
      <c r="B16" s="401" t="s">
        <v>381</v>
      </c>
      <c r="C16" s="940">
        <v>7.8799999999999995E-2</v>
      </c>
      <c r="L16" s="919" t="s">
        <v>432</v>
      </c>
      <c r="M16" s="933" t="s">
        <v>378</v>
      </c>
      <c r="N16" s="921" t="s">
        <v>472</v>
      </c>
      <c r="O16" s="922" t="str">
        <f t="shared" si="0"/>
        <v>CenterPoint EnergyTexasTexas SCORE Lite - HVAC DX Install</v>
      </c>
      <c r="P16" s="923">
        <v>265</v>
      </c>
      <c r="Q16" s="924">
        <v>0.1</v>
      </c>
    </row>
    <row r="17" spans="12:17" ht="30" customHeight="1" x14ac:dyDescent="0.25">
      <c r="L17" s="934" t="s">
        <v>17</v>
      </c>
      <c r="M17" s="935" t="s">
        <v>378</v>
      </c>
      <c r="N17" s="936" t="s">
        <v>439</v>
      </c>
      <c r="O17" s="937" t="str">
        <f t="shared" si="0"/>
        <v>El Paso ElectricTexasCommercial SOP</v>
      </c>
      <c r="P17" s="938">
        <v>194</v>
      </c>
      <c r="Q17" s="939">
        <v>0.05</v>
      </c>
    </row>
    <row r="18" spans="12:17" ht="30" customHeight="1" x14ac:dyDescent="0.25">
      <c r="L18" s="934" t="s">
        <v>17</v>
      </c>
      <c r="M18" s="935" t="s">
        <v>378</v>
      </c>
      <c r="N18" s="936" t="s">
        <v>395</v>
      </c>
      <c r="O18" s="937" t="str">
        <f t="shared" si="0"/>
        <v>El Paso ElectricTexasLarge Commercial Solutions</v>
      </c>
      <c r="P18" s="938">
        <v>240</v>
      </c>
      <c r="Q18" s="939">
        <v>0</v>
      </c>
    </row>
    <row r="19" spans="12:17" ht="30" customHeight="1" x14ac:dyDescent="0.25">
      <c r="L19" s="934" t="s">
        <v>17</v>
      </c>
      <c r="M19" s="935" t="s">
        <v>378</v>
      </c>
      <c r="N19" s="936" t="s">
        <v>396</v>
      </c>
      <c r="O19" s="937" t="str">
        <f t="shared" si="0"/>
        <v>El Paso ElectricTexasSCORE</v>
      </c>
      <c r="P19" s="938">
        <v>240</v>
      </c>
      <c r="Q19" s="939">
        <v>0</v>
      </c>
    </row>
    <row r="20" spans="12:17" ht="30" customHeight="1" x14ac:dyDescent="0.25">
      <c r="L20" s="934" t="s">
        <v>17</v>
      </c>
      <c r="M20" s="935" t="s">
        <v>378</v>
      </c>
      <c r="N20" s="936" t="s">
        <v>397</v>
      </c>
      <c r="O20" s="937" t="str">
        <f t="shared" si="0"/>
        <v>El Paso ElectricTexasSmall Commercial Solutions</v>
      </c>
      <c r="P20" s="938">
        <v>400</v>
      </c>
      <c r="Q20" s="939">
        <v>0</v>
      </c>
    </row>
    <row r="21" spans="12:17" ht="30" customHeight="1" x14ac:dyDescent="0.25">
      <c r="L21" s="934" t="s">
        <v>17</v>
      </c>
      <c r="M21" s="935" t="s">
        <v>379</v>
      </c>
      <c r="N21" s="936" t="s">
        <v>393</v>
      </c>
      <c r="O21" s="937" t="str">
        <f t="shared" si="0"/>
        <v>El Paso ElectricNew MexicoSCOREPlus</v>
      </c>
      <c r="P21" s="938">
        <v>0</v>
      </c>
      <c r="Q21" s="939">
        <v>0.12</v>
      </c>
    </row>
    <row r="22" spans="12:17" ht="30" customHeight="1" x14ac:dyDescent="0.25">
      <c r="L22" s="934" t="s">
        <v>17</v>
      </c>
      <c r="M22" s="935" t="s">
        <v>379</v>
      </c>
      <c r="N22" s="936" t="s">
        <v>394</v>
      </c>
      <c r="O22" s="937" t="str">
        <f t="shared" si="0"/>
        <v>El Paso ElectricNew MexicoSmall Business Comprehensive</v>
      </c>
      <c r="P22" s="938">
        <v>0</v>
      </c>
      <c r="Q22" s="939">
        <v>0.14000000000000001</v>
      </c>
    </row>
    <row r="23" spans="12:17" ht="30" customHeight="1" x14ac:dyDescent="0.25">
      <c r="L23" s="919" t="s">
        <v>380</v>
      </c>
      <c r="M23" s="933" t="s">
        <v>378</v>
      </c>
      <c r="N23" s="921" t="s">
        <v>456</v>
      </c>
      <c r="O23" s="922" t="str">
        <f t="shared" si="0"/>
        <v>EntergyTexasCommercial Solutions MTP</v>
      </c>
      <c r="P23" s="923">
        <v>225</v>
      </c>
      <c r="Q23" s="924">
        <v>0.02</v>
      </c>
    </row>
    <row r="24" spans="12:17" ht="30" customHeight="1" x14ac:dyDescent="0.25">
      <c r="L24" s="919" t="s">
        <v>380</v>
      </c>
      <c r="M24" s="933" t="s">
        <v>378</v>
      </c>
      <c r="N24" s="921" t="s">
        <v>457</v>
      </c>
      <c r="O24" s="922" t="str">
        <f t="shared" si="0"/>
        <v>EntergyTexasSCORE/CitySmart MTP</v>
      </c>
      <c r="P24" s="923">
        <v>225</v>
      </c>
      <c r="Q24" s="924">
        <v>0.02</v>
      </c>
    </row>
    <row r="25" spans="12:17" ht="30" customHeight="1" x14ac:dyDescent="0.25">
      <c r="L25" s="919" t="s">
        <v>428</v>
      </c>
      <c r="M25" s="933" t="s">
        <v>378</v>
      </c>
      <c r="N25" s="921" t="s">
        <v>439</v>
      </c>
      <c r="O25" s="922" t="str">
        <f t="shared" si="0"/>
        <v>OncorTexasCommercial SOP</v>
      </c>
      <c r="P25" s="923">
        <v>0</v>
      </c>
      <c r="Q25" s="924">
        <v>0</v>
      </c>
    </row>
    <row r="26" spans="12:17" ht="30" customHeight="1" x14ac:dyDescent="0.25">
      <c r="L26" s="877" t="s">
        <v>422</v>
      </c>
      <c r="M26" s="882" t="s">
        <v>378</v>
      </c>
      <c r="N26" s="878" t="s">
        <v>439</v>
      </c>
      <c r="O26" s="879" t="str">
        <f t="shared" si="0"/>
        <v>SharylandTexasCommercial SOP</v>
      </c>
      <c r="P26" s="880">
        <v>175</v>
      </c>
      <c r="Q26" s="881">
        <v>0.06</v>
      </c>
    </row>
    <row r="27" spans="12:17" ht="30" customHeight="1" x14ac:dyDescent="0.25">
      <c r="L27" s="919" t="s">
        <v>310</v>
      </c>
      <c r="M27" s="921" t="s">
        <v>378</v>
      </c>
      <c r="N27" s="921" t="s">
        <v>420</v>
      </c>
      <c r="O27" s="926" t="str">
        <f t="shared" si="0"/>
        <v>Texas-New Mexico PowerTexasCommercial Solutions - Chiller Install</v>
      </c>
      <c r="P27" s="923">
        <v>150</v>
      </c>
      <c r="Q27" s="924">
        <v>0.03</v>
      </c>
    </row>
    <row r="28" spans="12:17" ht="30" customHeight="1" x14ac:dyDescent="0.25">
      <c r="L28" s="919" t="s">
        <v>310</v>
      </c>
      <c r="M28" s="921" t="s">
        <v>378</v>
      </c>
      <c r="N28" s="921" t="s">
        <v>421</v>
      </c>
      <c r="O28" s="926" t="str">
        <f t="shared" si="0"/>
        <v>Texas-New Mexico PowerTexasCommercial Solutions - HVAC DX Install</v>
      </c>
      <c r="P28" s="923">
        <v>125</v>
      </c>
      <c r="Q28" s="924">
        <v>0.03</v>
      </c>
    </row>
    <row r="29" spans="12:17" ht="30" customHeight="1" x14ac:dyDescent="0.25">
      <c r="L29" s="919" t="s">
        <v>310</v>
      </c>
      <c r="M29" s="921" t="s">
        <v>378</v>
      </c>
      <c r="N29" s="921" t="s">
        <v>701</v>
      </c>
      <c r="O29" s="926" t="s">
        <v>702</v>
      </c>
      <c r="P29" s="923">
        <v>800</v>
      </c>
      <c r="Q29" s="924">
        <v>0</v>
      </c>
    </row>
    <row r="30" spans="12:17" ht="30" customHeight="1" x14ac:dyDescent="0.25">
      <c r="L30" s="919" t="s">
        <v>310</v>
      </c>
      <c r="M30" s="921" t="s">
        <v>378</v>
      </c>
      <c r="N30" s="921" t="s">
        <v>481</v>
      </c>
      <c r="O30" s="926" t="str">
        <f t="shared" si="0"/>
        <v>Texas-New Mexico PowerTexasSCORE/CitySmart</v>
      </c>
      <c r="P30" s="923">
        <v>150</v>
      </c>
      <c r="Q30" s="924">
        <v>0.02</v>
      </c>
    </row>
    <row r="31" spans="12:17" ht="30" customHeight="1" x14ac:dyDescent="0.25">
      <c r="L31" s="919" t="s">
        <v>310</v>
      </c>
      <c r="M31" s="921" t="s">
        <v>378</v>
      </c>
      <c r="N31" s="921" t="s">
        <v>482</v>
      </c>
      <c r="O31" s="926" t="str">
        <f t="shared" si="0"/>
        <v>Texas-New Mexico PowerTexasSCORE/CitySmart Lite</v>
      </c>
      <c r="P31" s="923">
        <v>175</v>
      </c>
      <c r="Q31" s="924">
        <v>0.02</v>
      </c>
    </row>
    <row r="32" spans="12:17" ht="30" customHeight="1" x14ac:dyDescent="0.25">
      <c r="L32" s="919" t="s">
        <v>310</v>
      </c>
      <c r="M32" s="921" t="s">
        <v>378</v>
      </c>
      <c r="N32" s="921" t="s">
        <v>700</v>
      </c>
      <c r="O32" s="926" t="str">
        <f t="shared" si="0"/>
        <v>Texas-New Mexico PowerTexasSCORE Underserved/Small Score</v>
      </c>
      <c r="P32" s="923">
        <v>250</v>
      </c>
      <c r="Q32" s="924">
        <v>0.02</v>
      </c>
    </row>
    <row r="33" spans="12:17" ht="30" customHeight="1" x14ac:dyDescent="0.25">
      <c r="L33" s="919" t="s">
        <v>381</v>
      </c>
      <c r="M33" s="921" t="s">
        <v>378</v>
      </c>
      <c r="N33" s="925" t="s">
        <v>439</v>
      </c>
      <c r="O33" s="926" t="str">
        <f t="shared" si="0"/>
        <v>Xcel EnergyTexasCommercial SOP</v>
      </c>
      <c r="P33" s="923">
        <v>220</v>
      </c>
      <c r="Q33" s="927">
        <v>7.4999999999999997E-2</v>
      </c>
    </row>
    <row r="34" spans="12:17" ht="30" customHeight="1" thickBot="1" x14ac:dyDescent="0.3">
      <c r="L34" s="928" t="s">
        <v>381</v>
      </c>
      <c r="M34" s="929" t="s">
        <v>378</v>
      </c>
      <c r="N34" s="929" t="s">
        <v>427</v>
      </c>
      <c r="O34" s="930" t="str">
        <f t="shared" si="0"/>
        <v>Xcel EnergyTexasRetro-Commissioning</v>
      </c>
      <c r="P34" s="931">
        <v>220</v>
      </c>
      <c r="Q34" s="932">
        <v>7.4999999999999997E-2</v>
      </c>
    </row>
    <row r="35" spans="12:17" ht="30" customHeight="1" x14ac:dyDescent="0.25"/>
  </sheetData>
  <sheetProtection password="D24D" sheet="1" objects="1" scenarios="1"/>
  <mergeCells count="13">
    <mergeCell ref="P2:Q2"/>
    <mergeCell ref="O2:O3"/>
    <mergeCell ref="E2:F2"/>
    <mergeCell ref="B2:B3"/>
    <mergeCell ref="L2:L3"/>
    <mergeCell ref="D2:D3"/>
    <mergeCell ref="N2:N3"/>
    <mergeCell ref="C2:C3"/>
    <mergeCell ref="M2:M3"/>
    <mergeCell ref="G2:G3"/>
    <mergeCell ref="H2:H3"/>
    <mergeCell ref="I2:I3"/>
    <mergeCell ref="J2:J3"/>
  </mergeCells>
  <pageMargins left="0.7" right="0.7" top="0.75" bottom="0.75" header="0.3" footer="0.3"/>
  <ignoredErrors>
    <ignoredError sqref="E4:F4"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N9"/>
  <sheetViews>
    <sheetView workbookViewId="0">
      <selection activeCell="D5" sqref="D5"/>
    </sheetView>
  </sheetViews>
  <sheetFormatPr defaultRowHeight="12.75" x14ac:dyDescent="0.2"/>
  <cols>
    <col min="1" max="1" width="2.7109375" style="296" customWidth="1"/>
    <col min="2" max="2" width="9.140625" style="296"/>
    <col min="3" max="3" width="16.5703125" style="296" bestFit="1" customWidth="1"/>
    <col min="4" max="4" width="30.7109375" style="909" customWidth="1"/>
    <col min="5" max="14" width="8.7109375" style="296" customWidth="1"/>
    <col min="15" max="16384" width="9.140625" style="296"/>
  </cols>
  <sheetData>
    <row r="1" spans="2:14" ht="9.9499999999999993" customHeight="1" thickBot="1" x14ac:dyDescent="0.25"/>
    <row r="2" spans="2:14" ht="30" customHeight="1" thickBot="1" x14ac:dyDescent="0.25">
      <c r="B2" s="1097" t="s">
        <v>288</v>
      </c>
      <c r="C2" s="1098"/>
      <c r="D2" s="1098"/>
      <c r="E2" s="1098"/>
      <c r="F2" s="1098"/>
      <c r="G2" s="1098"/>
      <c r="H2" s="1098"/>
      <c r="I2" s="1098"/>
      <c r="J2" s="1098"/>
      <c r="K2" s="1098"/>
      <c r="L2" s="1098"/>
      <c r="M2" s="1098"/>
      <c r="N2" s="1099"/>
    </row>
    <row r="3" spans="2:14" ht="30" customHeight="1" x14ac:dyDescent="0.2">
      <c r="B3" s="1100" t="s">
        <v>289</v>
      </c>
      <c r="C3" s="1102" t="s">
        <v>699</v>
      </c>
      <c r="D3" s="1102" t="s">
        <v>290</v>
      </c>
      <c r="E3" s="1104" t="s">
        <v>30</v>
      </c>
      <c r="F3" s="1105"/>
      <c r="G3" s="1104" t="s">
        <v>31</v>
      </c>
      <c r="H3" s="1105"/>
      <c r="I3" s="1104" t="s">
        <v>602</v>
      </c>
      <c r="J3" s="1106"/>
      <c r="K3" s="1105"/>
      <c r="L3" s="1104" t="s">
        <v>248</v>
      </c>
      <c r="M3" s="1106"/>
      <c r="N3" s="1107"/>
    </row>
    <row r="4" spans="2:14" ht="45" customHeight="1" x14ac:dyDescent="0.2">
      <c r="B4" s="1101"/>
      <c r="C4" s="1103"/>
      <c r="D4" s="1103"/>
      <c r="E4" s="285" t="s">
        <v>306</v>
      </c>
      <c r="F4" s="285" t="s">
        <v>600</v>
      </c>
      <c r="G4" s="335" t="s">
        <v>306</v>
      </c>
      <c r="H4" s="285" t="s">
        <v>600</v>
      </c>
      <c r="I4" s="335" t="s">
        <v>306</v>
      </c>
      <c r="J4" s="285" t="s">
        <v>600</v>
      </c>
      <c r="K4" s="285" t="s">
        <v>601</v>
      </c>
      <c r="L4" s="335" t="s">
        <v>306</v>
      </c>
      <c r="M4" s="285" t="s">
        <v>600</v>
      </c>
      <c r="N4" s="282" t="s">
        <v>601</v>
      </c>
    </row>
    <row r="5" spans="2:14" ht="30" customHeight="1" x14ac:dyDescent="0.2">
      <c r="B5" s="297">
        <v>1</v>
      </c>
      <c r="C5" s="896" t="s">
        <v>433</v>
      </c>
      <c r="D5" s="910"/>
      <c r="E5" s="298">
        <v>0</v>
      </c>
      <c r="F5" s="299">
        <v>0</v>
      </c>
      <c r="G5" s="300">
        <v>0</v>
      </c>
      <c r="H5" s="299">
        <v>0</v>
      </c>
      <c r="I5" s="300">
        <v>0</v>
      </c>
      <c r="J5" s="299">
        <v>0</v>
      </c>
      <c r="K5" s="299">
        <v>0</v>
      </c>
      <c r="L5" s="300">
        <v>0</v>
      </c>
      <c r="M5" s="299">
        <v>0</v>
      </c>
      <c r="N5" s="301">
        <v>0</v>
      </c>
    </row>
    <row r="6" spans="2:14" ht="30" customHeight="1" x14ac:dyDescent="0.2">
      <c r="B6" s="297">
        <v>2</v>
      </c>
      <c r="C6" s="896" t="s">
        <v>434</v>
      </c>
      <c r="D6" s="910"/>
      <c r="E6" s="298">
        <v>0</v>
      </c>
      <c r="F6" s="299">
        <v>0</v>
      </c>
      <c r="G6" s="300">
        <v>0</v>
      </c>
      <c r="H6" s="299">
        <v>0</v>
      </c>
      <c r="I6" s="300">
        <v>0</v>
      </c>
      <c r="J6" s="299">
        <v>0</v>
      </c>
      <c r="K6" s="299">
        <v>0</v>
      </c>
      <c r="L6" s="300">
        <v>0</v>
      </c>
      <c r="M6" s="299">
        <v>0</v>
      </c>
      <c r="N6" s="301">
        <v>0</v>
      </c>
    </row>
    <row r="7" spans="2:14" ht="30" customHeight="1" x14ac:dyDescent="0.2">
      <c r="B7" s="297">
        <v>3</v>
      </c>
      <c r="C7" s="896" t="s">
        <v>435</v>
      </c>
      <c r="D7" s="910"/>
      <c r="E7" s="298">
        <v>0</v>
      </c>
      <c r="F7" s="299">
        <v>0</v>
      </c>
      <c r="G7" s="300">
        <v>0</v>
      </c>
      <c r="H7" s="299">
        <v>0</v>
      </c>
      <c r="I7" s="300">
        <v>0</v>
      </c>
      <c r="J7" s="299">
        <v>0</v>
      </c>
      <c r="K7" s="299">
        <v>0</v>
      </c>
      <c r="L7" s="300">
        <v>0</v>
      </c>
      <c r="M7" s="299">
        <v>0</v>
      </c>
      <c r="N7" s="301">
        <v>0</v>
      </c>
    </row>
    <row r="8" spans="2:14" ht="30" customHeight="1" x14ac:dyDescent="0.2">
      <c r="B8" s="297">
        <v>4</v>
      </c>
      <c r="C8" s="896" t="s">
        <v>436</v>
      </c>
      <c r="D8" s="910"/>
      <c r="E8" s="298">
        <v>0</v>
      </c>
      <c r="F8" s="299">
        <v>0</v>
      </c>
      <c r="G8" s="300">
        <v>0</v>
      </c>
      <c r="H8" s="299">
        <v>0</v>
      </c>
      <c r="I8" s="300">
        <v>0</v>
      </c>
      <c r="J8" s="299">
        <v>0</v>
      </c>
      <c r="K8" s="299">
        <v>0</v>
      </c>
      <c r="L8" s="300">
        <v>0</v>
      </c>
      <c r="M8" s="299">
        <v>0</v>
      </c>
      <c r="N8" s="301">
        <v>0</v>
      </c>
    </row>
    <row r="9" spans="2:14" ht="30" customHeight="1" thickBot="1" x14ac:dyDescent="0.25">
      <c r="B9" s="302">
        <v>5</v>
      </c>
      <c r="C9" s="897" t="s">
        <v>437</v>
      </c>
      <c r="D9" s="911"/>
      <c r="E9" s="303">
        <v>0</v>
      </c>
      <c r="F9" s="304">
        <v>0</v>
      </c>
      <c r="G9" s="305">
        <v>0</v>
      </c>
      <c r="H9" s="304">
        <v>0</v>
      </c>
      <c r="I9" s="305">
        <v>0</v>
      </c>
      <c r="J9" s="304">
        <v>0</v>
      </c>
      <c r="K9" s="304">
        <v>0</v>
      </c>
      <c r="L9" s="305">
        <v>0</v>
      </c>
      <c r="M9" s="304">
        <v>0</v>
      </c>
      <c r="N9" s="306">
        <v>0</v>
      </c>
    </row>
  </sheetData>
  <sheetProtection password="D24D" sheet="1" objects="1" scenarios="1"/>
  <mergeCells count="8">
    <mergeCell ref="B2:N2"/>
    <mergeCell ref="B3:B4"/>
    <mergeCell ref="C3:C4"/>
    <mergeCell ref="E3:F3"/>
    <mergeCell ref="G3:H3"/>
    <mergeCell ref="L3:N3"/>
    <mergeCell ref="I3:K3"/>
    <mergeCell ref="D3:D4"/>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N989"/>
  <sheetViews>
    <sheetView zoomScale="90" zoomScaleNormal="90" workbookViewId="0">
      <selection activeCell="C38" sqref="C38"/>
    </sheetView>
  </sheetViews>
  <sheetFormatPr defaultRowHeight="12.75" x14ac:dyDescent="0.25"/>
  <cols>
    <col min="1" max="1" width="2.7109375" style="65" customWidth="1"/>
    <col min="2" max="2" width="28.7109375" style="65" customWidth="1"/>
    <col min="3" max="6" width="15.7109375" style="65" customWidth="1"/>
    <col min="7" max="7" width="2.7109375" style="65" customWidth="1"/>
    <col min="8" max="8" width="24" style="58" hidden="1" customWidth="1"/>
    <col min="9" max="12" width="15.7109375" style="58" hidden="1" customWidth="1"/>
    <col min="13" max="14" width="9.140625" style="58"/>
    <col min="15" max="16384" width="9.140625" style="65"/>
  </cols>
  <sheetData>
    <row r="1" spans="1:10" s="58" customFormat="1" ht="9.9499999999999993" customHeight="1" thickBot="1" x14ac:dyDescent="0.3">
      <c r="A1" s="284">
        <f>$C$38</f>
        <v>2016.3</v>
      </c>
    </row>
    <row r="2" spans="1:10" s="58" customFormat="1" ht="18" x14ac:dyDescent="0.25">
      <c r="B2" s="1" t="s">
        <v>1</v>
      </c>
      <c r="C2" s="1120" t="str">
        <f>IF('Project Info'!$D$12="","",'Project Info'!$D$12)</f>
        <v/>
      </c>
      <c r="D2" s="1121"/>
      <c r="E2" s="1121"/>
      <c r="F2" s="1122"/>
      <c r="G2" s="19"/>
    </row>
    <row r="3" spans="1:10" s="58" customFormat="1" ht="18" x14ac:dyDescent="0.25">
      <c r="B3" s="1" t="s">
        <v>3</v>
      </c>
      <c r="C3" s="1123" t="str">
        <f>IF('Project Info'!$D$19="","",'Project Info'!$D$19)</f>
        <v/>
      </c>
      <c r="D3" s="1124"/>
      <c r="E3" s="1124"/>
      <c r="F3" s="1125"/>
      <c r="G3" s="19"/>
    </row>
    <row r="4" spans="1:10" s="58" customFormat="1" ht="18" x14ac:dyDescent="0.25">
      <c r="B4" s="1" t="s">
        <v>18</v>
      </c>
      <c r="C4" s="1123" t="str">
        <f>IF('Project Info'!$D$20="","",'Project Info'!$D$20)</f>
        <v/>
      </c>
      <c r="D4" s="1124"/>
      <c r="E4" s="1124"/>
      <c r="F4" s="1125"/>
      <c r="G4" s="19"/>
    </row>
    <row r="5" spans="1:10" s="58" customFormat="1" ht="18" x14ac:dyDescent="0.25">
      <c r="B5" s="1" t="s">
        <v>19</v>
      </c>
      <c r="C5" s="1123" t="str">
        <f>IF('Project Info'!$I$20="","",'Project Info'!$I$20)</f>
        <v/>
      </c>
      <c r="D5" s="1124"/>
      <c r="E5" s="1124"/>
      <c r="F5" s="1125"/>
      <c r="G5" s="19"/>
    </row>
    <row r="6" spans="1:10" s="58" customFormat="1" ht="18" x14ac:dyDescent="0.25">
      <c r="B6" s="1" t="s">
        <v>20</v>
      </c>
      <c r="C6" s="1123" t="str">
        <f>IF('Project Info'!$K$20="","",'Project Info'!$K$20)</f>
        <v/>
      </c>
      <c r="D6" s="1124"/>
      <c r="E6" s="1124"/>
      <c r="F6" s="1125"/>
      <c r="G6" s="19"/>
    </row>
    <row r="7" spans="1:10" s="58" customFormat="1" ht="18" x14ac:dyDescent="0.25">
      <c r="B7" s="1" t="s">
        <v>2</v>
      </c>
      <c r="C7" s="1126" t="str">
        <f>IF('Project Info'!$D$28="","",'Project Info'!$D$28)</f>
        <v/>
      </c>
      <c r="D7" s="1127"/>
      <c r="E7" s="1127"/>
      <c r="F7" s="1128"/>
      <c r="G7" s="20"/>
    </row>
    <row r="8" spans="1:10" s="58" customFormat="1" ht="18" x14ac:dyDescent="0.25">
      <c r="B8" s="1" t="s">
        <v>22</v>
      </c>
      <c r="C8" s="1126" t="str">
        <f>IF('Project Info'!$D$6="","",'Project Info'!$D$6)</f>
        <v/>
      </c>
      <c r="D8" s="1127"/>
      <c r="E8" s="1127"/>
      <c r="F8" s="1128"/>
      <c r="G8" s="20"/>
    </row>
    <row r="9" spans="1:10" s="58" customFormat="1" ht="18.75" thickBot="1" x14ac:dyDescent="0.3">
      <c r="B9" s="1" t="s">
        <v>180</v>
      </c>
      <c r="C9" s="1129" t="str">
        <f>IF('Project Info'!$D$8="","",'Project Info'!$D$8)</f>
        <v/>
      </c>
      <c r="D9" s="1130"/>
      <c r="E9" s="1130"/>
      <c r="F9" s="1131"/>
      <c r="G9" s="20"/>
    </row>
    <row r="10" spans="1:10" s="58" customFormat="1" ht="12" customHeight="1" thickBot="1" x14ac:dyDescent="0.3"/>
    <row r="11" spans="1:10" s="58" customFormat="1" ht="33" customHeight="1" thickBot="1" x14ac:dyDescent="0.3">
      <c r="B11" s="1117" t="s">
        <v>7</v>
      </c>
      <c r="C11" s="1118"/>
      <c r="D11" s="1118"/>
      <c r="E11" s="1118"/>
      <c r="F11" s="1119"/>
      <c r="G11" s="33"/>
    </row>
    <row r="12" spans="1:10" s="58" customFormat="1" ht="12" customHeight="1" thickBot="1" x14ac:dyDescent="0.3"/>
    <row r="13" spans="1:10" s="58" customFormat="1" ht="31.5" hidden="1" customHeight="1" thickBot="1" x14ac:dyDescent="0.3">
      <c r="B13" s="1114" t="s">
        <v>16</v>
      </c>
      <c r="C13" s="59" t="s">
        <v>10</v>
      </c>
      <c r="D13" s="60" t="s">
        <v>11</v>
      </c>
      <c r="E13" s="60" t="s">
        <v>15</v>
      </c>
      <c r="F13" s="61" t="s">
        <v>12</v>
      </c>
      <c r="G13" s="18"/>
      <c r="H13" s="62"/>
      <c r="I13" s="62"/>
      <c r="J13" s="62"/>
    </row>
    <row r="14" spans="1:10" s="58" customFormat="1" ht="32.1" hidden="1" customHeight="1" thickBot="1" x14ac:dyDescent="0.3">
      <c r="B14" s="1116"/>
      <c r="C14" s="239"/>
      <c r="D14" s="237"/>
      <c r="E14" s="239"/>
      <c r="F14" s="240"/>
      <c r="G14" s="18"/>
      <c r="H14" s="62"/>
      <c r="I14" s="62"/>
      <c r="J14" s="62"/>
    </row>
    <row r="15" spans="1:10" s="58" customFormat="1" ht="32.1" customHeight="1" thickBot="1" x14ac:dyDescent="0.3">
      <c r="B15" s="1114" t="s">
        <v>14</v>
      </c>
      <c r="C15" s="59" t="s">
        <v>10</v>
      </c>
      <c r="D15" s="60" t="s">
        <v>11</v>
      </c>
      <c r="E15" s="60" t="s">
        <v>15</v>
      </c>
      <c r="F15" s="61" t="s">
        <v>12</v>
      </c>
      <c r="G15" s="18"/>
      <c r="H15" s="62"/>
      <c r="I15" s="62"/>
      <c r="J15" s="62"/>
    </row>
    <row r="16" spans="1:10" s="58" customFormat="1" ht="32.1" customHeight="1" thickBot="1" x14ac:dyDescent="0.3">
      <c r="B16" s="1115"/>
      <c r="C16" s="63">
        <f>Inventory!$AU$5</f>
        <v>0</v>
      </c>
      <c r="D16" s="238"/>
      <c r="E16" s="63">
        <f>C16+D16</f>
        <v>0</v>
      </c>
      <c r="F16" s="64">
        <f>Inventory!$AV$5</f>
        <v>0</v>
      </c>
      <c r="G16" s="18"/>
      <c r="H16" s="62"/>
      <c r="I16" s="62"/>
      <c r="J16" s="62"/>
    </row>
    <row r="17" spans="2:12" s="58" customFormat="1" ht="12" customHeight="1" thickBot="1" x14ac:dyDescent="0.3"/>
    <row r="18" spans="2:12" s="58" customFormat="1" ht="18" hidden="1" customHeight="1" x14ac:dyDescent="0.25">
      <c r="C18" s="1108" t="s">
        <v>251</v>
      </c>
      <c r="D18" s="1109"/>
      <c r="E18" s="1109"/>
      <c r="F18" s="1110"/>
    </row>
    <row r="19" spans="2:12" s="58" customFormat="1" ht="18" hidden="1" customHeight="1" x14ac:dyDescent="0.25">
      <c r="C19" s="1111"/>
      <c r="D19" s="1112"/>
      <c r="E19" s="1112"/>
      <c r="F19" s="1113"/>
    </row>
    <row r="20" spans="2:12" s="58" customFormat="1" ht="36" hidden="1" customHeight="1" thickBot="1" x14ac:dyDescent="0.3">
      <c r="C20" s="34" t="s">
        <v>9</v>
      </c>
      <c r="D20" s="35" t="s">
        <v>8</v>
      </c>
      <c r="E20" s="36" t="s">
        <v>15</v>
      </c>
      <c r="F20" s="37" t="s">
        <v>12</v>
      </c>
    </row>
    <row r="21" spans="2:12" s="58" customFormat="1" ht="18" hidden="1" customHeight="1" x14ac:dyDescent="0.25">
      <c r="B21" s="38" t="s">
        <v>250</v>
      </c>
      <c r="C21" s="221"/>
      <c r="D21" s="222"/>
      <c r="E21" s="223"/>
      <c r="F21" s="224"/>
    </row>
    <row r="22" spans="2:12" s="58" customFormat="1" ht="18" hidden="1" customHeight="1" x14ac:dyDescent="0.25">
      <c r="B22" s="202" t="s">
        <v>248</v>
      </c>
      <c r="C22" s="225"/>
      <c r="D22" s="226"/>
      <c r="E22" s="227"/>
      <c r="F22" s="228"/>
    </row>
    <row r="23" spans="2:12" s="58" customFormat="1" ht="18" hidden="1" customHeight="1" x14ac:dyDescent="0.25">
      <c r="B23" s="206" t="s">
        <v>249</v>
      </c>
      <c r="C23" s="229"/>
      <c r="D23" s="230"/>
      <c r="E23" s="231"/>
      <c r="F23" s="232"/>
    </row>
    <row r="24" spans="2:12" s="58" customFormat="1" ht="18" hidden="1" customHeight="1" x14ac:dyDescent="0.25">
      <c r="B24" s="242" t="s">
        <v>257</v>
      </c>
      <c r="C24" s="247"/>
      <c r="D24" s="244"/>
      <c r="E24" s="248"/>
      <c r="F24" s="249"/>
    </row>
    <row r="25" spans="2:12" s="58" customFormat="1" ht="18" hidden="1" customHeight="1" x14ac:dyDescent="0.25">
      <c r="B25" s="242" t="s">
        <v>258</v>
      </c>
      <c r="C25" s="247"/>
      <c r="D25" s="244"/>
      <c r="E25" s="248"/>
      <c r="F25" s="249"/>
    </row>
    <row r="26" spans="2:12" s="58" customFormat="1" ht="18" hidden="1" customHeight="1" thickBot="1" x14ac:dyDescent="0.3">
      <c r="B26" s="39" t="s">
        <v>259</v>
      </c>
      <c r="C26" s="233"/>
      <c r="D26" s="234"/>
      <c r="E26" s="235"/>
      <c r="F26" s="236"/>
    </row>
    <row r="27" spans="2:12" s="58" customFormat="1" ht="12" hidden="1" customHeight="1" thickBot="1" x14ac:dyDescent="0.3"/>
    <row r="28" spans="2:12" s="58" customFormat="1" ht="18" customHeight="1" x14ac:dyDescent="0.25">
      <c r="C28" s="1108" t="s">
        <v>13</v>
      </c>
      <c r="D28" s="1109"/>
      <c r="E28" s="1109"/>
      <c r="F28" s="1110"/>
      <c r="I28" s="1108" t="s">
        <v>13</v>
      </c>
      <c r="J28" s="1109"/>
      <c r="K28" s="1109"/>
      <c r="L28" s="1110"/>
    </row>
    <row r="29" spans="2:12" s="58" customFormat="1" ht="18" customHeight="1" x14ac:dyDescent="0.25">
      <c r="C29" s="1111"/>
      <c r="D29" s="1112"/>
      <c r="E29" s="1112"/>
      <c r="F29" s="1113"/>
      <c r="I29" s="1111"/>
      <c r="J29" s="1112"/>
      <c r="K29" s="1112"/>
      <c r="L29" s="1113"/>
    </row>
    <row r="30" spans="2:12" s="58" customFormat="1" ht="36" customHeight="1" thickBot="1" x14ac:dyDescent="0.3">
      <c r="C30" s="34" t="s">
        <v>9</v>
      </c>
      <c r="D30" s="35" t="s">
        <v>8</v>
      </c>
      <c r="E30" s="36" t="s">
        <v>15</v>
      </c>
      <c r="F30" s="37" t="s">
        <v>12</v>
      </c>
      <c r="I30" s="34" t="s">
        <v>9</v>
      </c>
      <c r="J30" s="35" t="s">
        <v>8</v>
      </c>
      <c r="K30" s="36" t="s">
        <v>15</v>
      </c>
      <c r="L30" s="37" t="s">
        <v>12</v>
      </c>
    </row>
    <row r="31" spans="2:12" s="58" customFormat="1" ht="18" customHeight="1" x14ac:dyDescent="0.25">
      <c r="B31" s="38" t="s">
        <v>250</v>
      </c>
      <c r="C31" s="210">
        <f>SUMIF(Inventory!$AX:$AX,$B31,Inventory!$AU:$AU)</f>
        <v>0</v>
      </c>
      <c r="D31" s="222"/>
      <c r="E31" s="211">
        <f>C31+D31</f>
        <v>0</v>
      </c>
      <c r="F31" s="3">
        <f>SUMIF(Inventory!$AX:$AX,$B31,Inventory!$AV:$AV)</f>
        <v>0</v>
      </c>
      <c r="H31" s="38" t="s">
        <v>539</v>
      </c>
      <c r="I31" s="210">
        <f>SUM(C31:C33)</f>
        <v>0</v>
      </c>
      <c r="J31" s="222"/>
      <c r="K31" s="211">
        <f>I31+J31</f>
        <v>0</v>
      </c>
      <c r="L31" s="3">
        <f>SUM(F31:F33)</f>
        <v>0</v>
      </c>
    </row>
    <row r="32" spans="2:12" s="58" customFormat="1" ht="18" customHeight="1" x14ac:dyDescent="0.25">
      <c r="B32" s="202" t="s">
        <v>248</v>
      </c>
      <c r="C32" s="203">
        <f>SUMIF(Inventory!$AX:$AX,$B32,Inventory!$AU:$AU)</f>
        <v>0</v>
      </c>
      <c r="D32" s="226"/>
      <c r="E32" s="204">
        <f>C32+D32</f>
        <v>0</v>
      </c>
      <c r="F32" s="205">
        <f>SUMIF(Inventory!$AX:$AX,$B32,Inventory!$AV:$AV)</f>
        <v>0</v>
      </c>
      <c r="H32" s="202" t="s">
        <v>538</v>
      </c>
      <c r="I32" s="203">
        <f>SUM(C35:C36)</f>
        <v>0</v>
      </c>
      <c r="J32" s="226"/>
      <c r="K32" s="204">
        <f>I32+J32</f>
        <v>0</v>
      </c>
      <c r="L32" s="205">
        <f>SUM(F35:F36)</f>
        <v>0</v>
      </c>
    </row>
    <row r="33" spans="2:12" s="58" customFormat="1" ht="18" customHeight="1" thickBot="1" x14ac:dyDescent="0.3">
      <c r="B33" s="206" t="s">
        <v>249</v>
      </c>
      <c r="C33" s="207">
        <f>SUMIF(Inventory!$AX:$AX,$B33,Inventory!$AU:$AU)</f>
        <v>0</v>
      </c>
      <c r="D33" s="230"/>
      <c r="E33" s="208">
        <f>C33+D33</f>
        <v>0</v>
      </c>
      <c r="F33" s="209">
        <f>SUMIF(Inventory!$AX:$AX,$B33,Inventory!$AV:$AV)</f>
        <v>0</v>
      </c>
      <c r="H33" s="39" t="s">
        <v>308</v>
      </c>
      <c r="I33" s="23">
        <f>C34</f>
        <v>0</v>
      </c>
      <c r="J33" s="234"/>
      <c r="K33" s="24">
        <f>I33+J33</f>
        <v>0</v>
      </c>
      <c r="L33" s="25">
        <f>F34</f>
        <v>0</v>
      </c>
    </row>
    <row r="34" spans="2:12" s="58" customFormat="1" ht="18" customHeight="1" x14ac:dyDescent="0.25">
      <c r="B34" s="242" t="s">
        <v>257</v>
      </c>
      <c r="C34" s="243">
        <f>SUMIF(Inventory!$AX:$AX,$B34,Inventory!$AU:$AU)</f>
        <v>0</v>
      </c>
      <c r="D34" s="244"/>
      <c r="E34" s="245">
        <f t="shared" ref="E34:E35" si="0">C34+D34</f>
        <v>0</v>
      </c>
      <c r="F34" s="246">
        <f>SUMIF(Inventory!$AX:$AX,$B34,Inventory!$AV:$AV)</f>
        <v>0</v>
      </c>
      <c r="H34" s="339"/>
      <c r="I34" s="340"/>
      <c r="J34" s="340"/>
      <c r="K34" s="340"/>
      <c r="L34" s="341"/>
    </row>
    <row r="35" spans="2:12" s="58" customFormat="1" ht="18" customHeight="1" x14ac:dyDescent="0.25">
      <c r="B35" s="242" t="s">
        <v>258</v>
      </c>
      <c r="C35" s="243">
        <f>SUMIF(Inventory!$AX:$AX,$B35,Inventory!$AU:$AU)</f>
        <v>0</v>
      </c>
      <c r="D35" s="244"/>
      <c r="E35" s="245">
        <f t="shared" si="0"/>
        <v>0</v>
      </c>
      <c r="F35" s="246">
        <f>SUMIF(Inventory!$AX:$AX,$B35,Inventory!$AV:$AV)</f>
        <v>0</v>
      </c>
      <c r="H35" s="342"/>
      <c r="I35" s="343"/>
      <c r="J35" s="343"/>
      <c r="K35" s="343"/>
      <c r="L35" s="338"/>
    </row>
    <row r="36" spans="2:12" s="58" customFormat="1" ht="18" customHeight="1" thickBot="1" x14ac:dyDescent="0.3">
      <c r="B36" s="39" t="s">
        <v>259</v>
      </c>
      <c r="C36" s="23">
        <f>SUMIF(Inventory!$AX:$AX,$B36,Inventory!$AU:$AU)</f>
        <v>0</v>
      </c>
      <c r="D36" s="234"/>
      <c r="E36" s="24">
        <f>C36+D36</f>
        <v>0</v>
      </c>
      <c r="F36" s="25">
        <f>SUMIF(Inventory!$AX:$AX,$B36,Inventory!$AV:$AV)</f>
        <v>0</v>
      </c>
      <c r="H36" s="342"/>
      <c r="I36" s="343"/>
      <c r="J36" s="343"/>
      <c r="K36" s="343"/>
      <c r="L36" s="338"/>
    </row>
    <row r="37" spans="2:12" s="58" customFormat="1" ht="13.5" thickBot="1" x14ac:dyDescent="0.3"/>
    <row r="38" spans="2:12" s="58" customFormat="1" ht="18" customHeight="1" thickBot="1" x14ac:dyDescent="0.3">
      <c r="B38" s="40" t="s">
        <v>21</v>
      </c>
      <c r="C38" s="548">
        <v>2016.3</v>
      </c>
      <c r="D38" s="17"/>
      <c r="E38" s="17"/>
    </row>
    <row r="39" spans="2:12" s="58" customFormat="1" x14ac:dyDescent="0.25"/>
    <row r="40" spans="2:12" s="58" customFormat="1" x14ac:dyDescent="0.25"/>
    <row r="41" spans="2:12" s="58" customFormat="1" x14ac:dyDescent="0.25"/>
    <row r="42" spans="2:12" s="58" customFormat="1" x14ac:dyDescent="0.25"/>
    <row r="43" spans="2:12" s="58" customFormat="1" x14ac:dyDescent="0.25"/>
    <row r="44" spans="2:12" s="58" customFormat="1" x14ac:dyDescent="0.25"/>
    <row r="45" spans="2:12" s="58" customFormat="1" x14ac:dyDescent="0.25"/>
    <row r="46" spans="2:12" s="58" customFormat="1" x14ac:dyDescent="0.25"/>
    <row r="47" spans="2:12" s="58" customFormat="1" x14ac:dyDescent="0.25"/>
    <row r="48" spans="2:12" s="58" customFormat="1" x14ac:dyDescent="0.25"/>
    <row r="49" s="58" customFormat="1" x14ac:dyDescent="0.25"/>
    <row r="50" s="58" customFormat="1" x14ac:dyDescent="0.25"/>
    <row r="51" s="58" customFormat="1" x14ac:dyDescent="0.25"/>
    <row r="52" s="58" customFormat="1" x14ac:dyDescent="0.25"/>
    <row r="53" s="58" customFormat="1" x14ac:dyDescent="0.25"/>
    <row r="54" s="58" customFormat="1" x14ac:dyDescent="0.25"/>
    <row r="55" s="58" customFormat="1" x14ac:dyDescent="0.25"/>
    <row r="56" s="58" customFormat="1" x14ac:dyDescent="0.25"/>
    <row r="57" s="58" customFormat="1" x14ac:dyDescent="0.25"/>
    <row r="58" s="58" customFormat="1" x14ac:dyDescent="0.25"/>
    <row r="59" s="58" customFormat="1" x14ac:dyDescent="0.25"/>
    <row r="60" s="58" customFormat="1" x14ac:dyDescent="0.25"/>
    <row r="61" s="58" customFormat="1" x14ac:dyDescent="0.25"/>
    <row r="62" s="58" customFormat="1" x14ac:dyDescent="0.25"/>
    <row r="63" s="58" customFormat="1" x14ac:dyDescent="0.25"/>
    <row r="64" s="58" customFormat="1" x14ac:dyDescent="0.25"/>
    <row r="65" s="58" customFormat="1" x14ac:dyDescent="0.25"/>
    <row r="66" s="58" customFormat="1" x14ac:dyDescent="0.25"/>
    <row r="67" s="58" customFormat="1" x14ac:dyDescent="0.25"/>
    <row r="68" s="58" customFormat="1" x14ac:dyDescent="0.25"/>
    <row r="69" s="58" customFormat="1" x14ac:dyDescent="0.25"/>
    <row r="70" s="58" customFormat="1" x14ac:dyDescent="0.25"/>
    <row r="71" s="58" customFormat="1" x14ac:dyDescent="0.25"/>
    <row r="72" s="58" customFormat="1" x14ac:dyDescent="0.25"/>
    <row r="73" s="58" customFormat="1" x14ac:dyDescent="0.25"/>
    <row r="74" s="58" customFormat="1" x14ac:dyDescent="0.25"/>
    <row r="75" s="58" customFormat="1" x14ac:dyDescent="0.25"/>
    <row r="76" s="58" customFormat="1" x14ac:dyDescent="0.25"/>
    <row r="77" s="58" customFormat="1" x14ac:dyDescent="0.25"/>
    <row r="78" s="58" customFormat="1" x14ac:dyDescent="0.25"/>
    <row r="79" s="58" customFormat="1" x14ac:dyDescent="0.25"/>
    <row r="80" s="58" customFormat="1" x14ac:dyDescent="0.25"/>
    <row r="81" s="58" customFormat="1" x14ac:dyDescent="0.25"/>
    <row r="82" s="58" customFormat="1" x14ac:dyDescent="0.25"/>
    <row r="83" s="58" customFormat="1" x14ac:dyDescent="0.25"/>
    <row r="84" s="58" customFormat="1" x14ac:dyDescent="0.25"/>
    <row r="85" s="58" customFormat="1" x14ac:dyDescent="0.25"/>
    <row r="86" s="58" customFormat="1" x14ac:dyDescent="0.25"/>
    <row r="87" s="58" customFormat="1" x14ac:dyDescent="0.25"/>
    <row r="88" s="58" customFormat="1" x14ac:dyDescent="0.25"/>
    <row r="89" s="58" customFormat="1" x14ac:dyDescent="0.25"/>
    <row r="90" s="58" customFormat="1" x14ac:dyDescent="0.25"/>
    <row r="91" s="58" customFormat="1" x14ac:dyDescent="0.25"/>
    <row r="92" s="58" customFormat="1" x14ac:dyDescent="0.25"/>
    <row r="93" s="58" customFormat="1" x14ac:dyDescent="0.25"/>
    <row r="94" s="58" customFormat="1" x14ac:dyDescent="0.25"/>
    <row r="95" s="58" customFormat="1" x14ac:dyDescent="0.25"/>
    <row r="96" s="58" customFormat="1" x14ac:dyDescent="0.25"/>
    <row r="97" s="58" customFormat="1" x14ac:dyDescent="0.25"/>
    <row r="98" s="58" customFormat="1" x14ac:dyDescent="0.25"/>
    <row r="99" s="58" customFormat="1" x14ac:dyDescent="0.25"/>
    <row r="100" s="58" customFormat="1" x14ac:dyDescent="0.25"/>
    <row r="101" s="58" customFormat="1" x14ac:dyDescent="0.25"/>
    <row r="102" s="58" customFormat="1" x14ac:dyDescent="0.25"/>
    <row r="103" s="58" customFormat="1" x14ac:dyDescent="0.25"/>
    <row r="104" s="58" customFormat="1" x14ac:dyDescent="0.25"/>
    <row r="105" s="58" customFormat="1" x14ac:dyDescent="0.25"/>
    <row r="106" s="58" customFormat="1" x14ac:dyDescent="0.25"/>
    <row r="107" s="58" customFormat="1" x14ac:dyDescent="0.25"/>
    <row r="108" s="58" customFormat="1" x14ac:dyDescent="0.25"/>
    <row r="109" s="58" customFormat="1" x14ac:dyDescent="0.25"/>
    <row r="110" s="58" customFormat="1" x14ac:dyDescent="0.25"/>
    <row r="111" s="58" customFormat="1" x14ac:dyDescent="0.25"/>
    <row r="112" s="58" customFormat="1" x14ac:dyDescent="0.25"/>
    <row r="113" s="58" customFormat="1" x14ac:dyDescent="0.25"/>
    <row r="114" s="58" customFormat="1" x14ac:dyDescent="0.25"/>
    <row r="115" s="58" customFormat="1" x14ac:dyDescent="0.25"/>
    <row r="116" s="58" customFormat="1" x14ac:dyDescent="0.25"/>
    <row r="117" s="58" customFormat="1" x14ac:dyDescent="0.25"/>
    <row r="118" s="58" customFormat="1" x14ac:dyDescent="0.25"/>
    <row r="119" s="58" customFormat="1" x14ac:dyDescent="0.25"/>
    <row r="120" s="58" customFormat="1" x14ac:dyDescent="0.25"/>
    <row r="121" s="58" customFormat="1" x14ac:dyDescent="0.25"/>
    <row r="122" s="58" customFormat="1" x14ac:dyDescent="0.25"/>
    <row r="123" s="58" customFormat="1" x14ac:dyDescent="0.25"/>
    <row r="124" s="58" customFormat="1" x14ac:dyDescent="0.25"/>
    <row r="125" s="58" customFormat="1" x14ac:dyDescent="0.25"/>
    <row r="126" s="58" customFormat="1" x14ac:dyDescent="0.25"/>
    <row r="127" s="58" customFormat="1" x14ac:dyDescent="0.25"/>
    <row r="128" s="58" customFormat="1" x14ac:dyDescent="0.25"/>
    <row r="129" s="58" customFormat="1" x14ac:dyDescent="0.25"/>
    <row r="130" s="58" customFormat="1" x14ac:dyDescent="0.25"/>
    <row r="131" s="58" customFormat="1" x14ac:dyDescent="0.25"/>
    <row r="132" s="58" customFormat="1" x14ac:dyDescent="0.25"/>
    <row r="133" s="58" customFormat="1" x14ac:dyDescent="0.25"/>
    <row r="134" s="58" customFormat="1" x14ac:dyDescent="0.25"/>
    <row r="135" s="58" customFormat="1" x14ac:dyDescent="0.25"/>
    <row r="136" s="58" customFormat="1" x14ac:dyDescent="0.25"/>
    <row r="137" s="58" customFormat="1" x14ac:dyDescent="0.25"/>
    <row r="138" s="58" customFormat="1" x14ac:dyDescent="0.25"/>
    <row r="139" s="58" customFormat="1" x14ac:dyDescent="0.25"/>
    <row r="140" s="58" customFormat="1" x14ac:dyDescent="0.25"/>
    <row r="141" s="58" customFormat="1" x14ac:dyDescent="0.25"/>
    <row r="142" s="58" customFormat="1" x14ac:dyDescent="0.25"/>
    <row r="143" s="58" customFormat="1" x14ac:dyDescent="0.25"/>
    <row r="144" s="58" customFormat="1" x14ac:dyDescent="0.25"/>
    <row r="145" s="58" customFormat="1" x14ac:dyDescent="0.25"/>
    <row r="146" s="58" customFormat="1" x14ac:dyDescent="0.25"/>
    <row r="147" s="58" customFormat="1" x14ac:dyDescent="0.25"/>
    <row r="148" s="58" customFormat="1" x14ac:dyDescent="0.25"/>
    <row r="149" s="58" customFormat="1" x14ac:dyDescent="0.25"/>
    <row r="150" s="58" customFormat="1" x14ac:dyDescent="0.25"/>
    <row r="151" s="58" customFormat="1" x14ac:dyDescent="0.25"/>
    <row r="152" s="58" customFormat="1" x14ac:dyDescent="0.25"/>
    <row r="153" s="58" customFormat="1" x14ac:dyDescent="0.25"/>
    <row r="154" s="58" customFormat="1" x14ac:dyDescent="0.25"/>
    <row r="155" s="58" customFormat="1" x14ac:dyDescent="0.25"/>
    <row r="156" s="58" customFormat="1" x14ac:dyDescent="0.25"/>
    <row r="157" s="58" customFormat="1" x14ac:dyDescent="0.25"/>
    <row r="158" s="58" customFormat="1" x14ac:dyDescent="0.25"/>
    <row r="159" s="58" customFormat="1" x14ac:dyDescent="0.25"/>
    <row r="160" s="58" customFormat="1" x14ac:dyDescent="0.25"/>
    <row r="161" s="58" customFormat="1" x14ac:dyDescent="0.25"/>
    <row r="162" s="58" customFormat="1" x14ac:dyDescent="0.25"/>
    <row r="163" s="58" customFormat="1" x14ac:dyDescent="0.25"/>
    <row r="164" s="58" customFormat="1" x14ac:dyDescent="0.25"/>
    <row r="165" s="58" customFormat="1" x14ac:dyDescent="0.25"/>
    <row r="166" s="58" customFormat="1" x14ac:dyDescent="0.25"/>
    <row r="167" s="58" customFormat="1" x14ac:dyDescent="0.25"/>
    <row r="168" s="58" customFormat="1" x14ac:dyDescent="0.25"/>
    <row r="169" s="58" customFormat="1" x14ac:dyDescent="0.25"/>
    <row r="170" s="58" customFormat="1" x14ac:dyDescent="0.25"/>
    <row r="171" s="58" customFormat="1" x14ac:dyDescent="0.25"/>
    <row r="172" s="58" customFormat="1" x14ac:dyDescent="0.25"/>
    <row r="173" s="58" customFormat="1" x14ac:dyDescent="0.25"/>
    <row r="174" s="58" customFormat="1" x14ac:dyDescent="0.25"/>
    <row r="175" s="58" customFormat="1" x14ac:dyDescent="0.25"/>
    <row r="176" s="58" customFormat="1" x14ac:dyDescent="0.25"/>
    <row r="177" s="58" customFormat="1" x14ac:dyDescent="0.25"/>
    <row r="178" s="58" customFormat="1" x14ac:dyDescent="0.25"/>
    <row r="179" s="58" customFormat="1" x14ac:dyDescent="0.25"/>
    <row r="180" s="58" customFormat="1" x14ac:dyDescent="0.25"/>
    <row r="181" s="58" customFormat="1" x14ac:dyDescent="0.25"/>
    <row r="182" s="58" customFormat="1" x14ac:dyDescent="0.25"/>
    <row r="183" s="58" customFormat="1" x14ac:dyDescent="0.25"/>
    <row r="184" s="58" customFormat="1" x14ac:dyDescent="0.25"/>
    <row r="185" s="58" customFormat="1" x14ac:dyDescent="0.25"/>
    <row r="186" s="58" customFormat="1" x14ac:dyDescent="0.25"/>
    <row r="187" s="58" customFormat="1" x14ac:dyDescent="0.25"/>
    <row r="188" s="58" customFormat="1" x14ac:dyDescent="0.25"/>
    <row r="189" s="58" customFormat="1" x14ac:dyDescent="0.25"/>
    <row r="190" s="58" customFormat="1" x14ac:dyDescent="0.25"/>
    <row r="191" s="58" customFormat="1" x14ac:dyDescent="0.25"/>
    <row r="192" s="58" customFormat="1" x14ac:dyDescent="0.25"/>
    <row r="193" s="58" customFormat="1" x14ac:dyDescent="0.25"/>
    <row r="194" s="58" customFormat="1" x14ac:dyDescent="0.25"/>
    <row r="195" s="58" customFormat="1" x14ac:dyDescent="0.25"/>
    <row r="196" s="58" customFormat="1" x14ac:dyDescent="0.25"/>
    <row r="197" s="58" customFormat="1" x14ac:dyDescent="0.25"/>
    <row r="198" s="58" customFormat="1" x14ac:dyDescent="0.25"/>
    <row r="199" s="58" customFormat="1" x14ac:dyDescent="0.25"/>
    <row r="200" s="58" customFormat="1" x14ac:dyDescent="0.25"/>
    <row r="201" s="58" customFormat="1" x14ac:dyDescent="0.25"/>
    <row r="202" s="58" customFormat="1" x14ac:dyDescent="0.25"/>
    <row r="203" s="58" customFormat="1" x14ac:dyDescent="0.25"/>
    <row r="204" s="58" customFormat="1" x14ac:dyDescent="0.25"/>
    <row r="205" s="58" customFormat="1" x14ac:dyDescent="0.25"/>
    <row r="206" s="58" customFormat="1" x14ac:dyDescent="0.25"/>
    <row r="207" s="58" customFormat="1" x14ac:dyDescent="0.25"/>
    <row r="208" s="58" customFormat="1" x14ac:dyDescent="0.25"/>
    <row r="209" s="58" customFormat="1" x14ac:dyDescent="0.25"/>
    <row r="210" s="58" customFormat="1" x14ac:dyDescent="0.25"/>
    <row r="211" s="58" customFormat="1" x14ac:dyDescent="0.25"/>
    <row r="212" s="58" customFormat="1" x14ac:dyDescent="0.25"/>
    <row r="213" s="58" customFormat="1" x14ac:dyDescent="0.25"/>
    <row r="214" s="58" customFormat="1" x14ac:dyDescent="0.25"/>
    <row r="215" s="58" customFormat="1" x14ac:dyDescent="0.25"/>
    <row r="216" s="58" customFormat="1" x14ac:dyDescent="0.25"/>
    <row r="217" s="58" customFormat="1" x14ac:dyDescent="0.25"/>
    <row r="218" s="58" customFormat="1" x14ac:dyDescent="0.25"/>
    <row r="219" s="58" customFormat="1" x14ac:dyDescent="0.25"/>
    <row r="220" s="58" customFormat="1" x14ac:dyDescent="0.25"/>
    <row r="221" s="58" customFormat="1" x14ac:dyDescent="0.25"/>
    <row r="222" s="58" customFormat="1" x14ac:dyDescent="0.25"/>
    <row r="223" s="58" customFormat="1" x14ac:dyDescent="0.25"/>
    <row r="224" s="58" customFormat="1" x14ac:dyDescent="0.25"/>
    <row r="225" s="58" customFormat="1" x14ac:dyDescent="0.25"/>
    <row r="226" s="58" customFormat="1" x14ac:dyDescent="0.25"/>
    <row r="227" s="58" customFormat="1" x14ac:dyDescent="0.25"/>
    <row r="228" s="58" customFormat="1" x14ac:dyDescent="0.25"/>
    <row r="229" s="58" customFormat="1" x14ac:dyDescent="0.25"/>
    <row r="230" s="58" customFormat="1" x14ac:dyDescent="0.25"/>
    <row r="231" s="58" customFormat="1" x14ac:dyDescent="0.25"/>
    <row r="232" s="58" customFormat="1" x14ac:dyDescent="0.25"/>
    <row r="233" s="58" customFormat="1" x14ac:dyDescent="0.25"/>
    <row r="234" s="58" customFormat="1" x14ac:dyDescent="0.25"/>
    <row r="235" s="58" customFormat="1" x14ac:dyDescent="0.25"/>
    <row r="236" s="58" customFormat="1" x14ac:dyDescent="0.25"/>
    <row r="237" s="58" customFormat="1" x14ac:dyDescent="0.25"/>
    <row r="238" s="58" customFormat="1" x14ac:dyDescent="0.25"/>
    <row r="239" s="58" customFormat="1" x14ac:dyDescent="0.25"/>
    <row r="240" s="58" customFormat="1" x14ac:dyDescent="0.25"/>
    <row r="241" s="58" customFormat="1" x14ac:dyDescent="0.25"/>
    <row r="242" s="58" customFormat="1" x14ac:dyDescent="0.25"/>
    <row r="243" s="58" customFormat="1" x14ac:dyDescent="0.25"/>
    <row r="244" s="58" customFormat="1" x14ac:dyDescent="0.25"/>
    <row r="245" s="58" customFormat="1" x14ac:dyDescent="0.25"/>
    <row r="246" s="58" customFormat="1" x14ac:dyDescent="0.25"/>
    <row r="247" s="58" customFormat="1" x14ac:dyDescent="0.25"/>
    <row r="248" s="58" customFormat="1" x14ac:dyDescent="0.25"/>
    <row r="249" s="58" customFormat="1" x14ac:dyDescent="0.25"/>
    <row r="250" s="58" customFormat="1" x14ac:dyDescent="0.25"/>
    <row r="251" s="58" customFormat="1" x14ac:dyDescent="0.25"/>
    <row r="252" s="58" customFormat="1" x14ac:dyDescent="0.25"/>
    <row r="253" s="58" customFormat="1" x14ac:dyDescent="0.25"/>
    <row r="254" s="58" customFormat="1" x14ac:dyDescent="0.25"/>
    <row r="255" s="58" customFormat="1" x14ac:dyDescent="0.25"/>
    <row r="256" s="58" customFormat="1" x14ac:dyDescent="0.25"/>
    <row r="257" s="58" customFormat="1" x14ac:dyDescent="0.25"/>
    <row r="258" s="58" customFormat="1" x14ac:dyDescent="0.25"/>
    <row r="259" s="58" customFormat="1" x14ac:dyDescent="0.25"/>
    <row r="260" s="58" customFormat="1" x14ac:dyDescent="0.25"/>
    <row r="261" s="58" customFormat="1" x14ac:dyDescent="0.25"/>
    <row r="262" s="58" customFormat="1" x14ac:dyDescent="0.25"/>
    <row r="263" s="58" customFormat="1" x14ac:dyDescent="0.25"/>
    <row r="264" s="58" customFormat="1" x14ac:dyDescent="0.25"/>
    <row r="265" s="58" customFormat="1" x14ac:dyDescent="0.25"/>
    <row r="266" s="58" customFormat="1" x14ac:dyDescent="0.25"/>
    <row r="267" s="58" customFormat="1" x14ac:dyDescent="0.25"/>
    <row r="268" s="58" customFormat="1" x14ac:dyDescent="0.25"/>
    <row r="269" s="58" customFormat="1" x14ac:dyDescent="0.25"/>
    <row r="270" s="58" customFormat="1" x14ac:dyDescent="0.25"/>
    <row r="271" s="58" customFormat="1" x14ac:dyDescent="0.25"/>
    <row r="272" s="58" customFormat="1" x14ac:dyDescent="0.25"/>
    <row r="273" s="58" customFormat="1" x14ac:dyDescent="0.25"/>
    <row r="274" s="58" customFormat="1" x14ac:dyDescent="0.25"/>
    <row r="275" s="58" customFormat="1" x14ac:dyDescent="0.25"/>
    <row r="276" s="58" customFormat="1" x14ac:dyDescent="0.25"/>
    <row r="277" s="58" customFormat="1" x14ac:dyDescent="0.25"/>
    <row r="278" s="58" customFormat="1" x14ac:dyDescent="0.25"/>
    <row r="279" s="58" customFormat="1" x14ac:dyDescent="0.25"/>
    <row r="280" s="58" customFormat="1" x14ac:dyDescent="0.25"/>
    <row r="281" s="58" customFormat="1" x14ac:dyDescent="0.25"/>
    <row r="282" s="58" customFormat="1" x14ac:dyDescent="0.25"/>
    <row r="283" s="58" customFormat="1" x14ac:dyDescent="0.25"/>
    <row r="284" s="58" customFormat="1" x14ac:dyDescent="0.25"/>
    <row r="285" s="58" customFormat="1" x14ac:dyDescent="0.25"/>
    <row r="286" s="58" customFormat="1" x14ac:dyDescent="0.25"/>
    <row r="287" s="58" customFormat="1" x14ac:dyDescent="0.25"/>
    <row r="288" s="58" customFormat="1" x14ac:dyDescent="0.25"/>
    <row r="289" s="58" customFormat="1" x14ac:dyDescent="0.25"/>
    <row r="290" s="58" customFormat="1" x14ac:dyDescent="0.25"/>
    <row r="291" s="58" customFormat="1" x14ac:dyDescent="0.25"/>
    <row r="292" s="58" customFormat="1" x14ac:dyDescent="0.25"/>
    <row r="293" s="58" customFormat="1" x14ac:dyDescent="0.25"/>
    <row r="294" s="58" customFormat="1" x14ac:dyDescent="0.25"/>
    <row r="295" s="58" customFormat="1" x14ac:dyDescent="0.25"/>
    <row r="296" s="58" customFormat="1" x14ac:dyDescent="0.25"/>
    <row r="297" s="58" customFormat="1" x14ac:dyDescent="0.25"/>
    <row r="298" s="58" customFormat="1" x14ac:dyDescent="0.25"/>
    <row r="299" s="58" customFormat="1" x14ac:dyDescent="0.25"/>
    <row r="300" s="58" customFormat="1" x14ac:dyDescent="0.25"/>
    <row r="301" s="58" customFormat="1" x14ac:dyDescent="0.25"/>
    <row r="302" s="58" customFormat="1" x14ac:dyDescent="0.25"/>
    <row r="303" s="58" customFormat="1" x14ac:dyDescent="0.25"/>
    <row r="304" s="58" customFormat="1" x14ac:dyDescent="0.25"/>
    <row r="305" s="58" customFormat="1" x14ac:dyDescent="0.25"/>
    <row r="306" s="58" customFormat="1" x14ac:dyDescent="0.25"/>
    <row r="307" s="58" customFormat="1" x14ac:dyDescent="0.25"/>
    <row r="308" s="58" customFormat="1" x14ac:dyDescent="0.25"/>
    <row r="309" s="58" customFormat="1" x14ac:dyDescent="0.25"/>
    <row r="310" s="58" customFormat="1" x14ac:dyDescent="0.25"/>
    <row r="311" s="58" customFormat="1" x14ac:dyDescent="0.25"/>
    <row r="312" s="58" customFormat="1" x14ac:dyDescent="0.25"/>
    <row r="313" s="58" customFormat="1" x14ac:dyDescent="0.25"/>
    <row r="314" s="58" customFormat="1" x14ac:dyDescent="0.25"/>
    <row r="315" s="58" customFormat="1" x14ac:dyDescent="0.25"/>
    <row r="316" s="58" customFormat="1" x14ac:dyDescent="0.25"/>
    <row r="317" s="58" customFormat="1" x14ac:dyDescent="0.25"/>
    <row r="318" s="58" customFormat="1" x14ac:dyDescent="0.25"/>
    <row r="319" s="58" customFormat="1" x14ac:dyDescent="0.25"/>
    <row r="320" s="58" customFormat="1" x14ac:dyDescent="0.25"/>
    <row r="321" s="58" customFormat="1" x14ac:dyDescent="0.25"/>
    <row r="322" s="58" customFormat="1" x14ac:dyDescent="0.25"/>
    <row r="323" s="58" customFormat="1" x14ac:dyDescent="0.25"/>
    <row r="324" s="58" customFormat="1" x14ac:dyDescent="0.25"/>
    <row r="325" s="58" customFormat="1" x14ac:dyDescent="0.25"/>
    <row r="326" s="58" customFormat="1" x14ac:dyDescent="0.25"/>
    <row r="327" s="58" customFormat="1" x14ac:dyDescent="0.25"/>
    <row r="328" s="58" customFormat="1" x14ac:dyDescent="0.25"/>
    <row r="329" s="58" customFormat="1" x14ac:dyDescent="0.25"/>
    <row r="330" s="58" customFormat="1" x14ac:dyDescent="0.25"/>
    <row r="331" s="58" customFormat="1" x14ac:dyDescent="0.25"/>
    <row r="332" s="58" customFormat="1" x14ac:dyDescent="0.25"/>
    <row r="333" s="58" customFormat="1" x14ac:dyDescent="0.25"/>
    <row r="334" s="58" customFormat="1" x14ac:dyDescent="0.25"/>
    <row r="335" s="58" customFormat="1" x14ac:dyDescent="0.25"/>
    <row r="336" s="58" customFormat="1" x14ac:dyDescent="0.25"/>
    <row r="337" s="58" customFormat="1" x14ac:dyDescent="0.25"/>
    <row r="338" s="58" customFormat="1" x14ac:dyDescent="0.25"/>
    <row r="339" s="58" customFormat="1" x14ac:dyDescent="0.25"/>
    <row r="340" s="58" customFormat="1" x14ac:dyDescent="0.25"/>
    <row r="341" s="58" customFormat="1" x14ac:dyDescent="0.25"/>
    <row r="342" s="58" customFormat="1" x14ac:dyDescent="0.25"/>
    <row r="343" s="58" customFormat="1" x14ac:dyDescent="0.25"/>
    <row r="344" s="58" customFormat="1" x14ac:dyDescent="0.25"/>
    <row r="345" s="58" customFormat="1" x14ac:dyDescent="0.25"/>
    <row r="346" s="58" customFormat="1" x14ac:dyDescent="0.25"/>
    <row r="347" s="58" customFormat="1" x14ac:dyDescent="0.25"/>
    <row r="348" s="58" customFormat="1" x14ac:dyDescent="0.25"/>
    <row r="349" s="58" customFormat="1" x14ac:dyDescent="0.25"/>
    <row r="350" s="58" customFormat="1" x14ac:dyDescent="0.25"/>
    <row r="351" s="58" customFormat="1" x14ac:dyDescent="0.25"/>
    <row r="352" s="58" customFormat="1" x14ac:dyDescent="0.25"/>
    <row r="353" s="58" customFormat="1" x14ac:dyDescent="0.25"/>
    <row r="354" s="58" customFormat="1" x14ac:dyDescent="0.25"/>
    <row r="355" s="58" customFormat="1" x14ac:dyDescent="0.25"/>
    <row r="356" s="58" customFormat="1" x14ac:dyDescent="0.25"/>
    <row r="357" s="58" customFormat="1" x14ac:dyDescent="0.25"/>
    <row r="358" s="58" customFormat="1" x14ac:dyDescent="0.25"/>
    <row r="359" s="58" customFormat="1" x14ac:dyDescent="0.25"/>
    <row r="360" s="58" customFormat="1" x14ac:dyDescent="0.25"/>
    <row r="361" s="58" customFormat="1" x14ac:dyDescent="0.25"/>
    <row r="362" s="58" customFormat="1" x14ac:dyDescent="0.25"/>
    <row r="363" s="58" customFormat="1" x14ac:dyDescent="0.25"/>
    <row r="364" s="58" customFormat="1" x14ac:dyDescent="0.25"/>
    <row r="365" s="58" customFormat="1" x14ac:dyDescent="0.25"/>
    <row r="366" s="58" customFormat="1" x14ac:dyDescent="0.25"/>
    <row r="367" s="58" customFormat="1" x14ac:dyDescent="0.25"/>
    <row r="368" s="58" customFormat="1" x14ac:dyDescent="0.25"/>
    <row r="369" s="58" customFormat="1" x14ac:dyDescent="0.25"/>
    <row r="370" s="58" customFormat="1" x14ac:dyDescent="0.25"/>
    <row r="371" s="58" customFormat="1" x14ac:dyDescent="0.25"/>
    <row r="372" s="58" customFormat="1" x14ac:dyDescent="0.25"/>
    <row r="373" s="58" customFormat="1" x14ac:dyDescent="0.25"/>
    <row r="374" s="58" customFormat="1" x14ac:dyDescent="0.25"/>
    <row r="375" s="58" customFormat="1" x14ac:dyDescent="0.25"/>
    <row r="376" s="58" customFormat="1" x14ac:dyDescent="0.25"/>
    <row r="377" s="58" customFormat="1" x14ac:dyDescent="0.25"/>
    <row r="378" s="58" customFormat="1" x14ac:dyDescent="0.25"/>
    <row r="379" s="58" customFormat="1" x14ac:dyDescent="0.25"/>
    <row r="380" s="58" customFormat="1" x14ac:dyDescent="0.25"/>
    <row r="381" s="58" customFormat="1" x14ac:dyDescent="0.25"/>
    <row r="382" s="58" customFormat="1" x14ac:dyDescent="0.25"/>
    <row r="383" s="58" customFormat="1" x14ac:dyDescent="0.25"/>
    <row r="384" s="58" customFormat="1" x14ac:dyDescent="0.25"/>
    <row r="385" s="58" customFormat="1" x14ac:dyDescent="0.25"/>
    <row r="386" s="58" customFormat="1" x14ac:dyDescent="0.25"/>
    <row r="387" s="58" customFormat="1" x14ac:dyDescent="0.25"/>
    <row r="388" s="58" customFormat="1" x14ac:dyDescent="0.25"/>
    <row r="389" s="58" customFormat="1" x14ac:dyDescent="0.25"/>
    <row r="390" s="58" customFormat="1" x14ac:dyDescent="0.25"/>
    <row r="391" s="58" customFormat="1" x14ac:dyDescent="0.25"/>
    <row r="392" s="58" customFormat="1" x14ac:dyDescent="0.25"/>
    <row r="393" s="58" customFormat="1" x14ac:dyDescent="0.25"/>
    <row r="394" s="58" customFormat="1" x14ac:dyDescent="0.25"/>
    <row r="395" s="58" customFormat="1" x14ac:dyDescent="0.25"/>
    <row r="396" s="58" customFormat="1" x14ac:dyDescent="0.25"/>
    <row r="397" s="58" customFormat="1" x14ac:dyDescent="0.25"/>
    <row r="398" s="58" customFormat="1" x14ac:dyDescent="0.25"/>
    <row r="399" s="58" customFormat="1" x14ac:dyDescent="0.25"/>
    <row r="400" s="58" customFormat="1" x14ac:dyDescent="0.25"/>
    <row r="401" s="58" customFormat="1" x14ac:dyDescent="0.25"/>
    <row r="402" s="58" customFormat="1" x14ac:dyDescent="0.25"/>
    <row r="403" s="58" customFormat="1" x14ac:dyDescent="0.25"/>
    <row r="404" s="58" customFormat="1" x14ac:dyDescent="0.25"/>
    <row r="405" s="58" customFormat="1" x14ac:dyDescent="0.25"/>
    <row r="406" s="58" customFormat="1" x14ac:dyDescent="0.25"/>
    <row r="407" s="58" customFormat="1" x14ac:dyDescent="0.25"/>
    <row r="408" s="58" customFormat="1" x14ac:dyDescent="0.25"/>
    <row r="409" s="58" customFormat="1" x14ac:dyDescent="0.25"/>
    <row r="410" s="58" customFormat="1" x14ac:dyDescent="0.25"/>
    <row r="411" s="58" customFormat="1" x14ac:dyDescent="0.25"/>
    <row r="412" s="58" customFormat="1" x14ac:dyDescent="0.25"/>
    <row r="413" s="58" customFormat="1" x14ac:dyDescent="0.25"/>
    <row r="414" s="58" customFormat="1" x14ac:dyDescent="0.25"/>
    <row r="415" s="58" customFormat="1" x14ac:dyDescent="0.25"/>
    <row r="416" s="58" customFormat="1" x14ac:dyDescent="0.25"/>
    <row r="417" s="58" customFormat="1" x14ac:dyDescent="0.25"/>
    <row r="418" s="58" customFormat="1" x14ac:dyDescent="0.25"/>
    <row r="419" s="58" customFormat="1" x14ac:dyDescent="0.25"/>
    <row r="420" s="58" customFormat="1" x14ac:dyDescent="0.25"/>
    <row r="421" s="58" customFormat="1" x14ac:dyDescent="0.25"/>
    <row r="422" s="58" customFormat="1" x14ac:dyDescent="0.25"/>
    <row r="423" s="58" customFormat="1" x14ac:dyDescent="0.25"/>
    <row r="424" s="58" customFormat="1" x14ac:dyDescent="0.25"/>
    <row r="425" s="58" customFormat="1" x14ac:dyDescent="0.25"/>
    <row r="426" s="58" customFormat="1" x14ac:dyDescent="0.25"/>
    <row r="427" s="58" customFormat="1" x14ac:dyDescent="0.25"/>
    <row r="428" s="58" customFormat="1" x14ac:dyDescent="0.25"/>
    <row r="429" s="58" customFormat="1" x14ac:dyDescent="0.25"/>
    <row r="430" s="58" customFormat="1" x14ac:dyDescent="0.25"/>
    <row r="431" s="58" customFormat="1" x14ac:dyDescent="0.25"/>
    <row r="432" s="58" customFormat="1" x14ac:dyDescent="0.25"/>
    <row r="433" s="58" customFormat="1" x14ac:dyDescent="0.25"/>
    <row r="434" s="58" customFormat="1" x14ac:dyDescent="0.25"/>
    <row r="435" s="58" customFormat="1" x14ac:dyDescent="0.25"/>
    <row r="436" s="58" customFormat="1" x14ac:dyDescent="0.25"/>
    <row r="437" s="58" customFormat="1" x14ac:dyDescent="0.25"/>
    <row r="438" s="58" customFormat="1" x14ac:dyDescent="0.25"/>
    <row r="439" s="58" customFormat="1" x14ac:dyDescent="0.25"/>
    <row r="440" s="58" customFormat="1" x14ac:dyDescent="0.25"/>
    <row r="441" s="58" customFormat="1" x14ac:dyDescent="0.25"/>
    <row r="442" s="58" customFormat="1" x14ac:dyDescent="0.25"/>
    <row r="443" s="58" customFormat="1" x14ac:dyDescent="0.25"/>
    <row r="444" s="58" customFormat="1" x14ac:dyDescent="0.25"/>
    <row r="445" s="58" customFormat="1" x14ac:dyDescent="0.25"/>
    <row r="446" s="58" customFormat="1" x14ac:dyDescent="0.25"/>
    <row r="447" s="58" customFormat="1" x14ac:dyDescent="0.25"/>
    <row r="448" s="58" customFormat="1" x14ac:dyDescent="0.25"/>
    <row r="449" s="58" customFormat="1" x14ac:dyDescent="0.25"/>
    <row r="450" s="58" customFormat="1" x14ac:dyDescent="0.25"/>
    <row r="451" s="58" customFormat="1" x14ac:dyDescent="0.25"/>
    <row r="452" s="58" customFormat="1" x14ac:dyDescent="0.25"/>
    <row r="453" s="58" customFormat="1" x14ac:dyDescent="0.25"/>
    <row r="454" s="58" customFormat="1" x14ac:dyDescent="0.25"/>
    <row r="455" s="58" customFormat="1" x14ac:dyDescent="0.25"/>
    <row r="456" s="58" customFormat="1" x14ac:dyDescent="0.25"/>
    <row r="457" s="58" customFormat="1" x14ac:dyDescent="0.25"/>
    <row r="458" s="58" customFormat="1" x14ac:dyDescent="0.25"/>
    <row r="459" s="58" customFormat="1" x14ac:dyDescent="0.25"/>
    <row r="460" s="58" customFormat="1" x14ac:dyDescent="0.25"/>
    <row r="461" s="58" customFormat="1" x14ac:dyDescent="0.25"/>
    <row r="462" s="58" customFormat="1" x14ac:dyDescent="0.25"/>
    <row r="463" s="58" customFormat="1" x14ac:dyDescent="0.25"/>
    <row r="464" s="58" customFormat="1" x14ac:dyDescent="0.25"/>
    <row r="465" s="58" customFormat="1" x14ac:dyDescent="0.25"/>
    <row r="466" s="58" customFormat="1" x14ac:dyDescent="0.25"/>
    <row r="467" s="58" customFormat="1" x14ac:dyDescent="0.25"/>
    <row r="468" s="58" customFormat="1" x14ac:dyDescent="0.25"/>
    <row r="469" s="58" customFormat="1" x14ac:dyDescent="0.25"/>
    <row r="470" s="58" customFormat="1" x14ac:dyDescent="0.25"/>
    <row r="471" s="58" customFormat="1" x14ac:dyDescent="0.25"/>
    <row r="472" s="58" customFormat="1" x14ac:dyDescent="0.25"/>
    <row r="473" s="58" customFormat="1" x14ac:dyDescent="0.25"/>
    <row r="474" s="58" customFormat="1" x14ac:dyDescent="0.25"/>
    <row r="475" s="58" customFormat="1" x14ac:dyDescent="0.25"/>
    <row r="476" s="58" customFormat="1" x14ac:dyDescent="0.25"/>
    <row r="477" s="58" customFormat="1" x14ac:dyDescent="0.25"/>
    <row r="478" s="58" customFormat="1" x14ac:dyDescent="0.25"/>
    <row r="479" s="58" customFormat="1" x14ac:dyDescent="0.25"/>
    <row r="480" s="58" customFormat="1" x14ac:dyDescent="0.25"/>
    <row r="481" s="58" customFormat="1" x14ac:dyDescent="0.25"/>
    <row r="482" s="58" customFormat="1" x14ac:dyDescent="0.25"/>
    <row r="483" s="58" customFormat="1" x14ac:dyDescent="0.25"/>
    <row r="484" s="58" customFormat="1" x14ac:dyDescent="0.25"/>
    <row r="485" s="58" customFormat="1" x14ac:dyDescent="0.25"/>
    <row r="486" s="58" customFormat="1" x14ac:dyDescent="0.25"/>
    <row r="487" s="58" customFormat="1" x14ac:dyDescent="0.25"/>
    <row r="488" s="58" customFormat="1" x14ac:dyDescent="0.25"/>
    <row r="489" s="58" customFormat="1" x14ac:dyDescent="0.25"/>
    <row r="490" s="58" customFormat="1" x14ac:dyDescent="0.25"/>
    <row r="491" s="58" customFormat="1" x14ac:dyDescent="0.25"/>
    <row r="492" s="58" customFormat="1" x14ac:dyDescent="0.25"/>
    <row r="493" s="58" customFormat="1" x14ac:dyDescent="0.25"/>
    <row r="494" s="58" customFormat="1" x14ac:dyDescent="0.25"/>
    <row r="495" s="58" customFormat="1" x14ac:dyDescent="0.25"/>
    <row r="496" s="58" customFormat="1" x14ac:dyDescent="0.25"/>
    <row r="497" s="58" customFormat="1" x14ac:dyDescent="0.25"/>
    <row r="498" s="58" customFormat="1" x14ac:dyDescent="0.25"/>
    <row r="499" s="58" customFormat="1" x14ac:dyDescent="0.25"/>
    <row r="500" s="58" customFormat="1" x14ac:dyDescent="0.25"/>
    <row r="501" s="58" customFormat="1" x14ac:dyDescent="0.25"/>
    <row r="502" s="58" customFormat="1" x14ac:dyDescent="0.25"/>
    <row r="503" s="58" customFormat="1" x14ac:dyDescent="0.25"/>
    <row r="504" s="58" customFormat="1" x14ac:dyDescent="0.25"/>
    <row r="505" s="58" customFormat="1" x14ac:dyDescent="0.25"/>
    <row r="506" s="58" customFormat="1" x14ac:dyDescent="0.25"/>
    <row r="507" s="58" customFormat="1" x14ac:dyDescent="0.25"/>
    <row r="508" s="58" customFormat="1" x14ac:dyDescent="0.25"/>
    <row r="509" s="58" customFormat="1" x14ac:dyDescent="0.25"/>
    <row r="510" s="58" customFormat="1" x14ac:dyDescent="0.25"/>
    <row r="511" s="58" customFormat="1" x14ac:dyDescent="0.25"/>
    <row r="512" s="58" customFormat="1" x14ac:dyDescent="0.25"/>
    <row r="513" s="58" customFormat="1" x14ac:dyDescent="0.25"/>
    <row r="514" s="58" customFormat="1" x14ac:dyDescent="0.25"/>
    <row r="515" s="58" customFormat="1" x14ac:dyDescent="0.25"/>
    <row r="516" s="58" customFormat="1" x14ac:dyDescent="0.25"/>
    <row r="517" s="58" customFormat="1" x14ac:dyDescent="0.25"/>
    <row r="518" s="58" customFormat="1" x14ac:dyDescent="0.25"/>
    <row r="519" s="58" customFormat="1" x14ac:dyDescent="0.25"/>
    <row r="520" s="58" customFormat="1" x14ac:dyDescent="0.25"/>
    <row r="521" s="58" customFormat="1" x14ac:dyDescent="0.25"/>
    <row r="522" s="58" customFormat="1" x14ac:dyDescent="0.25"/>
    <row r="523" s="58" customFormat="1" x14ac:dyDescent="0.25"/>
    <row r="524" s="58" customFormat="1" x14ac:dyDescent="0.25"/>
    <row r="525" s="58" customFormat="1" x14ac:dyDescent="0.25"/>
    <row r="526" s="58" customFormat="1" x14ac:dyDescent="0.25"/>
    <row r="527" s="58" customFormat="1" x14ac:dyDescent="0.25"/>
    <row r="528" s="58" customFormat="1" x14ac:dyDescent="0.25"/>
    <row r="529" s="58" customFormat="1" x14ac:dyDescent="0.25"/>
    <row r="530" s="58" customFormat="1" x14ac:dyDescent="0.25"/>
    <row r="531" s="58" customFormat="1" x14ac:dyDescent="0.25"/>
    <row r="532" s="58" customFormat="1" x14ac:dyDescent="0.25"/>
    <row r="533" s="58" customFormat="1" x14ac:dyDescent="0.25"/>
    <row r="534" s="58" customFormat="1" x14ac:dyDescent="0.25"/>
    <row r="535" s="58" customFormat="1" x14ac:dyDescent="0.25"/>
    <row r="536" s="58" customFormat="1" x14ac:dyDescent="0.25"/>
    <row r="537" s="58" customFormat="1" x14ac:dyDescent="0.25"/>
    <row r="538" s="58" customFormat="1" x14ac:dyDescent="0.25"/>
    <row r="539" s="58" customFormat="1" x14ac:dyDescent="0.25"/>
    <row r="540" s="58" customFormat="1" x14ac:dyDescent="0.25"/>
    <row r="541" s="58" customFormat="1" x14ac:dyDescent="0.25"/>
    <row r="542" s="58" customFormat="1" x14ac:dyDescent="0.25"/>
    <row r="543" s="58" customFormat="1" x14ac:dyDescent="0.25"/>
    <row r="544" s="58" customFormat="1" x14ac:dyDescent="0.25"/>
    <row r="545" s="58" customFormat="1" x14ac:dyDescent="0.25"/>
    <row r="546" s="58" customFormat="1" x14ac:dyDescent="0.25"/>
    <row r="547" s="58" customFormat="1" x14ac:dyDescent="0.25"/>
    <row r="548" s="58" customFormat="1" x14ac:dyDescent="0.25"/>
    <row r="549" s="58" customFormat="1" x14ac:dyDescent="0.25"/>
    <row r="550" s="58" customFormat="1" x14ac:dyDescent="0.25"/>
    <row r="551" s="58" customFormat="1" x14ac:dyDescent="0.25"/>
    <row r="552" s="58" customFormat="1" x14ac:dyDescent="0.25"/>
    <row r="553" s="58" customFormat="1" x14ac:dyDescent="0.25"/>
    <row r="554" s="58" customFormat="1" x14ac:dyDescent="0.25"/>
    <row r="555" s="58" customFormat="1" x14ac:dyDescent="0.25"/>
    <row r="556" s="58" customFormat="1" x14ac:dyDescent="0.25"/>
    <row r="557" s="58" customFormat="1" x14ac:dyDescent="0.25"/>
    <row r="558" s="58" customFormat="1" x14ac:dyDescent="0.25"/>
    <row r="559" s="58" customFormat="1" x14ac:dyDescent="0.25"/>
    <row r="560" s="58" customFormat="1" x14ac:dyDescent="0.25"/>
    <row r="561" s="58" customFormat="1" x14ac:dyDescent="0.25"/>
    <row r="562" s="58" customFormat="1" x14ac:dyDescent="0.25"/>
    <row r="563" s="58" customFormat="1" x14ac:dyDescent="0.25"/>
    <row r="564" s="58" customFormat="1" x14ac:dyDescent="0.25"/>
    <row r="565" s="58" customFormat="1" x14ac:dyDescent="0.25"/>
    <row r="566" s="58" customFormat="1" x14ac:dyDescent="0.25"/>
    <row r="567" s="58" customFormat="1" x14ac:dyDescent="0.25"/>
    <row r="568" s="58" customFormat="1" x14ac:dyDescent="0.25"/>
    <row r="569" s="58" customFormat="1" x14ac:dyDescent="0.25"/>
    <row r="570" s="58" customFormat="1" x14ac:dyDescent="0.25"/>
    <row r="571" s="58" customFormat="1" x14ac:dyDescent="0.25"/>
    <row r="572" s="58" customFormat="1" x14ac:dyDescent="0.25"/>
    <row r="573" s="58" customFormat="1" x14ac:dyDescent="0.25"/>
    <row r="574" s="58" customFormat="1" x14ac:dyDescent="0.25"/>
    <row r="575" s="58" customFormat="1" x14ac:dyDescent="0.25"/>
    <row r="576" s="58" customFormat="1" x14ac:dyDescent="0.25"/>
    <row r="577" s="58" customFormat="1" x14ac:dyDescent="0.25"/>
    <row r="578" s="58" customFormat="1" x14ac:dyDescent="0.25"/>
    <row r="579" s="58" customFormat="1" x14ac:dyDescent="0.25"/>
    <row r="580" s="58" customFormat="1" x14ac:dyDescent="0.25"/>
    <row r="581" s="58" customFormat="1" x14ac:dyDescent="0.25"/>
    <row r="582" s="58" customFormat="1" x14ac:dyDescent="0.25"/>
    <row r="583" s="58" customFormat="1" x14ac:dyDescent="0.25"/>
    <row r="584" s="58" customFormat="1" x14ac:dyDescent="0.25"/>
    <row r="585" s="58" customFormat="1" x14ac:dyDescent="0.25"/>
    <row r="586" s="58" customFormat="1" x14ac:dyDescent="0.25"/>
    <row r="587" s="58" customFormat="1" x14ac:dyDescent="0.25"/>
    <row r="588" s="58" customFormat="1" x14ac:dyDescent="0.25"/>
    <row r="589" s="58" customFormat="1" x14ac:dyDescent="0.25"/>
    <row r="590" s="58" customFormat="1" x14ac:dyDescent="0.25"/>
    <row r="591" s="58" customFormat="1" x14ac:dyDescent="0.25"/>
    <row r="592" s="58" customFormat="1" x14ac:dyDescent="0.25"/>
    <row r="593" s="58" customFormat="1" x14ac:dyDescent="0.25"/>
    <row r="594" s="58" customFormat="1" x14ac:dyDescent="0.25"/>
    <row r="595" s="58" customFormat="1" x14ac:dyDescent="0.25"/>
    <row r="596" s="58" customFormat="1" x14ac:dyDescent="0.25"/>
    <row r="597" s="58" customFormat="1" x14ac:dyDescent="0.25"/>
    <row r="598" s="58" customFormat="1" x14ac:dyDescent="0.25"/>
    <row r="599" s="58" customFormat="1" x14ac:dyDescent="0.25"/>
    <row r="600" s="58" customFormat="1" x14ac:dyDescent="0.25"/>
    <row r="601" s="58" customFormat="1" x14ac:dyDescent="0.25"/>
    <row r="602" s="58" customFormat="1" x14ac:dyDescent="0.25"/>
    <row r="603" s="58" customFormat="1" x14ac:dyDescent="0.25"/>
    <row r="604" s="58" customFormat="1" x14ac:dyDescent="0.25"/>
    <row r="605" s="58" customFormat="1" x14ac:dyDescent="0.25"/>
    <row r="606" s="58" customFormat="1" x14ac:dyDescent="0.25"/>
    <row r="607" s="58" customFormat="1" x14ac:dyDescent="0.25"/>
    <row r="608" s="58" customFormat="1" x14ac:dyDescent="0.25"/>
    <row r="609" s="58" customFormat="1" x14ac:dyDescent="0.25"/>
    <row r="610" s="58" customFormat="1" x14ac:dyDescent="0.25"/>
    <row r="611" s="58" customFormat="1" x14ac:dyDescent="0.25"/>
    <row r="612" s="58" customFormat="1" x14ac:dyDescent="0.25"/>
    <row r="613" s="58" customFormat="1" x14ac:dyDescent="0.25"/>
    <row r="614" s="58" customFormat="1" x14ac:dyDescent="0.25"/>
    <row r="615" s="58" customFormat="1" x14ac:dyDescent="0.25"/>
    <row r="616" s="58" customFormat="1" x14ac:dyDescent="0.25"/>
    <row r="617" s="58" customFormat="1" x14ac:dyDescent="0.25"/>
    <row r="618" s="58" customFormat="1" x14ac:dyDescent="0.25"/>
    <row r="619" s="58" customFormat="1" x14ac:dyDescent="0.25"/>
    <row r="620" s="58" customFormat="1" x14ac:dyDescent="0.25"/>
    <row r="621" s="58" customFormat="1" x14ac:dyDescent="0.25"/>
    <row r="622" s="58" customFormat="1" x14ac:dyDescent="0.25"/>
    <row r="623" s="58" customFormat="1" x14ac:dyDescent="0.25"/>
    <row r="624" s="58" customFormat="1" x14ac:dyDescent="0.25"/>
    <row r="625" s="58" customFormat="1" x14ac:dyDescent="0.25"/>
    <row r="626" s="58" customFormat="1" x14ac:dyDescent="0.25"/>
    <row r="627" s="58" customFormat="1" x14ac:dyDescent="0.25"/>
    <row r="628" s="58" customFormat="1" x14ac:dyDescent="0.25"/>
    <row r="629" s="58" customFormat="1" x14ac:dyDescent="0.25"/>
    <row r="630" s="58" customFormat="1" x14ac:dyDescent="0.25"/>
    <row r="631" s="58" customFormat="1" x14ac:dyDescent="0.25"/>
    <row r="632" s="58" customFormat="1" x14ac:dyDescent="0.25"/>
    <row r="633" s="58" customFormat="1" x14ac:dyDescent="0.25"/>
    <row r="634" s="58" customFormat="1" x14ac:dyDescent="0.25"/>
    <row r="635" s="58" customFormat="1" x14ac:dyDescent="0.25"/>
    <row r="636" s="58" customFormat="1" x14ac:dyDescent="0.25"/>
    <row r="637" s="58" customFormat="1" x14ac:dyDescent="0.25"/>
    <row r="638" s="58" customFormat="1" x14ac:dyDescent="0.25"/>
    <row r="639" s="58" customFormat="1" x14ac:dyDescent="0.25"/>
    <row r="640" s="58" customFormat="1" x14ac:dyDescent="0.25"/>
    <row r="641" s="58" customFormat="1" x14ac:dyDescent="0.25"/>
    <row r="642" s="58" customFormat="1" x14ac:dyDescent="0.25"/>
    <row r="643" s="58" customFormat="1" x14ac:dyDescent="0.25"/>
    <row r="644" s="58" customFormat="1" x14ac:dyDescent="0.25"/>
    <row r="645" s="58" customFormat="1" x14ac:dyDescent="0.25"/>
    <row r="646" s="58" customFormat="1" x14ac:dyDescent="0.25"/>
    <row r="647" s="58" customFormat="1" x14ac:dyDescent="0.25"/>
    <row r="648" s="58" customFormat="1" x14ac:dyDescent="0.25"/>
    <row r="649" s="58" customFormat="1" x14ac:dyDescent="0.25"/>
    <row r="650" s="58" customFormat="1" x14ac:dyDescent="0.25"/>
    <row r="651" s="58" customFormat="1" x14ac:dyDescent="0.25"/>
    <row r="652" s="58" customFormat="1" x14ac:dyDescent="0.25"/>
    <row r="653" s="58" customFormat="1" x14ac:dyDescent="0.25"/>
    <row r="654" s="58" customFormat="1" x14ac:dyDescent="0.25"/>
    <row r="655" s="58" customFormat="1" x14ac:dyDescent="0.25"/>
    <row r="656" s="58" customFormat="1" x14ac:dyDescent="0.25"/>
    <row r="657" s="58" customFormat="1" x14ac:dyDescent="0.25"/>
    <row r="658" s="58" customFormat="1" x14ac:dyDescent="0.25"/>
    <row r="659" s="58" customFormat="1" x14ac:dyDescent="0.25"/>
    <row r="660" s="58" customFormat="1" x14ac:dyDescent="0.25"/>
    <row r="661" s="58" customFormat="1" x14ac:dyDescent="0.25"/>
    <row r="662" s="58" customFormat="1" x14ac:dyDescent="0.25"/>
    <row r="663" s="58" customFormat="1" x14ac:dyDescent="0.25"/>
    <row r="664" s="58" customFormat="1" x14ac:dyDescent="0.25"/>
    <row r="665" s="58" customFormat="1" x14ac:dyDescent="0.25"/>
    <row r="666" s="58" customFormat="1" x14ac:dyDescent="0.25"/>
    <row r="667" s="58" customFormat="1" x14ac:dyDescent="0.25"/>
    <row r="668" s="58" customFormat="1" x14ac:dyDescent="0.25"/>
    <row r="669" s="58" customFormat="1" x14ac:dyDescent="0.25"/>
    <row r="670" s="58" customFormat="1" x14ac:dyDescent="0.25"/>
    <row r="671" s="58" customFormat="1" x14ac:dyDescent="0.25"/>
    <row r="672" s="58" customFormat="1" x14ac:dyDescent="0.25"/>
    <row r="673" s="58" customFormat="1" x14ac:dyDescent="0.25"/>
    <row r="674" s="58" customFormat="1" x14ac:dyDescent="0.25"/>
    <row r="675" s="58" customFormat="1" x14ac:dyDescent="0.25"/>
    <row r="676" s="58" customFormat="1" x14ac:dyDescent="0.25"/>
    <row r="677" s="58" customFormat="1" x14ac:dyDescent="0.25"/>
    <row r="678" s="58" customFormat="1" x14ac:dyDescent="0.25"/>
    <row r="679" s="58" customFormat="1" x14ac:dyDescent="0.25"/>
    <row r="680" s="58" customFormat="1" x14ac:dyDescent="0.25"/>
    <row r="681" s="58" customFormat="1" x14ac:dyDescent="0.25"/>
    <row r="682" s="58" customFormat="1" x14ac:dyDescent="0.25"/>
    <row r="683" s="58" customFormat="1" x14ac:dyDescent="0.25"/>
    <row r="684" s="58" customFormat="1" x14ac:dyDescent="0.25"/>
    <row r="685" s="58" customFormat="1" x14ac:dyDescent="0.25"/>
    <row r="686" s="58" customFormat="1" x14ac:dyDescent="0.25"/>
    <row r="687" s="58" customFormat="1" x14ac:dyDescent="0.25"/>
    <row r="688" s="58" customFormat="1" x14ac:dyDescent="0.25"/>
    <row r="689" s="58" customFormat="1" x14ac:dyDescent="0.25"/>
    <row r="690" s="58" customFormat="1" x14ac:dyDescent="0.25"/>
    <row r="691" s="58" customFormat="1" x14ac:dyDescent="0.25"/>
    <row r="692" s="58" customFormat="1" x14ac:dyDescent="0.25"/>
    <row r="693" s="58" customFormat="1" x14ac:dyDescent="0.25"/>
    <row r="694" s="58" customFormat="1" x14ac:dyDescent="0.25"/>
    <row r="695" s="58" customFormat="1" x14ac:dyDescent="0.25"/>
    <row r="696" s="58" customFormat="1" x14ac:dyDescent="0.25"/>
    <row r="697" s="58" customFormat="1" x14ac:dyDescent="0.25"/>
    <row r="698" s="58" customFormat="1" x14ac:dyDescent="0.25"/>
    <row r="699" s="58" customFormat="1" x14ac:dyDescent="0.25"/>
    <row r="700" s="58" customFormat="1" x14ac:dyDescent="0.25"/>
    <row r="701" s="58" customFormat="1" x14ac:dyDescent="0.25"/>
    <row r="702" s="58" customFormat="1" x14ac:dyDescent="0.25"/>
    <row r="703" s="58" customFormat="1" x14ac:dyDescent="0.25"/>
    <row r="704" s="58" customFormat="1" x14ac:dyDescent="0.25"/>
    <row r="705" s="58" customFormat="1" x14ac:dyDescent="0.25"/>
    <row r="706" s="58" customFormat="1" x14ac:dyDescent="0.25"/>
    <row r="707" s="58" customFormat="1" x14ac:dyDescent="0.25"/>
    <row r="708" s="58" customFormat="1" x14ac:dyDescent="0.25"/>
    <row r="709" s="58" customFormat="1" x14ac:dyDescent="0.25"/>
    <row r="710" s="58" customFormat="1" x14ac:dyDescent="0.25"/>
    <row r="711" s="58" customFormat="1" x14ac:dyDescent="0.25"/>
    <row r="712" s="58" customFormat="1" x14ac:dyDescent="0.25"/>
    <row r="713" s="58" customFormat="1" x14ac:dyDescent="0.25"/>
    <row r="714" s="58" customFormat="1" x14ac:dyDescent="0.25"/>
    <row r="715" s="58" customFormat="1" x14ac:dyDescent="0.25"/>
    <row r="716" s="58" customFormat="1" x14ac:dyDescent="0.25"/>
    <row r="717" s="58" customFormat="1" x14ac:dyDescent="0.25"/>
    <row r="718" s="58" customFormat="1" x14ac:dyDescent="0.25"/>
    <row r="719" s="58" customFormat="1" x14ac:dyDescent="0.25"/>
    <row r="720" s="58" customFormat="1" x14ac:dyDescent="0.25"/>
    <row r="721" s="58" customFormat="1" x14ac:dyDescent="0.25"/>
    <row r="722" s="58" customFormat="1" x14ac:dyDescent="0.25"/>
    <row r="723" s="58" customFormat="1" x14ac:dyDescent="0.25"/>
    <row r="724" s="58" customFormat="1" x14ac:dyDescent="0.25"/>
    <row r="725" s="58" customFormat="1" x14ac:dyDescent="0.25"/>
    <row r="726" s="58" customFormat="1" x14ac:dyDescent="0.25"/>
    <row r="727" s="58" customFormat="1" x14ac:dyDescent="0.25"/>
    <row r="728" s="58" customFormat="1" x14ac:dyDescent="0.25"/>
    <row r="729" s="58" customFormat="1" x14ac:dyDescent="0.25"/>
    <row r="730" s="58" customFormat="1" x14ac:dyDescent="0.25"/>
    <row r="731" s="58" customFormat="1" x14ac:dyDescent="0.25"/>
    <row r="732" s="58" customFormat="1" x14ac:dyDescent="0.25"/>
    <row r="733" s="58" customFormat="1" x14ac:dyDescent="0.25"/>
    <row r="734" s="58" customFormat="1" x14ac:dyDescent="0.25"/>
    <row r="735" s="58" customFormat="1" x14ac:dyDescent="0.25"/>
    <row r="736" s="58" customFormat="1" x14ac:dyDescent="0.25"/>
    <row r="737" s="58" customFormat="1" x14ac:dyDescent="0.25"/>
    <row r="738" s="58" customFormat="1" x14ac:dyDescent="0.25"/>
    <row r="739" s="58" customFormat="1" x14ac:dyDescent="0.25"/>
    <row r="740" s="58" customFormat="1" x14ac:dyDescent="0.25"/>
    <row r="741" s="58" customFormat="1" x14ac:dyDescent="0.25"/>
    <row r="742" s="58" customFormat="1" x14ac:dyDescent="0.25"/>
    <row r="743" s="58" customFormat="1" x14ac:dyDescent="0.25"/>
    <row r="744" s="58" customFormat="1" x14ac:dyDescent="0.25"/>
    <row r="745" s="58" customFormat="1" x14ac:dyDescent="0.25"/>
    <row r="746" s="58" customFormat="1" x14ac:dyDescent="0.25"/>
    <row r="747" s="58" customFormat="1" x14ac:dyDescent="0.25"/>
    <row r="748" s="58" customFormat="1" x14ac:dyDescent="0.25"/>
    <row r="749" s="58" customFormat="1" x14ac:dyDescent="0.25"/>
    <row r="750" s="58" customFormat="1" x14ac:dyDescent="0.25"/>
    <row r="751" s="58" customFormat="1" x14ac:dyDescent="0.25"/>
    <row r="752" s="58" customFormat="1" x14ac:dyDescent="0.25"/>
    <row r="753" s="58" customFormat="1" x14ac:dyDescent="0.25"/>
    <row r="754" s="58" customFormat="1" x14ac:dyDescent="0.25"/>
    <row r="755" s="58" customFormat="1" x14ac:dyDescent="0.25"/>
    <row r="756" s="58" customFormat="1" x14ac:dyDescent="0.25"/>
    <row r="757" s="58" customFormat="1" x14ac:dyDescent="0.25"/>
    <row r="758" s="58" customFormat="1" x14ac:dyDescent="0.25"/>
    <row r="759" s="58" customFormat="1" x14ac:dyDescent="0.25"/>
    <row r="760" s="58" customFormat="1" x14ac:dyDescent="0.25"/>
    <row r="761" s="58" customFormat="1" x14ac:dyDescent="0.25"/>
    <row r="762" s="58" customFormat="1" x14ac:dyDescent="0.25"/>
    <row r="763" s="58" customFormat="1" x14ac:dyDescent="0.25"/>
    <row r="764" s="58" customFormat="1" x14ac:dyDescent="0.25"/>
    <row r="765" s="58" customFormat="1" x14ac:dyDescent="0.25"/>
    <row r="766" s="58" customFormat="1" x14ac:dyDescent="0.25"/>
    <row r="767" s="58" customFormat="1" x14ac:dyDescent="0.25"/>
    <row r="768" s="58" customFormat="1" x14ac:dyDescent="0.25"/>
    <row r="769" s="58" customFormat="1" x14ac:dyDescent="0.25"/>
    <row r="770" s="58" customFormat="1" x14ac:dyDescent="0.25"/>
    <row r="771" s="58" customFormat="1" x14ac:dyDescent="0.25"/>
    <row r="772" s="58" customFormat="1" x14ac:dyDescent="0.25"/>
    <row r="773" s="58" customFormat="1" x14ac:dyDescent="0.25"/>
    <row r="774" s="58" customFormat="1" x14ac:dyDescent="0.25"/>
    <row r="775" s="58" customFormat="1" x14ac:dyDescent="0.25"/>
    <row r="776" s="58" customFormat="1" x14ac:dyDescent="0.25"/>
    <row r="777" s="58" customFormat="1" x14ac:dyDescent="0.25"/>
    <row r="778" s="58" customFormat="1" x14ac:dyDescent="0.25"/>
    <row r="779" s="58" customFormat="1" x14ac:dyDescent="0.25"/>
    <row r="780" s="58" customFormat="1" x14ac:dyDescent="0.25"/>
    <row r="781" s="58" customFormat="1" x14ac:dyDescent="0.25"/>
    <row r="782" s="58" customFormat="1" x14ac:dyDescent="0.25"/>
    <row r="783" s="58" customFormat="1" x14ac:dyDescent="0.25"/>
    <row r="784" s="58" customFormat="1" x14ac:dyDescent="0.25"/>
    <row r="785" s="58" customFormat="1" x14ac:dyDescent="0.25"/>
    <row r="786" s="58" customFormat="1" x14ac:dyDescent="0.25"/>
    <row r="787" s="58" customFormat="1" x14ac:dyDescent="0.25"/>
    <row r="788" s="58" customFormat="1" x14ac:dyDescent="0.25"/>
    <row r="789" s="58" customFormat="1" x14ac:dyDescent="0.25"/>
    <row r="790" s="58" customFormat="1" x14ac:dyDescent="0.25"/>
    <row r="791" s="58" customFormat="1" x14ac:dyDescent="0.25"/>
    <row r="792" s="58" customFormat="1" x14ac:dyDescent="0.25"/>
    <row r="793" s="58" customFormat="1" x14ac:dyDescent="0.25"/>
    <row r="794" s="58" customFormat="1" x14ac:dyDescent="0.25"/>
    <row r="795" s="58" customFormat="1" x14ac:dyDescent="0.25"/>
    <row r="796" s="58" customFormat="1" x14ac:dyDescent="0.25"/>
    <row r="797" s="58" customFormat="1" x14ac:dyDescent="0.25"/>
    <row r="798" s="58" customFormat="1" x14ac:dyDescent="0.25"/>
    <row r="799" s="58" customFormat="1" x14ac:dyDescent="0.25"/>
    <row r="800" s="58" customFormat="1" x14ac:dyDescent="0.25"/>
    <row r="801" s="58" customFormat="1" x14ac:dyDescent="0.25"/>
    <row r="802" s="58" customFormat="1" x14ac:dyDescent="0.25"/>
    <row r="803" s="58" customFormat="1" x14ac:dyDescent="0.25"/>
    <row r="804" s="58" customFormat="1" x14ac:dyDescent="0.25"/>
    <row r="805" s="58" customFormat="1" x14ac:dyDescent="0.25"/>
    <row r="806" s="58" customFormat="1" x14ac:dyDescent="0.25"/>
    <row r="807" s="58" customFormat="1" x14ac:dyDescent="0.25"/>
    <row r="808" s="58" customFormat="1" x14ac:dyDescent="0.25"/>
    <row r="809" s="58" customFormat="1" x14ac:dyDescent="0.25"/>
    <row r="810" s="58" customFormat="1" x14ac:dyDescent="0.25"/>
    <row r="811" s="58" customFormat="1" x14ac:dyDescent="0.25"/>
    <row r="812" s="58" customFormat="1" x14ac:dyDescent="0.25"/>
    <row r="813" s="58" customFormat="1" x14ac:dyDescent="0.25"/>
    <row r="814" s="58" customFormat="1" x14ac:dyDescent="0.25"/>
    <row r="815" s="58" customFormat="1" x14ac:dyDescent="0.25"/>
    <row r="816" s="58" customFormat="1" x14ac:dyDescent="0.25"/>
    <row r="817" s="58" customFormat="1" x14ac:dyDescent="0.25"/>
    <row r="818" s="58" customFormat="1" x14ac:dyDescent="0.25"/>
    <row r="819" s="58" customFormat="1" x14ac:dyDescent="0.25"/>
    <row r="820" s="58" customFormat="1" x14ac:dyDescent="0.25"/>
    <row r="821" s="58" customFormat="1" x14ac:dyDescent="0.25"/>
    <row r="822" s="58" customFormat="1" x14ac:dyDescent="0.25"/>
    <row r="823" s="58" customFormat="1" x14ac:dyDescent="0.25"/>
    <row r="824" s="58" customFormat="1" x14ac:dyDescent="0.25"/>
    <row r="825" s="58" customFormat="1" x14ac:dyDescent="0.25"/>
    <row r="826" s="58" customFormat="1" x14ac:dyDescent="0.25"/>
    <row r="827" s="58" customFormat="1" x14ac:dyDescent="0.25"/>
    <row r="828" s="58" customFormat="1" x14ac:dyDescent="0.25"/>
    <row r="829" s="58" customFormat="1" x14ac:dyDescent="0.25"/>
    <row r="830" s="58" customFormat="1" x14ac:dyDescent="0.25"/>
    <row r="831" s="58" customFormat="1" x14ac:dyDescent="0.25"/>
    <row r="832" s="58" customFormat="1" x14ac:dyDescent="0.25"/>
    <row r="833" s="58" customFormat="1" x14ac:dyDescent="0.25"/>
    <row r="834" s="58" customFormat="1" x14ac:dyDescent="0.25"/>
    <row r="835" s="58" customFormat="1" x14ac:dyDescent="0.25"/>
    <row r="836" s="58" customFormat="1" x14ac:dyDescent="0.25"/>
    <row r="837" s="58" customFormat="1" x14ac:dyDescent="0.25"/>
    <row r="838" s="58" customFormat="1" x14ac:dyDescent="0.25"/>
    <row r="839" s="58" customFormat="1" x14ac:dyDescent="0.25"/>
    <row r="840" s="58" customFormat="1" x14ac:dyDescent="0.25"/>
    <row r="841" s="58" customFormat="1" x14ac:dyDescent="0.25"/>
    <row r="842" s="58" customFormat="1" x14ac:dyDescent="0.25"/>
    <row r="843" s="58" customFormat="1" x14ac:dyDescent="0.25"/>
    <row r="844" s="58" customFormat="1" x14ac:dyDescent="0.25"/>
    <row r="845" s="58" customFormat="1" x14ac:dyDescent="0.25"/>
    <row r="846" s="58" customFormat="1" x14ac:dyDescent="0.25"/>
    <row r="847" s="58" customFormat="1" x14ac:dyDescent="0.25"/>
    <row r="848" s="58" customFormat="1" x14ac:dyDescent="0.25"/>
    <row r="849" s="58" customFormat="1" x14ac:dyDescent="0.25"/>
    <row r="850" s="58" customFormat="1" x14ac:dyDescent="0.25"/>
    <row r="851" s="58" customFormat="1" x14ac:dyDescent="0.25"/>
    <row r="852" s="58" customFormat="1" x14ac:dyDescent="0.25"/>
    <row r="853" s="58" customFormat="1" x14ac:dyDescent="0.25"/>
    <row r="854" s="58" customFormat="1" x14ac:dyDescent="0.25"/>
    <row r="855" s="58" customFormat="1" x14ac:dyDescent="0.25"/>
    <row r="856" s="58" customFormat="1" x14ac:dyDescent="0.25"/>
    <row r="857" s="58" customFormat="1" x14ac:dyDescent="0.25"/>
    <row r="858" s="58" customFormat="1" x14ac:dyDescent="0.25"/>
    <row r="859" s="58" customFormat="1" x14ac:dyDescent="0.25"/>
    <row r="860" s="58" customFormat="1" x14ac:dyDescent="0.25"/>
    <row r="861" s="58" customFormat="1" x14ac:dyDescent="0.25"/>
    <row r="862" s="58" customFormat="1" x14ac:dyDescent="0.25"/>
    <row r="863" s="58" customFormat="1" x14ac:dyDescent="0.25"/>
    <row r="864" s="58" customFormat="1" x14ac:dyDescent="0.25"/>
    <row r="865" s="58" customFormat="1" x14ac:dyDescent="0.25"/>
    <row r="866" s="58" customFormat="1" x14ac:dyDescent="0.25"/>
    <row r="867" s="58" customFormat="1" x14ac:dyDescent="0.25"/>
    <row r="868" s="58" customFormat="1" x14ac:dyDescent="0.25"/>
    <row r="869" s="58" customFormat="1" x14ac:dyDescent="0.25"/>
    <row r="870" s="58" customFormat="1" x14ac:dyDescent="0.25"/>
    <row r="871" s="58" customFormat="1" x14ac:dyDescent="0.25"/>
    <row r="872" s="58" customFormat="1" x14ac:dyDescent="0.25"/>
    <row r="873" s="58" customFormat="1" x14ac:dyDescent="0.25"/>
    <row r="874" s="58" customFormat="1" x14ac:dyDescent="0.25"/>
    <row r="875" s="58" customFormat="1" x14ac:dyDescent="0.25"/>
    <row r="876" s="58" customFormat="1" x14ac:dyDescent="0.25"/>
    <row r="877" s="58" customFormat="1" x14ac:dyDescent="0.25"/>
    <row r="878" s="58" customFormat="1" x14ac:dyDescent="0.25"/>
    <row r="879" s="58" customFormat="1" x14ac:dyDescent="0.25"/>
    <row r="880" s="58" customFormat="1" x14ac:dyDescent="0.25"/>
    <row r="881" s="58" customFormat="1" x14ac:dyDescent="0.25"/>
    <row r="882" s="58" customFormat="1" x14ac:dyDescent="0.25"/>
    <row r="883" s="58" customFormat="1" x14ac:dyDescent="0.25"/>
    <row r="884" s="58" customFormat="1" x14ac:dyDescent="0.25"/>
    <row r="885" s="58" customFormat="1" x14ac:dyDescent="0.25"/>
    <row r="886" s="58" customFormat="1" x14ac:dyDescent="0.25"/>
    <row r="887" s="58" customFormat="1" x14ac:dyDescent="0.25"/>
    <row r="888" s="58" customFormat="1" x14ac:dyDescent="0.25"/>
    <row r="889" s="58" customFormat="1" x14ac:dyDescent="0.25"/>
    <row r="890" s="58" customFormat="1" x14ac:dyDescent="0.25"/>
    <row r="891" s="58" customFormat="1" x14ac:dyDescent="0.25"/>
    <row r="892" s="58" customFormat="1" x14ac:dyDescent="0.25"/>
    <row r="893" s="58" customFormat="1" x14ac:dyDescent="0.25"/>
    <row r="894" s="58" customFormat="1" x14ac:dyDescent="0.25"/>
    <row r="895" s="58" customFormat="1" x14ac:dyDescent="0.25"/>
    <row r="896" s="58" customFormat="1" x14ac:dyDescent="0.25"/>
    <row r="897" s="58" customFormat="1" x14ac:dyDescent="0.25"/>
    <row r="898" s="58" customFormat="1" x14ac:dyDescent="0.25"/>
    <row r="899" s="58" customFormat="1" x14ac:dyDescent="0.25"/>
    <row r="900" s="58" customFormat="1" x14ac:dyDescent="0.25"/>
    <row r="901" s="58" customFormat="1" x14ac:dyDescent="0.25"/>
    <row r="902" s="58" customFormat="1" x14ac:dyDescent="0.25"/>
    <row r="903" s="58" customFormat="1" x14ac:dyDescent="0.25"/>
    <row r="904" s="58" customFormat="1" x14ac:dyDescent="0.25"/>
    <row r="905" s="58" customFormat="1" x14ac:dyDescent="0.25"/>
    <row r="906" s="58" customFormat="1" x14ac:dyDescent="0.25"/>
    <row r="907" s="58" customFormat="1" x14ac:dyDescent="0.25"/>
    <row r="908" s="58" customFormat="1" x14ac:dyDescent="0.25"/>
    <row r="909" s="58" customFormat="1" x14ac:dyDescent="0.25"/>
    <row r="910" s="58" customFormat="1" x14ac:dyDescent="0.25"/>
    <row r="911" s="58" customFormat="1" x14ac:dyDescent="0.25"/>
    <row r="912" s="58" customFormat="1" x14ac:dyDescent="0.25"/>
    <row r="913" s="58" customFormat="1" x14ac:dyDescent="0.25"/>
    <row r="914" s="58" customFormat="1" x14ac:dyDescent="0.25"/>
    <row r="915" s="58" customFormat="1" x14ac:dyDescent="0.25"/>
    <row r="916" s="58" customFormat="1" x14ac:dyDescent="0.25"/>
    <row r="917" s="58" customFormat="1" x14ac:dyDescent="0.25"/>
    <row r="918" s="58" customFormat="1" x14ac:dyDescent="0.25"/>
    <row r="919" s="58" customFormat="1" x14ac:dyDescent="0.25"/>
    <row r="920" s="58" customFormat="1" x14ac:dyDescent="0.25"/>
    <row r="921" s="58" customFormat="1" x14ac:dyDescent="0.25"/>
    <row r="922" s="58" customFormat="1" x14ac:dyDescent="0.25"/>
    <row r="923" s="58" customFormat="1" x14ac:dyDescent="0.25"/>
    <row r="924" s="58" customFormat="1" x14ac:dyDescent="0.25"/>
    <row r="925" s="58" customFormat="1" x14ac:dyDescent="0.25"/>
    <row r="926" s="58" customFormat="1" x14ac:dyDescent="0.25"/>
    <row r="927" s="58" customFormat="1" x14ac:dyDescent="0.25"/>
    <row r="928" s="58" customFormat="1" x14ac:dyDescent="0.25"/>
    <row r="929" s="58" customFormat="1" x14ac:dyDescent="0.25"/>
    <row r="930" s="58" customFormat="1" x14ac:dyDescent="0.25"/>
    <row r="931" s="58" customFormat="1" x14ac:dyDescent="0.25"/>
    <row r="932" s="58" customFormat="1" x14ac:dyDescent="0.25"/>
    <row r="933" s="58" customFormat="1" x14ac:dyDescent="0.25"/>
    <row r="934" s="58" customFormat="1" x14ac:dyDescent="0.25"/>
    <row r="935" s="58" customFormat="1" x14ac:dyDescent="0.25"/>
    <row r="936" s="58" customFormat="1" x14ac:dyDescent="0.25"/>
    <row r="937" s="58" customFormat="1" x14ac:dyDescent="0.25"/>
    <row r="938" s="58" customFormat="1" x14ac:dyDescent="0.25"/>
    <row r="939" s="58" customFormat="1" x14ac:dyDescent="0.25"/>
    <row r="940" s="58" customFormat="1" x14ac:dyDescent="0.25"/>
    <row r="941" s="58" customFormat="1" x14ac:dyDescent="0.25"/>
    <row r="942" s="58" customFormat="1" x14ac:dyDescent="0.25"/>
    <row r="943" s="58" customFormat="1" x14ac:dyDescent="0.25"/>
    <row r="944" s="58" customFormat="1" x14ac:dyDescent="0.25"/>
    <row r="945" s="58" customFormat="1" x14ac:dyDescent="0.25"/>
    <row r="946" s="58" customFormat="1" x14ac:dyDescent="0.25"/>
    <row r="947" s="58" customFormat="1" x14ac:dyDescent="0.25"/>
    <row r="948" s="58" customFormat="1" x14ac:dyDescent="0.25"/>
    <row r="949" s="58" customFormat="1" x14ac:dyDescent="0.25"/>
    <row r="950" s="58" customFormat="1" x14ac:dyDescent="0.25"/>
    <row r="951" s="58" customFormat="1" x14ac:dyDescent="0.25"/>
    <row r="952" s="58" customFormat="1" x14ac:dyDescent="0.25"/>
    <row r="953" s="58" customFormat="1" x14ac:dyDescent="0.25"/>
    <row r="954" s="58" customFormat="1" x14ac:dyDescent="0.25"/>
    <row r="955" s="58" customFormat="1" x14ac:dyDescent="0.25"/>
    <row r="956" s="58" customFormat="1" x14ac:dyDescent="0.25"/>
    <row r="957" s="58" customFormat="1" x14ac:dyDescent="0.25"/>
    <row r="958" s="58" customFormat="1" x14ac:dyDescent="0.25"/>
    <row r="959" s="58" customFormat="1" x14ac:dyDescent="0.25"/>
    <row r="960" s="58" customFormat="1" x14ac:dyDescent="0.25"/>
    <row r="961" s="58" customFormat="1" x14ac:dyDescent="0.25"/>
    <row r="962" s="58" customFormat="1" x14ac:dyDescent="0.25"/>
    <row r="963" s="58" customFormat="1" x14ac:dyDescent="0.25"/>
    <row r="964" s="58" customFormat="1" x14ac:dyDescent="0.25"/>
    <row r="965" s="58" customFormat="1" x14ac:dyDescent="0.25"/>
    <row r="966" s="58" customFormat="1" x14ac:dyDescent="0.25"/>
    <row r="967" s="58" customFormat="1" x14ac:dyDescent="0.25"/>
    <row r="968" s="58" customFormat="1" x14ac:dyDescent="0.25"/>
    <row r="969" s="58" customFormat="1" x14ac:dyDescent="0.25"/>
    <row r="970" s="58" customFormat="1" x14ac:dyDescent="0.25"/>
    <row r="971" s="58" customFormat="1" x14ac:dyDescent="0.25"/>
    <row r="972" s="58" customFormat="1" x14ac:dyDescent="0.25"/>
    <row r="973" s="58" customFormat="1" x14ac:dyDescent="0.25"/>
    <row r="974" s="58" customFormat="1" x14ac:dyDescent="0.25"/>
    <row r="975" s="58" customFormat="1" x14ac:dyDescent="0.25"/>
    <row r="976" s="58" customFormat="1" x14ac:dyDescent="0.25"/>
    <row r="977" s="58" customFormat="1" x14ac:dyDescent="0.25"/>
    <row r="978" s="58" customFormat="1" x14ac:dyDescent="0.25"/>
    <row r="979" s="58" customFormat="1" x14ac:dyDescent="0.25"/>
    <row r="980" s="58" customFormat="1" x14ac:dyDescent="0.25"/>
    <row r="981" s="58" customFormat="1" x14ac:dyDescent="0.25"/>
    <row r="982" s="58" customFormat="1" x14ac:dyDescent="0.25"/>
    <row r="983" s="58" customFormat="1" x14ac:dyDescent="0.25"/>
    <row r="984" s="58" customFormat="1" x14ac:dyDescent="0.25"/>
    <row r="985" s="58" customFormat="1" x14ac:dyDescent="0.25"/>
    <row r="986" s="58" customFormat="1" x14ac:dyDescent="0.25"/>
    <row r="987" s="58" customFormat="1" x14ac:dyDescent="0.25"/>
    <row r="988" s="58" customFormat="1" x14ac:dyDescent="0.25"/>
    <row r="989" s="58" customFormat="1" x14ac:dyDescent="0.25"/>
  </sheetData>
  <sheetProtection password="D24D" sheet="1" objects="1" scenarios="1"/>
  <mergeCells count="14">
    <mergeCell ref="C2:F2"/>
    <mergeCell ref="C6:F6"/>
    <mergeCell ref="C7:F7"/>
    <mergeCell ref="C8:F8"/>
    <mergeCell ref="C9:F9"/>
    <mergeCell ref="C5:F5"/>
    <mergeCell ref="C3:F3"/>
    <mergeCell ref="C4:F4"/>
    <mergeCell ref="I28:L29"/>
    <mergeCell ref="B15:B16"/>
    <mergeCell ref="B13:B14"/>
    <mergeCell ref="B11:F11"/>
    <mergeCell ref="C28:F29"/>
    <mergeCell ref="C18:F19"/>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38"/>
  <sheetViews>
    <sheetView workbookViewId="0"/>
  </sheetViews>
  <sheetFormatPr defaultRowHeight="15" x14ac:dyDescent="0.25"/>
  <sheetData>
    <row r="1" spans="1:6" x14ac:dyDescent="0.25">
      <c r="A1">
        <v>2016.3</v>
      </c>
    </row>
    <row r="2" spans="1:6" x14ac:dyDescent="0.25">
      <c r="B2" s="908" t="s">
        <v>1</v>
      </c>
    </row>
    <row r="3" spans="1:6" x14ac:dyDescent="0.25">
      <c r="B3" s="908" t="s">
        <v>3</v>
      </c>
    </row>
    <row r="4" spans="1:6" x14ac:dyDescent="0.25">
      <c r="B4" s="908" t="s">
        <v>18</v>
      </c>
    </row>
    <row r="5" spans="1:6" x14ac:dyDescent="0.25">
      <c r="B5" s="908" t="s">
        <v>19</v>
      </c>
      <c r="C5" s="908"/>
    </row>
    <row r="6" spans="1:6" x14ac:dyDescent="0.25">
      <c r="B6" s="908" t="s">
        <v>20</v>
      </c>
    </row>
    <row r="7" spans="1:6" x14ac:dyDescent="0.25">
      <c r="B7" s="908" t="s">
        <v>2</v>
      </c>
    </row>
    <row r="8" spans="1:6" x14ac:dyDescent="0.25">
      <c r="B8" s="908" t="s">
        <v>22</v>
      </c>
      <c r="C8" s="908"/>
    </row>
    <row r="9" spans="1:6" x14ac:dyDescent="0.25">
      <c r="B9" s="908" t="s">
        <v>180</v>
      </c>
      <c r="C9" s="908"/>
    </row>
    <row r="11" spans="1:6" x14ac:dyDescent="0.25">
      <c r="B11" s="908" t="s">
        <v>7</v>
      </c>
    </row>
    <row r="13" spans="1:6" ht="75" x14ac:dyDescent="0.25">
      <c r="B13" s="283" t="s">
        <v>16</v>
      </c>
      <c r="C13" s="283" t="s">
        <v>10</v>
      </c>
      <c r="D13" s="283" t="s">
        <v>11</v>
      </c>
      <c r="E13" s="283" t="s">
        <v>15</v>
      </c>
      <c r="F13" s="283" t="s">
        <v>12</v>
      </c>
    </row>
    <row r="15" spans="1:6" ht="60" x14ac:dyDescent="0.25">
      <c r="B15" s="283" t="s">
        <v>14</v>
      </c>
      <c r="C15" s="283" t="s">
        <v>10</v>
      </c>
      <c r="D15" s="283" t="s">
        <v>11</v>
      </c>
      <c r="E15" s="283" t="s">
        <v>15</v>
      </c>
      <c r="F15" s="283" t="s">
        <v>12</v>
      </c>
    </row>
    <row r="16" spans="1:6" x14ac:dyDescent="0.25">
      <c r="C16">
        <v>0</v>
      </c>
      <c r="E16">
        <v>0</v>
      </c>
      <c r="F16">
        <v>0</v>
      </c>
    </row>
    <row r="18" spans="2:12" x14ac:dyDescent="0.25">
      <c r="C18" s="908" t="s">
        <v>251</v>
      </c>
    </row>
    <row r="20" spans="2:12" ht="45" x14ac:dyDescent="0.25">
      <c r="C20" s="283" t="s">
        <v>9</v>
      </c>
      <c r="D20" s="283" t="s">
        <v>8</v>
      </c>
      <c r="E20" s="283" t="s">
        <v>15</v>
      </c>
      <c r="F20" s="283" t="s">
        <v>12</v>
      </c>
    </row>
    <row r="21" spans="2:12" x14ac:dyDescent="0.25">
      <c r="B21" s="908" t="s">
        <v>250</v>
      </c>
    </row>
    <row r="22" spans="2:12" x14ac:dyDescent="0.25">
      <c r="B22" s="908" t="s">
        <v>248</v>
      </c>
    </row>
    <row r="23" spans="2:12" x14ac:dyDescent="0.25">
      <c r="B23" s="908" t="s">
        <v>249</v>
      </c>
    </row>
    <row r="24" spans="2:12" x14ac:dyDescent="0.25">
      <c r="B24" s="908" t="s">
        <v>257</v>
      </c>
    </row>
    <row r="25" spans="2:12" x14ac:dyDescent="0.25">
      <c r="B25" s="908" t="s">
        <v>258</v>
      </c>
    </row>
    <row r="26" spans="2:12" x14ac:dyDescent="0.25">
      <c r="B26" s="908" t="s">
        <v>259</v>
      </c>
    </row>
    <row r="28" spans="2:12" x14ac:dyDescent="0.25">
      <c r="C28" s="908" t="s">
        <v>13</v>
      </c>
      <c r="I28" s="908" t="s">
        <v>13</v>
      </c>
    </row>
    <row r="30" spans="2:12" ht="45" x14ac:dyDescent="0.25">
      <c r="C30" s="283" t="s">
        <v>9</v>
      </c>
      <c r="D30" s="283" t="s">
        <v>8</v>
      </c>
      <c r="E30" s="283" t="s">
        <v>15</v>
      </c>
      <c r="F30" s="283" t="s">
        <v>12</v>
      </c>
      <c r="I30" s="283" t="s">
        <v>9</v>
      </c>
      <c r="J30" s="283" t="s">
        <v>8</v>
      </c>
      <c r="K30" s="283" t="s">
        <v>15</v>
      </c>
      <c r="L30" s="283" t="s">
        <v>12</v>
      </c>
    </row>
    <row r="31" spans="2:12" x14ac:dyDescent="0.25">
      <c r="B31" s="908" t="s">
        <v>250</v>
      </c>
      <c r="C31">
        <v>0</v>
      </c>
      <c r="E31">
        <v>0</v>
      </c>
      <c r="F31">
        <v>0</v>
      </c>
      <c r="H31" s="908" t="s">
        <v>539</v>
      </c>
      <c r="I31">
        <v>0</v>
      </c>
      <c r="K31">
        <v>0</v>
      </c>
      <c r="L31">
        <v>0</v>
      </c>
    </row>
    <row r="32" spans="2:12" x14ac:dyDescent="0.25">
      <c r="B32" s="908" t="s">
        <v>248</v>
      </c>
      <c r="C32">
        <v>0</v>
      </c>
      <c r="E32">
        <v>0</v>
      </c>
      <c r="F32">
        <v>0</v>
      </c>
      <c r="H32" s="908" t="s">
        <v>538</v>
      </c>
      <c r="I32">
        <v>0</v>
      </c>
      <c r="K32">
        <v>0</v>
      </c>
      <c r="L32">
        <v>0</v>
      </c>
    </row>
    <row r="33" spans="2:12" x14ac:dyDescent="0.25">
      <c r="B33" s="908" t="s">
        <v>249</v>
      </c>
      <c r="C33">
        <v>0</v>
      </c>
      <c r="E33">
        <v>0</v>
      </c>
      <c r="F33">
        <v>0</v>
      </c>
      <c r="H33" s="908" t="s">
        <v>308</v>
      </c>
      <c r="I33">
        <v>0</v>
      </c>
      <c r="K33">
        <v>0</v>
      </c>
      <c r="L33">
        <v>0</v>
      </c>
    </row>
    <row r="34" spans="2:12" x14ac:dyDescent="0.25">
      <c r="B34" s="908" t="s">
        <v>257</v>
      </c>
      <c r="C34">
        <v>0</v>
      </c>
      <c r="E34">
        <v>0</v>
      </c>
      <c r="F34">
        <v>0</v>
      </c>
    </row>
    <row r="35" spans="2:12" x14ac:dyDescent="0.25">
      <c r="B35" s="908" t="s">
        <v>258</v>
      </c>
      <c r="C35">
        <v>0</v>
      </c>
      <c r="E35">
        <v>0</v>
      </c>
      <c r="F35">
        <v>0</v>
      </c>
    </row>
    <row r="36" spans="2:12" x14ac:dyDescent="0.25">
      <c r="B36" s="908" t="s">
        <v>259</v>
      </c>
      <c r="C36">
        <v>0</v>
      </c>
      <c r="E36">
        <v>0</v>
      </c>
      <c r="F36">
        <v>0</v>
      </c>
    </row>
    <row r="38" spans="2:12" x14ac:dyDescent="0.25">
      <c r="B38" s="908" t="s">
        <v>21</v>
      </c>
      <c r="C38">
        <v>2016.3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4:AG32"/>
  <sheetViews>
    <sheetView workbookViewId="0"/>
  </sheetViews>
  <sheetFormatPr defaultRowHeight="15" x14ac:dyDescent="0.25"/>
  <sheetData>
    <row r="4" spans="2:33" x14ac:dyDescent="0.25">
      <c r="B4" s="283"/>
      <c r="AA4" s="283"/>
      <c r="AB4" s="283"/>
      <c r="AC4" s="283"/>
    </row>
    <row r="5" spans="2:33" x14ac:dyDescent="0.25">
      <c r="AC5" s="448"/>
    </row>
    <row r="7" spans="2:33" ht="60" x14ac:dyDescent="0.25">
      <c r="C7" s="283" t="s">
        <v>281</v>
      </c>
      <c r="D7" s="283" t="s">
        <v>35</v>
      </c>
      <c r="E7" s="908" t="s">
        <v>38</v>
      </c>
      <c r="W7" s="908" t="s">
        <v>282</v>
      </c>
      <c r="Z7" s="283"/>
      <c r="AA7" s="283"/>
      <c r="AB7" s="283"/>
      <c r="AC7" s="283"/>
      <c r="AD7" s="283"/>
      <c r="AE7" s="283"/>
      <c r="AF7" s="283"/>
      <c r="AG7" s="283"/>
    </row>
    <row r="8" spans="2:33" ht="165" x14ac:dyDescent="0.25">
      <c r="E8" s="283" t="s">
        <v>39</v>
      </c>
      <c r="F8" s="283" t="s">
        <v>548</v>
      </c>
      <c r="G8" s="283" t="s">
        <v>49</v>
      </c>
      <c r="H8" s="283" t="s">
        <v>42</v>
      </c>
      <c r="I8" s="283" t="s">
        <v>137</v>
      </c>
      <c r="J8" s="283" t="s">
        <v>75</v>
      </c>
      <c r="K8" s="283" t="s">
        <v>532</v>
      </c>
      <c r="L8" s="283" t="s">
        <v>285</v>
      </c>
      <c r="M8" s="283" t="s">
        <v>569</v>
      </c>
      <c r="N8" s="283" t="s">
        <v>571</v>
      </c>
      <c r="O8" s="283" t="s">
        <v>568</v>
      </c>
      <c r="P8" s="283" t="s">
        <v>570</v>
      </c>
      <c r="Q8" s="283" t="s">
        <v>40</v>
      </c>
      <c r="R8" s="283" t="s">
        <v>622</v>
      </c>
      <c r="S8" s="283" t="s">
        <v>689</v>
      </c>
      <c r="T8" s="283" t="s">
        <v>586</v>
      </c>
      <c r="U8" s="283" t="s">
        <v>623</v>
      </c>
      <c r="V8" s="283" t="s">
        <v>587</v>
      </c>
      <c r="W8" s="283" t="s">
        <v>39</v>
      </c>
      <c r="X8" s="283" t="s">
        <v>291</v>
      </c>
      <c r="Y8" s="283" t="s">
        <v>548</v>
      </c>
      <c r="Z8" s="283" t="s">
        <v>49</v>
      </c>
      <c r="AA8" s="283" t="s">
        <v>75</v>
      </c>
      <c r="AB8" s="283" t="s">
        <v>532</v>
      </c>
      <c r="AC8" s="283" t="s">
        <v>285</v>
      </c>
      <c r="AD8" s="283" t="s">
        <v>569</v>
      </c>
      <c r="AE8" s="283" t="s">
        <v>473</v>
      </c>
      <c r="AF8" s="283" t="s">
        <v>557</v>
      </c>
      <c r="AG8" s="283" t="s">
        <v>474</v>
      </c>
    </row>
    <row r="9" spans="2:33" ht="45" x14ac:dyDescent="0.25">
      <c r="H9" s="283"/>
      <c r="I9" s="283"/>
      <c r="J9" s="283" t="s">
        <v>76</v>
      </c>
      <c r="K9" s="283" t="s">
        <v>531</v>
      </c>
      <c r="L9" s="283" t="s">
        <v>284</v>
      </c>
      <c r="M9" s="283"/>
      <c r="R9" s="283"/>
      <c r="S9" s="283"/>
      <c r="T9" s="283"/>
      <c r="U9" s="283"/>
      <c r="V9" s="283"/>
      <c r="W9" s="283"/>
      <c r="X9" s="283"/>
      <c r="Y9" s="283"/>
      <c r="Z9" s="283"/>
      <c r="AA9" s="283" t="s">
        <v>76</v>
      </c>
      <c r="AB9" s="283" t="s">
        <v>531</v>
      </c>
      <c r="AC9" s="283" t="s">
        <v>284</v>
      </c>
      <c r="AD9" s="283"/>
      <c r="AE9" s="283"/>
      <c r="AF9" s="283"/>
      <c r="AG9" s="283"/>
    </row>
    <row r="10" spans="2:33" x14ac:dyDescent="0.25">
      <c r="B10">
        <v>1</v>
      </c>
      <c r="C10" s="908"/>
      <c r="D10" s="908"/>
      <c r="AC10" s="448"/>
      <c r="AD10" s="448"/>
      <c r="AE10">
        <v>0</v>
      </c>
      <c r="AF10">
        <v>0</v>
      </c>
      <c r="AG10" s="448">
        <v>0</v>
      </c>
    </row>
    <row r="11" spans="2:33" x14ac:dyDescent="0.25">
      <c r="B11">
        <v>2</v>
      </c>
      <c r="C11" s="908"/>
      <c r="D11" s="908"/>
      <c r="AC11" s="448"/>
      <c r="AD11" s="448"/>
      <c r="AE11">
        <v>0</v>
      </c>
      <c r="AF11">
        <v>0</v>
      </c>
      <c r="AG11" s="448">
        <v>0</v>
      </c>
    </row>
    <row r="12" spans="2:33" x14ac:dyDescent="0.25">
      <c r="B12">
        <v>3</v>
      </c>
      <c r="C12" s="908"/>
      <c r="D12" s="908"/>
      <c r="AC12" s="448"/>
      <c r="AD12" s="448"/>
      <c r="AE12">
        <v>0</v>
      </c>
      <c r="AF12">
        <v>0</v>
      </c>
      <c r="AG12" s="448">
        <v>0</v>
      </c>
    </row>
    <row r="13" spans="2:33" x14ac:dyDescent="0.25">
      <c r="B13">
        <v>4</v>
      </c>
      <c r="C13" s="908"/>
      <c r="D13" s="908"/>
      <c r="AC13" s="448"/>
      <c r="AD13" s="448"/>
      <c r="AE13">
        <v>0</v>
      </c>
      <c r="AF13">
        <v>0</v>
      </c>
      <c r="AG13" s="448">
        <v>0</v>
      </c>
    </row>
    <row r="14" spans="2:33" x14ac:dyDescent="0.25">
      <c r="B14">
        <v>5</v>
      </c>
      <c r="C14" s="908"/>
      <c r="D14" s="908"/>
      <c r="AC14" s="448"/>
      <c r="AD14" s="448"/>
      <c r="AE14">
        <v>0</v>
      </c>
      <c r="AF14">
        <v>0</v>
      </c>
      <c r="AG14" s="448">
        <v>0</v>
      </c>
    </row>
    <row r="15" spans="2:33" x14ac:dyDescent="0.25">
      <c r="B15">
        <v>6</v>
      </c>
      <c r="C15" s="908"/>
      <c r="D15" s="908"/>
      <c r="AC15" s="448"/>
      <c r="AD15" s="448"/>
      <c r="AE15">
        <v>0</v>
      </c>
      <c r="AF15">
        <v>0</v>
      </c>
      <c r="AG15" s="448">
        <v>0</v>
      </c>
    </row>
    <row r="16" spans="2:33" x14ac:dyDescent="0.25">
      <c r="B16">
        <v>7</v>
      </c>
      <c r="C16" s="908"/>
      <c r="D16" s="908"/>
      <c r="AC16" s="448"/>
      <c r="AD16" s="448"/>
      <c r="AE16">
        <v>0</v>
      </c>
      <c r="AF16">
        <v>0</v>
      </c>
      <c r="AG16" s="448">
        <v>0</v>
      </c>
    </row>
    <row r="17" spans="2:33" x14ac:dyDescent="0.25">
      <c r="B17">
        <v>8</v>
      </c>
      <c r="C17" s="908"/>
      <c r="D17" s="908"/>
      <c r="AC17" s="448"/>
      <c r="AD17" s="448"/>
      <c r="AE17">
        <v>0</v>
      </c>
      <c r="AF17">
        <v>0</v>
      </c>
      <c r="AG17" s="448">
        <v>0</v>
      </c>
    </row>
    <row r="18" spans="2:33" x14ac:dyDescent="0.25">
      <c r="B18">
        <v>9</v>
      </c>
      <c r="C18" s="908"/>
      <c r="D18" s="908"/>
      <c r="AC18" s="448"/>
      <c r="AD18" s="448"/>
      <c r="AE18">
        <v>0</v>
      </c>
      <c r="AF18">
        <v>0</v>
      </c>
      <c r="AG18" s="448">
        <v>0</v>
      </c>
    </row>
    <row r="19" spans="2:33" x14ac:dyDescent="0.25">
      <c r="B19">
        <v>10</v>
      </c>
      <c r="C19" s="908"/>
      <c r="D19" s="908"/>
      <c r="AC19" s="448"/>
      <c r="AD19" s="448"/>
      <c r="AE19">
        <v>0</v>
      </c>
      <c r="AF19">
        <v>0</v>
      </c>
      <c r="AG19" s="448">
        <v>0</v>
      </c>
    </row>
    <row r="20" spans="2:33" x14ac:dyDescent="0.25">
      <c r="B20">
        <v>11</v>
      </c>
      <c r="C20" s="908"/>
      <c r="D20" s="908"/>
      <c r="AC20" s="448"/>
      <c r="AD20" s="448"/>
      <c r="AE20">
        <v>0</v>
      </c>
      <c r="AF20">
        <v>0</v>
      </c>
      <c r="AG20" s="448">
        <v>0</v>
      </c>
    </row>
    <row r="21" spans="2:33" x14ac:dyDescent="0.25">
      <c r="B21">
        <v>12</v>
      </c>
      <c r="C21" s="908"/>
      <c r="D21" s="908"/>
      <c r="AC21" s="448"/>
      <c r="AD21" s="448"/>
      <c r="AE21">
        <v>0</v>
      </c>
      <c r="AF21">
        <v>0</v>
      </c>
      <c r="AG21" s="448">
        <v>0</v>
      </c>
    </row>
    <row r="22" spans="2:33" x14ac:dyDescent="0.25">
      <c r="B22">
        <v>13</v>
      </c>
      <c r="C22" s="908"/>
      <c r="D22" s="908"/>
      <c r="AC22" s="448"/>
      <c r="AD22" s="448"/>
      <c r="AE22">
        <v>0</v>
      </c>
      <c r="AF22">
        <v>0</v>
      </c>
      <c r="AG22" s="448">
        <v>0</v>
      </c>
    </row>
    <row r="23" spans="2:33" x14ac:dyDescent="0.25">
      <c r="B23">
        <v>14</v>
      </c>
      <c r="C23" s="908"/>
      <c r="D23" s="908"/>
      <c r="AC23" s="448"/>
      <c r="AD23" s="448"/>
      <c r="AE23">
        <v>0</v>
      </c>
      <c r="AF23">
        <v>0</v>
      </c>
      <c r="AG23" s="448">
        <v>0</v>
      </c>
    </row>
    <row r="24" spans="2:33" x14ac:dyDescent="0.25">
      <c r="B24">
        <v>15</v>
      </c>
      <c r="C24" s="908"/>
      <c r="D24" s="908"/>
      <c r="AC24" s="448"/>
      <c r="AD24" s="448"/>
      <c r="AE24">
        <v>0</v>
      </c>
      <c r="AF24">
        <v>0</v>
      </c>
      <c r="AG24" s="448">
        <v>0</v>
      </c>
    </row>
    <row r="25" spans="2:33" x14ac:dyDescent="0.25">
      <c r="B25">
        <v>16</v>
      </c>
      <c r="C25" s="908"/>
      <c r="D25" s="908"/>
      <c r="AC25" s="448"/>
      <c r="AD25" s="448"/>
      <c r="AE25">
        <v>0</v>
      </c>
      <c r="AF25">
        <v>0</v>
      </c>
      <c r="AG25" s="448">
        <v>0</v>
      </c>
    </row>
    <row r="26" spans="2:33" x14ac:dyDescent="0.25">
      <c r="B26">
        <v>17</v>
      </c>
      <c r="C26" s="908"/>
      <c r="D26" s="908"/>
      <c r="AC26" s="448"/>
      <c r="AD26" s="448"/>
      <c r="AE26">
        <v>0</v>
      </c>
      <c r="AF26">
        <v>0</v>
      </c>
      <c r="AG26" s="448">
        <v>0</v>
      </c>
    </row>
    <row r="27" spans="2:33" x14ac:dyDescent="0.25">
      <c r="B27">
        <v>18</v>
      </c>
      <c r="C27" s="908"/>
      <c r="D27" s="908"/>
      <c r="AC27" s="448"/>
      <c r="AD27" s="448"/>
      <c r="AE27">
        <v>0</v>
      </c>
      <c r="AF27">
        <v>0</v>
      </c>
      <c r="AG27" s="448">
        <v>0</v>
      </c>
    </row>
    <row r="28" spans="2:33" x14ac:dyDescent="0.25">
      <c r="B28">
        <v>19</v>
      </c>
      <c r="C28" s="908"/>
      <c r="D28" s="908"/>
      <c r="AC28" s="448"/>
      <c r="AD28" s="448"/>
      <c r="AE28">
        <v>0</v>
      </c>
      <c r="AF28">
        <v>0</v>
      </c>
      <c r="AG28" s="448">
        <v>0</v>
      </c>
    </row>
    <row r="29" spans="2:33" x14ac:dyDescent="0.25">
      <c r="B29">
        <v>20</v>
      </c>
      <c r="C29" s="908"/>
      <c r="D29" s="908"/>
      <c r="AC29" s="448"/>
      <c r="AD29" s="448"/>
      <c r="AE29">
        <v>0</v>
      </c>
      <c r="AF29">
        <v>0</v>
      </c>
      <c r="AG29" s="448">
        <v>0</v>
      </c>
    </row>
    <row r="30" spans="2:33" x14ac:dyDescent="0.25">
      <c r="B30">
        <v>21</v>
      </c>
      <c r="C30" s="908"/>
      <c r="D30" s="908"/>
      <c r="AE30">
        <v>0</v>
      </c>
      <c r="AF30">
        <v>0</v>
      </c>
      <c r="AG30" s="448">
        <v>0</v>
      </c>
    </row>
    <row r="31" spans="2:33" x14ac:dyDescent="0.25">
      <c r="B31">
        <v>22</v>
      </c>
      <c r="C31" s="908"/>
      <c r="D31" s="908"/>
      <c r="AC31" s="448"/>
      <c r="AD31" s="448"/>
      <c r="AE31">
        <v>0</v>
      </c>
      <c r="AF31">
        <v>0</v>
      </c>
      <c r="AG31" s="448">
        <v>0</v>
      </c>
    </row>
    <row r="32" spans="2:33" x14ac:dyDescent="0.25">
      <c r="B32">
        <v>23</v>
      </c>
      <c r="C32" s="908"/>
      <c r="D32" s="908"/>
      <c r="AE32">
        <v>0</v>
      </c>
      <c r="AF32">
        <v>0</v>
      </c>
      <c r="AG32" s="448">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41"/>
  <sheetViews>
    <sheetView zoomScaleNormal="100" workbookViewId="0"/>
  </sheetViews>
  <sheetFormatPr defaultColWidth="9.140625" defaultRowHeight="14.25" x14ac:dyDescent="0.25"/>
  <cols>
    <col min="1" max="1" width="2.7109375" style="4" customWidth="1"/>
    <col min="2" max="2" width="137.140625" style="4" customWidth="1"/>
    <col min="3" max="16384" width="9.140625" style="4"/>
  </cols>
  <sheetData>
    <row r="1" spans="1:8" ht="9.9499999999999993" customHeight="1" thickBot="1" x14ac:dyDescent="0.3">
      <c r="A1" s="15"/>
      <c r="B1" s="15"/>
      <c r="C1" s="15"/>
      <c r="D1" s="15"/>
      <c r="E1" s="15"/>
      <c r="F1" s="15"/>
      <c r="G1" s="15"/>
      <c r="H1" s="15"/>
    </row>
    <row r="2" spans="1:8" ht="30" customHeight="1" x14ac:dyDescent="0.25">
      <c r="A2" s="15"/>
      <c r="B2" s="41" t="s">
        <v>283</v>
      </c>
      <c r="C2" s="384"/>
      <c r="D2" s="15"/>
      <c r="E2" s="15"/>
      <c r="F2" s="15"/>
      <c r="G2" s="15"/>
      <c r="H2" s="15"/>
    </row>
    <row r="3" spans="1:8" ht="9.9499999999999993" customHeight="1" x14ac:dyDescent="0.25">
      <c r="A3" s="15"/>
      <c r="B3" s="43"/>
      <c r="C3" s="384"/>
      <c r="D3" s="15"/>
      <c r="E3" s="15"/>
      <c r="F3" s="15"/>
      <c r="G3" s="15"/>
      <c r="H3" s="15"/>
    </row>
    <row r="4" spans="1:8" ht="20.100000000000001" customHeight="1" x14ac:dyDescent="0.25">
      <c r="A4" s="15"/>
      <c r="B4" s="42" t="s">
        <v>0</v>
      </c>
      <c r="C4" s="385"/>
      <c r="D4" s="15"/>
      <c r="E4" s="15"/>
      <c r="F4" s="15"/>
      <c r="G4" s="15"/>
      <c r="H4" s="15"/>
    </row>
    <row r="5" spans="1:8" ht="9.9499999999999993" customHeight="1" x14ac:dyDescent="0.25">
      <c r="A5" s="15"/>
      <c r="B5" s="43"/>
      <c r="C5" s="385"/>
      <c r="D5" s="15"/>
      <c r="E5" s="15"/>
      <c r="F5" s="15"/>
      <c r="G5" s="15"/>
      <c r="H5" s="15"/>
    </row>
    <row r="6" spans="1:8" ht="20.100000000000001" customHeight="1" x14ac:dyDescent="0.25">
      <c r="A6" s="15"/>
      <c r="B6" s="241" t="s">
        <v>252</v>
      </c>
      <c r="C6" s="385"/>
      <c r="D6" s="15"/>
      <c r="E6" s="15"/>
      <c r="F6" s="15"/>
      <c r="G6" s="15"/>
      <c r="H6" s="15"/>
    </row>
    <row r="7" spans="1:8" ht="9.9499999999999993" customHeight="1" x14ac:dyDescent="0.25">
      <c r="A7" s="15"/>
      <c r="B7" s="386"/>
      <c r="C7" s="385"/>
      <c r="D7" s="15"/>
      <c r="E7" s="15"/>
      <c r="F7" s="15"/>
      <c r="G7" s="15"/>
      <c r="H7" s="15"/>
    </row>
    <row r="8" spans="1:8" ht="20.100000000000001" customHeight="1" x14ac:dyDescent="0.25">
      <c r="A8" s="15"/>
      <c r="B8" s="42" t="s">
        <v>253</v>
      </c>
      <c r="C8" s="385"/>
      <c r="D8" s="15"/>
      <c r="E8" s="15"/>
      <c r="F8" s="15"/>
      <c r="G8" s="15"/>
      <c r="H8" s="15"/>
    </row>
    <row r="9" spans="1:8" ht="30" customHeight="1" x14ac:dyDescent="0.25">
      <c r="A9" s="15"/>
      <c r="B9" s="44" t="s">
        <v>286</v>
      </c>
      <c r="C9" s="385"/>
      <c r="D9" s="15"/>
      <c r="E9" s="15"/>
      <c r="F9" s="15"/>
      <c r="G9" s="15"/>
      <c r="H9" s="15"/>
    </row>
    <row r="10" spans="1:8" ht="9.9499999999999993" customHeight="1" x14ac:dyDescent="0.25">
      <c r="A10" s="15"/>
      <c r="B10" s="387"/>
      <c r="C10" s="15"/>
      <c r="D10" s="15"/>
      <c r="E10" s="15"/>
      <c r="F10" s="15"/>
      <c r="G10" s="15"/>
      <c r="H10" s="15"/>
    </row>
    <row r="11" spans="1:8" ht="20.100000000000001" customHeight="1" x14ac:dyDescent="0.25">
      <c r="A11" s="15"/>
      <c r="B11" s="42" t="s">
        <v>254</v>
      </c>
      <c r="C11" s="385"/>
      <c r="D11" s="15"/>
      <c r="E11" s="15"/>
      <c r="F11" s="15"/>
      <c r="G11" s="15"/>
      <c r="H11" s="15"/>
    </row>
    <row r="12" spans="1:8" ht="105" customHeight="1" x14ac:dyDescent="0.25">
      <c r="A12" s="15"/>
      <c r="B12" s="44" t="s">
        <v>287</v>
      </c>
      <c r="C12" s="385"/>
      <c r="D12" s="15"/>
      <c r="E12" s="15"/>
      <c r="F12" s="15"/>
      <c r="G12" s="15"/>
      <c r="H12" s="15"/>
    </row>
    <row r="13" spans="1:8" x14ac:dyDescent="0.25">
      <c r="A13" s="15"/>
      <c r="B13" s="388"/>
      <c r="C13" s="385"/>
      <c r="D13" s="15"/>
      <c r="E13" s="15"/>
      <c r="F13" s="15"/>
      <c r="G13" s="15"/>
      <c r="H13" s="15"/>
    </row>
    <row r="14" spans="1:8" ht="20.100000000000001" customHeight="1" x14ac:dyDescent="0.25">
      <c r="A14" s="15"/>
      <c r="B14" s="42" t="s">
        <v>255</v>
      </c>
      <c r="C14" s="15"/>
      <c r="D14" s="15"/>
      <c r="E14" s="15"/>
      <c r="F14" s="15"/>
      <c r="G14" s="15"/>
      <c r="H14" s="15"/>
    </row>
    <row r="15" spans="1:8" ht="30" customHeight="1" x14ac:dyDescent="0.25">
      <c r="A15" s="15"/>
      <c r="B15" s="44" t="s">
        <v>256</v>
      </c>
      <c r="C15" s="15"/>
      <c r="D15" s="15"/>
      <c r="E15" s="15"/>
      <c r="F15" s="15"/>
      <c r="G15" s="15"/>
      <c r="H15" s="15"/>
    </row>
    <row r="16" spans="1:8" ht="9.9499999999999993" customHeight="1" thickBot="1" x14ac:dyDescent="0.3">
      <c r="A16" s="15"/>
      <c r="B16" s="382"/>
      <c r="C16" s="15"/>
      <c r="D16" s="15"/>
      <c r="E16" s="15"/>
      <c r="F16" s="15"/>
      <c r="G16" s="15"/>
      <c r="H16" s="15"/>
    </row>
    <row r="17" spans="1:9" x14ac:dyDescent="0.25">
      <c r="A17" s="15"/>
      <c r="B17" s="15"/>
      <c r="C17" s="15"/>
      <c r="D17" s="15"/>
      <c r="E17" s="15"/>
      <c r="F17" s="15"/>
      <c r="G17" s="15"/>
      <c r="H17" s="15"/>
    </row>
    <row r="18" spans="1:9" ht="12.75" customHeight="1" x14ac:dyDescent="0.25">
      <c r="A18" s="15"/>
      <c r="B18" s="389"/>
      <c r="C18" s="383"/>
      <c r="D18" s="383"/>
      <c r="E18" s="383"/>
      <c r="F18" s="383"/>
      <c r="G18" s="383"/>
      <c r="H18" s="383"/>
      <c r="I18" s="383"/>
    </row>
    <row r="19" spans="1:9" x14ac:dyDescent="0.25">
      <c r="A19" s="15"/>
      <c r="B19" s="383"/>
      <c r="C19" s="383"/>
      <c r="D19" s="383"/>
      <c r="E19" s="383"/>
      <c r="F19" s="383"/>
      <c r="G19" s="383"/>
      <c r="H19" s="383"/>
      <c r="I19" s="383"/>
    </row>
    <row r="20" spans="1:9" ht="15" x14ac:dyDescent="0.25">
      <c r="A20" s="15"/>
      <c r="B20" s="45"/>
      <c r="C20" s="15"/>
      <c r="D20" s="15"/>
      <c r="E20" s="15"/>
      <c r="F20" s="15"/>
      <c r="G20" s="15"/>
      <c r="H20" s="15"/>
    </row>
    <row r="21" spans="1:9" x14ac:dyDescent="0.25">
      <c r="A21" s="15"/>
      <c r="B21" s="390"/>
      <c r="C21" s="15"/>
      <c r="D21" s="15"/>
      <c r="E21" s="15"/>
      <c r="F21" s="15"/>
      <c r="G21" s="15"/>
      <c r="H21" s="15"/>
    </row>
    <row r="22" spans="1:9" ht="15" x14ac:dyDescent="0.25">
      <c r="A22" s="15"/>
      <c r="B22" s="45"/>
      <c r="C22" s="15"/>
      <c r="D22" s="15"/>
      <c r="E22" s="15"/>
      <c r="F22" s="15"/>
      <c r="G22" s="15"/>
      <c r="H22" s="15"/>
    </row>
    <row r="23" spans="1:9" x14ac:dyDescent="0.25">
      <c r="A23" s="15"/>
      <c r="B23" s="15"/>
      <c r="C23" s="15"/>
      <c r="D23" s="15"/>
      <c r="E23" s="15"/>
      <c r="F23" s="15"/>
      <c r="G23" s="15"/>
      <c r="H23" s="15"/>
    </row>
    <row r="24" spans="1:9" x14ac:dyDescent="0.25">
      <c r="A24" s="15"/>
      <c r="B24" s="15"/>
      <c r="C24" s="15"/>
      <c r="D24" s="15"/>
      <c r="E24" s="15"/>
      <c r="F24" s="15"/>
      <c r="G24" s="15"/>
      <c r="H24" s="15"/>
    </row>
    <row r="25" spans="1:9" x14ac:dyDescent="0.25">
      <c r="A25" s="15"/>
      <c r="B25" s="15"/>
      <c r="C25" s="15"/>
      <c r="D25" s="15"/>
      <c r="E25" s="15"/>
      <c r="F25" s="15"/>
      <c r="G25" s="15"/>
      <c r="H25" s="15"/>
    </row>
    <row r="26" spans="1:9" x14ac:dyDescent="0.25">
      <c r="A26" s="15"/>
      <c r="B26" s="15"/>
      <c r="C26" s="15"/>
      <c r="D26" s="15"/>
      <c r="E26" s="15"/>
      <c r="F26" s="15"/>
      <c r="G26" s="15"/>
      <c r="H26" s="15"/>
    </row>
    <row r="27" spans="1:9" x14ac:dyDescent="0.25">
      <c r="A27" s="15"/>
      <c r="B27" s="15"/>
      <c r="C27" s="15"/>
      <c r="D27" s="15"/>
      <c r="E27" s="15"/>
      <c r="F27" s="15"/>
      <c r="G27" s="15"/>
      <c r="H27" s="15"/>
    </row>
    <row r="28" spans="1:9" x14ac:dyDescent="0.25">
      <c r="A28" s="15"/>
      <c r="B28" s="15"/>
      <c r="C28" s="15"/>
      <c r="D28" s="15"/>
      <c r="E28" s="15"/>
      <c r="F28" s="15"/>
      <c r="G28" s="15"/>
      <c r="H28" s="15"/>
    </row>
    <row r="29" spans="1:9" x14ac:dyDescent="0.25">
      <c r="A29" s="15"/>
      <c r="B29" s="15"/>
      <c r="C29" s="15"/>
      <c r="D29" s="15"/>
      <c r="E29" s="15"/>
      <c r="F29" s="15"/>
      <c r="G29" s="15"/>
      <c r="H29" s="15"/>
    </row>
    <row r="30" spans="1:9" x14ac:dyDescent="0.25">
      <c r="A30" s="15"/>
      <c r="B30" s="15"/>
      <c r="C30" s="15"/>
      <c r="D30" s="15"/>
      <c r="E30" s="15"/>
      <c r="F30" s="15"/>
      <c r="G30" s="15"/>
      <c r="H30" s="15"/>
    </row>
    <row r="31" spans="1:9" x14ac:dyDescent="0.25">
      <c r="A31" s="15"/>
      <c r="B31" s="15"/>
      <c r="C31" s="15"/>
      <c r="D31" s="15"/>
      <c r="E31" s="15"/>
      <c r="F31" s="15"/>
      <c r="G31" s="15"/>
      <c r="H31" s="15"/>
    </row>
    <row r="32" spans="1:9" x14ac:dyDescent="0.25">
      <c r="A32" s="15"/>
      <c r="B32" s="15"/>
      <c r="C32" s="15"/>
      <c r="D32" s="15"/>
      <c r="E32" s="15"/>
      <c r="F32" s="15"/>
      <c r="G32" s="15"/>
      <c r="H32" s="15"/>
    </row>
    <row r="33" spans="1:8" x14ac:dyDescent="0.25">
      <c r="A33" s="15"/>
      <c r="B33" s="15"/>
      <c r="C33" s="15"/>
      <c r="D33" s="15"/>
      <c r="E33" s="15"/>
      <c r="F33" s="15"/>
      <c r="G33" s="15"/>
      <c r="H33" s="15"/>
    </row>
    <row r="34" spans="1:8" x14ac:dyDescent="0.25">
      <c r="A34" s="15"/>
      <c r="B34" s="15"/>
      <c r="C34" s="15"/>
      <c r="D34" s="15"/>
      <c r="E34" s="15"/>
      <c r="F34" s="15"/>
      <c r="G34" s="15"/>
      <c r="H34" s="15"/>
    </row>
    <row r="35" spans="1:8" x14ac:dyDescent="0.25">
      <c r="A35" s="15"/>
      <c r="B35" s="15"/>
      <c r="C35" s="15"/>
      <c r="D35" s="15"/>
      <c r="E35" s="15"/>
      <c r="F35" s="15"/>
      <c r="G35" s="15"/>
      <c r="H35" s="15"/>
    </row>
    <row r="36" spans="1:8" x14ac:dyDescent="0.25">
      <c r="A36" s="15"/>
      <c r="B36" s="15"/>
      <c r="C36" s="15"/>
      <c r="D36" s="15"/>
      <c r="E36" s="15"/>
      <c r="F36" s="15"/>
      <c r="G36" s="15"/>
      <c r="H36" s="15"/>
    </row>
    <row r="37" spans="1:8" x14ac:dyDescent="0.25">
      <c r="A37" s="15"/>
      <c r="B37" s="15"/>
      <c r="C37" s="15"/>
      <c r="D37" s="15"/>
      <c r="E37" s="15"/>
      <c r="F37" s="15"/>
      <c r="G37" s="15"/>
      <c r="H37" s="15"/>
    </row>
    <row r="38" spans="1:8" x14ac:dyDescent="0.25">
      <c r="A38" s="15"/>
      <c r="B38" s="15"/>
      <c r="C38" s="15"/>
      <c r="D38" s="15"/>
      <c r="E38" s="15"/>
      <c r="F38" s="15"/>
      <c r="G38" s="15"/>
      <c r="H38" s="15"/>
    </row>
    <row r="39" spans="1:8" x14ac:dyDescent="0.25">
      <c r="A39" s="15"/>
      <c r="B39" s="15"/>
      <c r="C39" s="15"/>
      <c r="D39" s="15"/>
      <c r="E39" s="15"/>
      <c r="F39" s="15"/>
      <c r="G39" s="15"/>
      <c r="H39" s="15"/>
    </row>
    <row r="40" spans="1:8" x14ac:dyDescent="0.25">
      <c r="A40" s="15"/>
      <c r="B40" s="15"/>
      <c r="C40" s="15"/>
      <c r="D40" s="15"/>
      <c r="E40" s="15"/>
      <c r="F40" s="15"/>
      <c r="G40" s="15"/>
      <c r="H40" s="15"/>
    </row>
    <row r="41" spans="1:8" x14ac:dyDescent="0.25">
      <c r="A41" s="15"/>
      <c r="B41" s="15"/>
      <c r="C41" s="15"/>
      <c r="D41" s="15"/>
      <c r="E41" s="15"/>
      <c r="F41" s="15"/>
      <c r="G41" s="15"/>
      <c r="H41" s="15"/>
    </row>
  </sheetData>
  <sheetProtection password="D24D"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2:G26"/>
  <sheetViews>
    <sheetView zoomScaleNormal="100" workbookViewId="0">
      <pane xSplit="3" ySplit="2" topLeftCell="D3" activePane="bottomRight" state="frozen"/>
      <selection pane="topRight" activeCell="D1" sqref="D1"/>
      <selection pane="bottomLeft" activeCell="A3" sqref="A3"/>
      <selection pane="bottomRight"/>
    </sheetView>
  </sheetViews>
  <sheetFormatPr defaultRowHeight="12.75" x14ac:dyDescent="0.25"/>
  <cols>
    <col min="1" max="1" width="2.7109375" style="860" customWidth="1"/>
    <col min="2" max="3" width="22.7109375" style="860" customWidth="1"/>
    <col min="4" max="5" width="11.7109375" style="860" customWidth="1"/>
    <col min="6" max="6" width="75.7109375" style="860" customWidth="1"/>
    <col min="7" max="7" width="35.7109375" style="860" customWidth="1"/>
    <col min="8" max="16384" width="9.140625" style="860"/>
  </cols>
  <sheetData>
    <row r="2" spans="2:7" s="858" customFormat="1" ht="25.5" x14ac:dyDescent="0.25">
      <c r="B2" s="856" t="s">
        <v>23</v>
      </c>
      <c r="C2" s="857" t="s">
        <v>628</v>
      </c>
      <c r="D2" s="863" t="s">
        <v>343</v>
      </c>
      <c r="E2" s="863" t="s">
        <v>672</v>
      </c>
      <c r="F2" s="856" t="s">
        <v>629</v>
      </c>
      <c r="G2" s="856" t="s">
        <v>630</v>
      </c>
    </row>
    <row r="3" spans="2:7" ht="38.25" x14ac:dyDescent="0.25">
      <c r="B3" s="952" t="s">
        <v>631</v>
      </c>
      <c r="C3" s="854" t="s">
        <v>632</v>
      </c>
      <c r="D3" s="392" t="s">
        <v>344</v>
      </c>
      <c r="E3" s="391" t="s">
        <v>344</v>
      </c>
      <c r="F3" s="946" t="s">
        <v>633</v>
      </c>
      <c r="G3" s="859" t="s">
        <v>673</v>
      </c>
    </row>
    <row r="4" spans="2:7" ht="25.5" x14ac:dyDescent="0.25">
      <c r="B4" s="953"/>
      <c r="C4" s="854" t="s">
        <v>634</v>
      </c>
      <c r="D4" s="392">
        <v>73960</v>
      </c>
      <c r="E4" s="391">
        <v>1</v>
      </c>
      <c r="F4" s="948"/>
      <c r="G4" s="859" t="s">
        <v>674</v>
      </c>
    </row>
    <row r="5" spans="2:7" ht="25.5" x14ac:dyDescent="0.25">
      <c r="B5" s="954"/>
      <c r="C5" s="854" t="s">
        <v>635</v>
      </c>
      <c r="D5" s="392">
        <v>210887</v>
      </c>
      <c r="E5" s="391">
        <v>2</v>
      </c>
      <c r="F5" s="947"/>
      <c r="G5" s="859" t="s">
        <v>675</v>
      </c>
    </row>
    <row r="6" spans="2:7" ht="25.5" x14ac:dyDescent="0.25">
      <c r="B6" s="952" t="s">
        <v>636</v>
      </c>
      <c r="C6" s="854" t="s">
        <v>356</v>
      </c>
      <c r="D6" s="855" t="s">
        <v>344</v>
      </c>
      <c r="E6" s="391">
        <v>1</v>
      </c>
      <c r="F6" s="946" t="s">
        <v>637</v>
      </c>
      <c r="G6" s="859" t="s">
        <v>676</v>
      </c>
    </row>
    <row r="7" spans="2:7" x14ac:dyDescent="0.25">
      <c r="B7" s="954"/>
      <c r="C7" s="854" t="s">
        <v>358</v>
      </c>
      <c r="D7" s="392">
        <v>45000</v>
      </c>
      <c r="E7" s="391">
        <v>1</v>
      </c>
      <c r="F7" s="947"/>
      <c r="G7" s="859" t="s">
        <v>638</v>
      </c>
    </row>
    <row r="8" spans="2:7" x14ac:dyDescent="0.25">
      <c r="B8" s="952" t="s">
        <v>639</v>
      </c>
      <c r="C8" s="854" t="s">
        <v>640</v>
      </c>
      <c r="D8" s="392">
        <v>5500</v>
      </c>
      <c r="E8" s="391">
        <v>1</v>
      </c>
      <c r="F8" s="946" t="s">
        <v>641</v>
      </c>
      <c r="G8" s="859" t="s">
        <v>642</v>
      </c>
    </row>
    <row r="9" spans="2:7" x14ac:dyDescent="0.25">
      <c r="B9" s="954"/>
      <c r="C9" s="854" t="s">
        <v>643</v>
      </c>
      <c r="D9" s="392">
        <v>2500</v>
      </c>
      <c r="E9" s="391">
        <v>1</v>
      </c>
      <c r="F9" s="947"/>
      <c r="G9" s="859" t="s">
        <v>644</v>
      </c>
    </row>
    <row r="10" spans="2:7" ht="25.5" x14ac:dyDescent="0.25">
      <c r="B10" s="952" t="s">
        <v>645</v>
      </c>
      <c r="C10" s="854" t="s">
        <v>25</v>
      </c>
      <c r="D10" s="392">
        <v>241351</v>
      </c>
      <c r="E10" s="391">
        <v>5</v>
      </c>
      <c r="F10" s="862" t="s">
        <v>646</v>
      </c>
      <c r="G10" s="859" t="s">
        <v>677</v>
      </c>
    </row>
    <row r="11" spans="2:7" ht="38.25" x14ac:dyDescent="0.25">
      <c r="B11" s="954"/>
      <c r="C11" s="854" t="s">
        <v>647</v>
      </c>
      <c r="D11" s="392">
        <v>40946</v>
      </c>
      <c r="E11" s="391">
        <v>3</v>
      </c>
      <c r="F11" s="862" t="s">
        <v>648</v>
      </c>
      <c r="G11" s="859" t="s">
        <v>678</v>
      </c>
    </row>
    <row r="12" spans="2:7" ht="25.5" x14ac:dyDescent="0.25">
      <c r="B12" s="864" t="s">
        <v>649</v>
      </c>
      <c r="C12" s="854" t="s">
        <v>650</v>
      </c>
      <c r="D12" s="392">
        <v>33740</v>
      </c>
      <c r="E12" s="391">
        <v>4</v>
      </c>
      <c r="F12" s="862" t="s">
        <v>651</v>
      </c>
      <c r="G12" s="859" t="s">
        <v>652</v>
      </c>
    </row>
    <row r="13" spans="2:7" ht="25.5" customHeight="1" x14ac:dyDescent="0.25">
      <c r="B13" s="952" t="s">
        <v>653</v>
      </c>
      <c r="C13" s="854" t="s">
        <v>654</v>
      </c>
      <c r="D13" s="392">
        <v>122120</v>
      </c>
      <c r="E13" s="391">
        <v>6</v>
      </c>
      <c r="F13" s="946" t="s">
        <v>655</v>
      </c>
      <c r="G13" s="949" t="s">
        <v>679</v>
      </c>
    </row>
    <row r="14" spans="2:7" ht="25.5" customHeight="1" x14ac:dyDescent="0.25">
      <c r="B14" s="953"/>
      <c r="C14" s="854" t="s">
        <v>336</v>
      </c>
      <c r="D14" s="392" t="s">
        <v>344</v>
      </c>
      <c r="E14" s="391" t="s">
        <v>344</v>
      </c>
      <c r="F14" s="948"/>
      <c r="G14" s="950"/>
    </row>
    <row r="15" spans="2:7" ht="25.5" customHeight="1" x14ac:dyDescent="0.25">
      <c r="B15" s="954"/>
      <c r="C15" s="854" t="s">
        <v>656</v>
      </c>
      <c r="D15" s="392">
        <v>43200</v>
      </c>
      <c r="E15" s="391">
        <v>4</v>
      </c>
      <c r="F15" s="947"/>
      <c r="G15" s="951"/>
    </row>
    <row r="16" spans="2:7" ht="76.5" x14ac:dyDescent="0.25">
      <c r="B16" s="952" t="s">
        <v>657</v>
      </c>
      <c r="C16" s="854" t="s">
        <v>658</v>
      </c>
      <c r="D16" s="392">
        <v>24962</v>
      </c>
      <c r="E16" s="391">
        <v>1</v>
      </c>
      <c r="F16" s="862" t="s">
        <v>659</v>
      </c>
      <c r="G16" s="859" t="s">
        <v>680</v>
      </c>
    </row>
    <row r="17" spans="2:7" ht="25.5" x14ac:dyDescent="0.25">
      <c r="B17" s="954"/>
      <c r="C17" s="854" t="s">
        <v>671</v>
      </c>
      <c r="D17" s="392">
        <v>22500</v>
      </c>
      <c r="E17" s="391">
        <v>1</v>
      </c>
      <c r="F17" s="862" t="s">
        <v>660</v>
      </c>
      <c r="G17" s="859" t="s">
        <v>681</v>
      </c>
    </row>
    <row r="18" spans="2:7" ht="59.45" customHeight="1" x14ac:dyDescent="0.25">
      <c r="B18" s="952" t="s">
        <v>661</v>
      </c>
      <c r="C18" s="854" t="s">
        <v>662</v>
      </c>
      <c r="D18" s="392">
        <v>498588</v>
      </c>
      <c r="E18" s="391">
        <v>12</v>
      </c>
      <c r="F18" s="946" t="s">
        <v>663</v>
      </c>
      <c r="G18" s="949" t="s">
        <v>682</v>
      </c>
    </row>
    <row r="19" spans="2:7" ht="59.45" customHeight="1" x14ac:dyDescent="0.25">
      <c r="B19" s="953"/>
      <c r="C19" s="854" t="s">
        <v>664</v>
      </c>
      <c r="D19" s="392">
        <v>53628</v>
      </c>
      <c r="E19" s="391">
        <v>3</v>
      </c>
      <c r="F19" s="948"/>
      <c r="G19" s="950"/>
    </row>
    <row r="20" spans="2:7" ht="59.45" customHeight="1" x14ac:dyDescent="0.25">
      <c r="B20" s="954"/>
      <c r="C20" s="854" t="s">
        <v>665</v>
      </c>
      <c r="D20" s="392">
        <v>5500</v>
      </c>
      <c r="E20" s="391">
        <v>1</v>
      </c>
      <c r="F20" s="947"/>
      <c r="G20" s="951"/>
    </row>
    <row r="21" spans="2:7" ht="204" x14ac:dyDescent="0.25">
      <c r="B21" s="859" t="s">
        <v>24</v>
      </c>
      <c r="C21" s="854" t="s">
        <v>666</v>
      </c>
      <c r="D21" s="392" t="s">
        <v>344</v>
      </c>
      <c r="E21" s="391" t="s">
        <v>344</v>
      </c>
      <c r="F21" s="862" t="s">
        <v>667</v>
      </c>
      <c r="G21" s="859" t="s">
        <v>683</v>
      </c>
    </row>
    <row r="22" spans="2:7" ht="25.5" x14ac:dyDescent="0.25">
      <c r="B22" s="859" t="s">
        <v>339</v>
      </c>
      <c r="C22" s="854" t="s">
        <v>339</v>
      </c>
      <c r="D22" s="392" t="s">
        <v>344</v>
      </c>
      <c r="E22" s="391" t="s">
        <v>344</v>
      </c>
      <c r="F22" s="862" t="s">
        <v>668</v>
      </c>
      <c r="G22" s="864" t="s">
        <v>652</v>
      </c>
    </row>
    <row r="23" spans="2:7" ht="153" customHeight="1" x14ac:dyDescent="0.25">
      <c r="B23" s="859" t="s">
        <v>342</v>
      </c>
      <c r="C23" s="854" t="s">
        <v>342</v>
      </c>
      <c r="D23" s="392" t="s">
        <v>344</v>
      </c>
      <c r="E23" s="391" t="s">
        <v>344</v>
      </c>
      <c r="F23" s="862" t="s">
        <v>669</v>
      </c>
      <c r="G23" s="864" t="s">
        <v>684</v>
      </c>
    </row>
    <row r="24" spans="2:7" ht="38.25" x14ac:dyDescent="0.25">
      <c r="B24" s="859" t="s">
        <v>27</v>
      </c>
      <c r="C24" s="854" t="s">
        <v>27</v>
      </c>
      <c r="D24" s="392">
        <v>52045</v>
      </c>
      <c r="E24" s="391">
        <v>1</v>
      </c>
      <c r="F24" s="862" t="s">
        <v>670</v>
      </c>
      <c r="G24" s="859" t="s">
        <v>685</v>
      </c>
    </row>
    <row r="25" spans="2:7" x14ac:dyDescent="0.25">
      <c r="C25" s="861"/>
      <c r="D25" s="861"/>
      <c r="E25" s="861"/>
    </row>
    <row r="26" spans="2:7" x14ac:dyDescent="0.25">
      <c r="C26" s="861"/>
      <c r="D26" s="861"/>
      <c r="E26" s="861"/>
    </row>
  </sheetData>
  <sheetProtection password="D24D" sheet="1" objects="1" scenarios="1"/>
  <mergeCells count="14">
    <mergeCell ref="F8:F9"/>
    <mergeCell ref="F13:F15"/>
    <mergeCell ref="F18:F20"/>
    <mergeCell ref="G13:G15"/>
    <mergeCell ref="B3:B5"/>
    <mergeCell ref="B6:B7"/>
    <mergeCell ref="B8:B9"/>
    <mergeCell ref="B10:B11"/>
    <mergeCell ref="B13:B15"/>
    <mergeCell ref="B16:B17"/>
    <mergeCell ref="B18:B20"/>
    <mergeCell ref="G18:G20"/>
    <mergeCell ref="F3:F5"/>
    <mergeCell ref="F6:F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Q38"/>
  <sheetViews>
    <sheetView zoomScale="80" zoomScaleNormal="80" workbookViewId="0">
      <selection activeCell="D6" sqref="D6:K6"/>
    </sheetView>
  </sheetViews>
  <sheetFormatPr defaultRowHeight="15" customHeight="1" x14ac:dyDescent="0.25"/>
  <cols>
    <col min="1" max="1" width="2.7109375" style="405" customWidth="1"/>
    <col min="2" max="7" width="10.7109375" style="405" customWidth="1"/>
    <col min="8" max="8" width="2.7109375" style="405" customWidth="1"/>
    <col min="9" max="11" width="17.7109375" style="405" customWidth="1"/>
    <col min="12" max="12" width="2.7109375" style="405" customWidth="1"/>
    <col min="13" max="13" width="30.140625" style="405" hidden="1" customWidth="1"/>
    <col min="14" max="14" width="9.85546875" style="405" hidden="1" customWidth="1"/>
    <col min="15" max="15" width="2.7109375" style="405" hidden="1" customWidth="1"/>
    <col min="16" max="16" width="27" style="405" hidden="1" customWidth="1"/>
    <col min="17" max="17" width="2.7109375" style="405" hidden="1" customWidth="1"/>
    <col min="18" max="18" width="29.28515625" style="405" hidden="1" customWidth="1"/>
    <col min="19" max="21" width="12.7109375" style="405" hidden="1" customWidth="1"/>
    <col min="22" max="22" width="2.7109375" style="405" hidden="1" customWidth="1"/>
    <col min="23" max="25" width="15.5703125" style="405" hidden="1" customWidth="1"/>
    <col min="26" max="26" width="38.7109375" style="405" hidden="1" customWidth="1"/>
    <col min="27" max="27" width="25.5703125" style="405" hidden="1" customWidth="1"/>
    <col min="28" max="28" width="28.85546875" style="405" hidden="1" customWidth="1"/>
    <col min="29" max="29" width="24.140625" style="405" hidden="1" customWidth="1"/>
    <col min="30" max="31" width="15.5703125" style="405" hidden="1" customWidth="1"/>
    <col min="32" max="32" width="35.85546875" style="405" hidden="1" customWidth="1"/>
    <col min="33" max="33" width="19.5703125" style="405" hidden="1" customWidth="1"/>
    <col min="34" max="34" width="2.7109375" style="405" hidden="1" customWidth="1"/>
    <col min="35" max="41" width="27" style="405" hidden="1" customWidth="1"/>
    <col min="42" max="42" width="23.85546875" style="405" hidden="1" customWidth="1"/>
    <col min="43" max="43" width="22.85546875" style="405" hidden="1" customWidth="1"/>
    <col min="44" max="16384" width="9.140625" style="405"/>
  </cols>
  <sheetData>
    <row r="1" spans="1:43" ht="9.9499999999999993" customHeight="1" x14ac:dyDescent="0.25">
      <c r="B1" s="404"/>
      <c r="C1" s="404"/>
      <c r="D1" s="404"/>
      <c r="E1" s="404"/>
      <c r="F1" s="426"/>
    </row>
    <row r="2" spans="1:43" ht="39.75" customHeight="1" x14ac:dyDescent="0.25">
      <c r="B2" s="413" t="str">
        <f>IF($D$6="","",VLOOKUP($D$6,PicTable,2,FALSE))</f>
        <v/>
      </c>
      <c r="C2" s="404"/>
      <c r="D2" s="966" t="str">
        <f>IF($D$6="","Please Select Utility…",$D$6)</f>
        <v>Please Select Utility…</v>
      </c>
      <c r="E2" s="966"/>
      <c r="F2" s="966"/>
      <c r="G2" s="966"/>
      <c r="H2" s="966"/>
      <c r="I2" s="966"/>
      <c r="J2" s="966"/>
      <c r="K2" s="413" t="str">
        <f>IF($D$10="","",VLOOKUP($D$10,PicTable,2,FALSE))</f>
        <v/>
      </c>
      <c r="M2" s="405" t="s">
        <v>378</v>
      </c>
      <c r="N2" s="405" t="s">
        <v>382</v>
      </c>
      <c r="P2" s="405" t="s">
        <v>187</v>
      </c>
      <c r="R2" s="485" t="s">
        <v>370</v>
      </c>
      <c r="S2" s="486" t="s">
        <v>378</v>
      </c>
      <c r="T2" s="486" t="s">
        <v>379</v>
      </c>
      <c r="U2" s="486" t="s">
        <v>458</v>
      </c>
      <c r="W2" s="405" t="s">
        <v>371</v>
      </c>
      <c r="X2" s="405" t="s">
        <v>372</v>
      </c>
      <c r="Y2" s="405" t="s">
        <v>373</v>
      </c>
      <c r="Z2" s="405" t="s">
        <v>431</v>
      </c>
      <c r="AA2" s="405" t="s">
        <v>374</v>
      </c>
      <c r="AB2" s="405" t="s">
        <v>392</v>
      </c>
      <c r="AC2" s="405" t="s">
        <v>423</v>
      </c>
      <c r="AD2" s="405" t="s">
        <v>429</v>
      </c>
      <c r="AE2" s="405" t="s">
        <v>424</v>
      </c>
      <c r="AF2" s="405" t="s">
        <v>375</v>
      </c>
      <c r="AG2" s="405" t="s">
        <v>426</v>
      </c>
      <c r="AI2" s="405" t="s">
        <v>464</v>
      </c>
      <c r="AJ2" s="405" t="s">
        <v>460</v>
      </c>
      <c r="AK2" s="405" t="s">
        <v>466</v>
      </c>
      <c r="AL2" s="405" t="s">
        <v>468</v>
      </c>
      <c r="AM2" s="405" t="s">
        <v>462</v>
      </c>
      <c r="AN2" s="405" t="s">
        <v>459</v>
      </c>
      <c r="AO2" s="405" t="s">
        <v>465</v>
      </c>
      <c r="AP2" s="405" t="s">
        <v>463</v>
      </c>
      <c r="AQ2" s="405" t="s">
        <v>461</v>
      </c>
    </row>
    <row r="3" spans="1:43" ht="20.100000000000001" customHeight="1" x14ac:dyDescent="0.25">
      <c r="B3" s="404"/>
      <c r="C3" s="404"/>
      <c r="D3" s="967" t="str">
        <f>IF($H$10="","Please Select Program Type…",$H$10)</f>
        <v>Please Select Program Type…</v>
      </c>
      <c r="E3" s="967"/>
      <c r="F3" s="967"/>
      <c r="G3" s="967"/>
      <c r="H3" s="967"/>
      <c r="I3" s="967"/>
      <c r="J3" s="967"/>
      <c r="M3" s="405" t="s">
        <v>379</v>
      </c>
      <c r="N3" s="405" t="s">
        <v>383</v>
      </c>
      <c r="P3" s="405" t="s">
        <v>186</v>
      </c>
      <c r="R3" s="485" t="s">
        <v>309</v>
      </c>
      <c r="S3" s="485" t="s">
        <v>371</v>
      </c>
      <c r="T3" s="485"/>
      <c r="U3" s="487" t="s">
        <v>460</v>
      </c>
      <c r="W3" s="405" t="s">
        <v>439</v>
      </c>
      <c r="X3" s="405" t="s">
        <v>439</v>
      </c>
      <c r="Y3" s="405" t="s">
        <v>439</v>
      </c>
      <c r="Z3" s="405" t="s">
        <v>441</v>
      </c>
      <c r="AA3" s="405" t="s">
        <v>439</v>
      </c>
      <c r="AB3" s="405" t="s">
        <v>393</v>
      </c>
      <c r="AC3" s="405" t="s">
        <v>456</v>
      </c>
      <c r="AD3" s="405" t="s">
        <v>439</v>
      </c>
      <c r="AE3" s="405" t="s">
        <v>439</v>
      </c>
      <c r="AF3" s="405" t="s">
        <v>420</v>
      </c>
      <c r="AG3" s="405" t="s">
        <v>439</v>
      </c>
      <c r="AI3" s="405" t="s">
        <v>186</v>
      </c>
      <c r="AJ3" s="405" t="s">
        <v>186</v>
      </c>
      <c r="AK3" s="405" t="s">
        <v>186</v>
      </c>
      <c r="AL3" s="405" t="s">
        <v>186</v>
      </c>
      <c r="AM3" s="405" t="s">
        <v>185</v>
      </c>
      <c r="AN3" s="405" t="s">
        <v>185</v>
      </c>
      <c r="AO3" s="405" t="s">
        <v>185</v>
      </c>
      <c r="AP3" s="405" t="s">
        <v>184</v>
      </c>
      <c r="AQ3" s="405" t="s">
        <v>181</v>
      </c>
    </row>
    <row r="4" spans="1:43" ht="20.100000000000001" customHeight="1" x14ac:dyDescent="0.25">
      <c r="B4" s="404"/>
      <c r="C4" s="404"/>
      <c r="D4" s="968" t="s">
        <v>575</v>
      </c>
      <c r="E4" s="968"/>
      <c r="F4" s="968"/>
      <c r="G4" s="968"/>
      <c r="H4" s="968"/>
      <c r="I4" s="968"/>
      <c r="J4" s="968"/>
      <c r="M4" s="405" t="s">
        <v>309</v>
      </c>
      <c r="N4" s="405" t="s">
        <v>384</v>
      </c>
      <c r="P4" s="405" t="s">
        <v>185</v>
      </c>
      <c r="R4" s="485" t="s">
        <v>311</v>
      </c>
      <c r="S4" s="485" t="s">
        <v>372</v>
      </c>
      <c r="T4" s="485"/>
      <c r="U4" s="487" t="s">
        <v>459</v>
      </c>
      <c r="Z4" s="405" t="s">
        <v>440</v>
      </c>
      <c r="AA4" s="405" t="s">
        <v>395</v>
      </c>
      <c r="AB4" s="405" t="s">
        <v>394</v>
      </c>
      <c r="AC4" s="405" t="s">
        <v>457</v>
      </c>
      <c r="AF4" s="405" t="s">
        <v>421</v>
      </c>
      <c r="AG4" s="405" t="s">
        <v>427</v>
      </c>
      <c r="AJ4" s="405" t="s">
        <v>185</v>
      </c>
      <c r="AK4" s="405" t="s">
        <v>185</v>
      </c>
      <c r="AL4" s="405" t="s">
        <v>185</v>
      </c>
      <c r="AM4" s="405" t="s">
        <v>184</v>
      </c>
      <c r="AN4" s="405" t="s">
        <v>184</v>
      </c>
      <c r="AO4" s="405" t="s">
        <v>183</v>
      </c>
    </row>
    <row r="5" spans="1:43" ht="20.100000000000001" customHeight="1" thickBot="1" x14ac:dyDescent="0.3">
      <c r="B5" s="404"/>
      <c r="C5" s="404"/>
      <c r="D5" s="404"/>
      <c r="E5" s="404"/>
      <c r="F5" s="426"/>
      <c r="M5" s="405" t="s">
        <v>311</v>
      </c>
      <c r="N5" s="405" t="s">
        <v>384</v>
      </c>
      <c r="P5" s="405" t="s">
        <v>184</v>
      </c>
      <c r="R5" s="485" t="s">
        <v>312</v>
      </c>
      <c r="S5" s="485" t="s">
        <v>373</v>
      </c>
      <c r="T5" s="485"/>
      <c r="U5" s="487" t="s">
        <v>460</v>
      </c>
      <c r="Z5" s="405" t="s">
        <v>536</v>
      </c>
      <c r="AA5" s="405" t="s">
        <v>396</v>
      </c>
      <c r="AF5" s="405" t="s">
        <v>701</v>
      </c>
      <c r="AK5" s="405" t="s">
        <v>184</v>
      </c>
      <c r="AL5" s="405" t="s">
        <v>184</v>
      </c>
      <c r="AN5" s="405" t="s">
        <v>183</v>
      </c>
    </row>
    <row r="6" spans="1:43" ht="24" customHeight="1" thickBot="1" x14ac:dyDescent="0.3">
      <c r="B6" s="406"/>
      <c r="C6" s="415" t="s">
        <v>389</v>
      </c>
      <c r="D6" s="971"/>
      <c r="E6" s="972"/>
      <c r="F6" s="972"/>
      <c r="G6" s="972"/>
      <c r="H6" s="972"/>
      <c r="I6" s="972"/>
      <c r="J6" s="972"/>
      <c r="K6" s="973"/>
      <c r="M6" s="405" t="s">
        <v>312</v>
      </c>
      <c r="N6" s="405" t="s">
        <v>384</v>
      </c>
      <c r="P6" s="405" t="s">
        <v>183</v>
      </c>
      <c r="R6" s="485" t="s">
        <v>432</v>
      </c>
      <c r="S6" s="485" t="s">
        <v>431</v>
      </c>
      <c r="T6" s="485"/>
      <c r="U6" s="487" t="s">
        <v>463</v>
      </c>
      <c r="Z6" s="405" t="s">
        <v>535</v>
      </c>
      <c r="AA6" s="405" t="s">
        <v>397</v>
      </c>
      <c r="AF6" s="405" t="s">
        <v>481</v>
      </c>
      <c r="AL6" s="405" t="s">
        <v>183</v>
      </c>
    </row>
    <row r="7" spans="1:43" ht="9.9499999999999993" customHeight="1" thickBot="1" x14ac:dyDescent="0.3">
      <c r="B7" s="406"/>
      <c r="M7" s="405" t="s">
        <v>432</v>
      </c>
      <c r="N7" s="405" t="s">
        <v>385</v>
      </c>
      <c r="P7" s="405" t="s">
        <v>181</v>
      </c>
      <c r="R7" s="485" t="s">
        <v>17</v>
      </c>
      <c r="S7" s="485" t="s">
        <v>374</v>
      </c>
      <c r="T7" s="485" t="s">
        <v>392</v>
      </c>
      <c r="U7" s="487" t="s">
        <v>461</v>
      </c>
      <c r="Z7" s="405" t="s">
        <v>534</v>
      </c>
      <c r="AF7" s="405" t="s">
        <v>482</v>
      </c>
      <c r="AL7" s="405" t="s">
        <v>181</v>
      </c>
    </row>
    <row r="8" spans="1:43" ht="24" customHeight="1" thickBot="1" x14ac:dyDescent="0.3">
      <c r="B8" s="406"/>
      <c r="C8" s="415" t="s">
        <v>180</v>
      </c>
      <c r="D8" s="957"/>
      <c r="E8" s="958"/>
      <c r="F8" s="958"/>
      <c r="G8" s="958"/>
      <c r="H8" s="958"/>
      <c r="I8" s="958"/>
      <c r="J8" s="958"/>
      <c r="K8" s="959"/>
      <c r="M8" s="405" t="s">
        <v>17</v>
      </c>
      <c r="N8" s="405" t="s">
        <v>386</v>
      </c>
      <c r="R8" s="485" t="s">
        <v>380</v>
      </c>
      <c r="S8" s="485" t="s">
        <v>423</v>
      </c>
      <c r="T8" s="485"/>
      <c r="U8" s="487" t="s">
        <v>462</v>
      </c>
      <c r="Z8" s="405" t="s">
        <v>533</v>
      </c>
      <c r="AF8" s="405" t="s">
        <v>700</v>
      </c>
    </row>
    <row r="9" spans="1:43" ht="9.9499999999999993" customHeight="1" thickBot="1" x14ac:dyDescent="0.3">
      <c r="B9" s="406"/>
      <c r="M9" s="405" t="s">
        <v>380</v>
      </c>
      <c r="N9" s="405" t="s">
        <v>387</v>
      </c>
      <c r="R9" s="485" t="s">
        <v>428</v>
      </c>
      <c r="S9" s="485" t="s">
        <v>429</v>
      </c>
      <c r="T9" s="485"/>
      <c r="U9" s="487" t="s">
        <v>466</v>
      </c>
      <c r="Z9" s="405" t="s">
        <v>469</v>
      </c>
    </row>
    <row r="10" spans="1:43" ht="24" customHeight="1" thickBot="1" x14ac:dyDescent="0.3">
      <c r="B10" s="406"/>
      <c r="C10" s="415" t="s">
        <v>390</v>
      </c>
      <c r="D10" s="971"/>
      <c r="E10" s="973"/>
      <c r="G10" s="409" t="s">
        <v>391</v>
      </c>
      <c r="H10" s="957"/>
      <c r="I10" s="958"/>
      <c r="J10" s="958"/>
      <c r="K10" s="959"/>
      <c r="M10" s="405" t="s">
        <v>428</v>
      </c>
      <c r="N10" s="405" t="s">
        <v>388</v>
      </c>
      <c r="R10" s="485" t="s">
        <v>422</v>
      </c>
      <c r="S10" s="485" t="s">
        <v>424</v>
      </c>
      <c r="T10" s="485"/>
      <c r="U10" s="487" t="s">
        <v>465</v>
      </c>
      <c r="Z10" s="405" t="s">
        <v>470</v>
      </c>
    </row>
    <row r="11" spans="1:43" ht="9.9499999999999993" customHeight="1" thickBot="1" x14ac:dyDescent="0.3">
      <c r="B11" s="406"/>
      <c r="C11" s="415"/>
      <c r="D11" s="488"/>
      <c r="E11" s="488"/>
      <c r="G11" s="409"/>
      <c r="H11" s="489"/>
      <c r="I11" s="489"/>
      <c r="J11" s="489"/>
      <c r="K11" s="489"/>
      <c r="M11" s="405" t="s">
        <v>422</v>
      </c>
      <c r="N11" s="405" t="s">
        <v>438</v>
      </c>
      <c r="R11" s="485" t="s">
        <v>310</v>
      </c>
      <c r="S11" s="485" t="s">
        <v>375</v>
      </c>
      <c r="T11" s="485"/>
      <c r="U11" s="487" t="s">
        <v>462</v>
      </c>
      <c r="Z11" s="405" t="s">
        <v>471</v>
      </c>
    </row>
    <row r="12" spans="1:43" ht="24" customHeight="1" thickBot="1" x14ac:dyDescent="0.3">
      <c r="B12" s="406"/>
      <c r="C12" s="415" t="s">
        <v>1</v>
      </c>
      <c r="D12" s="971"/>
      <c r="E12" s="972"/>
      <c r="F12" s="972"/>
      <c r="G12" s="972"/>
      <c r="H12" s="972"/>
      <c r="I12" s="972"/>
      <c r="J12" s="972"/>
      <c r="K12" s="973"/>
      <c r="M12" s="405" t="s">
        <v>310</v>
      </c>
      <c r="N12" s="405" t="s">
        <v>425</v>
      </c>
      <c r="R12" s="485" t="s">
        <v>381</v>
      </c>
      <c r="S12" s="485" t="s">
        <v>426</v>
      </c>
      <c r="T12" s="485"/>
      <c r="U12" s="487" t="s">
        <v>464</v>
      </c>
      <c r="Z12" s="405" t="s">
        <v>472</v>
      </c>
    </row>
    <row r="13" spans="1:43" ht="9.9499999999999993" customHeight="1" thickBot="1" x14ac:dyDescent="0.3">
      <c r="B13" s="406"/>
      <c r="C13" s="420"/>
      <c r="D13" s="407"/>
      <c r="E13" s="423"/>
      <c r="M13" s="405" t="s">
        <v>381</v>
      </c>
      <c r="N13" s="405" t="s">
        <v>430</v>
      </c>
      <c r="Q13" s="2"/>
      <c r="S13" s="410" t="s">
        <v>399</v>
      </c>
      <c r="T13" s="410" t="s">
        <v>398</v>
      </c>
      <c r="U13" s="410" t="s">
        <v>467</v>
      </c>
    </row>
    <row r="14" spans="1:43" ht="20.100000000000001" customHeight="1" thickBot="1" x14ac:dyDescent="0.3">
      <c r="A14" s="412"/>
      <c r="B14" s="418" t="s">
        <v>407</v>
      </c>
      <c r="C14" s="414"/>
      <c r="D14" s="407"/>
      <c r="E14" s="423"/>
      <c r="J14" s="421" t="s">
        <v>376</v>
      </c>
      <c r="K14" s="416"/>
      <c r="Q14" s="2"/>
      <c r="S14" s="411" t="str">
        <f>IF($D$6="","-",IF($D$6="El Paso Electric","Texas","Texas"))</f>
        <v>-</v>
      </c>
      <c r="T14" s="411" t="str">
        <f>IF(OR($D$6="",$D10=""),"-",VLOOKUP($D$6,$R$3:$T$12,MATCH($D$10,$R$2:$T$2,0),FALSE))</f>
        <v>-</v>
      </c>
      <c r="U14" s="411" t="str">
        <f>IF($D$6="","WxZn12345",VLOOKUP($D$6,$R$3:$U$12,4,FALSE))</f>
        <v>WxZn12345</v>
      </c>
    </row>
    <row r="15" spans="1:43" ht="30" customHeight="1" x14ac:dyDescent="0.25">
      <c r="A15" s="412"/>
      <c r="B15" s="406"/>
      <c r="C15" s="435" t="s">
        <v>403</v>
      </c>
      <c r="D15" s="955"/>
      <c r="E15" s="955"/>
      <c r="F15" s="955"/>
      <c r="G15" s="955"/>
      <c r="H15" s="955"/>
      <c r="I15" s="955"/>
      <c r="J15" s="955"/>
      <c r="K15" s="955"/>
      <c r="V15" s="410"/>
    </row>
    <row r="16" spans="1:43" ht="30" customHeight="1" x14ac:dyDescent="0.25">
      <c r="A16" s="412"/>
      <c r="B16" s="406"/>
      <c r="C16" s="435" t="s">
        <v>404</v>
      </c>
      <c r="D16" s="955"/>
      <c r="E16" s="955"/>
      <c r="F16" s="955"/>
      <c r="G16" s="435" t="s">
        <v>690</v>
      </c>
      <c r="H16" s="433"/>
      <c r="I16" s="955"/>
      <c r="J16" s="955"/>
      <c r="K16" s="955"/>
      <c r="S16" s="405" t="s">
        <v>479</v>
      </c>
      <c r="V16" s="484"/>
    </row>
    <row r="17" spans="1:14" ht="30" customHeight="1" x14ac:dyDescent="0.25">
      <c r="A17" s="412"/>
      <c r="B17" s="406"/>
      <c r="C17" s="435" t="s">
        <v>405</v>
      </c>
      <c r="D17" s="955"/>
      <c r="E17" s="955"/>
      <c r="F17" s="433"/>
      <c r="G17" s="435" t="s">
        <v>408</v>
      </c>
      <c r="H17" s="433"/>
      <c r="I17" s="955"/>
      <c r="J17" s="955"/>
      <c r="K17" s="955"/>
      <c r="M17" s="449"/>
      <c r="N17" s="449"/>
    </row>
    <row r="18" spans="1:14" ht="30" customHeight="1" x14ac:dyDescent="0.25">
      <c r="B18" s="404"/>
      <c r="C18" s="435" t="s">
        <v>480</v>
      </c>
      <c r="D18" s="974"/>
      <c r="E18" s="974"/>
      <c r="F18" s="974"/>
      <c r="G18" s="974"/>
      <c r="H18" s="974"/>
      <c r="I18" s="974"/>
      <c r="J18" s="974"/>
      <c r="K18" s="974"/>
      <c r="M18" s="446"/>
      <c r="N18" s="446"/>
    </row>
    <row r="19" spans="1:14" ht="30" customHeight="1" x14ac:dyDescent="0.25">
      <c r="B19" s="216"/>
      <c r="C19" s="435" t="s">
        <v>406</v>
      </c>
      <c r="D19" s="955"/>
      <c r="E19" s="955"/>
      <c r="F19" s="955"/>
      <c r="G19" s="955"/>
      <c r="H19" s="955"/>
      <c r="I19" s="955"/>
      <c r="J19" s="955"/>
      <c r="K19" s="955"/>
      <c r="M19"/>
    </row>
    <row r="20" spans="1:14" ht="30" customHeight="1" x14ac:dyDescent="0.25">
      <c r="B20" s="408"/>
      <c r="C20" s="435" t="s">
        <v>18</v>
      </c>
      <c r="D20" s="955"/>
      <c r="E20" s="955"/>
      <c r="F20" s="955"/>
      <c r="G20" s="435" t="s">
        <v>19</v>
      </c>
      <c r="H20" s="433"/>
      <c r="I20" s="437" t="str">
        <f>IF($D$10="","",$D$10)</f>
        <v/>
      </c>
      <c r="J20" s="435" t="s">
        <v>409</v>
      </c>
      <c r="K20" s="445"/>
    </row>
    <row r="21" spans="1:14" ht="9.9499999999999993" customHeight="1" x14ac:dyDescent="0.25">
      <c r="B21" s="404"/>
      <c r="C21" s="404"/>
      <c r="D21" s="404"/>
      <c r="E21" s="404"/>
      <c r="F21" s="404"/>
    </row>
    <row r="22" spans="1:14" ht="30" customHeight="1" x14ac:dyDescent="0.25">
      <c r="B22" s="969" t="s">
        <v>400</v>
      </c>
      <c r="C22" s="969"/>
      <c r="D22" s="969"/>
      <c r="E22" s="962" t="s">
        <v>401</v>
      </c>
      <c r="F22" s="963"/>
      <c r="G22" s="963"/>
      <c r="H22" s="970" t="s">
        <v>402</v>
      </c>
      <c r="I22" s="970"/>
      <c r="J22" s="970"/>
      <c r="K22" s="970"/>
    </row>
    <row r="23" spans="1:14" ht="30" customHeight="1" x14ac:dyDescent="0.25">
      <c r="B23" s="961">
        <f>IF($D$18="",0,Inventory!$AU$5)</f>
        <v>0</v>
      </c>
      <c r="C23" s="961"/>
      <c r="D23" s="961"/>
      <c r="E23" s="964">
        <f>IF($D$18="",0,Inventory!$AV$5)</f>
        <v>0</v>
      </c>
      <c r="F23" s="965"/>
      <c r="G23" s="965"/>
      <c r="H23" s="960">
        <f>IF($D$18="",0,Inventory!$AW$5)</f>
        <v>0</v>
      </c>
      <c r="I23" s="960"/>
      <c r="J23" s="960"/>
      <c r="K23" s="960"/>
    </row>
    <row r="24" spans="1:14" ht="20.100000000000001" customHeight="1" x14ac:dyDescent="0.25">
      <c r="B24" s="439"/>
      <c r="C24" s="439"/>
      <c r="D24" s="436"/>
      <c r="E24" s="440"/>
      <c r="F24" s="441"/>
      <c r="G24" s="441"/>
      <c r="H24" s="441"/>
      <c r="I24" s="441"/>
      <c r="J24" s="441"/>
      <c r="K24" s="439"/>
    </row>
    <row r="25" spans="1:14" ht="9.9499999999999993" customHeight="1" x14ac:dyDescent="0.25">
      <c r="B25" s="425"/>
      <c r="D25" s="434"/>
    </row>
    <row r="26" spans="1:14" ht="20.100000000000001" customHeight="1" x14ac:dyDescent="0.25">
      <c r="B26" s="418" t="s">
        <v>414</v>
      </c>
      <c r="C26" s="438"/>
      <c r="D26" s="422"/>
      <c r="E26" s="442"/>
      <c r="F26" s="443"/>
      <c r="G26" s="443"/>
      <c r="H26" s="443"/>
      <c r="I26" s="443"/>
      <c r="J26" s="443"/>
      <c r="K26" s="438"/>
    </row>
    <row r="27" spans="1:14" ht="20.100000000000001" customHeight="1" x14ac:dyDescent="0.25">
      <c r="B27" s="444" t="s">
        <v>410</v>
      </c>
      <c r="C27" s="438"/>
      <c r="D27" s="422"/>
      <c r="E27" s="442"/>
      <c r="F27" s="443"/>
      <c r="G27" s="443"/>
      <c r="H27" s="443"/>
      <c r="I27" s="443"/>
      <c r="J27" s="443"/>
      <c r="K27" s="438"/>
    </row>
    <row r="28" spans="1:14" ht="30" customHeight="1" x14ac:dyDescent="0.25">
      <c r="B28" s="438"/>
      <c r="C28" s="435" t="s">
        <v>403</v>
      </c>
      <c r="D28" s="955"/>
      <c r="E28" s="955"/>
      <c r="F28" s="955"/>
      <c r="G28" s="955"/>
      <c r="H28" s="955"/>
      <c r="I28" s="955"/>
      <c r="J28" s="955"/>
      <c r="K28" s="955"/>
    </row>
    <row r="29" spans="1:14" ht="30" customHeight="1" x14ac:dyDescent="0.25">
      <c r="B29" s="438"/>
      <c r="C29" s="435" t="s">
        <v>404</v>
      </c>
      <c r="D29" s="955"/>
      <c r="E29" s="955"/>
      <c r="F29" s="955"/>
      <c r="G29" s="955"/>
      <c r="H29" s="955"/>
      <c r="I29" s="955"/>
      <c r="J29" s="955"/>
      <c r="K29" s="955"/>
    </row>
    <row r="30" spans="1:14" ht="30" customHeight="1" x14ac:dyDescent="0.25">
      <c r="B30" s="438"/>
      <c r="C30" s="435" t="s">
        <v>405</v>
      </c>
      <c r="D30" s="955"/>
      <c r="E30" s="955"/>
      <c r="F30" s="433"/>
      <c r="G30" s="435" t="s">
        <v>408</v>
      </c>
      <c r="H30" s="433"/>
      <c r="I30" s="955"/>
      <c r="J30" s="955"/>
      <c r="K30" s="955"/>
    </row>
    <row r="31" spans="1:14" ht="30" customHeight="1" x14ac:dyDescent="0.25">
      <c r="B31" s="438"/>
      <c r="C31" s="435" t="s">
        <v>411</v>
      </c>
      <c r="D31" s="955"/>
      <c r="E31" s="955"/>
      <c r="F31" s="955"/>
      <c r="G31" s="955"/>
      <c r="H31" s="955"/>
      <c r="I31" s="955"/>
      <c r="J31" s="955"/>
      <c r="K31" s="955"/>
    </row>
    <row r="32" spans="1:14" ht="30" customHeight="1" x14ac:dyDescent="0.25">
      <c r="B32" s="438"/>
      <c r="C32" s="435" t="s">
        <v>18</v>
      </c>
      <c r="D32" s="955"/>
      <c r="E32" s="955"/>
      <c r="F32" s="955"/>
      <c r="G32" s="435" t="s">
        <v>19</v>
      </c>
      <c r="H32" s="433"/>
      <c r="I32" s="445"/>
      <c r="J32" s="435" t="s">
        <v>409</v>
      </c>
      <c r="K32" s="445"/>
    </row>
    <row r="33" spans="2:11" ht="30" customHeight="1" x14ac:dyDescent="0.25">
      <c r="B33" s="438"/>
      <c r="C33" s="435" t="s">
        <v>412</v>
      </c>
      <c r="D33" s="955" t="s">
        <v>413</v>
      </c>
      <c r="E33" s="955"/>
      <c r="F33" s="955"/>
      <c r="G33" s="955"/>
      <c r="H33" s="955"/>
      <c r="I33" s="955"/>
      <c r="J33" s="955"/>
      <c r="K33" s="955"/>
    </row>
    <row r="34" spans="2:11" ht="9.9499999999999993" customHeight="1" x14ac:dyDescent="0.25"/>
    <row r="35" spans="2:11" ht="20.100000000000001" customHeight="1" x14ac:dyDescent="0.25">
      <c r="B35" s="418" t="s">
        <v>415</v>
      </c>
      <c r="C35" s="438"/>
      <c r="D35" s="422"/>
      <c r="E35" s="442"/>
      <c r="F35" s="443"/>
      <c r="G35" s="443"/>
      <c r="H35" s="443"/>
      <c r="I35" s="443"/>
      <c r="J35" s="443"/>
      <c r="K35" s="438"/>
    </row>
    <row r="36" spans="2:11" ht="84.95" customHeight="1" x14ac:dyDescent="0.25">
      <c r="B36" s="956" t="str">
        <f>CONCATENATE("By signing below, I acknowledge: ","(1) the authorization of the incentive to the payee named above in Payment Information; ","(2) that the project would not have been accomplished or would have been completed with less efficient equipment except for the existence of the incentive provided by this program; ","(3) that the information provided by me in this application is accurate to the best of my knowledge; ","(4) that if contacted concerning this project, I agree to allow access to my property to inspect the equipment; ","(5) that ",$D$6," assumes no liability whatsoever relating to the equipment installed, its installation, or its performance.")</f>
        <v>By signing below, I acknowledge: (1) the authorization of the incentive to the payee named above in Payment Information; (2) that the project would not have been accomplished or would have been completed with less efficient equipment except for the existence of the incentive provided by this program; (3) that the information provided by me in this application is accurate to the best of my knowledge; (4) that if contacted concerning this project, I agree to allow access to my property to inspect the equipment; (5) that  assumes no liability whatsoever relating to the equipment installed, its installation, or its performance.</v>
      </c>
      <c r="C36" s="956"/>
      <c r="D36" s="956"/>
      <c r="E36" s="956"/>
      <c r="F36" s="956"/>
      <c r="G36" s="956"/>
      <c r="H36" s="956"/>
      <c r="I36" s="956"/>
      <c r="J36" s="956"/>
      <c r="K36" s="956"/>
    </row>
    <row r="37" spans="2:11" ht="50.1" customHeight="1" x14ac:dyDescent="0.25">
      <c r="B37" s="438"/>
      <c r="C37" s="435" t="s">
        <v>416</v>
      </c>
      <c r="D37" s="955"/>
      <c r="E37" s="955"/>
      <c r="F37" s="955"/>
      <c r="G37" s="955"/>
      <c r="H37" s="955"/>
      <c r="I37" s="955"/>
      <c r="J37" s="435" t="s">
        <v>417</v>
      </c>
      <c r="K37" s="447"/>
    </row>
    <row r="38" spans="2:11" ht="50.1" customHeight="1" x14ac:dyDescent="0.25">
      <c r="B38" s="438"/>
      <c r="C38" s="435" t="s">
        <v>692</v>
      </c>
      <c r="D38" s="955"/>
      <c r="E38" s="955"/>
      <c r="F38" s="955"/>
      <c r="G38" s="955"/>
      <c r="H38" s="955"/>
      <c r="I38" s="955"/>
      <c r="J38" s="435" t="s">
        <v>691</v>
      </c>
      <c r="K38" s="447"/>
    </row>
  </sheetData>
  <sheetProtection password="D24D" sheet="1" objects="1" scenarios="1"/>
  <mergeCells count="32">
    <mergeCell ref="E23:G23"/>
    <mergeCell ref="D32:F32"/>
    <mergeCell ref="D33:K33"/>
    <mergeCell ref="D2:J2"/>
    <mergeCell ref="D3:J3"/>
    <mergeCell ref="D4:J4"/>
    <mergeCell ref="B22:D22"/>
    <mergeCell ref="H22:K22"/>
    <mergeCell ref="D6:K6"/>
    <mergeCell ref="D8:K8"/>
    <mergeCell ref="D10:E10"/>
    <mergeCell ref="I17:K17"/>
    <mergeCell ref="D18:K18"/>
    <mergeCell ref="D12:K12"/>
    <mergeCell ref="I16:K16"/>
    <mergeCell ref="D16:F16"/>
    <mergeCell ref="D37:I37"/>
    <mergeCell ref="B36:K36"/>
    <mergeCell ref="D38:I38"/>
    <mergeCell ref="H10:K10"/>
    <mergeCell ref="D28:K28"/>
    <mergeCell ref="D29:K29"/>
    <mergeCell ref="D30:E30"/>
    <mergeCell ref="I30:K30"/>
    <mergeCell ref="D31:K31"/>
    <mergeCell ref="H23:K23"/>
    <mergeCell ref="D15:K15"/>
    <mergeCell ref="D17:E17"/>
    <mergeCell ref="D19:K19"/>
    <mergeCell ref="D20:F20"/>
    <mergeCell ref="B23:D23"/>
    <mergeCell ref="E22:G22"/>
  </mergeCells>
  <conditionalFormatting sqref="B19:E20">
    <cfRule type="expression" dxfId="19" priority="31" stopIfTrue="1">
      <formula>#REF!=""</formula>
    </cfRule>
  </conditionalFormatting>
  <conditionalFormatting sqref="B14:K15 B16:H16 B17:K38">
    <cfRule type="expression" dxfId="18" priority="3">
      <formula>OR($D$6="",$D$6="AEP SWEPCO",$D$6="AEP Texas Central Company",$D$6="AEP Texas North Company",$D$6="Xcel Energy")</formula>
    </cfRule>
  </conditionalFormatting>
  <conditionalFormatting sqref="I16:K16">
    <cfRule type="expression" dxfId="17" priority="2">
      <formula>OR($D$6="",$D$6="AEP SWEPCO",$D$6="AEP Texas Central Company",$D$6="AEP Texas North Company",$D$6="Xcel Energy")</formula>
    </cfRule>
  </conditionalFormatting>
  <conditionalFormatting sqref="D16:E16">
    <cfRule type="expression" dxfId="16" priority="1" stopIfTrue="1">
      <formula>#REF!=""</formula>
    </cfRule>
  </conditionalFormatting>
  <dataValidations count="4">
    <dataValidation type="list" allowBlank="1" showInputMessage="1" showErrorMessage="1" sqref="D6:K6">
      <formula1>Utilities</formula1>
    </dataValidation>
    <dataValidation type="list" allowBlank="1" showInputMessage="1" showErrorMessage="1" sqref="D10:E11">
      <formula1>INDIRECT($S$14)</formula1>
    </dataValidation>
    <dataValidation type="list" allowBlank="1" showInputMessage="1" showErrorMessage="1" sqref="C16 H10:H11">
      <formula1>INDIRECT($T$14)</formula1>
    </dataValidation>
    <dataValidation type="list" allowBlank="1" showInputMessage="1" showErrorMessage="1" sqref="D8:K8">
      <formula1>INDIRECT($U$14)</formula1>
    </dataValidation>
  </dataValidations>
  <pageMargins left="0.7" right="0.7" top="0.75" bottom="0.75" header="0.3" footer="0.3"/>
  <pageSetup scale="72"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DM592"/>
  <sheetViews>
    <sheetView zoomScale="80" zoomScaleNormal="80" workbookViewId="0">
      <pane ySplit="9" topLeftCell="A10" activePane="bottomLeft" state="frozen"/>
      <selection pane="bottomLeft" activeCell="C10" sqref="C10"/>
    </sheetView>
  </sheetViews>
  <sheetFormatPr defaultRowHeight="12.75" x14ac:dyDescent="0.25"/>
  <cols>
    <col min="1" max="1" width="2.7109375" style="5" customWidth="1"/>
    <col min="2" max="2" width="6.7109375" style="5" customWidth="1"/>
    <col min="3" max="3" width="18.85546875" style="5" bestFit="1" customWidth="1"/>
    <col min="4" max="4" width="25.7109375" style="5" customWidth="1"/>
    <col min="5" max="6" width="20.7109375" style="425" customWidth="1"/>
    <col min="7" max="7" width="20.7109375" style="5" customWidth="1"/>
    <col min="8" max="8" width="6" style="5" customWidth="1"/>
    <col min="9" max="9" width="10.7109375" style="5" customWidth="1"/>
    <col min="10" max="10" width="11.7109375" style="5" customWidth="1"/>
    <col min="11" max="11" width="8.5703125" style="5" customWidth="1"/>
    <col min="12" max="12" width="8.42578125" style="5" bestFit="1" customWidth="1"/>
    <col min="13" max="13" width="10.85546875" style="5" bestFit="1" customWidth="1"/>
    <col min="14" max="14" width="8.7109375" style="5" customWidth="1"/>
    <col min="15" max="15" width="10.85546875" style="616" customWidth="1"/>
    <col min="16" max="16" width="8.7109375" style="616" customWidth="1"/>
    <col min="17" max="17" width="5.7109375" style="5" customWidth="1"/>
    <col min="18" max="18" width="15.7109375" style="425" hidden="1" customWidth="1"/>
    <col min="19" max="19" width="15.7109375" style="616" hidden="1" customWidth="1"/>
    <col min="20" max="20" width="10.7109375" style="425" hidden="1" customWidth="1"/>
    <col min="21" max="21" width="15.7109375" style="616" hidden="1" customWidth="1"/>
    <col min="22" max="22" width="10.7109375" style="616" hidden="1" customWidth="1"/>
    <col min="23" max="23" width="20.7109375" style="5" customWidth="1"/>
    <col min="24" max="24" width="12" style="5" bestFit="1" customWidth="1"/>
    <col min="25" max="25" width="20.7109375" style="425" customWidth="1"/>
    <col min="26" max="26" width="20.7109375" style="5" customWidth="1"/>
    <col min="27" max="27" width="11.7109375" style="5" bestFit="1" customWidth="1"/>
    <col min="28" max="28" width="8.5703125" style="5" customWidth="1"/>
    <col min="29" max="29" width="8.42578125" style="5" bestFit="1" customWidth="1"/>
    <col min="30" max="30" width="10.85546875" style="425" customWidth="1"/>
    <col min="31" max="33" width="10.85546875" style="425" hidden="1" customWidth="1"/>
    <col min="34" max="34" width="13.5703125" style="425" hidden="1" customWidth="1"/>
    <col min="35" max="35" width="10.85546875" style="425" hidden="1" customWidth="1"/>
    <col min="36" max="36" width="13.5703125" style="5" hidden="1" customWidth="1"/>
    <col min="37" max="37" width="8.7109375" style="5" customWidth="1"/>
    <col min="38" max="38" width="10.85546875" style="616" customWidth="1"/>
    <col min="39" max="39" width="8.7109375" style="616" customWidth="1"/>
    <col min="40" max="40" width="5.7109375" style="5" customWidth="1"/>
    <col min="41" max="41" width="15.7109375" style="5" customWidth="1"/>
    <col min="42" max="42" width="15.7109375" style="616" customWidth="1"/>
    <col min="43" max="43" width="10.140625" style="5" customWidth="1"/>
    <col min="44" max="44" width="15.7109375" style="425" customWidth="1"/>
    <col min="45" max="45" width="10.140625" style="425" customWidth="1"/>
    <col min="46" max="46" width="10" style="5" bestFit="1" customWidth="1"/>
    <col min="47" max="49" width="15.7109375" style="5" customWidth="1"/>
    <col min="50" max="51" width="20.140625" style="5" hidden="1" customWidth="1"/>
    <col min="52" max="52" width="11.7109375" style="5" hidden="1" customWidth="1"/>
    <col min="53" max="54" width="11.7109375" style="616" hidden="1" customWidth="1"/>
    <col min="55" max="55" width="10.7109375" style="5" hidden="1" customWidth="1"/>
    <col min="56" max="56" width="10.7109375" style="425" hidden="1" customWidth="1"/>
    <col min="57" max="58" width="10.7109375" style="616" hidden="1" customWidth="1"/>
    <col min="59" max="60" width="10.7109375" style="425" hidden="1" customWidth="1"/>
    <col min="61" max="62" width="10.7109375" style="616" hidden="1" customWidth="1"/>
    <col min="63" max="63" width="5.7109375" style="176" hidden="1" customWidth="1"/>
    <col min="64" max="64" width="5.7109375" style="425" hidden="1" customWidth="1"/>
    <col min="65" max="72" width="13.7109375" style="425" hidden="1" customWidth="1"/>
    <col min="73" max="74" width="12.7109375" style="425" hidden="1" customWidth="1"/>
    <col min="75" max="75" width="19.85546875" style="176" hidden="1" customWidth="1"/>
    <col min="76" max="76" width="10.85546875" style="689" hidden="1" customWidth="1"/>
    <col min="77" max="78" width="10.85546875" style="176" hidden="1" customWidth="1"/>
    <col min="79" max="80" width="10.85546875" style="689" hidden="1" customWidth="1"/>
    <col min="81" max="81" width="9.85546875" style="5" hidden="1" customWidth="1"/>
    <col min="82" max="82" width="9.85546875" style="616" hidden="1" customWidth="1"/>
    <col min="83" max="83" width="7.7109375" style="5" hidden="1" customWidth="1"/>
    <col min="84" max="84" width="10.85546875" style="616" hidden="1" customWidth="1"/>
    <col min="85" max="85" width="9.85546875" style="616" hidden="1" customWidth="1"/>
    <col min="86" max="86" width="7.7109375" style="616" hidden="1" customWidth="1"/>
    <col min="87" max="87" width="6.7109375" style="5" hidden="1" customWidth="1"/>
    <col min="88" max="88" width="6.7109375" style="616" hidden="1" customWidth="1"/>
    <col min="89" max="89" width="6.7109375" style="5" hidden="1" customWidth="1"/>
    <col min="90" max="90" width="19.85546875" style="5" hidden="1" customWidth="1"/>
    <col min="91" max="91" width="10.85546875" style="5" hidden="1" customWidth="1"/>
    <col min="92" max="92" width="9.85546875" style="5" hidden="1" customWidth="1"/>
    <col min="93" max="93" width="9.85546875" style="616" hidden="1" customWidth="1"/>
    <col min="94" max="94" width="7.7109375" style="5" hidden="1" customWidth="1"/>
    <col min="95" max="95" width="10.85546875" style="616" hidden="1" customWidth="1"/>
    <col min="96" max="96" width="9.85546875" style="616" hidden="1" customWidth="1"/>
    <col min="97" max="97" width="7.7109375" style="616" hidden="1" customWidth="1"/>
    <col min="98" max="98" width="6.7109375" style="5" hidden="1" customWidth="1"/>
    <col min="99" max="99" width="6.7109375" style="616" hidden="1" customWidth="1"/>
    <col min="100" max="100" width="6.7109375" style="5" hidden="1" customWidth="1"/>
    <col min="101" max="101" width="4.7109375" style="5" hidden="1" customWidth="1"/>
    <col min="102" max="102" width="18.85546875" style="5" hidden="1" customWidth="1"/>
    <col min="103" max="103" width="29.140625" style="425" hidden="1" customWidth="1"/>
    <col min="104" max="104" width="12.85546875" style="5" hidden="1" customWidth="1"/>
    <col min="105" max="105" width="19.5703125" style="5" hidden="1" customWidth="1"/>
    <col min="106" max="106" width="4.5703125" style="5" hidden="1" customWidth="1"/>
    <col min="107" max="107" width="4.7109375" style="5" hidden="1" customWidth="1"/>
    <col min="108" max="108" width="19.85546875" style="5" hidden="1" customWidth="1"/>
    <col min="109" max="109" width="25.140625" style="5" hidden="1" customWidth="1"/>
    <col min="110" max="110" width="18.85546875" style="5" hidden="1" customWidth="1"/>
    <col min="111" max="111" width="15.28515625" style="5" hidden="1" customWidth="1"/>
    <col min="112" max="112" width="17" style="5" hidden="1" customWidth="1"/>
    <col min="113" max="113" width="25.140625" style="5" hidden="1" customWidth="1"/>
    <col min="114" max="114" width="18.85546875" style="5" hidden="1" customWidth="1"/>
    <col min="115" max="115" width="16" style="5" hidden="1" customWidth="1"/>
    <col min="116" max="116" width="17" style="5" hidden="1" customWidth="1"/>
    <col min="117" max="117" width="128.7109375" style="5" customWidth="1"/>
    <col min="118" max="16384" width="9.140625" style="5"/>
  </cols>
  <sheetData>
    <row r="1" spans="1:117" ht="9.9499999999999993" customHeight="1" thickBot="1" x14ac:dyDescent="0.3">
      <c r="A1" s="4"/>
      <c r="B1" s="4"/>
      <c r="C1" s="4"/>
      <c r="D1" s="4"/>
      <c r="E1" s="424"/>
      <c r="F1" s="424"/>
      <c r="G1" s="4"/>
      <c r="H1" s="4"/>
      <c r="I1" s="4"/>
      <c r="J1" s="4"/>
      <c r="K1" s="4"/>
      <c r="L1" s="4"/>
      <c r="M1" s="4"/>
      <c r="N1" s="4"/>
      <c r="O1" s="615"/>
      <c r="P1" s="615"/>
      <c r="Q1" s="4"/>
      <c r="R1" s="424"/>
      <c r="S1" s="615"/>
      <c r="T1" s="424"/>
      <c r="U1" s="615"/>
      <c r="V1" s="615"/>
      <c r="W1" s="4"/>
      <c r="X1" s="4"/>
      <c r="Y1" s="424"/>
      <c r="Z1" s="4"/>
      <c r="AA1" s="4"/>
      <c r="AB1" s="4"/>
      <c r="AC1" s="4"/>
      <c r="AD1" s="424"/>
      <c r="AE1" s="424"/>
      <c r="AF1" s="424"/>
      <c r="AG1" s="424"/>
      <c r="AH1" s="424"/>
      <c r="AI1" s="424"/>
      <c r="AJ1" s="4"/>
      <c r="AK1" s="4"/>
      <c r="AL1" s="615"/>
      <c r="AM1" s="615"/>
      <c r="AN1" s="4"/>
      <c r="AO1" s="4"/>
      <c r="AP1" s="615"/>
      <c r="AQ1" s="4"/>
      <c r="AR1" s="424"/>
      <c r="AS1" s="424"/>
      <c r="AT1" s="4"/>
      <c r="AU1" s="4"/>
      <c r="AV1" s="4"/>
      <c r="AW1" s="4"/>
      <c r="AX1" s="4"/>
      <c r="AY1" s="4"/>
      <c r="AZ1" s="4"/>
      <c r="BA1" s="615"/>
      <c r="BB1" s="615"/>
      <c r="BC1" s="4"/>
      <c r="BD1" s="424"/>
      <c r="BE1" s="615"/>
      <c r="BF1" s="615"/>
      <c r="BG1" s="424"/>
      <c r="BH1" s="424"/>
      <c r="BI1" s="615"/>
      <c r="BJ1" s="615"/>
      <c r="BK1" s="327"/>
      <c r="BL1" s="424"/>
      <c r="BM1" s="424"/>
      <c r="BN1" s="424"/>
      <c r="BO1" s="424"/>
      <c r="BP1" s="424"/>
      <c r="BQ1" s="424"/>
      <c r="BR1" s="424"/>
      <c r="BS1" s="424"/>
      <c r="BT1" s="424"/>
      <c r="BU1" s="424"/>
      <c r="BV1" s="424"/>
      <c r="DD1" s="702"/>
    </row>
    <row r="2" spans="1:117" s="6" customFormat="1" ht="24.95" customHeight="1" thickBot="1" x14ac:dyDescent="0.3">
      <c r="B2" s="483">
        <v>2016</v>
      </c>
      <c r="C2" s="278" t="s">
        <v>133</v>
      </c>
      <c r="D2" s="278"/>
      <c r="E2" s="278"/>
      <c r="F2" s="278"/>
      <c r="G2" s="278"/>
      <c r="H2" s="278"/>
      <c r="I2" s="278"/>
      <c r="J2" s="278"/>
      <c r="K2" s="278"/>
      <c r="L2" s="278"/>
      <c r="M2" s="278"/>
      <c r="N2" s="278"/>
      <c r="O2" s="726"/>
      <c r="P2" s="726"/>
      <c r="Q2" s="278"/>
      <c r="R2" s="278"/>
      <c r="S2" s="726"/>
      <c r="T2" s="278"/>
      <c r="U2" s="726"/>
      <c r="V2" s="726"/>
      <c r="W2" s="278"/>
      <c r="X2" s="278"/>
      <c r="Y2" s="278"/>
      <c r="Z2" s="278"/>
      <c r="AA2" s="278"/>
      <c r="AB2" s="278"/>
      <c r="AC2" s="278"/>
      <c r="AD2" s="278"/>
      <c r="AE2" s="278"/>
      <c r="AF2" s="278"/>
      <c r="AG2" s="278"/>
      <c r="AH2" s="278"/>
      <c r="AI2" s="278"/>
      <c r="AJ2" s="278"/>
      <c r="AK2" s="278"/>
      <c r="AL2" s="726"/>
      <c r="AM2" s="726"/>
      <c r="AN2" s="278"/>
      <c r="AO2" s="278"/>
      <c r="AP2" s="726"/>
      <c r="AQ2" s="278"/>
      <c r="AR2" s="278"/>
      <c r="AS2" s="278"/>
      <c r="AT2" s="278"/>
      <c r="AU2" s="278"/>
      <c r="AV2" s="286"/>
      <c r="AW2" s="279" t="str">
        <f>CONCATENATE("v ",Summary!C38)</f>
        <v>v 2016.3</v>
      </c>
      <c r="AX2" s="212"/>
      <c r="AY2" s="212"/>
      <c r="AZ2" s="212"/>
      <c r="BA2" s="696"/>
      <c r="BB2" s="696"/>
      <c r="BC2" s="212"/>
      <c r="BD2" s="212"/>
      <c r="BE2" s="696"/>
      <c r="BF2" s="696"/>
      <c r="BG2" s="212"/>
      <c r="BH2" s="212"/>
      <c r="BI2" s="696"/>
      <c r="BJ2" s="696"/>
      <c r="BK2" s="328"/>
      <c r="BL2" s="212"/>
      <c r="BM2" s="212"/>
      <c r="BN2" s="212"/>
      <c r="BO2" s="212"/>
      <c r="BP2" s="212"/>
      <c r="BQ2" s="212"/>
      <c r="BR2" s="212"/>
      <c r="BS2" s="212"/>
      <c r="BT2" s="212"/>
      <c r="BU2" s="212"/>
      <c r="BV2" s="212"/>
      <c r="BW2" s="177"/>
      <c r="BX2" s="690"/>
      <c r="BY2" s="177"/>
      <c r="BZ2" s="177"/>
      <c r="CA2" s="690"/>
      <c r="CB2" s="690"/>
      <c r="CD2" s="617"/>
      <c r="CF2" s="617"/>
      <c r="CG2" s="617"/>
      <c r="CH2" s="617"/>
      <c r="CJ2" s="617"/>
      <c r="CO2" s="617"/>
      <c r="CQ2" s="617"/>
      <c r="CR2" s="617"/>
      <c r="CS2" s="617"/>
      <c r="CU2" s="617"/>
      <c r="CY2" s="426"/>
      <c r="DD2" s="844"/>
    </row>
    <row r="3" spans="1:117" s="7" customFormat="1" ht="9.9499999999999993" customHeight="1" thickBot="1" x14ac:dyDescent="0.3">
      <c r="B3" s="8"/>
      <c r="C3" s="8"/>
      <c r="D3" s="9"/>
      <c r="E3" s="429"/>
      <c r="F3" s="429"/>
      <c r="G3" s="9"/>
      <c r="H3" s="9"/>
      <c r="I3" s="9"/>
      <c r="J3" s="9"/>
      <c r="K3" s="9"/>
      <c r="L3" s="9"/>
      <c r="M3" s="9"/>
      <c r="N3" s="9"/>
      <c r="O3" s="619"/>
      <c r="P3" s="619"/>
      <c r="Q3" s="9"/>
      <c r="R3" s="429"/>
      <c r="S3" s="619"/>
      <c r="T3" s="429"/>
      <c r="U3" s="619"/>
      <c r="V3" s="619"/>
      <c r="W3" s="9"/>
      <c r="X3" s="9"/>
      <c r="Y3" s="429"/>
      <c r="Z3" s="9"/>
      <c r="AA3" s="9"/>
      <c r="AB3" s="9"/>
      <c r="AC3" s="9"/>
      <c r="AD3" s="429"/>
      <c r="AE3" s="429"/>
      <c r="AF3" s="429"/>
      <c r="AG3" s="429"/>
      <c r="AH3" s="429"/>
      <c r="AI3" s="429"/>
      <c r="AJ3" s="9"/>
      <c r="AK3" s="9"/>
      <c r="AL3" s="619"/>
      <c r="AM3" s="619"/>
      <c r="AN3" s="9"/>
      <c r="AO3" s="9"/>
      <c r="AP3" s="619"/>
      <c r="AQ3" s="9"/>
      <c r="AR3" s="429"/>
      <c r="AS3" s="429"/>
      <c r="AT3" s="9"/>
      <c r="AU3" s="9"/>
      <c r="AV3" s="9"/>
      <c r="AW3" s="9"/>
      <c r="AX3" s="213"/>
      <c r="AY3" s="213"/>
      <c r="AZ3" s="213"/>
      <c r="BA3" s="697"/>
      <c r="BB3" s="697"/>
      <c r="BC3" s="213"/>
      <c r="BD3" s="213"/>
      <c r="BE3" s="697"/>
      <c r="BF3" s="697"/>
      <c r="BG3" s="213"/>
      <c r="BH3" s="213"/>
      <c r="BI3" s="697"/>
      <c r="BJ3" s="697"/>
      <c r="BK3" s="329"/>
      <c r="BL3" s="213"/>
      <c r="BM3" s="213"/>
      <c r="BN3" s="213"/>
      <c r="BO3" s="213"/>
      <c r="BP3" s="213"/>
      <c r="BQ3" s="213"/>
      <c r="BR3" s="213"/>
      <c r="BS3" s="213"/>
      <c r="BT3" s="213"/>
      <c r="BU3" s="213"/>
      <c r="BV3" s="213"/>
      <c r="BW3" s="173"/>
      <c r="BX3" s="688"/>
      <c r="BY3" s="173"/>
      <c r="BZ3" s="173"/>
      <c r="CA3" s="688"/>
      <c r="CB3" s="688"/>
      <c r="CD3" s="618"/>
      <c r="CF3" s="618"/>
      <c r="CG3" s="618"/>
      <c r="CH3" s="618"/>
      <c r="CJ3" s="618"/>
      <c r="CO3" s="618"/>
      <c r="CQ3" s="618"/>
      <c r="CR3" s="618"/>
      <c r="CS3" s="618"/>
      <c r="CU3" s="618"/>
      <c r="CY3" s="427"/>
      <c r="DD3" s="845"/>
    </row>
    <row r="4" spans="1:117" s="7" customFormat="1" ht="30" customHeight="1" thickBot="1" x14ac:dyDescent="0.3">
      <c r="B4" s="1021" t="s">
        <v>547</v>
      </c>
      <c r="C4" s="1021"/>
      <c r="D4" s="1021"/>
      <c r="E4" s="1021"/>
      <c r="F4" s="1021"/>
      <c r="G4" s="1021"/>
      <c r="H4" s="1021"/>
      <c r="I4" s="1021"/>
      <c r="J4" s="1021"/>
      <c r="K4" s="1021"/>
      <c r="L4" s="1021"/>
      <c r="M4" s="1021"/>
      <c r="N4" s="1021"/>
      <c r="O4" s="1021"/>
      <c r="P4" s="1021"/>
      <c r="Q4" s="1021"/>
      <c r="R4" s="1021"/>
      <c r="S4" s="1021"/>
      <c r="T4" s="1021"/>
      <c r="U4" s="1021"/>
      <c r="V4" s="1021"/>
      <c r="W4" s="874"/>
      <c r="X4" s="874"/>
      <c r="Y4" s="874"/>
      <c r="Z4" s="874"/>
      <c r="AA4" s="874"/>
      <c r="AB4" s="874"/>
      <c r="AC4" s="874"/>
      <c r="AD4" s="874"/>
      <c r="AE4" s="874"/>
      <c r="AF4" s="874"/>
      <c r="AG4" s="874"/>
      <c r="AH4" s="874"/>
      <c r="AI4" s="874"/>
      <c r="AJ4" s="874"/>
      <c r="AK4" s="874"/>
      <c r="AL4" s="874"/>
      <c r="AM4" s="874"/>
      <c r="AN4" s="874"/>
      <c r="AO4" s="874"/>
      <c r="AP4" s="874"/>
      <c r="AQ4" s="874"/>
      <c r="AR4" s="874"/>
      <c r="AS4" s="874"/>
      <c r="AT4" s="875"/>
      <c r="AU4" s="16" t="s">
        <v>36</v>
      </c>
      <c r="AV4" s="287" t="s">
        <v>37</v>
      </c>
      <c r="AW4" s="291" t="s">
        <v>292</v>
      </c>
      <c r="AX4" s="214"/>
      <c r="AY4" s="214"/>
      <c r="AZ4" s="214"/>
      <c r="BA4" s="698"/>
      <c r="BB4" s="698"/>
      <c r="BC4" s="214"/>
      <c r="BD4" s="214"/>
      <c r="BE4" s="698"/>
      <c r="BF4" s="698"/>
      <c r="BG4" s="214"/>
      <c r="BH4" s="214"/>
      <c r="BI4" s="698"/>
      <c r="BJ4" s="698"/>
      <c r="BK4" s="214"/>
      <c r="BL4" s="214"/>
      <c r="BM4" s="214"/>
      <c r="BN4" s="214"/>
      <c r="BO4" s="214"/>
      <c r="BP4" s="214"/>
      <c r="BQ4" s="214"/>
      <c r="BR4" s="214"/>
      <c r="BS4" s="214"/>
      <c r="BT4" s="214"/>
      <c r="BU4" s="214"/>
      <c r="BV4" s="214"/>
      <c r="BW4" s="173"/>
      <c r="BX4" s="688"/>
      <c r="BY4" s="173"/>
      <c r="BZ4" s="173"/>
      <c r="CA4" s="688"/>
      <c r="CB4" s="688"/>
      <c r="CD4" s="618"/>
      <c r="CF4" s="618"/>
      <c r="CG4" s="618"/>
      <c r="CH4" s="618"/>
      <c r="CJ4" s="618"/>
      <c r="CO4" s="618"/>
      <c r="CQ4" s="618"/>
      <c r="CR4" s="618"/>
      <c r="CS4" s="618"/>
      <c r="CU4" s="618"/>
      <c r="CY4" s="427"/>
      <c r="DD4" s="845"/>
    </row>
    <row r="5" spans="1:117" s="7" customFormat="1" ht="21.95" customHeight="1" thickBot="1" x14ac:dyDescent="0.3">
      <c r="B5" s="1021"/>
      <c r="C5" s="1021"/>
      <c r="D5" s="1021"/>
      <c r="E5" s="1021"/>
      <c r="F5" s="1021"/>
      <c r="G5" s="1021"/>
      <c r="H5" s="1021"/>
      <c r="I5" s="1021"/>
      <c r="J5" s="1021"/>
      <c r="K5" s="1021"/>
      <c r="L5" s="1021"/>
      <c r="M5" s="1021"/>
      <c r="N5" s="1021"/>
      <c r="O5" s="1021"/>
      <c r="P5" s="1021"/>
      <c r="Q5" s="1021"/>
      <c r="R5" s="1021"/>
      <c r="S5" s="1021"/>
      <c r="T5" s="1021"/>
      <c r="U5" s="1021"/>
      <c r="V5" s="1021"/>
      <c r="W5" s="874"/>
      <c r="X5" s="874"/>
      <c r="Y5" s="874"/>
      <c r="Z5" s="874"/>
      <c r="AA5" s="874"/>
      <c r="AB5" s="874"/>
      <c r="AC5" s="874"/>
      <c r="AD5" s="874"/>
      <c r="AE5" s="874"/>
      <c r="AF5" s="874"/>
      <c r="AG5" s="874"/>
      <c r="AH5" s="874"/>
      <c r="AI5" s="874"/>
      <c r="AJ5" s="874"/>
      <c r="AK5" s="874"/>
      <c r="AL5" s="874"/>
      <c r="AM5" s="874"/>
      <c r="AN5" s="874"/>
      <c r="AO5" s="874"/>
      <c r="AP5" s="874"/>
      <c r="AQ5" s="874"/>
      <c r="AR5" s="874"/>
      <c r="AS5" s="874"/>
      <c r="AT5" s="875"/>
      <c r="AU5" s="310">
        <f>IFERROR($AU$261,0)</f>
        <v>0</v>
      </c>
      <c r="AV5" s="294">
        <f>IFERROR($AV$261,0)</f>
        <v>0</v>
      </c>
      <c r="AW5" s="295">
        <f>IFERROR($AW$261,0)</f>
        <v>0</v>
      </c>
      <c r="AX5" s="215"/>
      <c r="AY5" s="215"/>
      <c r="AZ5" s="215"/>
      <c r="BA5" s="699"/>
      <c r="BB5" s="699"/>
      <c r="BC5" s="215"/>
      <c r="BD5" s="215"/>
      <c r="BE5" s="699"/>
      <c r="BF5" s="699"/>
      <c r="BG5" s="215"/>
      <c r="BH5" s="215"/>
      <c r="BI5" s="699"/>
      <c r="BJ5" s="699"/>
      <c r="BK5" s="215"/>
      <c r="BL5" s="215"/>
      <c r="BM5" s="215"/>
      <c r="BN5" s="215"/>
      <c r="BO5" s="215"/>
      <c r="BP5" s="215"/>
      <c r="BQ5" s="215"/>
      <c r="BR5" s="215"/>
      <c r="BS5" s="215"/>
      <c r="BT5" s="215"/>
      <c r="BU5" s="215"/>
      <c r="BV5" s="215"/>
      <c r="BW5" s="173"/>
      <c r="BX5" s="688"/>
      <c r="BY5" s="173"/>
      <c r="BZ5" s="173"/>
      <c r="CA5" s="688"/>
      <c r="CB5" s="688"/>
      <c r="CD5" s="618"/>
      <c r="CF5" s="618"/>
      <c r="CG5" s="618"/>
      <c r="CH5" s="618"/>
      <c r="CJ5" s="618"/>
      <c r="CO5" s="618"/>
      <c r="CQ5" s="618"/>
      <c r="CR5" s="618"/>
      <c r="CS5" s="618"/>
      <c r="CU5" s="618"/>
      <c r="CY5" s="427"/>
      <c r="DD5" s="845"/>
    </row>
    <row r="6" spans="1:117" s="7" customFormat="1" ht="9.9499999999999993" customHeight="1" thickBot="1" x14ac:dyDescent="0.3">
      <c r="B6" s="10"/>
      <c r="C6" s="8"/>
      <c r="D6" s="9"/>
      <c r="E6" s="429"/>
      <c r="F6" s="429"/>
      <c r="G6" s="11"/>
      <c r="H6" s="11"/>
      <c r="I6" s="11"/>
      <c r="J6" s="11"/>
      <c r="K6" s="11"/>
      <c r="L6" s="11"/>
      <c r="M6" s="11"/>
      <c r="N6" s="11"/>
      <c r="O6" s="620"/>
      <c r="P6" s="620"/>
      <c r="Q6" s="11"/>
      <c r="R6" s="429"/>
      <c r="S6" s="619"/>
      <c r="T6" s="429"/>
      <c r="U6" s="619"/>
      <c r="V6" s="619"/>
      <c r="W6" s="9"/>
      <c r="X6" s="9"/>
      <c r="Y6" s="429"/>
      <c r="Z6" s="9"/>
      <c r="AA6" s="9"/>
      <c r="AB6" s="9"/>
      <c r="AC6" s="9"/>
      <c r="AD6" s="429"/>
      <c r="AE6" s="429"/>
      <c r="AF6" s="429"/>
      <c r="AG6" s="429"/>
      <c r="AH6" s="429"/>
      <c r="AI6" s="429"/>
      <c r="AJ6" s="9"/>
      <c r="AK6" s="9"/>
      <c r="AL6" s="619"/>
      <c r="AM6" s="619"/>
      <c r="AN6" s="9"/>
      <c r="AO6" s="9"/>
      <c r="AP6" s="619"/>
      <c r="AQ6" s="9"/>
      <c r="AR6" s="429"/>
      <c r="AS6" s="429"/>
      <c r="AT6" s="9"/>
      <c r="AU6" s="9"/>
      <c r="AV6" s="9"/>
      <c r="AW6" s="9"/>
      <c r="AX6" s="9"/>
      <c r="AY6" s="9"/>
      <c r="AZ6" s="9"/>
      <c r="BA6" s="619"/>
      <c r="BB6" s="619"/>
      <c r="BC6" s="9"/>
      <c r="BD6" s="429"/>
      <c r="BE6" s="619"/>
      <c r="BF6" s="619"/>
      <c r="BG6" s="429"/>
      <c r="BH6" s="429"/>
      <c r="BI6" s="619"/>
      <c r="BJ6" s="619"/>
      <c r="BK6" s="330"/>
      <c r="BL6" s="429"/>
      <c r="BM6" s="429"/>
      <c r="BN6" s="429"/>
      <c r="BO6" s="429"/>
      <c r="BP6" s="429"/>
      <c r="BQ6" s="429"/>
      <c r="BR6" s="429"/>
      <c r="BS6" s="429"/>
      <c r="BT6" s="429"/>
      <c r="BU6" s="429"/>
      <c r="BV6" s="429"/>
      <c r="BW6" s="173"/>
      <c r="BX6" s="688"/>
      <c r="BY6" s="173"/>
      <c r="BZ6" s="173"/>
      <c r="CA6" s="688"/>
      <c r="CB6" s="688"/>
      <c r="CD6" s="618"/>
      <c r="CF6" s="618"/>
      <c r="CG6" s="618"/>
      <c r="CH6" s="618"/>
      <c r="CJ6" s="618"/>
      <c r="CO6" s="618"/>
      <c r="CQ6" s="618"/>
      <c r="CR6" s="618"/>
      <c r="CS6" s="618"/>
      <c r="CU6" s="618"/>
      <c r="CY6" s="427"/>
      <c r="DD6" s="845"/>
    </row>
    <row r="7" spans="1:117" s="12" customFormat="1" ht="15" customHeight="1" x14ac:dyDescent="0.25">
      <c r="B7" s="1014"/>
      <c r="C7" s="1011" t="s">
        <v>281</v>
      </c>
      <c r="D7" s="1008" t="s">
        <v>35</v>
      </c>
      <c r="E7" s="1037" t="s">
        <v>38</v>
      </c>
      <c r="F7" s="1038"/>
      <c r="G7" s="1038"/>
      <c r="H7" s="1038"/>
      <c r="I7" s="1038"/>
      <c r="J7" s="1038"/>
      <c r="K7" s="1038"/>
      <c r="L7" s="1038"/>
      <c r="M7" s="1038"/>
      <c r="N7" s="1038"/>
      <c r="O7" s="1038"/>
      <c r="P7" s="1038"/>
      <c r="Q7" s="1039"/>
      <c r="R7" s="1147"/>
      <c r="S7" s="1147"/>
      <c r="T7" s="1147"/>
      <c r="U7" s="1147"/>
      <c r="V7" s="1148"/>
      <c r="W7" s="1029" t="s">
        <v>282</v>
      </c>
      <c r="X7" s="1030"/>
      <c r="Y7" s="1030"/>
      <c r="Z7" s="1030"/>
      <c r="AA7" s="1030"/>
      <c r="AB7" s="1030"/>
      <c r="AC7" s="1030"/>
      <c r="AD7" s="1030"/>
      <c r="AE7" s="1030"/>
      <c r="AF7" s="1030"/>
      <c r="AG7" s="1030"/>
      <c r="AH7" s="1030"/>
      <c r="AI7" s="1030"/>
      <c r="AJ7" s="1030"/>
      <c r="AK7" s="1030"/>
      <c r="AL7" s="1030"/>
      <c r="AM7" s="1030"/>
      <c r="AN7" s="1030"/>
      <c r="AO7" s="1030"/>
      <c r="AP7" s="1030"/>
      <c r="AQ7" s="1030"/>
      <c r="AR7" s="1030"/>
      <c r="AS7" s="1031"/>
      <c r="AT7" s="1042" t="s">
        <v>298</v>
      </c>
      <c r="AU7" s="1026" t="s">
        <v>36</v>
      </c>
      <c r="AV7" s="980" t="s">
        <v>37</v>
      </c>
      <c r="AW7" s="1023" t="s">
        <v>292</v>
      </c>
      <c r="AX7" s="1032" t="s">
        <v>247</v>
      </c>
      <c r="AY7" s="977" t="s">
        <v>300</v>
      </c>
      <c r="AZ7" s="977" t="s">
        <v>592</v>
      </c>
      <c r="BA7" s="977" t="s">
        <v>593</v>
      </c>
      <c r="BB7" s="977" t="s">
        <v>594</v>
      </c>
      <c r="BC7" s="977" t="s">
        <v>301</v>
      </c>
      <c r="BD7" s="977" t="s">
        <v>595</v>
      </c>
      <c r="BE7" s="977" t="s">
        <v>596</v>
      </c>
      <c r="BF7" s="977" t="s">
        <v>597</v>
      </c>
      <c r="BG7" s="977" t="s">
        <v>455</v>
      </c>
      <c r="BH7" s="977" t="s">
        <v>613</v>
      </c>
      <c r="BI7" s="977" t="s">
        <v>614</v>
      </c>
      <c r="BJ7" s="977" t="s">
        <v>615</v>
      </c>
      <c r="BK7" s="977" t="s">
        <v>304</v>
      </c>
      <c r="BL7" s="980" t="s">
        <v>442</v>
      </c>
      <c r="BM7" s="980" t="s">
        <v>451</v>
      </c>
      <c r="BN7" s="980" t="s">
        <v>452</v>
      </c>
      <c r="BO7" s="980" t="s">
        <v>447</v>
      </c>
      <c r="BP7" s="980" t="s">
        <v>453</v>
      </c>
      <c r="BQ7" s="980" t="s">
        <v>454</v>
      </c>
      <c r="BR7" s="980" t="s">
        <v>448</v>
      </c>
      <c r="BS7" s="980" t="s">
        <v>445</v>
      </c>
      <c r="BT7" s="980" t="s">
        <v>446</v>
      </c>
      <c r="BU7" s="980" t="s">
        <v>449</v>
      </c>
      <c r="BV7" s="989" t="s">
        <v>450</v>
      </c>
      <c r="BW7" s="975" t="s">
        <v>38</v>
      </c>
      <c r="BX7" s="975"/>
      <c r="BY7" s="975"/>
      <c r="BZ7" s="975"/>
      <c r="CA7" s="975"/>
      <c r="CB7" s="975"/>
      <c r="CC7" s="975"/>
      <c r="CD7" s="975"/>
      <c r="CE7" s="975"/>
      <c r="CF7" s="975"/>
      <c r="CG7" s="975"/>
      <c r="CH7" s="975"/>
      <c r="CI7" s="975"/>
      <c r="CJ7" s="975"/>
      <c r="CK7" s="976"/>
      <c r="CL7" s="997" t="s">
        <v>282</v>
      </c>
      <c r="CM7" s="998"/>
      <c r="CN7" s="998"/>
      <c r="CO7" s="998"/>
      <c r="CP7" s="998"/>
      <c r="CQ7" s="998"/>
      <c r="CR7" s="998"/>
      <c r="CS7" s="998"/>
      <c r="CT7" s="998"/>
      <c r="CU7" s="998"/>
      <c r="CV7" s="999"/>
      <c r="CY7" s="430"/>
      <c r="DD7" s="846"/>
    </row>
    <row r="8" spans="1:117" s="12" customFormat="1" ht="45" customHeight="1" x14ac:dyDescent="0.25">
      <c r="B8" s="1015"/>
      <c r="C8" s="1012"/>
      <c r="D8" s="1009"/>
      <c r="E8" s="1035" t="s">
        <v>39</v>
      </c>
      <c r="F8" s="983" t="s">
        <v>548</v>
      </c>
      <c r="G8" s="983" t="s">
        <v>49</v>
      </c>
      <c r="H8" s="983" t="s">
        <v>42</v>
      </c>
      <c r="I8" s="983" t="s">
        <v>137</v>
      </c>
      <c r="J8" s="127" t="s">
        <v>75</v>
      </c>
      <c r="K8" s="277" t="s">
        <v>532</v>
      </c>
      <c r="L8" s="277" t="s">
        <v>285</v>
      </c>
      <c r="M8" s="983" t="s">
        <v>569</v>
      </c>
      <c r="N8" s="983" t="s">
        <v>571</v>
      </c>
      <c r="O8" s="983" t="s">
        <v>568</v>
      </c>
      <c r="P8" s="983" t="s">
        <v>570</v>
      </c>
      <c r="Q8" s="985" t="s">
        <v>40</v>
      </c>
      <c r="R8" s="1145" t="s">
        <v>621</v>
      </c>
      <c r="S8" s="1019" t="s">
        <v>687</v>
      </c>
      <c r="T8" s="1019" t="s">
        <v>583</v>
      </c>
      <c r="U8" s="1019" t="s">
        <v>619</v>
      </c>
      <c r="V8" s="1040" t="s">
        <v>582</v>
      </c>
      <c r="W8" s="1002" t="s">
        <v>39</v>
      </c>
      <c r="X8" s="993" t="s">
        <v>291</v>
      </c>
      <c r="Y8" s="993" t="s">
        <v>548</v>
      </c>
      <c r="Z8" s="993" t="s">
        <v>49</v>
      </c>
      <c r="AA8" s="526" t="s">
        <v>75</v>
      </c>
      <c r="AB8" s="526" t="s">
        <v>532</v>
      </c>
      <c r="AC8" s="526" t="s">
        <v>285</v>
      </c>
      <c r="AD8" s="993" t="s">
        <v>569</v>
      </c>
      <c r="AE8" s="993" t="s">
        <v>473</v>
      </c>
      <c r="AF8" s="993" t="s">
        <v>557</v>
      </c>
      <c r="AG8" s="993" t="s">
        <v>474</v>
      </c>
      <c r="AH8" s="993" t="s">
        <v>475</v>
      </c>
      <c r="AI8" s="993" t="s">
        <v>476</v>
      </c>
      <c r="AJ8" s="993" t="s">
        <v>477</v>
      </c>
      <c r="AK8" s="993" t="s">
        <v>571</v>
      </c>
      <c r="AL8" s="993" t="s">
        <v>568</v>
      </c>
      <c r="AM8" s="993" t="s">
        <v>570</v>
      </c>
      <c r="AN8" s="993" t="s">
        <v>40</v>
      </c>
      <c r="AO8" s="993" t="s">
        <v>616</v>
      </c>
      <c r="AP8" s="993" t="s">
        <v>688</v>
      </c>
      <c r="AQ8" s="993" t="s">
        <v>585</v>
      </c>
      <c r="AR8" s="993" t="s">
        <v>618</v>
      </c>
      <c r="AS8" s="995" t="s">
        <v>584</v>
      </c>
      <c r="AT8" s="1043"/>
      <c r="AU8" s="1027"/>
      <c r="AV8" s="978"/>
      <c r="AW8" s="1024"/>
      <c r="AX8" s="1033"/>
      <c r="AY8" s="978"/>
      <c r="AZ8" s="978"/>
      <c r="BA8" s="978"/>
      <c r="BB8" s="978"/>
      <c r="BC8" s="978"/>
      <c r="BD8" s="978"/>
      <c r="BE8" s="978"/>
      <c r="BF8" s="978"/>
      <c r="BG8" s="978"/>
      <c r="BH8" s="978"/>
      <c r="BI8" s="978"/>
      <c r="BJ8" s="978"/>
      <c r="BK8" s="978"/>
      <c r="BL8" s="981"/>
      <c r="BM8" s="981"/>
      <c r="BN8" s="981"/>
      <c r="BO8" s="981"/>
      <c r="BP8" s="981"/>
      <c r="BQ8" s="981"/>
      <c r="BR8" s="981"/>
      <c r="BS8" s="981"/>
      <c r="BT8" s="981"/>
      <c r="BU8" s="981"/>
      <c r="BV8" s="990"/>
      <c r="BW8" s="987" t="s">
        <v>188</v>
      </c>
      <c r="BX8" s="983" t="s">
        <v>624</v>
      </c>
      <c r="BY8" s="983" t="s">
        <v>625</v>
      </c>
      <c r="BZ8" s="987" t="s">
        <v>590</v>
      </c>
      <c r="CA8" s="987" t="s">
        <v>589</v>
      </c>
      <c r="CB8" s="987" t="s">
        <v>591</v>
      </c>
      <c r="CC8" s="987" t="s">
        <v>580</v>
      </c>
      <c r="CD8" s="987" t="s">
        <v>581</v>
      </c>
      <c r="CE8" s="983" t="s">
        <v>585</v>
      </c>
      <c r="CF8" s="983" t="s">
        <v>627</v>
      </c>
      <c r="CG8" s="987" t="s">
        <v>537</v>
      </c>
      <c r="CH8" s="983" t="s">
        <v>584</v>
      </c>
      <c r="CI8" s="983" t="s">
        <v>90</v>
      </c>
      <c r="CJ8" s="983" t="s">
        <v>610</v>
      </c>
      <c r="CK8" s="985" t="s">
        <v>609</v>
      </c>
      <c r="CL8" s="1000" t="s">
        <v>188</v>
      </c>
      <c r="CM8" s="1004" t="s">
        <v>588</v>
      </c>
      <c r="CN8" s="1002" t="s">
        <v>580</v>
      </c>
      <c r="CO8" s="1002" t="s">
        <v>581</v>
      </c>
      <c r="CP8" s="993" t="s">
        <v>585</v>
      </c>
      <c r="CQ8" s="1004" t="s">
        <v>627</v>
      </c>
      <c r="CR8" s="1002" t="s">
        <v>537</v>
      </c>
      <c r="CS8" s="993" t="s">
        <v>584</v>
      </c>
      <c r="CT8" s="993" t="s">
        <v>91</v>
      </c>
      <c r="CU8" s="993" t="s">
        <v>611</v>
      </c>
      <c r="CV8" s="995" t="s">
        <v>612</v>
      </c>
      <c r="CY8" s="430"/>
      <c r="DD8" s="846"/>
      <c r="DE8" s="992" t="s">
        <v>367</v>
      </c>
      <c r="DF8" s="992"/>
      <c r="DG8" s="992"/>
      <c r="DH8" s="992"/>
      <c r="DI8" s="992" t="s">
        <v>368</v>
      </c>
      <c r="DJ8" s="992"/>
      <c r="DK8" s="992"/>
      <c r="DL8" s="992"/>
    </row>
    <row r="9" spans="1:117" s="7" customFormat="1" ht="45" customHeight="1" thickBot="1" x14ac:dyDescent="0.3">
      <c r="B9" s="1016"/>
      <c r="C9" s="1013"/>
      <c r="D9" s="1010"/>
      <c r="E9" s="1036"/>
      <c r="F9" s="984"/>
      <c r="G9" s="984"/>
      <c r="H9" s="984"/>
      <c r="I9" s="984"/>
      <c r="J9" s="942" t="s">
        <v>76</v>
      </c>
      <c r="K9" s="941" t="s">
        <v>531</v>
      </c>
      <c r="L9" s="941" t="s">
        <v>284</v>
      </c>
      <c r="M9" s="984"/>
      <c r="N9" s="984"/>
      <c r="O9" s="984"/>
      <c r="P9" s="984"/>
      <c r="Q9" s="986"/>
      <c r="R9" s="1146"/>
      <c r="S9" s="1020"/>
      <c r="T9" s="1020"/>
      <c r="U9" s="1020"/>
      <c r="V9" s="1041"/>
      <c r="W9" s="1003"/>
      <c r="X9" s="994"/>
      <c r="Y9" s="994"/>
      <c r="Z9" s="994"/>
      <c r="AA9" s="518" t="s">
        <v>76</v>
      </c>
      <c r="AB9" s="518" t="s">
        <v>531</v>
      </c>
      <c r="AC9" s="518" t="s">
        <v>284</v>
      </c>
      <c r="AD9" s="994"/>
      <c r="AE9" s="994"/>
      <c r="AF9" s="994"/>
      <c r="AG9" s="994"/>
      <c r="AH9" s="994"/>
      <c r="AI9" s="994"/>
      <c r="AJ9" s="994"/>
      <c r="AK9" s="994"/>
      <c r="AL9" s="994"/>
      <c r="AM9" s="994"/>
      <c r="AN9" s="994"/>
      <c r="AO9" s="994"/>
      <c r="AP9" s="994"/>
      <c r="AQ9" s="994"/>
      <c r="AR9" s="994"/>
      <c r="AS9" s="996"/>
      <c r="AT9" s="1044"/>
      <c r="AU9" s="1028"/>
      <c r="AV9" s="1022"/>
      <c r="AW9" s="1025"/>
      <c r="AX9" s="1034"/>
      <c r="AY9" s="979"/>
      <c r="AZ9" s="979"/>
      <c r="BA9" s="979"/>
      <c r="BB9" s="979"/>
      <c r="BC9" s="979"/>
      <c r="BD9" s="979"/>
      <c r="BE9" s="979"/>
      <c r="BF9" s="979"/>
      <c r="BG9" s="979"/>
      <c r="BH9" s="979"/>
      <c r="BI9" s="979"/>
      <c r="BJ9" s="979"/>
      <c r="BK9" s="979"/>
      <c r="BL9" s="982"/>
      <c r="BM9" s="982"/>
      <c r="BN9" s="982"/>
      <c r="BO9" s="982"/>
      <c r="BP9" s="982"/>
      <c r="BQ9" s="982"/>
      <c r="BR9" s="982"/>
      <c r="BS9" s="982"/>
      <c r="BT9" s="982"/>
      <c r="BU9" s="982"/>
      <c r="BV9" s="991"/>
      <c r="BW9" s="988"/>
      <c r="BX9" s="984"/>
      <c r="BY9" s="984"/>
      <c r="BZ9" s="988"/>
      <c r="CA9" s="988"/>
      <c r="CB9" s="988"/>
      <c r="CC9" s="988"/>
      <c r="CD9" s="988"/>
      <c r="CE9" s="984"/>
      <c r="CF9" s="984"/>
      <c r="CG9" s="988"/>
      <c r="CH9" s="984"/>
      <c r="CI9" s="984"/>
      <c r="CJ9" s="984"/>
      <c r="CK9" s="986"/>
      <c r="CL9" s="1001"/>
      <c r="CM9" s="1005"/>
      <c r="CN9" s="1003"/>
      <c r="CO9" s="1003"/>
      <c r="CP9" s="994"/>
      <c r="CQ9" s="1005"/>
      <c r="CR9" s="1003"/>
      <c r="CS9" s="994"/>
      <c r="CT9" s="994"/>
      <c r="CU9" s="994"/>
      <c r="CV9" s="996"/>
      <c r="CX9" s="549" t="s">
        <v>189</v>
      </c>
      <c r="CY9" s="549" t="s">
        <v>540</v>
      </c>
      <c r="CZ9" s="549" t="s">
        <v>188</v>
      </c>
      <c r="DA9" s="549" t="s">
        <v>247</v>
      </c>
      <c r="DB9" s="549" t="s">
        <v>299</v>
      </c>
      <c r="DD9" s="193" t="s">
        <v>345</v>
      </c>
      <c r="DE9" s="393"/>
      <c r="DF9" s="393" t="s">
        <v>34</v>
      </c>
      <c r="DG9" s="393" t="s">
        <v>58</v>
      </c>
      <c r="DH9" s="393" t="s">
        <v>59</v>
      </c>
      <c r="DI9" s="179"/>
      <c r="DJ9" s="393" t="s">
        <v>34</v>
      </c>
      <c r="DK9" s="393" t="s">
        <v>58</v>
      </c>
      <c r="DL9" s="393" t="s">
        <v>59</v>
      </c>
    </row>
    <row r="10" spans="1:117" s="7" customFormat="1" ht="21.95" customHeight="1" x14ac:dyDescent="0.25">
      <c r="B10" s="13">
        <v>1</v>
      </c>
      <c r="C10" s="901"/>
      <c r="D10" s="498"/>
      <c r="E10" s="1136"/>
      <c r="F10" s="1137"/>
      <c r="G10" s="1138"/>
      <c r="H10" s="1138"/>
      <c r="I10" s="1138"/>
      <c r="J10" s="1138"/>
      <c r="K10" s="1138"/>
      <c r="L10" s="1138"/>
      <c r="M10" s="1139"/>
      <c r="N10" s="1140"/>
      <c r="O10" s="1139"/>
      <c r="P10" s="1140"/>
      <c r="Q10" s="1141"/>
      <c r="R10" s="1132"/>
      <c r="S10" s="783"/>
      <c r="T10" s="727"/>
      <c r="U10" s="828"/>
      <c r="V10" s="784"/>
      <c r="W10" s="555"/>
      <c r="X10" s="787"/>
      <c r="Y10" s="540"/>
      <c r="Z10" s="280"/>
      <c r="AA10" s="280"/>
      <c r="AB10" s="280"/>
      <c r="AC10" s="280"/>
      <c r="AD10" s="491"/>
      <c r="AE10" s="537">
        <f>IF(OR($M10="",$N10=""),0,IF($N10="Tons",$M10,IF($N10="Btu/hr",$M10/12000,"")))</f>
        <v>0</v>
      </c>
      <c r="AF10" s="537">
        <f>IF(OR($AD10="",$AK10=""),0,IF($AK10="Tons",$AD10,IF($AK10="Btu/hr",$AD10/12000,"")))</f>
        <v>0</v>
      </c>
      <c r="AG10" s="537">
        <f t="shared" ref="AG10:AG73" si="0">IF(OR($C10="New Construction",$C10="Replace-on-Burnout",$AK10="",$AN10=""),0,(0.8*$AE10*$Q10)/$AN10)</f>
        <v>0</v>
      </c>
      <c r="AH10" s="537">
        <f t="shared" ref="AH10:AH73" si="1">IF(OR($C10="New Construction",$C10="Replace-on-Burnout"),999999999,IF(OR($AK10="",$AN10=""),0,(1.2*$AE10*$Q10)/$AN10))</f>
        <v>0</v>
      </c>
      <c r="AI10" s="537">
        <f t="shared" ref="AI10:AI73" si="2">IF(OR($C10="New Construction",$C10="Replace-on-Burnout",$AK10="",$AN10=""),0,IF($AK10="Tons",$AG10,IF($AK10="Btu/hr",$AG10*12000,0)))</f>
        <v>0</v>
      </c>
      <c r="AJ10" s="537">
        <f t="shared" ref="AJ10:AJ73" si="3">IF(OR($C10="New Construction",$C10="Replace-on-Burnout",$AK10="",$AN10=""),999999999,IF($AK10="Tons",$AH10,IF($AK10="Btu/hr",$AH10*12000,0)))</f>
        <v>999999999</v>
      </c>
      <c r="AK10" s="470"/>
      <c r="AL10" s="763"/>
      <c r="AM10" s="757"/>
      <c r="AN10" s="280"/>
      <c r="AO10" s="783"/>
      <c r="AP10" s="783"/>
      <c r="AQ10" s="280"/>
      <c r="AR10" s="538"/>
      <c r="AS10" s="539"/>
      <c r="AT10" s="523" t="str">
        <f t="shared" ref="AT10:AT73" si="4">IF(OR($Z10="",AND(OR($Z10="Air Cooled Chiller",$Z10="Water Cooled Chiller"),$AA10="")),"",IF(OR($Z10="Air Cooled Chiller",$Z10="Water Cooled Chiller"),VLOOKUP(CONCATENATE($AA10," ",$Z10),$CY$10:$DB$21,4,FALSE),VLOOKUP($Z10,$CY$10:$DB$21,4,FALSE)))</f>
        <v/>
      </c>
      <c r="AU10" s="311">
        <f t="shared" ref="AU10:AU73" si="5">IF($C10="Early Retirement",$BU10,IFERROR(IF(OR($Z10="",$AD10="",$AK10="",$AN10="",$AO10="",$AQ10="",$CI10=0,$CT10=0),0,($BY10*$CC10*$CI10)-($CM10*$CN10*$CT10)),0))</f>
        <v>0</v>
      </c>
      <c r="AV10" s="288">
        <f>IF($C10="Early Retirement",$BV10,IFERROR(IF(OR($Z10="",$AD10="",$AK10="",$AN10="",$AO10="",AND(OR($Z10="Air Cooled Chiller",$Z10="Water Cooled Chiller",$Z10="DX AC Air Cooled", $Z10="DX HP Air Cooled"),$AP10=""),$AQ10="",AND(OR($Z10="DX HP Air Cooled",$Z10="PTHP"),OR($AR10="",$AS10="")),$CJ10=0,$CU10=0),0,IF(OR($Z10="DX HP Air Cooled",$Z10="PTHP"),(($BY10*$CD10*$CJ10)-($CM10*$CO10*$CU10))+((($CF10*(1/$CG10)*$CK10)-($CQ10*(1/$CR10)*$CV10))*(1/3412)),($BY10*$CD10*$CJ10)-($CM10*$CO10*$CU10))),0))</f>
        <v>0</v>
      </c>
      <c r="AW10" s="290">
        <f>IF(ISERROR($AU10*'Utility Admin'!$E$4+$AV10*'Utility Admin'!$F$4),0,$AU10*'Utility Admin'!$E$4+$AV10*'Utility Admin'!$F$4)</f>
        <v>0</v>
      </c>
      <c r="AX10" s="321" t="str">
        <f t="shared" ref="AX10:AX73" si="6">IF(OR($Z10="",AND(OR($Z10="Air Cooled Chiller",$Z10="Water Cooled Chiller"),$AA10="")),"",IF(OR($Z10="Air Cooled Chiller",$Z10="Water Cooled Chiller"),VLOOKUP(CONCATENATE($AA10," ",$Z10),$CY$10:$DA$21,3,FALSE),VLOOKUP($Z10,$CY$10:$DA$21,3,FALSE)))</f>
        <v/>
      </c>
      <c r="AY10" s="451" t="str">
        <f>IF($C10="Early Retirement","Replace-on-Burnout","")</f>
        <v/>
      </c>
      <c r="AZ10" s="452">
        <f>Baselines!$CJ254</f>
        <v>0</v>
      </c>
      <c r="BA10" s="753">
        <f>Baselines!$CK254</f>
        <v>0</v>
      </c>
      <c r="BB10" s="838">
        <f>Baselines!$CM254</f>
        <v>0</v>
      </c>
      <c r="BC10" s="495">
        <f t="shared" ref="BC10:BC73" si="7">IF(OR($D10="",$Z10="",$AD10="",$AK10="",$AN10="",$AO10="",$AQ10="",$AY10=""),0,IFERROR(IF(OR($CI10=0,$CT10=0),0,($BY10*$AZ10*$CI10)-($CM10*$CN10*$CT10)),0))</f>
        <v>0</v>
      </c>
      <c r="BD10" s="496">
        <f>IF(OR($D10="",$Z10="",$AD10="",$AK10="",$AN10="",AND($Z10&lt;&gt;"PTAC",$Z10&lt;&gt;"PTHP",$AP10=""),AND(OR($Z10="PTAC",$Z10="PTHP"),$AO10=""),$AQ10="",$AY10=""),0,IFERROR(IF(OR($CJ10=0,$CU10=0),0,($BY10*$BA10*$CJ10)-($CM10*$CO10*$CU10)),0))</f>
        <v>0</v>
      </c>
      <c r="BE10" s="754">
        <f t="shared" ref="BE10:BE73" si="8">IF(OR($D10="",$Z10="",$AL10="",$AM10="",$AN10="",$AR10="",$AS10="",$AY10=""),0,IFERROR(IF(OR($CK10=0,$CV10=0),0,(($CF10*(1/$BB10)*$CK10)-($CQ10*(1/$CR10)*$CV10))*(1/3412)),0))</f>
        <v>0</v>
      </c>
      <c r="BF10" s="754">
        <f>BD10+BE10</f>
        <v>0</v>
      </c>
      <c r="BG10" s="495">
        <f t="shared" ref="BG10:BG73" si="9">IF(OR($C10&lt;&gt;"Early Retirement",$D10="",$H10="",$Z10="",$AD10="",$AK10="",$AN10="",$AO10="",$AQ10=""),0,IF(AND($C10="Early Retirement",OR($Z10="PTAC",$Z10="PTHP"),OR($AB10&lt;&gt;"Yes",$AD10&gt;$M10)),$BC10,IFERROR(IF(OR($CI10=0,$CT10=0),0,($BY10*$CC10*$CI10)-($CM10*$CN10*$CT10)),0)))</f>
        <v>0</v>
      </c>
      <c r="BH10" s="496">
        <f t="shared" ref="BH10:BH73" si="10">IF(OR($C10&lt;&gt;"Early Retirement",$D10="",$H10="",$Z10="",$AD10="",$AK10="",$AN10="",AND($AO10="",$AP10=""),$AQ10=""),0,IF(AND($C10="Early Retirement",OR($Z10="PTAC",$Z10="PTHP"),OR($AB10&lt;&gt;"Yes",$AD10&gt;$M10)),$BD10,IFERROR(IF(OR($CJ10=0,$CU10=0),0,($BY10*$CD10*$CJ10)-($CM10*$CO10*$CU10)),0)))</f>
        <v>0</v>
      </c>
      <c r="BI10" s="754">
        <f t="shared" ref="BI10:BI73" si="11">IF(OR($C10&lt;&gt;"Early Retirement",$D10="",$H10="",$Z10="",$AL10="",$AM10="",$AN10="",$AR10="",$AS10=""),0,IF(AND($C10="Early Retirement",OR($Z10="PTAC",$Z10="PTHP"),OR($AB10&lt;&gt;"Yes",$AD10&gt;$M10)),$BE10,IFERROR(IF(OR($CK10=0,$CV10=0),0,(($CF10*(1/$CG10)*$CK10)-($CQ10*(1/$CR10)*$CV10))*(1/3412)),0)))</f>
        <v>0</v>
      </c>
      <c r="BJ10" s="754">
        <f>BH10+BI10</f>
        <v>0</v>
      </c>
      <c r="BK10" s="453">
        <f>IF(OR($C10&lt;&gt;"Early Retirement",$H10=""),0,IF(AND($G10&lt;&gt;"Air Cooled Chiller",$G10&lt;&gt;"Water Cooled Chiller"),VLOOKUP($H10,'Early Retirement'!$CI$6:$CL$33,2,FALSE),IF($J10&lt;&gt;"Centrifugal",VLOOKUP($H10,'Early Retirement'!$CI$6:$CL$33,3,FALSE),IF($J10="Centrifugal",VLOOKUP($H10,'Early Retirement'!$CI$6:$CL$33,4,FALSE),""))))</f>
        <v>0</v>
      </c>
      <c r="BL10" s="454">
        <f t="shared" ref="BL10:BL73" si="12">IF(OR($C10&lt;&gt;"Early Retirement",$H10="",$Z10="",$AT10=""),0,$AT10-$BK10)</f>
        <v>0</v>
      </c>
      <c r="BM10" s="552">
        <f>IFERROR('Utility Admin'!$I$4*((1+'Utility Admin'!$G$4)/('Utility Admin'!$H$4-'Utility Admin'!$G$4))*(1-((1+'Utility Admin'!$G$4)/(1+'Utility Admin'!$H$4))^$BK10)*$BG10,0)</f>
        <v>0</v>
      </c>
      <c r="BN10" s="552">
        <f>IFERROR('Utility Admin'!$I$4*((1+'Utility Admin'!$G$4)/('Utility Admin'!$H$4-'Utility Admin'!$G$4))*(1-((1+'Utility Admin'!$G$4)/(1+'Utility Admin'!$H$4))^$BL10)*((1+'Utility Admin'!$G$4)^$BK10/(1+'Utility Admin'!$H$4)^$BK10)*$BC10,0)</f>
        <v>0</v>
      </c>
      <c r="BO10" s="552">
        <f>$BM10+$BN10</f>
        <v>0</v>
      </c>
      <c r="BP10" s="552">
        <f>IFERROR('Utility Admin'!$J$4*((1+'Utility Admin'!$G$4)/('Utility Admin'!$H$4-'Utility Admin'!$G$4))*(1-((1+'Utility Admin'!$G$4)/(1+'Utility Admin'!$H$4))^$BK10)*$BJ10,0)</f>
        <v>0</v>
      </c>
      <c r="BQ10" s="552">
        <f>IFERROR('Utility Admin'!$J$4*((1+'Utility Admin'!$G$4)/('Utility Admin'!$H$4-'Utility Admin'!$G$4))*(1-((1+'Utility Admin'!$G$4)/(1+'Utility Admin'!$H$4))^$BL10)*((1+'Utility Admin'!$G$4)^$BK10/(1+'Utility Admin'!$H$4)^$BK10)*$BF10,0)</f>
        <v>0</v>
      </c>
      <c r="BR10" s="552">
        <f>$BP10+$BQ10</f>
        <v>0</v>
      </c>
      <c r="BS10" s="552">
        <f>IFERROR('Utility Admin'!$I$4*((1+'Utility Admin'!$G$4)/('Utility Admin'!$H$4-'Utility Admin'!$G$4))*(1-((1+'Utility Admin'!$G$4)/(1+'Utility Admin'!$H$4))^$AT10),0)</f>
        <v>0</v>
      </c>
      <c r="BT10" s="552">
        <f>IFERROR('Utility Admin'!$J$4*((1+'Utility Admin'!$G$4)/('Utility Admin'!$H$4-'Utility Admin'!$G$4))*(1-((1+'Utility Admin'!$G$4)/(1+'Utility Admin'!$H$4))^$AT10),0)</f>
        <v>0</v>
      </c>
      <c r="BU10" s="458">
        <f>IF(OR($C10&lt;&gt;"Early Retirement",$AO10="",AND($Z10&lt;&gt;"PTAC",$Z10&lt;&gt;"PTHP",$AP10=""),$AQ10=""),0,IFERROR($BO10/$BS10,0))</f>
        <v>0</v>
      </c>
      <c r="BV10" s="461">
        <f>IF(OR($C10&lt;&gt;"Early Retirement",$AO10="",AND($Z10&lt;&gt;"PTAC",$Z10&lt;&gt;"PTHP",$AP10=""),$AQ10=""),0,IFERROR($BR10/$BT10,0))</f>
        <v>0</v>
      </c>
      <c r="BW10" s="183" t="str">
        <f t="shared" ref="BW10:BW73" si="13">IF($C10="New Construction",$CL10,IF($G10="","",VLOOKUP($G10,$CX$10:$CZ$21,3,FALSE)))</f>
        <v/>
      </c>
      <c r="BX10" s="250" t="str">
        <f>IF(OR($M10="",$N10="",$Q10=""),"",IF($N10="Btu/hr",($M10/12000)*$Q10,IF($N10="Tons",$M10*$Q10,"")))</f>
        <v/>
      </c>
      <c r="BY10" s="250" t="str">
        <f t="shared" ref="BY10:BY73" si="14">IF(OR($C10="New Construction",$C10="Replace-on-Burnout"),$CM10,$BX10)</f>
        <v/>
      </c>
      <c r="BZ10" s="198">
        <f>IF($T10="EER",12/$R10,IF($T10="kW/ton",$R10,0))</f>
        <v>0</v>
      </c>
      <c r="CA10" s="695">
        <f>IF(AND(OR($G10="PTAC",$G10="PTHP",$G10="Room AC",$G10="Room HP"),$T10="EER"),12/$R10,IF(AND(OR($G10="PTAC",$G10="PTHP",$G10="Room AC",$G10="Room HP"),$T10="kW/ton"),$R10,IF($T10="EER",12/$S10,IF($T10="kW/ton",$S10,0))))</f>
        <v>0</v>
      </c>
      <c r="CB10" s="835">
        <f>IF($V10="HSPF",$U10/3.214,IF($V10="COP",$U10,0))</f>
        <v>0</v>
      </c>
      <c r="CC10" s="695">
        <f>IF(AND($C10="Early Retirement",$H10&lt;&gt;"",$R10&lt;&gt;"",$T10&lt;&gt;""),$BZ10,Baselines!$CJ3)</f>
        <v>0</v>
      </c>
      <c r="CD10" s="695">
        <f>IF(AND($C10="Early Retirement",$H10&lt;&gt;"",$R10&lt;&gt;"",$T10&lt;&gt;""),$CA10,Baselines!$CK3)</f>
        <v>0</v>
      </c>
      <c r="CE10" s="199" t="str">
        <f>Baselines!$CL3</f>
        <v>kW/ton</v>
      </c>
      <c r="CF10" s="850" t="str">
        <f t="shared" ref="CF10:CF73" si="15">IF(OR($C10="New Construction",$C10="Replace-on-Burnout",$CL10="DX HP",$CL10="PTHP"),$CQ10,IF(OR($O10="",$P10="",$Q10=""),"",IF($P10="Tons",($O10*12000)*$Q10,IF($P10="Btu/hr",$O10*$Q10,""))))</f>
        <v/>
      </c>
      <c r="CG10" s="832">
        <f>IF(AND($C10="Early Retirement",$H10&lt;&gt;"",$R10&lt;&gt;"",$T10&lt;&gt;""),$CB10,IF(AND(Baselines!$CM3=0,OR($CL10="DX HP",$CL10="PTHP")),$BB10,Baselines!$CM3))</f>
        <v>0</v>
      </c>
      <c r="CH10" s="829" t="s">
        <v>567</v>
      </c>
      <c r="CI10" s="200" t="str">
        <f>IF(OR($C10="Replace-on-Burnout",$C10="New Construction"),$CT10,IF($BW10="","",VLOOKUP($D10,'Factor Tables'!$B$165:$H$192,MATCH($BW10,'Factor Tables'!$B$164:$H$164,0),FALSE)))</f>
        <v/>
      </c>
      <c r="CJ10" s="841" t="str">
        <f>IF(OR($C10="Replace-on-Burnout",$C10="New Construction"),$CU10,IF($BW10="","",IF($BW10="DX HP",VLOOKUP($D10,'Factor Tables'!$I$165:$Q$192,MATCH("DX HP Clg",'Factor Tables'!$I$164:$Q$164,0),FALSE),IF($BW10="PTHP",VLOOKUP($D10,'Factor Tables'!$I$165:$Q$192,MATCH("PTHP Clg",'Factor Tables'!$I$164:$Q$164,0),FALSE),IF(AND($BW10&lt;&gt;"DX HP",$BW10&lt;&gt;"PTHP"),VLOOKUP($D10,'Factor Tables'!$I$165:$Q$192,MATCH($BW10,'Factor Tables'!$I$164:$Q$164,0),FALSE),"")))))</f>
        <v/>
      </c>
      <c r="CK10" s="201" t="str">
        <f>IF(OR($C10="Replace-on-Burnout",$C10="New Construction",$CL10="DX HP",$CL10="PTHP"),$CV10,IF($BW10="","",IF($BW10="DX HP",VLOOKUP($D10,'Factor Tables'!$I$165:$Q$192,MATCH("DX HP Htg",'Factor Tables'!$I$164:$Q$164,0),FALSE),IF($BW10="PTHP",VLOOKUP($D10,'Factor Tables'!$I$165:$Q$192,MATCH("PTHP Htg",'Factor Tables'!$I$164:$Q$164,0),FALSE),0))))</f>
        <v/>
      </c>
      <c r="CL10" s="183" t="str">
        <f t="shared" ref="CL10:CL73" si="16">IF($Z10="","",VLOOKUP($Z10,$CX$10:$CZ$21,3,FALSE))</f>
        <v/>
      </c>
      <c r="CM10" s="250" t="str">
        <f t="shared" ref="CM10:CM73" si="17">IF(OR($AD10="",$AK10="",$AN10=""),"",IF($AK10="Btu/hr",($AD10/12000)*$AN10,IF($AK10="Tons",$AD10*$AN10,"")))</f>
        <v/>
      </c>
      <c r="CN10" s="198">
        <f>IF($AQ10="EER",12/$AO10,IF($AQ10="kW/ton",$AO10,0))</f>
        <v>0</v>
      </c>
      <c r="CO10" s="695">
        <f>IF(AND(OR($Z10="PTAC",$Z10="PTHP",$Z10="Room AC",$Z10="Room HP"),$AQ10="EER"),12/$AO10,IF(AND(OR($Z10="PTAC",$Z10="PTHP",$Z10="Room AC",$Z10="Room HP"),$AQ10="kW/ton"),$AO10,IF($AQ10="EER",12/$AP10,IF($AQ10="kW/ton",$AP10,0))))</f>
        <v>0</v>
      </c>
      <c r="CP10" s="199" t="s">
        <v>46</v>
      </c>
      <c r="CQ10" s="850" t="str">
        <f>IF(OR($AL10="",$AM10="",$AN10=""),"",IF($AM10="Tons",($AL10*12000)*$AN10,IF($AM10="Btu/hr",$AL10*$AN10,"")))</f>
        <v/>
      </c>
      <c r="CR10" s="832">
        <f>IF($AS10="HSPF",$AR10/3.412,IF($AS10="COP",$AR10,0))</f>
        <v>0</v>
      </c>
      <c r="CS10" s="829" t="s">
        <v>567</v>
      </c>
      <c r="CT10" s="200" t="str">
        <f>IF($CL10="","",VLOOKUP($D10,'Factor Tables'!$B$165:$H$192,MATCH($CL10,'Factor Tables'!$B$164:$H$164,0),FALSE))</f>
        <v/>
      </c>
      <c r="CU10" s="841" t="str">
        <f>IF($CL10="","",IF(AND($CL10&lt;&gt;"DX HP",$CL10&lt;&gt;"PTHP"),VLOOKUP($D10,'Factor Tables'!$I$165:$Q$192,MATCH($CL10,'Factor Tables'!$I$164:$Q$164,0),FALSE),IF($CL10="DX HP",VLOOKUP($D10,'Factor Tables'!$I$165:$Q$192,MATCH("DX HP Clg",'Factor Tables'!$I$164:$Q$164,0),FALSE),IF($CL10="PTHP",VLOOKUP($D10,'Factor Tables'!$I$165:$Q$192,MATCH("PTHP Clg",'Factor Tables'!$I$164:$Q$164,0),FALSE),""))))</f>
        <v/>
      </c>
      <c r="CV10" s="201" t="str">
        <f>IF($CL10="","",IF(AND($CL10&lt;&gt;"DX HP",$CL10&lt;&gt;"PTHP"),0,IF($CL10="DX HP",VLOOKUP($D10,'Factor Tables'!$I$165:$Q$192,MATCH("DX HP Htg",'Factor Tables'!$I$164:$Q$164,0),FALSE),IF($CL10="PTHP",VLOOKUP($D10,'Factor Tables'!$I$165:$Q$192,MATCH("PTHP Htg",'Factor Tables'!$I$164:$Q$164,0),FALSE),""))))</f>
        <v/>
      </c>
      <c r="CX10" s="179" t="s">
        <v>53</v>
      </c>
      <c r="CY10" s="179" t="s">
        <v>53</v>
      </c>
      <c r="CZ10" s="178" t="s">
        <v>605</v>
      </c>
      <c r="DA10" s="179" t="s">
        <v>250</v>
      </c>
      <c r="DB10" s="550">
        <v>15</v>
      </c>
      <c r="DD10" s="194" t="s">
        <v>53</v>
      </c>
      <c r="DE10" s="393" t="s">
        <v>313</v>
      </c>
      <c r="DF10" s="393" t="s">
        <v>345</v>
      </c>
      <c r="DG10" s="393" t="s">
        <v>345</v>
      </c>
      <c r="DH10" s="393" t="s">
        <v>345</v>
      </c>
      <c r="DI10" s="393" t="s">
        <v>313</v>
      </c>
      <c r="DJ10" s="393" t="s">
        <v>345</v>
      </c>
      <c r="DK10" s="393" t="s">
        <v>345</v>
      </c>
      <c r="DL10" s="393" t="s">
        <v>345</v>
      </c>
      <c r="DM10" s="493" t="s">
        <v>478</v>
      </c>
    </row>
    <row r="11" spans="1:117" s="7" customFormat="1" ht="21.95" customHeight="1" x14ac:dyDescent="0.25">
      <c r="B11" s="14">
        <v>2</v>
      </c>
      <c r="C11" s="499" t="str">
        <f t="shared" ref="C11:C74" si="18">IF($C10="","",$C10)</f>
        <v/>
      </c>
      <c r="D11" s="403" t="str">
        <f t="shared" ref="D11:D74" si="19">IF($D10="","",$D10)</f>
        <v/>
      </c>
      <c r="E11" s="541"/>
      <c r="F11" s="785"/>
      <c r="G11" s="728"/>
      <c r="H11" s="728"/>
      <c r="I11" s="728"/>
      <c r="J11" s="728"/>
      <c r="K11" s="728"/>
      <c r="L11" s="728"/>
      <c r="M11" s="764"/>
      <c r="N11" s="728"/>
      <c r="O11" s="764"/>
      <c r="P11" s="728"/>
      <c r="Q11" s="1142"/>
      <c r="R11" s="1133"/>
      <c r="S11" s="778"/>
      <c r="T11" s="767"/>
      <c r="U11" s="778"/>
      <c r="V11" s="751"/>
      <c r="W11" s="556"/>
      <c r="X11" s="785"/>
      <c r="Y11" s="542"/>
      <c r="Z11" s="500"/>
      <c r="AA11" s="500"/>
      <c r="AB11" s="500"/>
      <c r="AC11" s="500"/>
      <c r="AD11" s="529"/>
      <c r="AE11" s="527">
        <f t="shared" ref="AE11:AE32" si="20">IF(OR($M11="",$N11=""),0,IF($N11="Tons",$M11,IF($N11="Btu/hr",$M11/12000,"")))</f>
        <v>0</v>
      </c>
      <c r="AF11" s="527">
        <f t="shared" ref="AF11:AF32" si="21">IF(OR($AD11="",$AK11=""),0,IF($AK11="Tons",$AD11,IF($AK11="Btu/hr",$AD11/12000,"")))</f>
        <v>0</v>
      </c>
      <c r="AG11" s="527">
        <f t="shared" si="0"/>
        <v>0</v>
      </c>
      <c r="AH11" s="527">
        <f t="shared" si="1"/>
        <v>0</v>
      </c>
      <c r="AI11" s="527">
        <f t="shared" si="2"/>
        <v>0</v>
      </c>
      <c r="AJ11" s="527">
        <f t="shared" si="3"/>
        <v>999999999</v>
      </c>
      <c r="AK11" s="530"/>
      <c r="AL11" s="776"/>
      <c r="AM11" s="777"/>
      <c r="AN11" s="500"/>
      <c r="AO11" s="778"/>
      <c r="AP11" s="778"/>
      <c r="AQ11" s="500"/>
      <c r="AR11" s="531"/>
      <c r="AS11" s="403"/>
      <c r="AT11" s="524" t="str">
        <f t="shared" si="4"/>
        <v/>
      </c>
      <c r="AU11" s="311">
        <f t="shared" si="5"/>
        <v>0</v>
      </c>
      <c r="AV11" s="288">
        <f t="shared" ref="AV11:AV74" si="22">IF($C11="Early Retirement",$BV11,IFERROR(IF(OR($Z11="",$AD11="",$AK11="",$AN11="",$AO11="",AND(OR($Z11="Air Cooled Chiller",$Z11="Water Cooled Chiller",$Z11="DX AC Air Cooled", $Z11="DX HP Air Cooled"),$AP11=""),$AQ11="",AND(OR($Z11="DX HP Air Cooled",$Z11="PTHP"),OR($AR11="",$AS11="")),$CJ11=0,$CU11=0),0,IF(OR($Z11="DX HP Air Cooled",$Z11="PTHP"),(($BY11*$CD11*$CJ11)-($CM11*$CO11*$CU11))+((($CF11*(1/$CG11)*$CK11)-($CQ11*(1/$CR11)*$CV11))*(1/3412)),($BY11*$CD11*$CJ11)-($CM11*$CO11*$CU11))),0))</f>
        <v>0</v>
      </c>
      <c r="AW11" s="290">
        <f>IF(ISERROR($AU11*'Utility Admin'!$E$4+$AV11*'Utility Admin'!$F$4),0,$AU11*'Utility Admin'!$E$4+$AV11*'Utility Admin'!$F$4)</f>
        <v>0</v>
      </c>
      <c r="AX11" s="323" t="str">
        <f t="shared" si="6"/>
        <v/>
      </c>
      <c r="AY11" s="322" t="str">
        <f t="shared" ref="AY11:AY259" si="23">IF($C11="Early Retirement","Replace-on-Burnout","")</f>
        <v/>
      </c>
      <c r="AZ11" s="319">
        <f>Baselines!$CJ255</f>
        <v>0</v>
      </c>
      <c r="BA11" s="735">
        <f>Baselines!$CK255</f>
        <v>0</v>
      </c>
      <c r="BB11" s="839">
        <f>Baselines!$CM255</f>
        <v>0</v>
      </c>
      <c r="BC11" s="466">
        <f t="shared" si="7"/>
        <v>0</v>
      </c>
      <c r="BD11" s="464">
        <f t="shared" ref="BD11:BD74" si="24">IF(OR($D11="",$Z11="",$AD11="",$AK11="",$AN11="",AND($Z11&lt;&gt;"PTAC",$Z11&lt;&gt;"PTHP",$AP11=""),AND(OR($Z11="PTAC",$Z11="PTHP"),$AO11=""),$AQ11="",$AY11=""),0,IFERROR(IF(OR($CJ11=0,$CU11=0),0,($BY11*$BA11*$CJ11)-($CM11*$CO11*$CU11)),0))</f>
        <v>0</v>
      </c>
      <c r="BE11" s="755">
        <f t="shared" si="8"/>
        <v>0</v>
      </c>
      <c r="BF11" s="755">
        <f t="shared" ref="BF11:BF74" si="25">BD11+BE11</f>
        <v>0</v>
      </c>
      <c r="BG11" s="466">
        <f t="shared" si="9"/>
        <v>0</v>
      </c>
      <c r="BH11" s="464">
        <f t="shared" si="10"/>
        <v>0</v>
      </c>
      <c r="BI11" s="755">
        <f t="shared" si="11"/>
        <v>0</v>
      </c>
      <c r="BJ11" s="755">
        <f t="shared" ref="BJ11:BJ74" si="26">BH11+BI11</f>
        <v>0</v>
      </c>
      <c r="BK11" s="333">
        <f>IF(OR($C11&lt;&gt;"Early Retirement",$H11=""),0,IF(AND($G11&lt;&gt;"Air Cooled Chiller",$G11&lt;&gt;"Water Cooled Chiller"),VLOOKUP($H11,'Early Retirement'!$CI$6:$CL$33,2,FALSE),IF($J11&lt;&gt;"Centrifugal",VLOOKUP($H11,'Early Retirement'!$CI$6:$CL$33,3,FALSE),IF($J11="Centrifugal",VLOOKUP($H11,'Early Retirement'!$CI$6:$CL$33,4,FALSE),""))))</f>
        <v>0</v>
      </c>
      <c r="BL11" s="450">
        <f t="shared" si="12"/>
        <v>0</v>
      </c>
      <c r="BM11" s="553">
        <f>IFERROR('Utility Admin'!$I$4*((1+'Utility Admin'!$G$4)/('Utility Admin'!$H$4-'Utility Admin'!$G$4))*(1-((1+'Utility Admin'!$G$4)/(1+'Utility Admin'!$H$4))^$BK11)*$BG11,0)</f>
        <v>0</v>
      </c>
      <c r="BN11" s="553">
        <f>IFERROR('Utility Admin'!$I$4*((1+'Utility Admin'!$G$4)/('Utility Admin'!$H$4-'Utility Admin'!$G$4))*(1-((1+'Utility Admin'!$G$4)/(1+'Utility Admin'!$H$4))^$BL11)*((1+'Utility Admin'!$G$4)^$BK11/(1+'Utility Admin'!$H$4)^$BK11)*$BC11,0)</f>
        <v>0</v>
      </c>
      <c r="BO11" s="553">
        <f t="shared" ref="BO11:BO259" si="27">$BM11+$BN11</f>
        <v>0</v>
      </c>
      <c r="BP11" s="553">
        <f>IFERROR('Utility Admin'!$J$4*((1+'Utility Admin'!$G$4)/('Utility Admin'!$H$4-'Utility Admin'!$G$4))*(1-((1+'Utility Admin'!$G$4)/(1+'Utility Admin'!$H$4))^$BK11)*$BJ11,0)</f>
        <v>0</v>
      </c>
      <c r="BQ11" s="553">
        <f>IFERROR('Utility Admin'!$J$4*((1+'Utility Admin'!$G$4)/('Utility Admin'!$H$4-'Utility Admin'!$G$4))*(1-((1+'Utility Admin'!$G$4)/(1+'Utility Admin'!$H$4))^$BL11)*((1+'Utility Admin'!$G$4)^$BK11/(1+'Utility Admin'!$H$4)^$BK11)*$BF11,0)</f>
        <v>0</v>
      </c>
      <c r="BR11" s="553">
        <f t="shared" ref="BR11:BR259" si="28">$BP11+$BQ11</f>
        <v>0</v>
      </c>
      <c r="BS11" s="553">
        <f>IFERROR('Utility Admin'!$I$4*((1+'Utility Admin'!$G$4)/('Utility Admin'!$H$4-'Utility Admin'!$G$4))*(1-((1+'Utility Admin'!$G$4)/(1+'Utility Admin'!$H$4))^$AT11),0)</f>
        <v>0</v>
      </c>
      <c r="BT11" s="553">
        <f>IFERROR('Utility Admin'!$J$4*((1+'Utility Admin'!$G$4)/('Utility Admin'!$H$4-'Utility Admin'!$G$4))*(1-((1+'Utility Admin'!$G$4)/(1+'Utility Admin'!$H$4))^$AT11),0)</f>
        <v>0</v>
      </c>
      <c r="BU11" s="459">
        <f t="shared" ref="BU11:BU74" si="29">IF(OR($C11&lt;&gt;"Early Retirement",$AO11="",AND($Z11&lt;&gt;"PTAC",$Z11&lt;&gt;"PTHP",$AP11=""),$AQ11=""),0,IFERROR($BO11/$BS11,0))</f>
        <v>0</v>
      </c>
      <c r="BV11" s="462">
        <f t="shared" ref="BV11:BV74" si="30">IF(OR($C11&lt;&gt;"Early Retirement",$AO11="",AND($Z11&lt;&gt;"PTAC",$Z11&lt;&gt;"PTHP",$AP11=""),$AQ11=""),0,IFERROR($BR11/$BT11,0))</f>
        <v>0</v>
      </c>
      <c r="BW11" s="183" t="str">
        <f t="shared" si="13"/>
        <v/>
      </c>
      <c r="BX11" s="250" t="str">
        <f t="shared" ref="BX11:BX74" si="31">IF(OR($M11="",$N11="",$Q11=""),"",IF($N11="Btu/hr",($M11/12000)*$Q11,IF($N11="Tons",$M11*$Q11,"")))</f>
        <v/>
      </c>
      <c r="BY11" s="250" t="str">
        <f t="shared" si="14"/>
        <v/>
      </c>
      <c r="BZ11" s="184">
        <f t="shared" ref="BZ11:BZ74" si="32">IF($T11="EER",12/$R11,IF($T11="kW/ton",$R11,0))</f>
        <v>0</v>
      </c>
      <c r="CA11" s="693">
        <f t="shared" ref="CA11:CA74" si="33">IF(AND(OR($G11="PTAC",$G11="PTHP",$G11="Room AC",$G11="Room HP"),$T11="EER"),12/$R11,IF(AND(OR($G11="PTAC",$G11="PTHP",$G11="Room AC",$G11="Room HP"),$T11="kW/ton"),$R11,IF($T11="EER",12/$S11,IF($T11="kW/ton",$S11,0))))</f>
        <v>0</v>
      </c>
      <c r="CB11" s="836">
        <f t="shared" ref="CB11:CB74" si="34">IF($V11="HSPF",$U11/3.214,IF($V11="COP",$U11,0))</f>
        <v>0</v>
      </c>
      <c r="CC11" s="693">
        <f>IF(AND($C11="Early Retirement",$H11&lt;&gt;"",$R11&lt;&gt;"",$T11&lt;&gt;""),$BZ11,Baselines!$CJ4)</f>
        <v>0</v>
      </c>
      <c r="CD11" s="693">
        <f>IF(AND($C11="Early Retirement",$H11&lt;&gt;"",$R11&lt;&gt;"",$T11&lt;&gt;""),$CA11,Baselines!$CK4)</f>
        <v>0</v>
      </c>
      <c r="CE11" s="182" t="str">
        <f>Baselines!$CL4</f>
        <v>kW/ton</v>
      </c>
      <c r="CF11" s="850" t="str">
        <f t="shared" si="15"/>
        <v/>
      </c>
      <c r="CG11" s="833">
        <f>IF(AND($C11="Early Retirement",$H11&lt;&gt;"",$R11&lt;&gt;"",$T11&lt;&gt;""),$CB11,IF(AND(Baselines!$CM4=0,OR($CL11="DX HP",$CL11="PTHP")),$BB11,Baselines!$CM4))</f>
        <v>0</v>
      </c>
      <c r="CH11" s="830" t="s">
        <v>567</v>
      </c>
      <c r="CI11" s="185" t="str">
        <f>IF(OR($C11="Replace-on-Burnout",$C11="New Construction"),$CT11,IF($BW11="","",VLOOKUP($D11,'Factor Tables'!$B$165:$H$192,MATCH($BW11,'Factor Tables'!$B$164:$H$164,0),FALSE)))</f>
        <v/>
      </c>
      <c r="CJ11" s="842" t="str">
        <f>IF(OR($C11="Replace-on-Burnout",$C11="New Construction"),$CU11,IF($BW11="","",IF($BW11="DX HP",VLOOKUP($D11,'Factor Tables'!$I$165:$Q$192,MATCH("DX HP Clg",'Factor Tables'!$I$164:$Q$164,0),FALSE),IF($BW11="PTHP",VLOOKUP($D11,'Factor Tables'!$I$165:$Q$192,MATCH("PTHP Clg",'Factor Tables'!$I$164:$Q$164,0),FALSE),IF(AND($BW11&lt;&gt;"DX HP",$BW11&lt;&gt;"PTHP"),VLOOKUP($D11,'Factor Tables'!$I$165:$Q$192,MATCH($BW11,'Factor Tables'!$I$164:$Q$164,0),FALSE),"")))))</f>
        <v/>
      </c>
      <c r="CK11" s="186" t="str">
        <f>IF(OR($C11="Replace-on-Burnout",$C11="New Construction",$CL11="DX HP",$CL11="PTHP"),$CV11,IF($BW11="","",IF($BW11="DX HP",VLOOKUP($D11,'Factor Tables'!$I$165:$Q$192,MATCH("DX HP Htg",'Factor Tables'!$I$164:$Q$164,0),FALSE),IF($BW11="PTHP",VLOOKUP($D11,'Factor Tables'!$I$165:$Q$192,MATCH("PTHP Htg",'Factor Tables'!$I$164:$Q$164,0),FALSE),0))))</f>
        <v/>
      </c>
      <c r="CL11" s="183" t="str">
        <f t="shared" si="16"/>
        <v/>
      </c>
      <c r="CM11" s="250" t="str">
        <f t="shared" si="17"/>
        <v/>
      </c>
      <c r="CN11" s="184">
        <f t="shared" ref="CN11:CN74" si="35">IF($AQ11="EER",12/$AO11,IF($AQ11="kW/ton",$AO11,0))</f>
        <v>0</v>
      </c>
      <c r="CO11" s="693">
        <f t="shared" ref="CO11:CO74" si="36">IF(AND(OR($Z11="PTAC",$Z11="PTHP",$Z11="Room AC",$Z11="Room HP"),$AQ11="EER"),12/$AO11,IF(AND(OR($Z11="PTAC",$Z11="PTHP",$Z11="Room AC",$Z11="Room HP"),$AQ11="kW/ton"),$AO11,IF($AQ11="EER",12/$AP11,IF($AQ11="kW/ton",$AP11,0))))</f>
        <v>0</v>
      </c>
      <c r="CP11" s="182" t="s">
        <v>46</v>
      </c>
      <c r="CQ11" s="850" t="str">
        <f t="shared" ref="CQ11:CQ74" si="37">IF(OR($AL11="",$AM11="",$AN11=""),"",IF($AM11="Tons",($AL11*12000)*$AN11,IF($AM11="Btu/hr",$AL11*$AN11,"")))</f>
        <v/>
      </c>
      <c r="CR11" s="833">
        <f t="shared" ref="CR11:CR74" si="38">IF($AS11="HSPF",$AR11/3.412,IF($AS11="COP",$AR11,0))</f>
        <v>0</v>
      </c>
      <c r="CS11" s="830" t="s">
        <v>567</v>
      </c>
      <c r="CT11" s="185" t="str">
        <f>IF($CL11="","",VLOOKUP($D11,'Factor Tables'!$B$165:$H$192,MATCH($CL11,'Factor Tables'!$B$164:$H$164,0),FALSE))</f>
        <v/>
      </c>
      <c r="CU11" s="842" t="str">
        <f>IF($CL11="","",IF(AND($CL11&lt;&gt;"DX HP",$CL11&lt;&gt;"PTHP"),VLOOKUP($D11,'Factor Tables'!$I$165:$Q$192,MATCH($CL11,'Factor Tables'!$I$164:$Q$164,0),FALSE),IF($CL11="DX HP",VLOOKUP($D11,'Factor Tables'!$I$165:$Q$192,MATCH("DX HP Clg",'Factor Tables'!$I$164:$Q$164,0),FALSE),IF($CL11="PTHP",VLOOKUP($D11,'Factor Tables'!$I$165:$Q$192,MATCH("PTHP Clg",'Factor Tables'!$I$164:$Q$164,0),FALSE),""))))</f>
        <v/>
      </c>
      <c r="CV11" s="186" t="str">
        <f>IF($CL11="","",IF(AND($CL11&lt;&gt;"DX HP",$CL11&lt;&gt;"PTHP"),0,IF($CL11="DX HP",VLOOKUP($D11,'Factor Tables'!$I$165:$Q$192,MATCH("DX HP Htg",'Factor Tables'!$I$164:$Q$164,0),FALSE),IF($CL11="PTHP",VLOOKUP($D11,'Factor Tables'!$I$165:$Q$192,MATCH("PTHP Htg",'Factor Tables'!$I$164:$Q$164,0),FALSE),""))))</f>
        <v/>
      </c>
      <c r="CX11" s="179" t="s">
        <v>54</v>
      </c>
      <c r="CY11" s="179" t="s">
        <v>54</v>
      </c>
      <c r="CZ11" s="178" t="s">
        <v>608</v>
      </c>
      <c r="DA11" s="179" t="s">
        <v>250</v>
      </c>
      <c r="DB11" s="550">
        <v>15</v>
      </c>
      <c r="DD11" s="77" t="s">
        <v>54</v>
      </c>
      <c r="DE11" s="393" t="s">
        <v>314</v>
      </c>
      <c r="DF11" s="393" t="s">
        <v>346</v>
      </c>
      <c r="DG11" s="393" t="s">
        <v>347</v>
      </c>
      <c r="DH11" s="393" t="s">
        <v>346</v>
      </c>
      <c r="DI11" s="393" t="s">
        <v>314</v>
      </c>
      <c r="DJ11" s="393" t="s">
        <v>346</v>
      </c>
      <c r="DK11" s="393" t="s">
        <v>347</v>
      </c>
      <c r="DL11" s="393" t="s">
        <v>346</v>
      </c>
      <c r="DM11" s="493" t="s">
        <v>478</v>
      </c>
    </row>
    <row r="12" spans="1:117" s="7" customFormat="1" ht="21.95" customHeight="1" x14ac:dyDescent="0.25">
      <c r="B12" s="13">
        <v>3</v>
      </c>
      <c r="C12" s="501" t="str">
        <f t="shared" si="18"/>
        <v/>
      </c>
      <c r="D12" s="502" t="str">
        <f t="shared" si="19"/>
        <v/>
      </c>
      <c r="E12" s="546"/>
      <c r="F12" s="547"/>
      <c r="G12" s="729"/>
      <c r="H12" s="727"/>
      <c r="I12" s="729"/>
      <c r="J12" s="729"/>
      <c r="K12" s="729"/>
      <c r="L12" s="729"/>
      <c r="M12" s="765"/>
      <c r="N12" s="758"/>
      <c r="O12" s="765"/>
      <c r="P12" s="758"/>
      <c r="Q12" s="1143"/>
      <c r="R12" s="1134"/>
      <c r="S12" s="775"/>
      <c r="T12" s="729"/>
      <c r="U12" s="775"/>
      <c r="V12" s="779"/>
      <c r="W12" s="557"/>
      <c r="X12" s="788"/>
      <c r="Y12" s="543"/>
      <c r="Z12" s="281"/>
      <c r="AA12" s="281"/>
      <c r="AB12" s="281"/>
      <c r="AC12" s="281"/>
      <c r="AD12" s="492"/>
      <c r="AE12" s="527">
        <f t="shared" si="20"/>
        <v>0</v>
      </c>
      <c r="AF12" s="527">
        <f t="shared" si="21"/>
        <v>0</v>
      </c>
      <c r="AG12" s="527">
        <f t="shared" si="0"/>
        <v>0</v>
      </c>
      <c r="AH12" s="527">
        <f t="shared" si="1"/>
        <v>0</v>
      </c>
      <c r="AI12" s="527">
        <f t="shared" si="2"/>
        <v>0</v>
      </c>
      <c r="AJ12" s="527">
        <f t="shared" si="3"/>
        <v>999999999</v>
      </c>
      <c r="AK12" s="471"/>
      <c r="AL12" s="765"/>
      <c r="AM12" s="758"/>
      <c r="AN12" s="281"/>
      <c r="AO12" s="775"/>
      <c r="AP12" s="775"/>
      <c r="AQ12" s="281"/>
      <c r="AR12" s="528"/>
      <c r="AS12" s="532"/>
      <c r="AT12" s="524" t="str">
        <f t="shared" si="4"/>
        <v/>
      </c>
      <c r="AU12" s="311">
        <f t="shared" si="5"/>
        <v>0</v>
      </c>
      <c r="AV12" s="288">
        <f t="shared" si="22"/>
        <v>0</v>
      </c>
      <c r="AW12" s="290">
        <f>IF(ISERROR($AU12*'Utility Admin'!$E$4+$AV12*'Utility Admin'!$F$4),0,$AU12*'Utility Admin'!$E$4+$AV12*'Utility Admin'!$F$4)</f>
        <v>0</v>
      </c>
      <c r="AX12" s="323" t="str">
        <f t="shared" si="6"/>
        <v/>
      </c>
      <c r="AY12" s="322" t="str">
        <f t="shared" si="23"/>
        <v/>
      </c>
      <c r="AZ12" s="319">
        <f>Baselines!$CJ256</f>
        <v>0</v>
      </c>
      <c r="BA12" s="735">
        <f>Baselines!$CK256</f>
        <v>0</v>
      </c>
      <c r="BB12" s="839">
        <f>Baselines!$CM256</f>
        <v>0</v>
      </c>
      <c r="BC12" s="466">
        <f t="shared" si="7"/>
        <v>0</v>
      </c>
      <c r="BD12" s="464">
        <f t="shared" si="24"/>
        <v>0</v>
      </c>
      <c r="BE12" s="755">
        <f t="shared" si="8"/>
        <v>0</v>
      </c>
      <c r="BF12" s="755">
        <f t="shared" si="25"/>
        <v>0</v>
      </c>
      <c r="BG12" s="466">
        <f t="shared" si="9"/>
        <v>0</v>
      </c>
      <c r="BH12" s="464">
        <f t="shared" si="10"/>
        <v>0</v>
      </c>
      <c r="BI12" s="755">
        <f t="shared" si="11"/>
        <v>0</v>
      </c>
      <c r="BJ12" s="755">
        <f t="shared" si="26"/>
        <v>0</v>
      </c>
      <c r="BK12" s="333">
        <f>IF(OR($C12&lt;&gt;"Early Retirement",$H12=""),0,IF(AND($G12&lt;&gt;"Air Cooled Chiller",$G12&lt;&gt;"Water Cooled Chiller"),VLOOKUP($H12,'Early Retirement'!$CI$6:$CL$33,2,FALSE),IF($J12&lt;&gt;"Centrifugal",VLOOKUP($H12,'Early Retirement'!$CI$6:$CL$33,3,FALSE),IF($J12="Centrifugal",VLOOKUP($H12,'Early Retirement'!$CI$6:$CL$33,4,FALSE),""))))</f>
        <v>0</v>
      </c>
      <c r="BL12" s="450">
        <f t="shared" si="12"/>
        <v>0</v>
      </c>
      <c r="BM12" s="553">
        <f>IFERROR('Utility Admin'!$I$4*((1+'Utility Admin'!$G$4)/('Utility Admin'!$H$4-'Utility Admin'!$G$4))*(1-((1+'Utility Admin'!$G$4)/(1+'Utility Admin'!$H$4))^$BK12)*$BG12,0)</f>
        <v>0</v>
      </c>
      <c r="BN12" s="553">
        <f>IFERROR('Utility Admin'!$I$4*((1+'Utility Admin'!$G$4)/('Utility Admin'!$H$4-'Utility Admin'!$G$4))*(1-((1+'Utility Admin'!$G$4)/(1+'Utility Admin'!$H$4))^$BL12)*((1+'Utility Admin'!$G$4)^$BK12/(1+'Utility Admin'!$H$4)^$BK12)*$BC12,0)</f>
        <v>0</v>
      </c>
      <c r="BO12" s="553">
        <f t="shared" si="27"/>
        <v>0</v>
      </c>
      <c r="BP12" s="553">
        <f>IFERROR('Utility Admin'!$J$4*((1+'Utility Admin'!$G$4)/('Utility Admin'!$H$4-'Utility Admin'!$G$4))*(1-((1+'Utility Admin'!$G$4)/(1+'Utility Admin'!$H$4))^$BK12)*$BJ12,0)</f>
        <v>0</v>
      </c>
      <c r="BQ12" s="553">
        <f>IFERROR('Utility Admin'!$J$4*((1+'Utility Admin'!$G$4)/('Utility Admin'!$H$4-'Utility Admin'!$G$4))*(1-((1+'Utility Admin'!$G$4)/(1+'Utility Admin'!$H$4))^$BL12)*((1+'Utility Admin'!$G$4)^$BK12/(1+'Utility Admin'!$H$4)^$BK12)*$BF12,0)</f>
        <v>0</v>
      </c>
      <c r="BR12" s="553">
        <f t="shared" si="28"/>
        <v>0</v>
      </c>
      <c r="BS12" s="553">
        <f>IFERROR('Utility Admin'!$I$4*((1+'Utility Admin'!$G$4)/('Utility Admin'!$H$4-'Utility Admin'!$G$4))*(1-((1+'Utility Admin'!$G$4)/(1+'Utility Admin'!$H$4))^$AT12),0)</f>
        <v>0</v>
      </c>
      <c r="BT12" s="553">
        <f>IFERROR('Utility Admin'!$J$4*((1+'Utility Admin'!$G$4)/('Utility Admin'!$H$4-'Utility Admin'!$G$4))*(1-((1+'Utility Admin'!$G$4)/(1+'Utility Admin'!$H$4))^$AT12),0)</f>
        <v>0</v>
      </c>
      <c r="BU12" s="459">
        <f t="shared" si="29"/>
        <v>0</v>
      </c>
      <c r="BV12" s="462">
        <f t="shared" si="30"/>
        <v>0</v>
      </c>
      <c r="BW12" s="183" t="str">
        <f t="shared" si="13"/>
        <v/>
      </c>
      <c r="BX12" s="250" t="str">
        <f t="shared" si="31"/>
        <v/>
      </c>
      <c r="BY12" s="250" t="str">
        <f t="shared" si="14"/>
        <v/>
      </c>
      <c r="BZ12" s="184">
        <f t="shared" si="32"/>
        <v>0</v>
      </c>
      <c r="CA12" s="693">
        <f t="shared" si="33"/>
        <v>0</v>
      </c>
      <c r="CB12" s="836">
        <f t="shared" si="34"/>
        <v>0</v>
      </c>
      <c r="CC12" s="693">
        <f>IF(AND($C12="Early Retirement",$H12&lt;&gt;"",$R12&lt;&gt;"",$T12&lt;&gt;""),$BZ12,Baselines!$CJ5)</f>
        <v>0</v>
      </c>
      <c r="CD12" s="693">
        <f>IF(AND($C12="Early Retirement",$H12&lt;&gt;"",$R12&lt;&gt;"",$T12&lt;&gt;""),$CA12,Baselines!$CK5)</f>
        <v>0</v>
      </c>
      <c r="CE12" s="182" t="str">
        <f>Baselines!$CL5</f>
        <v>kW/ton</v>
      </c>
      <c r="CF12" s="850" t="str">
        <f t="shared" si="15"/>
        <v/>
      </c>
      <c r="CG12" s="833">
        <f>IF(AND($C12="Early Retirement",$H12&lt;&gt;"",$R12&lt;&gt;"",$T12&lt;&gt;""),$CB12,IF(AND(Baselines!$CM5=0,OR($CL12="DX HP",$CL12="PTHP")),$BB12,Baselines!$CM5))</f>
        <v>0</v>
      </c>
      <c r="CH12" s="830" t="s">
        <v>567</v>
      </c>
      <c r="CI12" s="185" t="str">
        <f>IF(OR($C12="Replace-on-Burnout",$C12="New Construction"),$CT12,IF($BW12="","",VLOOKUP($D12,'Factor Tables'!$B$165:$H$192,MATCH($BW12,'Factor Tables'!$B$164:$H$164,0),FALSE)))</f>
        <v/>
      </c>
      <c r="CJ12" s="842" t="str">
        <f>IF(OR($C12="Replace-on-Burnout",$C12="New Construction"),$CU12,IF($BW12="","",IF($BW12="DX HP",VLOOKUP($D12,'Factor Tables'!$I$165:$Q$192,MATCH("DX HP Clg",'Factor Tables'!$I$164:$Q$164,0),FALSE),IF($BW12="PTHP",VLOOKUP($D12,'Factor Tables'!$I$165:$Q$192,MATCH("PTHP Clg",'Factor Tables'!$I$164:$Q$164,0),FALSE),IF(AND($BW12&lt;&gt;"DX HP",$BW12&lt;&gt;"PTHP"),VLOOKUP($D12,'Factor Tables'!$I$165:$Q$192,MATCH($BW12,'Factor Tables'!$I$164:$Q$164,0),FALSE),"")))))</f>
        <v/>
      </c>
      <c r="CK12" s="186" t="str">
        <f>IF(OR($C12="Replace-on-Burnout",$C12="New Construction",$CL12="DX HP",$CL12="PTHP"),$CV12,IF($BW12="","",IF($BW12="DX HP",VLOOKUP($D12,'Factor Tables'!$I$165:$Q$192,MATCH("DX HP Htg",'Factor Tables'!$I$164:$Q$164,0),FALSE),IF($BW12="PTHP",VLOOKUP($D12,'Factor Tables'!$I$165:$Q$192,MATCH("PTHP Htg",'Factor Tables'!$I$164:$Q$164,0),FALSE),0))))</f>
        <v/>
      </c>
      <c r="CL12" s="183" t="str">
        <f t="shared" si="16"/>
        <v/>
      </c>
      <c r="CM12" s="250" t="str">
        <f t="shared" si="17"/>
        <v/>
      </c>
      <c r="CN12" s="184">
        <f t="shared" si="35"/>
        <v>0</v>
      </c>
      <c r="CO12" s="693">
        <f t="shared" si="36"/>
        <v>0</v>
      </c>
      <c r="CP12" s="182" t="s">
        <v>46</v>
      </c>
      <c r="CQ12" s="850" t="str">
        <f t="shared" si="37"/>
        <v/>
      </c>
      <c r="CR12" s="833">
        <f t="shared" si="38"/>
        <v>0</v>
      </c>
      <c r="CS12" s="830" t="s">
        <v>567</v>
      </c>
      <c r="CT12" s="185" t="str">
        <f>IF($CL12="","",VLOOKUP($D12,'Factor Tables'!$B$165:$H$192,MATCH($CL12,'Factor Tables'!$B$164:$H$164,0),FALSE))</f>
        <v/>
      </c>
      <c r="CU12" s="842" t="str">
        <f>IF($CL12="","",IF(AND($CL12&lt;&gt;"DX HP",$CL12&lt;&gt;"PTHP"),VLOOKUP($D12,'Factor Tables'!$I$165:$Q$192,MATCH($CL12,'Factor Tables'!$I$164:$Q$164,0),FALSE),IF($CL12="DX HP",VLOOKUP($D12,'Factor Tables'!$I$165:$Q$192,MATCH("DX HP Clg",'Factor Tables'!$I$164:$Q$164,0),FALSE),IF($CL12="PTHP",VLOOKUP($D12,'Factor Tables'!$I$165:$Q$192,MATCH("PTHP Clg",'Factor Tables'!$I$164:$Q$164,0),FALSE),""))))</f>
        <v/>
      </c>
      <c r="CV12" s="186" t="str">
        <f>IF($CL12="","",IF(AND($CL12&lt;&gt;"DX HP",$CL12&lt;&gt;"PTHP"),0,IF($CL12="DX HP",VLOOKUP($D12,'Factor Tables'!$I$165:$Q$192,MATCH("DX HP Htg",'Factor Tables'!$I$164:$Q$164,0),FALSE),IF($CL12="PTHP",VLOOKUP($D12,'Factor Tables'!$I$165:$Q$192,MATCH("PTHP Htg",'Factor Tables'!$I$164:$Q$164,0),FALSE),""))))</f>
        <v/>
      </c>
      <c r="CX12" s="179" t="s">
        <v>47</v>
      </c>
      <c r="CY12" s="179" t="s">
        <v>47</v>
      </c>
      <c r="CZ12" s="179" t="s">
        <v>47</v>
      </c>
      <c r="DA12" s="179" t="s">
        <v>248</v>
      </c>
      <c r="DB12" s="550">
        <v>15</v>
      </c>
      <c r="DD12" s="77"/>
      <c r="DE12" s="393" t="s">
        <v>315</v>
      </c>
      <c r="DF12" s="393" t="s">
        <v>348</v>
      </c>
      <c r="DG12" s="393" t="s">
        <v>362</v>
      </c>
      <c r="DH12" s="393" t="s">
        <v>348</v>
      </c>
      <c r="DI12" s="393" t="s">
        <v>315</v>
      </c>
      <c r="DJ12" s="393" t="s">
        <v>348</v>
      </c>
      <c r="DK12" s="393" t="s">
        <v>362</v>
      </c>
      <c r="DL12" s="393" t="s">
        <v>348</v>
      </c>
      <c r="DM12" s="493" t="s">
        <v>478</v>
      </c>
    </row>
    <row r="13" spans="1:117" s="7" customFormat="1" ht="21.95" customHeight="1" x14ac:dyDescent="0.25">
      <c r="B13" s="14">
        <v>4</v>
      </c>
      <c r="C13" s="499" t="str">
        <f t="shared" si="18"/>
        <v/>
      </c>
      <c r="D13" s="403" t="str">
        <f t="shared" si="19"/>
        <v/>
      </c>
      <c r="E13" s="541"/>
      <c r="F13" s="785"/>
      <c r="G13" s="728"/>
      <c r="H13" s="728"/>
      <c r="I13" s="728"/>
      <c r="J13" s="728"/>
      <c r="K13" s="728"/>
      <c r="L13" s="728"/>
      <c r="M13" s="764"/>
      <c r="N13" s="728"/>
      <c r="O13" s="764"/>
      <c r="P13" s="728"/>
      <c r="Q13" s="1142"/>
      <c r="R13" s="1133"/>
      <c r="S13" s="778"/>
      <c r="T13" s="767"/>
      <c r="U13" s="778"/>
      <c r="V13" s="751"/>
      <c r="W13" s="556"/>
      <c r="X13" s="785"/>
      <c r="Y13" s="542"/>
      <c r="Z13" s="500"/>
      <c r="AA13" s="500"/>
      <c r="AB13" s="500"/>
      <c r="AC13" s="500"/>
      <c r="AD13" s="529"/>
      <c r="AE13" s="527">
        <f t="shared" si="20"/>
        <v>0</v>
      </c>
      <c r="AF13" s="527">
        <f t="shared" si="21"/>
        <v>0</v>
      </c>
      <c r="AG13" s="527">
        <f t="shared" si="0"/>
        <v>0</v>
      </c>
      <c r="AH13" s="527">
        <f t="shared" si="1"/>
        <v>0</v>
      </c>
      <c r="AI13" s="527">
        <f t="shared" si="2"/>
        <v>0</v>
      </c>
      <c r="AJ13" s="527">
        <f t="shared" si="3"/>
        <v>999999999</v>
      </c>
      <c r="AK13" s="530"/>
      <c r="AL13" s="776"/>
      <c r="AM13" s="777"/>
      <c r="AN13" s="500"/>
      <c r="AO13" s="778"/>
      <c r="AP13" s="778"/>
      <c r="AQ13" s="500"/>
      <c r="AR13" s="531"/>
      <c r="AS13" s="403"/>
      <c r="AT13" s="524" t="str">
        <f t="shared" si="4"/>
        <v/>
      </c>
      <c r="AU13" s="311">
        <f t="shared" si="5"/>
        <v>0</v>
      </c>
      <c r="AV13" s="288">
        <f t="shared" si="22"/>
        <v>0</v>
      </c>
      <c r="AW13" s="290">
        <f>IF(ISERROR($AU13*'Utility Admin'!$E$4+$AV13*'Utility Admin'!$F$4),0,$AU13*'Utility Admin'!$E$4+$AV13*'Utility Admin'!$F$4)</f>
        <v>0</v>
      </c>
      <c r="AX13" s="323" t="str">
        <f t="shared" si="6"/>
        <v/>
      </c>
      <c r="AY13" s="322" t="str">
        <f t="shared" si="23"/>
        <v/>
      </c>
      <c r="AZ13" s="319">
        <f>Baselines!$CJ257</f>
        <v>0</v>
      </c>
      <c r="BA13" s="735">
        <f>Baselines!$CK257</f>
        <v>0</v>
      </c>
      <c r="BB13" s="839">
        <f>Baselines!$CM257</f>
        <v>0</v>
      </c>
      <c r="BC13" s="466">
        <f t="shared" si="7"/>
        <v>0</v>
      </c>
      <c r="BD13" s="464">
        <f t="shared" si="24"/>
        <v>0</v>
      </c>
      <c r="BE13" s="755">
        <f t="shared" si="8"/>
        <v>0</v>
      </c>
      <c r="BF13" s="755">
        <f t="shared" si="25"/>
        <v>0</v>
      </c>
      <c r="BG13" s="466">
        <f t="shared" si="9"/>
        <v>0</v>
      </c>
      <c r="BH13" s="464">
        <f t="shared" si="10"/>
        <v>0</v>
      </c>
      <c r="BI13" s="755">
        <f t="shared" si="11"/>
        <v>0</v>
      </c>
      <c r="BJ13" s="755">
        <f t="shared" si="26"/>
        <v>0</v>
      </c>
      <c r="BK13" s="333">
        <f>IF(OR($C13&lt;&gt;"Early Retirement",$H13=""),0,IF(AND($G13&lt;&gt;"Air Cooled Chiller",$G13&lt;&gt;"Water Cooled Chiller"),VLOOKUP($H13,'Early Retirement'!$CI$6:$CL$33,2,FALSE),IF($J13&lt;&gt;"Centrifugal",VLOOKUP($H13,'Early Retirement'!$CI$6:$CL$33,3,FALSE),IF($J13="Centrifugal",VLOOKUP($H13,'Early Retirement'!$CI$6:$CL$33,4,FALSE),""))))</f>
        <v>0</v>
      </c>
      <c r="BL13" s="450">
        <f t="shared" si="12"/>
        <v>0</v>
      </c>
      <c r="BM13" s="553">
        <f>IFERROR('Utility Admin'!$I$4*((1+'Utility Admin'!$G$4)/('Utility Admin'!$H$4-'Utility Admin'!$G$4))*(1-((1+'Utility Admin'!$G$4)/(1+'Utility Admin'!$H$4))^$BK13)*$BG13,0)</f>
        <v>0</v>
      </c>
      <c r="BN13" s="553">
        <f>IFERROR('Utility Admin'!$I$4*((1+'Utility Admin'!$G$4)/('Utility Admin'!$H$4-'Utility Admin'!$G$4))*(1-((1+'Utility Admin'!$G$4)/(1+'Utility Admin'!$H$4))^$BL13)*((1+'Utility Admin'!$G$4)^$BK13/(1+'Utility Admin'!$H$4)^$BK13)*$BC13,0)</f>
        <v>0</v>
      </c>
      <c r="BO13" s="553">
        <f t="shared" si="27"/>
        <v>0</v>
      </c>
      <c r="BP13" s="553">
        <f>IFERROR('Utility Admin'!$J$4*((1+'Utility Admin'!$G$4)/('Utility Admin'!$H$4-'Utility Admin'!$G$4))*(1-((1+'Utility Admin'!$G$4)/(1+'Utility Admin'!$H$4))^$BK13)*$BJ13,0)</f>
        <v>0</v>
      </c>
      <c r="BQ13" s="553">
        <f>IFERROR('Utility Admin'!$J$4*((1+'Utility Admin'!$G$4)/('Utility Admin'!$H$4-'Utility Admin'!$G$4))*(1-((1+'Utility Admin'!$G$4)/(1+'Utility Admin'!$H$4))^$BL13)*((1+'Utility Admin'!$G$4)^$BK13/(1+'Utility Admin'!$H$4)^$BK13)*$BF13,0)</f>
        <v>0</v>
      </c>
      <c r="BR13" s="553">
        <f t="shared" si="28"/>
        <v>0</v>
      </c>
      <c r="BS13" s="553">
        <f>IFERROR('Utility Admin'!$I$4*((1+'Utility Admin'!$G$4)/('Utility Admin'!$H$4-'Utility Admin'!$G$4))*(1-((1+'Utility Admin'!$G$4)/(1+'Utility Admin'!$H$4))^$AT13),0)</f>
        <v>0</v>
      </c>
      <c r="BT13" s="553">
        <f>IFERROR('Utility Admin'!$J$4*((1+'Utility Admin'!$G$4)/('Utility Admin'!$H$4-'Utility Admin'!$G$4))*(1-((1+'Utility Admin'!$G$4)/(1+'Utility Admin'!$H$4))^$AT13),0)</f>
        <v>0</v>
      </c>
      <c r="BU13" s="459">
        <f t="shared" si="29"/>
        <v>0</v>
      </c>
      <c r="BV13" s="462">
        <f t="shared" si="30"/>
        <v>0</v>
      </c>
      <c r="BW13" s="183" t="str">
        <f t="shared" si="13"/>
        <v/>
      </c>
      <c r="BX13" s="250" t="str">
        <f t="shared" si="31"/>
        <v/>
      </c>
      <c r="BY13" s="250" t="str">
        <f t="shared" si="14"/>
        <v/>
      </c>
      <c r="BZ13" s="184">
        <f t="shared" si="32"/>
        <v>0</v>
      </c>
      <c r="CA13" s="693">
        <f t="shared" si="33"/>
        <v>0</v>
      </c>
      <c r="CB13" s="836">
        <f t="shared" si="34"/>
        <v>0</v>
      </c>
      <c r="CC13" s="693">
        <f>IF(AND($C13="Early Retirement",$H13&lt;&gt;"",$R13&lt;&gt;"",$T13&lt;&gt;""),$BZ13,Baselines!$CJ6)</f>
        <v>0</v>
      </c>
      <c r="CD13" s="693">
        <f>IF(AND($C13="Early Retirement",$H13&lt;&gt;"",$R13&lt;&gt;"",$T13&lt;&gt;""),$CA13,Baselines!$CK6)</f>
        <v>0</v>
      </c>
      <c r="CE13" s="182" t="str">
        <f>Baselines!$CL6</f>
        <v>kW/ton</v>
      </c>
      <c r="CF13" s="850" t="str">
        <f t="shared" si="15"/>
        <v/>
      </c>
      <c r="CG13" s="833">
        <f>IF(AND($C13="Early Retirement",$H13&lt;&gt;"",$R13&lt;&gt;"",$T13&lt;&gt;""),$CB13,IF(AND(Baselines!$CM6=0,OR($CL13="DX HP",$CL13="PTHP")),$BB13,Baselines!$CM6))</f>
        <v>0</v>
      </c>
      <c r="CH13" s="830" t="s">
        <v>567</v>
      </c>
      <c r="CI13" s="185" t="str">
        <f>IF(OR($C13="Replace-on-Burnout",$C13="New Construction"),$CT13,IF($BW13="","",VLOOKUP($D13,'Factor Tables'!$B$165:$H$192,MATCH($BW13,'Factor Tables'!$B$164:$H$164,0),FALSE)))</f>
        <v/>
      </c>
      <c r="CJ13" s="842" t="str">
        <f>IF(OR($C13="Replace-on-Burnout",$C13="New Construction"),$CU13,IF($BW13="","",IF($BW13="DX HP",VLOOKUP($D13,'Factor Tables'!$I$165:$Q$192,MATCH("DX HP Clg",'Factor Tables'!$I$164:$Q$164,0),FALSE),IF($BW13="PTHP",VLOOKUP($D13,'Factor Tables'!$I$165:$Q$192,MATCH("PTHP Clg",'Factor Tables'!$I$164:$Q$164,0),FALSE),IF(AND($BW13&lt;&gt;"DX HP",$BW13&lt;&gt;"PTHP"),VLOOKUP($D13,'Factor Tables'!$I$165:$Q$192,MATCH($BW13,'Factor Tables'!$I$164:$Q$164,0),FALSE),"")))))</f>
        <v/>
      </c>
      <c r="CK13" s="186" t="str">
        <f>IF(OR($C13="Replace-on-Burnout",$C13="New Construction",$CL13="DX HP",$CL13="PTHP"),$CV13,IF($BW13="","",IF($BW13="DX HP",VLOOKUP($D13,'Factor Tables'!$I$165:$Q$192,MATCH("DX HP Htg",'Factor Tables'!$I$164:$Q$164,0),FALSE),IF($BW13="PTHP",VLOOKUP($D13,'Factor Tables'!$I$165:$Q$192,MATCH("PTHP Htg",'Factor Tables'!$I$164:$Q$164,0),FALSE),0))))</f>
        <v/>
      </c>
      <c r="CL13" s="183" t="str">
        <f t="shared" si="16"/>
        <v/>
      </c>
      <c r="CM13" s="250" t="str">
        <f t="shared" si="17"/>
        <v/>
      </c>
      <c r="CN13" s="184">
        <f t="shared" si="35"/>
        <v>0</v>
      </c>
      <c r="CO13" s="693">
        <f t="shared" si="36"/>
        <v>0</v>
      </c>
      <c r="CP13" s="182" t="s">
        <v>46</v>
      </c>
      <c r="CQ13" s="850" t="str">
        <f t="shared" si="37"/>
        <v/>
      </c>
      <c r="CR13" s="833">
        <f t="shared" si="38"/>
        <v>0</v>
      </c>
      <c r="CS13" s="830" t="s">
        <v>567</v>
      </c>
      <c r="CT13" s="185" t="str">
        <f>IF($CL13="","",VLOOKUP($D13,'Factor Tables'!$B$165:$H$192,MATCH($CL13,'Factor Tables'!$B$164:$H$164,0),FALSE))</f>
        <v/>
      </c>
      <c r="CU13" s="842" t="str">
        <f>IF($CL13="","",IF(AND($CL13&lt;&gt;"DX HP",$CL13&lt;&gt;"PTHP"),VLOOKUP($D13,'Factor Tables'!$I$165:$Q$192,MATCH($CL13,'Factor Tables'!$I$164:$Q$164,0),FALSE),IF($CL13="DX HP",VLOOKUP($D13,'Factor Tables'!$I$165:$Q$192,MATCH("DX HP Clg",'Factor Tables'!$I$164:$Q$164,0),FALSE),IF($CL13="PTHP",VLOOKUP($D13,'Factor Tables'!$I$165:$Q$192,MATCH("PTHP Clg",'Factor Tables'!$I$164:$Q$164,0),FALSE),""))))</f>
        <v/>
      </c>
      <c r="CV13" s="186" t="str">
        <f>IF($CL13="","",IF(AND($CL13&lt;&gt;"DX HP",$CL13&lt;&gt;"PTHP"),0,IF($CL13="DX HP",VLOOKUP($D13,'Factor Tables'!$I$165:$Q$192,MATCH("DX HP Htg",'Factor Tables'!$I$164:$Q$164,0),FALSE),IF($CL13="PTHP",VLOOKUP($D13,'Factor Tables'!$I$165:$Q$192,MATCH("PTHP Htg",'Factor Tables'!$I$164:$Q$164,0),FALSE),""))))</f>
        <v/>
      </c>
      <c r="CX13" s="179" t="s">
        <v>48</v>
      </c>
      <c r="CY13" s="179" t="s">
        <v>48</v>
      </c>
      <c r="CZ13" s="179" t="s">
        <v>48</v>
      </c>
      <c r="DA13" s="179" t="s">
        <v>248</v>
      </c>
      <c r="DB13" s="550">
        <v>15</v>
      </c>
      <c r="DD13" s="193" t="s">
        <v>346</v>
      </c>
      <c r="DE13" s="393" t="s">
        <v>337</v>
      </c>
      <c r="DF13" s="393" t="s">
        <v>349</v>
      </c>
      <c r="DG13" s="393" t="s">
        <v>349</v>
      </c>
      <c r="DH13" s="393" t="s">
        <v>349</v>
      </c>
      <c r="DI13" s="393" t="s">
        <v>337</v>
      </c>
      <c r="DJ13" s="393" t="s">
        <v>349</v>
      </c>
      <c r="DK13" s="393" t="s">
        <v>349</v>
      </c>
      <c r="DL13" s="393" t="s">
        <v>349</v>
      </c>
      <c r="DM13" s="493" t="s">
        <v>478</v>
      </c>
    </row>
    <row r="14" spans="1:117" s="7" customFormat="1" ht="21.95" customHeight="1" x14ac:dyDescent="0.25">
      <c r="B14" s="13">
        <v>5</v>
      </c>
      <c r="C14" s="501" t="str">
        <f t="shared" si="18"/>
        <v/>
      </c>
      <c r="D14" s="502" t="str">
        <f t="shared" si="19"/>
        <v/>
      </c>
      <c r="E14" s="546"/>
      <c r="F14" s="547"/>
      <c r="G14" s="729"/>
      <c r="H14" s="727"/>
      <c r="I14" s="729"/>
      <c r="J14" s="729"/>
      <c r="K14" s="729"/>
      <c r="L14" s="729"/>
      <c r="M14" s="765"/>
      <c r="N14" s="758"/>
      <c r="O14" s="765"/>
      <c r="P14" s="758"/>
      <c r="Q14" s="1143"/>
      <c r="R14" s="1134"/>
      <c r="S14" s="775"/>
      <c r="T14" s="729"/>
      <c r="U14" s="775"/>
      <c r="V14" s="779"/>
      <c r="W14" s="557"/>
      <c r="X14" s="788"/>
      <c r="Y14" s="543"/>
      <c r="Z14" s="281"/>
      <c r="AA14" s="281"/>
      <c r="AB14" s="281"/>
      <c r="AC14" s="281"/>
      <c r="AD14" s="492"/>
      <c r="AE14" s="527">
        <f t="shared" si="20"/>
        <v>0</v>
      </c>
      <c r="AF14" s="527">
        <f t="shared" si="21"/>
        <v>0</v>
      </c>
      <c r="AG14" s="527">
        <f t="shared" si="0"/>
        <v>0</v>
      </c>
      <c r="AH14" s="527">
        <f t="shared" si="1"/>
        <v>0</v>
      </c>
      <c r="AI14" s="527">
        <f t="shared" si="2"/>
        <v>0</v>
      </c>
      <c r="AJ14" s="527">
        <f t="shared" si="3"/>
        <v>999999999</v>
      </c>
      <c r="AK14" s="471"/>
      <c r="AL14" s="765"/>
      <c r="AM14" s="758"/>
      <c r="AN14" s="281"/>
      <c r="AO14" s="775"/>
      <c r="AP14" s="775"/>
      <c r="AQ14" s="281"/>
      <c r="AR14" s="528"/>
      <c r="AS14" s="532"/>
      <c r="AT14" s="524" t="str">
        <f t="shared" si="4"/>
        <v/>
      </c>
      <c r="AU14" s="311">
        <f t="shared" si="5"/>
        <v>0</v>
      </c>
      <c r="AV14" s="288">
        <f t="shared" si="22"/>
        <v>0</v>
      </c>
      <c r="AW14" s="290">
        <f>IF(ISERROR($AU14*'Utility Admin'!$E$4+$AV14*'Utility Admin'!$F$4),0,$AU14*'Utility Admin'!$E$4+$AV14*'Utility Admin'!$F$4)</f>
        <v>0</v>
      </c>
      <c r="AX14" s="323" t="str">
        <f t="shared" si="6"/>
        <v/>
      </c>
      <c r="AY14" s="322" t="str">
        <f t="shared" si="23"/>
        <v/>
      </c>
      <c r="AZ14" s="319">
        <f>Baselines!$CJ258</f>
        <v>0</v>
      </c>
      <c r="BA14" s="735">
        <f>Baselines!$CK258</f>
        <v>0</v>
      </c>
      <c r="BB14" s="839">
        <f>Baselines!$CM258</f>
        <v>0</v>
      </c>
      <c r="BC14" s="466">
        <f t="shared" si="7"/>
        <v>0</v>
      </c>
      <c r="BD14" s="464">
        <f t="shared" si="24"/>
        <v>0</v>
      </c>
      <c r="BE14" s="755">
        <f t="shared" si="8"/>
        <v>0</v>
      </c>
      <c r="BF14" s="755">
        <f t="shared" si="25"/>
        <v>0</v>
      </c>
      <c r="BG14" s="466">
        <f t="shared" si="9"/>
        <v>0</v>
      </c>
      <c r="BH14" s="464">
        <f t="shared" si="10"/>
        <v>0</v>
      </c>
      <c r="BI14" s="755">
        <f t="shared" si="11"/>
        <v>0</v>
      </c>
      <c r="BJ14" s="755">
        <f t="shared" si="26"/>
        <v>0</v>
      </c>
      <c r="BK14" s="333">
        <f>IF(OR($C14&lt;&gt;"Early Retirement",$H14=""),0,IF(AND($G14&lt;&gt;"Air Cooled Chiller",$G14&lt;&gt;"Water Cooled Chiller"),VLOOKUP($H14,'Early Retirement'!$CI$6:$CL$33,2,FALSE),IF($J14&lt;&gt;"Centrifugal",VLOOKUP($H14,'Early Retirement'!$CI$6:$CL$33,3,FALSE),IF($J14="Centrifugal",VLOOKUP($H14,'Early Retirement'!$CI$6:$CL$33,4,FALSE),""))))</f>
        <v>0</v>
      </c>
      <c r="BL14" s="450">
        <f t="shared" si="12"/>
        <v>0</v>
      </c>
      <c r="BM14" s="553">
        <f>IFERROR('Utility Admin'!$I$4*((1+'Utility Admin'!$G$4)/('Utility Admin'!$H$4-'Utility Admin'!$G$4))*(1-((1+'Utility Admin'!$G$4)/(1+'Utility Admin'!$H$4))^$BK14)*$BG14,0)</f>
        <v>0</v>
      </c>
      <c r="BN14" s="553">
        <f>IFERROR('Utility Admin'!$I$4*((1+'Utility Admin'!$G$4)/('Utility Admin'!$H$4-'Utility Admin'!$G$4))*(1-((1+'Utility Admin'!$G$4)/(1+'Utility Admin'!$H$4))^$BL14)*((1+'Utility Admin'!$G$4)^$BK14/(1+'Utility Admin'!$H$4)^$BK14)*$BC14,0)</f>
        <v>0</v>
      </c>
      <c r="BO14" s="553">
        <f t="shared" si="27"/>
        <v>0</v>
      </c>
      <c r="BP14" s="553">
        <f>IFERROR('Utility Admin'!$J$4*((1+'Utility Admin'!$G$4)/('Utility Admin'!$H$4-'Utility Admin'!$G$4))*(1-((1+'Utility Admin'!$G$4)/(1+'Utility Admin'!$H$4))^$BK14)*$BJ14,0)</f>
        <v>0</v>
      </c>
      <c r="BQ14" s="553">
        <f>IFERROR('Utility Admin'!$J$4*((1+'Utility Admin'!$G$4)/('Utility Admin'!$H$4-'Utility Admin'!$G$4))*(1-((1+'Utility Admin'!$G$4)/(1+'Utility Admin'!$H$4))^$BL14)*((1+'Utility Admin'!$G$4)^$BK14/(1+'Utility Admin'!$H$4)^$BK14)*$BF14,0)</f>
        <v>0</v>
      </c>
      <c r="BR14" s="553">
        <f t="shared" si="28"/>
        <v>0</v>
      </c>
      <c r="BS14" s="553">
        <f>IFERROR('Utility Admin'!$I$4*((1+'Utility Admin'!$G$4)/('Utility Admin'!$H$4-'Utility Admin'!$G$4))*(1-((1+'Utility Admin'!$G$4)/(1+'Utility Admin'!$H$4))^$AT14),0)</f>
        <v>0</v>
      </c>
      <c r="BT14" s="553">
        <f>IFERROR('Utility Admin'!$J$4*((1+'Utility Admin'!$G$4)/('Utility Admin'!$H$4-'Utility Admin'!$G$4))*(1-((1+'Utility Admin'!$G$4)/(1+'Utility Admin'!$H$4))^$AT14),0)</f>
        <v>0</v>
      </c>
      <c r="BU14" s="459">
        <f t="shared" si="29"/>
        <v>0</v>
      </c>
      <c r="BV14" s="462">
        <f t="shared" si="30"/>
        <v>0</v>
      </c>
      <c r="BW14" s="183" t="str">
        <f t="shared" si="13"/>
        <v/>
      </c>
      <c r="BX14" s="250" t="str">
        <f t="shared" si="31"/>
        <v/>
      </c>
      <c r="BY14" s="250" t="str">
        <f t="shared" si="14"/>
        <v/>
      </c>
      <c r="BZ14" s="184">
        <f t="shared" si="32"/>
        <v>0</v>
      </c>
      <c r="CA14" s="693">
        <f t="shared" si="33"/>
        <v>0</v>
      </c>
      <c r="CB14" s="836">
        <f t="shared" si="34"/>
        <v>0</v>
      </c>
      <c r="CC14" s="693">
        <f>IF(AND($C14="Early Retirement",$H14&lt;&gt;"",$R14&lt;&gt;"",$T14&lt;&gt;""),$BZ14,Baselines!$CJ7)</f>
        <v>0</v>
      </c>
      <c r="CD14" s="693">
        <f>IF(AND($C14="Early Retirement",$H14&lt;&gt;"",$R14&lt;&gt;"",$T14&lt;&gt;""),$CA14,Baselines!$CK7)</f>
        <v>0</v>
      </c>
      <c r="CE14" s="182" t="str">
        <f>Baselines!$CL7</f>
        <v>kW/ton</v>
      </c>
      <c r="CF14" s="850" t="str">
        <f t="shared" si="15"/>
        <v/>
      </c>
      <c r="CG14" s="833">
        <f>IF(AND($C14="Early Retirement",$H14&lt;&gt;"",$R14&lt;&gt;"",$T14&lt;&gt;""),$CB14,IF(AND(Baselines!$CM7=0,OR($CL14="DX HP",$CL14="PTHP")),$BB14,Baselines!$CM7))</f>
        <v>0</v>
      </c>
      <c r="CH14" s="830" t="s">
        <v>567</v>
      </c>
      <c r="CI14" s="185" t="str">
        <f>IF(OR($C14="Replace-on-Burnout",$C14="New Construction"),$CT14,IF($BW14="","",VLOOKUP($D14,'Factor Tables'!$B$165:$H$192,MATCH($BW14,'Factor Tables'!$B$164:$H$164,0),FALSE)))</f>
        <v/>
      </c>
      <c r="CJ14" s="842" t="str">
        <f>IF(OR($C14="Replace-on-Burnout",$C14="New Construction"),$CU14,IF($BW14="","",IF($BW14="DX HP",VLOOKUP($D14,'Factor Tables'!$I$165:$Q$192,MATCH("DX HP Clg",'Factor Tables'!$I$164:$Q$164,0),FALSE),IF($BW14="PTHP",VLOOKUP($D14,'Factor Tables'!$I$165:$Q$192,MATCH("PTHP Clg",'Factor Tables'!$I$164:$Q$164,0),FALSE),IF(AND($BW14&lt;&gt;"DX HP",$BW14&lt;&gt;"PTHP"),VLOOKUP($D14,'Factor Tables'!$I$165:$Q$192,MATCH($BW14,'Factor Tables'!$I$164:$Q$164,0),FALSE),"")))))</f>
        <v/>
      </c>
      <c r="CK14" s="186" t="str">
        <f>IF(OR($C14="Replace-on-Burnout",$C14="New Construction",$CL14="DX HP",$CL14="PTHP"),$CV14,IF($BW14="","",IF($BW14="DX HP",VLOOKUP($D14,'Factor Tables'!$I$165:$Q$192,MATCH("DX HP Htg",'Factor Tables'!$I$164:$Q$164,0),FALSE),IF($BW14="PTHP",VLOOKUP($D14,'Factor Tables'!$I$165:$Q$192,MATCH("PTHP Htg",'Factor Tables'!$I$164:$Q$164,0),FALSE),0))))</f>
        <v/>
      </c>
      <c r="CL14" s="183" t="str">
        <f t="shared" si="16"/>
        <v/>
      </c>
      <c r="CM14" s="250" t="str">
        <f t="shared" si="17"/>
        <v/>
      </c>
      <c r="CN14" s="184">
        <f t="shared" si="35"/>
        <v>0</v>
      </c>
      <c r="CO14" s="693">
        <f t="shared" si="36"/>
        <v>0</v>
      </c>
      <c r="CP14" s="182" t="s">
        <v>46</v>
      </c>
      <c r="CQ14" s="850" t="str">
        <f t="shared" si="37"/>
        <v/>
      </c>
      <c r="CR14" s="833">
        <f t="shared" si="38"/>
        <v>0</v>
      </c>
      <c r="CS14" s="830" t="s">
        <v>567</v>
      </c>
      <c r="CT14" s="185" t="str">
        <f>IF($CL14="","",VLOOKUP($D14,'Factor Tables'!$B$165:$H$192,MATCH($CL14,'Factor Tables'!$B$164:$H$164,0),FALSE))</f>
        <v/>
      </c>
      <c r="CU14" s="842" t="str">
        <f>IF($CL14="","",IF(AND($CL14&lt;&gt;"DX HP",$CL14&lt;&gt;"PTHP"),VLOOKUP($D14,'Factor Tables'!$I$165:$Q$192,MATCH($CL14,'Factor Tables'!$I$164:$Q$164,0),FALSE),IF($CL14="DX HP",VLOOKUP($D14,'Factor Tables'!$I$165:$Q$192,MATCH("DX HP Clg",'Factor Tables'!$I$164:$Q$164,0),FALSE),IF($CL14="PTHP",VLOOKUP($D14,'Factor Tables'!$I$165:$Q$192,MATCH("PTHP Clg",'Factor Tables'!$I$164:$Q$164,0),FALSE),""))))</f>
        <v/>
      </c>
      <c r="CV14" s="186" t="str">
        <f>IF($CL14="","",IF(AND($CL14&lt;&gt;"DX HP",$CL14&lt;&gt;"PTHP"),0,IF($CL14="DX HP",VLOOKUP($D14,'Factor Tables'!$I$165:$Q$192,MATCH("DX HP Htg",'Factor Tables'!$I$164:$Q$164,0),FALSE),IF($CL14="PTHP",VLOOKUP($D14,'Factor Tables'!$I$165:$Q$192,MATCH("PTHP Htg",'Factor Tables'!$I$164:$Q$164,0),FALSE),""))))</f>
        <v/>
      </c>
      <c r="CX14" s="179" t="s">
        <v>191</v>
      </c>
      <c r="CY14" s="179" t="s">
        <v>191</v>
      </c>
      <c r="CZ14" s="178" t="s">
        <v>47</v>
      </c>
      <c r="DA14" s="179" t="s">
        <v>249</v>
      </c>
      <c r="DB14" s="550">
        <v>15</v>
      </c>
      <c r="DD14" s="77" t="s">
        <v>44</v>
      </c>
      <c r="DE14" s="393" t="s">
        <v>338</v>
      </c>
      <c r="DF14" s="393" t="s">
        <v>25</v>
      </c>
      <c r="DG14" s="393" t="s">
        <v>25</v>
      </c>
      <c r="DH14" s="393" t="s">
        <v>25</v>
      </c>
      <c r="DI14" s="393" t="s">
        <v>338</v>
      </c>
      <c r="DJ14" s="393" t="s">
        <v>25</v>
      </c>
      <c r="DK14" s="393" t="s">
        <v>25</v>
      </c>
      <c r="DL14" s="393" t="s">
        <v>25</v>
      </c>
      <c r="DM14" s="493" t="s">
        <v>478</v>
      </c>
    </row>
    <row r="15" spans="1:117" s="7" customFormat="1" ht="21.95" customHeight="1" x14ac:dyDescent="0.25">
      <c r="B15" s="14">
        <v>6</v>
      </c>
      <c r="C15" s="499" t="str">
        <f t="shared" si="18"/>
        <v/>
      </c>
      <c r="D15" s="403" t="str">
        <f t="shared" si="19"/>
        <v/>
      </c>
      <c r="E15" s="541"/>
      <c r="F15" s="785"/>
      <c r="G15" s="728"/>
      <c r="H15" s="728"/>
      <c r="I15" s="728"/>
      <c r="J15" s="728"/>
      <c r="K15" s="728"/>
      <c r="L15" s="728"/>
      <c r="M15" s="764"/>
      <c r="N15" s="728"/>
      <c r="O15" s="764"/>
      <c r="P15" s="728"/>
      <c r="Q15" s="1142"/>
      <c r="R15" s="1133"/>
      <c r="S15" s="778"/>
      <c r="T15" s="767"/>
      <c r="U15" s="778"/>
      <c r="V15" s="751"/>
      <c r="W15" s="556"/>
      <c r="X15" s="785"/>
      <c r="Y15" s="542"/>
      <c r="Z15" s="500"/>
      <c r="AA15" s="500"/>
      <c r="AB15" s="500"/>
      <c r="AC15" s="500"/>
      <c r="AD15" s="529"/>
      <c r="AE15" s="527">
        <f t="shared" si="20"/>
        <v>0</v>
      </c>
      <c r="AF15" s="527">
        <f t="shared" si="21"/>
        <v>0</v>
      </c>
      <c r="AG15" s="527">
        <f t="shared" si="0"/>
        <v>0</v>
      </c>
      <c r="AH15" s="527">
        <f t="shared" si="1"/>
        <v>0</v>
      </c>
      <c r="AI15" s="527">
        <f t="shared" si="2"/>
        <v>0</v>
      </c>
      <c r="AJ15" s="527">
        <f t="shared" si="3"/>
        <v>999999999</v>
      </c>
      <c r="AK15" s="530"/>
      <c r="AL15" s="776"/>
      <c r="AM15" s="777"/>
      <c r="AN15" s="500"/>
      <c r="AO15" s="778"/>
      <c r="AP15" s="778"/>
      <c r="AQ15" s="500"/>
      <c r="AR15" s="531"/>
      <c r="AS15" s="403"/>
      <c r="AT15" s="524" t="str">
        <f t="shared" si="4"/>
        <v/>
      </c>
      <c r="AU15" s="311">
        <f t="shared" si="5"/>
        <v>0</v>
      </c>
      <c r="AV15" s="288">
        <f t="shared" si="22"/>
        <v>0</v>
      </c>
      <c r="AW15" s="290">
        <f>IF(ISERROR($AU15*'Utility Admin'!$E$4+$AV15*'Utility Admin'!$F$4),0,$AU15*'Utility Admin'!$E$4+$AV15*'Utility Admin'!$F$4)</f>
        <v>0</v>
      </c>
      <c r="AX15" s="323" t="str">
        <f t="shared" si="6"/>
        <v/>
      </c>
      <c r="AY15" s="322" t="str">
        <f t="shared" si="23"/>
        <v/>
      </c>
      <c r="AZ15" s="319">
        <f>Baselines!$CJ259</f>
        <v>0</v>
      </c>
      <c r="BA15" s="735">
        <f>Baselines!$CK259</f>
        <v>0</v>
      </c>
      <c r="BB15" s="839">
        <f>Baselines!$CM259</f>
        <v>0</v>
      </c>
      <c r="BC15" s="466">
        <f t="shared" si="7"/>
        <v>0</v>
      </c>
      <c r="BD15" s="464">
        <f t="shared" si="24"/>
        <v>0</v>
      </c>
      <c r="BE15" s="755">
        <f t="shared" si="8"/>
        <v>0</v>
      </c>
      <c r="BF15" s="755">
        <f t="shared" si="25"/>
        <v>0</v>
      </c>
      <c r="BG15" s="466">
        <f t="shared" si="9"/>
        <v>0</v>
      </c>
      <c r="BH15" s="464">
        <f t="shared" si="10"/>
        <v>0</v>
      </c>
      <c r="BI15" s="755">
        <f t="shared" si="11"/>
        <v>0</v>
      </c>
      <c r="BJ15" s="755">
        <f t="shared" si="26"/>
        <v>0</v>
      </c>
      <c r="BK15" s="333">
        <f>IF(OR($C15&lt;&gt;"Early Retirement",$H15=""),0,IF(AND($G15&lt;&gt;"Air Cooled Chiller",$G15&lt;&gt;"Water Cooled Chiller"),VLOOKUP($H15,'Early Retirement'!$CI$6:$CL$33,2,FALSE),IF($J15&lt;&gt;"Centrifugal",VLOOKUP($H15,'Early Retirement'!$CI$6:$CL$33,3,FALSE),IF($J15="Centrifugal",VLOOKUP($H15,'Early Retirement'!$CI$6:$CL$33,4,FALSE),""))))</f>
        <v>0</v>
      </c>
      <c r="BL15" s="450">
        <f t="shared" si="12"/>
        <v>0</v>
      </c>
      <c r="BM15" s="553">
        <f>IFERROR('Utility Admin'!$I$4*((1+'Utility Admin'!$G$4)/('Utility Admin'!$H$4-'Utility Admin'!$G$4))*(1-((1+'Utility Admin'!$G$4)/(1+'Utility Admin'!$H$4))^$BK15)*$BG15,0)</f>
        <v>0</v>
      </c>
      <c r="BN15" s="553">
        <f>IFERROR('Utility Admin'!$I$4*((1+'Utility Admin'!$G$4)/('Utility Admin'!$H$4-'Utility Admin'!$G$4))*(1-((1+'Utility Admin'!$G$4)/(1+'Utility Admin'!$H$4))^$BL15)*((1+'Utility Admin'!$G$4)^$BK15/(1+'Utility Admin'!$H$4)^$BK15)*$BC15,0)</f>
        <v>0</v>
      </c>
      <c r="BO15" s="553">
        <f t="shared" si="27"/>
        <v>0</v>
      </c>
      <c r="BP15" s="553">
        <f>IFERROR('Utility Admin'!$J$4*((1+'Utility Admin'!$G$4)/('Utility Admin'!$H$4-'Utility Admin'!$G$4))*(1-((1+'Utility Admin'!$G$4)/(1+'Utility Admin'!$H$4))^$BK15)*$BJ15,0)</f>
        <v>0</v>
      </c>
      <c r="BQ15" s="553">
        <f>IFERROR('Utility Admin'!$J$4*((1+'Utility Admin'!$G$4)/('Utility Admin'!$H$4-'Utility Admin'!$G$4))*(1-((1+'Utility Admin'!$G$4)/(1+'Utility Admin'!$H$4))^$BL15)*((1+'Utility Admin'!$G$4)^$BK15/(1+'Utility Admin'!$H$4)^$BK15)*$BF15,0)</f>
        <v>0</v>
      </c>
      <c r="BR15" s="553">
        <f t="shared" si="28"/>
        <v>0</v>
      </c>
      <c r="BS15" s="553">
        <f>IFERROR('Utility Admin'!$I$4*((1+'Utility Admin'!$G$4)/('Utility Admin'!$H$4-'Utility Admin'!$G$4))*(1-((1+'Utility Admin'!$G$4)/(1+'Utility Admin'!$H$4))^$AT15),0)</f>
        <v>0</v>
      </c>
      <c r="BT15" s="553">
        <f>IFERROR('Utility Admin'!$J$4*((1+'Utility Admin'!$G$4)/('Utility Admin'!$H$4-'Utility Admin'!$G$4))*(1-((1+'Utility Admin'!$G$4)/(1+'Utility Admin'!$H$4))^$AT15),0)</f>
        <v>0</v>
      </c>
      <c r="BU15" s="459">
        <f t="shared" si="29"/>
        <v>0</v>
      </c>
      <c r="BV15" s="462">
        <f t="shared" si="30"/>
        <v>0</v>
      </c>
      <c r="BW15" s="183" t="str">
        <f t="shared" si="13"/>
        <v/>
      </c>
      <c r="BX15" s="250" t="str">
        <f t="shared" si="31"/>
        <v/>
      </c>
      <c r="BY15" s="250" t="str">
        <f t="shared" si="14"/>
        <v/>
      </c>
      <c r="BZ15" s="184">
        <f t="shared" si="32"/>
        <v>0</v>
      </c>
      <c r="CA15" s="693">
        <f t="shared" si="33"/>
        <v>0</v>
      </c>
      <c r="CB15" s="836">
        <f t="shared" si="34"/>
        <v>0</v>
      </c>
      <c r="CC15" s="693">
        <f>IF(AND($C15="Early Retirement",$H15&lt;&gt;"",$R15&lt;&gt;"",$T15&lt;&gt;""),$BZ15,Baselines!$CJ8)</f>
        <v>0</v>
      </c>
      <c r="CD15" s="693">
        <f>IF(AND($C15="Early Retirement",$H15&lt;&gt;"",$R15&lt;&gt;"",$T15&lt;&gt;""),$CA15,Baselines!$CK8)</f>
        <v>0</v>
      </c>
      <c r="CE15" s="182" t="str">
        <f>Baselines!$CL8</f>
        <v>kW/ton</v>
      </c>
      <c r="CF15" s="850" t="str">
        <f t="shared" si="15"/>
        <v/>
      </c>
      <c r="CG15" s="833">
        <f>IF(AND($C15="Early Retirement",$H15&lt;&gt;"",$R15&lt;&gt;"",$T15&lt;&gt;""),$CB15,IF(AND(Baselines!$CM8=0,OR($CL15="DX HP",$CL15="PTHP")),$BB15,Baselines!$CM8))</f>
        <v>0</v>
      </c>
      <c r="CH15" s="830" t="s">
        <v>567</v>
      </c>
      <c r="CI15" s="185" t="str">
        <f>IF(OR($C15="Replace-on-Burnout",$C15="New Construction"),$CT15,IF($BW15="","",VLOOKUP($D15,'Factor Tables'!$B$165:$H$192,MATCH($BW15,'Factor Tables'!$B$164:$H$164,0),FALSE)))</f>
        <v/>
      </c>
      <c r="CJ15" s="842" t="str">
        <f>IF(OR($C15="Replace-on-Burnout",$C15="New Construction"),$CU15,IF($BW15="","",IF($BW15="DX HP",VLOOKUP($D15,'Factor Tables'!$I$165:$Q$192,MATCH("DX HP Clg",'Factor Tables'!$I$164:$Q$164,0),FALSE),IF($BW15="PTHP",VLOOKUP($D15,'Factor Tables'!$I$165:$Q$192,MATCH("PTHP Clg",'Factor Tables'!$I$164:$Q$164,0),FALSE),IF(AND($BW15&lt;&gt;"DX HP",$BW15&lt;&gt;"PTHP"),VLOOKUP($D15,'Factor Tables'!$I$165:$Q$192,MATCH($BW15,'Factor Tables'!$I$164:$Q$164,0),FALSE),"")))))</f>
        <v/>
      </c>
      <c r="CK15" s="186" t="str">
        <f>IF(OR($C15="Replace-on-Burnout",$C15="New Construction",$CL15="DX HP",$CL15="PTHP"),$CV15,IF($BW15="","",IF($BW15="DX HP",VLOOKUP($D15,'Factor Tables'!$I$165:$Q$192,MATCH("DX HP Htg",'Factor Tables'!$I$164:$Q$164,0),FALSE),IF($BW15="PTHP",VLOOKUP($D15,'Factor Tables'!$I$165:$Q$192,MATCH("PTHP Htg",'Factor Tables'!$I$164:$Q$164,0),FALSE),0))))</f>
        <v/>
      </c>
      <c r="CL15" s="183" t="str">
        <f t="shared" si="16"/>
        <v/>
      </c>
      <c r="CM15" s="250" t="str">
        <f t="shared" si="17"/>
        <v/>
      </c>
      <c r="CN15" s="184">
        <f t="shared" si="35"/>
        <v>0</v>
      </c>
      <c r="CO15" s="693">
        <f t="shared" si="36"/>
        <v>0</v>
      </c>
      <c r="CP15" s="182" t="s">
        <v>46</v>
      </c>
      <c r="CQ15" s="850" t="str">
        <f t="shared" si="37"/>
        <v/>
      </c>
      <c r="CR15" s="833">
        <f t="shared" si="38"/>
        <v>0</v>
      </c>
      <c r="CS15" s="830" t="s">
        <v>567</v>
      </c>
      <c r="CT15" s="185" t="str">
        <f>IF($CL15="","",VLOOKUP($D15,'Factor Tables'!$B$165:$H$192,MATCH($CL15,'Factor Tables'!$B$164:$H$164,0),FALSE))</f>
        <v/>
      </c>
      <c r="CU15" s="842" t="str">
        <f>IF($CL15="","",IF(AND($CL15&lt;&gt;"DX HP",$CL15&lt;&gt;"PTHP"),VLOOKUP($D15,'Factor Tables'!$I$165:$Q$192,MATCH($CL15,'Factor Tables'!$I$164:$Q$164,0),FALSE),IF($CL15="DX HP",VLOOKUP($D15,'Factor Tables'!$I$165:$Q$192,MATCH("DX HP Clg",'Factor Tables'!$I$164:$Q$164,0),FALSE),IF($CL15="PTHP",VLOOKUP($D15,'Factor Tables'!$I$165:$Q$192,MATCH("PTHP Clg",'Factor Tables'!$I$164:$Q$164,0),FALSE),""))))</f>
        <v/>
      </c>
      <c r="CV15" s="186" t="str">
        <f>IF($CL15="","",IF(AND($CL15&lt;&gt;"DX HP",$CL15&lt;&gt;"PTHP"),0,IF($CL15="DX HP",VLOOKUP($D15,'Factor Tables'!$I$165:$Q$192,MATCH("DX HP Htg",'Factor Tables'!$I$164:$Q$164,0),FALSE),IF($CL15="PTHP",VLOOKUP($D15,'Factor Tables'!$I$165:$Q$192,MATCH("PTHP Htg",'Factor Tables'!$I$164:$Q$164,0),FALSE),""))))</f>
        <v/>
      </c>
      <c r="CX15" s="179" t="s">
        <v>190</v>
      </c>
      <c r="CY15" s="179" t="s">
        <v>190</v>
      </c>
      <c r="CZ15" s="178" t="s">
        <v>48</v>
      </c>
      <c r="DA15" s="179" t="s">
        <v>249</v>
      </c>
      <c r="DB15" s="550">
        <v>15</v>
      </c>
      <c r="DD15" s="77" t="s">
        <v>43</v>
      </c>
      <c r="DE15" s="393" t="s">
        <v>336</v>
      </c>
      <c r="DF15" s="393" t="s">
        <v>350</v>
      </c>
      <c r="DG15" s="393" t="s">
        <v>350</v>
      </c>
      <c r="DH15" s="393" t="s">
        <v>350</v>
      </c>
      <c r="DI15" s="393" t="s">
        <v>336</v>
      </c>
      <c r="DJ15" s="393" t="s">
        <v>350</v>
      </c>
      <c r="DK15" s="393" t="s">
        <v>350</v>
      </c>
      <c r="DL15" s="393" t="s">
        <v>350</v>
      </c>
      <c r="DM15" s="493" t="s">
        <v>478</v>
      </c>
    </row>
    <row r="16" spans="1:117" s="7" customFormat="1" ht="21.95" customHeight="1" x14ac:dyDescent="0.25">
      <c r="B16" s="13">
        <v>7</v>
      </c>
      <c r="C16" s="501" t="str">
        <f t="shared" si="18"/>
        <v/>
      </c>
      <c r="D16" s="502" t="str">
        <f t="shared" si="19"/>
        <v/>
      </c>
      <c r="E16" s="546"/>
      <c r="F16" s="547"/>
      <c r="G16" s="729"/>
      <c r="H16" s="727"/>
      <c r="I16" s="729"/>
      <c r="J16" s="729"/>
      <c r="K16" s="729"/>
      <c r="L16" s="729"/>
      <c r="M16" s="765"/>
      <c r="N16" s="758"/>
      <c r="O16" s="765"/>
      <c r="P16" s="758"/>
      <c r="Q16" s="1143"/>
      <c r="R16" s="1134"/>
      <c r="S16" s="775"/>
      <c r="T16" s="729"/>
      <c r="U16" s="775"/>
      <c r="V16" s="779"/>
      <c r="W16" s="557"/>
      <c r="X16" s="788"/>
      <c r="Y16" s="543"/>
      <c r="Z16" s="281"/>
      <c r="AA16" s="281"/>
      <c r="AB16" s="281"/>
      <c r="AC16" s="281"/>
      <c r="AD16" s="492"/>
      <c r="AE16" s="527">
        <f t="shared" si="20"/>
        <v>0</v>
      </c>
      <c r="AF16" s="527">
        <f t="shared" si="21"/>
        <v>0</v>
      </c>
      <c r="AG16" s="527">
        <f t="shared" si="0"/>
        <v>0</v>
      </c>
      <c r="AH16" s="527">
        <f t="shared" si="1"/>
        <v>0</v>
      </c>
      <c r="AI16" s="527">
        <f t="shared" si="2"/>
        <v>0</v>
      </c>
      <c r="AJ16" s="527">
        <f t="shared" si="3"/>
        <v>999999999</v>
      </c>
      <c r="AK16" s="471"/>
      <c r="AL16" s="765"/>
      <c r="AM16" s="758"/>
      <c r="AN16" s="281"/>
      <c r="AO16" s="775"/>
      <c r="AP16" s="775"/>
      <c r="AQ16" s="281"/>
      <c r="AR16" s="528"/>
      <c r="AS16" s="532"/>
      <c r="AT16" s="524" t="str">
        <f t="shared" si="4"/>
        <v/>
      </c>
      <c r="AU16" s="311">
        <f t="shared" si="5"/>
        <v>0</v>
      </c>
      <c r="AV16" s="288">
        <f t="shared" si="22"/>
        <v>0</v>
      </c>
      <c r="AW16" s="290">
        <f>IF(ISERROR($AU16*'Utility Admin'!$E$4+$AV16*'Utility Admin'!$F$4),0,$AU16*'Utility Admin'!$E$4+$AV16*'Utility Admin'!$F$4)</f>
        <v>0</v>
      </c>
      <c r="AX16" s="323" t="str">
        <f t="shared" si="6"/>
        <v/>
      </c>
      <c r="AY16" s="322" t="str">
        <f t="shared" si="23"/>
        <v/>
      </c>
      <c r="AZ16" s="319">
        <f>Baselines!$CJ260</f>
        <v>0</v>
      </c>
      <c r="BA16" s="735">
        <f>Baselines!$CK260</f>
        <v>0</v>
      </c>
      <c r="BB16" s="839">
        <f>Baselines!$CM260</f>
        <v>0</v>
      </c>
      <c r="BC16" s="466">
        <f t="shared" si="7"/>
        <v>0</v>
      </c>
      <c r="BD16" s="464">
        <f t="shared" si="24"/>
        <v>0</v>
      </c>
      <c r="BE16" s="755">
        <f t="shared" si="8"/>
        <v>0</v>
      </c>
      <c r="BF16" s="755">
        <f t="shared" si="25"/>
        <v>0</v>
      </c>
      <c r="BG16" s="466">
        <f t="shared" si="9"/>
        <v>0</v>
      </c>
      <c r="BH16" s="464">
        <f t="shared" si="10"/>
        <v>0</v>
      </c>
      <c r="BI16" s="755">
        <f t="shared" si="11"/>
        <v>0</v>
      </c>
      <c r="BJ16" s="755">
        <f t="shared" si="26"/>
        <v>0</v>
      </c>
      <c r="BK16" s="333">
        <f>IF(OR($C16&lt;&gt;"Early Retirement",$H16=""),0,IF(AND($G16&lt;&gt;"Air Cooled Chiller",$G16&lt;&gt;"Water Cooled Chiller"),VLOOKUP($H16,'Early Retirement'!$CI$6:$CL$33,2,FALSE),IF($J16&lt;&gt;"Centrifugal",VLOOKUP($H16,'Early Retirement'!$CI$6:$CL$33,3,FALSE),IF($J16="Centrifugal",VLOOKUP($H16,'Early Retirement'!$CI$6:$CL$33,4,FALSE),""))))</f>
        <v>0</v>
      </c>
      <c r="BL16" s="450">
        <f t="shared" si="12"/>
        <v>0</v>
      </c>
      <c r="BM16" s="553">
        <f>IFERROR('Utility Admin'!$I$4*((1+'Utility Admin'!$G$4)/('Utility Admin'!$H$4-'Utility Admin'!$G$4))*(1-((1+'Utility Admin'!$G$4)/(1+'Utility Admin'!$H$4))^$BK16)*$BG16,0)</f>
        <v>0</v>
      </c>
      <c r="BN16" s="553">
        <f>IFERROR('Utility Admin'!$I$4*((1+'Utility Admin'!$G$4)/('Utility Admin'!$H$4-'Utility Admin'!$G$4))*(1-((1+'Utility Admin'!$G$4)/(1+'Utility Admin'!$H$4))^$BL16)*((1+'Utility Admin'!$G$4)^$BK16/(1+'Utility Admin'!$H$4)^$BK16)*$BC16,0)</f>
        <v>0</v>
      </c>
      <c r="BO16" s="553">
        <f t="shared" si="27"/>
        <v>0</v>
      </c>
      <c r="BP16" s="553">
        <f>IFERROR('Utility Admin'!$J$4*((1+'Utility Admin'!$G$4)/('Utility Admin'!$H$4-'Utility Admin'!$G$4))*(1-((1+'Utility Admin'!$G$4)/(1+'Utility Admin'!$H$4))^$BK16)*$BJ16,0)</f>
        <v>0</v>
      </c>
      <c r="BQ16" s="553">
        <f>IFERROR('Utility Admin'!$J$4*((1+'Utility Admin'!$G$4)/('Utility Admin'!$H$4-'Utility Admin'!$G$4))*(1-((1+'Utility Admin'!$G$4)/(1+'Utility Admin'!$H$4))^$BL16)*((1+'Utility Admin'!$G$4)^$BK16/(1+'Utility Admin'!$H$4)^$BK16)*$BF16,0)</f>
        <v>0</v>
      </c>
      <c r="BR16" s="553">
        <f t="shared" si="28"/>
        <v>0</v>
      </c>
      <c r="BS16" s="553">
        <f>IFERROR('Utility Admin'!$I$4*((1+'Utility Admin'!$G$4)/('Utility Admin'!$H$4-'Utility Admin'!$G$4))*(1-((1+'Utility Admin'!$G$4)/(1+'Utility Admin'!$H$4))^$AT16),0)</f>
        <v>0</v>
      </c>
      <c r="BT16" s="553">
        <f>IFERROR('Utility Admin'!$J$4*((1+'Utility Admin'!$G$4)/('Utility Admin'!$H$4-'Utility Admin'!$G$4))*(1-((1+'Utility Admin'!$G$4)/(1+'Utility Admin'!$H$4))^$AT16),0)</f>
        <v>0</v>
      </c>
      <c r="BU16" s="459">
        <f t="shared" si="29"/>
        <v>0</v>
      </c>
      <c r="BV16" s="462">
        <f t="shared" si="30"/>
        <v>0</v>
      </c>
      <c r="BW16" s="183" t="str">
        <f t="shared" si="13"/>
        <v/>
      </c>
      <c r="BX16" s="250" t="str">
        <f t="shared" si="31"/>
        <v/>
      </c>
      <c r="BY16" s="250" t="str">
        <f t="shared" si="14"/>
        <v/>
      </c>
      <c r="BZ16" s="184">
        <f t="shared" si="32"/>
        <v>0</v>
      </c>
      <c r="CA16" s="693">
        <f t="shared" si="33"/>
        <v>0</v>
      </c>
      <c r="CB16" s="836">
        <f t="shared" si="34"/>
        <v>0</v>
      </c>
      <c r="CC16" s="693">
        <f>IF(AND($C16="Early Retirement",$H16&lt;&gt;"",$R16&lt;&gt;"",$T16&lt;&gt;""),$BZ16,Baselines!$CJ9)</f>
        <v>0</v>
      </c>
      <c r="CD16" s="693">
        <f>IF(AND($C16="Early Retirement",$H16&lt;&gt;"",$R16&lt;&gt;"",$T16&lt;&gt;""),$CA16,Baselines!$CK9)</f>
        <v>0</v>
      </c>
      <c r="CE16" s="182" t="str">
        <f>Baselines!$CL9</f>
        <v>kW/ton</v>
      </c>
      <c r="CF16" s="850" t="str">
        <f t="shared" si="15"/>
        <v/>
      </c>
      <c r="CG16" s="833">
        <f>IF(AND($C16="Early Retirement",$H16&lt;&gt;"",$R16&lt;&gt;"",$T16&lt;&gt;""),$CB16,IF(AND(Baselines!$CM9=0,OR($CL16="DX HP",$CL16="PTHP")),$BB16,Baselines!$CM9))</f>
        <v>0</v>
      </c>
      <c r="CH16" s="830" t="s">
        <v>567</v>
      </c>
      <c r="CI16" s="185" t="str">
        <f>IF(OR($C16="Replace-on-Burnout",$C16="New Construction"),$CT16,IF($BW16="","",VLOOKUP($D16,'Factor Tables'!$B$165:$H$192,MATCH($BW16,'Factor Tables'!$B$164:$H$164,0),FALSE)))</f>
        <v/>
      </c>
      <c r="CJ16" s="842" t="str">
        <f>IF(OR($C16="Replace-on-Burnout",$C16="New Construction"),$CU16,IF($BW16="","",IF($BW16="DX HP",VLOOKUP($D16,'Factor Tables'!$I$165:$Q$192,MATCH("DX HP Clg",'Factor Tables'!$I$164:$Q$164,0),FALSE),IF($BW16="PTHP",VLOOKUP($D16,'Factor Tables'!$I$165:$Q$192,MATCH("PTHP Clg",'Factor Tables'!$I$164:$Q$164,0),FALSE),IF(AND($BW16&lt;&gt;"DX HP",$BW16&lt;&gt;"PTHP"),VLOOKUP($D16,'Factor Tables'!$I$165:$Q$192,MATCH($BW16,'Factor Tables'!$I$164:$Q$164,0),FALSE),"")))))</f>
        <v/>
      </c>
      <c r="CK16" s="186" t="str">
        <f>IF(OR($C16="Replace-on-Burnout",$C16="New Construction",$CL16="DX HP",$CL16="PTHP"),$CV16,IF($BW16="","",IF($BW16="DX HP",VLOOKUP($D16,'Factor Tables'!$I$165:$Q$192,MATCH("DX HP Htg",'Factor Tables'!$I$164:$Q$164,0),FALSE),IF($BW16="PTHP",VLOOKUP($D16,'Factor Tables'!$I$165:$Q$192,MATCH("PTHP Htg",'Factor Tables'!$I$164:$Q$164,0),FALSE),0))))</f>
        <v/>
      </c>
      <c r="CL16" s="183" t="str">
        <f t="shared" si="16"/>
        <v/>
      </c>
      <c r="CM16" s="250" t="str">
        <f t="shared" si="17"/>
        <v/>
      </c>
      <c r="CN16" s="184">
        <f t="shared" si="35"/>
        <v>0</v>
      </c>
      <c r="CO16" s="693">
        <f t="shared" si="36"/>
        <v>0</v>
      </c>
      <c r="CP16" s="182" t="s">
        <v>46</v>
      </c>
      <c r="CQ16" s="850" t="str">
        <f t="shared" si="37"/>
        <v/>
      </c>
      <c r="CR16" s="833">
        <f t="shared" si="38"/>
        <v>0</v>
      </c>
      <c r="CS16" s="830" t="s">
        <v>567</v>
      </c>
      <c r="CT16" s="185" t="str">
        <f>IF($CL16="","",VLOOKUP($D16,'Factor Tables'!$B$165:$H$192,MATCH($CL16,'Factor Tables'!$B$164:$H$164,0),FALSE))</f>
        <v/>
      </c>
      <c r="CU16" s="842" t="str">
        <f>IF($CL16="","",IF(AND($CL16&lt;&gt;"DX HP",$CL16&lt;&gt;"PTHP"),VLOOKUP($D16,'Factor Tables'!$I$165:$Q$192,MATCH($CL16,'Factor Tables'!$I$164:$Q$164,0),FALSE),IF($CL16="DX HP",VLOOKUP($D16,'Factor Tables'!$I$165:$Q$192,MATCH("DX HP Clg",'Factor Tables'!$I$164:$Q$164,0),FALSE),IF($CL16="PTHP",VLOOKUP($D16,'Factor Tables'!$I$165:$Q$192,MATCH("PTHP Clg",'Factor Tables'!$I$164:$Q$164,0),FALSE),""))))</f>
        <v/>
      </c>
      <c r="CV16" s="186" t="str">
        <f>IF($CL16="","",IF(AND($CL16&lt;&gt;"DX HP",$CL16&lt;&gt;"PTHP"),0,IF($CL16="DX HP",VLOOKUP($D16,'Factor Tables'!$I$165:$Q$192,MATCH("DX HP Htg",'Factor Tables'!$I$164:$Q$164,0),FALSE),IF($CL16="PTHP",VLOOKUP($D16,'Factor Tables'!$I$165:$Q$192,MATCH("PTHP Htg",'Factor Tables'!$I$164:$Q$164,0),FALSE),""))))</f>
        <v/>
      </c>
      <c r="CX16" s="179" t="s">
        <v>44</v>
      </c>
      <c r="CY16" s="179" t="s">
        <v>541</v>
      </c>
      <c r="CZ16" s="178" t="s">
        <v>30</v>
      </c>
      <c r="DA16" s="179" t="s">
        <v>258</v>
      </c>
      <c r="DB16" s="550">
        <v>20</v>
      </c>
      <c r="DD16" s="194" t="s">
        <v>53</v>
      </c>
      <c r="DE16" s="393" t="s">
        <v>28</v>
      </c>
      <c r="DF16" s="393" t="s">
        <v>245</v>
      </c>
      <c r="DG16" s="393" t="s">
        <v>245</v>
      </c>
      <c r="DH16" s="393" t="s">
        <v>245</v>
      </c>
      <c r="DI16" s="393" t="s">
        <v>28</v>
      </c>
      <c r="DJ16" s="393" t="s">
        <v>245</v>
      </c>
      <c r="DK16" s="393" t="s">
        <v>245</v>
      </c>
      <c r="DL16" s="393" t="s">
        <v>245</v>
      </c>
      <c r="DM16" s="493" t="s">
        <v>478</v>
      </c>
    </row>
    <row r="17" spans="2:117" s="7" customFormat="1" ht="21.95" customHeight="1" x14ac:dyDescent="0.25">
      <c r="B17" s="14">
        <v>8</v>
      </c>
      <c r="C17" s="499" t="str">
        <f t="shared" si="18"/>
        <v/>
      </c>
      <c r="D17" s="403" t="str">
        <f t="shared" si="19"/>
        <v/>
      </c>
      <c r="E17" s="541"/>
      <c r="F17" s="785"/>
      <c r="G17" s="728"/>
      <c r="H17" s="728"/>
      <c r="I17" s="728"/>
      <c r="J17" s="728"/>
      <c r="K17" s="728"/>
      <c r="L17" s="728"/>
      <c r="M17" s="764"/>
      <c r="N17" s="728"/>
      <c r="O17" s="764"/>
      <c r="P17" s="728"/>
      <c r="Q17" s="1142"/>
      <c r="R17" s="1133"/>
      <c r="S17" s="778"/>
      <c r="T17" s="767"/>
      <c r="U17" s="778"/>
      <c r="V17" s="751"/>
      <c r="W17" s="556"/>
      <c r="X17" s="785"/>
      <c r="Y17" s="542"/>
      <c r="Z17" s="500"/>
      <c r="AA17" s="500"/>
      <c r="AB17" s="500"/>
      <c r="AC17" s="500"/>
      <c r="AD17" s="529"/>
      <c r="AE17" s="527">
        <f t="shared" si="20"/>
        <v>0</v>
      </c>
      <c r="AF17" s="527">
        <f t="shared" si="21"/>
        <v>0</v>
      </c>
      <c r="AG17" s="527">
        <f t="shared" si="0"/>
        <v>0</v>
      </c>
      <c r="AH17" s="527">
        <f t="shared" si="1"/>
        <v>0</v>
      </c>
      <c r="AI17" s="527">
        <f t="shared" si="2"/>
        <v>0</v>
      </c>
      <c r="AJ17" s="527">
        <f t="shared" si="3"/>
        <v>999999999</v>
      </c>
      <c r="AK17" s="530"/>
      <c r="AL17" s="776"/>
      <c r="AM17" s="777"/>
      <c r="AN17" s="500"/>
      <c r="AO17" s="778"/>
      <c r="AP17" s="778"/>
      <c r="AQ17" s="500"/>
      <c r="AR17" s="531"/>
      <c r="AS17" s="403"/>
      <c r="AT17" s="524" t="str">
        <f t="shared" si="4"/>
        <v/>
      </c>
      <c r="AU17" s="311">
        <f t="shared" si="5"/>
        <v>0</v>
      </c>
      <c r="AV17" s="288">
        <f t="shared" si="22"/>
        <v>0</v>
      </c>
      <c r="AW17" s="290">
        <f>IF(ISERROR($AU17*'Utility Admin'!$E$4+$AV17*'Utility Admin'!$F$4),0,$AU17*'Utility Admin'!$E$4+$AV17*'Utility Admin'!$F$4)</f>
        <v>0</v>
      </c>
      <c r="AX17" s="323" t="str">
        <f t="shared" si="6"/>
        <v/>
      </c>
      <c r="AY17" s="322" t="str">
        <f t="shared" si="23"/>
        <v/>
      </c>
      <c r="AZ17" s="319">
        <f>Baselines!$CJ261</f>
        <v>0</v>
      </c>
      <c r="BA17" s="735">
        <f>Baselines!$CK261</f>
        <v>0</v>
      </c>
      <c r="BB17" s="839">
        <f>Baselines!$CM261</f>
        <v>0</v>
      </c>
      <c r="BC17" s="466">
        <f t="shared" si="7"/>
        <v>0</v>
      </c>
      <c r="BD17" s="464">
        <f t="shared" si="24"/>
        <v>0</v>
      </c>
      <c r="BE17" s="755">
        <f t="shared" si="8"/>
        <v>0</v>
      </c>
      <c r="BF17" s="755">
        <f t="shared" si="25"/>
        <v>0</v>
      </c>
      <c r="BG17" s="466">
        <f t="shared" si="9"/>
        <v>0</v>
      </c>
      <c r="BH17" s="464">
        <f t="shared" si="10"/>
        <v>0</v>
      </c>
      <c r="BI17" s="755">
        <f t="shared" si="11"/>
        <v>0</v>
      </c>
      <c r="BJ17" s="755">
        <f t="shared" si="26"/>
        <v>0</v>
      </c>
      <c r="BK17" s="333">
        <f>IF(OR($C17&lt;&gt;"Early Retirement",$H17=""),0,IF(AND($G17&lt;&gt;"Air Cooled Chiller",$G17&lt;&gt;"Water Cooled Chiller"),VLOOKUP($H17,'Early Retirement'!$CI$6:$CL$33,2,FALSE),IF($J17&lt;&gt;"Centrifugal",VLOOKUP($H17,'Early Retirement'!$CI$6:$CL$33,3,FALSE),IF($J17="Centrifugal",VLOOKUP($H17,'Early Retirement'!$CI$6:$CL$33,4,FALSE),""))))</f>
        <v>0</v>
      </c>
      <c r="BL17" s="450">
        <f t="shared" si="12"/>
        <v>0</v>
      </c>
      <c r="BM17" s="553">
        <f>IFERROR('Utility Admin'!$I$4*((1+'Utility Admin'!$G$4)/('Utility Admin'!$H$4-'Utility Admin'!$G$4))*(1-((1+'Utility Admin'!$G$4)/(1+'Utility Admin'!$H$4))^$BK17)*$BG17,0)</f>
        <v>0</v>
      </c>
      <c r="BN17" s="553">
        <f>IFERROR('Utility Admin'!$I$4*((1+'Utility Admin'!$G$4)/('Utility Admin'!$H$4-'Utility Admin'!$G$4))*(1-((1+'Utility Admin'!$G$4)/(1+'Utility Admin'!$H$4))^$BL17)*((1+'Utility Admin'!$G$4)^$BK17/(1+'Utility Admin'!$H$4)^$BK17)*$BC17,0)</f>
        <v>0</v>
      </c>
      <c r="BO17" s="553">
        <f t="shared" si="27"/>
        <v>0</v>
      </c>
      <c r="BP17" s="553">
        <f>IFERROR('Utility Admin'!$J$4*((1+'Utility Admin'!$G$4)/('Utility Admin'!$H$4-'Utility Admin'!$G$4))*(1-((1+'Utility Admin'!$G$4)/(1+'Utility Admin'!$H$4))^$BK17)*$BJ17,0)</f>
        <v>0</v>
      </c>
      <c r="BQ17" s="553">
        <f>IFERROR('Utility Admin'!$J$4*((1+'Utility Admin'!$G$4)/('Utility Admin'!$H$4-'Utility Admin'!$G$4))*(1-((1+'Utility Admin'!$G$4)/(1+'Utility Admin'!$H$4))^$BL17)*((1+'Utility Admin'!$G$4)^$BK17/(1+'Utility Admin'!$H$4)^$BK17)*$BF17,0)</f>
        <v>0</v>
      </c>
      <c r="BR17" s="553">
        <f t="shared" si="28"/>
        <v>0</v>
      </c>
      <c r="BS17" s="553">
        <f>IFERROR('Utility Admin'!$I$4*((1+'Utility Admin'!$G$4)/('Utility Admin'!$H$4-'Utility Admin'!$G$4))*(1-((1+'Utility Admin'!$G$4)/(1+'Utility Admin'!$H$4))^$AT17),0)</f>
        <v>0</v>
      </c>
      <c r="BT17" s="553">
        <f>IFERROR('Utility Admin'!$J$4*((1+'Utility Admin'!$G$4)/('Utility Admin'!$H$4-'Utility Admin'!$G$4))*(1-((1+'Utility Admin'!$G$4)/(1+'Utility Admin'!$H$4))^$AT17),0)</f>
        <v>0</v>
      </c>
      <c r="BU17" s="459">
        <f t="shared" si="29"/>
        <v>0</v>
      </c>
      <c r="BV17" s="462">
        <f t="shared" si="30"/>
        <v>0</v>
      </c>
      <c r="BW17" s="183" t="str">
        <f t="shared" si="13"/>
        <v/>
      </c>
      <c r="BX17" s="250" t="str">
        <f t="shared" si="31"/>
        <v/>
      </c>
      <c r="BY17" s="250" t="str">
        <f t="shared" si="14"/>
        <v/>
      </c>
      <c r="BZ17" s="184">
        <f t="shared" si="32"/>
        <v>0</v>
      </c>
      <c r="CA17" s="693">
        <f t="shared" si="33"/>
        <v>0</v>
      </c>
      <c r="CB17" s="836">
        <f t="shared" si="34"/>
        <v>0</v>
      </c>
      <c r="CC17" s="693">
        <f>IF(AND($C17="Early Retirement",$H17&lt;&gt;"",$R17&lt;&gt;"",$T17&lt;&gt;""),$BZ17,Baselines!$CJ10)</f>
        <v>0</v>
      </c>
      <c r="CD17" s="693">
        <f>IF(AND($C17="Early Retirement",$H17&lt;&gt;"",$R17&lt;&gt;"",$T17&lt;&gt;""),$CA17,Baselines!$CK10)</f>
        <v>0</v>
      </c>
      <c r="CE17" s="182" t="str">
        <f>Baselines!$CL10</f>
        <v>kW/ton</v>
      </c>
      <c r="CF17" s="850" t="str">
        <f t="shared" si="15"/>
        <v/>
      </c>
      <c r="CG17" s="833">
        <f>IF(AND($C17="Early Retirement",$H17&lt;&gt;"",$R17&lt;&gt;"",$T17&lt;&gt;""),$CB17,IF(AND(Baselines!$CM10=0,OR($CL17="DX HP",$CL17="PTHP")),$BB17,Baselines!$CM10))</f>
        <v>0</v>
      </c>
      <c r="CH17" s="830" t="s">
        <v>567</v>
      </c>
      <c r="CI17" s="185" t="str">
        <f>IF(OR($C17="Replace-on-Burnout",$C17="New Construction"),$CT17,IF($BW17="","",VLOOKUP($D17,'Factor Tables'!$B$165:$H$192,MATCH($BW17,'Factor Tables'!$B$164:$H$164,0),FALSE)))</f>
        <v/>
      </c>
      <c r="CJ17" s="842" t="str">
        <f>IF(OR($C17="Replace-on-Burnout",$C17="New Construction"),$CU17,IF($BW17="","",IF($BW17="DX HP",VLOOKUP($D17,'Factor Tables'!$I$165:$Q$192,MATCH("DX HP Clg",'Factor Tables'!$I$164:$Q$164,0),FALSE),IF($BW17="PTHP",VLOOKUP($D17,'Factor Tables'!$I$165:$Q$192,MATCH("PTHP Clg",'Factor Tables'!$I$164:$Q$164,0),FALSE),IF(AND($BW17&lt;&gt;"DX HP",$BW17&lt;&gt;"PTHP"),VLOOKUP($D17,'Factor Tables'!$I$165:$Q$192,MATCH($BW17,'Factor Tables'!$I$164:$Q$164,0),FALSE),"")))))</f>
        <v/>
      </c>
      <c r="CK17" s="186" t="str">
        <f>IF(OR($C17="Replace-on-Burnout",$C17="New Construction",$CL17="DX HP",$CL17="PTHP"),$CV17,IF($BW17="","",IF($BW17="DX HP",VLOOKUP($D17,'Factor Tables'!$I$165:$Q$192,MATCH("DX HP Htg",'Factor Tables'!$I$164:$Q$164,0),FALSE),IF($BW17="PTHP",VLOOKUP($D17,'Factor Tables'!$I$165:$Q$192,MATCH("PTHP Htg",'Factor Tables'!$I$164:$Q$164,0),FALSE),0))))</f>
        <v/>
      </c>
      <c r="CL17" s="183" t="str">
        <f t="shared" si="16"/>
        <v/>
      </c>
      <c r="CM17" s="250" t="str">
        <f t="shared" si="17"/>
        <v/>
      </c>
      <c r="CN17" s="184">
        <f t="shared" si="35"/>
        <v>0</v>
      </c>
      <c r="CO17" s="693">
        <f t="shared" si="36"/>
        <v>0</v>
      </c>
      <c r="CP17" s="182" t="s">
        <v>46</v>
      </c>
      <c r="CQ17" s="850" t="str">
        <f t="shared" si="37"/>
        <v/>
      </c>
      <c r="CR17" s="833">
        <f t="shared" si="38"/>
        <v>0</v>
      </c>
      <c r="CS17" s="830" t="s">
        <v>567</v>
      </c>
      <c r="CT17" s="185" t="str">
        <f>IF($CL17="","",VLOOKUP($D17,'Factor Tables'!$B$165:$H$192,MATCH($CL17,'Factor Tables'!$B$164:$H$164,0),FALSE))</f>
        <v/>
      </c>
      <c r="CU17" s="842" t="str">
        <f>IF($CL17="","",IF(AND($CL17&lt;&gt;"DX HP",$CL17&lt;&gt;"PTHP"),VLOOKUP($D17,'Factor Tables'!$I$165:$Q$192,MATCH($CL17,'Factor Tables'!$I$164:$Q$164,0),FALSE),IF($CL17="DX HP",VLOOKUP($D17,'Factor Tables'!$I$165:$Q$192,MATCH("DX HP Clg",'Factor Tables'!$I$164:$Q$164,0),FALSE),IF($CL17="PTHP",VLOOKUP($D17,'Factor Tables'!$I$165:$Q$192,MATCH("PTHP Clg",'Factor Tables'!$I$164:$Q$164,0),FALSE),""))))</f>
        <v/>
      </c>
      <c r="CV17" s="186" t="str">
        <f>IF($CL17="","",IF(AND($CL17&lt;&gt;"DX HP",$CL17&lt;&gt;"PTHP"),0,IF($CL17="DX HP",VLOOKUP($D17,'Factor Tables'!$I$165:$Q$192,MATCH("DX HP Htg",'Factor Tables'!$I$164:$Q$164,0),FALSE),IF($CL17="PTHP",VLOOKUP($D17,'Factor Tables'!$I$165:$Q$192,MATCH("PTHP Htg",'Factor Tables'!$I$164:$Q$164,0),FALSE),""))))</f>
        <v/>
      </c>
      <c r="CX17" s="179" t="s">
        <v>44</v>
      </c>
      <c r="CY17" s="179" t="s">
        <v>542</v>
      </c>
      <c r="CZ17" s="178" t="s">
        <v>30</v>
      </c>
      <c r="DA17" s="179" t="s">
        <v>259</v>
      </c>
      <c r="DB17" s="550">
        <v>20</v>
      </c>
      <c r="DD17" s="77" t="s">
        <v>54</v>
      </c>
      <c r="DE17" s="393" t="s">
        <v>335</v>
      </c>
      <c r="DF17" s="393" t="s">
        <v>351</v>
      </c>
      <c r="DG17" s="393" t="s">
        <v>351</v>
      </c>
      <c r="DH17" s="393" t="s">
        <v>351</v>
      </c>
      <c r="DI17" s="393" t="s">
        <v>335</v>
      </c>
      <c r="DJ17" s="393" t="s">
        <v>351</v>
      </c>
      <c r="DK17" s="393" t="s">
        <v>351</v>
      </c>
      <c r="DL17" s="393" t="s">
        <v>351</v>
      </c>
      <c r="DM17" s="493" t="s">
        <v>478</v>
      </c>
    </row>
    <row r="18" spans="2:117" s="7" customFormat="1" ht="21.95" customHeight="1" x14ac:dyDescent="0.25">
      <c r="B18" s="13">
        <v>9</v>
      </c>
      <c r="C18" s="501" t="str">
        <f t="shared" si="18"/>
        <v/>
      </c>
      <c r="D18" s="502" t="str">
        <f t="shared" si="19"/>
        <v/>
      </c>
      <c r="E18" s="546"/>
      <c r="F18" s="547"/>
      <c r="G18" s="729"/>
      <c r="H18" s="727"/>
      <c r="I18" s="729"/>
      <c r="J18" s="729"/>
      <c r="K18" s="729"/>
      <c r="L18" s="729"/>
      <c r="M18" s="765"/>
      <c r="N18" s="758"/>
      <c r="O18" s="765"/>
      <c r="P18" s="758"/>
      <c r="Q18" s="1143"/>
      <c r="R18" s="1134"/>
      <c r="S18" s="775"/>
      <c r="T18" s="729"/>
      <c r="U18" s="775"/>
      <c r="V18" s="779"/>
      <c r="W18" s="557"/>
      <c r="X18" s="788"/>
      <c r="Y18" s="543"/>
      <c r="Z18" s="281"/>
      <c r="AA18" s="281"/>
      <c r="AB18" s="729"/>
      <c r="AC18" s="281"/>
      <c r="AD18" s="765"/>
      <c r="AE18" s="527">
        <f t="shared" si="20"/>
        <v>0</v>
      </c>
      <c r="AF18" s="527">
        <f t="shared" si="21"/>
        <v>0</v>
      </c>
      <c r="AG18" s="527">
        <f t="shared" si="0"/>
        <v>0</v>
      </c>
      <c r="AH18" s="527">
        <f t="shared" si="1"/>
        <v>0</v>
      </c>
      <c r="AI18" s="527">
        <f t="shared" si="2"/>
        <v>0</v>
      </c>
      <c r="AJ18" s="527">
        <f t="shared" si="3"/>
        <v>999999999</v>
      </c>
      <c r="AK18" s="758"/>
      <c r="AL18" s="765"/>
      <c r="AM18" s="758"/>
      <c r="AN18" s="281"/>
      <c r="AO18" s="775"/>
      <c r="AP18" s="775"/>
      <c r="AQ18" s="729"/>
      <c r="AR18" s="528"/>
      <c r="AS18" s="532"/>
      <c r="AT18" s="524" t="str">
        <f t="shared" si="4"/>
        <v/>
      </c>
      <c r="AU18" s="311">
        <f t="shared" si="5"/>
        <v>0</v>
      </c>
      <c r="AV18" s="288">
        <f t="shared" si="22"/>
        <v>0</v>
      </c>
      <c r="AW18" s="290">
        <f>IF(ISERROR($AU18*'Utility Admin'!$E$4+$AV18*'Utility Admin'!$F$4),0,$AU18*'Utility Admin'!$E$4+$AV18*'Utility Admin'!$F$4)</f>
        <v>0</v>
      </c>
      <c r="AX18" s="323" t="str">
        <f t="shared" si="6"/>
        <v/>
      </c>
      <c r="AY18" s="322" t="str">
        <f t="shared" si="23"/>
        <v/>
      </c>
      <c r="AZ18" s="319">
        <f>Baselines!$CJ262</f>
        <v>0</v>
      </c>
      <c r="BA18" s="735">
        <f>Baselines!$CK262</f>
        <v>0</v>
      </c>
      <c r="BB18" s="839">
        <f>Baselines!$CM262</f>
        <v>0</v>
      </c>
      <c r="BC18" s="466">
        <f t="shared" si="7"/>
        <v>0</v>
      </c>
      <c r="BD18" s="464">
        <f t="shared" si="24"/>
        <v>0</v>
      </c>
      <c r="BE18" s="755">
        <f t="shared" si="8"/>
        <v>0</v>
      </c>
      <c r="BF18" s="755">
        <f t="shared" si="25"/>
        <v>0</v>
      </c>
      <c r="BG18" s="466">
        <f t="shared" si="9"/>
        <v>0</v>
      </c>
      <c r="BH18" s="464">
        <f t="shared" si="10"/>
        <v>0</v>
      </c>
      <c r="BI18" s="755">
        <f t="shared" si="11"/>
        <v>0</v>
      </c>
      <c r="BJ18" s="755">
        <f t="shared" si="26"/>
        <v>0</v>
      </c>
      <c r="BK18" s="333">
        <f>IF(OR($C18&lt;&gt;"Early Retirement",$H18=""),0,IF(AND($G18&lt;&gt;"Air Cooled Chiller",$G18&lt;&gt;"Water Cooled Chiller"),VLOOKUP($H18,'Early Retirement'!$CI$6:$CL$33,2,FALSE),IF($J18&lt;&gt;"Centrifugal",VLOOKUP($H18,'Early Retirement'!$CI$6:$CL$33,3,FALSE),IF($J18="Centrifugal",VLOOKUP($H18,'Early Retirement'!$CI$6:$CL$33,4,FALSE),""))))</f>
        <v>0</v>
      </c>
      <c r="BL18" s="450">
        <f t="shared" si="12"/>
        <v>0</v>
      </c>
      <c r="BM18" s="553">
        <f>IFERROR('Utility Admin'!$I$4*((1+'Utility Admin'!$G$4)/('Utility Admin'!$H$4-'Utility Admin'!$G$4))*(1-((1+'Utility Admin'!$G$4)/(1+'Utility Admin'!$H$4))^$BK18)*$BG18,0)</f>
        <v>0</v>
      </c>
      <c r="BN18" s="553">
        <f>IFERROR('Utility Admin'!$I$4*((1+'Utility Admin'!$G$4)/('Utility Admin'!$H$4-'Utility Admin'!$G$4))*(1-((1+'Utility Admin'!$G$4)/(1+'Utility Admin'!$H$4))^$BL18)*((1+'Utility Admin'!$G$4)^$BK18/(1+'Utility Admin'!$H$4)^$BK18)*$BC18,0)</f>
        <v>0</v>
      </c>
      <c r="BO18" s="553">
        <f t="shared" si="27"/>
        <v>0</v>
      </c>
      <c r="BP18" s="553">
        <f>IFERROR('Utility Admin'!$J$4*((1+'Utility Admin'!$G$4)/('Utility Admin'!$H$4-'Utility Admin'!$G$4))*(1-((1+'Utility Admin'!$G$4)/(1+'Utility Admin'!$H$4))^$BK18)*$BJ18,0)</f>
        <v>0</v>
      </c>
      <c r="BQ18" s="553">
        <f>IFERROR('Utility Admin'!$J$4*((1+'Utility Admin'!$G$4)/('Utility Admin'!$H$4-'Utility Admin'!$G$4))*(1-((1+'Utility Admin'!$G$4)/(1+'Utility Admin'!$H$4))^$BL18)*((1+'Utility Admin'!$G$4)^$BK18/(1+'Utility Admin'!$H$4)^$BK18)*$BF18,0)</f>
        <v>0</v>
      </c>
      <c r="BR18" s="553">
        <f t="shared" si="28"/>
        <v>0</v>
      </c>
      <c r="BS18" s="553">
        <f>IFERROR('Utility Admin'!$I$4*((1+'Utility Admin'!$G$4)/('Utility Admin'!$H$4-'Utility Admin'!$G$4))*(1-((1+'Utility Admin'!$G$4)/(1+'Utility Admin'!$H$4))^$AT18),0)</f>
        <v>0</v>
      </c>
      <c r="BT18" s="553">
        <f>IFERROR('Utility Admin'!$J$4*((1+'Utility Admin'!$G$4)/('Utility Admin'!$H$4-'Utility Admin'!$G$4))*(1-((1+'Utility Admin'!$G$4)/(1+'Utility Admin'!$H$4))^$AT18),0)</f>
        <v>0</v>
      </c>
      <c r="BU18" s="459">
        <f t="shared" si="29"/>
        <v>0</v>
      </c>
      <c r="BV18" s="462">
        <f t="shared" si="30"/>
        <v>0</v>
      </c>
      <c r="BW18" s="219" t="str">
        <f t="shared" si="13"/>
        <v/>
      </c>
      <c r="BX18" s="250" t="str">
        <f t="shared" si="31"/>
        <v/>
      </c>
      <c r="BY18" s="250" t="str">
        <f t="shared" si="14"/>
        <v/>
      </c>
      <c r="BZ18" s="184">
        <f t="shared" si="32"/>
        <v>0</v>
      </c>
      <c r="CA18" s="693">
        <f t="shared" si="33"/>
        <v>0</v>
      </c>
      <c r="CB18" s="836">
        <f t="shared" si="34"/>
        <v>0</v>
      </c>
      <c r="CC18" s="693">
        <f>IF(AND($C18="Early Retirement",$H18&lt;&gt;"",$R18&lt;&gt;"",$T18&lt;&gt;""),$BZ18,Baselines!$CJ11)</f>
        <v>0</v>
      </c>
      <c r="CD18" s="693">
        <f>IF(AND($C18="Early Retirement",$H18&lt;&gt;"",$R18&lt;&gt;"",$T18&lt;&gt;""),$CA18,Baselines!$CK11)</f>
        <v>0</v>
      </c>
      <c r="CE18" s="182" t="str">
        <f>Baselines!$CL11</f>
        <v>kW/ton</v>
      </c>
      <c r="CF18" s="850" t="str">
        <f t="shared" si="15"/>
        <v/>
      </c>
      <c r="CG18" s="833">
        <f>IF(AND($C18="Early Retirement",$H18&lt;&gt;"",$R18&lt;&gt;"",$T18&lt;&gt;""),$CB18,IF(AND(Baselines!$CM11=0,OR($CL18="DX HP",$CL18="PTHP")),$BB18,Baselines!$CM11))</f>
        <v>0</v>
      </c>
      <c r="CH18" s="830" t="s">
        <v>567</v>
      </c>
      <c r="CI18" s="185" t="str">
        <f>IF(OR($C18="Replace-on-Burnout",$C18="New Construction"),$CT18,IF($BW18="","",VLOOKUP($D18,'Factor Tables'!$B$165:$H$192,MATCH($BW18,'Factor Tables'!$B$164:$H$164,0),FALSE)))</f>
        <v/>
      </c>
      <c r="CJ18" s="842" t="str">
        <f>IF(OR($C18="Replace-on-Burnout",$C18="New Construction"),$CU18,IF($BW18="","",IF($BW18="DX HP",VLOOKUP($D18,'Factor Tables'!$I$165:$Q$192,MATCH("DX HP Clg",'Factor Tables'!$I$164:$Q$164,0),FALSE),IF($BW18="PTHP",VLOOKUP($D18,'Factor Tables'!$I$165:$Q$192,MATCH("PTHP Clg",'Factor Tables'!$I$164:$Q$164,0),FALSE),IF(AND($BW18&lt;&gt;"DX HP",$BW18&lt;&gt;"PTHP"),VLOOKUP($D18,'Factor Tables'!$I$165:$Q$192,MATCH($BW18,'Factor Tables'!$I$164:$Q$164,0),FALSE),"")))))</f>
        <v/>
      </c>
      <c r="CK18" s="186" t="str">
        <f>IF(OR($C18="Replace-on-Burnout",$C18="New Construction",$CL18="DX HP",$CL18="PTHP"),$CV18,IF($BW18="","",IF($BW18="DX HP",VLOOKUP($D18,'Factor Tables'!$I$165:$Q$192,MATCH("DX HP Htg",'Factor Tables'!$I$164:$Q$164,0),FALSE),IF($BW18="PTHP",VLOOKUP($D18,'Factor Tables'!$I$165:$Q$192,MATCH("PTHP Htg",'Factor Tables'!$I$164:$Q$164,0),FALSE),0))))</f>
        <v/>
      </c>
      <c r="CL18" s="187" t="str">
        <f t="shared" si="16"/>
        <v/>
      </c>
      <c r="CM18" s="251" t="str">
        <f t="shared" si="17"/>
        <v/>
      </c>
      <c r="CN18" s="184">
        <f t="shared" si="35"/>
        <v>0</v>
      </c>
      <c r="CO18" s="693">
        <f t="shared" si="36"/>
        <v>0</v>
      </c>
      <c r="CP18" s="182" t="s">
        <v>46</v>
      </c>
      <c r="CQ18" s="852" t="str">
        <f t="shared" si="37"/>
        <v/>
      </c>
      <c r="CR18" s="833">
        <f t="shared" si="38"/>
        <v>0</v>
      </c>
      <c r="CS18" s="830" t="s">
        <v>567</v>
      </c>
      <c r="CT18" s="185" t="str">
        <f>IF($CL18="","",VLOOKUP($D18,'Factor Tables'!$B$165:$H$192,MATCH($CL18,'Factor Tables'!$B$164:$H$164,0),FALSE))</f>
        <v/>
      </c>
      <c r="CU18" s="842" t="str">
        <f>IF($CL18="","",IF(AND($CL18&lt;&gt;"DX HP",$CL18&lt;&gt;"PTHP"),VLOOKUP($D18,'Factor Tables'!$I$165:$Q$192,MATCH($CL18,'Factor Tables'!$I$164:$Q$164,0),FALSE),IF($CL18="DX HP",VLOOKUP($D18,'Factor Tables'!$I$165:$Q$192,MATCH("DX HP Clg",'Factor Tables'!$I$164:$Q$164,0),FALSE),IF($CL18="PTHP",VLOOKUP($D18,'Factor Tables'!$I$165:$Q$192,MATCH("PTHP Clg",'Factor Tables'!$I$164:$Q$164,0),FALSE),""))))</f>
        <v/>
      </c>
      <c r="CV18" s="186" t="str">
        <f>IF($CL18="","",IF(AND($CL18&lt;&gt;"DX HP",$CL18&lt;&gt;"PTHP"),0,IF($CL18="DX HP",VLOOKUP($D18,'Factor Tables'!$I$165:$Q$192,MATCH("DX HP Htg",'Factor Tables'!$I$164:$Q$164,0),FALSE),IF($CL18="PTHP",VLOOKUP($D18,'Factor Tables'!$I$165:$Q$192,MATCH("PTHP Htg",'Factor Tables'!$I$164:$Q$164,0),FALSE),""))))</f>
        <v/>
      </c>
      <c r="CX18" s="179" t="s">
        <v>44</v>
      </c>
      <c r="CY18" s="179" t="s">
        <v>543</v>
      </c>
      <c r="CZ18" s="178" t="s">
        <v>30</v>
      </c>
      <c r="DA18" s="179" t="s">
        <v>257</v>
      </c>
      <c r="DB18" s="550">
        <v>25</v>
      </c>
      <c r="DD18" s="845" t="s">
        <v>47</v>
      </c>
      <c r="DE18" s="393" t="s">
        <v>29</v>
      </c>
      <c r="DF18" s="393" t="s">
        <v>246</v>
      </c>
      <c r="DG18" s="393" t="s">
        <v>246</v>
      </c>
      <c r="DH18" s="393" t="s">
        <v>246</v>
      </c>
      <c r="DI18" s="393" t="s">
        <v>29</v>
      </c>
      <c r="DJ18" s="393" t="s">
        <v>366</v>
      </c>
      <c r="DK18" s="393" t="s">
        <v>366</v>
      </c>
      <c r="DL18" s="393" t="s">
        <v>366</v>
      </c>
      <c r="DM18" s="493" t="s">
        <v>478</v>
      </c>
    </row>
    <row r="19" spans="2:117" s="7" customFormat="1" ht="21.95" customHeight="1" x14ac:dyDescent="0.25">
      <c r="B19" s="14">
        <v>10</v>
      </c>
      <c r="C19" s="499" t="str">
        <f t="shared" si="18"/>
        <v/>
      </c>
      <c r="D19" s="403" t="str">
        <f t="shared" si="19"/>
        <v/>
      </c>
      <c r="E19" s="541"/>
      <c r="F19" s="785"/>
      <c r="G19" s="728"/>
      <c r="H19" s="728"/>
      <c r="I19" s="728"/>
      <c r="J19" s="728"/>
      <c r="K19" s="728"/>
      <c r="L19" s="728"/>
      <c r="M19" s="764"/>
      <c r="N19" s="728"/>
      <c r="O19" s="764"/>
      <c r="P19" s="728"/>
      <c r="Q19" s="1142"/>
      <c r="R19" s="1133"/>
      <c r="S19" s="778"/>
      <c r="T19" s="767"/>
      <c r="U19" s="778"/>
      <c r="V19" s="751"/>
      <c r="W19" s="556"/>
      <c r="X19" s="785"/>
      <c r="Y19" s="542"/>
      <c r="Z19" s="500"/>
      <c r="AA19" s="500"/>
      <c r="AB19" s="767"/>
      <c r="AC19" s="500"/>
      <c r="AD19" s="776"/>
      <c r="AE19" s="527">
        <f t="shared" si="20"/>
        <v>0</v>
      </c>
      <c r="AF19" s="527">
        <f t="shared" si="21"/>
        <v>0</v>
      </c>
      <c r="AG19" s="527">
        <f t="shared" si="0"/>
        <v>0</v>
      </c>
      <c r="AH19" s="527">
        <f t="shared" si="1"/>
        <v>0</v>
      </c>
      <c r="AI19" s="527">
        <f t="shared" si="2"/>
        <v>0</v>
      </c>
      <c r="AJ19" s="527">
        <f t="shared" si="3"/>
        <v>999999999</v>
      </c>
      <c r="AK19" s="777"/>
      <c r="AL19" s="776"/>
      <c r="AM19" s="777"/>
      <c r="AN19" s="500"/>
      <c r="AO19" s="778"/>
      <c r="AP19" s="778"/>
      <c r="AQ19" s="767"/>
      <c r="AR19" s="531"/>
      <c r="AS19" s="403"/>
      <c r="AT19" s="524" t="str">
        <f t="shared" si="4"/>
        <v/>
      </c>
      <c r="AU19" s="311">
        <f t="shared" si="5"/>
        <v>0</v>
      </c>
      <c r="AV19" s="288">
        <f t="shared" si="22"/>
        <v>0</v>
      </c>
      <c r="AW19" s="290">
        <f>IF(ISERROR($AU19*'Utility Admin'!$E$4+$AV19*'Utility Admin'!$F$4),0,$AU19*'Utility Admin'!$E$4+$AV19*'Utility Admin'!$F$4)</f>
        <v>0</v>
      </c>
      <c r="AX19" s="323" t="str">
        <f t="shared" si="6"/>
        <v/>
      </c>
      <c r="AY19" s="322" t="str">
        <f t="shared" si="23"/>
        <v/>
      </c>
      <c r="AZ19" s="319">
        <f>Baselines!$CJ263</f>
        <v>0</v>
      </c>
      <c r="BA19" s="735">
        <f>Baselines!$CK263</f>
        <v>0</v>
      </c>
      <c r="BB19" s="839">
        <f>Baselines!$CM263</f>
        <v>0</v>
      </c>
      <c r="BC19" s="466">
        <f t="shared" si="7"/>
        <v>0</v>
      </c>
      <c r="BD19" s="464">
        <f t="shared" si="24"/>
        <v>0</v>
      </c>
      <c r="BE19" s="755">
        <f t="shared" si="8"/>
        <v>0</v>
      </c>
      <c r="BF19" s="755">
        <f t="shared" si="25"/>
        <v>0</v>
      </c>
      <c r="BG19" s="466">
        <f t="shared" si="9"/>
        <v>0</v>
      </c>
      <c r="BH19" s="464">
        <f t="shared" si="10"/>
        <v>0</v>
      </c>
      <c r="BI19" s="755">
        <f t="shared" si="11"/>
        <v>0</v>
      </c>
      <c r="BJ19" s="755">
        <f t="shared" si="26"/>
        <v>0</v>
      </c>
      <c r="BK19" s="333">
        <f>IF(OR($C19&lt;&gt;"Early Retirement",$H19=""),0,IF(AND($G19&lt;&gt;"Air Cooled Chiller",$G19&lt;&gt;"Water Cooled Chiller"),VLOOKUP($H19,'Early Retirement'!$CI$6:$CL$33,2,FALSE),IF($J19&lt;&gt;"Centrifugal",VLOOKUP($H19,'Early Retirement'!$CI$6:$CL$33,3,FALSE),IF($J19="Centrifugal",VLOOKUP($H19,'Early Retirement'!$CI$6:$CL$33,4,FALSE),""))))</f>
        <v>0</v>
      </c>
      <c r="BL19" s="450">
        <f t="shared" si="12"/>
        <v>0</v>
      </c>
      <c r="BM19" s="553">
        <f>IFERROR('Utility Admin'!$I$4*((1+'Utility Admin'!$G$4)/('Utility Admin'!$H$4-'Utility Admin'!$G$4))*(1-((1+'Utility Admin'!$G$4)/(1+'Utility Admin'!$H$4))^$BK19)*$BG19,0)</f>
        <v>0</v>
      </c>
      <c r="BN19" s="553">
        <f>IFERROR('Utility Admin'!$I$4*((1+'Utility Admin'!$G$4)/('Utility Admin'!$H$4-'Utility Admin'!$G$4))*(1-((1+'Utility Admin'!$G$4)/(1+'Utility Admin'!$H$4))^$BL19)*((1+'Utility Admin'!$G$4)^$BK19/(1+'Utility Admin'!$H$4)^$BK19)*$BC19,0)</f>
        <v>0</v>
      </c>
      <c r="BO19" s="553">
        <f t="shared" si="27"/>
        <v>0</v>
      </c>
      <c r="BP19" s="553">
        <f>IFERROR('Utility Admin'!$J$4*((1+'Utility Admin'!$G$4)/('Utility Admin'!$H$4-'Utility Admin'!$G$4))*(1-((1+'Utility Admin'!$G$4)/(1+'Utility Admin'!$H$4))^$BK19)*$BJ19,0)</f>
        <v>0</v>
      </c>
      <c r="BQ19" s="553">
        <f>IFERROR('Utility Admin'!$J$4*((1+'Utility Admin'!$G$4)/('Utility Admin'!$H$4-'Utility Admin'!$G$4))*(1-((1+'Utility Admin'!$G$4)/(1+'Utility Admin'!$H$4))^$BL19)*((1+'Utility Admin'!$G$4)^$BK19/(1+'Utility Admin'!$H$4)^$BK19)*$BF19,0)</f>
        <v>0</v>
      </c>
      <c r="BR19" s="553">
        <f t="shared" si="28"/>
        <v>0</v>
      </c>
      <c r="BS19" s="553">
        <f>IFERROR('Utility Admin'!$I$4*((1+'Utility Admin'!$G$4)/('Utility Admin'!$H$4-'Utility Admin'!$G$4))*(1-((1+'Utility Admin'!$G$4)/(1+'Utility Admin'!$H$4))^$AT19),0)</f>
        <v>0</v>
      </c>
      <c r="BT19" s="553">
        <f>IFERROR('Utility Admin'!$J$4*((1+'Utility Admin'!$G$4)/('Utility Admin'!$H$4-'Utility Admin'!$G$4))*(1-((1+'Utility Admin'!$G$4)/(1+'Utility Admin'!$H$4))^$AT19),0)</f>
        <v>0</v>
      </c>
      <c r="BU19" s="459">
        <f t="shared" si="29"/>
        <v>0</v>
      </c>
      <c r="BV19" s="462">
        <f t="shared" si="30"/>
        <v>0</v>
      </c>
      <c r="BW19" s="219" t="str">
        <f t="shared" si="13"/>
        <v/>
      </c>
      <c r="BX19" s="250" t="str">
        <f t="shared" si="31"/>
        <v/>
      </c>
      <c r="BY19" s="250" t="str">
        <f t="shared" si="14"/>
        <v/>
      </c>
      <c r="BZ19" s="184">
        <f t="shared" si="32"/>
        <v>0</v>
      </c>
      <c r="CA19" s="693">
        <f t="shared" si="33"/>
        <v>0</v>
      </c>
      <c r="CB19" s="836">
        <f t="shared" si="34"/>
        <v>0</v>
      </c>
      <c r="CC19" s="693">
        <f>IF(AND($C19="Early Retirement",$H19&lt;&gt;"",$R19&lt;&gt;"",$T19&lt;&gt;""),$BZ19,Baselines!$CJ12)</f>
        <v>0</v>
      </c>
      <c r="CD19" s="693">
        <f>IF(AND($C19="Early Retirement",$H19&lt;&gt;"",$R19&lt;&gt;"",$T19&lt;&gt;""),$CA19,Baselines!$CK12)</f>
        <v>0</v>
      </c>
      <c r="CE19" s="182" t="str">
        <f>Baselines!$CL12</f>
        <v>kW/ton</v>
      </c>
      <c r="CF19" s="850" t="str">
        <f t="shared" si="15"/>
        <v/>
      </c>
      <c r="CG19" s="833">
        <f>IF(AND($C19="Early Retirement",$H19&lt;&gt;"",$R19&lt;&gt;"",$T19&lt;&gt;""),$CB19,IF(AND(Baselines!$CM12=0,OR($CL19="DX HP",$CL19="PTHP")),$BB19,Baselines!$CM12))</f>
        <v>0</v>
      </c>
      <c r="CH19" s="830" t="s">
        <v>567</v>
      </c>
      <c r="CI19" s="185" t="str">
        <f>IF(OR($C19="Replace-on-Burnout",$C19="New Construction"),$CT19,IF($BW19="","",VLOOKUP($D19,'Factor Tables'!$B$165:$H$192,MATCH($BW19,'Factor Tables'!$B$164:$H$164,0),FALSE)))</f>
        <v/>
      </c>
      <c r="CJ19" s="842" t="str">
        <f>IF(OR($C19="Replace-on-Burnout",$C19="New Construction"),$CU19,IF($BW19="","",IF($BW19="DX HP",VLOOKUP($D19,'Factor Tables'!$I$165:$Q$192,MATCH("DX HP Clg",'Factor Tables'!$I$164:$Q$164,0),FALSE),IF($BW19="PTHP",VLOOKUP($D19,'Factor Tables'!$I$165:$Q$192,MATCH("PTHP Clg",'Factor Tables'!$I$164:$Q$164,0),FALSE),IF(AND($BW19&lt;&gt;"DX HP",$BW19&lt;&gt;"PTHP"),VLOOKUP($D19,'Factor Tables'!$I$165:$Q$192,MATCH($BW19,'Factor Tables'!$I$164:$Q$164,0),FALSE),"")))))</f>
        <v/>
      </c>
      <c r="CK19" s="186" t="str">
        <f>IF(OR($C19="Replace-on-Burnout",$C19="New Construction",$CL19="DX HP",$CL19="PTHP"),$CV19,IF($BW19="","",IF($BW19="DX HP",VLOOKUP($D19,'Factor Tables'!$I$165:$Q$192,MATCH("DX HP Htg",'Factor Tables'!$I$164:$Q$164,0),FALSE),IF($BW19="PTHP",VLOOKUP($D19,'Factor Tables'!$I$165:$Q$192,MATCH("PTHP Htg",'Factor Tables'!$I$164:$Q$164,0),FALSE),0))))</f>
        <v/>
      </c>
      <c r="CL19" s="187" t="str">
        <f t="shared" si="16"/>
        <v/>
      </c>
      <c r="CM19" s="251" t="str">
        <f t="shared" si="17"/>
        <v/>
      </c>
      <c r="CN19" s="184">
        <f t="shared" si="35"/>
        <v>0</v>
      </c>
      <c r="CO19" s="693">
        <f t="shared" si="36"/>
        <v>0</v>
      </c>
      <c r="CP19" s="182" t="s">
        <v>46</v>
      </c>
      <c r="CQ19" s="852" t="str">
        <f t="shared" si="37"/>
        <v/>
      </c>
      <c r="CR19" s="833">
        <f t="shared" si="38"/>
        <v>0</v>
      </c>
      <c r="CS19" s="830" t="s">
        <v>567</v>
      </c>
      <c r="CT19" s="185" t="str">
        <f>IF($CL19="","",VLOOKUP($D19,'Factor Tables'!$B$165:$H$192,MATCH($CL19,'Factor Tables'!$B$164:$H$164,0),FALSE))</f>
        <v/>
      </c>
      <c r="CU19" s="842" t="str">
        <f>IF($CL19="","",IF(AND($CL19&lt;&gt;"DX HP",$CL19&lt;&gt;"PTHP"),VLOOKUP($D19,'Factor Tables'!$I$165:$Q$192,MATCH($CL19,'Factor Tables'!$I$164:$Q$164,0),FALSE),IF($CL19="DX HP",VLOOKUP($D19,'Factor Tables'!$I$165:$Q$192,MATCH("DX HP Clg",'Factor Tables'!$I$164:$Q$164,0),FALSE),IF($CL19="PTHP",VLOOKUP($D19,'Factor Tables'!$I$165:$Q$192,MATCH("PTHP Clg",'Factor Tables'!$I$164:$Q$164,0),FALSE),""))))</f>
        <v/>
      </c>
      <c r="CV19" s="186" t="str">
        <f>IF($CL19="","",IF(AND($CL19&lt;&gt;"DX HP",$CL19&lt;&gt;"PTHP"),0,IF($CL19="DX HP",VLOOKUP($D19,'Factor Tables'!$I$165:$Q$192,MATCH("DX HP Htg",'Factor Tables'!$I$164:$Q$164,0),FALSE),IF($CL19="PTHP",VLOOKUP($D19,'Factor Tables'!$I$165:$Q$192,MATCH("PTHP Htg",'Factor Tables'!$I$164:$Q$164,0),FALSE),""))))</f>
        <v/>
      </c>
      <c r="CX19" s="179" t="s">
        <v>43</v>
      </c>
      <c r="CY19" s="179" t="s">
        <v>544</v>
      </c>
      <c r="CZ19" s="178" t="s">
        <v>31</v>
      </c>
      <c r="DA19" s="179" t="s">
        <v>258</v>
      </c>
      <c r="DB19" s="550">
        <v>20</v>
      </c>
      <c r="DD19" s="845" t="s">
        <v>48</v>
      </c>
      <c r="DE19" s="393" t="s">
        <v>24</v>
      </c>
      <c r="DF19" s="393" t="s">
        <v>352</v>
      </c>
      <c r="DG19" s="393" t="s">
        <v>352</v>
      </c>
      <c r="DH19" s="393" t="s">
        <v>352</v>
      </c>
      <c r="DI19" s="393" t="s">
        <v>24</v>
      </c>
      <c r="DJ19" s="393" t="s">
        <v>352</v>
      </c>
      <c r="DK19" s="393" t="s">
        <v>352</v>
      </c>
      <c r="DL19" s="393" t="s">
        <v>352</v>
      </c>
      <c r="DM19" s="493" t="s">
        <v>478</v>
      </c>
    </row>
    <row r="20" spans="2:117" s="7" customFormat="1" ht="21.95" customHeight="1" x14ac:dyDescent="0.25">
      <c r="B20" s="13">
        <v>11</v>
      </c>
      <c r="C20" s="501" t="str">
        <f t="shared" si="18"/>
        <v/>
      </c>
      <c r="D20" s="502" t="str">
        <f t="shared" si="19"/>
        <v/>
      </c>
      <c r="E20" s="546"/>
      <c r="F20" s="547"/>
      <c r="G20" s="729"/>
      <c r="H20" s="729"/>
      <c r="I20" s="729"/>
      <c r="J20" s="729"/>
      <c r="K20" s="729"/>
      <c r="L20" s="729"/>
      <c r="M20" s="765"/>
      <c r="N20" s="758"/>
      <c r="O20" s="765"/>
      <c r="P20" s="758"/>
      <c r="Q20" s="1143"/>
      <c r="R20" s="1134"/>
      <c r="S20" s="775"/>
      <c r="T20" s="729"/>
      <c r="U20" s="775"/>
      <c r="V20" s="779"/>
      <c r="W20" s="557"/>
      <c r="X20" s="788"/>
      <c r="Y20" s="543"/>
      <c r="Z20" s="281"/>
      <c r="AA20" s="281"/>
      <c r="AB20" s="281"/>
      <c r="AC20" s="281"/>
      <c r="AD20" s="492"/>
      <c r="AE20" s="527">
        <f t="shared" si="20"/>
        <v>0</v>
      </c>
      <c r="AF20" s="527">
        <f t="shared" si="21"/>
        <v>0</v>
      </c>
      <c r="AG20" s="527">
        <f t="shared" si="0"/>
        <v>0</v>
      </c>
      <c r="AH20" s="527">
        <f t="shared" si="1"/>
        <v>0</v>
      </c>
      <c r="AI20" s="527">
        <f t="shared" si="2"/>
        <v>0</v>
      </c>
      <c r="AJ20" s="527">
        <f t="shared" si="3"/>
        <v>999999999</v>
      </c>
      <c r="AK20" s="471"/>
      <c r="AL20" s="765"/>
      <c r="AM20" s="758"/>
      <c r="AN20" s="281"/>
      <c r="AO20" s="775"/>
      <c r="AP20" s="775"/>
      <c r="AQ20" s="281"/>
      <c r="AR20" s="528"/>
      <c r="AS20" s="532"/>
      <c r="AT20" s="524" t="str">
        <f t="shared" si="4"/>
        <v/>
      </c>
      <c r="AU20" s="311">
        <f t="shared" si="5"/>
        <v>0</v>
      </c>
      <c r="AV20" s="288">
        <f t="shared" si="22"/>
        <v>0</v>
      </c>
      <c r="AW20" s="290">
        <f>IF(ISERROR($AU20*'Utility Admin'!$E$4+$AV20*'Utility Admin'!$F$4),0,$AU20*'Utility Admin'!$E$4+$AV20*'Utility Admin'!$F$4)</f>
        <v>0</v>
      </c>
      <c r="AX20" s="323" t="str">
        <f t="shared" si="6"/>
        <v/>
      </c>
      <c r="AY20" s="322" t="str">
        <f t="shared" si="23"/>
        <v/>
      </c>
      <c r="AZ20" s="319">
        <f>Baselines!$CJ264</f>
        <v>0</v>
      </c>
      <c r="BA20" s="735">
        <f>Baselines!$CK264</f>
        <v>0</v>
      </c>
      <c r="BB20" s="839">
        <f>Baselines!$CM264</f>
        <v>0</v>
      </c>
      <c r="BC20" s="466">
        <f t="shared" si="7"/>
        <v>0</v>
      </c>
      <c r="BD20" s="464">
        <f t="shared" si="24"/>
        <v>0</v>
      </c>
      <c r="BE20" s="755">
        <f t="shared" si="8"/>
        <v>0</v>
      </c>
      <c r="BF20" s="755">
        <f t="shared" si="25"/>
        <v>0</v>
      </c>
      <c r="BG20" s="466">
        <f t="shared" si="9"/>
        <v>0</v>
      </c>
      <c r="BH20" s="464">
        <f t="shared" si="10"/>
        <v>0</v>
      </c>
      <c r="BI20" s="755">
        <f t="shared" si="11"/>
        <v>0</v>
      </c>
      <c r="BJ20" s="755">
        <f t="shared" si="26"/>
        <v>0</v>
      </c>
      <c r="BK20" s="333">
        <f>IF(OR($C20&lt;&gt;"Early Retirement",$H20=""),0,IF(AND($G20&lt;&gt;"Air Cooled Chiller",$G20&lt;&gt;"Water Cooled Chiller"),VLOOKUP($H20,'Early Retirement'!$CI$6:$CL$33,2,FALSE),IF($J20&lt;&gt;"Centrifugal",VLOOKUP($H20,'Early Retirement'!$CI$6:$CL$33,3,FALSE),IF($J20="Centrifugal",VLOOKUP($H20,'Early Retirement'!$CI$6:$CL$33,4,FALSE),""))))</f>
        <v>0</v>
      </c>
      <c r="BL20" s="450">
        <f t="shared" si="12"/>
        <v>0</v>
      </c>
      <c r="BM20" s="553">
        <f>IFERROR('Utility Admin'!$I$4*((1+'Utility Admin'!$G$4)/('Utility Admin'!$H$4-'Utility Admin'!$G$4))*(1-((1+'Utility Admin'!$G$4)/(1+'Utility Admin'!$H$4))^$BK20)*$BG20,0)</f>
        <v>0</v>
      </c>
      <c r="BN20" s="553">
        <f>IFERROR('Utility Admin'!$I$4*((1+'Utility Admin'!$G$4)/('Utility Admin'!$H$4-'Utility Admin'!$G$4))*(1-((1+'Utility Admin'!$G$4)/(1+'Utility Admin'!$H$4))^$BL20)*((1+'Utility Admin'!$G$4)^$BK20/(1+'Utility Admin'!$H$4)^$BK20)*$BC20,0)</f>
        <v>0</v>
      </c>
      <c r="BO20" s="553">
        <f t="shared" si="27"/>
        <v>0</v>
      </c>
      <c r="BP20" s="553">
        <f>IFERROR('Utility Admin'!$J$4*((1+'Utility Admin'!$G$4)/('Utility Admin'!$H$4-'Utility Admin'!$G$4))*(1-((1+'Utility Admin'!$G$4)/(1+'Utility Admin'!$H$4))^$BK20)*$BJ20,0)</f>
        <v>0</v>
      </c>
      <c r="BQ20" s="553">
        <f>IFERROR('Utility Admin'!$J$4*((1+'Utility Admin'!$G$4)/('Utility Admin'!$H$4-'Utility Admin'!$G$4))*(1-((1+'Utility Admin'!$G$4)/(1+'Utility Admin'!$H$4))^$BL20)*((1+'Utility Admin'!$G$4)^$BK20/(1+'Utility Admin'!$H$4)^$BK20)*$BF20,0)</f>
        <v>0</v>
      </c>
      <c r="BR20" s="553">
        <f t="shared" si="28"/>
        <v>0</v>
      </c>
      <c r="BS20" s="553">
        <f>IFERROR('Utility Admin'!$I$4*((1+'Utility Admin'!$G$4)/('Utility Admin'!$H$4-'Utility Admin'!$G$4))*(1-((1+'Utility Admin'!$G$4)/(1+'Utility Admin'!$H$4))^$AT20),0)</f>
        <v>0</v>
      </c>
      <c r="BT20" s="553">
        <f>IFERROR('Utility Admin'!$J$4*((1+'Utility Admin'!$G$4)/('Utility Admin'!$H$4-'Utility Admin'!$G$4))*(1-((1+'Utility Admin'!$G$4)/(1+'Utility Admin'!$H$4))^$AT20),0)</f>
        <v>0</v>
      </c>
      <c r="BU20" s="459">
        <f t="shared" si="29"/>
        <v>0</v>
      </c>
      <c r="BV20" s="462">
        <f t="shared" si="30"/>
        <v>0</v>
      </c>
      <c r="BW20" s="219" t="str">
        <f t="shared" si="13"/>
        <v/>
      </c>
      <c r="BX20" s="250" t="str">
        <f t="shared" si="31"/>
        <v/>
      </c>
      <c r="BY20" s="250" t="str">
        <f t="shared" si="14"/>
        <v/>
      </c>
      <c r="BZ20" s="184">
        <f t="shared" si="32"/>
        <v>0</v>
      </c>
      <c r="CA20" s="693">
        <f t="shared" si="33"/>
        <v>0</v>
      </c>
      <c r="CB20" s="836">
        <f t="shared" si="34"/>
        <v>0</v>
      </c>
      <c r="CC20" s="693">
        <f>IF(AND($C20="Early Retirement",$H20&lt;&gt;"",$R20&lt;&gt;"",$T20&lt;&gt;""),$BZ20,Baselines!$CJ13)</f>
        <v>0</v>
      </c>
      <c r="CD20" s="693">
        <f>IF(AND($C20="Early Retirement",$H20&lt;&gt;"",$R20&lt;&gt;"",$T20&lt;&gt;""),$CA20,Baselines!$CK13)</f>
        <v>0</v>
      </c>
      <c r="CE20" s="182" t="str">
        <f>Baselines!$CL13</f>
        <v>kW/ton</v>
      </c>
      <c r="CF20" s="850" t="str">
        <f t="shared" si="15"/>
        <v/>
      </c>
      <c r="CG20" s="833">
        <f>IF(AND($C20="Early Retirement",$H20&lt;&gt;"",$R20&lt;&gt;"",$T20&lt;&gt;""),$CB20,IF(AND(Baselines!$CM13=0,OR($CL20="DX HP",$CL20="PTHP")),$BB20,Baselines!$CM13))</f>
        <v>0</v>
      </c>
      <c r="CH20" s="830" t="s">
        <v>567</v>
      </c>
      <c r="CI20" s="185" t="str">
        <f>IF(OR($C20="Replace-on-Burnout",$C20="New Construction"),$CT20,IF($BW20="","",VLOOKUP($D20,'Factor Tables'!$B$165:$H$192,MATCH($BW20,'Factor Tables'!$B$164:$H$164,0),FALSE)))</f>
        <v/>
      </c>
      <c r="CJ20" s="842" t="str">
        <f>IF(OR($C20="Replace-on-Burnout",$C20="New Construction"),$CU20,IF($BW20="","",IF($BW20="DX HP",VLOOKUP($D20,'Factor Tables'!$I$165:$Q$192,MATCH("DX HP Clg",'Factor Tables'!$I$164:$Q$164,0),FALSE),IF($BW20="PTHP",VLOOKUP($D20,'Factor Tables'!$I$165:$Q$192,MATCH("PTHP Clg",'Factor Tables'!$I$164:$Q$164,0),FALSE),IF(AND($BW20&lt;&gt;"DX HP",$BW20&lt;&gt;"PTHP"),VLOOKUP($D20,'Factor Tables'!$I$165:$Q$192,MATCH($BW20,'Factor Tables'!$I$164:$Q$164,0),FALSE),"")))))</f>
        <v/>
      </c>
      <c r="CK20" s="186" t="str">
        <f>IF(OR($C20="Replace-on-Burnout",$C20="New Construction",$CL20="DX HP",$CL20="PTHP"),$CV20,IF($BW20="","",IF($BW20="DX HP",VLOOKUP($D20,'Factor Tables'!$I$165:$Q$192,MATCH("DX HP Htg",'Factor Tables'!$I$164:$Q$164,0),FALSE),IF($BW20="PTHP",VLOOKUP($D20,'Factor Tables'!$I$165:$Q$192,MATCH("PTHP Htg",'Factor Tables'!$I$164:$Q$164,0),FALSE),0))))</f>
        <v/>
      </c>
      <c r="CL20" s="187" t="str">
        <f t="shared" si="16"/>
        <v/>
      </c>
      <c r="CM20" s="251" t="str">
        <f t="shared" si="17"/>
        <v/>
      </c>
      <c r="CN20" s="184">
        <f t="shared" si="35"/>
        <v>0</v>
      </c>
      <c r="CO20" s="693">
        <f t="shared" si="36"/>
        <v>0</v>
      </c>
      <c r="CP20" s="182" t="s">
        <v>46</v>
      </c>
      <c r="CQ20" s="852" t="str">
        <f t="shared" si="37"/>
        <v/>
      </c>
      <c r="CR20" s="833">
        <f t="shared" si="38"/>
        <v>0</v>
      </c>
      <c r="CS20" s="830" t="s">
        <v>567</v>
      </c>
      <c r="CT20" s="185" t="str">
        <f>IF($CL20="","",VLOOKUP($D20,'Factor Tables'!$B$165:$H$192,MATCH($CL20,'Factor Tables'!$B$164:$H$164,0),FALSE))</f>
        <v/>
      </c>
      <c r="CU20" s="842" t="str">
        <f>IF($CL20="","",IF(AND($CL20&lt;&gt;"DX HP",$CL20&lt;&gt;"PTHP"),VLOOKUP($D20,'Factor Tables'!$I$165:$Q$192,MATCH($CL20,'Factor Tables'!$I$164:$Q$164,0),FALSE),IF($CL20="DX HP",VLOOKUP($D20,'Factor Tables'!$I$165:$Q$192,MATCH("DX HP Clg",'Factor Tables'!$I$164:$Q$164,0),FALSE),IF($CL20="PTHP",VLOOKUP($D20,'Factor Tables'!$I$165:$Q$192,MATCH("PTHP Clg",'Factor Tables'!$I$164:$Q$164,0),FALSE),""))))</f>
        <v/>
      </c>
      <c r="CV20" s="186" t="str">
        <f>IF($CL20="","",IF(AND($CL20&lt;&gt;"DX HP",$CL20&lt;&gt;"PTHP"),0,IF($CL20="DX HP",VLOOKUP($D20,'Factor Tables'!$I$165:$Q$192,MATCH("DX HP Htg",'Factor Tables'!$I$164:$Q$164,0),FALSE),IF($CL20="PTHP",VLOOKUP($D20,'Factor Tables'!$I$165:$Q$192,MATCH("PTHP Htg",'Factor Tables'!$I$164:$Q$164,0),FALSE),""))))</f>
        <v/>
      </c>
      <c r="CX20" s="179" t="s">
        <v>43</v>
      </c>
      <c r="CY20" s="179" t="s">
        <v>545</v>
      </c>
      <c r="CZ20" s="178" t="s">
        <v>31</v>
      </c>
      <c r="DA20" s="179" t="s">
        <v>259</v>
      </c>
      <c r="DB20" s="550">
        <v>20</v>
      </c>
      <c r="DD20" s="845" t="s">
        <v>191</v>
      </c>
      <c r="DE20" s="393" t="s">
        <v>339</v>
      </c>
      <c r="DF20" s="393" t="s">
        <v>353</v>
      </c>
      <c r="DG20" s="393" t="s">
        <v>353</v>
      </c>
      <c r="DH20" s="393" t="s">
        <v>353</v>
      </c>
      <c r="DI20" s="393" t="s">
        <v>339</v>
      </c>
      <c r="DJ20" s="393" t="s">
        <v>353</v>
      </c>
      <c r="DK20" s="393" t="s">
        <v>353</v>
      </c>
      <c r="DL20" s="393" t="s">
        <v>353</v>
      </c>
      <c r="DM20" s="493" t="s">
        <v>478</v>
      </c>
    </row>
    <row r="21" spans="2:117" s="7" customFormat="1" ht="21.95" customHeight="1" x14ac:dyDescent="0.25">
      <c r="B21" s="14">
        <v>12</v>
      </c>
      <c r="C21" s="499" t="str">
        <f t="shared" si="18"/>
        <v/>
      </c>
      <c r="D21" s="403" t="str">
        <f t="shared" si="19"/>
        <v/>
      </c>
      <c r="E21" s="541"/>
      <c r="F21" s="785"/>
      <c r="G21" s="728"/>
      <c r="H21" s="728"/>
      <c r="I21" s="728"/>
      <c r="J21" s="728"/>
      <c r="K21" s="728"/>
      <c r="L21" s="728"/>
      <c r="M21" s="764"/>
      <c r="N21" s="728"/>
      <c r="O21" s="764"/>
      <c r="P21" s="728"/>
      <c r="Q21" s="1142"/>
      <c r="R21" s="1133"/>
      <c r="S21" s="778"/>
      <c r="T21" s="767"/>
      <c r="U21" s="778"/>
      <c r="V21" s="751"/>
      <c r="W21" s="556"/>
      <c r="X21" s="785"/>
      <c r="Y21" s="542"/>
      <c r="Z21" s="500"/>
      <c r="AA21" s="500"/>
      <c r="AB21" s="500"/>
      <c r="AC21" s="500"/>
      <c r="AD21" s="529"/>
      <c r="AE21" s="527">
        <f t="shared" si="20"/>
        <v>0</v>
      </c>
      <c r="AF21" s="527">
        <f t="shared" si="21"/>
        <v>0</v>
      </c>
      <c r="AG21" s="527">
        <f t="shared" si="0"/>
        <v>0</v>
      </c>
      <c r="AH21" s="527">
        <f t="shared" si="1"/>
        <v>0</v>
      </c>
      <c r="AI21" s="527">
        <f t="shared" si="2"/>
        <v>0</v>
      </c>
      <c r="AJ21" s="527">
        <f t="shared" si="3"/>
        <v>999999999</v>
      </c>
      <c r="AK21" s="530"/>
      <c r="AL21" s="776"/>
      <c r="AM21" s="777"/>
      <c r="AN21" s="500"/>
      <c r="AO21" s="778"/>
      <c r="AP21" s="778"/>
      <c r="AQ21" s="500"/>
      <c r="AR21" s="531"/>
      <c r="AS21" s="403"/>
      <c r="AT21" s="524" t="str">
        <f t="shared" si="4"/>
        <v/>
      </c>
      <c r="AU21" s="311">
        <f t="shared" si="5"/>
        <v>0</v>
      </c>
      <c r="AV21" s="288">
        <f t="shared" si="22"/>
        <v>0</v>
      </c>
      <c r="AW21" s="290">
        <f>IF(ISERROR($AU21*'Utility Admin'!$E$4+$AV21*'Utility Admin'!$F$4),0,$AU21*'Utility Admin'!$E$4+$AV21*'Utility Admin'!$F$4)</f>
        <v>0</v>
      </c>
      <c r="AX21" s="323" t="str">
        <f t="shared" si="6"/>
        <v/>
      </c>
      <c r="AY21" s="322" t="str">
        <f t="shared" si="23"/>
        <v/>
      </c>
      <c r="AZ21" s="319">
        <f>Baselines!$CJ265</f>
        <v>0</v>
      </c>
      <c r="BA21" s="735">
        <f>Baselines!$CK265</f>
        <v>0</v>
      </c>
      <c r="BB21" s="839">
        <f>Baselines!$CM265</f>
        <v>0</v>
      </c>
      <c r="BC21" s="466">
        <f t="shared" si="7"/>
        <v>0</v>
      </c>
      <c r="BD21" s="464">
        <f t="shared" si="24"/>
        <v>0</v>
      </c>
      <c r="BE21" s="755">
        <f t="shared" si="8"/>
        <v>0</v>
      </c>
      <c r="BF21" s="755">
        <f t="shared" si="25"/>
        <v>0</v>
      </c>
      <c r="BG21" s="466">
        <f t="shared" si="9"/>
        <v>0</v>
      </c>
      <c r="BH21" s="464">
        <f t="shared" si="10"/>
        <v>0</v>
      </c>
      <c r="BI21" s="755">
        <f t="shared" si="11"/>
        <v>0</v>
      </c>
      <c r="BJ21" s="755">
        <f t="shared" si="26"/>
        <v>0</v>
      </c>
      <c r="BK21" s="333">
        <f>IF(OR($C21&lt;&gt;"Early Retirement",$H21=""),0,IF(AND($G21&lt;&gt;"Air Cooled Chiller",$G21&lt;&gt;"Water Cooled Chiller"),VLOOKUP($H21,'Early Retirement'!$CI$6:$CL$33,2,FALSE),IF($J21&lt;&gt;"Centrifugal",VLOOKUP($H21,'Early Retirement'!$CI$6:$CL$33,3,FALSE),IF($J21="Centrifugal",VLOOKUP($H21,'Early Retirement'!$CI$6:$CL$33,4,FALSE),""))))</f>
        <v>0</v>
      </c>
      <c r="BL21" s="450">
        <f t="shared" si="12"/>
        <v>0</v>
      </c>
      <c r="BM21" s="553">
        <f>IFERROR('Utility Admin'!$I$4*((1+'Utility Admin'!$G$4)/('Utility Admin'!$H$4-'Utility Admin'!$G$4))*(1-((1+'Utility Admin'!$G$4)/(1+'Utility Admin'!$H$4))^$BK21)*$BG21,0)</f>
        <v>0</v>
      </c>
      <c r="BN21" s="553">
        <f>IFERROR('Utility Admin'!$I$4*((1+'Utility Admin'!$G$4)/('Utility Admin'!$H$4-'Utility Admin'!$G$4))*(1-((1+'Utility Admin'!$G$4)/(1+'Utility Admin'!$H$4))^$BL21)*((1+'Utility Admin'!$G$4)^$BK21/(1+'Utility Admin'!$H$4)^$BK21)*$BC21,0)</f>
        <v>0</v>
      </c>
      <c r="BO21" s="553">
        <f t="shared" si="27"/>
        <v>0</v>
      </c>
      <c r="BP21" s="553">
        <f>IFERROR('Utility Admin'!$J$4*((1+'Utility Admin'!$G$4)/('Utility Admin'!$H$4-'Utility Admin'!$G$4))*(1-((1+'Utility Admin'!$G$4)/(1+'Utility Admin'!$H$4))^$BK21)*$BJ21,0)</f>
        <v>0</v>
      </c>
      <c r="BQ21" s="553">
        <f>IFERROR('Utility Admin'!$J$4*((1+'Utility Admin'!$G$4)/('Utility Admin'!$H$4-'Utility Admin'!$G$4))*(1-((1+'Utility Admin'!$G$4)/(1+'Utility Admin'!$H$4))^$BL21)*((1+'Utility Admin'!$G$4)^$BK21/(1+'Utility Admin'!$H$4)^$BK21)*$BF21,0)</f>
        <v>0</v>
      </c>
      <c r="BR21" s="553">
        <f t="shared" si="28"/>
        <v>0</v>
      </c>
      <c r="BS21" s="553">
        <f>IFERROR('Utility Admin'!$I$4*((1+'Utility Admin'!$G$4)/('Utility Admin'!$H$4-'Utility Admin'!$G$4))*(1-((1+'Utility Admin'!$G$4)/(1+'Utility Admin'!$H$4))^$AT21),0)</f>
        <v>0</v>
      </c>
      <c r="BT21" s="553">
        <f>IFERROR('Utility Admin'!$J$4*((1+'Utility Admin'!$G$4)/('Utility Admin'!$H$4-'Utility Admin'!$G$4))*(1-((1+'Utility Admin'!$G$4)/(1+'Utility Admin'!$H$4))^$AT21),0)</f>
        <v>0</v>
      </c>
      <c r="BU21" s="459">
        <f t="shared" si="29"/>
        <v>0</v>
      </c>
      <c r="BV21" s="462">
        <f t="shared" si="30"/>
        <v>0</v>
      </c>
      <c r="BW21" s="219" t="str">
        <f t="shared" si="13"/>
        <v/>
      </c>
      <c r="BX21" s="250" t="str">
        <f t="shared" si="31"/>
        <v/>
      </c>
      <c r="BY21" s="250" t="str">
        <f t="shared" si="14"/>
        <v/>
      </c>
      <c r="BZ21" s="184">
        <f t="shared" si="32"/>
        <v>0</v>
      </c>
      <c r="CA21" s="693">
        <f t="shared" si="33"/>
        <v>0</v>
      </c>
      <c r="CB21" s="836">
        <f t="shared" si="34"/>
        <v>0</v>
      </c>
      <c r="CC21" s="693">
        <f>IF(AND($C21="Early Retirement",$H21&lt;&gt;"",$R21&lt;&gt;"",$T21&lt;&gt;""),$BZ21,Baselines!$CJ14)</f>
        <v>0</v>
      </c>
      <c r="CD21" s="693">
        <f>IF(AND($C21="Early Retirement",$H21&lt;&gt;"",$R21&lt;&gt;"",$T21&lt;&gt;""),$CA21,Baselines!$CK14)</f>
        <v>0</v>
      </c>
      <c r="CE21" s="182" t="str">
        <f>Baselines!$CL14</f>
        <v>kW/ton</v>
      </c>
      <c r="CF21" s="850" t="str">
        <f t="shared" si="15"/>
        <v/>
      </c>
      <c r="CG21" s="833">
        <f>IF(AND($C21="Early Retirement",$H21&lt;&gt;"",$R21&lt;&gt;"",$T21&lt;&gt;""),$CB21,IF(AND(Baselines!$CM14=0,OR($CL21="DX HP",$CL21="PTHP")),$BB21,Baselines!$CM14))</f>
        <v>0</v>
      </c>
      <c r="CH21" s="830" t="s">
        <v>567</v>
      </c>
      <c r="CI21" s="185" t="str">
        <f>IF(OR($C21="Replace-on-Burnout",$C21="New Construction"),$CT21,IF($BW21="","",VLOOKUP($D21,'Factor Tables'!$B$165:$H$192,MATCH($BW21,'Factor Tables'!$B$164:$H$164,0),FALSE)))</f>
        <v/>
      </c>
      <c r="CJ21" s="842" t="str">
        <f>IF(OR($C21="Replace-on-Burnout",$C21="New Construction"),$CU21,IF($BW21="","",IF($BW21="DX HP",VLOOKUP($D21,'Factor Tables'!$I$165:$Q$192,MATCH("DX HP Clg",'Factor Tables'!$I$164:$Q$164,0),FALSE),IF($BW21="PTHP",VLOOKUP($D21,'Factor Tables'!$I$165:$Q$192,MATCH("PTHP Clg",'Factor Tables'!$I$164:$Q$164,0),FALSE),IF(AND($BW21&lt;&gt;"DX HP",$BW21&lt;&gt;"PTHP"),VLOOKUP($D21,'Factor Tables'!$I$165:$Q$192,MATCH($BW21,'Factor Tables'!$I$164:$Q$164,0),FALSE),"")))))</f>
        <v/>
      </c>
      <c r="CK21" s="186" t="str">
        <f>IF(OR($C21="Replace-on-Burnout",$C21="New Construction",$CL21="DX HP",$CL21="PTHP"),$CV21,IF($BW21="","",IF($BW21="DX HP",VLOOKUP($D21,'Factor Tables'!$I$165:$Q$192,MATCH("DX HP Htg",'Factor Tables'!$I$164:$Q$164,0),FALSE),IF($BW21="PTHP",VLOOKUP($D21,'Factor Tables'!$I$165:$Q$192,MATCH("PTHP Htg",'Factor Tables'!$I$164:$Q$164,0),FALSE),0))))</f>
        <v/>
      </c>
      <c r="CL21" s="187" t="str">
        <f t="shared" si="16"/>
        <v/>
      </c>
      <c r="CM21" s="251" t="str">
        <f t="shared" si="17"/>
        <v/>
      </c>
      <c r="CN21" s="184">
        <f t="shared" si="35"/>
        <v>0</v>
      </c>
      <c r="CO21" s="693">
        <f t="shared" si="36"/>
        <v>0</v>
      </c>
      <c r="CP21" s="182" t="s">
        <v>46</v>
      </c>
      <c r="CQ21" s="852" t="str">
        <f t="shared" si="37"/>
        <v/>
      </c>
      <c r="CR21" s="833">
        <f t="shared" si="38"/>
        <v>0</v>
      </c>
      <c r="CS21" s="830" t="s">
        <v>567</v>
      </c>
      <c r="CT21" s="185" t="str">
        <f>IF($CL21="","",VLOOKUP($D21,'Factor Tables'!$B$165:$H$192,MATCH($CL21,'Factor Tables'!$B$164:$H$164,0),FALSE))</f>
        <v/>
      </c>
      <c r="CU21" s="842" t="str">
        <f>IF($CL21="","",IF(AND($CL21&lt;&gt;"DX HP",$CL21&lt;&gt;"PTHP"),VLOOKUP($D21,'Factor Tables'!$I$165:$Q$192,MATCH($CL21,'Factor Tables'!$I$164:$Q$164,0),FALSE),IF($CL21="DX HP",VLOOKUP($D21,'Factor Tables'!$I$165:$Q$192,MATCH("DX HP Clg",'Factor Tables'!$I$164:$Q$164,0),FALSE),IF($CL21="PTHP",VLOOKUP($D21,'Factor Tables'!$I$165:$Q$192,MATCH("PTHP Clg",'Factor Tables'!$I$164:$Q$164,0),FALSE),""))))</f>
        <v/>
      </c>
      <c r="CV21" s="186" t="str">
        <f>IF($CL21="","",IF(AND($CL21&lt;&gt;"DX HP",$CL21&lt;&gt;"PTHP"),0,IF($CL21="DX HP",VLOOKUP($D21,'Factor Tables'!$I$165:$Q$192,MATCH("DX HP Htg",'Factor Tables'!$I$164:$Q$164,0),FALSE),IF($CL21="PTHP",VLOOKUP($D21,'Factor Tables'!$I$165:$Q$192,MATCH("PTHP Htg",'Factor Tables'!$I$164:$Q$164,0),FALSE),""))))</f>
        <v/>
      </c>
      <c r="CX21" s="179" t="s">
        <v>43</v>
      </c>
      <c r="CY21" s="179" t="s">
        <v>546</v>
      </c>
      <c r="CZ21" s="178" t="s">
        <v>31</v>
      </c>
      <c r="DA21" s="179" t="s">
        <v>257</v>
      </c>
      <c r="DB21" s="550">
        <v>25</v>
      </c>
      <c r="DD21" s="845" t="s">
        <v>190</v>
      </c>
      <c r="DE21" s="393" t="s">
        <v>316</v>
      </c>
      <c r="DF21" s="393" t="s">
        <v>354</v>
      </c>
      <c r="DG21" s="393" t="s">
        <v>354</v>
      </c>
      <c r="DH21" s="179" t="s">
        <v>354</v>
      </c>
      <c r="DI21" s="393" t="s">
        <v>316</v>
      </c>
      <c r="DJ21" s="393" t="s">
        <v>354</v>
      </c>
      <c r="DK21" s="393" t="s">
        <v>354</v>
      </c>
      <c r="DL21" s="179" t="s">
        <v>354</v>
      </c>
      <c r="DM21" s="493" t="s">
        <v>478</v>
      </c>
    </row>
    <row r="22" spans="2:117" s="7" customFormat="1" ht="21.95" customHeight="1" x14ac:dyDescent="0.25">
      <c r="B22" s="13">
        <v>13</v>
      </c>
      <c r="C22" s="501" t="str">
        <f t="shared" si="18"/>
        <v/>
      </c>
      <c r="D22" s="502" t="str">
        <f t="shared" si="19"/>
        <v/>
      </c>
      <c r="E22" s="546"/>
      <c r="F22" s="547"/>
      <c r="G22" s="729"/>
      <c r="H22" s="729"/>
      <c r="I22" s="729"/>
      <c r="J22" s="729"/>
      <c r="K22" s="729"/>
      <c r="L22" s="729"/>
      <c r="M22" s="765"/>
      <c r="N22" s="758"/>
      <c r="O22" s="765"/>
      <c r="P22" s="758"/>
      <c r="Q22" s="1143"/>
      <c r="R22" s="1134"/>
      <c r="S22" s="775"/>
      <c r="T22" s="729"/>
      <c r="U22" s="775"/>
      <c r="V22" s="779"/>
      <c r="W22" s="557"/>
      <c r="X22" s="788"/>
      <c r="Y22" s="543"/>
      <c r="Z22" s="281"/>
      <c r="AA22" s="281"/>
      <c r="AB22" s="281"/>
      <c r="AC22" s="281"/>
      <c r="AD22" s="492"/>
      <c r="AE22" s="527">
        <f t="shared" si="20"/>
        <v>0</v>
      </c>
      <c r="AF22" s="527">
        <f t="shared" si="21"/>
        <v>0</v>
      </c>
      <c r="AG22" s="527">
        <f t="shared" si="0"/>
        <v>0</v>
      </c>
      <c r="AH22" s="527">
        <f t="shared" si="1"/>
        <v>0</v>
      </c>
      <c r="AI22" s="527">
        <f t="shared" si="2"/>
        <v>0</v>
      </c>
      <c r="AJ22" s="527">
        <f t="shared" si="3"/>
        <v>999999999</v>
      </c>
      <c r="AK22" s="471"/>
      <c r="AL22" s="765"/>
      <c r="AM22" s="758"/>
      <c r="AN22" s="281"/>
      <c r="AO22" s="775"/>
      <c r="AP22" s="775"/>
      <c r="AQ22" s="281"/>
      <c r="AR22" s="528"/>
      <c r="AS22" s="532"/>
      <c r="AT22" s="524" t="str">
        <f t="shared" si="4"/>
        <v/>
      </c>
      <c r="AU22" s="311">
        <f t="shared" si="5"/>
        <v>0</v>
      </c>
      <c r="AV22" s="288">
        <f t="shared" si="22"/>
        <v>0</v>
      </c>
      <c r="AW22" s="290">
        <f>IF(ISERROR($AU22*'Utility Admin'!$E$4+$AV22*'Utility Admin'!$F$4),0,$AU22*'Utility Admin'!$E$4+$AV22*'Utility Admin'!$F$4)</f>
        <v>0</v>
      </c>
      <c r="AX22" s="323" t="str">
        <f t="shared" si="6"/>
        <v/>
      </c>
      <c r="AY22" s="322" t="str">
        <f t="shared" si="23"/>
        <v/>
      </c>
      <c r="AZ22" s="319">
        <f>Baselines!$CJ266</f>
        <v>0</v>
      </c>
      <c r="BA22" s="735">
        <f>Baselines!$CK266</f>
        <v>0</v>
      </c>
      <c r="BB22" s="839">
        <f>Baselines!$CM266</f>
        <v>0</v>
      </c>
      <c r="BC22" s="466">
        <f t="shared" si="7"/>
        <v>0</v>
      </c>
      <c r="BD22" s="464">
        <f t="shared" si="24"/>
        <v>0</v>
      </c>
      <c r="BE22" s="755">
        <f t="shared" si="8"/>
        <v>0</v>
      </c>
      <c r="BF22" s="755">
        <f t="shared" si="25"/>
        <v>0</v>
      </c>
      <c r="BG22" s="466">
        <f t="shared" si="9"/>
        <v>0</v>
      </c>
      <c r="BH22" s="464">
        <f t="shared" si="10"/>
        <v>0</v>
      </c>
      <c r="BI22" s="755">
        <f t="shared" si="11"/>
        <v>0</v>
      </c>
      <c r="BJ22" s="755">
        <f t="shared" si="26"/>
        <v>0</v>
      </c>
      <c r="BK22" s="333">
        <f>IF(OR($C22&lt;&gt;"Early Retirement",$H22=""),0,IF(AND($G22&lt;&gt;"Air Cooled Chiller",$G22&lt;&gt;"Water Cooled Chiller"),VLOOKUP($H22,'Early Retirement'!$CI$6:$CL$33,2,FALSE),IF($J22&lt;&gt;"Centrifugal",VLOOKUP($H22,'Early Retirement'!$CI$6:$CL$33,3,FALSE),IF($J22="Centrifugal",VLOOKUP($H22,'Early Retirement'!$CI$6:$CL$33,4,FALSE),""))))</f>
        <v>0</v>
      </c>
      <c r="BL22" s="450">
        <f t="shared" si="12"/>
        <v>0</v>
      </c>
      <c r="BM22" s="553">
        <f>IFERROR('Utility Admin'!$I$4*((1+'Utility Admin'!$G$4)/('Utility Admin'!$H$4-'Utility Admin'!$G$4))*(1-((1+'Utility Admin'!$G$4)/(1+'Utility Admin'!$H$4))^$BK22)*$BG22,0)</f>
        <v>0</v>
      </c>
      <c r="BN22" s="553">
        <f>IFERROR('Utility Admin'!$I$4*((1+'Utility Admin'!$G$4)/('Utility Admin'!$H$4-'Utility Admin'!$G$4))*(1-((1+'Utility Admin'!$G$4)/(1+'Utility Admin'!$H$4))^$BL22)*((1+'Utility Admin'!$G$4)^$BK22/(1+'Utility Admin'!$H$4)^$BK22)*$BC22,0)</f>
        <v>0</v>
      </c>
      <c r="BO22" s="553">
        <f t="shared" si="27"/>
        <v>0</v>
      </c>
      <c r="BP22" s="553">
        <f>IFERROR('Utility Admin'!$J$4*((1+'Utility Admin'!$G$4)/('Utility Admin'!$H$4-'Utility Admin'!$G$4))*(1-((1+'Utility Admin'!$G$4)/(1+'Utility Admin'!$H$4))^$BK22)*$BJ22,0)</f>
        <v>0</v>
      </c>
      <c r="BQ22" s="553">
        <f>IFERROR('Utility Admin'!$J$4*((1+'Utility Admin'!$G$4)/('Utility Admin'!$H$4-'Utility Admin'!$G$4))*(1-((1+'Utility Admin'!$G$4)/(1+'Utility Admin'!$H$4))^$BL22)*((1+'Utility Admin'!$G$4)^$BK22/(1+'Utility Admin'!$H$4)^$BK22)*$BF22,0)</f>
        <v>0</v>
      </c>
      <c r="BR22" s="553">
        <f t="shared" si="28"/>
        <v>0</v>
      </c>
      <c r="BS22" s="553">
        <f>IFERROR('Utility Admin'!$I$4*((1+'Utility Admin'!$G$4)/('Utility Admin'!$H$4-'Utility Admin'!$G$4))*(1-((1+'Utility Admin'!$G$4)/(1+'Utility Admin'!$H$4))^$AT22),0)</f>
        <v>0</v>
      </c>
      <c r="BT22" s="553">
        <f>IFERROR('Utility Admin'!$J$4*((1+'Utility Admin'!$G$4)/('Utility Admin'!$H$4-'Utility Admin'!$G$4))*(1-((1+'Utility Admin'!$G$4)/(1+'Utility Admin'!$H$4))^$AT22),0)</f>
        <v>0</v>
      </c>
      <c r="BU22" s="459">
        <f t="shared" si="29"/>
        <v>0</v>
      </c>
      <c r="BV22" s="462">
        <f t="shared" si="30"/>
        <v>0</v>
      </c>
      <c r="BW22" s="219" t="str">
        <f t="shared" si="13"/>
        <v/>
      </c>
      <c r="BX22" s="250" t="str">
        <f t="shared" si="31"/>
        <v/>
      </c>
      <c r="BY22" s="250" t="str">
        <f t="shared" si="14"/>
        <v/>
      </c>
      <c r="BZ22" s="184">
        <f t="shared" si="32"/>
        <v>0</v>
      </c>
      <c r="CA22" s="693">
        <f t="shared" si="33"/>
        <v>0</v>
      </c>
      <c r="CB22" s="836">
        <f t="shared" si="34"/>
        <v>0</v>
      </c>
      <c r="CC22" s="693">
        <f>IF(AND($C22="Early Retirement",$H22&lt;&gt;"",$R22&lt;&gt;"",$T22&lt;&gt;""),$BZ22,Baselines!$CJ15)</f>
        <v>0</v>
      </c>
      <c r="CD22" s="693">
        <f>IF(AND($C22="Early Retirement",$H22&lt;&gt;"",$R22&lt;&gt;"",$T22&lt;&gt;""),$CA22,Baselines!$CK15)</f>
        <v>0</v>
      </c>
      <c r="CE22" s="182" t="str">
        <f>Baselines!$CL15</f>
        <v>kW/ton</v>
      </c>
      <c r="CF22" s="850" t="str">
        <f t="shared" si="15"/>
        <v/>
      </c>
      <c r="CG22" s="833">
        <f>IF(AND($C22="Early Retirement",$H22&lt;&gt;"",$R22&lt;&gt;"",$T22&lt;&gt;""),$CB22,IF(AND(Baselines!$CM15=0,OR($CL22="DX HP",$CL22="PTHP")),$BB22,Baselines!$CM15))</f>
        <v>0</v>
      </c>
      <c r="CH22" s="830" t="s">
        <v>567</v>
      </c>
      <c r="CI22" s="185" t="str">
        <f>IF(OR($C22="Replace-on-Burnout",$C22="New Construction"),$CT22,IF($BW22="","",VLOOKUP($D22,'Factor Tables'!$B$165:$H$192,MATCH($BW22,'Factor Tables'!$B$164:$H$164,0),FALSE)))</f>
        <v/>
      </c>
      <c r="CJ22" s="842" t="str">
        <f>IF(OR($C22="Replace-on-Burnout",$C22="New Construction"),$CU22,IF($BW22="","",IF($BW22="DX HP",VLOOKUP($D22,'Factor Tables'!$I$165:$Q$192,MATCH("DX HP Clg",'Factor Tables'!$I$164:$Q$164,0),FALSE),IF($BW22="PTHP",VLOOKUP($D22,'Factor Tables'!$I$165:$Q$192,MATCH("PTHP Clg",'Factor Tables'!$I$164:$Q$164,0),FALSE),IF(AND($BW22&lt;&gt;"DX HP",$BW22&lt;&gt;"PTHP"),VLOOKUP($D22,'Factor Tables'!$I$165:$Q$192,MATCH($BW22,'Factor Tables'!$I$164:$Q$164,0),FALSE),"")))))</f>
        <v/>
      </c>
      <c r="CK22" s="186" t="str">
        <f>IF(OR($C22="Replace-on-Burnout",$C22="New Construction",$CL22="DX HP",$CL22="PTHP"),$CV22,IF($BW22="","",IF($BW22="DX HP",VLOOKUP($D22,'Factor Tables'!$I$165:$Q$192,MATCH("DX HP Htg",'Factor Tables'!$I$164:$Q$164,0),FALSE),IF($BW22="PTHP",VLOOKUP($D22,'Factor Tables'!$I$165:$Q$192,MATCH("PTHP Htg",'Factor Tables'!$I$164:$Q$164,0),FALSE),0))))</f>
        <v/>
      </c>
      <c r="CL22" s="187" t="str">
        <f t="shared" si="16"/>
        <v/>
      </c>
      <c r="CM22" s="251" t="str">
        <f t="shared" si="17"/>
        <v/>
      </c>
      <c r="CN22" s="184">
        <f t="shared" si="35"/>
        <v>0</v>
      </c>
      <c r="CO22" s="693">
        <f t="shared" si="36"/>
        <v>0</v>
      </c>
      <c r="CP22" s="182" t="s">
        <v>46</v>
      </c>
      <c r="CQ22" s="852" t="str">
        <f t="shared" si="37"/>
        <v/>
      </c>
      <c r="CR22" s="833">
        <f t="shared" si="38"/>
        <v>0</v>
      </c>
      <c r="CS22" s="830" t="s">
        <v>567</v>
      </c>
      <c r="CT22" s="185" t="str">
        <f>IF($CL22="","",VLOOKUP($D22,'Factor Tables'!$B$165:$H$192,MATCH($CL22,'Factor Tables'!$B$164:$H$164,0),FALSE))</f>
        <v/>
      </c>
      <c r="CU22" s="842" t="str">
        <f>IF($CL22="","",IF(AND($CL22&lt;&gt;"DX HP",$CL22&lt;&gt;"PTHP"),VLOOKUP($D22,'Factor Tables'!$I$165:$Q$192,MATCH($CL22,'Factor Tables'!$I$164:$Q$164,0),FALSE),IF($CL22="DX HP",VLOOKUP($D22,'Factor Tables'!$I$165:$Q$192,MATCH("DX HP Clg",'Factor Tables'!$I$164:$Q$164,0),FALSE),IF($CL22="PTHP",VLOOKUP($D22,'Factor Tables'!$I$165:$Q$192,MATCH("PTHP Clg",'Factor Tables'!$I$164:$Q$164,0),FALSE),""))))</f>
        <v/>
      </c>
      <c r="CV22" s="186" t="str">
        <f>IF($CL22="","",IF(AND($CL22&lt;&gt;"DX HP",$CL22&lt;&gt;"PTHP"),0,IF($CL22="DX HP",VLOOKUP($D22,'Factor Tables'!$I$165:$Q$192,MATCH("DX HP Htg",'Factor Tables'!$I$164:$Q$164,0),FALSE),IF($CL22="PTHP",VLOOKUP($D22,'Factor Tables'!$I$165:$Q$192,MATCH("PTHP Htg",'Factor Tables'!$I$164:$Q$164,0),FALSE),""))))</f>
        <v/>
      </c>
      <c r="CY22" s="427"/>
      <c r="DD22" s="845"/>
      <c r="DE22" s="393" t="s">
        <v>317</v>
      </c>
      <c r="DF22" s="393" t="s">
        <v>355</v>
      </c>
      <c r="DG22" s="393" t="s">
        <v>355</v>
      </c>
      <c r="DH22" s="179" t="s">
        <v>355</v>
      </c>
      <c r="DI22" s="393" t="s">
        <v>317</v>
      </c>
      <c r="DJ22" s="393" t="s">
        <v>355</v>
      </c>
      <c r="DK22" s="393" t="s">
        <v>355</v>
      </c>
      <c r="DL22" s="179" t="s">
        <v>355</v>
      </c>
      <c r="DM22" s="493" t="s">
        <v>478</v>
      </c>
    </row>
    <row r="23" spans="2:117" s="7" customFormat="1" ht="21.95" customHeight="1" x14ac:dyDescent="0.25">
      <c r="B23" s="14">
        <v>14</v>
      </c>
      <c r="C23" s="499" t="str">
        <f t="shared" si="18"/>
        <v/>
      </c>
      <c r="D23" s="403" t="str">
        <f t="shared" si="19"/>
        <v/>
      </c>
      <c r="E23" s="541"/>
      <c r="F23" s="785"/>
      <c r="G23" s="728"/>
      <c r="H23" s="728"/>
      <c r="I23" s="728"/>
      <c r="J23" s="728"/>
      <c r="K23" s="728"/>
      <c r="L23" s="728"/>
      <c r="M23" s="764"/>
      <c r="N23" s="728"/>
      <c r="O23" s="764"/>
      <c r="P23" s="728"/>
      <c r="Q23" s="1142"/>
      <c r="R23" s="1133"/>
      <c r="S23" s="778"/>
      <c r="T23" s="767"/>
      <c r="U23" s="778"/>
      <c r="V23" s="751"/>
      <c r="W23" s="556"/>
      <c r="X23" s="785"/>
      <c r="Y23" s="542"/>
      <c r="Z23" s="500"/>
      <c r="AA23" s="500"/>
      <c r="AB23" s="500"/>
      <c r="AC23" s="500"/>
      <c r="AD23" s="529"/>
      <c r="AE23" s="527">
        <f t="shared" si="20"/>
        <v>0</v>
      </c>
      <c r="AF23" s="527">
        <f t="shared" si="21"/>
        <v>0</v>
      </c>
      <c r="AG23" s="527">
        <f t="shared" si="0"/>
        <v>0</v>
      </c>
      <c r="AH23" s="527">
        <f t="shared" si="1"/>
        <v>0</v>
      </c>
      <c r="AI23" s="527">
        <f t="shared" si="2"/>
        <v>0</v>
      </c>
      <c r="AJ23" s="527">
        <f t="shared" si="3"/>
        <v>999999999</v>
      </c>
      <c r="AK23" s="530"/>
      <c r="AL23" s="776"/>
      <c r="AM23" s="777"/>
      <c r="AN23" s="500"/>
      <c r="AO23" s="778"/>
      <c r="AP23" s="778"/>
      <c r="AQ23" s="500"/>
      <c r="AR23" s="531"/>
      <c r="AS23" s="403"/>
      <c r="AT23" s="524" t="str">
        <f t="shared" si="4"/>
        <v/>
      </c>
      <c r="AU23" s="311">
        <f t="shared" si="5"/>
        <v>0</v>
      </c>
      <c r="AV23" s="288">
        <f t="shared" si="22"/>
        <v>0</v>
      </c>
      <c r="AW23" s="290">
        <f>IF(ISERROR($AU23*'Utility Admin'!$E$4+$AV23*'Utility Admin'!$F$4),0,$AU23*'Utility Admin'!$E$4+$AV23*'Utility Admin'!$F$4)</f>
        <v>0</v>
      </c>
      <c r="AX23" s="323" t="str">
        <f t="shared" si="6"/>
        <v/>
      </c>
      <c r="AY23" s="322" t="str">
        <f t="shared" si="23"/>
        <v/>
      </c>
      <c r="AZ23" s="319">
        <f>Baselines!$CJ267</f>
        <v>0</v>
      </c>
      <c r="BA23" s="735">
        <f>Baselines!$CK267</f>
        <v>0</v>
      </c>
      <c r="BB23" s="839">
        <f>Baselines!$CM267</f>
        <v>0</v>
      </c>
      <c r="BC23" s="466">
        <f t="shared" si="7"/>
        <v>0</v>
      </c>
      <c r="BD23" s="464">
        <f t="shared" si="24"/>
        <v>0</v>
      </c>
      <c r="BE23" s="755">
        <f t="shared" si="8"/>
        <v>0</v>
      </c>
      <c r="BF23" s="755">
        <f t="shared" si="25"/>
        <v>0</v>
      </c>
      <c r="BG23" s="466">
        <f t="shared" si="9"/>
        <v>0</v>
      </c>
      <c r="BH23" s="464">
        <f t="shared" si="10"/>
        <v>0</v>
      </c>
      <c r="BI23" s="755">
        <f t="shared" si="11"/>
        <v>0</v>
      </c>
      <c r="BJ23" s="755">
        <f t="shared" si="26"/>
        <v>0</v>
      </c>
      <c r="BK23" s="333">
        <f>IF(OR($C23&lt;&gt;"Early Retirement",$H23=""),0,IF(AND($G23&lt;&gt;"Air Cooled Chiller",$G23&lt;&gt;"Water Cooled Chiller"),VLOOKUP($H23,'Early Retirement'!$CI$6:$CL$33,2,FALSE),IF($J23&lt;&gt;"Centrifugal",VLOOKUP($H23,'Early Retirement'!$CI$6:$CL$33,3,FALSE),IF($J23="Centrifugal",VLOOKUP($H23,'Early Retirement'!$CI$6:$CL$33,4,FALSE),""))))</f>
        <v>0</v>
      </c>
      <c r="BL23" s="450">
        <f t="shared" si="12"/>
        <v>0</v>
      </c>
      <c r="BM23" s="553">
        <f>IFERROR('Utility Admin'!$I$4*((1+'Utility Admin'!$G$4)/('Utility Admin'!$H$4-'Utility Admin'!$G$4))*(1-((1+'Utility Admin'!$G$4)/(1+'Utility Admin'!$H$4))^$BK23)*$BG23,0)</f>
        <v>0</v>
      </c>
      <c r="BN23" s="553">
        <f>IFERROR('Utility Admin'!$I$4*((1+'Utility Admin'!$G$4)/('Utility Admin'!$H$4-'Utility Admin'!$G$4))*(1-((1+'Utility Admin'!$G$4)/(1+'Utility Admin'!$H$4))^$BL23)*((1+'Utility Admin'!$G$4)^$BK23/(1+'Utility Admin'!$H$4)^$BK23)*$BC23,0)</f>
        <v>0</v>
      </c>
      <c r="BO23" s="553">
        <f t="shared" si="27"/>
        <v>0</v>
      </c>
      <c r="BP23" s="553">
        <f>IFERROR('Utility Admin'!$J$4*((1+'Utility Admin'!$G$4)/('Utility Admin'!$H$4-'Utility Admin'!$G$4))*(1-((1+'Utility Admin'!$G$4)/(1+'Utility Admin'!$H$4))^$BK23)*$BJ23,0)</f>
        <v>0</v>
      </c>
      <c r="BQ23" s="553">
        <f>IFERROR('Utility Admin'!$J$4*((1+'Utility Admin'!$G$4)/('Utility Admin'!$H$4-'Utility Admin'!$G$4))*(1-((1+'Utility Admin'!$G$4)/(1+'Utility Admin'!$H$4))^$BL23)*((1+'Utility Admin'!$G$4)^$BK23/(1+'Utility Admin'!$H$4)^$BK23)*$BF23,0)</f>
        <v>0</v>
      </c>
      <c r="BR23" s="553">
        <f t="shared" si="28"/>
        <v>0</v>
      </c>
      <c r="BS23" s="553">
        <f>IFERROR('Utility Admin'!$I$4*((1+'Utility Admin'!$G$4)/('Utility Admin'!$H$4-'Utility Admin'!$G$4))*(1-((1+'Utility Admin'!$G$4)/(1+'Utility Admin'!$H$4))^$AT23),0)</f>
        <v>0</v>
      </c>
      <c r="BT23" s="553">
        <f>IFERROR('Utility Admin'!$J$4*((1+'Utility Admin'!$G$4)/('Utility Admin'!$H$4-'Utility Admin'!$G$4))*(1-((1+'Utility Admin'!$G$4)/(1+'Utility Admin'!$H$4))^$AT23),0)</f>
        <v>0</v>
      </c>
      <c r="BU23" s="459">
        <f t="shared" si="29"/>
        <v>0</v>
      </c>
      <c r="BV23" s="462">
        <f t="shared" si="30"/>
        <v>0</v>
      </c>
      <c r="BW23" s="219" t="str">
        <f t="shared" si="13"/>
        <v/>
      </c>
      <c r="BX23" s="250" t="str">
        <f t="shared" si="31"/>
        <v/>
      </c>
      <c r="BY23" s="250" t="str">
        <f t="shared" si="14"/>
        <v/>
      </c>
      <c r="BZ23" s="184">
        <f t="shared" si="32"/>
        <v>0</v>
      </c>
      <c r="CA23" s="693">
        <f t="shared" si="33"/>
        <v>0</v>
      </c>
      <c r="CB23" s="836">
        <f t="shared" si="34"/>
        <v>0</v>
      </c>
      <c r="CC23" s="693">
        <f>IF(AND($C23="Early Retirement",$H23&lt;&gt;"",$R23&lt;&gt;"",$T23&lt;&gt;""),$BZ23,Baselines!$CJ16)</f>
        <v>0</v>
      </c>
      <c r="CD23" s="693">
        <f>IF(AND($C23="Early Retirement",$H23&lt;&gt;"",$R23&lt;&gt;"",$T23&lt;&gt;""),$CA23,Baselines!$CK16)</f>
        <v>0</v>
      </c>
      <c r="CE23" s="182" t="str">
        <f>Baselines!$CL16</f>
        <v>kW/ton</v>
      </c>
      <c r="CF23" s="850" t="str">
        <f t="shared" si="15"/>
        <v/>
      </c>
      <c r="CG23" s="833">
        <f>IF(AND($C23="Early Retirement",$H23&lt;&gt;"",$R23&lt;&gt;"",$T23&lt;&gt;""),$CB23,IF(AND(Baselines!$CM16=0,OR($CL23="DX HP",$CL23="PTHP")),$BB23,Baselines!$CM16))</f>
        <v>0</v>
      </c>
      <c r="CH23" s="830" t="s">
        <v>567</v>
      </c>
      <c r="CI23" s="185" t="str">
        <f>IF(OR($C23="Replace-on-Burnout",$C23="New Construction"),$CT23,IF($BW23="","",VLOOKUP($D23,'Factor Tables'!$B$165:$H$192,MATCH($BW23,'Factor Tables'!$B$164:$H$164,0),FALSE)))</f>
        <v/>
      </c>
      <c r="CJ23" s="842" t="str">
        <f>IF(OR($C23="Replace-on-Burnout",$C23="New Construction"),$CU23,IF($BW23="","",IF($BW23="DX HP",VLOOKUP($D23,'Factor Tables'!$I$165:$Q$192,MATCH("DX HP Clg",'Factor Tables'!$I$164:$Q$164,0),FALSE),IF($BW23="PTHP",VLOOKUP($D23,'Factor Tables'!$I$165:$Q$192,MATCH("PTHP Clg",'Factor Tables'!$I$164:$Q$164,0),FALSE),IF(AND($BW23&lt;&gt;"DX HP",$BW23&lt;&gt;"PTHP"),VLOOKUP($D23,'Factor Tables'!$I$165:$Q$192,MATCH($BW23,'Factor Tables'!$I$164:$Q$164,0),FALSE),"")))))</f>
        <v/>
      </c>
      <c r="CK23" s="186" t="str">
        <f>IF(OR($C23="Replace-on-Burnout",$C23="New Construction",$CL23="DX HP",$CL23="PTHP"),$CV23,IF($BW23="","",IF($BW23="DX HP",VLOOKUP($D23,'Factor Tables'!$I$165:$Q$192,MATCH("DX HP Htg",'Factor Tables'!$I$164:$Q$164,0),FALSE),IF($BW23="PTHP",VLOOKUP($D23,'Factor Tables'!$I$165:$Q$192,MATCH("PTHP Htg",'Factor Tables'!$I$164:$Q$164,0),FALSE),0))))</f>
        <v/>
      </c>
      <c r="CL23" s="187" t="str">
        <f t="shared" si="16"/>
        <v/>
      </c>
      <c r="CM23" s="251" t="str">
        <f t="shared" si="17"/>
        <v/>
      </c>
      <c r="CN23" s="184">
        <f t="shared" si="35"/>
        <v>0</v>
      </c>
      <c r="CO23" s="693">
        <f t="shared" si="36"/>
        <v>0</v>
      </c>
      <c r="CP23" s="182" t="s">
        <v>46</v>
      </c>
      <c r="CQ23" s="852" t="str">
        <f t="shared" si="37"/>
        <v/>
      </c>
      <c r="CR23" s="833">
        <f t="shared" si="38"/>
        <v>0</v>
      </c>
      <c r="CS23" s="830" t="s">
        <v>567</v>
      </c>
      <c r="CT23" s="185" t="str">
        <f>IF($CL23="","",VLOOKUP($D23,'Factor Tables'!$B$165:$H$192,MATCH($CL23,'Factor Tables'!$B$164:$H$164,0),FALSE))</f>
        <v/>
      </c>
      <c r="CU23" s="842" t="str">
        <f>IF($CL23="","",IF(AND($CL23&lt;&gt;"DX HP",$CL23&lt;&gt;"PTHP"),VLOOKUP($D23,'Factor Tables'!$I$165:$Q$192,MATCH($CL23,'Factor Tables'!$I$164:$Q$164,0),FALSE),IF($CL23="DX HP",VLOOKUP($D23,'Factor Tables'!$I$165:$Q$192,MATCH("DX HP Clg",'Factor Tables'!$I$164:$Q$164,0),FALSE),IF($CL23="PTHP",VLOOKUP($D23,'Factor Tables'!$I$165:$Q$192,MATCH("PTHP Clg",'Factor Tables'!$I$164:$Q$164,0),FALSE),""))))</f>
        <v/>
      </c>
      <c r="CV23" s="186" t="str">
        <f>IF($CL23="","",IF(AND($CL23&lt;&gt;"DX HP",$CL23&lt;&gt;"PTHP"),0,IF($CL23="DX HP",VLOOKUP($D23,'Factor Tables'!$I$165:$Q$192,MATCH("DX HP Htg",'Factor Tables'!$I$164:$Q$164,0),FALSE),IF($CL23="PTHP",VLOOKUP($D23,'Factor Tables'!$I$165:$Q$192,MATCH("PTHP Htg",'Factor Tables'!$I$164:$Q$164,0),FALSE),""))))</f>
        <v/>
      </c>
      <c r="CY23" s="427"/>
      <c r="DD23" s="193" t="s">
        <v>347</v>
      </c>
      <c r="DE23" s="179" t="s">
        <v>340</v>
      </c>
      <c r="DF23" s="179" t="s">
        <v>356</v>
      </c>
      <c r="DG23" s="179" t="s">
        <v>356</v>
      </c>
      <c r="DH23" s="179" t="s">
        <v>356</v>
      </c>
      <c r="DI23" s="179" t="s">
        <v>340</v>
      </c>
      <c r="DJ23" s="179" t="s">
        <v>356</v>
      </c>
      <c r="DK23" s="179" t="s">
        <v>356</v>
      </c>
      <c r="DL23" s="179" t="s">
        <v>356</v>
      </c>
      <c r="DM23" s="493" t="s">
        <v>478</v>
      </c>
    </row>
    <row r="24" spans="2:117" s="7" customFormat="1" ht="21.95" customHeight="1" x14ac:dyDescent="0.25">
      <c r="B24" s="13">
        <v>15</v>
      </c>
      <c r="C24" s="501" t="str">
        <f t="shared" si="18"/>
        <v/>
      </c>
      <c r="D24" s="502" t="str">
        <f t="shared" si="19"/>
        <v/>
      </c>
      <c r="E24" s="546"/>
      <c r="F24" s="547"/>
      <c r="G24" s="729"/>
      <c r="H24" s="729"/>
      <c r="I24" s="729"/>
      <c r="J24" s="729"/>
      <c r="K24" s="729"/>
      <c r="L24" s="729"/>
      <c r="M24" s="765"/>
      <c r="N24" s="758"/>
      <c r="O24" s="765"/>
      <c r="P24" s="758"/>
      <c r="Q24" s="1143"/>
      <c r="R24" s="1134"/>
      <c r="S24" s="775"/>
      <c r="T24" s="729"/>
      <c r="U24" s="775"/>
      <c r="V24" s="779"/>
      <c r="W24" s="557"/>
      <c r="X24" s="788"/>
      <c r="Y24" s="543"/>
      <c r="Z24" s="281"/>
      <c r="AA24" s="281"/>
      <c r="AB24" s="281"/>
      <c r="AC24" s="281"/>
      <c r="AD24" s="492"/>
      <c r="AE24" s="527">
        <f t="shared" si="20"/>
        <v>0</v>
      </c>
      <c r="AF24" s="527">
        <f t="shared" si="21"/>
        <v>0</v>
      </c>
      <c r="AG24" s="527">
        <f t="shared" si="0"/>
        <v>0</v>
      </c>
      <c r="AH24" s="527">
        <f t="shared" si="1"/>
        <v>0</v>
      </c>
      <c r="AI24" s="527">
        <f t="shared" si="2"/>
        <v>0</v>
      </c>
      <c r="AJ24" s="527">
        <f t="shared" si="3"/>
        <v>999999999</v>
      </c>
      <c r="AK24" s="471"/>
      <c r="AL24" s="765"/>
      <c r="AM24" s="758"/>
      <c r="AN24" s="281"/>
      <c r="AO24" s="775"/>
      <c r="AP24" s="775"/>
      <c r="AQ24" s="281"/>
      <c r="AR24" s="528"/>
      <c r="AS24" s="532"/>
      <c r="AT24" s="524" t="str">
        <f t="shared" si="4"/>
        <v/>
      </c>
      <c r="AU24" s="311">
        <f t="shared" si="5"/>
        <v>0</v>
      </c>
      <c r="AV24" s="288">
        <f t="shared" si="22"/>
        <v>0</v>
      </c>
      <c r="AW24" s="290">
        <f>IF(ISERROR($AU24*'Utility Admin'!$E$4+$AV24*'Utility Admin'!$F$4),0,$AU24*'Utility Admin'!$E$4+$AV24*'Utility Admin'!$F$4)</f>
        <v>0</v>
      </c>
      <c r="AX24" s="323" t="str">
        <f t="shared" si="6"/>
        <v/>
      </c>
      <c r="AY24" s="322" t="str">
        <f t="shared" si="23"/>
        <v/>
      </c>
      <c r="AZ24" s="319">
        <f>Baselines!$CJ268</f>
        <v>0</v>
      </c>
      <c r="BA24" s="735">
        <f>Baselines!$CK268</f>
        <v>0</v>
      </c>
      <c r="BB24" s="839">
        <f>Baselines!$CM268</f>
        <v>0</v>
      </c>
      <c r="BC24" s="466">
        <f t="shared" si="7"/>
        <v>0</v>
      </c>
      <c r="BD24" s="464">
        <f t="shared" si="24"/>
        <v>0</v>
      </c>
      <c r="BE24" s="755">
        <f t="shared" si="8"/>
        <v>0</v>
      </c>
      <c r="BF24" s="755">
        <f t="shared" si="25"/>
        <v>0</v>
      </c>
      <c r="BG24" s="466">
        <f t="shared" si="9"/>
        <v>0</v>
      </c>
      <c r="BH24" s="464">
        <f t="shared" si="10"/>
        <v>0</v>
      </c>
      <c r="BI24" s="755">
        <f t="shared" si="11"/>
        <v>0</v>
      </c>
      <c r="BJ24" s="755">
        <f t="shared" si="26"/>
        <v>0</v>
      </c>
      <c r="BK24" s="333">
        <f>IF(OR($C24&lt;&gt;"Early Retirement",$H24=""),0,IF(AND($G24&lt;&gt;"Air Cooled Chiller",$G24&lt;&gt;"Water Cooled Chiller"),VLOOKUP($H24,'Early Retirement'!$CI$6:$CL$33,2,FALSE),IF($J24&lt;&gt;"Centrifugal",VLOOKUP($H24,'Early Retirement'!$CI$6:$CL$33,3,FALSE),IF($J24="Centrifugal",VLOOKUP($H24,'Early Retirement'!$CI$6:$CL$33,4,FALSE),""))))</f>
        <v>0</v>
      </c>
      <c r="BL24" s="450">
        <f t="shared" si="12"/>
        <v>0</v>
      </c>
      <c r="BM24" s="553">
        <f>IFERROR('Utility Admin'!$I$4*((1+'Utility Admin'!$G$4)/('Utility Admin'!$H$4-'Utility Admin'!$G$4))*(1-((1+'Utility Admin'!$G$4)/(1+'Utility Admin'!$H$4))^$BK24)*$BG24,0)</f>
        <v>0</v>
      </c>
      <c r="BN24" s="553">
        <f>IFERROR('Utility Admin'!$I$4*((1+'Utility Admin'!$G$4)/('Utility Admin'!$H$4-'Utility Admin'!$G$4))*(1-((1+'Utility Admin'!$G$4)/(1+'Utility Admin'!$H$4))^$BL24)*((1+'Utility Admin'!$G$4)^$BK24/(1+'Utility Admin'!$H$4)^$BK24)*$BC24,0)</f>
        <v>0</v>
      </c>
      <c r="BO24" s="553">
        <f t="shared" si="27"/>
        <v>0</v>
      </c>
      <c r="BP24" s="553">
        <f>IFERROR('Utility Admin'!$J$4*((1+'Utility Admin'!$G$4)/('Utility Admin'!$H$4-'Utility Admin'!$G$4))*(1-((1+'Utility Admin'!$G$4)/(1+'Utility Admin'!$H$4))^$BK24)*$BJ24,0)</f>
        <v>0</v>
      </c>
      <c r="BQ24" s="553">
        <f>IFERROR('Utility Admin'!$J$4*((1+'Utility Admin'!$G$4)/('Utility Admin'!$H$4-'Utility Admin'!$G$4))*(1-((1+'Utility Admin'!$G$4)/(1+'Utility Admin'!$H$4))^$BL24)*((1+'Utility Admin'!$G$4)^$BK24/(1+'Utility Admin'!$H$4)^$BK24)*$BF24,0)</f>
        <v>0</v>
      </c>
      <c r="BR24" s="553">
        <f t="shared" si="28"/>
        <v>0</v>
      </c>
      <c r="BS24" s="553">
        <f>IFERROR('Utility Admin'!$I$4*((1+'Utility Admin'!$G$4)/('Utility Admin'!$H$4-'Utility Admin'!$G$4))*(1-((1+'Utility Admin'!$G$4)/(1+'Utility Admin'!$H$4))^$AT24),0)</f>
        <v>0</v>
      </c>
      <c r="BT24" s="553">
        <f>IFERROR('Utility Admin'!$J$4*((1+'Utility Admin'!$G$4)/('Utility Admin'!$H$4-'Utility Admin'!$G$4))*(1-((1+'Utility Admin'!$G$4)/(1+'Utility Admin'!$H$4))^$AT24),0)</f>
        <v>0</v>
      </c>
      <c r="BU24" s="459">
        <f t="shared" si="29"/>
        <v>0</v>
      </c>
      <c r="BV24" s="462">
        <f t="shared" si="30"/>
        <v>0</v>
      </c>
      <c r="BW24" s="219" t="str">
        <f t="shared" si="13"/>
        <v/>
      </c>
      <c r="BX24" s="250" t="str">
        <f t="shared" si="31"/>
        <v/>
      </c>
      <c r="BY24" s="250" t="str">
        <f t="shared" si="14"/>
        <v/>
      </c>
      <c r="BZ24" s="184">
        <f t="shared" si="32"/>
        <v>0</v>
      </c>
      <c r="CA24" s="693">
        <f t="shared" si="33"/>
        <v>0</v>
      </c>
      <c r="CB24" s="836">
        <f t="shared" si="34"/>
        <v>0</v>
      </c>
      <c r="CC24" s="693">
        <f>IF(AND($C24="Early Retirement",$H24&lt;&gt;"",$R24&lt;&gt;"",$T24&lt;&gt;""),$BZ24,Baselines!$CJ17)</f>
        <v>0</v>
      </c>
      <c r="CD24" s="693">
        <f>IF(AND($C24="Early Retirement",$H24&lt;&gt;"",$R24&lt;&gt;"",$T24&lt;&gt;""),$CA24,Baselines!$CK17)</f>
        <v>0</v>
      </c>
      <c r="CE24" s="182" t="str">
        <f>Baselines!$CL17</f>
        <v>kW/ton</v>
      </c>
      <c r="CF24" s="850" t="str">
        <f t="shared" si="15"/>
        <v/>
      </c>
      <c r="CG24" s="833">
        <f>IF(AND($C24="Early Retirement",$H24&lt;&gt;"",$R24&lt;&gt;"",$T24&lt;&gt;""),$CB24,IF(AND(Baselines!$CM17=0,OR($CL24="DX HP",$CL24="PTHP")),$BB24,Baselines!$CM17))</f>
        <v>0</v>
      </c>
      <c r="CH24" s="830" t="s">
        <v>567</v>
      </c>
      <c r="CI24" s="185" t="str">
        <f>IF(OR($C24="Replace-on-Burnout",$C24="New Construction"),$CT24,IF($BW24="","",VLOOKUP($D24,'Factor Tables'!$B$165:$H$192,MATCH($BW24,'Factor Tables'!$B$164:$H$164,0),FALSE)))</f>
        <v/>
      </c>
      <c r="CJ24" s="842" t="str">
        <f>IF(OR($C24="Replace-on-Burnout",$C24="New Construction"),$CU24,IF($BW24="","",IF($BW24="DX HP",VLOOKUP($D24,'Factor Tables'!$I$165:$Q$192,MATCH("DX HP Clg",'Factor Tables'!$I$164:$Q$164,0),FALSE),IF($BW24="PTHP",VLOOKUP($D24,'Factor Tables'!$I$165:$Q$192,MATCH("PTHP Clg",'Factor Tables'!$I$164:$Q$164,0),FALSE),IF(AND($BW24&lt;&gt;"DX HP",$BW24&lt;&gt;"PTHP"),VLOOKUP($D24,'Factor Tables'!$I$165:$Q$192,MATCH($BW24,'Factor Tables'!$I$164:$Q$164,0),FALSE),"")))))</f>
        <v/>
      </c>
      <c r="CK24" s="186" t="str">
        <f>IF(OR($C24="Replace-on-Burnout",$C24="New Construction",$CL24="DX HP",$CL24="PTHP"),$CV24,IF($BW24="","",IF($BW24="DX HP",VLOOKUP($D24,'Factor Tables'!$I$165:$Q$192,MATCH("DX HP Htg",'Factor Tables'!$I$164:$Q$164,0),FALSE),IF($BW24="PTHP",VLOOKUP($D24,'Factor Tables'!$I$165:$Q$192,MATCH("PTHP Htg",'Factor Tables'!$I$164:$Q$164,0),FALSE),0))))</f>
        <v/>
      </c>
      <c r="CL24" s="187" t="str">
        <f t="shared" si="16"/>
        <v/>
      </c>
      <c r="CM24" s="251" t="str">
        <f t="shared" si="17"/>
        <v/>
      </c>
      <c r="CN24" s="184">
        <f t="shared" si="35"/>
        <v>0</v>
      </c>
      <c r="CO24" s="693">
        <f t="shared" si="36"/>
        <v>0</v>
      </c>
      <c r="CP24" s="182" t="s">
        <v>46</v>
      </c>
      <c r="CQ24" s="852" t="str">
        <f t="shared" si="37"/>
        <v/>
      </c>
      <c r="CR24" s="833">
        <f t="shared" si="38"/>
        <v>0</v>
      </c>
      <c r="CS24" s="830" t="s">
        <v>567</v>
      </c>
      <c r="CT24" s="185" t="str">
        <f>IF($CL24="","",VLOOKUP($D24,'Factor Tables'!$B$165:$H$192,MATCH($CL24,'Factor Tables'!$B$164:$H$164,0),FALSE))</f>
        <v/>
      </c>
      <c r="CU24" s="842" t="str">
        <f>IF($CL24="","",IF(AND($CL24&lt;&gt;"DX HP",$CL24&lt;&gt;"PTHP"),VLOOKUP($D24,'Factor Tables'!$I$165:$Q$192,MATCH($CL24,'Factor Tables'!$I$164:$Q$164,0),FALSE),IF($CL24="DX HP",VLOOKUP($D24,'Factor Tables'!$I$165:$Q$192,MATCH("DX HP Clg",'Factor Tables'!$I$164:$Q$164,0),FALSE),IF($CL24="PTHP",VLOOKUP($D24,'Factor Tables'!$I$165:$Q$192,MATCH("PTHP Clg",'Factor Tables'!$I$164:$Q$164,0),FALSE),""))))</f>
        <v/>
      </c>
      <c r="CV24" s="186" t="str">
        <f>IF($CL24="","",IF(AND($CL24&lt;&gt;"DX HP",$CL24&lt;&gt;"PTHP"),0,IF($CL24="DX HP",VLOOKUP($D24,'Factor Tables'!$I$165:$Q$192,MATCH("DX HP Htg",'Factor Tables'!$I$164:$Q$164,0),FALSE),IF($CL24="PTHP",VLOOKUP($D24,'Factor Tables'!$I$165:$Q$192,MATCH("PTHP Htg",'Factor Tables'!$I$164:$Q$164,0),FALSE),""))))</f>
        <v/>
      </c>
      <c r="CY24" s="427"/>
      <c r="DD24" s="77" t="s">
        <v>44</v>
      </c>
      <c r="DE24" s="179" t="s">
        <v>318</v>
      </c>
      <c r="DF24" s="179" t="s">
        <v>26</v>
      </c>
      <c r="DG24" s="179" t="s">
        <v>26</v>
      </c>
      <c r="DH24" s="179" t="s">
        <v>26</v>
      </c>
      <c r="DI24" s="179" t="s">
        <v>318</v>
      </c>
      <c r="DJ24" s="179" t="s">
        <v>365</v>
      </c>
      <c r="DK24" s="179" t="s">
        <v>365</v>
      </c>
      <c r="DL24" s="179" t="s">
        <v>365</v>
      </c>
      <c r="DM24" s="493" t="s">
        <v>478</v>
      </c>
    </row>
    <row r="25" spans="2:117" s="7" customFormat="1" ht="21.95" customHeight="1" x14ac:dyDescent="0.25">
      <c r="B25" s="14">
        <v>16</v>
      </c>
      <c r="C25" s="499" t="str">
        <f t="shared" si="18"/>
        <v/>
      </c>
      <c r="D25" s="403" t="str">
        <f t="shared" si="19"/>
        <v/>
      </c>
      <c r="E25" s="541"/>
      <c r="F25" s="785"/>
      <c r="G25" s="728"/>
      <c r="H25" s="728"/>
      <c r="I25" s="728"/>
      <c r="J25" s="728"/>
      <c r="K25" s="728"/>
      <c r="L25" s="728"/>
      <c r="M25" s="764"/>
      <c r="N25" s="728"/>
      <c r="O25" s="764"/>
      <c r="P25" s="728"/>
      <c r="Q25" s="1142"/>
      <c r="R25" s="1133"/>
      <c r="S25" s="778"/>
      <c r="T25" s="767"/>
      <c r="U25" s="778"/>
      <c r="V25" s="751"/>
      <c r="W25" s="556"/>
      <c r="X25" s="785"/>
      <c r="Y25" s="542"/>
      <c r="Z25" s="500"/>
      <c r="AA25" s="500"/>
      <c r="AB25" s="500"/>
      <c r="AC25" s="500"/>
      <c r="AD25" s="529"/>
      <c r="AE25" s="527">
        <f t="shared" si="20"/>
        <v>0</v>
      </c>
      <c r="AF25" s="527">
        <f t="shared" si="21"/>
        <v>0</v>
      </c>
      <c r="AG25" s="527">
        <f t="shared" si="0"/>
        <v>0</v>
      </c>
      <c r="AH25" s="527">
        <f t="shared" si="1"/>
        <v>0</v>
      </c>
      <c r="AI25" s="527">
        <f t="shared" si="2"/>
        <v>0</v>
      </c>
      <c r="AJ25" s="527">
        <f t="shared" si="3"/>
        <v>999999999</v>
      </c>
      <c r="AK25" s="530"/>
      <c r="AL25" s="776"/>
      <c r="AM25" s="777"/>
      <c r="AN25" s="500"/>
      <c r="AO25" s="778"/>
      <c r="AP25" s="778"/>
      <c r="AQ25" s="500"/>
      <c r="AR25" s="531"/>
      <c r="AS25" s="403"/>
      <c r="AT25" s="524" t="str">
        <f t="shared" si="4"/>
        <v/>
      </c>
      <c r="AU25" s="311">
        <f t="shared" si="5"/>
        <v>0</v>
      </c>
      <c r="AV25" s="288">
        <f t="shared" si="22"/>
        <v>0</v>
      </c>
      <c r="AW25" s="290">
        <f>IF(ISERROR($AU25*'Utility Admin'!$E$4+$AV25*'Utility Admin'!$F$4),0,$AU25*'Utility Admin'!$E$4+$AV25*'Utility Admin'!$F$4)</f>
        <v>0</v>
      </c>
      <c r="AX25" s="323" t="str">
        <f t="shared" si="6"/>
        <v/>
      </c>
      <c r="AY25" s="322" t="str">
        <f t="shared" si="23"/>
        <v/>
      </c>
      <c r="AZ25" s="319">
        <f>Baselines!$CJ269</f>
        <v>0</v>
      </c>
      <c r="BA25" s="735">
        <f>Baselines!$CK269</f>
        <v>0</v>
      </c>
      <c r="BB25" s="839">
        <f>Baselines!$CM269</f>
        <v>0</v>
      </c>
      <c r="BC25" s="466">
        <f t="shared" si="7"/>
        <v>0</v>
      </c>
      <c r="BD25" s="464">
        <f t="shared" si="24"/>
        <v>0</v>
      </c>
      <c r="BE25" s="755">
        <f t="shared" si="8"/>
        <v>0</v>
      </c>
      <c r="BF25" s="755">
        <f t="shared" si="25"/>
        <v>0</v>
      </c>
      <c r="BG25" s="466">
        <f t="shared" si="9"/>
        <v>0</v>
      </c>
      <c r="BH25" s="464">
        <f t="shared" si="10"/>
        <v>0</v>
      </c>
      <c r="BI25" s="755">
        <f t="shared" si="11"/>
        <v>0</v>
      </c>
      <c r="BJ25" s="755">
        <f t="shared" si="26"/>
        <v>0</v>
      </c>
      <c r="BK25" s="333">
        <f>IF(OR($C25&lt;&gt;"Early Retirement",$H25=""),0,IF(AND($G25&lt;&gt;"Air Cooled Chiller",$G25&lt;&gt;"Water Cooled Chiller"),VLOOKUP($H25,'Early Retirement'!$CI$6:$CL$33,2,FALSE),IF($J25&lt;&gt;"Centrifugal",VLOOKUP($H25,'Early Retirement'!$CI$6:$CL$33,3,FALSE),IF($J25="Centrifugal",VLOOKUP($H25,'Early Retirement'!$CI$6:$CL$33,4,FALSE),""))))</f>
        <v>0</v>
      </c>
      <c r="BL25" s="450">
        <f t="shared" si="12"/>
        <v>0</v>
      </c>
      <c r="BM25" s="553">
        <f>IFERROR('Utility Admin'!$I$4*((1+'Utility Admin'!$G$4)/('Utility Admin'!$H$4-'Utility Admin'!$G$4))*(1-((1+'Utility Admin'!$G$4)/(1+'Utility Admin'!$H$4))^$BK25)*$BG25,0)</f>
        <v>0</v>
      </c>
      <c r="BN25" s="553">
        <f>IFERROR('Utility Admin'!$I$4*((1+'Utility Admin'!$G$4)/('Utility Admin'!$H$4-'Utility Admin'!$G$4))*(1-((1+'Utility Admin'!$G$4)/(1+'Utility Admin'!$H$4))^$BL25)*((1+'Utility Admin'!$G$4)^$BK25/(1+'Utility Admin'!$H$4)^$BK25)*$BC25,0)</f>
        <v>0</v>
      </c>
      <c r="BO25" s="553">
        <f t="shared" si="27"/>
        <v>0</v>
      </c>
      <c r="BP25" s="553">
        <f>IFERROR('Utility Admin'!$J$4*((1+'Utility Admin'!$G$4)/('Utility Admin'!$H$4-'Utility Admin'!$G$4))*(1-((1+'Utility Admin'!$G$4)/(1+'Utility Admin'!$H$4))^$BK25)*$BJ25,0)</f>
        <v>0</v>
      </c>
      <c r="BQ25" s="553">
        <f>IFERROR('Utility Admin'!$J$4*((1+'Utility Admin'!$G$4)/('Utility Admin'!$H$4-'Utility Admin'!$G$4))*(1-((1+'Utility Admin'!$G$4)/(1+'Utility Admin'!$H$4))^$BL25)*((1+'Utility Admin'!$G$4)^$BK25/(1+'Utility Admin'!$H$4)^$BK25)*$BF25,0)</f>
        <v>0</v>
      </c>
      <c r="BR25" s="553">
        <f t="shared" si="28"/>
        <v>0</v>
      </c>
      <c r="BS25" s="553">
        <f>IFERROR('Utility Admin'!$I$4*((1+'Utility Admin'!$G$4)/('Utility Admin'!$H$4-'Utility Admin'!$G$4))*(1-((1+'Utility Admin'!$G$4)/(1+'Utility Admin'!$H$4))^$AT25),0)</f>
        <v>0</v>
      </c>
      <c r="BT25" s="553">
        <f>IFERROR('Utility Admin'!$J$4*((1+'Utility Admin'!$G$4)/('Utility Admin'!$H$4-'Utility Admin'!$G$4))*(1-((1+'Utility Admin'!$G$4)/(1+'Utility Admin'!$H$4))^$AT25),0)</f>
        <v>0</v>
      </c>
      <c r="BU25" s="459">
        <f t="shared" si="29"/>
        <v>0</v>
      </c>
      <c r="BV25" s="462">
        <f t="shared" si="30"/>
        <v>0</v>
      </c>
      <c r="BW25" s="219" t="str">
        <f t="shared" si="13"/>
        <v/>
      </c>
      <c r="BX25" s="250" t="str">
        <f t="shared" si="31"/>
        <v/>
      </c>
      <c r="BY25" s="250" t="str">
        <f t="shared" si="14"/>
        <v/>
      </c>
      <c r="BZ25" s="184">
        <f t="shared" si="32"/>
        <v>0</v>
      </c>
      <c r="CA25" s="693">
        <f t="shared" si="33"/>
        <v>0</v>
      </c>
      <c r="CB25" s="836">
        <f t="shared" si="34"/>
        <v>0</v>
      </c>
      <c r="CC25" s="693">
        <f>IF(AND($C25="Early Retirement",$H25&lt;&gt;"",$R25&lt;&gt;"",$T25&lt;&gt;""),$BZ25,Baselines!$CJ18)</f>
        <v>0</v>
      </c>
      <c r="CD25" s="693">
        <f>IF(AND($C25="Early Retirement",$H25&lt;&gt;"",$R25&lt;&gt;"",$T25&lt;&gt;""),$CA25,Baselines!$CK18)</f>
        <v>0</v>
      </c>
      <c r="CE25" s="182" t="str">
        <f>Baselines!$CL18</f>
        <v>kW/ton</v>
      </c>
      <c r="CF25" s="850" t="str">
        <f t="shared" si="15"/>
        <v/>
      </c>
      <c r="CG25" s="833">
        <f>IF(AND($C25="Early Retirement",$H25&lt;&gt;"",$R25&lt;&gt;"",$T25&lt;&gt;""),$CB25,IF(AND(Baselines!$CM18=0,OR($CL25="DX HP",$CL25="PTHP")),$BB25,Baselines!$CM18))</f>
        <v>0</v>
      </c>
      <c r="CH25" s="830" t="s">
        <v>567</v>
      </c>
      <c r="CI25" s="185" t="str">
        <f>IF(OR($C25="Replace-on-Burnout",$C25="New Construction"),$CT25,IF($BW25="","",VLOOKUP($D25,'Factor Tables'!$B$165:$H$192,MATCH($BW25,'Factor Tables'!$B$164:$H$164,0),FALSE)))</f>
        <v/>
      </c>
      <c r="CJ25" s="842" t="str">
        <f>IF(OR($C25="Replace-on-Burnout",$C25="New Construction"),$CU25,IF($BW25="","",IF($BW25="DX HP",VLOOKUP($D25,'Factor Tables'!$I$165:$Q$192,MATCH("DX HP Clg",'Factor Tables'!$I$164:$Q$164,0),FALSE),IF($BW25="PTHP",VLOOKUP($D25,'Factor Tables'!$I$165:$Q$192,MATCH("PTHP Clg",'Factor Tables'!$I$164:$Q$164,0),FALSE),IF(AND($BW25&lt;&gt;"DX HP",$BW25&lt;&gt;"PTHP"),VLOOKUP($D25,'Factor Tables'!$I$165:$Q$192,MATCH($BW25,'Factor Tables'!$I$164:$Q$164,0),FALSE),"")))))</f>
        <v/>
      </c>
      <c r="CK25" s="186" t="str">
        <f>IF(OR($C25="Replace-on-Burnout",$C25="New Construction",$CL25="DX HP",$CL25="PTHP"),$CV25,IF($BW25="","",IF($BW25="DX HP",VLOOKUP($D25,'Factor Tables'!$I$165:$Q$192,MATCH("DX HP Htg",'Factor Tables'!$I$164:$Q$164,0),FALSE),IF($BW25="PTHP",VLOOKUP($D25,'Factor Tables'!$I$165:$Q$192,MATCH("PTHP Htg",'Factor Tables'!$I$164:$Q$164,0),FALSE),0))))</f>
        <v/>
      </c>
      <c r="CL25" s="187" t="str">
        <f t="shared" si="16"/>
        <v/>
      </c>
      <c r="CM25" s="251" t="str">
        <f t="shared" si="17"/>
        <v/>
      </c>
      <c r="CN25" s="184">
        <f t="shared" si="35"/>
        <v>0</v>
      </c>
      <c r="CO25" s="693">
        <f t="shared" si="36"/>
        <v>0</v>
      </c>
      <c r="CP25" s="182" t="s">
        <v>46</v>
      </c>
      <c r="CQ25" s="852" t="str">
        <f t="shared" si="37"/>
        <v/>
      </c>
      <c r="CR25" s="833">
        <f t="shared" si="38"/>
        <v>0</v>
      </c>
      <c r="CS25" s="830" t="s">
        <v>567</v>
      </c>
      <c r="CT25" s="185" t="str">
        <f>IF($CL25="","",VLOOKUP($D25,'Factor Tables'!$B$165:$H$192,MATCH($CL25,'Factor Tables'!$B$164:$H$164,0),FALSE))</f>
        <v/>
      </c>
      <c r="CU25" s="842" t="str">
        <f>IF($CL25="","",IF(AND($CL25&lt;&gt;"DX HP",$CL25&lt;&gt;"PTHP"),VLOOKUP($D25,'Factor Tables'!$I$165:$Q$192,MATCH($CL25,'Factor Tables'!$I$164:$Q$164,0),FALSE),IF($CL25="DX HP",VLOOKUP($D25,'Factor Tables'!$I$165:$Q$192,MATCH("DX HP Clg",'Factor Tables'!$I$164:$Q$164,0),FALSE),IF($CL25="PTHP",VLOOKUP($D25,'Factor Tables'!$I$165:$Q$192,MATCH("PTHP Clg",'Factor Tables'!$I$164:$Q$164,0),FALSE),""))))</f>
        <v/>
      </c>
      <c r="CV25" s="186" t="str">
        <f>IF($CL25="","",IF(AND($CL25&lt;&gt;"DX HP",$CL25&lt;&gt;"PTHP"),0,IF($CL25="DX HP",VLOOKUP($D25,'Factor Tables'!$I$165:$Q$192,MATCH("DX HP Htg",'Factor Tables'!$I$164:$Q$164,0),FALSE),IF($CL25="PTHP",VLOOKUP($D25,'Factor Tables'!$I$165:$Q$192,MATCH("PTHP Htg",'Factor Tables'!$I$164:$Q$164,0),FALSE),""))))</f>
        <v/>
      </c>
      <c r="CY25" s="427"/>
      <c r="DD25" s="77" t="s">
        <v>43</v>
      </c>
      <c r="DE25" s="179" t="s">
        <v>319</v>
      </c>
      <c r="DF25" s="179" t="s">
        <v>357</v>
      </c>
      <c r="DG25" s="179" t="s">
        <v>357</v>
      </c>
      <c r="DH25" s="179" t="s">
        <v>357</v>
      </c>
      <c r="DI25" s="179" t="s">
        <v>319</v>
      </c>
      <c r="DJ25" s="179" t="s">
        <v>357</v>
      </c>
      <c r="DK25" s="179" t="s">
        <v>357</v>
      </c>
      <c r="DL25" s="179" t="s">
        <v>357</v>
      </c>
      <c r="DM25" s="493" t="s">
        <v>478</v>
      </c>
    </row>
    <row r="26" spans="2:117" s="7" customFormat="1" ht="21.95" customHeight="1" x14ac:dyDescent="0.25">
      <c r="B26" s="13">
        <v>17</v>
      </c>
      <c r="C26" s="501" t="str">
        <f t="shared" si="18"/>
        <v/>
      </c>
      <c r="D26" s="502" t="str">
        <f t="shared" si="19"/>
        <v/>
      </c>
      <c r="E26" s="546"/>
      <c r="F26" s="547"/>
      <c r="G26" s="729"/>
      <c r="H26" s="729"/>
      <c r="I26" s="729"/>
      <c r="J26" s="729"/>
      <c r="K26" s="729"/>
      <c r="L26" s="729"/>
      <c r="M26" s="765"/>
      <c r="N26" s="758"/>
      <c r="O26" s="765"/>
      <c r="P26" s="758"/>
      <c r="Q26" s="1143"/>
      <c r="R26" s="1134"/>
      <c r="S26" s="775"/>
      <c r="T26" s="729"/>
      <c r="U26" s="775"/>
      <c r="V26" s="779"/>
      <c r="W26" s="557"/>
      <c r="X26" s="788"/>
      <c r="Y26" s="543"/>
      <c r="Z26" s="281"/>
      <c r="AA26" s="281"/>
      <c r="AB26" s="281"/>
      <c r="AC26" s="281"/>
      <c r="AD26" s="492"/>
      <c r="AE26" s="527">
        <f t="shared" si="20"/>
        <v>0</v>
      </c>
      <c r="AF26" s="527">
        <f t="shared" si="21"/>
        <v>0</v>
      </c>
      <c r="AG26" s="527">
        <f t="shared" si="0"/>
        <v>0</v>
      </c>
      <c r="AH26" s="527">
        <f t="shared" si="1"/>
        <v>0</v>
      </c>
      <c r="AI26" s="527">
        <f t="shared" si="2"/>
        <v>0</v>
      </c>
      <c r="AJ26" s="527">
        <f t="shared" si="3"/>
        <v>999999999</v>
      </c>
      <c r="AK26" s="471"/>
      <c r="AL26" s="765"/>
      <c r="AM26" s="758"/>
      <c r="AN26" s="281"/>
      <c r="AO26" s="775"/>
      <c r="AP26" s="775"/>
      <c r="AQ26" s="281"/>
      <c r="AR26" s="528"/>
      <c r="AS26" s="532"/>
      <c r="AT26" s="524" t="str">
        <f t="shared" si="4"/>
        <v/>
      </c>
      <c r="AU26" s="311">
        <f t="shared" si="5"/>
        <v>0</v>
      </c>
      <c r="AV26" s="288">
        <f t="shared" si="22"/>
        <v>0</v>
      </c>
      <c r="AW26" s="290">
        <f>IF(ISERROR($AU26*'Utility Admin'!$E$4+$AV26*'Utility Admin'!$F$4),0,$AU26*'Utility Admin'!$E$4+$AV26*'Utility Admin'!$F$4)</f>
        <v>0</v>
      </c>
      <c r="AX26" s="323" t="str">
        <f t="shared" si="6"/>
        <v/>
      </c>
      <c r="AY26" s="322" t="str">
        <f t="shared" si="23"/>
        <v/>
      </c>
      <c r="AZ26" s="319">
        <f>Baselines!$CJ270</f>
        <v>0</v>
      </c>
      <c r="BA26" s="735">
        <f>Baselines!$CK270</f>
        <v>0</v>
      </c>
      <c r="BB26" s="839">
        <f>Baselines!$CM270</f>
        <v>0</v>
      </c>
      <c r="BC26" s="466">
        <f t="shared" si="7"/>
        <v>0</v>
      </c>
      <c r="BD26" s="464">
        <f t="shared" si="24"/>
        <v>0</v>
      </c>
      <c r="BE26" s="755">
        <f t="shared" si="8"/>
        <v>0</v>
      </c>
      <c r="BF26" s="755">
        <f t="shared" si="25"/>
        <v>0</v>
      </c>
      <c r="BG26" s="466">
        <f t="shared" si="9"/>
        <v>0</v>
      </c>
      <c r="BH26" s="464">
        <f t="shared" si="10"/>
        <v>0</v>
      </c>
      <c r="BI26" s="755">
        <f t="shared" si="11"/>
        <v>0</v>
      </c>
      <c r="BJ26" s="755">
        <f t="shared" si="26"/>
        <v>0</v>
      </c>
      <c r="BK26" s="333">
        <f>IF(OR($C26&lt;&gt;"Early Retirement",$H26=""),0,IF(AND($G26&lt;&gt;"Air Cooled Chiller",$G26&lt;&gt;"Water Cooled Chiller"),VLOOKUP($H26,'Early Retirement'!$CI$6:$CL$33,2,FALSE),IF($J26&lt;&gt;"Centrifugal",VLOOKUP($H26,'Early Retirement'!$CI$6:$CL$33,3,FALSE),IF($J26="Centrifugal",VLOOKUP($H26,'Early Retirement'!$CI$6:$CL$33,4,FALSE),""))))</f>
        <v>0</v>
      </c>
      <c r="BL26" s="450">
        <f t="shared" si="12"/>
        <v>0</v>
      </c>
      <c r="BM26" s="553">
        <f>IFERROR('Utility Admin'!$I$4*((1+'Utility Admin'!$G$4)/('Utility Admin'!$H$4-'Utility Admin'!$G$4))*(1-((1+'Utility Admin'!$G$4)/(1+'Utility Admin'!$H$4))^$BK26)*$BG26,0)</f>
        <v>0</v>
      </c>
      <c r="BN26" s="553">
        <f>IFERROR('Utility Admin'!$I$4*((1+'Utility Admin'!$G$4)/('Utility Admin'!$H$4-'Utility Admin'!$G$4))*(1-((1+'Utility Admin'!$G$4)/(1+'Utility Admin'!$H$4))^$BL26)*((1+'Utility Admin'!$G$4)^$BK26/(1+'Utility Admin'!$H$4)^$BK26)*$BC26,0)</f>
        <v>0</v>
      </c>
      <c r="BO26" s="553">
        <f t="shared" si="27"/>
        <v>0</v>
      </c>
      <c r="BP26" s="553">
        <f>IFERROR('Utility Admin'!$J$4*((1+'Utility Admin'!$G$4)/('Utility Admin'!$H$4-'Utility Admin'!$G$4))*(1-((1+'Utility Admin'!$G$4)/(1+'Utility Admin'!$H$4))^$BK26)*$BJ26,0)</f>
        <v>0</v>
      </c>
      <c r="BQ26" s="553">
        <f>IFERROR('Utility Admin'!$J$4*((1+'Utility Admin'!$G$4)/('Utility Admin'!$H$4-'Utility Admin'!$G$4))*(1-((1+'Utility Admin'!$G$4)/(1+'Utility Admin'!$H$4))^$BL26)*((1+'Utility Admin'!$G$4)^$BK26/(1+'Utility Admin'!$H$4)^$BK26)*$BF26,0)</f>
        <v>0</v>
      </c>
      <c r="BR26" s="553">
        <f t="shared" si="28"/>
        <v>0</v>
      </c>
      <c r="BS26" s="553">
        <f>IFERROR('Utility Admin'!$I$4*((1+'Utility Admin'!$G$4)/('Utility Admin'!$H$4-'Utility Admin'!$G$4))*(1-((1+'Utility Admin'!$G$4)/(1+'Utility Admin'!$H$4))^$AT26),0)</f>
        <v>0</v>
      </c>
      <c r="BT26" s="553">
        <f>IFERROR('Utility Admin'!$J$4*((1+'Utility Admin'!$G$4)/('Utility Admin'!$H$4-'Utility Admin'!$G$4))*(1-((1+'Utility Admin'!$G$4)/(1+'Utility Admin'!$H$4))^$AT26),0)</f>
        <v>0</v>
      </c>
      <c r="BU26" s="459">
        <f t="shared" si="29"/>
        <v>0</v>
      </c>
      <c r="BV26" s="462">
        <f t="shared" si="30"/>
        <v>0</v>
      </c>
      <c r="BW26" s="219" t="str">
        <f t="shared" si="13"/>
        <v/>
      </c>
      <c r="BX26" s="250" t="str">
        <f t="shared" si="31"/>
        <v/>
      </c>
      <c r="BY26" s="250" t="str">
        <f t="shared" si="14"/>
        <v/>
      </c>
      <c r="BZ26" s="184">
        <f t="shared" si="32"/>
        <v>0</v>
      </c>
      <c r="CA26" s="693">
        <f t="shared" si="33"/>
        <v>0</v>
      </c>
      <c r="CB26" s="836">
        <f t="shared" si="34"/>
        <v>0</v>
      </c>
      <c r="CC26" s="693">
        <f>IF(AND($C26="Early Retirement",$H26&lt;&gt;"",$R26&lt;&gt;"",$T26&lt;&gt;""),$BZ26,Baselines!$CJ19)</f>
        <v>0</v>
      </c>
      <c r="CD26" s="693">
        <f>IF(AND($C26="Early Retirement",$H26&lt;&gt;"",$R26&lt;&gt;"",$T26&lt;&gt;""),$CA26,Baselines!$CK19)</f>
        <v>0</v>
      </c>
      <c r="CE26" s="182" t="str">
        <f>Baselines!$CL19</f>
        <v>kW/ton</v>
      </c>
      <c r="CF26" s="850" t="str">
        <f t="shared" si="15"/>
        <v/>
      </c>
      <c r="CG26" s="833">
        <f>IF(AND($C26="Early Retirement",$H26&lt;&gt;"",$R26&lt;&gt;"",$T26&lt;&gt;""),$CB26,IF(AND(Baselines!$CM19=0,OR($CL26="DX HP",$CL26="PTHP")),$BB26,Baselines!$CM19))</f>
        <v>0</v>
      </c>
      <c r="CH26" s="830" t="s">
        <v>567</v>
      </c>
      <c r="CI26" s="185" t="str">
        <f>IF(OR($C26="Replace-on-Burnout",$C26="New Construction"),$CT26,IF($BW26="","",VLOOKUP($D26,'Factor Tables'!$B$165:$H$192,MATCH($BW26,'Factor Tables'!$B$164:$H$164,0),FALSE)))</f>
        <v/>
      </c>
      <c r="CJ26" s="842" t="str">
        <f>IF(OR($C26="Replace-on-Burnout",$C26="New Construction"),$CU26,IF($BW26="","",IF($BW26="DX HP",VLOOKUP($D26,'Factor Tables'!$I$165:$Q$192,MATCH("DX HP Clg",'Factor Tables'!$I$164:$Q$164,0),FALSE),IF($BW26="PTHP",VLOOKUP($D26,'Factor Tables'!$I$165:$Q$192,MATCH("PTHP Clg",'Factor Tables'!$I$164:$Q$164,0),FALSE),IF(AND($BW26&lt;&gt;"DX HP",$BW26&lt;&gt;"PTHP"),VLOOKUP($D26,'Factor Tables'!$I$165:$Q$192,MATCH($BW26,'Factor Tables'!$I$164:$Q$164,0),FALSE),"")))))</f>
        <v/>
      </c>
      <c r="CK26" s="186" t="str">
        <f>IF(OR($C26="Replace-on-Burnout",$C26="New Construction",$CL26="DX HP",$CL26="PTHP"),$CV26,IF($BW26="","",IF($BW26="DX HP",VLOOKUP($D26,'Factor Tables'!$I$165:$Q$192,MATCH("DX HP Htg",'Factor Tables'!$I$164:$Q$164,0),FALSE),IF($BW26="PTHP",VLOOKUP($D26,'Factor Tables'!$I$165:$Q$192,MATCH("PTHP Htg",'Factor Tables'!$I$164:$Q$164,0),FALSE),0))))</f>
        <v/>
      </c>
      <c r="CL26" s="187" t="str">
        <f t="shared" si="16"/>
        <v/>
      </c>
      <c r="CM26" s="251" t="str">
        <f t="shared" si="17"/>
        <v/>
      </c>
      <c r="CN26" s="184">
        <f t="shared" si="35"/>
        <v>0</v>
      </c>
      <c r="CO26" s="693">
        <f t="shared" si="36"/>
        <v>0</v>
      </c>
      <c r="CP26" s="182" t="s">
        <v>46</v>
      </c>
      <c r="CQ26" s="852" t="str">
        <f t="shared" si="37"/>
        <v/>
      </c>
      <c r="CR26" s="833">
        <f t="shared" si="38"/>
        <v>0</v>
      </c>
      <c r="CS26" s="830" t="s">
        <v>567</v>
      </c>
      <c r="CT26" s="185" t="str">
        <f>IF($CL26="","",VLOOKUP($D26,'Factor Tables'!$B$165:$H$192,MATCH($CL26,'Factor Tables'!$B$164:$H$164,0),FALSE))</f>
        <v/>
      </c>
      <c r="CU26" s="842" t="str">
        <f>IF($CL26="","",IF(AND($CL26&lt;&gt;"DX HP",$CL26&lt;&gt;"PTHP"),VLOOKUP($D26,'Factor Tables'!$I$165:$Q$192,MATCH($CL26,'Factor Tables'!$I$164:$Q$164,0),FALSE),IF($CL26="DX HP",VLOOKUP($D26,'Factor Tables'!$I$165:$Q$192,MATCH("DX HP Clg",'Factor Tables'!$I$164:$Q$164,0),FALSE),IF($CL26="PTHP",VLOOKUP($D26,'Factor Tables'!$I$165:$Q$192,MATCH("PTHP Clg",'Factor Tables'!$I$164:$Q$164,0),FALSE),""))))</f>
        <v/>
      </c>
      <c r="CV26" s="186" t="str">
        <f>IF($CL26="","",IF(AND($CL26&lt;&gt;"DX HP",$CL26&lt;&gt;"PTHP"),0,IF($CL26="DX HP",VLOOKUP($D26,'Factor Tables'!$I$165:$Q$192,MATCH("DX HP Htg",'Factor Tables'!$I$164:$Q$164,0),FALSE),IF($CL26="PTHP",VLOOKUP($D26,'Factor Tables'!$I$165:$Q$192,MATCH("PTHP Htg",'Factor Tables'!$I$164:$Q$164,0),FALSE),""))))</f>
        <v/>
      </c>
      <c r="CY26" s="427"/>
      <c r="DD26" s="194" t="s">
        <v>53</v>
      </c>
      <c r="DE26" s="179" t="s">
        <v>320</v>
      </c>
      <c r="DF26" s="179" t="s">
        <v>358</v>
      </c>
      <c r="DG26" s="179" t="s">
        <v>358</v>
      </c>
      <c r="DH26" s="179" t="s">
        <v>358</v>
      </c>
      <c r="DI26" s="179" t="s">
        <v>320</v>
      </c>
      <c r="DJ26" s="179" t="s">
        <v>358</v>
      </c>
      <c r="DK26" s="179" t="s">
        <v>358</v>
      </c>
      <c r="DL26" s="179" t="s">
        <v>358</v>
      </c>
      <c r="DM26" s="493" t="s">
        <v>478</v>
      </c>
    </row>
    <row r="27" spans="2:117" s="7" customFormat="1" ht="21.95" customHeight="1" x14ac:dyDescent="0.25">
      <c r="B27" s="14">
        <v>18</v>
      </c>
      <c r="C27" s="499" t="str">
        <f t="shared" si="18"/>
        <v/>
      </c>
      <c r="D27" s="403" t="str">
        <f t="shared" si="19"/>
        <v/>
      </c>
      <c r="E27" s="541"/>
      <c r="F27" s="785"/>
      <c r="G27" s="728"/>
      <c r="H27" s="728"/>
      <c r="I27" s="728"/>
      <c r="J27" s="728"/>
      <c r="K27" s="728"/>
      <c r="L27" s="728"/>
      <c r="M27" s="764"/>
      <c r="N27" s="728"/>
      <c r="O27" s="764"/>
      <c r="P27" s="728"/>
      <c r="Q27" s="1142"/>
      <c r="R27" s="1133"/>
      <c r="S27" s="778"/>
      <c r="T27" s="767"/>
      <c r="U27" s="778"/>
      <c r="V27" s="751"/>
      <c r="W27" s="556"/>
      <c r="X27" s="785"/>
      <c r="Y27" s="542"/>
      <c r="Z27" s="500"/>
      <c r="AA27" s="500"/>
      <c r="AB27" s="500"/>
      <c r="AC27" s="500"/>
      <c r="AD27" s="529"/>
      <c r="AE27" s="527">
        <f t="shared" si="20"/>
        <v>0</v>
      </c>
      <c r="AF27" s="527">
        <f t="shared" si="21"/>
        <v>0</v>
      </c>
      <c r="AG27" s="527">
        <f t="shared" si="0"/>
        <v>0</v>
      </c>
      <c r="AH27" s="527">
        <f t="shared" si="1"/>
        <v>0</v>
      </c>
      <c r="AI27" s="527">
        <f t="shared" si="2"/>
        <v>0</v>
      </c>
      <c r="AJ27" s="527">
        <f t="shared" si="3"/>
        <v>999999999</v>
      </c>
      <c r="AK27" s="530"/>
      <c r="AL27" s="776"/>
      <c r="AM27" s="777"/>
      <c r="AN27" s="500"/>
      <c r="AO27" s="778"/>
      <c r="AP27" s="778"/>
      <c r="AQ27" s="500"/>
      <c r="AR27" s="531"/>
      <c r="AS27" s="403"/>
      <c r="AT27" s="524" t="str">
        <f t="shared" si="4"/>
        <v/>
      </c>
      <c r="AU27" s="311">
        <f t="shared" si="5"/>
        <v>0</v>
      </c>
      <c r="AV27" s="288">
        <f t="shared" si="22"/>
        <v>0</v>
      </c>
      <c r="AW27" s="290">
        <f>IF(ISERROR($AU27*'Utility Admin'!$E$4+$AV27*'Utility Admin'!$F$4),0,$AU27*'Utility Admin'!$E$4+$AV27*'Utility Admin'!$F$4)</f>
        <v>0</v>
      </c>
      <c r="AX27" s="323" t="str">
        <f t="shared" si="6"/>
        <v/>
      </c>
      <c r="AY27" s="322" t="str">
        <f t="shared" si="23"/>
        <v/>
      </c>
      <c r="AZ27" s="319">
        <f>Baselines!$CJ271</f>
        <v>0</v>
      </c>
      <c r="BA27" s="735">
        <f>Baselines!$CK271</f>
        <v>0</v>
      </c>
      <c r="BB27" s="839">
        <f>Baselines!$CM271</f>
        <v>0</v>
      </c>
      <c r="BC27" s="466">
        <f t="shared" si="7"/>
        <v>0</v>
      </c>
      <c r="BD27" s="464">
        <f t="shared" si="24"/>
        <v>0</v>
      </c>
      <c r="BE27" s="755">
        <f t="shared" si="8"/>
        <v>0</v>
      </c>
      <c r="BF27" s="755">
        <f t="shared" si="25"/>
        <v>0</v>
      </c>
      <c r="BG27" s="466">
        <f t="shared" si="9"/>
        <v>0</v>
      </c>
      <c r="BH27" s="464">
        <f t="shared" si="10"/>
        <v>0</v>
      </c>
      <c r="BI27" s="755">
        <f t="shared" si="11"/>
        <v>0</v>
      </c>
      <c r="BJ27" s="755">
        <f t="shared" si="26"/>
        <v>0</v>
      </c>
      <c r="BK27" s="333">
        <f>IF(OR($C27&lt;&gt;"Early Retirement",$H27=""),0,IF(AND($G27&lt;&gt;"Air Cooled Chiller",$G27&lt;&gt;"Water Cooled Chiller"),VLOOKUP($H27,'Early Retirement'!$CI$6:$CL$33,2,FALSE),IF($J27&lt;&gt;"Centrifugal",VLOOKUP($H27,'Early Retirement'!$CI$6:$CL$33,3,FALSE),IF($J27="Centrifugal",VLOOKUP($H27,'Early Retirement'!$CI$6:$CL$33,4,FALSE),""))))</f>
        <v>0</v>
      </c>
      <c r="BL27" s="450">
        <f t="shared" si="12"/>
        <v>0</v>
      </c>
      <c r="BM27" s="553">
        <f>IFERROR('Utility Admin'!$I$4*((1+'Utility Admin'!$G$4)/('Utility Admin'!$H$4-'Utility Admin'!$G$4))*(1-((1+'Utility Admin'!$G$4)/(1+'Utility Admin'!$H$4))^$BK27)*$BG27,0)</f>
        <v>0</v>
      </c>
      <c r="BN27" s="553">
        <f>IFERROR('Utility Admin'!$I$4*((1+'Utility Admin'!$G$4)/('Utility Admin'!$H$4-'Utility Admin'!$G$4))*(1-((1+'Utility Admin'!$G$4)/(1+'Utility Admin'!$H$4))^$BL27)*((1+'Utility Admin'!$G$4)^$BK27/(1+'Utility Admin'!$H$4)^$BK27)*$BC27,0)</f>
        <v>0</v>
      </c>
      <c r="BO27" s="553">
        <f t="shared" si="27"/>
        <v>0</v>
      </c>
      <c r="BP27" s="553">
        <f>IFERROR('Utility Admin'!$J$4*((1+'Utility Admin'!$G$4)/('Utility Admin'!$H$4-'Utility Admin'!$G$4))*(1-((1+'Utility Admin'!$G$4)/(1+'Utility Admin'!$H$4))^$BK27)*$BJ27,0)</f>
        <v>0</v>
      </c>
      <c r="BQ27" s="553">
        <f>IFERROR('Utility Admin'!$J$4*((1+'Utility Admin'!$G$4)/('Utility Admin'!$H$4-'Utility Admin'!$G$4))*(1-((1+'Utility Admin'!$G$4)/(1+'Utility Admin'!$H$4))^$BL27)*((1+'Utility Admin'!$G$4)^$BK27/(1+'Utility Admin'!$H$4)^$BK27)*$BF27,0)</f>
        <v>0</v>
      </c>
      <c r="BR27" s="553">
        <f t="shared" si="28"/>
        <v>0</v>
      </c>
      <c r="BS27" s="553">
        <f>IFERROR('Utility Admin'!$I$4*((1+'Utility Admin'!$G$4)/('Utility Admin'!$H$4-'Utility Admin'!$G$4))*(1-((1+'Utility Admin'!$G$4)/(1+'Utility Admin'!$H$4))^$AT27),0)</f>
        <v>0</v>
      </c>
      <c r="BT27" s="553">
        <f>IFERROR('Utility Admin'!$J$4*((1+'Utility Admin'!$G$4)/('Utility Admin'!$H$4-'Utility Admin'!$G$4))*(1-((1+'Utility Admin'!$G$4)/(1+'Utility Admin'!$H$4))^$AT27),0)</f>
        <v>0</v>
      </c>
      <c r="BU27" s="459">
        <f t="shared" si="29"/>
        <v>0</v>
      </c>
      <c r="BV27" s="462">
        <f t="shared" si="30"/>
        <v>0</v>
      </c>
      <c r="BW27" s="219" t="str">
        <f t="shared" si="13"/>
        <v/>
      </c>
      <c r="BX27" s="250" t="str">
        <f t="shared" si="31"/>
        <v/>
      </c>
      <c r="BY27" s="250" t="str">
        <f t="shared" si="14"/>
        <v/>
      </c>
      <c r="BZ27" s="184">
        <f t="shared" si="32"/>
        <v>0</v>
      </c>
      <c r="CA27" s="693">
        <f t="shared" si="33"/>
        <v>0</v>
      </c>
      <c r="CB27" s="836">
        <f t="shared" si="34"/>
        <v>0</v>
      </c>
      <c r="CC27" s="693">
        <f>IF(AND($C27="Early Retirement",$H27&lt;&gt;"",$R27&lt;&gt;"",$T27&lt;&gt;""),$BZ27,Baselines!$CJ20)</f>
        <v>0</v>
      </c>
      <c r="CD27" s="693">
        <f>IF(AND($C27="Early Retirement",$H27&lt;&gt;"",$R27&lt;&gt;"",$T27&lt;&gt;""),$CA27,Baselines!$CK20)</f>
        <v>0</v>
      </c>
      <c r="CE27" s="182" t="str">
        <f>Baselines!$CL20</f>
        <v>kW/ton</v>
      </c>
      <c r="CF27" s="850" t="str">
        <f t="shared" si="15"/>
        <v/>
      </c>
      <c r="CG27" s="833">
        <f>IF(AND($C27="Early Retirement",$H27&lt;&gt;"",$R27&lt;&gt;"",$T27&lt;&gt;""),$CB27,IF(AND(Baselines!$CM20=0,OR($CL27="DX HP",$CL27="PTHP")),$BB27,Baselines!$CM20))</f>
        <v>0</v>
      </c>
      <c r="CH27" s="830" t="s">
        <v>567</v>
      </c>
      <c r="CI27" s="185" t="str">
        <f>IF(OR($C27="Replace-on-Burnout",$C27="New Construction"),$CT27,IF($BW27="","",VLOOKUP($D27,'Factor Tables'!$B$165:$H$192,MATCH($BW27,'Factor Tables'!$B$164:$H$164,0),FALSE)))</f>
        <v/>
      </c>
      <c r="CJ27" s="842" t="str">
        <f>IF(OR($C27="Replace-on-Burnout",$C27="New Construction"),$CU27,IF($BW27="","",IF($BW27="DX HP",VLOOKUP($D27,'Factor Tables'!$I$165:$Q$192,MATCH("DX HP Clg",'Factor Tables'!$I$164:$Q$164,0),FALSE),IF($BW27="PTHP",VLOOKUP($D27,'Factor Tables'!$I$165:$Q$192,MATCH("PTHP Clg",'Factor Tables'!$I$164:$Q$164,0),FALSE),IF(AND($BW27&lt;&gt;"DX HP",$BW27&lt;&gt;"PTHP"),VLOOKUP($D27,'Factor Tables'!$I$165:$Q$192,MATCH($BW27,'Factor Tables'!$I$164:$Q$164,0),FALSE),"")))))</f>
        <v/>
      </c>
      <c r="CK27" s="186" t="str">
        <f>IF(OR($C27="Replace-on-Burnout",$C27="New Construction",$CL27="DX HP",$CL27="PTHP"),$CV27,IF($BW27="","",IF($BW27="DX HP",VLOOKUP($D27,'Factor Tables'!$I$165:$Q$192,MATCH("DX HP Htg",'Factor Tables'!$I$164:$Q$164,0),FALSE),IF($BW27="PTHP",VLOOKUP($D27,'Factor Tables'!$I$165:$Q$192,MATCH("PTHP Htg",'Factor Tables'!$I$164:$Q$164,0),FALSE),0))))</f>
        <v/>
      </c>
      <c r="CL27" s="187" t="str">
        <f t="shared" si="16"/>
        <v/>
      </c>
      <c r="CM27" s="251" t="str">
        <f t="shared" si="17"/>
        <v/>
      </c>
      <c r="CN27" s="184">
        <f t="shared" si="35"/>
        <v>0</v>
      </c>
      <c r="CO27" s="693">
        <f t="shared" si="36"/>
        <v>0</v>
      </c>
      <c r="CP27" s="182" t="s">
        <v>46</v>
      </c>
      <c r="CQ27" s="852" t="str">
        <f t="shared" si="37"/>
        <v/>
      </c>
      <c r="CR27" s="833">
        <f t="shared" si="38"/>
        <v>0</v>
      </c>
      <c r="CS27" s="830" t="s">
        <v>567</v>
      </c>
      <c r="CT27" s="185" t="str">
        <f>IF($CL27="","",VLOOKUP($D27,'Factor Tables'!$B$165:$H$192,MATCH($CL27,'Factor Tables'!$B$164:$H$164,0),FALSE))</f>
        <v/>
      </c>
      <c r="CU27" s="842" t="str">
        <f>IF($CL27="","",IF(AND($CL27&lt;&gt;"DX HP",$CL27&lt;&gt;"PTHP"),VLOOKUP($D27,'Factor Tables'!$I$165:$Q$192,MATCH($CL27,'Factor Tables'!$I$164:$Q$164,0),FALSE),IF($CL27="DX HP",VLOOKUP($D27,'Factor Tables'!$I$165:$Q$192,MATCH("DX HP Clg",'Factor Tables'!$I$164:$Q$164,0),FALSE),IF($CL27="PTHP",VLOOKUP($D27,'Factor Tables'!$I$165:$Q$192,MATCH("PTHP Clg",'Factor Tables'!$I$164:$Q$164,0),FALSE),""))))</f>
        <v/>
      </c>
      <c r="CV27" s="186" t="str">
        <f>IF($CL27="","",IF(AND($CL27&lt;&gt;"DX HP",$CL27&lt;&gt;"PTHP"),0,IF($CL27="DX HP",VLOOKUP($D27,'Factor Tables'!$I$165:$Q$192,MATCH("DX HP Htg",'Factor Tables'!$I$164:$Q$164,0),FALSE),IF($CL27="PTHP",VLOOKUP($D27,'Factor Tables'!$I$165:$Q$192,MATCH("PTHP Htg",'Factor Tables'!$I$164:$Q$164,0),FALSE),""))))</f>
        <v/>
      </c>
      <c r="CY27" s="427"/>
      <c r="DD27" s="77" t="s">
        <v>54</v>
      </c>
      <c r="DE27" s="179" t="s">
        <v>321</v>
      </c>
      <c r="DF27" s="179" t="s">
        <v>359</v>
      </c>
      <c r="DG27" s="179" t="s">
        <v>359</v>
      </c>
      <c r="DH27" s="394" t="s">
        <v>359</v>
      </c>
      <c r="DI27" s="179" t="s">
        <v>321</v>
      </c>
      <c r="DJ27" s="179" t="s">
        <v>364</v>
      </c>
      <c r="DK27" s="179" t="s">
        <v>364</v>
      </c>
      <c r="DL27" s="394" t="s">
        <v>364</v>
      </c>
      <c r="DM27" s="493" t="s">
        <v>478</v>
      </c>
    </row>
    <row r="28" spans="2:117" s="7" customFormat="1" ht="21.95" customHeight="1" x14ac:dyDescent="0.25">
      <c r="B28" s="13">
        <v>19</v>
      </c>
      <c r="C28" s="501" t="str">
        <f t="shared" si="18"/>
        <v/>
      </c>
      <c r="D28" s="502" t="str">
        <f t="shared" si="19"/>
        <v/>
      </c>
      <c r="E28" s="546"/>
      <c r="F28" s="547"/>
      <c r="G28" s="729"/>
      <c r="H28" s="729"/>
      <c r="I28" s="729"/>
      <c r="J28" s="729"/>
      <c r="K28" s="729"/>
      <c r="L28" s="729"/>
      <c r="M28" s="765"/>
      <c r="N28" s="758"/>
      <c r="O28" s="765"/>
      <c r="P28" s="758"/>
      <c r="Q28" s="1143"/>
      <c r="R28" s="1134"/>
      <c r="S28" s="775"/>
      <c r="T28" s="729"/>
      <c r="U28" s="775"/>
      <c r="V28" s="779"/>
      <c r="W28" s="557"/>
      <c r="X28" s="788"/>
      <c r="Y28" s="543"/>
      <c r="Z28" s="281"/>
      <c r="AA28" s="281"/>
      <c r="AB28" s="281"/>
      <c r="AC28" s="281"/>
      <c r="AD28" s="492"/>
      <c r="AE28" s="527">
        <f t="shared" si="20"/>
        <v>0</v>
      </c>
      <c r="AF28" s="527">
        <f t="shared" si="21"/>
        <v>0</v>
      </c>
      <c r="AG28" s="527">
        <f t="shared" si="0"/>
        <v>0</v>
      </c>
      <c r="AH28" s="527">
        <f t="shared" si="1"/>
        <v>0</v>
      </c>
      <c r="AI28" s="527">
        <f t="shared" si="2"/>
        <v>0</v>
      </c>
      <c r="AJ28" s="527">
        <f t="shared" si="3"/>
        <v>999999999</v>
      </c>
      <c r="AK28" s="471"/>
      <c r="AL28" s="765"/>
      <c r="AM28" s="758"/>
      <c r="AN28" s="281"/>
      <c r="AO28" s="775"/>
      <c r="AP28" s="775"/>
      <c r="AQ28" s="281"/>
      <c r="AR28" s="528"/>
      <c r="AS28" s="532"/>
      <c r="AT28" s="524" t="str">
        <f t="shared" si="4"/>
        <v/>
      </c>
      <c r="AU28" s="311">
        <f t="shared" si="5"/>
        <v>0</v>
      </c>
      <c r="AV28" s="288">
        <f t="shared" si="22"/>
        <v>0</v>
      </c>
      <c r="AW28" s="290">
        <f>IF(ISERROR($AU28*'Utility Admin'!$E$4+$AV28*'Utility Admin'!$F$4),0,$AU28*'Utility Admin'!$E$4+$AV28*'Utility Admin'!$F$4)</f>
        <v>0</v>
      </c>
      <c r="AX28" s="323" t="str">
        <f t="shared" si="6"/>
        <v/>
      </c>
      <c r="AY28" s="322" t="str">
        <f t="shared" si="23"/>
        <v/>
      </c>
      <c r="AZ28" s="319">
        <f>Baselines!$CJ272</f>
        <v>0</v>
      </c>
      <c r="BA28" s="735">
        <f>Baselines!$CK272</f>
        <v>0</v>
      </c>
      <c r="BB28" s="839">
        <f>Baselines!$CM272</f>
        <v>0</v>
      </c>
      <c r="BC28" s="466">
        <f t="shared" si="7"/>
        <v>0</v>
      </c>
      <c r="BD28" s="464">
        <f t="shared" si="24"/>
        <v>0</v>
      </c>
      <c r="BE28" s="755">
        <f t="shared" si="8"/>
        <v>0</v>
      </c>
      <c r="BF28" s="755">
        <f t="shared" si="25"/>
        <v>0</v>
      </c>
      <c r="BG28" s="466">
        <f t="shared" si="9"/>
        <v>0</v>
      </c>
      <c r="BH28" s="464">
        <f t="shared" si="10"/>
        <v>0</v>
      </c>
      <c r="BI28" s="755">
        <f t="shared" si="11"/>
        <v>0</v>
      </c>
      <c r="BJ28" s="755">
        <f t="shared" si="26"/>
        <v>0</v>
      </c>
      <c r="BK28" s="333">
        <f>IF(OR($C28&lt;&gt;"Early Retirement",$H28=""),0,IF(AND($G28&lt;&gt;"Air Cooled Chiller",$G28&lt;&gt;"Water Cooled Chiller"),VLOOKUP($H28,'Early Retirement'!$CI$6:$CL$33,2,FALSE),IF($J28&lt;&gt;"Centrifugal",VLOOKUP($H28,'Early Retirement'!$CI$6:$CL$33,3,FALSE),IF($J28="Centrifugal",VLOOKUP($H28,'Early Retirement'!$CI$6:$CL$33,4,FALSE),""))))</f>
        <v>0</v>
      </c>
      <c r="BL28" s="450">
        <f t="shared" si="12"/>
        <v>0</v>
      </c>
      <c r="BM28" s="553">
        <f>IFERROR('Utility Admin'!$I$4*((1+'Utility Admin'!$G$4)/('Utility Admin'!$H$4-'Utility Admin'!$G$4))*(1-((1+'Utility Admin'!$G$4)/(1+'Utility Admin'!$H$4))^$BK28)*$BG28,0)</f>
        <v>0</v>
      </c>
      <c r="BN28" s="553">
        <f>IFERROR('Utility Admin'!$I$4*((1+'Utility Admin'!$G$4)/('Utility Admin'!$H$4-'Utility Admin'!$G$4))*(1-((1+'Utility Admin'!$G$4)/(1+'Utility Admin'!$H$4))^$BL28)*((1+'Utility Admin'!$G$4)^$BK28/(1+'Utility Admin'!$H$4)^$BK28)*$BC28,0)</f>
        <v>0</v>
      </c>
      <c r="BO28" s="553">
        <f t="shared" si="27"/>
        <v>0</v>
      </c>
      <c r="BP28" s="553">
        <f>IFERROR('Utility Admin'!$J$4*((1+'Utility Admin'!$G$4)/('Utility Admin'!$H$4-'Utility Admin'!$G$4))*(1-((1+'Utility Admin'!$G$4)/(1+'Utility Admin'!$H$4))^$BK28)*$BJ28,0)</f>
        <v>0</v>
      </c>
      <c r="BQ28" s="553">
        <f>IFERROR('Utility Admin'!$J$4*((1+'Utility Admin'!$G$4)/('Utility Admin'!$H$4-'Utility Admin'!$G$4))*(1-((1+'Utility Admin'!$G$4)/(1+'Utility Admin'!$H$4))^$BL28)*((1+'Utility Admin'!$G$4)^$BK28/(1+'Utility Admin'!$H$4)^$BK28)*$BF28,0)</f>
        <v>0</v>
      </c>
      <c r="BR28" s="553">
        <f t="shared" si="28"/>
        <v>0</v>
      </c>
      <c r="BS28" s="553">
        <f>IFERROR('Utility Admin'!$I$4*((1+'Utility Admin'!$G$4)/('Utility Admin'!$H$4-'Utility Admin'!$G$4))*(1-((1+'Utility Admin'!$G$4)/(1+'Utility Admin'!$H$4))^$AT28),0)</f>
        <v>0</v>
      </c>
      <c r="BT28" s="553">
        <f>IFERROR('Utility Admin'!$J$4*((1+'Utility Admin'!$G$4)/('Utility Admin'!$H$4-'Utility Admin'!$G$4))*(1-((1+'Utility Admin'!$G$4)/(1+'Utility Admin'!$H$4))^$AT28),0)</f>
        <v>0</v>
      </c>
      <c r="BU28" s="459">
        <f t="shared" si="29"/>
        <v>0</v>
      </c>
      <c r="BV28" s="462">
        <f t="shared" si="30"/>
        <v>0</v>
      </c>
      <c r="BW28" s="219" t="str">
        <f t="shared" si="13"/>
        <v/>
      </c>
      <c r="BX28" s="250" t="str">
        <f t="shared" si="31"/>
        <v/>
      </c>
      <c r="BY28" s="250" t="str">
        <f t="shared" si="14"/>
        <v/>
      </c>
      <c r="BZ28" s="184">
        <f t="shared" si="32"/>
        <v>0</v>
      </c>
      <c r="CA28" s="693">
        <f t="shared" si="33"/>
        <v>0</v>
      </c>
      <c r="CB28" s="836">
        <f t="shared" si="34"/>
        <v>0</v>
      </c>
      <c r="CC28" s="693">
        <f>IF(AND($C28="Early Retirement",$H28&lt;&gt;"",$R28&lt;&gt;"",$T28&lt;&gt;""),$BZ28,Baselines!$CJ21)</f>
        <v>0</v>
      </c>
      <c r="CD28" s="693">
        <f>IF(AND($C28="Early Retirement",$H28&lt;&gt;"",$R28&lt;&gt;"",$T28&lt;&gt;""),$CA28,Baselines!$CK21)</f>
        <v>0</v>
      </c>
      <c r="CE28" s="182" t="str">
        <f>Baselines!$CL21</f>
        <v>kW/ton</v>
      </c>
      <c r="CF28" s="850" t="str">
        <f t="shared" si="15"/>
        <v/>
      </c>
      <c r="CG28" s="833">
        <f>IF(AND($C28="Early Retirement",$H28&lt;&gt;"",$R28&lt;&gt;"",$T28&lt;&gt;""),$CB28,IF(AND(Baselines!$CM21=0,OR($CL28="DX HP",$CL28="PTHP")),$BB28,Baselines!$CM21))</f>
        <v>0</v>
      </c>
      <c r="CH28" s="830" t="s">
        <v>567</v>
      </c>
      <c r="CI28" s="185" t="str">
        <f>IF(OR($C28="Replace-on-Burnout",$C28="New Construction"),$CT28,IF($BW28="","",VLOOKUP($D28,'Factor Tables'!$B$165:$H$192,MATCH($BW28,'Factor Tables'!$B$164:$H$164,0),FALSE)))</f>
        <v/>
      </c>
      <c r="CJ28" s="842" t="str">
        <f>IF(OR($C28="Replace-on-Burnout",$C28="New Construction"),$CU28,IF($BW28="","",IF($BW28="DX HP",VLOOKUP($D28,'Factor Tables'!$I$165:$Q$192,MATCH("DX HP Clg",'Factor Tables'!$I$164:$Q$164,0),FALSE),IF($BW28="PTHP",VLOOKUP($D28,'Factor Tables'!$I$165:$Q$192,MATCH("PTHP Clg",'Factor Tables'!$I$164:$Q$164,0),FALSE),IF(AND($BW28&lt;&gt;"DX HP",$BW28&lt;&gt;"PTHP"),VLOOKUP($D28,'Factor Tables'!$I$165:$Q$192,MATCH($BW28,'Factor Tables'!$I$164:$Q$164,0),FALSE),"")))))</f>
        <v/>
      </c>
      <c r="CK28" s="186" t="str">
        <f>IF(OR($C28="Replace-on-Burnout",$C28="New Construction",$CL28="DX HP",$CL28="PTHP"),$CV28,IF($BW28="","",IF($BW28="DX HP",VLOOKUP($D28,'Factor Tables'!$I$165:$Q$192,MATCH("DX HP Htg",'Factor Tables'!$I$164:$Q$164,0),FALSE),IF($BW28="PTHP",VLOOKUP($D28,'Factor Tables'!$I$165:$Q$192,MATCH("PTHP Htg",'Factor Tables'!$I$164:$Q$164,0),FALSE),0))))</f>
        <v/>
      </c>
      <c r="CL28" s="187" t="str">
        <f t="shared" si="16"/>
        <v/>
      </c>
      <c r="CM28" s="251" t="str">
        <f t="shared" si="17"/>
        <v/>
      </c>
      <c r="CN28" s="184">
        <f t="shared" si="35"/>
        <v>0</v>
      </c>
      <c r="CO28" s="693">
        <f t="shared" si="36"/>
        <v>0</v>
      </c>
      <c r="CP28" s="182" t="s">
        <v>46</v>
      </c>
      <c r="CQ28" s="852" t="str">
        <f t="shared" si="37"/>
        <v/>
      </c>
      <c r="CR28" s="833">
        <f t="shared" si="38"/>
        <v>0</v>
      </c>
      <c r="CS28" s="830" t="s">
        <v>567</v>
      </c>
      <c r="CT28" s="185" t="str">
        <f>IF($CL28="","",VLOOKUP($D28,'Factor Tables'!$B$165:$H$192,MATCH($CL28,'Factor Tables'!$B$164:$H$164,0),FALSE))</f>
        <v/>
      </c>
      <c r="CU28" s="842" t="str">
        <f>IF($CL28="","",IF(AND($CL28&lt;&gt;"DX HP",$CL28&lt;&gt;"PTHP"),VLOOKUP($D28,'Factor Tables'!$I$165:$Q$192,MATCH($CL28,'Factor Tables'!$I$164:$Q$164,0),FALSE),IF($CL28="DX HP",VLOOKUP($D28,'Factor Tables'!$I$165:$Q$192,MATCH("DX HP Clg",'Factor Tables'!$I$164:$Q$164,0),FALSE),IF($CL28="PTHP",VLOOKUP($D28,'Factor Tables'!$I$165:$Q$192,MATCH("PTHP Clg",'Factor Tables'!$I$164:$Q$164,0),FALSE),""))))</f>
        <v/>
      </c>
      <c r="CV28" s="186" t="str">
        <f>IF($CL28="","",IF(AND($CL28&lt;&gt;"DX HP",$CL28&lt;&gt;"PTHP"),0,IF($CL28="DX HP",VLOOKUP($D28,'Factor Tables'!$I$165:$Q$192,MATCH("DX HP Htg",'Factor Tables'!$I$164:$Q$164,0),FALSE),IF($CL28="PTHP",VLOOKUP($D28,'Factor Tables'!$I$165:$Q$192,MATCH("PTHP Htg",'Factor Tables'!$I$164:$Q$164,0),FALSE),""))))</f>
        <v/>
      </c>
      <c r="CY28" s="427"/>
      <c r="DD28" s="845" t="s">
        <v>47</v>
      </c>
      <c r="DE28" s="179" t="s">
        <v>322</v>
      </c>
      <c r="DF28" s="179" t="s">
        <v>360</v>
      </c>
      <c r="DG28" s="179" t="s">
        <v>360</v>
      </c>
      <c r="DH28" s="179" t="s">
        <v>360</v>
      </c>
      <c r="DI28" s="179" t="s">
        <v>322</v>
      </c>
      <c r="DJ28" s="179" t="s">
        <v>360</v>
      </c>
      <c r="DK28" s="179" t="s">
        <v>360</v>
      </c>
      <c r="DL28" s="179" t="s">
        <v>360</v>
      </c>
      <c r="DM28" s="493" t="s">
        <v>478</v>
      </c>
    </row>
    <row r="29" spans="2:117" s="427" customFormat="1" ht="21.95" customHeight="1" x14ac:dyDescent="0.25">
      <c r="B29" s="432">
        <v>20</v>
      </c>
      <c r="C29" s="499" t="str">
        <f t="shared" si="18"/>
        <v/>
      </c>
      <c r="D29" s="403" t="str">
        <f t="shared" si="19"/>
        <v/>
      </c>
      <c r="E29" s="541"/>
      <c r="F29" s="785"/>
      <c r="G29" s="728"/>
      <c r="H29" s="728"/>
      <c r="I29" s="728"/>
      <c r="J29" s="728"/>
      <c r="K29" s="728"/>
      <c r="L29" s="728"/>
      <c r="M29" s="764"/>
      <c r="N29" s="728"/>
      <c r="O29" s="764"/>
      <c r="P29" s="728"/>
      <c r="Q29" s="1142"/>
      <c r="R29" s="1133"/>
      <c r="S29" s="778"/>
      <c r="T29" s="767"/>
      <c r="U29" s="778"/>
      <c r="V29" s="751"/>
      <c r="W29" s="556"/>
      <c r="X29" s="785"/>
      <c r="Y29" s="542"/>
      <c r="Z29" s="500"/>
      <c r="AA29" s="500"/>
      <c r="AB29" s="500"/>
      <c r="AC29" s="500"/>
      <c r="AD29" s="529"/>
      <c r="AE29" s="527">
        <f t="shared" si="20"/>
        <v>0</v>
      </c>
      <c r="AF29" s="527">
        <f t="shared" si="21"/>
        <v>0</v>
      </c>
      <c r="AG29" s="527">
        <f t="shared" si="0"/>
        <v>0</v>
      </c>
      <c r="AH29" s="527">
        <f t="shared" si="1"/>
        <v>0</v>
      </c>
      <c r="AI29" s="527">
        <f t="shared" si="2"/>
        <v>0</v>
      </c>
      <c r="AJ29" s="527">
        <f t="shared" si="3"/>
        <v>999999999</v>
      </c>
      <c r="AK29" s="530"/>
      <c r="AL29" s="776"/>
      <c r="AM29" s="777"/>
      <c r="AN29" s="500"/>
      <c r="AO29" s="778"/>
      <c r="AP29" s="778"/>
      <c r="AQ29" s="500"/>
      <c r="AR29" s="531"/>
      <c r="AS29" s="403"/>
      <c r="AT29" s="524" t="str">
        <f t="shared" si="4"/>
        <v/>
      </c>
      <c r="AU29" s="311">
        <f t="shared" si="5"/>
        <v>0</v>
      </c>
      <c r="AV29" s="288">
        <f t="shared" si="22"/>
        <v>0</v>
      </c>
      <c r="AW29" s="290">
        <f>IF(ISERROR($AU29*'Utility Admin'!$E$4+$AV29*'Utility Admin'!$F$4),0,$AU29*'Utility Admin'!$E$4+$AV29*'Utility Admin'!$F$4)</f>
        <v>0</v>
      </c>
      <c r="AX29" s="323" t="str">
        <f t="shared" si="6"/>
        <v/>
      </c>
      <c r="AY29" s="322" t="str">
        <f t="shared" si="23"/>
        <v/>
      </c>
      <c r="AZ29" s="319">
        <f>Baselines!$CJ273</f>
        <v>0</v>
      </c>
      <c r="BA29" s="735">
        <f>Baselines!$CK273</f>
        <v>0</v>
      </c>
      <c r="BB29" s="839">
        <f>Baselines!$CM273</f>
        <v>0</v>
      </c>
      <c r="BC29" s="466">
        <f t="shared" si="7"/>
        <v>0</v>
      </c>
      <c r="BD29" s="464">
        <f t="shared" si="24"/>
        <v>0</v>
      </c>
      <c r="BE29" s="755">
        <f t="shared" si="8"/>
        <v>0</v>
      </c>
      <c r="BF29" s="755">
        <f t="shared" si="25"/>
        <v>0</v>
      </c>
      <c r="BG29" s="466">
        <f t="shared" si="9"/>
        <v>0</v>
      </c>
      <c r="BH29" s="464">
        <f t="shared" si="10"/>
        <v>0</v>
      </c>
      <c r="BI29" s="755">
        <f t="shared" si="11"/>
        <v>0</v>
      </c>
      <c r="BJ29" s="755">
        <f t="shared" si="26"/>
        <v>0</v>
      </c>
      <c r="BK29" s="333">
        <f>IF(OR($C29&lt;&gt;"Early Retirement",$H29=""),0,IF(AND($G29&lt;&gt;"Air Cooled Chiller",$G29&lt;&gt;"Water Cooled Chiller"),VLOOKUP($H29,'Early Retirement'!$CI$6:$CL$33,2,FALSE),IF($J29&lt;&gt;"Centrifugal",VLOOKUP($H29,'Early Retirement'!$CI$6:$CL$33,3,FALSE),IF($J29="Centrifugal",VLOOKUP($H29,'Early Retirement'!$CI$6:$CL$33,4,FALSE),""))))</f>
        <v>0</v>
      </c>
      <c r="BL29" s="450">
        <f t="shared" si="12"/>
        <v>0</v>
      </c>
      <c r="BM29" s="553">
        <f>IFERROR('Utility Admin'!$I$4*((1+'Utility Admin'!$G$4)/('Utility Admin'!$H$4-'Utility Admin'!$G$4))*(1-((1+'Utility Admin'!$G$4)/(1+'Utility Admin'!$H$4))^$BK29)*$BG29,0)</f>
        <v>0</v>
      </c>
      <c r="BN29" s="553">
        <f>IFERROR('Utility Admin'!$I$4*((1+'Utility Admin'!$G$4)/('Utility Admin'!$H$4-'Utility Admin'!$G$4))*(1-((1+'Utility Admin'!$G$4)/(1+'Utility Admin'!$H$4))^$BL29)*((1+'Utility Admin'!$G$4)^$BK29/(1+'Utility Admin'!$H$4)^$BK29)*$BC29,0)</f>
        <v>0</v>
      </c>
      <c r="BO29" s="553">
        <f t="shared" si="27"/>
        <v>0</v>
      </c>
      <c r="BP29" s="553">
        <f>IFERROR('Utility Admin'!$J$4*((1+'Utility Admin'!$G$4)/('Utility Admin'!$H$4-'Utility Admin'!$G$4))*(1-((1+'Utility Admin'!$G$4)/(1+'Utility Admin'!$H$4))^$BK29)*$BJ29,0)</f>
        <v>0</v>
      </c>
      <c r="BQ29" s="553">
        <f>IFERROR('Utility Admin'!$J$4*((1+'Utility Admin'!$G$4)/('Utility Admin'!$H$4-'Utility Admin'!$G$4))*(1-((1+'Utility Admin'!$G$4)/(1+'Utility Admin'!$H$4))^$BL29)*((1+'Utility Admin'!$G$4)^$BK29/(1+'Utility Admin'!$H$4)^$BK29)*$BF29,0)</f>
        <v>0</v>
      </c>
      <c r="BR29" s="553">
        <f t="shared" si="28"/>
        <v>0</v>
      </c>
      <c r="BS29" s="553">
        <f>IFERROR('Utility Admin'!$I$4*((1+'Utility Admin'!$G$4)/('Utility Admin'!$H$4-'Utility Admin'!$G$4))*(1-((1+'Utility Admin'!$G$4)/(1+'Utility Admin'!$H$4))^$AT29),0)</f>
        <v>0</v>
      </c>
      <c r="BT29" s="553">
        <f>IFERROR('Utility Admin'!$J$4*((1+'Utility Admin'!$G$4)/('Utility Admin'!$H$4-'Utility Admin'!$G$4))*(1-((1+'Utility Admin'!$G$4)/(1+'Utility Admin'!$H$4))^$AT29),0)</f>
        <v>0</v>
      </c>
      <c r="BU29" s="459">
        <f t="shared" si="29"/>
        <v>0</v>
      </c>
      <c r="BV29" s="462">
        <f t="shared" si="30"/>
        <v>0</v>
      </c>
      <c r="BW29" s="219" t="str">
        <f t="shared" si="13"/>
        <v/>
      </c>
      <c r="BX29" s="250" t="str">
        <f t="shared" si="31"/>
        <v/>
      </c>
      <c r="BY29" s="250" t="str">
        <f t="shared" si="14"/>
        <v/>
      </c>
      <c r="BZ29" s="184">
        <f t="shared" si="32"/>
        <v>0</v>
      </c>
      <c r="CA29" s="693">
        <f t="shared" si="33"/>
        <v>0</v>
      </c>
      <c r="CB29" s="836">
        <f t="shared" si="34"/>
        <v>0</v>
      </c>
      <c r="CC29" s="693">
        <f>IF(AND($C29="Early Retirement",$H29&lt;&gt;"",$R29&lt;&gt;"",$T29&lt;&gt;""),$BZ29,Baselines!$CJ22)</f>
        <v>0</v>
      </c>
      <c r="CD29" s="693">
        <f>IF(AND($C29="Early Retirement",$H29&lt;&gt;"",$R29&lt;&gt;"",$T29&lt;&gt;""),$CA29,Baselines!$CK22)</f>
        <v>0</v>
      </c>
      <c r="CE29" s="182" t="str">
        <f>Baselines!$CL22</f>
        <v>kW/ton</v>
      </c>
      <c r="CF29" s="850" t="str">
        <f t="shared" si="15"/>
        <v/>
      </c>
      <c r="CG29" s="833">
        <f>IF(AND($C29="Early Retirement",$H29&lt;&gt;"",$R29&lt;&gt;"",$T29&lt;&gt;""),$CB29,IF(AND(Baselines!$CM22=0,OR($CL29="DX HP",$CL29="PTHP")),$BB29,Baselines!$CM22))</f>
        <v>0</v>
      </c>
      <c r="CH29" s="830" t="s">
        <v>567</v>
      </c>
      <c r="CI29" s="185" t="str">
        <f>IF(OR($C29="Replace-on-Burnout",$C29="New Construction"),$CT29,IF($BW29="","",VLOOKUP($D29,'Factor Tables'!$B$165:$H$192,MATCH($BW29,'Factor Tables'!$B$164:$H$164,0),FALSE)))</f>
        <v/>
      </c>
      <c r="CJ29" s="842" t="str">
        <f>IF(OR($C29="Replace-on-Burnout",$C29="New Construction"),$CU29,IF($BW29="","",IF($BW29="DX HP",VLOOKUP($D29,'Factor Tables'!$I$165:$Q$192,MATCH("DX HP Clg",'Factor Tables'!$I$164:$Q$164,0),FALSE),IF($BW29="PTHP",VLOOKUP($D29,'Factor Tables'!$I$165:$Q$192,MATCH("PTHP Clg",'Factor Tables'!$I$164:$Q$164,0),FALSE),IF(AND($BW29&lt;&gt;"DX HP",$BW29&lt;&gt;"PTHP"),VLOOKUP($D29,'Factor Tables'!$I$165:$Q$192,MATCH($BW29,'Factor Tables'!$I$164:$Q$164,0),FALSE),"")))))</f>
        <v/>
      </c>
      <c r="CK29" s="186" t="str">
        <f>IF(OR($C29="Replace-on-Burnout",$C29="New Construction",$CL29="DX HP",$CL29="PTHP"),$CV29,IF($BW29="","",IF($BW29="DX HP",VLOOKUP($D29,'Factor Tables'!$I$165:$Q$192,MATCH("DX HP Htg",'Factor Tables'!$I$164:$Q$164,0),FALSE),IF($BW29="PTHP",VLOOKUP($D29,'Factor Tables'!$I$165:$Q$192,MATCH("PTHP Htg",'Factor Tables'!$I$164:$Q$164,0),FALSE),0))))</f>
        <v/>
      </c>
      <c r="CL29" s="187" t="str">
        <f t="shared" si="16"/>
        <v/>
      </c>
      <c r="CM29" s="251" t="str">
        <f t="shared" si="17"/>
        <v/>
      </c>
      <c r="CN29" s="184">
        <f t="shared" si="35"/>
        <v>0</v>
      </c>
      <c r="CO29" s="693">
        <f t="shared" si="36"/>
        <v>0</v>
      </c>
      <c r="CP29" s="182" t="s">
        <v>46</v>
      </c>
      <c r="CQ29" s="852" t="str">
        <f t="shared" si="37"/>
        <v/>
      </c>
      <c r="CR29" s="833">
        <f t="shared" si="38"/>
        <v>0</v>
      </c>
      <c r="CS29" s="830" t="s">
        <v>567</v>
      </c>
      <c r="CT29" s="185" t="str">
        <f>IF($CL29="","",VLOOKUP($D29,'Factor Tables'!$B$165:$H$192,MATCH($CL29,'Factor Tables'!$B$164:$H$164,0),FALSE))</f>
        <v/>
      </c>
      <c r="CU29" s="842" t="str">
        <f>IF($CL29="","",IF(AND($CL29&lt;&gt;"DX HP",$CL29&lt;&gt;"PTHP"),VLOOKUP($D29,'Factor Tables'!$I$165:$Q$192,MATCH($CL29,'Factor Tables'!$I$164:$Q$164,0),FALSE),IF($CL29="DX HP",VLOOKUP($D29,'Factor Tables'!$I$165:$Q$192,MATCH("DX HP Clg",'Factor Tables'!$I$164:$Q$164,0),FALSE),IF($CL29="PTHP",VLOOKUP($D29,'Factor Tables'!$I$165:$Q$192,MATCH("PTHP Clg",'Factor Tables'!$I$164:$Q$164,0),FALSE),""))))</f>
        <v/>
      </c>
      <c r="CV29" s="186" t="str">
        <f>IF($CL29="","",IF(AND($CL29&lt;&gt;"DX HP",$CL29&lt;&gt;"PTHP"),0,IF($CL29="DX HP",VLOOKUP($D29,'Factor Tables'!$I$165:$Q$192,MATCH("DX HP Htg",'Factor Tables'!$I$164:$Q$164,0),FALSE),IF($CL29="PTHP",VLOOKUP($D29,'Factor Tables'!$I$165:$Q$192,MATCH("PTHP Htg",'Factor Tables'!$I$164:$Q$164,0),FALSE),""))))</f>
        <v/>
      </c>
      <c r="DD29" s="845" t="s">
        <v>48</v>
      </c>
      <c r="DE29" s="179" t="s">
        <v>341</v>
      </c>
      <c r="DF29" s="179" t="s">
        <v>361</v>
      </c>
      <c r="DG29" s="179" t="s">
        <v>361</v>
      </c>
      <c r="DH29" s="179" t="s">
        <v>361</v>
      </c>
      <c r="DI29" s="179" t="s">
        <v>341</v>
      </c>
      <c r="DJ29" s="179" t="s">
        <v>361</v>
      </c>
      <c r="DK29" s="179" t="s">
        <v>361</v>
      </c>
      <c r="DL29" s="179" t="s">
        <v>361</v>
      </c>
      <c r="DM29" s="493" t="s">
        <v>478</v>
      </c>
    </row>
    <row r="30" spans="2:117" s="427" customFormat="1" ht="21.95" customHeight="1" x14ac:dyDescent="0.25">
      <c r="B30" s="431">
        <v>21</v>
      </c>
      <c r="C30" s="501" t="str">
        <f t="shared" si="18"/>
        <v/>
      </c>
      <c r="D30" s="502" t="str">
        <f t="shared" si="19"/>
        <v/>
      </c>
      <c r="E30" s="546"/>
      <c r="F30" s="547"/>
      <c r="G30" s="729"/>
      <c r="H30" s="729"/>
      <c r="I30" s="729"/>
      <c r="J30" s="729"/>
      <c r="K30" s="729"/>
      <c r="L30" s="729"/>
      <c r="M30" s="765"/>
      <c r="N30" s="758"/>
      <c r="O30" s="765"/>
      <c r="P30" s="758"/>
      <c r="Q30" s="1143"/>
      <c r="R30" s="1134"/>
      <c r="S30" s="775"/>
      <c r="T30" s="729"/>
      <c r="U30" s="775"/>
      <c r="V30" s="779"/>
      <c r="W30" s="557"/>
      <c r="X30" s="788"/>
      <c r="Y30" s="543"/>
      <c r="Z30" s="281"/>
      <c r="AA30" s="281"/>
      <c r="AB30" s="281"/>
      <c r="AC30" s="281"/>
      <c r="AD30" s="492"/>
      <c r="AE30" s="527">
        <f t="shared" si="20"/>
        <v>0</v>
      </c>
      <c r="AF30" s="527">
        <f t="shared" si="21"/>
        <v>0</v>
      </c>
      <c r="AG30" s="527">
        <f t="shared" si="0"/>
        <v>0</v>
      </c>
      <c r="AH30" s="527">
        <f t="shared" si="1"/>
        <v>0</v>
      </c>
      <c r="AI30" s="527">
        <f t="shared" si="2"/>
        <v>0</v>
      </c>
      <c r="AJ30" s="527">
        <f t="shared" si="3"/>
        <v>999999999</v>
      </c>
      <c r="AK30" s="471"/>
      <c r="AL30" s="765"/>
      <c r="AM30" s="758"/>
      <c r="AN30" s="281"/>
      <c r="AO30" s="775"/>
      <c r="AP30" s="775"/>
      <c r="AQ30" s="281"/>
      <c r="AR30" s="528"/>
      <c r="AS30" s="532"/>
      <c r="AT30" s="524" t="str">
        <f t="shared" si="4"/>
        <v/>
      </c>
      <c r="AU30" s="311">
        <f t="shared" si="5"/>
        <v>0</v>
      </c>
      <c r="AV30" s="288">
        <f t="shared" si="22"/>
        <v>0</v>
      </c>
      <c r="AW30" s="290">
        <f>IF(ISERROR($AU30*'Utility Admin'!$E$4+$AV30*'Utility Admin'!$F$4),0,$AU30*'Utility Admin'!$E$4+$AV30*'Utility Admin'!$F$4)</f>
        <v>0</v>
      </c>
      <c r="AX30" s="323" t="str">
        <f t="shared" si="6"/>
        <v/>
      </c>
      <c r="AY30" s="322" t="str">
        <f t="shared" si="23"/>
        <v/>
      </c>
      <c r="AZ30" s="319">
        <f>Baselines!$CJ274</f>
        <v>0</v>
      </c>
      <c r="BA30" s="735">
        <f>Baselines!$CK274</f>
        <v>0</v>
      </c>
      <c r="BB30" s="839">
        <f>Baselines!$CM274</f>
        <v>0</v>
      </c>
      <c r="BC30" s="466">
        <f t="shared" si="7"/>
        <v>0</v>
      </c>
      <c r="BD30" s="464">
        <f t="shared" si="24"/>
        <v>0</v>
      </c>
      <c r="BE30" s="755">
        <f t="shared" si="8"/>
        <v>0</v>
      </c>
      <c r="BF30" s="755">
        <f t="shared" si="25"/>
        <v>0</v>
      </c>
      <c r="BG30" s="466">
        <f t="shared" si="9"/>
        <v>0</v>
      </c>
      <c r="BH30" s="464">
        <f t="shared" si="10"/>
        <v>0</v>
      </c>
      <c r="BI30" s="755">
        <f t="shared" si="11"/>
        <v>0</v>
      </c>
      <c r="BJ30" s="755">
        <f t="shared" si="26"/>
        <v>0</v>
      </c>
      <c r="BK30" s="333">
        <f>IF(OR($C30&lt;&gt;"Early Retirement",$H30=""),0,IF(AND($G30&lt;&gt;"Air Cooled Chiller",$G30&lt;&gt;"Water Cooled Chiller"),VLOOKUP($H30,'Early Retirement'!$CI$6:$CL$33,2,FALSE),IF($J30&lt;&gt;"Centrifugal",VLOOKUP($H30,'Early Retirement'!$CI$6:$CL$33,3,FALSE),IF($J30="Centrifugal",VLOOKUP($H30,'Early Retirement'!$CI$6:$CL$33,4,FALSE),""))))</f>
        <v>0</v>
      </c>
      <c r="BL30" s="450">
        <f t="shared" si="12"/>
        <v>0</v>
      </c>
      <c r="BM30" s="553">
        <f>IFERROR('Utility Admin'!$I$4*((1+'Utility Admin'!$G$4)/('Utility Admin'!$H$4-'Utility Admin'!$G$4))*(1-((1+'Utility Admin'!$G$4)/(1+'Utility Admin'!$H$4))^$BK30)*$BG30,0)</f>
        <v>0</v>
      </c>
      <c r="BN30" s="553">
        <f>IFERROR('Utility Admin'!$I$4*((1+'Utility Admin'!$G$4)/('Utility Admin'!$H$4-'Utility Admin'!$G$4))*(1-((1+'Utility Admin'!$G$4)/(1+'Utility Admin'!$H$4))^$BL30)*((1+'Utility Admin'!$G$4)^$BK30/(1+'Utility Admin'!$H$4)^$BK30)*$BC30,0)</f>
        <v>0</v>
      </c>
      <c r="BO30" s="553">
        <f t="shared" si="27"/>
        <v>0</v>
      </c>
      <c r="BP30" s="553">
        <f>IFERROR('Utility Admin'!$J$4*((1+'Utility Admin'!$G$4)/('Utility Admin'!$H$4-'Utility Admin'!$G$4))*(1-((1+'Utility Admin'!$G$4)/(1+'Utility Admin'!$H$4))^$BK30)*$BJ30,0)</f>
        <v>0</v>
      </c>
      <c r="BQ30" s="553">
        <f>IFERROR('Utility Admin'!$J$4*((1+'Utility Admin'!$G$4)/('Utility Admin'!$H$4-'Utility Admin'!$G$4))*(1-((1+'Utility Admin'!$G$4)/(1+'Utility Admin'!$H$4))^$BL30)*((1+'Utility Admin'!$G$4)^$BK30/(1+'Utility Admin'!$H$4)^$BK30)*$BF30,0)</f>
        <v>0</v>
      </c>
      <c r="BR30" s="553">
        <f t="shared" si="28"/>
        <v>0</v>
      </c>
      <c r="BS30" s="553">
        <f>IFERROR('Utility Admin'!$I$4*((1+'Utility Admin'!$G$4)/('Utility Admin'!$H$4-'Utility Admin'!$G$4))*(1-((1+'Utility Admin'!$G$4)/(1+'Utility Admin'!$H$4))^$AT30),0)</f>
        <v>0</v>
      </c>
      <c r="BT30" s="553">
        <f>IFERROR('Utility Admin'!$J$4*((1+'Utility Admin'!$G$4)/('Utility Admin'!$H$4-'Utility Admin'!$G$4))*(1-((1+'Utility Admin'!$G$4)/(1+'Utility Admin'!$H$4))^$AT30),0)</f>
        <v>0</v>
      </c>
      <c r="BU30" s="459">
        <f t="shared" si="29"/>
        <v>0</v>
      </c>
      <c r="BV30" s="462">
        <f t="shared" si="30"/>
        <v>0</v>
      </c>
      <c r="BW30" s="219" t="str">
        <f t="shared" si="13"/>
        <v/>
      </c>
      <c r="BX30" s="250" t="str">
        <f t="shared" si="31"/>
        <v/>
      </c>
      <c r="BY30" s="250" t="str">
        <f t="shared" si="14"/>
        <v/>
      </c>
      <c r="BZ30" s="184">
        <f t="shared" si="32"/>
        <v>0</v>
      </c>
      <c r="CA30" s="693">
        <f t="shared" si="33"/>
        <v>0</v>
      </c>
      <c r="CB30" s="836">
        <f t="shared" si="34"/>
        <v>0</v>
      </c>
      <c r="CC30" s="693">
        <f>IF(AND($C30="Early Retirement",$H30&lt;&gt;"",$R30&lt;&gt;"",$T30&lt;&gt;""),$BZ30,Baselines!$CJ23)</f>
        <v>0</v>
      </c>
      <c r="CD30" s="693">
        <f>IF(AND($C30="Early Retirement",$H30&lt;&gt;"",$R30&lt;&gt;"",$T30&lt;&gt;""),$CA30,Baselines!$CK23)</f>
        <v>0</v>
      </c>
      <c r="CE30" s="182" t="str">
        <f>Baselines!$CL23</f>
        <v>kW/ton</v>
      </c>
      <c r="CF30" s="850" t="str">
        <f t="shared" si="15"/>
        <v/>
      </c>
      <c r="CG30" s="833">
        <f>IF(AND($C30="Early Retirement",$H30&lt;&gt;"",$R30&lt;&gt;"",$T30&lt;&gt;""),$CB30,IF(AND(Baselines!$CM23=0,OR($CL30="DX HP",$CL30="PTHP")),$BB30,Baselines!$CM23))</f>
        <v>0</v>
      </c>
      <c r="CH30" s="830" t="s">
        <v>567</v>
      </c>
      <c r="CI30" s="185" t="str">
        <f>IF(OR($C30="Replace-on-Burnout",$C30="New Construction"),$CT30,IF($BW30="","",VLOOKUP($D30,'Factor Tables'!$B$165:$H$192,MATCH($BW30,'Factor Tables'!$B$164:$H$164,0),FALSE)))</f>
        <v/>
      </c>
      <c r="CJ30" s="842" t="str">
        <f>IF(OR($C30="Replace-on-Burnout",$C30="New Construction"),$CU30,IF($BW30="","",IF($BW30="DX HP",VLOOKUP($D30,'Factor Tables'!$I$165:$Q$192,MATCH("DX HP Clg",'Factor Tables'!$I$164:$Q$164,0),FALSE),IF($BW30="PTHP",VLOOKUP($D30,'Factor Tables'!$I$165:$Q$192,MATCH("PTHP Clg",'Factor Tables'!$I$164:$Q$164,0),FALSE),IF(AND($BW30&lt;&gt;"DX HP",$BW30&lt;&gt;"PTHP"),VLOOKUP($D30,'Factor Tables'!$I$165:$Q$192,MATCH($BW30,'Factor Tables'!$I$164:$Q$164,0),FALSE),"")))))</f>
        <v/>
      </c>
      <c r="CK30" s="186" t="str">
        <f>IF(OR($C30="Replace-on-Burnout",$C30="New Construction",$CL30="DX HP",$CL30="PTHP"),$CV30,IF($BW30="","",IF($BW30="DX HP",VLOOKUP($D30,'Factor Tables'!$I$165:$Q$192,MATCH("DX HP Htg",'Factor Tables'!$I$164:$Q$164,0),FALSE),IF($BW30="PTHP",VLOOKUP($D30,'Factor Tables'!$I$165:$Q$192,MATCH("PTHP Htg",'Factor Tables'!$I$164:$Q$164,0),FALSE),0))))</f>
        <v/>
      </c>
      <c r="CL30" s="187" t="str">
        <f t="shared" si="16"/>
        <v/>
      </c>
      <c r="CM30" s="251" t="str">
        <f t="shared" si="17"/>
        <v/>
      </c>
      <c r="CN30" s="184">
        <f t="shared" si="35"/>
        <v>0</v>
      </c>
      <c r="CO30" s="693">
        <f t="shared" si="36"/>
        <v>0</v>
      </c>
      <c r="CP30" s="182" t="s">
        <v>46</v>
      </c>
      <c r="CQ30" s="852" t="str">
        <f t="shared" si="37"/>
        <v/>
      </c>
      <c r="CR30" s="833">
        <f t="shared" si="38"/>
        <v>0</v>
      </c>
      <c r="CS30" s="830" t="s">
        <v>567</v>
      </c>
      <c r="CT30" s="185" t="str">
        <f>IF($CL30="","",VLOOKUP($D30,'Factor Tables'!$B$165:$H$192,MATCH($CL30,'Factor Tables'!$B$164:$H$164,0),FALSE))</f>
        <v/>
      </c>
      <c r="CU30" s="842" t="str">
        <f>IF($CL30="","",IF(AND($CL30&lt;&gt;"DX HP",$CL30&lt;&gt;"PTHP"),VLOOKUP($D30,'Factor Tables'!$I$165:$Q$192,MATCH($CL30,'Factor Tables'!$I$164:$Q$164,0),FALSE),IF($CL30="DX HP",VLOOKUP($D30,'Factor Tables'!$I$165:$Q$192,MATCH("DX HP Clg",'Factor Tables'!$I$164:$Q$164,0),FALSE),IF($CL30="PTHP",VLOOKUP($D30,'Factor Tables'!$I$165:$Q$192,MATCH("PTHP Clg",'Factor Tables'!$I$164:$Q$164,0),FALSE),""))))</f>
        <v/>
      </c>
      <c r="CV30" s="186" t="str">
        <f>IF($CL30="","",IF(AND($CL30&lt;&gt;"DX HP",$CL30&lt;&gt;"PTHP"),0,IF($CL30="DX HP",VLOOKUP($D30,'Factor Tables'!$I$165:$Q$192,MATCH("DX HP Htg",'Factor Tables'!$I$164:$Q$164,0),FALSE),IF($CL30="PTHP",VLOOKUP($D30,'Factor Tables'!$I$165:$Q$192,MATCH("PTHP Htg",'Factor Tables'!$I$164:$Q$164,0),FALSE),""))))</f>
        <v/>
      </c>
      <c r="DE30" s="394" t="s">
        <v>342</v>
      </c>
      <c r="DF30" s="394" t="s">
        <v>342</v>
      </c>
      <c r="DG30" s="394" t="s">
        <v>342</v>
      </c>
      <c r="DH30" s="179" t="s">
        <v>342</v>
      </c>
      <c r="DI30" s="394" t="s">
        <v>342</v>
      </c>
      <c r="DJ30" s="394" t="s">
        <v>342</v>
      </c>
      <c r="DK30" s="394" t="s">
        <v>342</v>
      </c>
      <c r="DL30" s="179" t="s">
        <v>342</v>
      </c>
      <c r="DM30" s="493" t="s">
        <v>478</v>
      </c>
    </row>
    <row r="31" spans="2:117" s="427" customFormat="1" ht="21.95" customHeight="1" x14ac:dyDescent="0.25">
      <c r="B31" s="432">
        <v>22</v>
      </c>
      <c r="C31" s="499" t="str">
        <f t="shared" si="18"/>
        <v/>
      </c>
      <c r="D31" s="403" t="str">
        <f t="shared" si="19"/>
        <v/>
      </c>
      <c r="E31" s="541"/>
      <c r="F31" s="785"/>
      <c r="G31" s="728"/>
      <c r="H31" s="728"/>
      <c r="I31" s="728"/>
      <c r="J31" s="728"/>
      <c r="K31" s="728"/>
      <c r="L31" s="728"/>
      <c r="M31" s="764"/>
      <c r="N31" s="728"/>
      <c r="O31" s="764"/>
      <c r="P31" s="728"/>
      <c r="Q31" s="1142"/>
      <c r="R31" s="1133"/>
      <c r="S31" s="778"/>
      <c r="T31" s="767"/>
      <c r="U31" s="778"/>
      <c r="V31" s="751"/>
      <c r="W31" s="556"/>
      <c r="X31" s="785"/>
      <c r="Y31" s="542"/>
      <c r="Z31" s="500"/>
      <c r="AA31" s="500"/>
      <c r="AB31" s="500"/>
      <c r="AC31" s="500"/>
      <c r="AD31" s="529"/>
      <c r="AE31" s="527">
        <f t="shared" si="20"/>
        <v>0</v>
      </c>
      <c r="AF31" s="527">
        <f t="shared" si="21"/>
        <v>0</v>
      </c>
      <c r="AG31" s="527">
        <f t="shared" si="0"/>
        <v>0</v>
      </c>
      <c r="AH31" s="527">
        <f t="shared" si="1"/>
        <v>0</v>
      </c>
      <c r="AI31" s="527">
        <f t="shared" si="2"/>
        <v>0</v>
      </c>
      <c r="AJ31" s="527">
        <f t="shared" si="3"/>
        <v>999999999</v>
      </c>
      <c r="AK31" s="530"/>
      <c r="AL31" s="776"/>
      <c r="AM31" s="777"/>
      <c r="AN31" s="500"/>
      <c r="AO31" s="778"/>
      <c r="AP31" s="778"/>
      <c r="AQ31" s="500"/>
      <c r="AR31" s="531"/>
      <c r="AS31" s="403"/>
      <c r="AT31" s="524" t="str">
        <f t="shared" si="4"/>
        <v/>
      </c>
      <c r="AU31" s="311">
        <f t="shared" si="5"/>
        <v>0</v>
      </c>
      <c r="AV31" s="288">
        <f t="shared" si="22"/>
        <v>0</v>
      </c>
      <c r="AW31" s="290">
        <f>IF(ISERROR($AU31*'Utility Admin'!$E$4+$AV31*'Utility Admin'!$F$4),0,$AU31*'Utility Admin'!$E$4+$AV31*'Utility Admin'!$F$4)</f>
        <v>0</v>
      </c>
      <c r="AX31" s="323" t="str">
        <f t="shared" si="6"/>
        <v/>
      </c>
      <c r="AY31" s="322" t="str">
        <f t="shared" si="23"/>
        <v/>
      </c>
      <c r="AZ31" s="319">
        <f>Baselines!$CJ275</f>
        <v>0</v>
      </c>
      <c r="BA31" s="735">
        <f>Baselines!$CK275</f>
        <v>0</v>
      </c>
      <c r="BB31" s="839">
        <f>Baselines!$CM275</f>
        <v>0</v>
      </c>
      <c r="BC31" s="466">
        <f t="shared" si="7"/>
        <v>0</v>
      </c>
      <c r="BD31" s="464">
        <f t="shared" si="24"/>
        <v>0</v>
      </c>
      <c r="BE31" s="755">
        <f t="shared" si="8"/>
        <v>0</v>
      </c>
      <c r="BF31" s="755">
        <f t="shared" si="25"/>
        <v>0</v>
      </c>
      <c r="BG31" s="466">
        <f t="shared" si="9"/>
        <v>0</v>
      </c>
      <c r="BH31" s="464">
        <f t="shared" si="10"/>
        <v>0</v>
      </c>
      <c r="BI31" s="755">
        <f t="shared" si="11"/>
        <v>0</v>
      </c>
      <c r="BJ31" s="755">
        <f t="shared" si="26"/>
        <v>0</v>
      </c>
      <c r="BK31" s="333">
        <f>IF(OR($C31&lt;&gt;"Early Retirement",$H31=""),0,IF(AND($G31&lt;&gt;"Air Cooled Chiller",$G31&lt;&gt;"Water Cooled Chiller"),VLOOKUP($H31,'Early Retirement'!$CI$6:$CL$33,2,FALSE),IF($J31&lt;&gt;"Centrifugal",VLOOKUP($H31,'Early Retirement'!$CI$6:$CL$33,3,FALSE),IF($J31="Centrifugal",VLOOKUP($H31,'Early Retirement'!$CI$6:$CL$33,4,FALSE),""))))</f>
        <v>0</v>
      </c>
      <c r="BL31" s="450">
        <f t="shared" si="12"/>
        <v>0</v>
      </c>
      <c r="BM31" s="553">
        <f>IFERROR('Utility Admin'!$I$4*((1+'Utility Admin'!$G$4)/('Utility Admin'!$H$4-'Utility Admin'!$G$4))*(1-((1+'Utility Admin'!$G$4)/(1+'Utility Admin'!$H$4))^$BK31)*$BG31,0)</f>
        <v>0</v>
      </c>
      <c r="BN31" s="553">
        <f>IFERROR('Utility Admin'!$I$4*((1+'Utility Admin'!$G$4)/('Utility Admin'!$H$4-'Utility Admin'!$G$4))*(1-((1+'Utility Admin'!$G$4)/(1+'Utility Admin'!$H$4))^$BL31)*((1+'Utility Admin'!$G$4)^$BK31/(1+'Utility Admin'!$H$4)^$BK31)*$BC31,0)</f>
        <v>0</v>
      </c>
      <c r="BO31" s="553">
        <f t="shared" si="27"/>
        <v>0</v>
      </c>
      <c r="BP31" s="553">
        <f>IFERROR('Utility Admin'!$J$4*((1+'Utility Admin'!$G$4)/('Utility Admin'!$H$4-'Utility Admin'!$G$4))*(1-((1+'Utility Admin'!$G$4)/(1+'Utility Admin'!$H$4))^$BK31)*$BJ31,0)</f>
        <v>0</v>
      </c>
      <c r="BQ31" s="553">
        <f>IFERROR('Utility Admin'!$J$4*((1+'Utility Admin'!$G$4)/('Utility Admin'!$H$4-'Utility Admin'!$G$4))*(1-((1+'Utility Admin'!$G$4)/(1+'Utility Admin'!$H$4))^$BL31)*((1+'Utility Admin'!$G$4)^$BK31/(1+'Utility Admin'!$H$4)^$BK31)*$BF31,0)</f>
        <v>0</v>
      </c>
      <c r="BR31" s="553">
        <f t="shared" si="28"/>
        <v>0</v>
      </c>
      <c r="BS31" s="553">
        <f>IFERROR('Utility Admin'!$I$4*((1+'Utility Admin'!$G$4)/('Utility Admin'!$H$4-'Utility Admin'!$G$4))*(1-((1+'Utility Admin'!$G$4)/(1+'Utility Admin'!$H$4))^$AT31),0)</f>
        <v>0</v>
      </c>
      <c r="BT31" s="553">
        <f>IFERROR('Utility Admin'!$J$4*((1+'Utility Admin'!$G$4)/('Utility Admin'!$H$4-'Utility Admin'!$G$4))*(1-((1+'Utility Admin'!$G$4)/(1+'Utility Admin'!$H$4))^$AT31),0)</f>
        <v>0</v>
      </c>
      <c r="BU31" s="459">
        <f t="shared" si="29"/>
        <v>0</v>
      </c>
      <c r="BV31" s="462">
        <f t="shared" si="30"/>
        <v>0</v>
      </c>
      <c r="BW31" s="219" t="str">
        <f t="shared" si="13"/>
        <v/>
      </c>
      <c r="BX31" s="250" t="str">
        <f t="shared" si="31"/>
        <v/>
      </c>
      <c r="BY31" s="250" t="str">
        <f t="shared" si="14"/>
        <v/>
      </c>
      <c r="BZ31" s="184">
        <f t="shared" si="32"/>
        <v>0</v>
      </c>
      <c r="CA31" s="693">
        <f t="shared" si="33"/>
        <v>0</v>
      </c>
      <c r="CB31" s="836">
        <f t="shared" si="34"/>
        <v>0</v>
      </c>
      <c r="CC31" s="693">
        <f>IF(AND($C31="Early Retirement",$H31&lt;&gt;"",$R31&lt;&gt;"",$T31&lt;&gt;""),$BZ31,Baselines!$CJ24)</f>
        <v>0</v>
      </c>
      <c r="CD31" s="693">
        <f>IF(AND($C31="Early Retirement",$H31&lt;&gt;"",$R31&lt;&gt;"",$T31&lt;&gt;""),$CA31,Baselines!$CK24)</f>
        <v>0</v>
      </c>
      <c r="CE31" s="182" t="str">
        <f>Baselines!$CL24</f>
        <v>kW/ton</v>
      </c>
      <c r="CF31" s="850" t="str">
        <f t="shared" si="15"/>
        <v/>
      </c>
      <c r="CG31" s="833">
        <f>IF(AND($C31="Early Retirement",$H31&lt;&gt;"",$R31&lt;&gt;"",$T31&lt;&gt;""),$CB31,IF(AND(Baselines!$CM24=0,OR($CL31="DX HP",$CL31="PTHP")),$BB31,Baselines!$CM24))</f>
        <v>0</v>
      </c>
      <c r="CH31" s="830" t="s">
        <v>567</v>
      </c>
      <c r="CI31" s="185" t="str">
        <f>IF(OR($C31="Replace-on-Burnout",$C31="New Construction"),$CT31,IF($BW31="","",VLOOKUP($D31,'Factor Tables'!$B$165:$H$192,MATCH($BW31,'Factor Tables'!$B$164:$H$164,0),FALSE)))</f>
        <v/>
      </c>
      <c r="CJ31" s="842" t="str">
        <f>IF(OR($C31="Replace-on-Burnout",$C31="New Construction"),$CU31,IF($BW31="","",IF($BW31="DX HP",VLOOKUP($D31,'Factor Tables'!$I$165:$Q$192,MATCH("DX HP Clg",'Factor Tables'!$I$164:$Q$164,0),FALSE),IF($BW31="PTHP",VLOOKUP($D31,'Factor Tables'!$I$165:$Q$192,MATCH("PTHP Clg",'Factor Tables'!$I$164:$Q$164,0),FALSE),IF(AND($BW31&lt;&gt;"DX HP",$BW31&lt;&gt;"PTHP"),VLOOKUP($D31,'Factor Tables'!$I$165:$Q$192,MATCH($BW31,'Factor Tables'!$I$164:$Q$164,0),FALSE),"")))))</f>
        <v/>
      </c>
      <c r="CK31" s="186" t="str">
        <f>IF(OR($C31="Replace-on-Burnout",$C31="New Construction",$CL31="DX HP",$CL31="PTHP"),$CV31,IF($BW31="","",IF($BW31="DX HP",VLOOKUP($D31,'Factor Tables'!$I$165:$Q$192,MATCH("DX HP Htg",'Factor Tables'!$I$164:$Q$164,0),FALSE),IF($BW31="PTHP",VLOOKUP($D31,'Factor Tables'!$I$165:$Q$192,MATCH("PTHP Htg",'Factor Tables'!$I$164:$Q$164,0),FALSE),0))))</f>
        <v/>
      </c>
      <c r="CL31" s="187" t="str">
        <f t="shared" si="16"/>
        <v/>
      </c>
      <c r="CM31" s="251" t="str">
        <f t="shared" si="17"/>
        <v/>
      </c>
      <c r="CN31" s="184">
        <f t="shared" si="35"/>
        <v>0</v>
      </c>
      <c r="CO31" s="693">
        <f t="shared" si="36"/>
        <v>0</v>
      </c>
      <c r="CP31" s="182" t="s">
        <v>46</v>
      </c>
      <c r="CQ31" s="852" t="str">
        <f t="shared" si="37"/>
        <v/>
      </c>
      <c r="CR31" s="833">
        <f t="shared" si="38"/>
        <v>0</v>
      </c>
      <c r="CS31" s="830" t="s">
        <v>567</v>
      </c>
      <c r="CT31" s="185" t="str">
        <f>IF($CL31="","",VLOOKUP($D31,'Factor Tables'!$B$165:$H$192,MATCH($CL31,'Factor Tables'!$B$164:$H$164,0),FALSE))</f>
        <v/>
      </c>
      <c r="CU31" s="842" t="str">
        <f>IF($CL31="","",IF(AND($CL31&lt;&gt;"DX HP",$CL31&lt;&gt;"PTHP"),VLOOKUP($D31,'Factor Tables'!$I$165:$Q$192,MATCH($CL31,'Factor Tables'!$I$164:$Q$164,0),FALSE),IF($CL31="DX HP",VLOOKUP($D31,'Factor Tables'!$I$165:$Q$192,MATCH("DX HP Clg",'Factor Tables'!$I$164:$Q$164,0),FALSE),IF($CL31="PTHP",VLOOKUP($D31,'Factor Tables'!$I$165:$Q$192,MATCH("PTHP Clg",'Factor Tables'!$I$164:$Q$164,0),FALSE),""))))</f>
        <v/>
      </c>
      <c r="CV31" s="186" t="str">
        <f>IF($CL31="","",IF(AND($CL31&lt;&gt;"DX HP",$CL31&lt;&gt;"PTHP"),0,IF($CL31="DX HP",VLOOKUP($D31,'Factor Tables'!$I$165:$Q$192,MATCH("DX HP Htg",'Factor Tables'!$I$164:$Q$164,0),FALSE),IF($CL31="PTHP",VLOOKUP($D31,'Factor Tables'!$I$165:$Q$192,MATCH("PTHP Htg",'Factor Tables'!$I$164:$Q$164,0),FALSE),""))))</f>
        <v/>
      </c>
      <c r="DD31" s="193" t="s">
        <v>348</v>
      </c>
      <c r="DE31" s="394" t="s">
        <v>27</v>
      </c>
      <c r="DF31" s="394" t="s">
        <v>27</v>
      </c>
      <c r="DG31" s="394" t="s">
        <v>27</v>
      </c>
      <c r="DH31" s="394" t="s">
        <v>27</v>
      </c>
      <c r="DI31" s="394" t="s">
        <v>27</v>
      </c>
      <c r="DJ31" s="394" t="s">
        <v>363</v>
      </c>
      <c r="DK31" s="394" t="s">
        <v>363</v>
      </c>
      <c r="DL31" s="394" t="s">
        <v>363</v>
      </c>
      <c r="DM31" s="493" t="s">
        <v>478</v>
      </c>
    </row>
    <row r="32" spans="2:117" s="427" customFormat="1" ht="21.95" customHeight="1" x14ac:dyDescent="0.25">
      <c r="B32" s="431">
        <v>23</v>
      </c>
      <c r="C32" s="501" t="str">
        <f t="shared" si="18"/>
        <v/>
      </c>
      <c r="D32" s="502" t="str">
        <f t="shared" si="19"/>
        <v/>
      </c>
      <c r="E32" s="546"/>
      <c r="F32" s="547"/>
      <c r="G32" s="729"/>
      <c r="H32" s="729"/>
      <c r="I32" s="729"/>
      <c r="J32" s="729"/>
      <c r="K32" s="729"/>
      <c r="L32" s="729"/>
      <c r="M32" s="765"/>
      <c r="N32" s="758"/>
      <c r="O32" s="765"/>
      <c r="P32" s="758"/>
      <c r="Q32" s="1143"/>
      <c r="R32" s="1134"/>
      <c r="S32" s="775"/>
      <c r="T32" s="729"/>
      <c r="U32" s="775"/>
      <c r="V32" s="779"/>
      <c r="W32" s="557"/>
      <c r="X32" s="788"/>
      <c r="Y32" s="543"/>
      <c r="Z32" s="281"/>
      <c r="AA32" s="281"/>
      <c r="AB32" s="281"/>
      <c r="AC32" s="281"/>
      <c r="AD32" s="492"/>
      <c r="AE32" s="527">
        <f t="shared" si="20"/>
        <v>0</v>
      </c>
      <c r="AF32" s="527">
        <f t="shared" si="21"/>
        <v>0</v>
      </c>
      <c r="AG32" s="527">
        <f t="shared" si="0"/>
        <v>0</v>
      </c>
      <c r="AH32" s="527">
        <f t="shared" si="1"/>
        <v>0</v>
      </c>
      <c r="AI32" s="527">
        <f t="shared" si="2"/>
        <v>0</v>
      </c>
      <c r="AJ32" s="527">
        <f t="shared" si="3"/>
        <v>999999999</v>
      </c>
      <c r="AK32" s="471"/>
      <c r="AL32" s="765"/>
      <c r="AM32" s="758"/>
      <c r="AN32" s="281"/>
      <c r="AO32" s="775"/>
      <c r="AP32" s="775"/>
      <c r="AQ32" s="281"/>
      <c r="AR32" s="528"/>
      <c r="AS32" s="532"/>
      <c r="AT32" s="524" t="str">
        <f t="shared" si="4"/>
        <v/>
      </c>
      <c r="AU32" s="311">
        <f t="shared" si="5"/>
        <v>0</v>
      </c>
      <c r="AV32" s="288">
        <f t="shared" si="22"/>
        <v>0</v>
      </c>
      <c r="AW32" s="290">
        <f>IF(ISERROR($AU32*'Utility Admin'!$E$4+$AV32*'Utility Admin'!$F$4),0,$AU32*'Utility Admin'!$E$4+$AV32*'Utility Admin'!$F$4)</f>
        <v>0</v>
      </c>
      <c r="AX32" s="323" t="str">
        <f t="shared" si="6"/>
        <v/>
      </c>
      <c r="AY32" s="322" t="str">
        <f t="shared" si="23"/>
        <v/>
      </c>
      <c r="AZ32" s="319">
        <f>Baselines!$CJ276</f>
        <v>0</v>
      </c>
      <c r="BA32" s="735">
        <f>Baselines!$CK276</f>
        <v>0</v>
      </c>
      <c r="BB32" s="839">
        <f>Baselines!$CM276</f>
        <v>0</v>
      </c>
      <c r="BC32" s="466">
        <f t="shared" si="7"/>
        <v>0</v>
      </c>
      <c r="BD32" s="464">
        <f t="shared" si="24"/>
        <v>0</v>
      </c>
      <c r="BE32" s="755">
        <f t="shared" si="8"/>
        <v>0</v>
      </c>
      <c r="BF32" s="755">
        <f t="shared" si="25"/>
        <v>0</v>
      </c>
      <c r="BG32" s="466">
        <f t="shared" si="9"/>
        <v>0</v>
      </c>
      <c r="BH32" s="464">
        <f t="shared" si="10"/>
        <v>0</v>
      </c>
      <c r="BI32" s="755">
        <f t="shared" si="11"/>
        <v>0</v>
      </c>
      <c r="BJ32" s="755">
        <f t="shared" si="26"/>
        <v>0</v>
      </c>
      <c r="BK32" s="333">
        <f>IF(OR($C32&lt;&gt;"Early Retirement",$H32=""),0,IF(AND($G32&lt;&gt;"Air Cooled Chiller",$G32&lt;&gt;"Water Cooled Chiller"),VLOOKUP($H32,'Early Retirement'!$CI$6:$CL$33,2,FALSE),IF($J32&lt;&gt;"Centrifugal",VLOOKUP($H32,'Early Retirement'!$CI$6:$CL$33,3,FALSE),IF($J32="Centrifugal",VLOOKUP($H32,'Early Retirement'!$CI$6:$CL$33,4,FALSE),""))))</f>
        <v>0</v>
      </c>
      <c r="BL32" s="450">
        <f t="shared" si="12"/>
        <v>0</v>
      </c>
      <c r="BM32" s="553">
        <f>IFERROR('Utility Admin'!$I$4*((1+'Utility Admin'!$G$4)/('Utility Admin'!$H$4-'Utility Admin'!$G$4))*(1-((1+'Utility Admin'!$G$4)/(1+'Utility Admin'!$H$4))^$BK32)*$BG32,0)</f>
        <v>0</v>
      </c>
      <c r="BN32" s="553">
        <f>IFERROR('Utility Admin'!$I$4*((1+'Utility Admin'!$G$4)/('Utility Admin'!$H$4-'Utility Admin'!$G$4))*(1-((1+'Utility Admin'!$G$4)/(1+'Utility Admin'!$H$4))^$BL32)*((1+'Utility Admin'!$G$4)^$BK32/(1+'Utility Admin'!$H$4)^$BK32)*$BC32,0)</f>
        <v>0</v>
      </c>
      <c r="BO32" s="553">
        <f t="shared" si="27"/>
        <v>0</v>
      </c>
      <c r="BP32" s="553">
        <f>IFERROR('Utility Admin'!$J$4*((1+'Utility Admin'!$G$4)/('Utility Admin'!$H$4-'Utility Admin'!$G$4))*(1-((1+'Utility Admin'!$G$4)/(1+'Utility Admin'!$H$4))^$BK32)*$BJ32,0)</f>
        <v>0</v>
      </c>
      <c r="BQ32" s="553">
        <f>IFERROR('Utility Admin'!$J$4*((1+'Utility Admin'!$G$4)/('Utility Admin'!$H$4-'Utility Admin'!$G$4))*(1-((1+'Utility Admin'!$G$4)/(1+'Utility Admin'!$H$4))^$BL32)*((1+'Utility Admin'!$G$4)^$BK32/(1+'Utility Admin'!$H$4)^$BK32)*$BF32,0)</f>
        <v>0</v>
      </c>
      <c r="BR32" s="553">
        <f t="shared" si="28"/>
        <v>0</v>
      </c>
      <c r="BS32" s="553">
        <f>IFERROR('Utility Admin'!$I$4*((1+'Utility Admin'!$G$4)/('Utility Admin'!$H$4-'Utility Admin'!$G$4))*(1-((1+'Utility Admin'!$G$4)/(1+'Utility Admin'!$H$4))^$AT32),0)</f>
        <v>0</v>
      </c>
      <c r="BT32" s="553">
        <f>IFERROR('Utility Admin'!$J$4*((1+'Utility Admin'!$G$4)/('Utility Admin'!$H$4-'Utility Admin'!$G$4))*(1-((1+'Utility Admin'!$G$4)/(1+'Utility Admin'!$H$4))^$AT32),0)</f>
        <v>0</v>
      </c>
      <c r="BU32" s="459">
        <f t="shared" si="29"/>
        <v>0</v>
      </c>
      <c r="BV32" s="462">
        <f t="shared" si="30"/>
        <v>0</v>
      </c>
      <c r="BW32" s="219" t="str">
        <f t="shared" si="13"/>
        <v/>
      </c>
      <c r="BX32" s="250" t="str">
        <f t="shared" si="31"/>
        <v/>
      </c>
      <c r="BY32" s="250" t="str">
        <f t="shared" si="14"/>
        <v/>
      </c>
      <c r="BZ32" s="184">
        <f t="shared" si="32"/>
        <v>0</v>
      </c>
      <c r="CA32" s="693">
        <f t="shared" si="33"/>
        <v>0</v>
      </c>
      <c r="CB32" s="836">
        <f t="shared" si="34"/>
        <v>0</v>
      </c>
      <c r="CC32" s="693">
        <f>IF(AND($C32="Early Retirement",$H32&lt;&gt;"",$R32&lt;&gt;"",$T32&lt;&gt;""),$BZ32,Baselines!$CJ25)</f>
        <v>0</v>
      </c>
      <c r="CD32" s="693">
        <f>IF(AND($C32="Early Retirement",$H32&lt;&gt;"",$R32&lt;&gt;"",$T32&lt;&gt;""),$CA32,Baselines!$CK25)</f>
        <v>0</v>
      </c>
      <c r="CE32" s="182" t="str">
        <f>Baselines!$CL25</f>
        <v>kW/ton</v>
      </c>
      <c r="CF32" s="850" t="str">
        <f t="shared" si="15"/>
        <v/>
      </c>
      <c r="CG32" s="833">
        <f>IF(AND($C32="Early Retirement",$H32&lt;&gt;"",$R32&lt;&gt;"",$T32&lt;&gt;""),$CB32,IF(AND(Baselines!$CM25=0,OR($CL32="DX HP",$CL32="PTHP")),$BB32,Baselines!$CM25))</f>
        <v>0</v>
      </c>
      <c r="CH32" s="830" t="s">
        <v>567</v>
      </c>
      <c r="CI32" s="185" t="str">
        <f>IF(OR($C32="Replace-on-Burnout",$C32="New Construction"),$CT32,IF($BW32="","",VLOOKUP($D32,'Factor Tables'!$B$165:$H$192,MATCH($BW32,'Factor Tables'!$B$164:$H$164,0),FALSE)))</f>
        <v/>
      </c>
      <c r="CJ32" s="842" t="str">
        <f>IF(OR($C32="Replace-on-Burnout",$C32="New Construction"),$CU32,IF($BW32="","",IF($BW32="DX HP",VLOOKUP($D32,'Factor Tables'!$I$165:$Q$192,MATCH("DX HP Clg",'Factor Tables'!$I$164:$Q$164,0),FALSE),IF($BW32="PTHP",VLOOKUP($D32,'Factor Tables'!$I$165:$Q$192,MATCH("PTHP Clg",'Factor Tables'!$I$164:$Q$164,0),FALSE),IF(AND($BW32&lt;&gt;"DX HP",$BW32&lt;&gt;"PTHP"),VLOOKUP($D32,'Factor Tables'!$I$165:$Q$192,MATCH($BW32,'Factor Tables'!$I$164:$Q$164,0),FALSE),"")))))</f>
        <v/>
      </c>
      <c r="CK32" s="186" t="str">
        <f>IF(OR($C32="Replace-on-Burnout",$C32="New Construction",$CL32="DX HP",$CL32="PTHP"),$CV32,IF($BW32="","",IF($BW32="DX HP",VLOOKUP($D32,'Factor Tables'!$I$165:$Q$192,MATCH("DX HP Htg",'Factor Tables'!$I$164:$Q$164,0),FALSE),IF($BW32="PTHP",VLOOKUP($D32,'Factor Tables'!$I$165:$Q$192,MATCH("PTHP Htg",'Factor Tables'!$I$164:$Q$164,0),FALSE),0))))</f>
        <v/>
      </c>
      <c r="CL32" s="187" t="str">
        <f t="shared" si="16"/>
        <v/>
      </c>
      <c r="CM32" s="251" t="str">
        <f t="shared" si="17"/>
        <v/>
      </c>
      <c r="CN32" s="184">
        <f t="shared" si="35"/>
        <v>0</v>
      </c>
      <c r="CO32" s="693">
        <f t="shared" si="36"/>
        <v>0</v>
      </c>
      <c r="CP32" s="182" t="s">
        <v>46</v>
      </c>
      <c r="CQ32" s="852" t="str">
        <f t="shared" si="37"/>
        <v/>
      </c>
      <c r="CR32" s="833">
        <f t="shared" si="38"/>
        <v>0</v>
      </c>
      <c r="CS32" s="830" t="s">
        <v>567</v>
      </c>
      <c r="CT32" s="185" t="str">
        <f>IF($CL32="","",VLOOKUP($D32,'Factor Tables'!$B$165:$H$192,MATCH($CL32,'Factor Tables'!$B$164:$H$164,0),FALSE))</f>
        <v/>
      </c>
      <c r="CU32" s="842" t="str">
        <f>IF($CL32="","",IF(AND($CL32&lt;&gt;"DX HP",$CL32&lt;&gt;"PTHP"),VLOOKUP($D32,'Factor Tables'!$I$165:$Q$192,MATCH($CL32,'Factor Tables'!$I$164:$Q$164,0),FALSE),IF($CL32="DX HP",VLOOKUP($D32,'Factor Tables'!$I$165:$Q$192,MATCH("DX HP Clg",'Factor Tables'!$I$164:$Q$164,0),FALSE),IF($CL32="PTHP",VLOOKUP($D32,'Factor Tables'!$I$165:$Q$192,MATCH("PTHP Clg",'Factor Tables'!$I$164:$Q$164,0),FALSE),""))))</f>
        <v/>
      </c>
      <c r="CV32" s="186" t="str">
        <f>IF($CL32="","",IF(AND($CL32&lt;&gt;"DX HP",$CL32&lt;&gt;"PTHP"),0,IF($CL32="DX HP",VLOOKUP($D32,'Factor Tables'!$I$165:$Q$192,MATCH("DX HP Htg",'Factor Tables'!$I$164:$Q$164,0),FALSE),IF($CL32="PTHP",VLOOKUP($D32,'Factor Tables'!$I$165:$Q$192,MATCH("PTHP Htg",'Factor Tables'!$I$164:$Q$164,0),FALSE),""))))</f>
        <v/>
      </c>
      <c r="DD32" s="194" t="s">
        <v>53</v>
      </c>
      <c r="DE32" s="900" t="s">
        <v>693</v>
      </c>
      <c r="DF32" s="900" t="s">
        <v>693</v>
      </c>
      <c r="DG32" s="900" t="s">
        <v>693</v>
      </c>
      <c r="DH32" s="900" t="s">
        <v>693</v>
      </c>
      <c r="DI32" s="900" t="s">
        <v>693</v>
      </c>
      <c r="DJ32" s="900" t="s">
        <v>693</v>
      </c>
      <c r="DK32" s="900" t="s">
        <v>693</v>
      </c>
      <c r="DL32" s="900" t="s">
        <v>693</v>
      </c>
      <c r="DM32" s="493" t="s">
        <v>478</v>
      </c>
    </row>
    <row r="33" spans="2:117" s="427" customFormat="1" ht="21.95" customHeight="1" x14ac:dyDescent="0.25">
      <c r="B33" s="432">
        <v>24</v>
      </c>
      <c r="C33" s="499" t="str">
        <f t="shared" si="18"/>
        <v/>
      </c>
      <c r="D33" s="403" t="str">
        <f t="shared" si="19"/>
        <v/>
      </c>
      <c r="E33" s="541"/>
      <c r="F33" s="785"/>
      <c r="G33" s="728"/>
      <c r="H33" s="728"/>
      <c r="I33" s="728"/>
      <c r="J33" s="728"/>
      <c r="K33" s="728"/>
      <c r="L33" s="728"/>
      <c r="M33" s="764"/>
      <c r="N33" s="728"/>
      <c r="O33" s="764"/>
      <c r="P33" s="728"/>
      <c r="Q33" s="1142"/>
      <c r="R33" s="1133"/>
      <c r="S33" s="778"/>
      <c r="T33" s="767"/>
      <c r="U33" s="778"/>
      <c r="V33" s="751"/>
      <c r="W33" s="556"/>
      <c r="X33" s="785"/>
      <c r="Y33" s="542"/>
      <c r="Z33" s="500"/>
      <c r="AA33" s="500"/>
      <c r="AB33" s="500"/>
      <c r="AC33" s="500"/>
      <c r="AD33" s="529"/>
      <c r="AE33" s="527">
        <f t="shared" ref="AE33:AE259" si="39">IF(OR($M33="",$N33=""),0,IF($N33="Tons",$M33,IF($N33="Btu/hr",$M33/12000,"")))</f>
        <v>0</v>
      </c>
      <c r="AF33" s="527">
        <f t="shared" ref="AF33:AF74" si="40">IF(OR($AD33="",$AK33=""),0,IF($AK33="Tons",$AD33,IF($AK33="Btu/hr",$AD33/12000,"")))</f>
        <v>0</v>
      </c>
      <c r="AG33" s="527">
        <f t="shared" si="0"/>
        <v>0</v>
      </c>
      <c r="AH33" s="527">
        <f t="shared" si="1"/>
        <v>0</v>
      </c>
      <c r="AI33" s="527">
        <f t="shared" si="2"/>
        <v>0</v>
      </c>
      <c r="AJ33" s="527">
        <f t="shared" si="3"/>
        <v>999999999</v>
      </c>
      <c r="AK33" s="530"/>
      <c r="AL33" s="776"/>
      <c r="AM33" s="777"/>
      <c r="AN33" s="500"/>
      <c r="AO33" s="778"/>
      <c r="AP33" s="778"/>
      <c r="AQ33" s="500"/>
      <c r="AR33" s="531"/>
      <c r="AS33" s="403"/>
      <c r="AT33" s="524" t="str">
        <f t="shared" si="4"/>
        <v/>
      </c>
      <c r="AU33" s="311">
        <f t="shared" si="5"/>
        <v>0</v>
      </c>
      <c r="AV33" s="288">
        <f t="shared" si="22"/>
        <v>0</v>
      </c>
      <c r="AW33" s="290">
        <f>IF(ISERROR($AU33*'Utility Admin'!$E$4+$AV33*'Utility Admin'!$F$4),0,$AU33*'Utility Admin'!$E$4+$AV33*'Utility Admin'!$F$4)</f>
        <v>0</v>
      </c>
      <c r="AX33" s="323" t="str">
        <f t="shared" si="6"/>
        <v/>
      </c>
      <c r="AY33" s="322" t="str">
        <f t="shared" si="23"/>
        <v/>
      </c>
      <c r="AZ33" s="319">
        <f>Baselines!$CJ277</f>
        <v>0</v>
      </c>
      <c r="BA33" s="735">
        <f>Baselines!$CK277</f>
        <v>0</v>
      </c>
      <c r="BB33" s="839">
        <f>Baselines!$CM277</f>
        <v>0</v>
      </c>
      <c r="BC33" s="466">
        <f t="shared" si="7"/>
        <v>0</v>
      </c>
      <c r="BD33" s="464">
        <f t="shared" si="24"/>
        <v>0</v>
      </c>
      <c r="BE33" s="755">
        <f t="shared" si="8"/>
        <v>0</v>
      </c>
      <c r="BF33" s="755">
        <f t="shared" si="25"/>
        <v>0</v>
      </c>
      <c r="BG33" s="466">
        <f t="shared" si="9"/>
        <v>0</v>
      </c>
      <c r="BH33" s="464">
        <f t="shared" si="10"/>
        <v>0</v>
      </c>
      <c r="BI33" s="755">
        <f t="shared" si="11"/>
        <v>0</v>
      </c>
      <c r="BJ33" s="755">
        <f t="shared" si="26"/>
        <v>0</v>
      </c>
      <c r="BK33" s="333">
        <f>IF(OR($C33&lt;&gt;"Early Retirement",$H33=""),0,IF(AND($G33&lt;&gt;"Air Cooled Chiller",$G33&lt;&gt;"Water Cooled Chiller"),VLOOKUP($H33,'Early Retirement'!$CI$6:$CL$33,2,FALSE),IF($J33&lt;&gt;"Centrifugal",VLOOKUP($H33,'Early Retirement'!$CI$6:$CL$33,3,FALSE),IF($J33="Centrifugal",VLOOKUP($H33,'Early Retirement'!$CI$6:$CL$33,4,FALSE),""))))</f>
        <v>0</v>
      </c>
      <c r="BL33" s="450">
        <f t="shared" si="12"/>
        <v>0</v>
      </c>
      <c r="BM33" s="553">
        <f>IFERROR('Utility Admin'!$I$4*((1+'Utility Admin'!$G$4)/('Utility Admin'!$H$4-'Utility Admin'!$G$4))*(1-((1+'Utility Admin'!$G$4)/(1+'Utility Admin'!$H$4))^$BK33)*$BG33,0)</f>
        <v>0</v>
      </c>
      <c r="BN33" s="553">
        <f>IFERROR('Utility Admin'!$I$4*((1+'Utility Admin'!$G$4)/('Utility Admin'!$H$4-'Utility Admin'!$G$4))*(1-((1+'Utility Admin'!$G$4)/(1+'Utility Admin'!$H$4))^$BL33)*((1+'Utility Admin'!$G$4)^$BK33/(1+'Utility Admin'!$H$4)^$BK33)*$BC33,0)</f>
        <v>0</v>
      </c>
      <c r="BO33" s="553">
        <f t="shared" si="27"/>
        <v>0</v>
      </c>
      <c r="BP33" s="553">
        <f>IFERROR('Utility Admin'!$J$4*((1+'Utility Admin'!$G$4)/('Utility Admin'!$H$4-'Utility Admin'!$G$4))*(1-((1+'Utility Admin'!$G$4)/(1+'Utility Admin'!$H$4))^$BK33)*$BJ33,0)</f>
        <v>0</v>
      </c>
      <c r="BQ33" s="553">
        <f>IFERROR('Utility Admin'!$J$4*((1+'Utility Admin'!$G$4)/('Utility Admin'!$H$4-'Utility Admin'!$G$4))*(1-((1+'Utility Admin'!$G$4)/(1+'Utility Admin'!$H$4))^$BL33)*((1+'Utility Admin'!$G$4)^$BK33/(1+'Utility Admin'!$H$4)^$BK33)*$BF33,0)</f>
        <v>0</v>
      </c>
      <c r="BR33" s="553">
        <f t="shared" si="28"/>
        <v>0</v>
      </c>
      <c r="BS33" s="553">
        <f>IFERROR('Utility Admin'!$I$4*((1+'Utility Admin'!$G$4)/('Utility Admin'!$H$4-'Utility Admin'!$G$4))*(1-((1+'Utility Admin'!$G$4)/(1+'Utility Admin'!$H$4))^$AT33),0)</f>
        <v>0</v>
      </c>
      <c r="BT33" s="553">
        <f>IFERROR('Utility Admin'!$J$4*((1+'Utility Admin'!$G$4)/('Utility Admin'!$H$4-'Utility Admin'!$G$4))*(1-((1+'Utility Admin'!$G$4)/(1+'Utility Admin'!$H$4))^$AT33),0)</f>
        <v>0</v>
      </c>
      <c r="BU33" s="459">
        <f t="shared" si="29"/>
        <v>0</v>
      </c>
      <c r="BV33" s="462">
        <f t="shared" si="30"/>
        <v>0</v>
      </c>
      <c r="BW33" s="219" t="str">
        <f t="shared" si="13"/>
        <v/>
      </c>
      <c r="BX33" s="250" t="str">
        <f t="shared" si="31"/>
        <v/>
      </c>
      <c r="BY33" s="250" t="str">
        <f t="shared" si="14"/>
        <v/>
      </c>
      <c r="BZ33" s="184">
        <f t="shared" si="32"/>
        <v>0</v>
      </c>
      <c r="CA33" s="693">
        <f t="shared" si="33"/>
        <v>0</v>
      </c>
      <c r="CB33" s="836">
        <f t="shared" si="34"/>
        <v>0</v>
      </c>
      <c r="CC33" s="693">
        <f>IF(AND($C33="Early Retirement",$H33&lt;&gt;"",$R33&lt;&gt;"",$T33&lt;&gt;""),$BZ33,Baselines!$CJ26)</f>
        <v>0</v>
      </c>
      <c r="CD33" s="693">
        <f>IF(AND($C33="Early Retirement",$H33&lt;&gt;"",$R33&lt;&gt;"",$T33&lt;&gt;""),$CA33,Baselines!$CK26)</f>
        <v>0</v>
      </c>
      <c r="CE33" s="182" t="str">
        <f>Baselines!$CL26</f>
        <v>kW/ton</v>
      </c>
      <c r="CF33" s="850" t="str">
        <f t="shared" si="15"/>
        <v/>
      </c>
      <c r="CG33" s="833">
        <f>IF(AND($C33="Early Retirement",$H33&lt;&gt;"",$R33&lt;&gt;"",$T33&lt;&gt;""),$CB33,IF(AND(Baselines!$CM26=0,OR($CL33="DX HP",$CL33="PTHP")),$BB33,Baselines!$CM26))</f>
        <v>0</v>
      </c>
      <c r="CH33" s="830" t="s">
        <v>567</v>
      </c>
      <c r="CI33" s="185" t="str">
        <f>IF(OR($C33="Replace-on-Burnout",$C33="New Construction"),$CT33,IF($BW33="","",VLOOKUP($D33,'Factor Tables'!$B$165:$H$192,MATCH($BW33,'Factor Tables'!$B$164:$H$164,0),FALSE)))</f>
        <v/>
      </c>
      <c r="CJ33" s="842" t="str">
        <f>IF(OR($C33="Replace-on-Burnout",$C33="New Construction"),$CU33,IF($BW33="","",IF($BW33="DX HP",VLOOKUP($D33,'Factor Tables'!$I$165:$Q$192,MATCH("DX HP Clg",'Factor Tables'!$I$164:$Q$164,0),FALSE),IF($BW33="PTHP",VLOOKUP($D33,'Factor Tables'!$I$165:$Q$192,MATCH("PTHP Clg",'Factor Tables'!$I$164:$Q$164,0),FALSE),IF(AND($BW33&lt;&gt;"DX HP",$BW33&lt;&gt;"PTHP"),VLOOKUP($D33,'Factor Tables'!$I$165:$Q$192,MATCH($BW33,'Factor Tables'!$I$164:$Q$164,0),FALSE),"")))))</f>
        <v/>
      </c>
      <c r="CK33" s="186" t="str">
        <f>IF(OR($C33="Replace-on-Burnout",$C33="New Construction",$CL33="DX HP",$CL33="PTHP"),$CV33,IF($BW33="","",IF($BW33="DX HP",VLOOKUP($D33,'Factor Tables'!$I$165:$Q$192,MATCH("DX HP Htg",'Factor Tables'!$I$164:$Q$164,0),FALSE),IF($BW33="PTHP",VLOOKUP($D33,'Factor Tables'!$I$165:$Q$192,MATCH("PTHP Htg",'Factor Tables'!$I$164:$Q$164,0),FALSE),0))))</f>
        <v/>
      </c>
      <c r="CL33" s="187" t="str">
        <f t="shared" si="16"/>
        <v/>
      </c>
      <c r="CM33" s="251" t="str">
        <f t="shared" si="17"/>
        <v/>
      </c>
      <c r="CN33" s="184">
        <f t="shared" si="35"/>
        <v>0</v>
      </c>
      <c r="CO33" s="693">
        <f t="shared" si="36"/>
        <v>0</v>
      </c>
      <c r="CP33" s="182" t="s">
        <v>46</v>
      </c>
      <c r="CQ33" s="852" t="str">
        <f t="shared" si="37"/>
        <v/>
      </c>
      <c r="CR33" s="833">
        <f t="shared" si="38"/>
        <v>0</v>
      </c>
      <c r="CS33" s="830" t="s">
        <v>567</v>
      </c>
      <c r="CT33" s="185" t="str">
        <f>IF($CL33="","",VLOOKUP($D33,'Factor Tables'!$B$165:$H$192,MATCH($CL33,'Factor Tables'!$B$164:$H$164,0),FALSE))</f>
        <v/>
      </c>
      <c r="CU33" s="842" t="str">
        <f>IF($CL33="","",IF(AND($CL33&lt;&gt;"DX HP",$CL33&lt;&gt;"PTHP"),VLOOKUP($D33,'Factor Tables'!$I$165:$Q$192,MATCH($CL33,'Factor Tables'!$I$164:$Q$164,0),FALSE),IF($CL33="DX HP",VLOOKUP($D33,'Factor Tables'!$I$165:$Q$192,MATCH("DX HP Clg",'Factor Tables'!$I$164:$Q$164,0),FALSE),IF($CL33="PTHP",VLOOKUP($D33,'Factor Tables'!$I$165:$Q$192,MATCH("PTHP Clg",'Factor Tables'!$I$164:$Q$164,0),FALSE),""))))</f>
        <v/>
      </c>
      <c r="CV33" s="186" t="str">
        <f>IF($CL33="","",IF(AND($CL33&lt;&gt;"DX HP",$CL33&lt;&gt;"PTHP"),0,IF($CL33="DX HP",VLOOKUP($D33,'Factor Tables'!$I$165:$Q$192,MATCH("DX HP Htg",'Factor Tables'!$I$164:$Q$164,0),FALSE),IF($CL33="PTHP",VLOOKUP($D33,'Factor Tables'!$I$165:$Q$192,MATCH("PTHP Htg",'Factor Tables'!$I$164:$Q$164,0),FALSE),""))))</f>
        <v/>
      </c>
      <c r="DD33" s="77" t="s">
        <v>54</v>
      </c>
      <c r="DE33" s="907" t="s">
        <v>694</v>
      </c>
      <c r="DF33" s="179" t="s">
        <v>307</v>
      </c>
      <c r="DG33" s="179" t="s">
        <v>307</v>
      </c>
      <c r="DH33" s="179" t="s">
        <v>307</v>
      </c>
      <c r="DI33" s="912" t="s">
        <v>694</v>
      </c>
      <c r="DJ33" s="179" t="s">
        <v>307</v>
      </c>
      <c r="DK33" s="179" t="s">
        <v>307</v>
      </c>
      <c r="DL33" s="179" t="s">
        <v>307</v>
      </c>
      <c r="DM33" s="493" t="s">
        <v>478</v>
      </c>
    </row>
    <row r="34" spans="2:117" s="427" customFormat="1" ht="21.95" customHeight="1" x14ac:dyDescent="0.25">
      <c r="B34" s="431">
        <v>25</v>
      </c>
      <c r="C34" s="501" t="str">
        <f t="shared" si="18"/>
        <v/>
      </c>
      <c r="D34" s="502" t="str">
        <f t="shared" si="19"/>
        <v/>
      </c>
      <c r="E34" s="546"/>
      <c r="F34" s="547"/>
      <c r="G34" s="729"/>
      <c r="H34" s="729"/>
      <c r="I34" s="729"/>
      <c r="J34" s="729"/>
      <c r="K34" s="729"/>
      <c r="L34" s="729"/>
      <c r="M34" s="765"/>
      <c r="N34" s="758"/>
      <c r="O34" s="765"/>
      <c r="P34" s="758"/>
      <c r="Q34" s="1143"/>
      <c r="R34" s="1134"/>
      <c r="S34" s="775"/>
      <c r="T34" s="729"/>
      <c r="U34" s="775"/>
      <c r="V34" s="779"/>
      <c r="W34" s="557"/>
      <c r="X34" s="788"/>
      <c r="Y34" s="543"/>
      <c r="Z34" s="281"/>
      <c r="AA34" s="281"/>
      <c r="AB34" s="281"/>
      <c r="AC34" s="281"/>
      <c r="AD34" s="492"/>
      <c r="AE34" s="527">
        <f t="shared" si="39"/>
        <v>0</v>
      </c>
      <c r="AF34" s="527">
        <f t="shared" si="40"/>
        <v>0</v>
      </c>
      <c r="AG34" s="527">
        <f t="shared" si="0"/>
        <v>0</v>
      </c>
      <c r="AH34" s="527">
        <f t="shared" si="1"/>
        <v>0</v>
      </c>
      <c r="AI34" s="527">
        <f t="shared" si="2"/>
        <v>0</v>
      </c>
      <c r="AJ34" s="527">
        <f t="shared" si="3"/>
        <v>999999999</v>
      </c>
      <c r="AK34" s="471"/>
      <c r="AL34" s="765"/>
      <c r="AM34" s="758"/>
      <c r="AN34" s="281"/>
      <c r="AO34" s="775"/>
      <c r="AP34" s="775"/>
      <c r="AQ34" s="281"/>
      <c r="AR34" s="528"/>
      <c r="AS34" s="532"/>
      <c r="AT34" s="524" t="str">
        <f t="shared" si="4"/>
        <v/>
      </c>
      <c r="AU34" s="311">
        <f t="shared" si="5"/>
        <v>0</v>
      </c>
      <c r="AV34" s="288">
        <f t="shared" si="22"/>
        <v>0</v>
      </c>
      <c r="AW34" s="290">
        <f>IF(ISERROR($AU34*'Utility Admin'!$E$4+$AV34*'Utility Admin'!$F$4),0,$AU34*'Utility Admin'!$E$4+$AV34*'Utility Admin'!$F$4)</f>
        <v>0</v>
      </c>
      <c r="AX34" s="323" t="str">
        <f t="shared" si="6"/>
        <v/>
      </c>
      <c r="AY34" s="322" t="str">
        <f t="shared" si="23"/>
        <v/>
      </c>
      <c r="AZ34" s="319">
        <f>Baselines!$CJ278</f>
        <v>0</v>
      </c>
      <c r="BA34" s="735">
        <f>Baselines!$CK278</f>
        <v>0</v>
      </c>
      <c r="BB34" s="839">
        <f>Baselines!$CM278</f>
        <v>0</v>
      </c>
      <c r="BC34" s="466">
        <f t="shared" si="7"/>
        <v>0</v>
      </c>
      <c r="BD34" s="464">
        <f t="shared" si="24"/>
        <v>0</v>
      </c>
      <c r="BE34" s="755">
        <f t="shared" si="8"/>
        <v>0</v>
      </c>
      <c r="BF34" s="755">
        <f t="shared" si="25"/>
        <v>0</v>
      </c>
      <c r="BG34" s="466">
        <f t="shared" si="9"/>
        <v>0</v>
      </c>
      <c r="BH34" s="464">
        <f t="shared" si="10"/>
        <v>0</v>
      </c>
      <c r="BI34" s="755">
        <f t="shared" si="11"/>
        <v>0</v>
      </c>
      <c r="BJ34" s="755">
        <f t="shared" si="26"/>
        <v>0</v>
      </c>
      <c r="BK34" s="333">
        <f>IF(OR($C34&lt;&gt;"Early Retirement",$H34=""),0,IF(AND($G34&lt;&gt;"Air Cooled Chiller",$G34&lt;&gt;"Water Cooled Chiller"),VLOOKUP($H34,'Early Retirement'!$CI$6:$CL$33,2,FALSE),IF($J34&lt;&gt;"Centrifugal",VLOOKUP($H34,'Early Retirement'!$CI$6:$CL$33,3,FALSE),IF($J34="Centrifugal",VLOOKUP($H34,'Early Retirement'!$CI$6:$CL$33,4,FALSE),""))))</f>
        <v>0</v>
      </c>
      <c r="BL34" s="450">
        <f t="shared" si="12"/>
        <v>0</v>
      </c>
      <c r="BM34" s="553">
        <f>IFERROR('Utility Admin'!$I$4*((1+'Utility Admin'!$G$4)/('Utility Admin'!$H$4-'Utility Admin'!$G$4))*(1-((1+'Utility Admin'!$G$4)/(1+'Utility Admin'!$H$4))^$BK34)*$BG34,0)</f>
        <v>0</v>
      </c>
      <c r="BN34" s="553">
        <f>IFERROR('Utility Admin'!$I$4*((1+'Utility Admin'!$G$4)/('Utility Admin'!$H$4-'Utility Admin'!$G$4))*(1-((1+'Utility Admin'!$G$4)/(1+'Utility Admin'!$H$4))^$BL34)*((1+'Utility Admin'!$G$4)^$BK34/(1+'Utility Admin'!$H$4)^$BK34)*$BC34,0)</f>
        <v>0</v>
      </c>
      <c r="BO34" s="553">
        <f t="shared" si="27"/>
        <v>0</v>
      </c>
      <c r="BP34" s="553">
        <f>IFERROR('Utility Admin'!$J$4*((1+'Utility Admin'!$G$4)/('Utility Admin'!$H$4-'Utility Admin'!$G$4))*(1-((1+'Utility Admin'!$G$4)/(1+'Utility Admin'!$H$4))^$BK34)*$BJ34,0)</f>
        <v>0</v>
      </c>
      <c r="BQ34" s="553">
        <f>IFERROR('Utility Admin'!$J$4*((1+'Utility Admin'!$G$4)/('Utility Admin'!$H$4-'Utility Admin'!$G$4))*(1-((1+'Utility Admin'!$G$4)/(1+'Utility Admin'!$H$4))^$BL34)*((1+'Utility Admin'!$G$4)^$BK34/(1+'Utility Admin'!$H$4)^$BK34)*$BF34,0)</f>
        <v>0</v>
      </c>
      <c r="BR34" s="553">
        <f t="shared" si="28"/>
        <v>0</v>
      </c>
      <c r="BS34" s="553">
        <f>IFERROR('Utility Admin'!$I$4*((1+'Utility Admin'!$G$4)/('Utility Admin'!$H$4-'Utility Admin'!$G$4))*(1-((1+'Utility Admin'!$G$4)/(1+'Utility Admin'!$H$4))^$AT34),0)</f>
        <v>0</v>
      </c>
      <c r="BT34" s="553">
        <f>IFERROR('Utility Admin'!$J$4*((1+'Utility Admin'!$G$4)/('Utility Admin'!$H$4-'Utility Admin'!$G$4))*(1-((1+'Utility Admin'!$G$4)/(1+'Utility Admin'!$H$4))^$AT34),0)</f>
        <v>0</v>
      </c>
      <c r="BU34" s="459">
        <f t="shared" si="29"/>
        <v>0</v>
      </c>
      <c r="BV34" s="462">
        <f t="shared" si="30"/>
        <v>0</v>
      </c>
      <c r="BW34" s="219" t="str">
        <f t="shared" si="13"/>
        <v/>
      </c>
      <c r="BX34" s="250" t="str">
        <f t="shared" si="31"/>
        <v/>
      </c>
      <c r="BY34" s="250" t="str">
        <f t="shared" si="14"/>
        <v/>
      </c>
      <c r="BZ34" s="184">
        <f t="shared" si="32"/>
        <v>0</v>
      </c>
      <c r="CA34" s="693">
        <f t="shared" si="33"/>
        <v>0</v>
      </c>
      <c r="CB34" s="836">
        <f t="shared" si="34"/>
        <v>0</v>
      </c>
      <c r="CC34" s="693">
        <f>IF(AND($C34="Early Retirement",$H34&lt;&gt;"",$R34&lt;&gt;"",$T34&lt;&gt;""),$BZ34,Baselines!$CJ27)</f>
        <v>0</v>
      </c>
      <c r="CD34" s="693">
        <f>IF(AND($C34="Early Retirement",$H34&lt;&gt;"",$R34&lt;&gt;"",$T34&lt;&gt;""),$CA34,Baselines!$CK27)</f>
        <v>0</v>
      </c>
      <c r="CE34" s="182" t="str">
        <f>Baselines!$CL27</f>
        <v>kW/ton</v>
      </c>
      <c r="CF34" s="850" t="str">
        <f t="shared" si="15"/>
        <v/>
      </c>
      <c r="CG34" s="833">
        <f>IF(AND($C34="Early Retirement",$H34&lt;&gt;"",$R34&lt;&gt;"",$T34&lt;&gt;""),$CB34,IF(AND(Baselines!$CM27=0,OR($CL34="DX HP",$CL34="PTHP")),$BB34,Baselines!$CM27))</f>
        <v>0</v>
      </c>
      <c r="CH34" s="830" t="s">
        <v>567</v>
      </c>
      <c r="CI34" s="185" t="str">
        <f>IF(OR($C34="Replace-on-Burnout",$C34="New Construction"),$CT34,IF($BW34="","",VLOOKUP($D34,'Factor Tables'!$B$165:$H$192,MATCH($BW34,'Factor Tables'!$B$164:$H$164,0),FALSE)))</f>
        <v/>
      </c>
      <c r="CJ34" s="842" t="str">
        <f>IF(OR($C34="Replace-on-Burnout",$C34="New Construction"),$CU34,IF($BW34="","",IF($BW34="DX HP",VLOOKUP($D34,'Factor Tables'!$I$165:$Q$192,MATCH("DX HP Clg",'Factor Tables'!$I$164:$Q$164,0),FALSE),IF($BW34="PTHP",VLOOKUP($D34,'Factor Tables'!$I$165:$Q$192,MATCH("PTHP Clg",'Factor Tables'!$I$164:$Q$164,0),FALSE),IF(AND($BW34&lt;&gt;"DX HP",$BW34&lt;&gt;"PTHP"),VLOOKUP($D34,'Factor Tables'!$I$165:$Q$192,MATCH($BW34,'Factor Tables'!$I$164:$Q$164,0),FALSE),"")))))</f>
        <v/>
      </c>
      <c r="CK34" s="186" t="str">
        <f>IF(OR($C34="Replace-on-Burnout",$C34="New Construction",$CL34="DX HP",$CL34="PTHP"),$CV34,IF($BW34="","",IF($BW34="DX HP",VLOOKUP($D34,'Factor Tables'!$I$165:$Q$192,MATCH("DX HP Htg",'Factor Tables'!$I$164:$Q$164,0),FALSE),IF($BW34="PTHP",VLOOKUP($D34,'Factor Tables'!$I$165:$Q$192,MATCH("PTHP Htg",'Factor Tables'!$I$164:$Q$164,0),FALSE),0))))</f>
        <v/>
      </c>
      <c r="CL34" s="187" t="str">
        <f t="shared" si="16"/>
        <v/>
      </c>
      <c r="CM34" s="251" t="str">
        <f t="shared" si="17"/>
        <v/>
      </c>
      <c r="CN34" s="184">
        <f t="shared" si="35"/>
        <v>0</v>
      </c>
      <c r="CO34" s="693">
        <f t="shared" si="36"/>
        <v>0</v>
      </c>
      <c r="CP34" s="182" t="s">
        <v>46</v>
      </c>
      <c r="CQ34" s="852" t="str">
        <f t="shared" si="37"/>
        <v/>
      </c>
      <c r="CR34" s="833">
        <f t="shared" si="38"/>
        <v>0</v>
      </c>
      <c r="CS34" s="830" t="s">
        <v>567</v>
      </c>
      <c r="CT34" s="185" t="str">
        <f>IF($CL34="","",VLOOKUP($D34,'Factor Tables'!$B$165:$H$192,MATCH($CL34,'Factor Tables'!$B$164:$H$164,0),FALSE))</f>
        <v/>
      </c>
      <c r="CU34" s="842" t="str">
        <f>IF($CL34="","",IF(AND($CL34&lt;&gt;"DX HP",$CL34&lt;&gt;"PTHP"),VLOOKUP($D34,'Factor Tables'!$I$165:$Q$192,MATCH($CL34,'Factor Tables'!$I$164:$Q$164,0),FALSE),IF($CL34="DX HP",VLOOKUP($D34,'Factor Tables'!$I$165:$Q$192,MATCH("DX HP Clg",'Factor Tables'!$I$164:$Q$164,0),FALSE),IF($CL34="PTHP",VLOOKUP($D34,'Factor Tables'!$I$165:$Q$192,MATCH("PTHP Clg",'Factor Tables'!$I$164:$Q$164,0),FALSE),""))))</f>
        <v/>
      </c>
      <c r="CV34" s="186" t="str">
        <f>IF($CL34="","",IF(AND($CL34&lt;&gt;"DX HP",$CL34&lt;&gt;"PTHP"),0,IF($CL34="DX HP",VLOOKUP($D34,'Factor Tables'!$I$165:$Q$192,MATCH("DX HP Htg",'Factor Tables'!$I$164:$Q$164,0),FALSE),IF($CL34="PTHP",VLOOKUP($D34,'Factor Tables'!$I$165:$Q$192,MATCH("PTHP Htg",'Factor Tables'!$I$164:$Q$164,0),FALSE),""))))</f>
        <v/>
      </c>
      <c r="DD34" s="77" t="s">
        <v>47</v>
      </c>
      <c r="DE34" s="907" t="s">
        <v>695</v>
      </c>
      <c r="DF34" s="179" t="s">
        <v>307</v>
      </c>
      <c r="DG34" s="179" t="s">
        <v>307</v>
      </c>
      <c r="DH34" s="179" t="s">
        <v>307</v>
      </c>
      <c r="DI34" s="912" t="s">
        <v>695</v>
      </c>
      <c r="DJ34" s="179" t="s">
        <v>307</v>
      </c>
      <c r="DK34" s="179" t="s">
        <v>307</v>
      </c>
      <c r="DL34" s="179" t="s">
        <v>307</v>
      </c>
      <c r="DM34" s="493" t="s">
        <v>478</v>
      </c>
    </row>
    <row r="35" spans="2:117" s="427" customFormat="1" ht="21.95" customHeight="1" x14ac:dyDescent="0.25">
      <c r="B35" s="432">
        <v>26</v>
      </c>
      <c r="C35" s="499" t="str">
        <f t="shared" si="18"/>
        <v/>
      </c>
      <c r="D35" s="403" t="str">
        <f t="shared" si="19"/>
        <v/>
      </c>
      <c r="E35" s="541"/>
      <c r="F35" s="785"/>
      <c r="G35" s="728"/>
      <c r="H35" s="728"/>
      <c r="I35" s="728"/>
      <c r="J35" s="728"/>
      <c r="K35" s="728"/>
      <c r="L35" s="728"/>
      <c r="M35" s="764"/>
      <c r="N35" s="728"/>
      <c r="O35" s="764"/>
      <c r="P35" s="728"/>
      <c r="Q35" s="1142"/>
      <c r="R35" s="1133"/>
      <c r="S35" s="778"/>
      <c r="T35" s="767"/>
      <c r="U35" s="778"/>
      <c r="V35" s="751"/>
      <c r="W35" s="556"/>
      <c r="X35" s="785"/>
      <c r="Y35" s="542"/>
      <c r="Z35" s="500"/>
      <c r="AA35" s="500"/>
      <c r="AB35" s="500"/>
      <c r="AC35" s="500"/>
      <c r="AD35" s="529"/>
      <c r="AE35" s="527">
        <f t="shared" si="39"/>
        <v>0</v>
      </c>
      <c r="AF35" s="527">
        <f t="shared" si="40"/>
        <v>0</v>
      </c>
      <c r="AG35" s="527">
        <f t="shared" si="0"/>
        <v>0</v>
      </c>
      <c r="AH35" s="527">
        <f t="shared" si="1"/>
        <v>0</v>
      </c>
      <c r="AI35" s="527">
        <f t="shared" si="2"/>
        <v>0</v>
      </c>
      <c r="AJ35" s="527">
        <f t="shared" si="3"/>
        <v>999999999</v>
      </c>
      <c r="AK35" s="530"/>
      <c r="AL35" s="776"/>
      <c r="AM35" s="777"/>
      <c r="AN35" s="500"/>
      <c r="AO35" s="778"/>
      <c r="AP35" s="778"/>
      <c r="AQ35" s="500"/>
      <c r="AR35" s="531"/>
      <c r="AS35" s="403"/>
      <c r="AT35" s="524" t="str">
        <f t="shared" si="4"/>
        <v/>
      </c>
      <c r="AU35" s="311">
        <f t="shared" si="5"/>
        <v>0</v>
      </c>
      <c r="AV35" s="288">
        <f t="shared" si="22"/>
        <v>0</v>
      </c>
      <c r="AW35" s="290">
        <f>IF(ISERROR($AU35*'Utility Admin'!$E$4+$AV35*'Utility Admin'!$F$4),0,$AU35*'Utility Admin'!$E$4+$AV35*'Utility Admin'!$F$4)</f>
        <v>0</v>
      </c>
      <c r="AX35" s="323" t="str">
        <f t="shared" si="6"/>
        <v/>
      </c>
      <c r="AY35" s="322" t="str">
        <f t="shared" si="23"/>
        <v/>
      </c>
      <c r="AZ35" s="319">
        <f>Baselines!$CJ279</f>
        <v>0</v>
      </c>
      <c r="BA35" s="735">
        <f>Baselines!$CK279</f>
        <v>0</v>
      </c>
      <c r="BB35" s="839">
        <f>Baselines!$CM279</f>
        <v>0</v>
      </c>
      <c r="BC35" s="466">
        <f t="shared" si="7"/>
        <v>0</v>
      </c>
      <c r="BD35" s="464">
        <f t="shared" si="24"/>
        <v>0</v>
      </c>
      <c r="BE35" s="755">
        <f t="shared" si="8"/>
        <v>0</v>
      </c>
      <c r="BF35" s="755">
        <f t="shared" si="25"/>
        <v>0</v>
      </c>
      <c r="BG35" s="466">
        <f t="shared" si="9"/>
        <v>0</v>
      </c>
      <c r="BH35" s="464">
        <f t="shared" si="10"/>
        <v>0</v>
      </c>
      <c r="BI35" s="755">
        <f t="shared" si="11"/>
        <v>0</v>
      </c>
      <c r="BJ35" s="755">
        <f t="shared" si="26"/>
        <v>0</v>
      </c>
      <c r="BK35" s="333">
        <f>IF(OR($C35&lt;&gt;"Early Retirement",$H35=""),0,IF(AND($G35&lt;&gt;"Air Cooled Chiller",$G35&lt;&gt;"Water Cooled Chiller"),VLOOKUP($H35,'Early Retirement'!$CI$6:$CL$33,2,FALSE),IF($J35&lt;&gt;"Centrifugal",VLOOKUP($H35,'Early Retirement'!$CI$6:$CL$33,3,FALSE),IF($J35="Centrifugal",VLOOKUP($H35,'Early Retirement'!$CI$6:$CL$33,4,FALSE),""))))</f>
        <v>0</v>
      </c>
      <c r="BL35" s="450">
        <f t="shared" si="12"/>
        <v>0</v>
      </c>
      <c r="BM35" s="553">
        <f>IFERROR('Utility Admin'!$I$4*((1+'Utility Admin'!$G$4)/('Utility Admin'!$H$4-'Utility Admin'!$G$4))*(1-((1+'Utility Admin'!$G$4)/(1+'Utility Admin'!$H$4))^$BK35)*$BG35,0)</f>
        <v>0</v>
      </c>
      <c r="BN35" s="553">
        <f>IFERROR('Utility Admin'!$I$4*((1+'Utility Admin'!$G$4)/('Utility Admin'!$H$4-'Utility Admin'!$G$4))*(1-((1+'Utility Admin'!$G$4)/(1+'Utility Admin'!$H$4))^$BL35)*((1+'Utility Admin'!$G$4)^$BK35/(1+'Utility Admin'!$H$4)^$BK35)*$BC35,0)</f>
        <v>0</v>
      </c>
      <c r="BO35" s="553">
        <f t="shared" si="27"/>
        <v>0</v>
      </c>
      <c r="BP35" s="553">
        <f>IFERROR('Utility Admin'!$J$4*((1+'Utility Admin'!$G$4)/('Utility Admin'!$H$4-'Utility Admin'!$G$4))*(1-((1+'Utility Admin'!$G$4)/(1+'Utility Admin'!$H$4))^$BK35)*$BJ35,0)</f>
        <v>0</v>
      </c>
      <c r="BQ35" s="553">
        <f>IFERROR('Utility Admin'!$J$4*((1+'Utility Admin'!$G$4)/('Utility Admin'!$H$4-'Utility Admin'!$G$4))*(1-((1+'Utility Admin'!$G$4)/(1+'Utility Admin'!$H$4))^$BL35)*((1+'Utility Admin'!$G$4)^$BK35/(1+'Utility Admin'!$H$4)^$BK35)*$BF35,0)</f>
        <v>0</v>
      </c>
      <c r="BR35" s="553">
        <f t="shared" si="28"/>
        <v>0</v>
      </c>
      <c r="BS35" s="553">
        <f>IFERROR('Utility Admin'!$I$4*((1+'Utility Admin'!$G$4)/('Utility Admin'!$H$4-'Utility Admin'!$G$4))*(1-((1+'Utility Admin'!$G$4)/(1+'Utility Admin'!$H$4))^$AT35),0)</f>
        <v>0</v>
      </c>
      <c r="BT35" s="553">
        <f>IFERROR('Utility Admin'!$J$4*((1+'Utility Admin'!$G$4)/('Utility Admin'!$H$4-'Utility Admin'!$G$4))*(1-((1+'Utility Admin'!$G$4)/(1+'Utility Admin'!$H$4))^$AT35),0)</f>
        <v>0</v>
      </c>
      <c r="BU35" s="459">
        <f t="shared" si="29"/>
        <v>0</v>
      </c>
      <c r="BV35" s="462">
        <f t="shared" si="30"/>
        <v>0</v>
      </c>
      <c r="BW35" s="219" t="str">
        <f t="shared" si="13"/>
        <v/>
      </c>
      <c r="BX35" s="250" t="str">
        <f t="shared" si="31"/>
        <v/>
      </c>
      <c r="BY35" s="250" t="str">
        <f t="shared" si="14"/>
        <v/>
      </c>
      <c r="BZ35" s="184">
        <f t="shared" si="32"/>
        <v>0</v>
      </c>
      <c r="CA35" s="693">
        <f t="shared" si="33"/>
        <v>0</v>
      </c>
      <c r="CB35" s="836">
        <f t="shared" si="34"/>
        <v>0</v>
      </c>
      <c r="CC35" s="693">
        <f>IF(AND($C35="Early Retirement",$H35&lt;&gt;"",$R35&lt;&gt;"",$T35&lt;&gt;""),$BZ35,Baselines!$CJ28)</f>
        <v>0</v>
      </c>
      <c r="CD35" s="693">
        <f>IF(AND($C35="Early Retirement",$H35&lt;&gt;"",$R35&lt;&gt;"",$T35&lt;&gt;""),$CA35,Baselines!$CK28)</f>
        <v>0</v>
      </c>
      <c r="CE35" s="182" t="str">
        <f>Baselines!$CL28</f>
        <v>kW/ton</v>
      </c>
      <c r="CF35" s="850" t="str">
        <f t="shared" si="15"/>
        <v/>
      </c>
      <c r="CG35" s="833">
        <f>IF(AND($C35="Early Retirement",$H35&lt;&gt;"",$R35&lt;&gt;"",$T35&lt;&gt;""),$CB35,IF(AND(Baselines!$CM28=0,OR($CL35="DX HP",$CL35="PTHP")),$BB35,Baselines!$CM28))</f>
        <v>0</v>
      </c>
      <c r="CH35" s="830" t="s">
        <v>567</v>
      </c>
      <c r="CI35" s="185" t="str">
        <f>IF(OR($C35="Replace-on-Burnout",$C35="New Construction"),$CT35,IF($BW35="","",VLOOKUP($D35,'Factor Tables'!$B$165:$H$192,MATCH($BW35,'Factor Tables'!$B$164:$H$164,0),FALSE)))</f>
        <v/>
      </c>
      <c r="CJ35" s="842" t="str">
        <f>IF(OR($C35="Replace-on-Burnout",$C35="New Construction"),$CU35,IF($BW35="","",IF($BW35="DX HP",VLOOKUP($D35,'Factor Tables'!$I$165:$Q$192,MATCH("DX HP Clg",'Factor Tables'!$I$164:$Q$164,0),FALSE),IF($BW35="PTHP",VLOOKUP($D35,'Factor Tables'!$I$165:$Q$192,MATCH("PTHP Clg",'Factor Tables'!$I$164:$Q$164,0),FALSE),IF(AND($BW35&lt;&gt;"DX HP",$BW35&lt;&gt;"PTHP"),VLOOKUP($D35,'Factor Tables'!$I$165:$Q$192,MATCH($BW35,'Factor Tables'!$I$164:$Q$164,0),FALSE),"")))))</f>
        <v/>
      </c>
      <c r="CK35" s="186" t="str">
        <f>IF(OR($C35="Replace-on-Burnout",$C35="New Construction",$CL35="DX HP",$CL35="PTHP"),$CV35,IF($BW35="","",IF($BW35="DX HP",VLOOKUP($D35,'Factor Tables'!$I$165:$Q$192,MATCH("DX HP Htg",'Factor Tables'!$I$164:$Q$164,0),FALSE),IF($BW35="PTHP",VLOOKUP($D35,'Factor Tables'!$I$165:$Q$192,MATCH("PTHP Htg",'Factor Tables'!$I$164:$Q$164,0),FALSE),0))))</f>
        <v/>
      </c>
      <c r="CL35" s="187" t="str">
        <f t="shared" si="16"/>
        <v/>
      </c>
      <c r="CM35" s="251" t="str">
        <f t="shared" si="17"/>
        <v/>
      </c>
      <c r="CN35" s="184">
        <f t="shared" si="35"/>
        <v>0</v>
      </c>
      <c r="CO35" s="693">
        <f t="shared" si="36"/>
        <v>0</v>
      </c>
      <c r="CP35" s="182" t="s">
        <v>46</v>
      </c>
      <c r="CQ35" s="852" t="str">
        <f t="shared" si="37"/>
        <v/>
      </c>
      <c r="CR35" s="833">
        <f t="shared" si="38"/>
        <v>0</v>
      </c>
      <c r="CS35" s="830" t="s">
        <v>567</v>
      </c>
      <c r="CT35" s="185" t="str">
        <f>IF($CL35="","",VLOOKUP($D35,'Factor Tables'!$B$165:$H$192,MATCH($CL35,'Factor Tables'!$B$164:$H$164,0),FALSE))</f>
        <v/>
      </c>
      <c r="CU35" s="842" t="str">
        <f>IF($CL35="","",IF(AND($CL35&lt;&gt;"DX HP",$CL35&lt;&gt;"PTHP"),VLOOKUP($D35,'Factor Tables'!$I$165:$Q$192,MATCH($CL35,'Factor Tables'!$I$164:$Q$164,0),FALSE),IF($CL35="DX HP",VLOOKUP($D35,'Factor Tables'!$I$165:$Q$192,MATCH("DX HP Clg",'Factor Tables'!$I$164:$Q$164,0),FALSE),IF($CL35="PTHP",VLOOKUP($D35,'Factor Tables'!$I$165:$Q$192,MATCH("PTHP Clg",'Factor Tables'!$I$164:$Q$164,0),FALSE),""))))</f>
        <v/>
      </c>
      <c r="CV35" s="186" t="str">
        <f>IF($CL35="","",IF(AND($CL35&lt;&gt;"DX HP",$CL35&lt;&gt;"PTHP"),0,IF($CL35="DX HP",VLOOKUP($D35,'Factor Tables'!$I$165:$Q$192,MATCH("DX HP Htg",'Factor Tables'!$I$164:$Q$164,0),FALSE),IF($CL35="PTHP",VLOOKUP($D35,'Factor Tables'!$I$165:$Q$192,MATCH("PTHP Htg",'Factor Tables'!$I$164:$Q$164,0),FALSE),""))))</f>
        <v/>
      </c>
      <c r="DD35" s="77" t="s">
        <v>48</v>
      </c>
      <c r="DE35" s="907" t="s">
        <v>696</v>
      </c>
      <c r="DF35" s="179" t="s">
        <v>307</v>
      </c>
      <c r="DG35" s="179" t="s">
        <v>307</v>
      </c>
      <c r="DH35" s="179" t="s">
        <v>307</v>
      </c>
      <c r="DI35" s="912" t="s">
        <v>696</v>
      </c>
      <c r="DJ35" s="179" t="s">
        <v>307</v>
      </c>
      <c r="DK35" s="179" t="s">
        <v>307</v>
      </c>
      <c r="DL35" s="179" t="s">
        <v>307</v>
      </c>
      <c r="DM35" s="493" t="s">
        <v>478</v>
      </c>
    </row>
    <row r="36" spans="2:117" s="427" customFormat="1" ht="21.95" customHeight="1" x14ac:dyDescent="0.25">
      <c r="B36" s="431">
        <v>27</v>
      </c>
      <c r="C36" s="501" t="str">
        <f t="shared" si="18"/>
        <v/>
      </c>
      <c r="D36" s="502" t="str">
        <f t="shared" si="19"/>
        <v/>
      </c>
      <c r="E36" s="546"/>
      <c r="F36" s="547"/>
      <c r="G36" s="729"/>
      <c r="H36" s="729"/>
      <c r="I36" s="729"/>
      <c r="J36" s="729"/>
      <c r="K36" s="729"/>
      <c r="L36" s="729"/>
      <c r="M36" s="765"/>
      <c r="N36" s="758"/>
      <c r="O36" s="765"/>
      <c r="P36" s="758"/>
      <c r="Q36" s="1143"/>
      <c r="R36" s="1134"/>
      <c r="S36" s="775"/>
      <c r="T36" s="729"/>
      <c r="U36" s="775"/>
      <c r="V36" s="779"/>
      <c r="W36" s="557"/>
      <c r="X36" s="788"/>
      <c r="Y36" s="543"/>
      <c r="Z36" s="281"/>
      <c r="AA36" s="281"/>
      <c r="AB36" s="281"/>
      <c r="AC36" s="281"/>
      <c r="AD36" s="492"/>
      <c r="AE36" s="527">
        <f t="shared" si="39"/>
        <v>0</v>
      </c>
      <c r="AF36" s="527">
        <f t="shared" si="40"/>
        <v>0</v>
      </c>
      <c r="AG36" s="527">
        <f t="shared" si="0"/>
        <v>0</v>
      </c>
      <c r="AH36" s="527">
        <f t="shared" si="1"/>
        <v>0</v>
      </c>
      <c r="AI36" s="527">
        <f t="shared" si="2"/>
        <v>0</v>
      </c>
      <c r="AJ36" s="527">
        <f t="shared" si="3"/>
        <v>999999999</v>
      </c>
      <c r="AK36" s="471"/>
      <c r="AL36" s="765"/>
      <c r="AM36" s="758"/>
      <c r="AN36" s="281"/>
      <c r="AO36" s="775"/>
      <c r="AP36" s="775"/>
      <c r="AQ36" s="281"/>
      <c r="AR36" s="528"/>
      <c r="AS36" s="532"/>
      <c r="AT36" s="524" t="str">
        <f t="shared" si="4"/>
        <v/>
      </c>
      <c r="AU36" s="311">
        <f t="shared" si="5"/>
        <v>0</v>
      </c>
      <c r="AV36" s="288">
        <f t="shared" si="22"/>
        <v>0</v>
      </c>
      <c r="AW36" s="290">
        <f>IF(ISERROR($AU36*'Utility Admin'!$E$4+$AV36*'Utility Admin'!$F$4),0,$AU36*'Utility Admin'!$E$4+$AV36*'Utility Admin'!$F$4)</f>
        <v>0</v>
      </c>
      <c r="AX36" s="323" t="str">
        <f t="shared" si="6"/>
        <v/>
      </c>
      <c r="AY36" s="322" t="str">
        <f t="shared" si="23"/>
        <v/>
      </c>
      <c r="AZ36" s="319">
        <f>Baselines!$CJ280</f>
        <v>0</v>
      </c>
      <c r="BA36" s="735">
        <f>Baselines!$CK280</f>
        <v>0</v>
      </c>
      <c r="BB36" s="839">
        <f>Baselines!$CM280</f>
        <v>0</v>
      </c>
      <c r="BC36" s="466">
        <f t="shared" si="7"/>
        <v>0</v>
      </c>
      <c r="BD36" s="464">
        <f t="shared" si="24"/>
        <v>0</v>
      </c>
      <c r="BE36" s="755">
        <f t="shared" si="8"/>
        <v>0</v>
      </c>
      <c r="BF36" s="755">
        <f t="shared" si="25"/>
        <v>0</v>
      </c>
      <c r="BG36" s="466">
        <f t="shared" si="9"/>
        <v>0</v>
      </c>
      <c r="BH36" s="464">
        <f t="shared" si="10"/>
        <v>0</v>
      </c>
      <c r="BI36" s="755">
        <f t="shared" si="11"/>
        <v>0</v>
      </c>
      <c r="BJ36" s="755">
        <f t="shared" si="26"/>
        <v>0</v>
      </c>
      <c r="BK36" s="333">
        <f>IF(OR($C36&lt;&gt;"Early Retirement",$H36=""),0,IF(AND($G36&lt;&gt;"Air Cooled Chiller",$G36&lt;&gt;"Water Cooled Chiller"),VLOOKUP($H36,'Early Retirement'!$CI$6:$CL$33,2,FALSE),IF($J36&lt;&gt;"Centrifugal",VLOOKUP($H36,'Early Retirement'!$CI$6:$CL$33,3,FALSE),IF($J36="Centrifugal",VLOOKUP($H36,'Early Retirement'!$CI$6:$CL$33,4,FALSE),""))))</f>
        <v>0</v>
      </c>
      <c r="BL36" s="450">
        <f t="shared" si="12"/>
        <v>0</v>
      </c>
      <c r="BM36" s="553">
        <f>IFERROR('Utility Admin'!$I$4*((1+'Utility Admin'!$G$4)/('Utility Admin'!$H$4-'Utility Admin'!$G$4))*(1-((1+'Utility Admin'!$G$4)/(1+'Utility Admin'!$H$4))^$BK36)*$BG36,0)</f>
        <v>0</v>
      </c>
      <c r="BN36" s="553">
        <f>IFERROR('Utility Admin'!$I$4*((1+'Utility Admin'!$G$4)/('Utility Admin'!$H$4-'Utility Admin'!$G$4))*(1-((1+'Utility Admin'!$G$4)/(1+'Utility Admin'!$H$4))^$BL36)*((1+'Utility Admin'!$G$4)^$BK36/(1+'Utility Admin'!$H$4)^$BK36)*$BC36,0)</f>
        <v>0</v>
      </c>
      <c r="BO36" s="553">
        <f t="shared" si="27"/>
        <v>0</v>
      </c>
      <c r="BP36" s="553">
        <f>IFERROR('Utility Admin'!$J$4*((1+'Utility Admin'!$G$4)/('Utility Admin'!$H$4-'Utility Admin'!$G$4))*(1-((1+'Utility Admin'!$G$4)/(1+'Utility Admin'!$H$4))^$BK36)*$BJ36,0)</f>
        <v>0</v>
      </c>
      <c r="BQ36" s="553">
        <f>IFERROR('Utility Admin'!$J$4*((1+'Utility Admin'!$G$4)/('Utility Admin'!$H$4-'Utility Admin'!$G$4))*(1-((1+'Utility Admin'!$G$4)/(1+'Utility Admin'!$H$4))^$BL36)*((1+'Utility Admin'!$G$4)^$BK36/(1+'Utility Admin'!$H$4)^$BK36)*$BF36,0)</f>
        <v>0</v>
      </c>
      <c r="BR36" s="553">
        <f t="shared" si="28"/>
        <v>0</v>
      </c>
      <c r="BS36" s="553">
        <f>IFERROR('Utility Admin'!$I$4*((1+'Utility Admin'!$G$4)/('Utility Admin'!$H$4-'Utility Admin'!$G$4))*(1-((1+'Utility Admin'!$G$4)/(1+'Utility Admin'!$H$4))^$AT36),0)</f>
        <v>0</v>
      </c>
      <c r="BT36" s="553">
        <f>IFERROR('Utility Admin'!$J$4*((1+'Utility Admin'!$G$4)/('Utility Admin'!$H$4-'Utility Admin'!$G$4))*(1-((1+'Utility Admin'!$G$4)/(1+'Utility Admin'!$H$4))^$AT36),0)</f>
        <v>0</v>
      </c>
      <c r="BU36" s="459">
        <f t="shared" si="29"/>
        <v>0</v>
      </c>
      <c r="BV36" s="462">
        <f t="shared" si="30"/>
        <v>0</v>
      </c>
      <c r="BW36" s="219" t="str">
        <f t="shared" si="13"/>
        <v/>
      </c>
      <c r="BX36" s="250" t="str">
        <f t="shared" si="31"/>
        <v/>
      </c>
      <c r="BY36" s="250" t="str">
        <f t="shared" si="14"/>
        <v/>
      </c>
      <c r="BZ36" s="184">
        <f t="shared" si="32"/>
        <v>0</v>
      </c>
      <c r="CA36" s="693">
        <f t="shared" si="33"/>
        <v>0</v>
      </c>
      <c r="CB36" s="836">
        <f t="shared" si="34"/>
        <v>0</v>
      </c>
      <c r="CC36" s="693">
        <f>IF(AND($C36="Early Retirement",$H36&lt;&gt;"",$R36&lt;&gt;"",$T36&lt;&gt;""),$BZ36,Baselines!$CJ29)</f>
        <v>0</v>
      </c>
      <c r="CD36" s="693">
        <f>IF(AND($C36="Early Retirement",$H36&lt;&gt;"",$R36&lt;&gt;"",$T36&lt;&gt;""),$CA36,Baselines!$CK29)</f>
        <v>0</v>
      </c>
      <c r="CE36" s="182" t="str">
        <f>Baselines!$CL29</f>
        <v>kW/ton</v>
      </c>
      <c r="CF36" s="850" t="str">
        <f t="shared" si="15"/>
        <v/>
      </c>
      <c r="CG36" s="833">
        <f>IF(AND($C36="Early Retirement",$H36&lt;&gt;"",$R36&lt;&gt;"",$T36&lt;&gt;""),$CB36,IF(AND(Baselines!$CM29=0,OR($CL36="DX HP",$CL36="PTHP")),$BB36,Baselines!$CM29))</f>
        <v>0</v>
      </c>
      <c r="CH36" s="830" t="s">
        <v>567</v>
      </c>
      <c r="CI36" s="185" t="str">
        <f>IF(OR($C36="Replace-on-Burnout",$C36="New Construction"),$CT36,IF($BW36="","",VLOOKUP($D36,'Factor Tables'!$B$165:$H$192,MATCH($BW36,'Factor Tables'!$B$164:$H$164,0),FALSE)))</f>
        <v/>
      </c>
      <c r="CJ36" s="842" t="str">
        <f>IF(OR($C36="Replace-on-Burnout",$C36="New Construction"),$CU36,IF($BW36="","",IF($BW36="DX HP",VLOOKUP($D36,'Factor Tables'!$I$165:$Q$192,MATCH("DX HP Clg",'Factor Tables'!$I$164:$Q$164,0),FALSE),IF($BW36="PTHP",VLOOKUP($D36,'Factor Tables'!$I$165:$Q$192,MATCH("PTHP Clg",'Factor Tables'!$I$164:$Q$164,0),FALSE),IF(AND($BW36&lt;&gt;"DX HP",$BW36&lt;&gt;"PTHP"),VLOOKUP($D36,'Factor Tables'!$I$165:$Q$192,MATCH($BW36,'Factor Tables'!$I$164:$Q$164,0),FALSE),"")))))</f>
        <v/>
      </c>
      <c r="CK36" s="186" t="str">
        <f>IF(OR($C36="Replace-on-Burnout",$C36="New Construction",$CL36="DX HP",$CL36="PTHP"),$CV36,IF($BW36="","",IF($BW36="DX HP",VLOOKUP($D36,'Factor Tables'!$I$165:$Q$192,MATCH("DX HP Htg",'Factor Tables'!$I$164:$Q$164,0),FALSE),IF($BW36="PTHP",VLOOKUP($D36,'Factor Tables'!$I$165:$Q$192,MATCH("PTHP Htg",'Factor Tables'!$I$164:$Q$164,0),FALSE),0))))</f>
        <v/>
      </c>
      <c r="CL36" s="187" t="str">
        <f t="shared" si="16"/>
        <v/>
      </c>
      <c r="CM36" s="251" t="str">
        <f t="shared" si="17"/>
        <v/>
      </c>
      <c r="CN36" s="184">
        <f t="shared" si="35"/>
        <v>0</v>
      </c>
      <c r="CO36" s="693">
        <f t="shared" si="36"/>
        <v>0</v>
      </c>
      <c r="CP36" s="182" t="s">
        <v>46</v>
      </c>
      <c r="CQ36" s="852" t="str">
        <f t="shared" si="37"/>
        <v/>
      </c>
      <c r="CR36" s="833">
        <f t="shared" si="38"/>
        <v>0</v>
      </c>
      <c r="CS36" s="830" t="s">
        <v>567</v>
      </c>
      <c r="CT36" s="185" t="str">
        <f>IF($CL36="","",VLOOKUP($D36,'Factor Tables'!$B$165:$H$192,MATCH($CL36,'Factor Tables'!$B$164:$H$164,0),FALSE))</f>
        <v/>
      </c>
      <c r="CU36" s="842" t="str">
        <f>IF($CL36="","",IF(AND($CL36&lt;&gt;"DX HP",$CL36&lt;&gt;"PTHP"),VLOOKUP($D36,'Factor Tables'!$I$165:$Q$192,MATCH($CL36,'Factor Tables'!$I$164:$Q$164,0),FALSE),IF($CL36="DX HP",VLOOKUP($D36,'Factor Tables'!$I$165:$Q$192,MATCH("DX HP Clg",'Factor Tables'!$I$164:$Q$164,0),FALSE),IF($CL36="PTHP",VLOOKUP($D36,'Factor Tables'!$I$165:$Q$192,MATCH("PTHP Clg",'Factor Tables'!$I$164:$Q$164,0),FALSE),""))))</f>
        <v/>
      </c>
      <c r="CV36" s="186" t="str">
        <f>IF($CL36="","",IF(AND($CL36&lt;&gt;"DX HP",$CL36&lt;&gt;"PTHP"),0,IF($CL36="DX HP",VLOOKUP($D36,'Factor Tables'!$I$165:$Q$192,MATCH("DX HP Htg",'Factor Tables'!$I$164:$Q$164,0),FALSE),IF($CL36="PTHP",VLOOKUP($D36,'Factor Tables'!$I$165:$Q$192,MATCH("PTHP Htg",'Factor Tables'!$I$164:$Q$164,0),FALSE),""))))</f>
        <v/>
      </c>
      <c r="DD36" s="77" t="s">
        <v>191</v>
      </c>
      <c r="DE36" s="907" t="s">
        <v>697</v>
      </c>
      <c r="DF36" s="179" t="s">
        <v>307</v>
      </c>
      <c r="DG36" s="179" t="s">
        <v>307</v>
      </c>
      <c r="DH36" s="179" t="s">
        <v>307</v>
      </c>
      <c r="DI36" s="912" t="s">
        <v>697</v>
      </c>
      <c r="DJ36" s="179" t="s">
        <v>307</v>
      </c>
      <c r="DK36" s="179" t="s">
        <v>307</v>
      </c>
      <c r="DL36" s="179" t="s">
        <v>307</v>
      </c>
      <c r="DM36" s="493" t="s">
        <v>478</v>
      </c>
    </row>
    <row r="37" spans="2:117" s="427" customFormat="1" ht="21.95" customHeight="1" x14ac:dyDescent="0.25">
      <c r="B37" s="432">
        <v>28</v>
      </c>
      <c r="C37" s="499" t="str">
        <f t="shared" si="18"/>
        <v/>
      </c>
      <c r="D37" s="403" t="str">
        <f t="shared" si="19"/>
        <v/>
      </c>
      <c r="E37" s="541"/>
      <c r="F37" s="785"/>
      <c r="G37" s="728"/>
      <c r="H37" s="728"/>
      <c r="I37" s="728"/>
      <c r="J37" s="728"/>
      <c r="K37" s="728"/>
      <c r="L37" s="728"/>
      <c r="M37" s="764"/>
      <c r="N37" s="728"/>
      <c r="O37" s="764"/>
      <c r="P37" s="728"/>
      <c r="Q37" s="1142"/>
      <c r="R37" s="1133"/>
      <c r="S37" s="778"/>
      <c r="T37" s="767"/>
      <c r="U37" s="778"/>
      <c r="V37" s="751"/>
      <c r="W37" s="556"/>
      <c r="X37" s="785"/>
      <c r="Y37" s="542"/>
      <c r="Z37" s="500"/>
      <c r="AA37" s="500"/>
      <c r="AB37" s="500"/>
      <c r="AC37" s="500"/>
      <c r="AD37" s="529"/>
      <c r="AE37" s="527">
        <f t="shared" si="39"/>
        <v>0</v>
      </c>
      <c r="AF37" s="527">
        <f t="shared" si="40"/>
        <v>0</v>
      </c>
      <c r="AG37" s="527">
        <f t="shared" si="0"/>
        <v>0</v>
      </c>
      <c r="AH37" s="527">
        <f t="shared" si="1"/>
        <v>0</v>
      </c>
      <c r="AI37" s="527">
        <f t="shared" si="2"/>
        <v>0</v>
      </c>
      <c r="AJ37" s="527">
        <f t="shared" si="3"/>
        <v>999999999</v>
      </c>
      <c r="AK37" s="530"/>
      <c r="AL37" s="776"/>
      <c r="AM37" s="777"/>
      <c r="AN37" s="500"/>
      <c r="AO37" s="778"/>
      <c r="AP37" s="778"/>
      <c r="AQ37" s="500"/>
      <c r="AR37" s="531"/>
      <c r="AS37" s="403"/>
      <c r="AT37" s="524" t="str">
        <f t="shared" si="4"/>
        <v/>
      </c>
      <c r="AU37" s="311">
        <f t="shared" si="5"/>
        <v>0</v>
      </c>
      <c r="AV37" s="288">
        <f t="shared" si="22"/>
        <v>0</v>
      </c>
      <c r="AW37" s="290">
        <f>IF(ISERROR($AU37*'Utility Admin'!$E$4+$AV37*'Utility Admin'!$F$4),0,$AU37*'Utility Admin'!$E$4+$AV37*'Utility Admin'!$F$4)</f>
        <v>0</v>
      </c>
      <c r="AX37" s="323" t="str">
        <f t="shared" si="6"/>
        <v/>
      </c>
      <c r="AY37" s="322" t="str">
        <f t="shared" si="23"/>
        <v/>
      </c>
      <c r="AZ37" s="319">
        <f>Baselines!$CJ281</f>
        <v>0</v>
      </c>
      <c r="BA37" s="735">
        <f>Baselines!$CK281</f>
        <v>0</v>
      </c>
      <c r="BB37" s="839">
        <f>Baselines!$CM281</f>
        <v>0</v>
      </c>
      <c r="BC37" s="466">
        <f t="shared" si="7"/>
        <v>0</v>
      </c>
      <c r="BD37" s="464">
        <f t="shared" si="24"/>
        <v>0</v>
      </c>
      <c r="BE37" s="755">
        <f t="shared" si="8"/>
        <v>0</v>
      </c>
      <c r="BF37" s="755">
        <f t="shared" si="25"/>
        <v>0</v>
      </c>
      <c r="BG37" s="466">
        <f t="shared" si="9"/>
        <v>0</v>
      </c>
      <c r="BH37" s="464">
        <f t="shared" si="10"/>
        <v>0</v>
      </c>
      <c r="BI37" s="755">
        <f t="shared" si="11"/>
        <v>0</v>
      </c>
      <c r="BJ37" s="755">
        <f t="shared" si="26"/>
        <v>0</v>
      </c>
      <c r="BK37" s="333">
        <f>IF(OR($C37&lt;&gt;"Early Retirement",$H37=""),0,IF(AND($G37&lt;&gt;"Air Cooled Chiller",$G37&lt;&gt;"Water Cooled Chiller"),VLOOKUP($H37,'Early Retirement'!$CI$6:$CL$33,2,FALSE),IF($J37&lt;&gt;"Centrifugal",VLOOKUP($H37,'Early Retirement'!$CI$6:$CL$33,3,FALSE),IF($J37="Centrifugal",VLOOKUP($H37,'Early Retirement'!$CI$6:$CL$33,4,FALSE),""))))</f>
        <v>0</v>
      </c>
      <c r="BL37" s="450">
        <f t="shared" si="12"/>
        <v>0</v>
      </c>
      <c r="BM37" s="553">
        <f>IFERROR('Utility Admin'!$I$4*((1+'Utility Admin'!$G$4)/('Utility Admin'!$H$4-'Utility Admin'!$G$4))*(1-((1+'Utility Admin'!$G$4)/(1+'Utility Admin'!$H$4))^$BK37)*$BG37,0)</f>
        <v>0</v>
      </c>
      <c r="BN37" s="553">
        <f>IFERROR('Utility Admin'!$I$4*((1+'Utility Admin'!$G$4)/('Utility Admin'!$H$4-'Utility Admin'!$G$4))*(1-((1+'Utility Admin'!$G$4)/(1+'Utility Admin'!$H$4))^$BL37)*((1+'Utility Admin'!$G$4)^$BK37/(1+'Utility Admin'!$H$4)^$BK37)*$BC37,0)</f>
        <v>0</v>
      </c>
      <c r="BO37" s="553">
        <f t="shared" si="27"/>
        <v>0</v>
      </c>
      <c r="BP37" s="553">
        <f>IFERROR('Utility Admin'!$J$4*((1+'Utility Admin'!$G$4)/('Utility Admin'!$H$4-'Utility Admin'!$G$4))*(1-((1+'Utility Admin'!$G$4)/(1+'Utility Admin'!$H$4))^$BK37)*$BJ37,0)</f>
        <v>0</v>
      </c>
      <c r="BQ37" s="553">
        <f>IFERROR('Utility Admin'!$J$4*((1+'Utility Admin'!$G$4)/('Utility Admin'!$H$4-'Utility Admin'!$G$4))*(1-((1+'Utility Admin'!$G$4)/(1+'Utility Admin'!$H$4))^$BL37)*((1+'Utility Admin'!$G$4)^$BK37/(1+'Utility Admin'!$H$4)^$BK37)*$BF37,0)</f>
        <v>0</v>
      </c>
      <c r="BR37" s="553">
        <f t="shared" si="28"/>
        <v>0</v>
      </c>
      <c r="BS37" s="553">
        <f>IFERROR('Utility Admin'!$I$4*((1+'Utility Admin'!$G$4)/('Utility Admin'!$H$4-'Utility Admin'!$G$4))*(1-((1+'Utility Admin'!$G$4)/(1+'Utility Admin'!$H$4))^$AT37),0)</f>
        <v>0</v>
      </c>
      <c r="BT37" s="553">
        <f>IFERROR('Utility Admin'!$J$4*((1+'Utility Admin'!$G$4)/('Utility Admin'!$H$4-'Utility Admin'!$G$4))*(1-((1+'Utility Admin'!$G$4)/(1+'Utility Admin'!$H$4))^$AT37),0)</f>
        <v>0</v>
      </c>
      <c r="BU37" s="459">
        <f t="shared" si="29"/>
        <v>0</v>
      </c>
      <c r="BV37" s="462">
        <f t="shared" si="30"/>
        <v>0</v>
      </c>
      <c r="BW37" s="219" t="str">
        <f t="shared" si="13"/>
        <v/>
      </c>
      <c r="BX37" s="250" t="str">
        <f t="shared" si="31"/>
        <v/>
      </c>
      <c r="BY37" s="250" t="str">
        <f t="shared" si="14"/>
        <v/>
      </c>
      <c r="BZ37" s="184">
        <f t="shared" si="32"/>
        <v>0</v>
      </c>
      <c r="CA37" s="693">
        <f t="shared" si="33"/>
        <v>0</v>
      </c>
      <c r="CB37" s="836">
        <f t="shared" si="34"/>
        <v>0</v>
      </c>
      <c r="CC37" s="693">
        <f>IF(AND($C37="Early Retirement",$H37&lt;&gt;"",$R37&lt;&gt;"",$T37&lt;&gt;""),$BZ37,Baselines!$CJ30)</f>
        <v>0</v>
      </c>
      <c r="CD37" s="693">
        <f>IF(AND($C37="Early Retirement",$H37&lt;&gt;"",$R37&lt;&gt;"",$T37&lt;&gt;""),$CA37,Baselines!$CK30)</f>
        <v>0</v>
      </c>
      <c r="CE37" s="182" t="str">
        <f>Baselines!$CL30</f>
        <v>kW/ton</v>
      </c>
      <c r="CF37" s="850" t="str">
        <f t="shared" si="15"/>
        <v/>
      </c>
      <c r="CG37" s="833">
        <f>IF(AND($C37="Early Retirement",$H37&lt;&gt;"",$R37&lt;&gt;"",$T37&lt;&gt;""),$CB37,IF(AND(Baselines!$CM30=0,OR($CL37="DX HP",$CL37="PTHP")),$BB37,Baselines!$CM30))</f>
        <v>0</v>
      </c>
      <c r="CH37" s="830" t="s">
        <v>567</v>
      </c>
      <c r="CI37" s="185" t="str">
        <f>IF(OR($C37="Replace-on-Burnout",$C37="New Construction"),$CT37,IF($BW37="","",VLOOKUP($D37,'Factor Tables'!$B$165:$H$192,MATCH($BW37,'Factor Tables'!$B$164:$H$164,0),FALSE)))</f>
        <v/>
      </c>
      <c r="CJ37" s="842" t="str">
        <f>IF(OR($C37="Replace-on-Burnout",$C37="New Construction"),$CU37,IF($BW37="","",IF($BW37="DX HP",VLOOKUP($D37,'Factor Tables'!$I$165:$Q$192,MATCH("DX HP Clg",'Factor Tables'!$I$164:$Q$164,0),FALSE),IF($BW37="PTHP",VLOOKUP($D37,'Factor Tables'!$I$165:$Q$192,MATCH("PTHP Clg",'Factor Tables'!$I$164:$Q$164,0),FALSE),IF(AND($BW37&lt;&gt;"DX HP",$BW37&lt;&gt;"PTHP"),VLOOKUP($D37,'Factor Tables'!$I$165:$Q$192,MATCH($BW37,'Factor Tables'!$I$164:$Q$164,0),FALSE),"")))))</f>
        <v/>
      </c>
      <c r="CK37" s="186" t="str">
        <f>IF(OR($C37="Replace-on-Burnout",$C37="New Construction",$CL37="DX HP",$CL37="PTHP"),$CV37,IF($BW37="","",IF($BW37="DX HP",VLOOKUP($D37,'Factor Tables'!$I$165:$Q$192,MATCH("DX HP Htg",'Factor Tables'!$I$164:$Q$164,0),FALSE),IF($BW37="PTHP",VLOOKUP($D37,'Factor Tables'!$I$165:$Q$192,MATCH("PTHP Htg",'Factor Tables'!$I$164:$Q$164,0),FALSE),0))))</f>
        <v/>
      </c>
      <c r="CL37" s="187" t="str">
        <f t="shared" si="16"/>
        <v/>
      </c>
      <c r="CM37" s="251" t="str">
        <f t="shared" si="17"/>
        <v/>
      </c>
      <c r="CN37" s="184">
        <f t="shared" si="35"/>
        <v>0</v>
      </c>
      <c r="CO37" s="693">
        <f t="shared" si="36"/>
        <v>0</v>
      </c>
      <c r="CP37" s="182" t="s">
        <v>46</v>
      </c>
      <c r="CQ37" s="852" t="str">
        <f t="shared" si="37"/>
        <v/>
      </c>
      <c r="CR37" s="833">
        <f t="shared" si="38"/>
        <v>0</v>
      </c>
      <c r="CS37" s="830" t="s">
        <v>567</v>
      </c>
      <c r="CT37" s="185" t="str">
        <f>IF($CL37="","",VLOOKUP($D37,'Factor Tables'!$B$165:$H$192,MATCH($CL37,'Factor Tables'!$B$164:$H$164,0),FALSE))</f>
        <v/>
      </c>
      <c r="CU37" s="842" t="str">
        <f>IF($CL37="","",IF(AND($CL37&lt;&gt;"DX HP",$CL37&lt;&gt;"PTHP"),VLOOKUP($D37,'Factor Tables'!$I$165:$Q$192,MATCH($CL37,'Factor Tables'!$I$164:$Q$164,0),FALSE),IF($CL37="DX HP",VLOOKUP($D37,'Factor Tables'!$I$165:$Q$192,MATCH("DX HP Clg",'Factor Tables'!$I$164:$Q$164,0),FALSE),IF($CL37="PTHP",VLOOKUP($D37,'Factor Tables'!$I$165:$Q$192,MATCH("PTHP Clg",'Factor Tables'!$I$164:$Q$164,0),FALSE),""))))</f>
        <v/>
      </c>
      <c r="CV37" s="186" t="str">
        <f>IF($CL37="","",IF(AND($CL37&lt;&gt;"DX HP",$CL37&lt;&gt;"PTHP"),0,IF($CL37="DX HP",VLOOKUP($D37,'Factor Tables'!$I$165:$Q$192,MATCH("DX HP Htg",'Factor Tables'!$I$164:$Q$164,0),FALSE),IF($CL37="PTHP",VLOOKUP($D37,'Factor Tables'!$I$165:$Q$192,MATCH("PTHP Htg",'Factor Tables'!$I$164:$Q$164,0),FALSE),""))))</f>
        <v/>
      </c>
      <c r="DD37" s="77" t="s">
        <v>190</v>
      </c>
      <c r="DE37" s="907" t="s">
        <v>698</v>
      </c>
      <c r="DF37" s="179" t="s">
        <v>307</v>
      </c>
      <c r="DG37" s="179" t="s">
        <v>307</v>
      </c>
      <c r="DH37" s="179" t="s">
        <v>307</v>
      </c>
      <c r="DI37" s="912" t="s">
        <v>698</v>
      </c>
      <c r="DJ37" s="179" t="s">
        <v>307</v>
      </c>
      <c r="DK37" s="179" t="s">
        <v>307</v>
      </c>
      <c r="DL37" s="179" t="s">
        <v>307</v>
      </c>
      <c r="DM37" s="493" t="s">
        <v>478</v>
      </c>
    </row>
    <row r="38" spans="2:117" s="427" customFormat="1" ht="21.95" customHeight="1" x14ac:dyDescent="0.25">
      <c r="B38" s="431">
        <v>29</v>
      </c>
      <c r="C38" s="501" t="str">
        <f t="shared" si="18"/>
        <v/>
      </c>
      <c r="D38" s="502" t="str">
        <f t="shared" si="19"/>
        <v/>
      </c>
      <c r="E38" s="546"/>
      <c r="F38" s="547"/>
      <c r="G38" s="729"/>
      <c r="H38" s="729"/>
      <c r="I38" s="729"/>
      <c r="J38" s="729"/>
      <c r="K38" s="729"/>
      <c r="L38" s="729"/>
      <c r="M38" s="765"/>
      <c r="N38" s="758"/>
      <c r="O38" s="765"/>
      <c r="P38" s="758"/>
      <c r="Q38" s="1143"/>
      <c r="R38" s="1134"/>
      <c r="S38" s="775"/>
      <c r="T38" s="729"/>
      <c r="U38" s="775"/>
      <c r="V38" s="779"/>
      <c r="W38" s="557"/>
      <c r="X38" s="788"/>
      <c r="Y38" s="543"/>
      <c r="Z38" s="281"/>
      <c r="AA38" s="281"/>
      <c r="AB38" s="281"/>
      <c r="AC38" s="281"/>
      <c r="AD38" s="492"/>
      <c r="AE38" s="527">
        <f t="shared" si="39"/>
        <v>0</v>
      </c>
      <c r="AF38" s="527">
        <f t="shared" si="40"/>
        <v>0</v>
      </c>
      <c r="AG38" s="527">
        <f t="shared" si="0"/>
        <v>0</v>
      </c>
      <c r="AH38" s="527">
        <f t="shared" si="1"/>
        <v>0</v>
      </c>
      <c r="AI38" s="527">
        <f t="shared" si="2"/>
        <v>0</v>
      </c>
      <c r="AJ38" s="527">
        <f t="shared" si="3"/>
        <v>999999999</v>
      </c>
      <c r="AK38" s="471"/>
      <c r="AL38" s="765"/>
      <c r="AM38" s="758"/>
      <c r="AN38" s="281"/>
      <c r="AO38" s="775"/>
      <c r="AP38" s="775"/>
      <c r="AQ38" s="281"/>
      <c r="AR38" s="528"/>
      <c r="AS38" s="532"/>
      <c r="AT38" s="524" t="str">
        <f t="shared" si="4"/>
        <v/>
      </c>
      <c r="AU38" s="311">
        <f t="shared" si="5"/>
        <v>0</v>
      </c>
      <c r="AV38" s="288">
        <f t="shared" si="22"/>
        <v>0</v>
      </c>
      <c r="AW38" s="290">
        <f>IF(ISERROR($AU38*'Utility Admin'!$E$4+$AV38*'Utility Admin'!$F$4),0,$AU38*'Utility Admin'!$E$4+$AV38*'Utility Admin'!$F$4)</f>
        <v>0</v>
      </c>
      <c r="AX38" s="323" t="str">
        <f t="shared" si="6"/>
        <v/>
      </c>
      <c r="AY38" s="322" t="str">
        <f t="shared" si="23"/>
        <v/>
      </c>
      <c r="AZ38" s="319">
        <f>Baselines!$CJ282</f>
        <v>0</v>
      </c>
      <c r="BA38" s="735">
        <f>Baselines!$CK282</f>
        <v>0</v>
      </c>
      <c r="BB38" s="839">
        <f>Baselines!$CM282</f>
        <v>0</v>
      </c>
      <c r="BC38" s="466">
        <f t="shared" si="7"/>
        <v>0</v>
      </c>
      <c r="BD38" s="464">
        <f t="shared" si="24"/>
        <v>0</v>
      </c>
      <c r="BE38" s="755">
        <f t="shared" si="8"/>
        <v>0</v>
      </c>
      <c r="BF38" s="755">
        <f t="shared" si="25"/>
        <v>0</v>
      </c>
      <c r="BG38" s="466">
        <f t="shared" si="9"/>
        <v>0</v>
      </c>
      <c r="BH38" s="464">
        <f t="shared" si="10"/>
        <v>0</v>
      </c>
      <c r="BI38" s="755">
        <f t="shared" si="11"/>
        <v>0</v>
      </c>
      <c r="BJ38" s="755">
        <f t="shared" si="26"/>
        <v>0</v>
      </c>
      <c r="BK38" s="333">
        <f>IF(OR($C38&lt;&gt;"Early Retirement",$H38=""),0,IF(AND($G38&lt;&gt;"Air Cooled Chiller",$G38&lt;&gt;"Water Cooled Chiller"),VLOOKUP($H38,'Early Retirement'!$CI$6:$CL$33,2,FALSE),IF($J38&lt;&gt;"Centrifugal",VLOOKUP($H38,'Early Retirement'!$CI$6:$CL$33,3,FALSE),IF($J38="Centrifugal",VLOOKUP($H38,'Early Retirement'!$CI$6:$CL$33,4,FALSE),""))))</f>
        <v>0</v>
      </c>
      <c r="BL38" s="450">
        <f t="shared" si="12"/>
        <v>0</v>
      </c>
      <c r="BM38" s="553">
        <f>IFERROR('Utility Admin'!$I$4*((1+'Utility Admin'!$G$4)/('Utility Admin'!$H$4-'Utility Admin'!$G$4))*(1-((1+'Utility Admin'!$G$4)/(1+'Utility Admin'!$H$4))^$BK38)*$BG38,0)</f>
        <v>0</v>
      </c>
      <c r="BN38" s="553">
        <f>IFERROR('Utility Admin'!$I$4*((1+'Utility Admin'!$G$4)/('Utility Admin'!$H$4-'Utility Admin'!$G$4))*(1-((1+'Utility Admin'!$G$4)/(1+'Utility Admin'!$H$4))^$BL38)*((1+'Utility Admin'!$G$4)^$BK38/(1+'Utility Admin'!$H$4)^$BK38)*$BC38,0)</f>
        <v>0</v>
      </c>
      <c r="BO38" s="553">
        <f t="shared" si="27"/>
        <v>0</v>
      </c>
      <c r="BP38" s="553">
        <f>IFERROR('Utility Admin'!$J$4*((1+'Utility Admin'!$G$4)/('Utility Admin'!$H$4-'Utility Admin'!$G$4))*(1-((1+'Utility Admin'!$G$4)/(1+'Utility Admin'!$H$4))^$BK38)*$BJ38,0)</f>
        <v>0</v>
      </c>
      <c r="BQ38" s="553">
        <f>IFERROR('Utility Admin'!$J$4*((1+'Utility Admin'!$G$4)/('Utility Admin'!$H$4-'Utility Admin'!$G$4))*(1-((1+'Utility Admin'!$G$4)/(1+'Utility Admin'!$H$4))^$BL38)*((1+'Utility Admin'!$G$4)^$BK38/(1+'Utility Admin'!$H$4)^$BK38)*$BF38,0)</f>
        <v>0</v>
      </c>
      <c r="BR38" s="553">
        <f t="shared" si="28"/>
        <v>0</v>
      </c>
      <c r="BS38" s="553">
        <f>IFERROR('Utility Admin'!$I$4*((1+'Utility Admin'!$G$4)/('Utility Admin'!$H$4-'Utility Admin'!$G$4))*(1-((1+'Utility Admin'!$G$4)/(1+'Utility Admin'!$H$4))^$AT38),0)</f>
        <v>0</v>
      </c>
      <c r="BT38" s="553">
        <f>IFERROR('Utility Admin'!$J$4*((1+'Utility Admin'!$G$4)/('Utility Admin'!$H$4-'Utility Admin'!$G$4))*(1-((1+'Utility Admin'!$G$4)/(1+'Utility Admin'!$H$4))^$AT38),0)</f>
        <v>0</v>
      </c>
      <c r="BU38" s="459">
        <f t="shared" si="29"/>
        <v>0</v>
      </c>
      <c r="BV38" s="462">
        <f t="shared" si="30"/>
        <v>0</v>
      </c>
      <c r="BW38" s="219" t="str">
        <f t="shared" si="13"/>
        <v/>
      </c>
      <c r="BX38" s="250" t="str">
        <f t="shared" si="31"/>
        <v/>
      </c>
      <c r="BY38" s="250" t="str">
        <f t="shared" si="14"/>
        <v/>
      </c>
      <c r="BZ38" s="184">
        <f t="shared" si="32"/>
        <v>0</v>
      </c>
      <c r="CA38" s="693">
        <f t="shared" si="33"/>
        <v>0</v>
      </c>
      <c r="CB38" s="836">
        <f t="shared" si="34"/>
        <v>0</v>
      </c>
      <c r="CC38" s="693">
        <f>IF(AND($C38="Early Retirement",$H38&lt;&gt;"",$R38&lt;&gt;"",$T38&lt;&gt;""),$BZ38,Baselines!$CJ31)</f>
        <v>0</v>
      </c>
      <c r="CD38" s="693">
        <f>IF(AND($C38="Early Retirement",$H38&lt;&gt;"",$R38&lt;&gt;"",$T38&lt;&gt;""),$CA38,Baselines!$CK31)</f>
        <v>0</v>
      </c>
      <c r="CE38" s="182" t="str">
        <f>Baselines!$CL31</f>
        <v>kW/ton</v>
      </c>
      <c r="CF38" s="850" t="str">
        <f t="shared" si="15"/>
        <v/>
      </c>
      <c r="CG38" s="833">
        <f>IF(AND($C38="Early Retirement",$H38&lt;&gt;"",$R38&lt;&gt;"",$T38&lt;&gt;""),$CB38,IF(AND(Baselines!$CM31=0,OR($CL38="DX HP",$CL38="PTHP")),$BB38,Baselines!$CM31))</f>
        <v>0</v>
      </c>
      <c r="CH38" s="830" t="s">
        <v>567</v>
      </c>
      <c r="CI38" s="185" t="str">
        <f>IF(OR($C38="Replace-on-Burnout",$C38="New Construction"),$CT38,IF($BW38="","",VLOOKUP($D38,'Factor Tables'!$B$165:$H$192,MATCH($BW38,'Factor Tables'!$B$164:$H$164,0),FALSE)))</f>
        <v/>
      </c>
      <c r="CJ38" s="842" t="str">
        <f>IF(OR($C38="Replace-on-Burnout",$C38="New Construction"),$CU38,IF($BW38="","",IF($BW38="DX HP",VLOOKUP($D38,'Factor Tables'!$I$165:$Q$192,MATCH("DX HP Clg",'Factor Tables'!$I$164:$Q$164,0),FALSE),IF($BW38="PTHP",VLOOKUP($D38,'Factor Tables'!$I$165:$Q$192,MATCH("PTHP Clg",'Factor Tables'!$I$164:$Q$164,0),FALSE),IF(AND($BW38&lt;&gt;"DX HP",$BW38&lt;&gt;"PTHP"),VLOOKUP($D38,'Factor Tables'!$I$165:$Q$192,MATCH($BW38,'Factor Tables'!$I$164:$Q$164,0),FALSE),"")))))</f>
        <v/>
      </c>
      <c r="CK38" s="186" t="str">
        <f>IF(OR($C38="Replace-on-Burnout",$C38="New Construction",$CL38="DX HP",$CL38="PTHP"),$CV38,IF($BW38="","",IF($BW38="DX HP",VLOOKUP($D38,'Factor Tables'!$I$165:$Q$192,MATCH("DX HP Htg",'Factor Tables'!$I$164:$Q$164,0),FALSE),IF($BW38="PTHP",VLOOKUP($D38,'Factor Tables'!$I$165:$Q$192,MATCH("PTHP Htg",'Factor Tables'!$I$164:$Q$164,0),FALSE),0))))</f>
        <v/>
      </c>
      <c r="CL38" s="187" t="str">
        <f t="shared" si="16"/>
        <v/>
      </c>
      <c r="CM38" s="251" t="str">
        <f t="shared" si="17"/>
        <v/>
      </c>
      <c r="CN38" s="184">
        <f t="shared" si="35"/>
        <v>0</v>
      </c>
      <c r="CO38" s="693">
        <f t="shared" si="36"/>
        <v>0</v>
      </c>
      <c r="CP38" s="182" t="s">
        <v>46</v>
      </c>
      <c r="CQ38" s="852" t="str">
        <f t="shared" si="37"/>
        <v/>
      </c>
      <c r="CR38" s="833">
        <f t="shared" si="38"/>
        <v>0</v>
      </c>
      <c r="CS38" s="830" t="s">
        <v>567</v>
      </c>
      <c r="CT38" s="185" t="str">
        <f>IF($CL38="","",VLOOKUP($D38,'Factor Tables'!$B$165:$H$192,MATCH($CL38,'Factor Tables'!$B$164:$H$164,0),FALSE))</f>
        <v/>
      </c>
      <c r="CU38" s="842" t="str">
        <f>IF($CL38="","",IF(AND($CL38&lt;&gt;"DX HP",$CL38&lt;&gt;"PTHP"),VLOOKUP($D38,'Factor Tables'!$I$165:$Q$192,MATCH($CL38,'Factor Tables'!$I$164:$Q$164,0),FALSE),IF($CL38="DX HP",VLOOKUP($D38,'Factor Tables'!$I$165:$Q$192,MATCH("DX HP Clg",'Factor Tables'!$I$164:$Q$164,0),FALSE),IF($CL38="PTHP",VLOOKUP($D38,'Factor Tables'!$I$165:$Q$192,MATCH("PTHP Clg",'Factor Tables'!$I$164:$Q$164,0),FALSE),""))))</f>
        <v/>
      </c>
      <c r="CV38" s="186" t="str">
        <f>IF($CL38="","",IF(AND($CL38&lt;&gt;"DX HP",$CL38&lt;&gt;"PTHP"),0,IF($CL38="DX HP",VLOOKUP($D38,'Factor Tables'!$I$165:$Q$192,MATCH("DX HP Htg",'Factor Tables'!$I$164:$Q$164,0),FALSE),IF($CL38="PTHP",VLOOKUP($D38,'Factor Tables'!$I$165:$Q$192,MATCH("PTHP Htg",'Factor Tables'!$I$164:$Q$164,0),FALSE),""))))</f>
        <v/>
      </c>
      <c r="DD38" s="845"/>
      <c r="DE38" s="6"/>
      <c r="DF38" s="7"/>
      <c r="DG38" s="7"/>
      <c r="DH38" s="7"/>
      <c r="DI38" s="5"/>
      <c r="DJ38" s="5"/>
      <c r="DK38" s="5"/>
      <c r="DL38" s="5"/>
      <c r="DM38" s="493" t="s">
        <v>478</v>
      </c>
    </row>
    <row r="39" spans="2:117" s="427" customFormat="1" ht="21.95" customHeight="1" x14ac:dyDescent="0.25">
      <c r="B39" s="432">
        <v>30</v>
      </c>
      <c r="C39" s="499" t="str">
        <f t="shared" si="18"/>
        <v/>
      </c>
      <c r="D39" s="403" t="str">
        <f t="shared" si="19"/>
        <v/>
      </c>
      <c r="E39" s="541"/>
      <c r="F39" s="785"/>
      <c r="G39" s="728"/>
      <c r="H39" s="728"/>
      <c r="I39" s="728"/>
      <c r="J39" s="728"/>
      <c r="K39" s="728"/>
      <c r="L39" s="728"/>
      <c r="M39" s="764"/>
      <c r="N39" s="728"/>
      <c r="O39" s="764"/>
      <c r="P39" s="728"/>
      <c r="Q39" s="1142"/>
      <c r="R39" s="1133"/>
      <c r="S39" s="778"/>
      <c r="T39" s="767"/>
      <c r="U39" s="778"/>
      <c r="V39" s="751"/>
      <c r="W39" s="556"/>
      <c r="X39" s="785"/>
      <c r="Y39" s="542"/>
      <c r="Z39" s="500"/>
      <c r="AA39" s="500"/>
      <c r="AB39" s="500"/>
      <c r="AC39" s="500"/>
      <c r="AD39" s="529"/>
      <c r="AE39" s="527">
        <f t="shared" si="39"/>
        <v>0</v>
      </c>
      <c r="AF39" s="527">
        <f t="shared" si="40"/>
        <v>0</v>
      </c>
      <c r="AG39" s="527">
        <f t="shared" si="0"/>
        <v>0</v>
      </c>
      <c r="AH39" s="527">
        <f t="shared" si="1"/>
        <v>0</v>
      </c>
      <c r="AI39" s="527">
        <f t="shared" si="2"/>
        <v>0</v>
      </c>
      <c r="AJ39" s="527">
        <f t="shared" si="3"/>
        <v>999999999</v>
      </c>
      <c r="AK39" s="530"/>
      <c r="AL39" s="776"/>
      <c r="AM39" s="777"/>
      <c r="AN39" s="500"/>
      <c r="AO39" s="778"/>
      <c r="AP39" s="778"/>
      <c r="AQ39" s="500"/>
      <c r="AR39" s="531"/>
      <c r="AS39" s="403"/>
      <c r="AT39" s="524" t="str">
        <f t="shared" si="4"/>
        <v/>
      </c>
      <c r="AU39" s="311">
        <f t="shared" si="5"/>
        <v>0</v>
      </c>
      <c r="AV39" s="288">
        <f t="shared" si="22"/>
        <v>0</v>
      </c>
      <c r="AW39" s="290">
        <f>IF(ISERROR($AU39*'Utility Admin'!$E$4+$AV39*'Utility Admin'!$F$4),0,$AU39*'Utility Admin'!$E$4+$AV39*'Utility Admin'!$F$4)</f>
        <v>0</v>
      </c>
      <c r="AX39" s="323" t="str">
        <f t="shared" si="6"/>
        <v/>
      </c>
      <c r="AY39" s="322" t="str">
        <f t="shared" si="23"/>
        <v/>
      </c>
      <c r="AZ39" s="319">
        <f>Baselines!$CJ283</f>
        <v>0</v>
      </c>
      <c r="BA39" s="735">
        <f>Baselines!$CK283</f>
        <v>0</v>
      </c>
      <c r="BB39" s="839">
        <f>Baselines!$CM283</f>
        <v>0</v>
      </c>
      <c r="BC39" s="466">
        <f t="shared" si="7"/>
        <v>0</v>
      </c>
      <c r="BD39" s="464">
        <f t="shared" si="24"/>
        <v>0</v>
      </c>
      <c r="BE39" s="755">
        <f t="shared" si="8"/>
        <v>0</v>
      </c>
      <c r="BF39" s="755">
        <f t="shared" si="25"/>
        <v>0</v>
      </c>
      <c r="BG39" s="466">
        <f t="shared" si="9"/>
        <v>0</v>
      </c>
      <c r="BH39" s="464">
        <f t="shared" si="10"/>
        <v>0</v>
      </c>
      <c r="BI39" s="755">
        <f t="shared" si="11"/>
        <v>0</v>
      </c>
      <c r="BJ39" s="755">
        <f t="shared" si="26"/>
        <v>0</v>
      </c>
      <c r="BK39" s="333">
        <f>IF(OR($C39&lt;&gt;"Early Retirement",$H39=""),0,IF(AND($G39&lt;&gt;"Air Cooled Chiller",$G39&lt;&gt;"Water Cooled Chiller"),VLOOKUP($H39,'Early Retirement'!$CI$6:$CL$33,2,FALSE),IF($J39&lt;&gt;"Centrifugal",VLOOKUP($H39,'Early Retirement'!$CI$6:$CL$33,3,FALSE),IF($J39="Centrifugal",VLOOKUP($H39,'Early Retirement'!$CI$6:$CL$33,4,FALSE),""))))</f>
        <v>0</v>
      </c>
      <c r="BL39" s="450">
        <f t="shared" si="12"/>
        <v>0</v>
      </c>
      <c r="BM39" s="553">
        <f>IFERROR('Utility Admin'!$I$4*((1+'Utility Admin'!$G$4)/('Utility Admin'!$H$4-'Utility Admin'!$G$4))*(1-((1+'Utility Admin'!$G$4)/(1+'Utility Admin'!$H$4))^$BK39)*$BG39,0)</f>
        <v>0</v>
      </c>
      <c r="BN39" s="553">
        <f>IFERROR('Utility Admin'!$I$4*((1+'Utility Admin'!$G$4)/('Utility Admin'!$H$4-'Utility Admin'!$G$4))*(1-((1+'Utility Admin'!$G$4)/(1+'Utility Admin'!$H$4))^$BL39)*((1+'Utility Admin'!$G$4)^$BK39/(1+'Utility Admin'!$H$4)^$BK39)*$BC39,0)</f>
        <v>0</v>
      </c>
      <c r="BO39" s="553">
        <f t="shared" si="27"/>
        <v>0</v>
      </c>
      <c r="BP39" s="553">
        <f>IFERROR('Utility Admin'!$J$4*((1+'Utility Admin'!$G$4)/('Utility Admin'!$H$4-'Utility Admin'!$G$4))*(1-((1+'Utility Admin'!$G$4)/(1+'Utility Admin'!$H$4))^$BK39)*$BJ39,0)</f>
        <v>0</v>
      </c>
      <c r="BQ39" s="553">
        <f>IFERROR('Utility Admin'!$J$4*((1+'Utility Admin'!$G$4)/('Utility Admin'!$H$4-'Utility Admin'!$G$4))*(1-((1+'Utility Admin'!$G$4)/(1+'Utility Admin'!$H$4))^$BL39)*((1+'Utility Admin'!$G$4)^$BK39/(1+'Utility Admin'!$H$4)^$BK39)*$BF39,0)</f>
        <v>0</v>
      </c>
      <c r="BR39" s="553">
        <f t="shared" si="28"/>
        <v>0</v>
      </c>
      <c r="BS39" s="553">
        <f>IFERROR('Utility Admin'!$I$4*((1+'Utility Admin'!$G$4)/('Utility Admin'!$H$4-'Utility Admin'!$G$4))*(1-((1+'Utility Admin'!$G$4)/(1+'Utility Admin'!$H$4))^$AT39),0)</f>
        <v>0</v>
      </c>
      <c r="BT39" s="553">
        <f>IFERROR('Utility Admin'!$J$4*((1+'Utility Admin'!$G$4)/('Utility Admin'!$H$4-'Utility Admin'!$G$4))*(1-((1+'Utility Admin'!$G$4)/(1+'Utility Admin'!$H$4))^$AT39),0)</f>
        <v>0</v>
      </c>
      <c r="BU39" s="459">
        <f t="shared" si="29"/>
        <v>0</v>
      </c>
      <c r="BV39" s="462">
        <f t="shared" si="30"/>
        <v>0</v>
      </c>
      <c r="BW39" s="219" t="str">
        <f t="shared" si="13"/>
        <v/>
      </c>
      <c r="BX39" s="250" t="str">
        <f t="shared" si="31"/>
        <v/>
      </c>
      <c r="BY39" s="250" t="str">
        <f t="shared" si="14"/>
        <v/>
      </c>
      <c r="BZ39" s="184">
        <f t="shared" si="32"/>
        <v>0</v>
      </c>
      <c r="CA39" s="693">
        <f t="shared" si="33"/>
        <v>0</v>
      </c>
      <c r="CB39" s="836">
        <f t="shared" si="34"/>
        <v>0</v>
      </c>
      <c r="CC39" s="693">
        <f>IF(AND($C39="Early Retirement",$H39&lt;&gt;"",$R39&lt;&gt;"",$T39&lt;&gt;""),$BZ39,Baselines!$CJ32)</f>
        <v>0</v>
      </c>
      <c r="CD39" s="693">
        <f>IF(AND($C39="Early Retirement",$H39&lt;&gt;"",$R39&lt;&gt;"",$T39&lt;&gt;""),$CA39,Baselines!$CK32)</f>
        <v>0</v>
      </c>
      <c r="CE39" s="182" t="str">
        <f>Baselines!$CL32</f>
        <v>kW/ton</v>
      </c>
      <c r="CF39" s="850" t="str">
        <f t="shared" si="15"/>
        <v/>
      </c>
      <c r="CG39" s="833">
        <f>IF(AND($C39="Early Retirement",$H39&lt;&gt;"",$R39&lt;&gt;"",$T39&lt;&gt;""),$CB39,IF(AND(Baselines!$CM32=0,OR($CL39="DX HP",$CL39="PTHP")),$BB39,Baselines!$CM32))</f>
        <v>0</v>
      </c>
      <c r="CH39" s="830" t="s">
        <v>567</v>
      </c>
      <c r="CI39" s="185" t="str">
        <f>IF(OR($C39="Replace-on-Burnout",$C39="New Construction"),$CT39,IF($BW39="","",VLOOKUP($D39,'Factor Tables'!$B$165:$H$192,MATCH($BW39,'Factor Tables'!$B$164:$H$164,0),FALSE)))</f>
        <v/>
      </c>
      <c r="CJ39" s="842" t="str">
        <f>IF(OR($C39="Replace-on-Burnout",$C39="New Construction"),$CU39,IF($BW39="","",IF($BW39="DX HP",VLOOKUP($D39,'Factor Tables'!$I$165:$Q$192,MATCH("DX HP Clg",'Factor Tables'!$I$164:$Q$164,0),FALSE),IF($BW39="PTHP",VLOOKUP($D39,'Factor Tables'!$I$165:$Q$192,MATCH("PTHP Clg",'Factor Tables'!$I$164:$Q$164,0),FALSE),IF(AND($BW39&lt;&gt;"DX HP",$BW39&lt;&gt;"PTHP"),VLOOKUP($D39,'Factor Tables'!$I$165:$Q$192,MATCH($BW39,'Factor Tables'!$I$164:$Q$164,0),FALSE),"")))))</f>
        <v/>
      </c>
      <c r="CK39" s="186" t="str">
        <f>IF(OR($C39="Replace-on-Burnout",$C39="New Construction",$CL39="DX HP",$CL39="PTHP"),$CV39,IF($BW39="","",IF($BW39="DX HP",VLOOKUP($D39,'Factor Tables'!$I$165:$Q$192,MATCH("DX HP Htg",'Factor Tables'!$I$164:$Q$164,0),FALSE),IF($BW39="PTHP",VLOOKUP($D39,'Factor Tables'!$I$165:$Q$192,MATCH("PTHP Htg",'Factor Tables'!$I$164:$Q$164,0),FALSE),0))))</f>
        <v/>
      </c>
      <c r="CL39" s="187" t="str">
        <f t="shared" si="16"/>
        <v/>
      </c>
      <c r="CM39" s="251" t="str">
        <f t="shared" si="17"/>
        <v/>
      </c>
      <c r="CN39" s="184">
        <f t="shared" si="35"/>
        <v>0</v>
      </c>
      <c r="CO39" s="693">
        <f t="shared" si="36"/>
        <v>0</v>
      </c>
      <c r="CP39" s="182" t="s">
        <v>46</v>
      </c>
      <c r="CQ39" s="852" t="str">
        <f t="shared" si="37"/>
        <v/>
      </c>
      <c r="CR39" s="833">
        <f t="shared" si="38"/>
        <v>0</v>
      </c>
      <c r="CS39" s="830" t="s">
        <v>567</v>
      </c>
      <c r="CT39" s="185" t="str">
        <f>IF($CL39="","",VLOOKUP($D39,'Factor Tables'!$B$165:$H$192,MATCH($CL39,'Factor Tables'!$B$164:$H$164,0),FALSE))</f>
        <v/>
      </c>
      <c r="CU39" s="842" t="str">
        <f>IF($CL39="","",IF(AND($CL39&lt;&gt;"DX HP",$CL39&lt;&gt;"PTHP"),VLOOKUP($D39,'Factor Tables'!$I$165:$Q$192,MATCH($CL39,'Factor Tables'!$I$164:$Q$164,0),FALSE),IF($CL39="DX HP",VLOOKUP($D39,'Factor Tables'!$I$165:$Q$192,MATCH("DX HP Clg",'Factor Tables'!$I$164:$Q$164,0),FALSE),IF($CL39="PTHP",VLOOKUP($D39,'Factor Tables'!$I$165:$Q$192,MATCH("PTHP Clg",'Factor Tables'!$I$164:$Q$164,0),FALSE),""))))</f>
        <v/>
      </c>
      <c r="CV39" s="186" t="str">
        <f>IF($CL39="","",IF(AND($CL39&lt;&gt;"DX HP",$CL39&lt;&gt;"PTHP"),0,IF($CL39="DX HP",VLOOKUP($D39,'Factor Tables'!$I$165:$Q$192,MATCH("DX HP Htg",'Factor Tables'!$I$164:$Q$164,0),FALSE),IF($CL39="PTHP",VLOOKUP($D39,'Factor Tables'!$I$165:$Q$192,MATCH("PTHP Htg",'Factor Tables'!$I$164:$Q$164,0),FALSE),""))))</f>
        <v/>
      </c>
      <c r="DD39" s="193" t="s">
        <v>362</v>
      </c>
      <c r="DE39" s="6"/>
      <c r="DF39" s="7"/>
      <c r="DG39" s="7"/>
      <c r="DH39" s="7"/>
      <c r="DI39" s="5"/>
      <c r="DJ39" s="5"/>
      <c r="DK39" s="5"/>
      <c r="DL39" s="5"/>
      <c r="DM39" s="493" t="s">
        <v>478</v>
      </c>
    </row>
    <row r="40" spans="2:117" s="427" customFormat="1" ht="21.95" customHeight="1" x14ac:dyDescent="0.25">
      <c r="B40" s="431">
        <v>31</v>
      </c>
      <c r="C40" s="501" t="str">
        <f t="shared" si="18"/>
        <v/>
      </c>
      <c r="D40" s="502" t="str">
        <f t="shared" si="19"/>
        <v/>
      </c>
      <c r="E40" s="546"/>
      <c r="F40" s="547"/>
      <c r="G40" s="729"/>
      <c r="H40" s="729"/>
      <c r="I40" s="729"/>
      <c r="J40" s="729"/>
      <c r="K40" s="729"/>
      <c r="L40" s="729"/>
      <c r="M40" s="765"/>
      <c r="N40" s="758"/>
      <c r="O40" s="765"/>
      <c r="P40" s="758"/>
      <c r="Q40" s="1143"/>
      <c r="R40" s="1134"/>
      <c r="S40" s="775"/>
      <c r="T40" s="729"/>
      <c r="U40" s="775"/>
      <c r="V40" s="779"/>
      <c r="W40" s="557"/>
      <c r="X40" s="788"/>
      <c r="Y40" s="543"/>
      <c r="Z40" s="281"/>
      <c r="AA40" s="281"/>
      <c r="AB40" s="281"/>
      <c r="AC40" s="281"/>
      <c r="AD40" s="492"/>
      <c r="AE40" s="527">
        <f t="shared" si="39"/>
        <v>0</v>
      </c>
      <c r="AF40" s="527">
        <f t="shared" si="40"/>
        <v>0</v>
      </c>
      <c r="AG40" s="527">
        <f t="shared" si="0"/>
        <v>0</v>
      </c>
      <c r="AH40" s="527">
        <f t="shared" si="1"/>
        <v>0</v>
      </c>
      <c r="AI40" s="527">
        <f t="shared" si="2"/>
        <v>0</v>
      </c>
      <c r="AJ40" s="527">
        <f t="shared" si="3"/>
        <v>999999999</v>
      </c>
      <c r="AK40" s="471"/>
      <c r="AL40" s="765"/>
      <c r="AM40" s="758"/>
      <c r="AN40" s="281"/>
      <c r="AO40" s="775"/>
      <c r="AP40" s="775"/>
      <c r="AQ40" s="281"/>
      <c r="AR40" s="528"/>
      <c r="AS40" s="532"/>
      <c r="AT40" s="524" t="str">
        <f t="shared" si="4"/>
        <v/>
      </c>
      <c r="AU40" s="311">
        <f t="shared" si="5"/>
        <v>0</v>
      </c>
      <c r="AV40" s="288">
        <f t="shared" si="22"/>
        <v>0</v>
      </c>
      <c r="AW40" s="290">
        <f>IF(ISERROR($AU40*'Utility Admin'!$E$4+$AV40*'Utility Admin'!$F$4),0,$AU40*'Utility Admin'!$E$4+$AV40*'Utility Admin'!$F$4)</f>
        <v>0</v>
      </c>
      <c r="AX40" s="323" t="str">
        <f t="shared" si="6"/>
        <v/>
      </c>
      <c r="AY40" s="322" t="str">
        <f t="shared" si="23"/>
        <v/>
      </c>
      <c r="AZ40" s="319">
        <f>Baselines!$CJ284</f>
        <v>0</v>
      </c>
      <c r="BA40" s="735">
        <f>Baselines!$CK284</f>
        <v>0</v>
      </c>
      <c r="BB40" s="839">
        <f>Baselines!$CM284</f>
        <v>0</v>
      </c>
      <c r="BC40" s="466">
        <f t="shared" si="7"/>
        <v>0</v>
      </c>
      <c r="BD40" s="464">
        <f t="shared" si="24"/>
        <v>0</v>
      </c>
      <c r="BE40" s="755">
        <f t="shared" si="8"/>
        <v>0</v>
      </c>
      <c r="BF40" s="755">
        <f t="shared" si="25"/>
        <v>0</v>
      </c>
      <c r="BG40" s="466">
        <f t="shared" si="9"/>
        <v>0</v>
      </c>
      <c r="BH40" s="464">
        <f t="shared" si="10"/>
        <v>0</v>
      </c>
      <c r="BI40" s="755">
        <f t="shared" si="11"/>
        <v>0</v>
      </c>
      <c r="BJ40" s="755">
        <f t="shared" si="26"/>
        <v>0</v>
      </c>
      <c r="BK40" s="333">
        <f>IF(OR($C40&lt;&gt;"Early Retirement",$H40=""),0,IF(AND($G40&lt;&gt;"Air Cooled Chiller",$G40&lt;&gt;"Water Cooled Chiller"),VLOOKUP($H40,'Early Retirement'!$CI$6:$CL$33,2,FALSE),IF($J40&lt;&gt;"Centrifugal",VLOOKUP($H40,'Early Retirement'!$CI$6:$CL$33,3,FALSE),IF($J40="Centrifugal",VLOOKUP($H40,'Early Retirement'!$CI$6:$CL$33,4,FALSE),""))))</f>
        <v>0</v>
      </c>
      <c r="BL40" s="450">
        <f t="shared" si="12"/>
        <v>0</v>
      </c>
      <c r="BM40" s="553">
        <f>IFERROR('Utility Admin'!$I$4*((1+'Utility Admin'!$G$4)/('Utility Admin'!$H$4-'Utility Admin'!$G$4))*(1-((1+'Utility Admin'!$G$4)/(1+'Utility Admin'!$H$4))^$BK40)*$BG40,0)</f>
        <v>0</v>
      </c>
      <c r="BN40" s="553">
        <f>IFERROR('Utility Admin'!$I$4*((1+'Utility Admin'!$G$4)/('Utility Admin'!$H$4-'Utility Admin'!$G$4))*(1-((1+'Utility Admin'!$G$4)/(1+'Utility Admin'!$H$4))^$BL40)*((1+'Utility Admin'!$G$4)^$BK40/(1+'Utility Admin'!$H$4)^$BK40)*$BC40,0)</f>
        <v>0</v>
      </c>
      <c r="BO40" s="553">
        <f t="shared" si="27"/>
        <v>0</v>
      </c>
      <c r="BP40" s="553">
        <f>IFERROR('Utility Admin'!$J$4*((1+'Utility Admin'!$G$4)/('Utility Admin'!$H$4-'Utility Admin'!$G$4))*(1-((1+'Utility Admin'!$G$4)/(1+'Utility Admin'!$H$4))^$BK40)*$BJ40,0)</f>
        <v>0</v>
      </c>
      <c r="BQ40" s="553">
        <f>IFERROR('Utility Admin'!$J$4*((1+'Utility Admin'!$G$4)/('Utility Admin'!$H$4-'Utility Admin'!$G$4))*(1-((1+'Utility Admin'!$G$4)/(1+'Utility Admin'!$H$4))^$BL40)*((1+'Utility Admin'!$G$4)^$BK40/(1+'Utility Admin'!$H$4)^$BK40)*$BF40,0)</f>
        <v>0</v>
      </c>
      <c r="BR40" s="553">
        <f t="shared" si="28"/>
        <v>0</v>
      </c>
      <c r="BS40" s="553">
        <f>IFERROR('Utility Admin'!$I$4*((1+'Utility Admin'!$G$4)/('Utility Admin'!$H$4-'Utility Admin'!$G$4))*(1-((1+'Utility Admin'!$G$4)/(1+'Utility Admin'!$H$4))^$AT40),0)</f>
        <v>0</v>
      </c>
      <c r="BT40" s="553">
        <f>IFERROR('Utility Admin'!$J$4*((1+'Utility Admin'!$G$4)/('Utility Admin'!$H$4-'Utility Admin'!$G$4))*(1-((1+'Utility Admin'!$G$4)/(1+'Utility Admin'!$H$4))^$AT40),0)</f>
        <v>0</v>
      </c>
      <c r="BU40" s="459">
        <f t="shared" si="29"/>
        <v>0</v>
      </c>
      <c r="BV40" s="462">
        <f t="shared" si="30"/>
        <v>0</v>
      </c>
      <c r="BW40" s="219" t="str">
        <f t="shared" si="13"/>
        <v/>
      </c>
      <c r="BX40" s="250" t="str">
        <f t="shared" si="31"/>
        <v/>
      </c>
      <c r="BY40" s="250" t="str">
        <f t="shared" si="14"/>
        <v/>
      </c>
      <c r="BZ40" s="184">
        <f t="shared" si="32"/>
        <v>0</v>
      </c>
      <c r="CA40" s="693">
        <f t="shared" si="33"/>
        <v>0</v>
      </c>
      <c r="CB40" s="836">
        <f t="shared" si="34"/>
        <v>0</v>
      </c>
      <c r="CC40" s="693">
        <f>IF(AND($C40="Early Retirement",$H40&lt;&gt;"",$R40&lt;&gt;"",$T40&lt;&gt;""),$BZ40,Baselines!$CJ33)</f>
        <v>0</v>
      </c>
      <c r="CD40" s="693">
        <f>IF(AND($C40="Early Retirement",$H40&lt;&gt;"",$R40&lt;&gt;"",$T40&lt;&gt;""),$CA40,Baselines!$CK33)</f>
        <v>0</v>
      </c>
      <c r="CE40" s="182" t="str">
        <f>Baselines!$CL33</f>
        <v>kW/ton</v>
      </c>
      <c r="CF40" s="850" t="str">
        <f t="shared" si="15"/>
        <v/>
      </c>
      <c r="CG40" s="833">
        <f>IF(AND($C40="Early Retirement",$H40&lt;&gt;"",$R40&lt;&gt;"",$T40&lt;&gt;""),$CB40,IF(AND(Baselines!$CM33=0,OR($CL40="DX HP",$CL40="PTHP")),$BB40,Baselines!$CM33))</f>
        <v>0</v>
      </c>
      <c r="CH40" s="830" t="s">
        <v>567</v>
      </c>
      <c r="CI40" s="185" t="str">
        <f>IF(OR($C40="Replace-on-Burnout",$C40="New Construction"),$CT40,IF($BW40="","",VLOOKUP($D40,'Factor Tables'!$B$165:$H$192,MATCH($BW40,'Factor Tables'!$B$164:$H$164,0),FALSE)))</f>
        <v/>
      </c>
      <c r="CJ40" s="842" t="str">
        <f>IF(OR($C40="Replace-on-Burnout",$C40="New Construction"),$CU40,IF($BW40="","",IF($BW40="DX HP",VLOOKUP($D40,'Factor Tables'!$I$165:$Q$192,MATCH("DX HP Clg",'Factor Tables'!$I$164:$Q$164,0),FALSE),IF($BW40="PTHP",VLOOKUP($D40,'Factor Tables'!$I$165:$Q$192,MATCH("PTHP Clg",'Factor Tables'!$I$164:$Q$164,0),FALSE),IF(AND($BW40&lt;&gt;"DX HP",$BW40&lt;&gt;"PTHP"),VLOOKUP($D40,'Factor Tables'!$I$165:$Q$192,MATCH($BW40,'Factor Tables'!$I$164:$Q$164,0),FALSE),"")))))</f>
        <v/>
      </c>
      <c r="CK40" s="186" t="str">
        <f>IF(OR($C40="Replace-on-Burnout",$C40="New Construction",$CL40="DX HP",$CL40="PTHP"),$CV40,IF($BW40="","",IF($BW40="DX HP",VLOOKUP($D40,'Factor Tables'!$I$165:$Q$192,MATCH("DX HP Htg",'Factor Tables'!$I$164:$Q$164,0),FALSE),IF($BW40="PTHP",VLOOKUP($D40,'Factor Tables'!$I$165:$Q$192,MATCH("PTHP Htg",'Factor Tables'!$I$164:$Q$164,0),FALSE),0))))</f>
        <v/>
      </c>
      <c r="CL40" s="187" t="str">
        <f t="shared" si="16"/>
        <v/>
      </c>
      <c r="CM40" s="251" t="str">
        <f t="shared" si="17"/>
        <v/>
      </c>
      <c r="CN40" s="184">
        <f t="shared" si="35"/>
        <v>0</v>
      </c>
      <c r="CO40" s="693">
        <f t="shared" si="36"/>
        <v>0</v>
      </c>
      <c r="CP40" s="182" t="s">
        <v>46</v>
      </c>
      <c r="CQ40" s="852" t="str">
        <f t="shared" si="37"/>
        <v/>
      </c>
      <c r="CR40" s="833">
        <f t="shared" si="38"/>
        <v>0</v>
      </c>
      <c r="CS40" s="830" t="s">
        <v>567</v>
      </c>
      <c r="CT40" s="185" t="str">
        <f>IF($CL40="","",VLOOKUP($D40,'Factor Tables'!$B$165:$H$192,MATCH($CL40,'Factor Tables'!$B$164:$H$164,0),FALSE))</f>
        <v/>
      </c>
      <c r="CU40" s="842" t="str">
        <f>IF($CL40="","",IF(AND($CL40&lt;&gt;"DX HP",$CL40&lt;&gt;"PTHP"),VLOOKUP($D40,'Factor Tables'!$I$165:$Q$192,MATCH($CL40,'Factor Tables'!$I$164:$Q$164,0),FALSE),IF($CL40="DX HP",VLOOKUP($D40,'Factor Tables'!$I$165:$Q$192,MATCH("DX HP Clg",'Factor Tables'!$I$164:$Q$164,0),FALSE),IF($CL40="PTHP",VLOOKUP($D40,'Factor Tables'!$I$165:$Q$192,MATCH("PTHP Clg",'Factor Tables'!$I$164:$Q$164,0),FALSE),""))))</f>
        <v/>
      </c>
      <c r="CV40" s="186" t="str">
        <f>IF($CL40="","",IF(AND($CL40&lt;&gt;"DX HP",$CL40&lt;&gt;"PTHP"),0,IF($CL40="DX HP",VLOOKUP($D40,'Factor Tables'!$I$165:$Q$192,MATCH("DX HP Htg",'Factor Tables'!$I$164:$Q$164,0),FALSE),IF($CL40="PTHP",VLOOKUP($D40,'Factor Tables'!$I$165:$Q$192,MATCH("PTHP Htg",'Factor Tables'!$I$164:$Q$164,0),FALSE),""))))</f>
        <v/>
      </c>
      <c r="DD40" s="194" t="s">
        <v>53</v>
      </c>
      <c r="DE40" s="6"/>
      <c r="DF40" s="7"/>
      <c r="DG40" s="7"/>
      <c r="DH40" s="7"/>
      <c r="DI40" s="5"/>
      <c r="DJ40" s="5"/>
      <c r="DK40" s="5"/>
      <c r="DL40" s="5"/>
      <c r="DM40" s="493" t="s">
        <v>478</v>
      </c>
    </row>
    <row r="41" spans="2:117" s="427" customFormat="1" ht="21.95" customHeight="1" x14ac:dyDescent="0.25">
      <c r="B41" s="432">
        <v>32</v>
      </c>
      <c r="C41" s="499" t="str">
        <f t="shared" si="18"/>
        <v/>
      </c>
      <c r="D41" s="403" t="str">
        <f t="shared" si="19"/>
        <v/>
      </c>
      <c r="E41" s="541"/>
      <c r="F41" s="785"/>
      <c r="G41" s="728"/>
      <c r="H41" s="728"/>
      <c r="I41" s="728"/>
      <c r="J41" s="728"/>
      <c r="K41" s="728"/>
      <c r="L41" s="728"/>
      <c r="M41" s="764"/>
      <c r="N41" s="728"/>
      <c r="O41" s="764"/>
      <c r="P41" s="728"/>
      <c r="Q41" s="1142"/>
      <c r="R41" s="1133"/>
      <c r="S41" s="778"/>
      <c r="T41" s="767"/>
      <c r="U41" s="778"/>
      <c r="V41" s="751"/>
      <c r="W41" s="556"/>
      <c r="X41" s="785"/>
      <c r="Y41" s="542"/>
      <c r="Z41" s="500"/>
      <c r="AA41" s="500"/>
      <c r="AB41" s="500"/>
      <c r="AC41" s="500"/>
      <c r="AD41" s="529"/>
      <c r="AE41" s="527">
        <f t="shared" si="39"/>
        <v>0</v>
      </c>
      <c r="AF41" s="527">
        <f t="shared" si="40"/>
        <v>0</v>
      </c>
      <c r="AG41" s="527">
        <f t="shared" si="0"/>
        <v>0</v>
      </c>
      <c r="AH41" s="527">
        <f t="shared" si="1"/>
        <v>0</v>
      </c>
      <c r="AI41" s="527">
        <f t="shared" si="2"/>
        <v>0</v>
      </c>
      <c r="AJ41" s="527">
        <f t="shared" si="3"/>
        <v>999999999</v>
      </c>
      <c r="AK41" s="530"/>
      <c r="AL41" s="776"/>
      <c r="AM41" s="777"/>
      <c r="AN41" s="500"/>
      <c r="AO41" s="778"/>
      <c r="AP41" s="778"/>
      <c r="AQ41" s="500"/>
      <c r="AR41" s="531"/>
      <c r="AS41" s="403"/>
      <c r="AT41" s="524" t="str">
        <f t="shared" si="4"/>
        <v/>
      </c>
      <c r="AU41" s="311">
        <f t="shared" si="5"/>
        <v>0</v>
      </c>
      <c r="AV41" s="288">
        <f t="shared" si="22"/>
        <v>0</v>
      </c>
      <c r="AW41" s="290">
        <f>IF(ISERROR($AU41*'Utility Admin'!$E$4+$AV41*'Utility Admin'!$F$4),0,$AU41*'Utility Admin'!$E$4+$AV41*'Utility Admin'!$F$4)</f>
        <v>0</v>
      </c>
      <c r="AX41" s="323" t="str">
        <f t="shared" si="6"/>
        <v/>
      </c>
      <c r="AY41" s="322" t="str">
        <f t="shared" si="23"/>
        <v/>
      </c>
      <c r="AZ41" s="319">
        <f>Baselines!$CJ285</f>
        <v>0</v>
      </c>
      <c r="BA41" s="735">
        <f>Baselines!$CK285</f>
        <v>0</v>
      </c>
      <c r="BB41" s="839">
        <f>Baselines!$CM285</f>
        <v>0</v>
      </c>
      <c r="BC41" s="466">
        <f t="shared" si="7"/>
        <v>0</v>
      </c>
      <c r="BD41" s="464">
        <f t="shared" si="24"/>
        <v>0</v>
      </c>
      <c r="BE41" s="755">
        <f t="shared" si="8"/>
        <v>0</v>
      </c>
      <c r="BF41" s="755">
        <f t="shared" si="25"/>
        <v>0</v>
      </c>
      <c r="BG41" s="466">
        <f t="shared" si="9"/>
        <v>0</v>
      </c>
      <c r="BH41" s="464">
        <f t="shared" si="10"/>
        <v>0</v>
      </c>
      <c r="BI41" s="755">
        <f t="shared" si="11"/>
        <v>0</v>
      </c>
      <c r="BJ41" s="755">
        <f t="shared" si="26"/>
        <v>0</v>
      </c>
      <c r="BK41" s="333">
        <f>IF(OR($C41&lt;&gt;"Early Retirement",$H41=""),0,IF(AND($G41&lt;&gt;"Air Cooled Chiller",$G41&lt;&gt;"Water Cooled Chiller"),VLOOKUP($H41,'Early Retirement'!$CI$6:$CL$33,2,FALSE),IF($J41&lt;&gt;"Centrifugal",VLOOKUP($H41,'Early Retirement'!$CI$6:$CL$33,3,FALSE),IF($J41="Centrifugal",VLOOKUP($H41,'Early Retirement'!$CI$6:$CL$33,4,FALSE),""))))</f>
        <v>0</v>
      </c>
      <c r="BL41" s="450">
        <f t="shared" si="12"/>
        <v>0</v>
      </c>
      <c r="BM41" s="553">
        <f>IFERROR('Utility Admin'!$I$4*((1+'Utility Admin'!$G$4)/('Utility Admin'!$H$4-'Utility Admin'!$G$4))*(1-((1+'Utility Admin'!$G$4)/(1+'Utility Admin'!$H$4))^$BK41)*$BG41,0)</f>
        <v>0</v>
      </c>
      <c r="BN41" s="553">
        <f>IFERROR('Utility Admin'!$I$4*((1+'Utility Admin'!$G$4)/('Utility Admin'!$H$4-'Utility Admin'!$G$4))*(1-((1+'Utility Admin'!$G$4)/(1+'Utility Admin'!$H$4))^$BL41)*((1+'Utility Admin'!$G$4)^$BK41/(1+'Utility Admin'!$H$4)^$BK41)*$BC41,0)</f>
        <v>0</v>
      </c>
      <c r="BO41" s="553">
        <f t="shared" si="27"/>
        <v>0</v>
      </c>
      <c r="BP41" s="553">
        <f>IFERROR('Utility Admin'!$J$4*((1+'Utility Admin'!$G$4)/('Utility Admin'!$H$4-'Utility Admin'!$G$4))*(1-((1+'Utility Admin'!$G$4)/(1+'Utility Admin'!$H$4))^$BK41)*$BJ41,0)</f>
        <v>0</v>
      </c>
      <c r="BQ41" s="553">
        <f>IFERROR('Utility Admin'!$J$4*((1+'Utility Admin'!$G$4)/('Utility Admin'!$H$4-'Utility Admin'!$G$4))*(1-((1+'Utility Admin'!$G$4)/(1+'Utility Admin'!$H$4))^$BL41)*((1+'Utility Admin'!$G$4)^$BK41/(1+'Utility Admin'!$H$4)^$BK41)*$BF41,0)</f>
        <v>0</v>
      </c>
      <c r="BR41" s="553">
        <f t="shared" si="28"/>
        <v>0</v>
      </c>
      <c r="BS41" s="553">
        <f>IFERROR('Utility Admin'!$I$4*((1+'Utility Admin'!$G$4)/('Utility Admin'!$H$4-'Utility Admin'!$G$4))*(1-((1+'Utility Admin'!$G$4)/(1+'Utility Admin'!$H$4))^$AT41),0)</f>
        <v>0</v>
      </c>
      <c r="BT41" s="553">
        <f>IFERROR('Utility Admin'!$J$4*((1+'Utility Admin'!$G$4)/('Utility Admin'!$H$4-'Utility Admin'!$G$4))*(1-((1+'Utility Admin'!$G$4)/(1+'Utility Admin'!$H$4))^$AT41),0)</f>
        <v>0</v>
      </c>
      <c r="BU41" s="459">
        <f t="shared" si="29"/>
        <v>0</v>
      </c>
      <c r="BV41" s="462">
        <f t="shared" si="30"/>
        <v>0</v>
      </c>
      <c r="BW41" s="219" t="str">
        <f t="shared" si="13"/>
        <v/>
      </c>
      <c r="BX41" s="250" t="str">
        <f t="shared" si="31"/>
        <v/>
      </c>
      <c r="BY41" s="250" t="str">
        <f t="shared" si="14"/>
        <v/>
      </c>
      <c r="BZ41" s="184">
        <f t="shared" si="32"/>
        <v>0</v>
      </c>
      <c r="CA41" s="693">
        <f t="shared" si="33"/>
        <v>0</v>
      </c>
      <c r="CB41" s="836">
        <f t="shared" si="34"/>
        <v>0</v>
      </c>
      <c r="CC41" s="693">
        <f>IF(AND($C41="Early Retirement",$H41&lt;&gt;"",$R41&lt;&gt;"",$T41&lt;&gt;""),$BZ41,Baselines!$CJ34)</f>
        <v>0</v>
      </c>
      <c r="CD41" s="693">
        <f>IF(AND($C41="Early Retirement",$H41&lt;&gt;"",$R41&lt;&gt;"",$T41&lt;&gt;""),$CA41,Baselines!$CK34)</f>
        <v>0</v>
      </c>
      <c r="CE41" s="182" t="str">
        <f>Baselines!$CL34</f>
        <v>kW/ton</v>
      </c>
      <c r="CF41" s="850" t="str">
        <f t="shared" si="15"/>
        <v/>
      </c>
      <c r="CG41" s="833">
        <f>IF(AND($C41="Early Retirement",$H41&lt;&gt;"",$R41&lt;&gt;"",$T41&lt;&gt;""),$CB41,IF(AND(Baselines!$CM34=0,OR($CL41="DX HP",$CL41="PTHP")),$BB41,Baselines!$CM34))</f>
        <v>0</v>
      </c>
      <c r="CH41" s="830" t="s">
        <v>567</v>
      </c>
      <c r="CI41" s="185" t="str">
        <f>IF(OR($C41="Replace-on-Burnout",$C41="New Construction"),$CT41,IF($BW41="","",VLOOKUP($D41,'Factor Tables'!$B$165:$H$192,MATCH($BW41,'Factor Tables'!$B$164:$H$164,0),FALSE)))</f>
        <v/>
      </c>
      <c r="CJ41" s="842" t="str">
        <f>IF(OR($C41="Replace-on-Burnout",$C41="New Construction"),$CU41,IF($BW41="","",IF($BW41="DX HP",VLOOKUP($D41,'Factor Tables'!$I$165:$Q$192,MATCH("DX HP Clg",'Factor Tables'!$I$164:$Q$164,0),FALSE),IF($BW41="PTHP",VLOOKUP($D41,'Factor Tables'!$I$165:$Q$192,MATCH("PTHP Clg",'Factor Tables'!$I$164:$Q$164,0),FALSE),IF(AND($BW41&lt;&gt;"DX HP",$BW41&lt;&gt;"PTHP"),VLOOKUP($D41,'Factor Tables'!$I$165:$Q$192,MATCH($BW41,'Factor Tables'!$I$164:$Q$164,0),FALSE),"")))))</f>
        <v/>
      </c>
      <c r="CK41" s="186" t="str">
        <f>IF(OR($C41="Replace-on-Burnout",$C41="New Construction",$CL41="DX HP",$CL41="PTHP"),$CV41,IF($BW41="","",IF($BW41="DX HP",VLOOKUP($D41,'Factor Tables'!$I$165:$Q$192,MATCH("DX HP Htg",'Factor Tables'!$I$164:$Q$164,0),FALSE),IF($BW41="PTHP",VLOOKUP($D41,'Factor Tables'!$I$165:$Q$192,MATCH("PTHP Htg",'Factor Tables'!$I$164:$Q$164,0),FALSE),0))))</f>
        <v/>
      </c>
      <c r="CL41" s="187" t="str">
        <f t="shared" si="16"/>
        <v/>
      </c>
      <c r="CM41" s="251" t="str">
        <f t="shared" si="17"/>
        <v/>
      </c>
      <c r="CN41" s="184">
        <f t="shared" si="35"/>
        <v>0</v>
      </c>
      <c r="CO41" s="693">
        <f t="shared" si="36"/>
        <v>0</v>
      </c>
      <c r="CP41" s="182" t="s">
        <v>46</v>
      </c>
      <c r="CQ41" s="852" t="str">
        <f t="shared" si="37"/>
        <v/>
      </c>
      <c r="CR41" s="833">
        <f t="shared" si="38"/>
        <v>0</v>
      </c>
      <c r="CS41" s="830" t="s">
        <v>567</v>
      </c>
      <c r="CT41" s="185" t="str">
        <f>IF($CL41="","",VLOOKUP($D41,'Factor Tables'!$B$165:$H$192,MATCH($CL41,'Factor Tables'!$B$164:$H$164,0),FALSE))</f>
        <v/>
      </c>
      <c r="CU41" s="842" t="str">
        <f>IF($CL41="","",IF(AND($CL41&lt;&gt;"DX HP",$CL41&lt;&gt;"PTHP"),VLOOKUP($D41,'Factor Tables'!$I$165:$Q$192,MATCH($CL41,'Factor Tables'!$I$164:$Q$164,0),FALSE),IF($CL41="DX HP",VLOOKUP($D41,'Factor Tables'!$I$165:$Q$192,MATCH("DX HP Clg",'Factor Tables'!$I$164:$Q$164,0),FALSE),IF($CL41="PTHP",VLOOKUP($D41,'Factor Tables'!$I$165:$Q$192,MATCH("PTHP Clg",'Factor Tables'!$I$164:$Q$164,0),FALSE),""))))</f>
        <v/>
      </c>
      <c r="CV41" s="186" t="str">
        <f>IF($CL41="","",IF(AND($CL41&lt;&gt;"DX HP",$CL41&lt;&gt;"PTHP"),0,IF($CL41="DX HP",VLOOKUP($D41,'Factor Tables'!$I$165:$Q$192,MATCH("DX HP Htg",'Factor Tables'!$I$164:$Q$164,0),FALSE),IF($CL41="PTHP",VLOOKUP($D41,'Factor Tables'!$I$165:$Q$192,MATCH("PTHP Htg",'Factor Tables'!$I$164:$Q$164,0),FALSE),""))))</f>
        <v/>
      </c>
      <c r="DD41" s="77" t="s">
        <v>54</v>
      </c>
      <c r="DE41" s="6"/>
      <c r="DF41" s="7"/>
      <c r="DG41" s="7"/>
      <c r="DH41" s="7"/>
      <c r="DI41" s="5"/>
      <c r="DJ41" s="5"/>
      <c r="DK41" s="5"/>
      <c r="DL41" s="5"/>
      <c r="DM41" s="493" t="s">
        <v>478</v>
      </c>
    </row>
    <row r="42" spans="2:117" s="427" customFormat="1" ht="21.95" customHeight="1" x14ac:dyDescent="0.25">
      <c r="B42" s="431">
        <v>33</v>
      </c>
      <c r="C42" s="501" t="str">
        <f t="shared" si="18"/>
        <v/>
      </c>
      <c r="D42" s="502" t="str">
        <f t="shared" si="19"/>
        <v/>
      </c>
      <c r="E42" s="546"/>
      <c r="F42" s="547"/>
      <c r="G42" s="729"/>
      <c r="H42" s="729"/>
      <c r="I42" s="729"/>
      <c r="J42" s="729"/>
      <c r="K42" s="729"/>
      <c r="L42" s="729"/>
      <c r="M42" s="765"/>
      <c r="N42" s="758"/>
      <c r="O42" s="765"/>
      <c r="P42" s="758"/>
      <c r="Q42" s="1143"/>
      <c r="R42" s="1134"/>
      <c r="S42" s="775"/>
      <c r="T42" s="729"/>
      <c r="U42" s="775"/>
      <c r="V42" s="779"/>
      <c r="W42" s="557"/>
      <c r="X42" s="788"/>
      <c r="Y42" s="543"/>
      <c r="Z42" s="281"/>
      <c r="AA42" s="281"/>
      <c r="AB42" s="281"/>
      <c r="AC42" s="281"/>
      <c r="AD42" s="492"/>
      <c r="AE42" s="527">
        <f t="shared" si="39"/>
        <v>0</v>
      </c>
      <c r="AF42" s="527">
        <f t="shared" si="40"/>
        <v>0</v>
      </c>
      <c r="AG42" s="527">
        <f t="shared" si="0"/>
        <v>0</v>
      </c>
      <c r="AH42" s="527">
        <f t="shared" si="1"/>
        <v>0</v>
      </c>
      <c r="AI42" s="527">
        <f t="shared" si="2"/>
        <v>0</v>
      </c>
      <c r="AJ42" s="527">
        <f t="shared" si="3"/>
        <v>999999999</v>
      </c>
      <c r="AK42" s="471"/>
      <c r="AL42" s="765"/>
      <c r="AM42" s="758"/>
      <c r="AN42" s="281"/>
      <c r="AO42" s="775"/>
      <c r="AP42" s="775"/>
      <c r="AQ42" s="281"/>
      <c r="AR42" s="528"/>
      <c r="AS42" s="532"/>
      <c r="AT42" s="524" t="str">
        <f t="shared" si="4"/>
        <v/>
      </c>
      <c r="AU42" s="311">
        <f t="shared" si="5"/>
        <v>0</v>
      </c>
      <c r="AV42" s="288">
        <f t="shared" si="22"/>
        <v>0</v>
      </c>
      <c r="AW42" s="290">
        <f>IF(ISERROR($AU42*'Utility Admin'!$E$4+$AV42*'Utility Admin'!$F$4),0,$AU42*'Utility Admin'!$E$4+$AV42*'Utility Admin'!$F$4)</f>
        <v>0</v>
      </c>
      <c r="AX42" s="323" t="str">
        <f t="shared" si="6"/>
        <v/>
      </c>
      <c r="AY42" s="322" t="str">
        <f t="shared" si="23"/>
        <v/>
      </c>
      <c r="AZ42" s="319">
        <f>Baselines!$CJ286</f>
        <v>0</v>
      </c>
      <c r="BA42" s="735">
        <f>Baselines!$CK286</f>
        <v>0</v>
      </c>
      <c r="BB42" s="839">
        <f>Baselines!$CM286</f>
        <v>0</v>
      </c>
      <c r="BC42" s="466">
        <f t="shared" si="7"/>
        <v>0</v>
      </c>
      <c r="BD42" s="464">
        <f t="shared" si="24"/>
        <v>0</v>
      </c>
      <c r="BE42" s="755">
        <f t="shared" si="8"/>
        <v>0</v>
      </c>
      <c r="BF42" s="755">
        <f t="shared" si="25"/>
        <v>0</v>
      </c>
      <c r="BG42" s="466">
        <f t="shared" si="9"/>
        <v>0</v>
      </c>
      <c r="BH42" s="464">
        <f t="shared" si="10"/>
        <v>0</v>
      </c>
      <c r="BI42" s="755">
        <f t="shared" si="11"/>
        <v>0</v>
      </c>
      <c r="BJ42" s="755">
        <f t="shared" si="26"/>
        <v>0</v>
      </c>
      <c r="BK42" s="333">
        <f>IF(OR($C42&lt;&gt;"Early Retirement",$H42=""),0,IF(AND($G42&lt;&gt;"Air Cooled Chiller",$G42&lt;&gt;"Water Cooled Chiller"),VLOOKUP($H42,'Early Retirement'!$CI$6:$CL$33,2,FALSE),IF($J42&lt;&gt;"Centrifugal",VLOOKUP($H42,'Early Retirement'!$CI$6:$CL$33,3,FALSE),IF($J42="Centrifugal",VLOOKUP($H42,'Early Retirement'!$CI$6:$CL$33,4,FALSE),""))))</f>
        <v>0</v>
      </c>
      <c r="BL42" s="450">
        <f t="shared" si="12"/>
        <v>0</v>
      </c>
      <c r="BM42" s="553">
        <f>IFERROR('Utility Admin'!$I$4*((1+'Utility Admin'!$G$4)/('Utility Admin'!$H$4-'Utility Admin'!$G$4))*(1-((1+'Utility Admin'!$G$4)/(1+'Utility Admin'!$H$4))^$BK42)*$BG42,0)</f>
        <v>0</v>
      </c>
      <c r="BN42" s="553">
        <f>IFERROR('Utility Admin'!$I$4*((1+'Utility Admin'!$G$4)/('Utility Admin'!$H$4-'Utility Admin'!$G$4))*(1-((1+'Utility Admin'!$G$4)/(1+'Utility Admin'!$H$4))^$BL42)*((1+'Utility Admin'!$G$4)^$BK42/(1+'Utility Admin'!$H$4)^$BK42)*$BC42,0)</f>
        <v>0</v>
      </c>
      <c r="BO42" s="553">
        <f t="shared" si="27"/>
        <v>0</v>
      </c>
      <c r="BP42" s="553">
        <f>IFERROR('Utility Admin'!$J$4*((1+'Utility Admin'!$G$4)/('Utility Admin'!$H$4-'Utility Admin'!$G$4))*(1-((1+'Utility Admin'!$G$4)/(1+'Utility Admin'!$H$4))^$BK42)*$BJ42,0)</f>
        <v>0</v>
      </c>
      <c r="BQ42" s="553">
        <f>IFERROR('Utility Admin'!$J$4*((1+'Utility Admin'!$G$4)/('Utility Admin'!$H$4-'Utility Admin'!$G$4))*(1-((1+'Utility Admin'!$G$4)/(1+'Utility Admin'!$H$4))^$BL42)*((1+'Utility Admin'!$G$4)^$BK42/(1+'Utility Admin'!$H$4)^$BK42)*$BF42,0)</f>
        <v>0</v>
      </c>
      <c r="BR42" s="553">
        <f t="shared" si="28"/>
        <v>0</v>
      </c>
      <c r="BS42" s="553">
        <f>IFERROR('Utility Admin'!$I$4*((1+'Utility Admin'!$G$4)/('Utility Admin'!$H$4-'Utility Admin'!$G$4))*(1-((1+'Utility Admin'!$G$4)/(1+'Utility Admin'!$H$4))^$AT42),0)</f>
        <v>0</v>
      </c>
      <c r="BT42" s="553">
        <f>IFERROR('Utility Admin'!$J$4*((1+'Utility Admin'!$G$4)/('Utility Admin'!$H$4-'Utility Admin'!$G$4))*(1-((1+'Utility Admin'!$G$4)/(1+'Utility Admin'!$H$4))^$AT42),0)</f>
        <v>0</v>
      </c>
      <c r="BU42" s="459">
        <f t="shared" si="29"/>
        <v>0</v>
      </c>
      <c r="BV42" s="462">
        <f t="shared" si="30"/>
        <v>0</v>
      </c>
      <c r="BW42" s="219" t="str">
        <f t="shared" si="13"/>
        <v/>
      </c>
      <c r="BX42" s="250" t="str">
        <f t="shared" si="31"/>
        <v/>
      </c>
      <c r="BY42" s="250" t="str">
        <f t="shared" si="14"/>
        <v/>
      </c>
      <c r="BZ42" s="184">
        <f t="shared" si="32"/>
        <v>0</v>
      </c>
      <c r="CA42" s="693">
        <f t="shared" si="33"/>
        <v>0</v>
      </c>
      <c r="CB42" s="836">
        <f t="shared" si="34"/>
        <v>0</v>
      </c>
      <c r="CC42" s="693">
        <f>IF(AND($C42="Early Retirement",$H42&lt;&gt;"",$R42&lt;&gt;"",$T42&lt;&gt;""),$BZ42,Baselines!$CJ35)</f>
        <v>0</v>
      </c>
      <c r="CD42" s="693">
        <f>IF(AND($C42="Early Retirement",$H42&lt;&gt;"",$R42&lt;&gt;"",$T42&lt;&gt;""),$CA42,Baselines!$CK35)</f>
        <v>0</v>
      </c>
      <c r="CE42" s="182" t="str">
        <f>Baselines!$CL35</f>
        <v>kW/ton</v>
      </c>
      <c r="CF42" s="850" t="str">
        <f t="shared" si="15"/>
        <v/>
      </c>
      <c r="CG42" s="833">
        <f>IF(AND($C42="Early Retirement",$H42&lt;&gt;"",$R42&lt;&gt;"",$T42&lt;&gt;""),$CB42,IF(AND(Baselines!$CM35=0,OR($CL42="DX HP",$CL42="PTHP")),$BB42,Baselines!$CM35))</f>
        <v>0</v>
      </c>
      <c r="CH42" s="830" t="s">
        <v>567</v>
      </c>
      <c r="CI42" s="185" t="str">
        <f>IF(OR($C42="Replace-on-Burnout",$C42="New Construction"),$CT42,IF($BW42="","",VLOOKUP($D42,'Factor Tables'!$B$165:$H$192,MATCH($BW42,'Factor Tables'!$B$164:$H$164,0),FALSE)))</f>
        <v/>
      </c>
      <c r="CJ42" s="842" t="str">
        <f>IF(OR($C42="Replace-on-Burnout",$C42="New Construction"),$CU42,IF($BW42="","",IF($BW42="DX HP",VLOOKUP($D42,'Factor Tables'!$I$165:$Q$192,MATCH("DX HP Clg",'Factor Tables'!$I$164:$Q$164,0),FALSE),IF($BW42="PTHP",VLOOKUP($D42,'Factor Tables'!$I$165:$Q$192,MATCH("PTHP Clg",'Factor Tables'!$I$164:$Q$164,0),FALSE),IF(AND($BW42&lt;&gt;"DX HP",$BW42&lt;&gt;"PTHP"),VLOOKUP($D42,'Factor Tables'!$I$165:$Q$192,MATCH($BW42,'Factor Tables'!$I$164:$Q$164,0),FALSE),"")))))</f>
        <v/>
      </c>
      <c r="CK42" s="186" t="str">
        <f>IF(OR($C42="Replace-on-Burnout",$C42="New Construction",$CL42="DX HP",$CL42="PTHP"),$CV42,IF($BW42="","",IF($BW42="DX HP",VLOOKUP($D42,'Factor Tables'!$I$165:$Q$192,MATCH("DX HP Htg",'Factor Tables'!$I$164:$Q$164,0),FALSE),IF($BW42="PTHP",VLOOKUP($D42,'Factor Tables'!$I$165:$Q$192,MATCH("PTHP Htg",'Factor Tables'!$I$164:$Q$164,0),FALSE),0))))</f>
        <v/>
      </c>
      <c r="CL42" s="187" t="str">
        <f t="shared" si="16"/>
        <v/>
      </c>
      <c r="CM42" s="251" t="str">
        <f t="shared" si="17"/>
        <v/>
      </c>
      <c r="CN42" s="184">
        <f t="shared" si="35"/>
        <v>0</v>
      </c>
      <c r="CO42" s="693">
        <f t="shared" si="36"/>
        <v>0</v>
      </c>
      <c r="CP42" s="182" t="s">
        <v>46</v>
      </c>
      <c r="CQ42" s="852" t="str">
        <f t="shared" si="37"/>
        <v/>
      </c>
      <c r="CR42" s="833">
        <f t="shared" si="38"/>
        <v>0</v>
      </c>
      <c r="CS42" s="830" t="s">
        <v>567</v>
      </c>
      <c r="CT42" s="185" t="str">
        <f>IF($CL42="","",VLOOKUP($D42,'Factor Tables'!$B$165:$H$192,MATCH($CL42,'Factor Tables'!$B$164:$H$164,0),FALSE))</f>
        <v/>
      </c>
      <c r="CU42" s="842" t="str">
        <f>IF($CL42="","",IF(AND($CL42&lt;&gt;"DX HP",$CL42&lt;&gt;"PTHP"),VLOOKUP($D42,'Factor Tables'!$I$165:$Q$192,MATCH($CL42,'Factor Tables'!$I$164:$Q$164,0),FALSE),IF($CL42="DX HP",VLOOKUP($D42,'Factor Tables'!$I$165:$Q$192,MATCH("DX HP Clg",'Factor Tables'!$I$164:$Q$164,0),FALSE),IF($CL42="PTHP",VLOOKUP($D42,'Factor Tables'!$I$165:$Q$192,MATCH("PTHP Clg",'Factor Tables'!$I$164:$Q$164,0),FALSE),""))))</f>
        <v/>
      </c>
      <c r="CV42" s="186" t="str">
        <f>IF($CL42="","",IF(AND($CL42&lt;&gt;"DX HP",$CL42&lt;&gt;"PTHP"),0,IF($CL42="DX HP",VLOOKUP($D42,'Factor Tables'!$I$165:$Q$192,MATCH("DX HP Htg",'Factor Tables'!$I$164:$Q$164,0),FALSE),IF($CL42="PTHP",VLOOKUP($D42,'Factor Tables'!$I$165:$Q$192,MATCH("PTHP Htg",'Factor Tables'!$I$164:$Q$164,0),FALSE),""))))</f>
        <v/>
      </c>
      <c r="DD42" s="77" t="s">
        <v>47</v>
      </c>
      <c r="DE42" s="6"/>
      <c r="DF42" s="7"/>
      <c r="DG42" s="7"/>
      <c r="DH42" s="7"/>
      <c r="DI42" s="5"/>
      <c r="DJ42" s="5"/>
      <c r="DK42" s="5"/>
      <c r="DL42" s="5"/>
      <c r="DM42" s="493" t="s">
        <v>478</v>
      </c>
    </row>
    <row r="43" spans="2:117" s="427" customFormat="1" ht="21.95" customHeight="1" x14ac:dyDescent="0.25">
      <c r="B43" s="432">
        <v>34</v>
      </c>
      <c r="C43" s="499" t="str">
        <f t="shared" si="18"/>
        <v/>
      </c>
      <c r="D43" s="403" t="str">
        <f t="shared" si="19"/>
        <v/>
      </c>
      <c r="E43" s="541"/>
      <c r="F43" s="785"/>
      <c r="G43" s="728"/>
      <c r="H43" s="728"/>
      <c r="I43" s="728"/>
      <c r="J43" s="728"/>
      <c r="K43" s="728"/>
      <c r="L43" s="728"/>
      <c r="M43" s="764"/>
      <c r="N43" s="728"/>
      <c r="O43" s="764"/>
      <c r="P43" s="728"/>
      <c r="Q43" s="1142"/>
      <c r="R43" s="1133"/>
      <c r="S43" s="778"/>
      <c r="T43" s="767"/>
      <c r="U43" s="778"/>
      <c r="V43" s="751"/>
      <c r="W43" s="556"/>
      <c r="X43" s="785"/>
      <c r="Y43" s="542"/>
      <c r="Z43" s="500"/>
      <c r="AA43" s="500"/>
      <c r="AB43" s="500"/>
      <c r="AC43" s="500"/>
      <c r="AD43" s="529"/>
      <c r="AE43" s="527">
        <f t="shared" si="39"/>
        <v>0</v>
      </c>
      <c r="AF43" s="527">
        <f t="shared" si="40"/>
        <v>0</v>
      </c>
      <c r="AG43" s="527">
        <f t="shared" si="0"/>
        <v>0</v>
      </c>
      <c r="AH43" s="527">
        <f t="shared" si="1"/>
        <v>0</v>
      </c>
      <c r="AI43" s="527">
        <f t="shared" si="2"/>
        <v>0</v>
      </c>
      <c r="AJ43" s="527">
        <f t="shared" si="3"/>
        <v>999999999</v>
      </c>
      <c r="AK43" s="530"/>
      <c r="AL43" s="776"/>
      <c r="AM43" s="777"/>
      <c r="AN43" s="500"/>
      <c r="AO43" s="778"/>
      <c r="AP43" s="778"/>
      <c r="AQ43" s="500"/>
      <c r="AR43" s="531"/>
      <c r="AS43" s="403"/>
      <c r="AT43" s="524" t="str">
        <f t="shared" si="4"/>
        <v/>
      </c>
      <c r="AU43" s="311">
        <f t="shared" si="5"/>
        <v>0</v>
      </c>
      <c r="AV43" s="288">
        <f t="shared" si="22"/>
        <v>0</v>
      </c>
      <c r="AW43" s="290">
        <f>IF(ISERROR($AU43*'Utility Admin'!$E$4+$AV43*'Utility Admin'!$F$4),0,$AU43*'Utility Admin'!$E$4+$AV43*'Utility Admin'!$F$4)</f>
        <v>0</v>
      </c>
      <c r="AX43" s="323" t="str">
        <f t="shared" si="6"/>
        <v/>
      </c>
      <c r="AY43" s="322" t="str">
        <f t="shared" si="23"/>
        <v/>
      </c>
      <c r="AZ43" s="319">
        <f>Baselines!$CJ287</f>
        <v>0</v>
      </c>
      <c r="BA43" s="735">
        <f>Baselines!$CK287</f>
        <v>0</v>
      </c>
      <c r="BB43" s="839">
        <f>Baselines!$CM287</f>
        <v>0</v>
      </c>
      <c r="BC43" s="466">
        <f t="shared" si="7"/>
        <v>0</v>
      </c>
      <c r="BD43" s="464">
        <f t="shared" si="24"/>
        <v>0</v>
      </c>
      <c r="BE43" s="755">
        <f t="shared" si="8"/>
        <v>0</v>
      </c>
      <c r="BF43" s="755">
        <f t="shared" si="25"/>
        <v>0</v>
      </c>
      <c r="BG43" s="466">
        <f t="shared" si="9"/>
        <v>0</v>
      </c>
      <c r="BH43" s="464">
        <f t="shared" si="10"/>
        <v>0</v>
      </c>
      <c r="BI43" s="755">
        <f t="shared" si="11"/>
        <v>0</v>
      </c>
      <c r="BJ43" s="755">
        <f t="shared" si="26"/>
        <v>0</v>
      </c>
      <c r="BK43" s="333">
        <f>IF(OR($C43&lt;&gt;"Early Retirement",$H43=""),0,IF(AND($G43&lt;&gt;"Air Cooled Chiller",$G43&lt;&gt;"Water Cooled Chiller"),VLOOKUP($H43,'Early Retirement'!$CI$6:$CL$33,2,FALSE),IF($J43&lt;&gt;"Centrifugal",VLOOKUP($H43,'Early Retirement'!$CI$6:$CL$33,3,FALSE),IF($J43="Centrifugal",VLOOKUP($H43,'Early Retirement'!$CI$6:$CL$33,4,FALSE),""))))</f>
        <v>0</v>
      </c>
      <c r="BL43" s="450">
        <f t="shared" si="12"/>
        <v>0</v>
      </c>
      <c r="BM43" s="553">
        <f>IFERROR('Utility Admin'!$I$4*((1+'Utility Admin'!$G$4)/('Utility Admin'!$H$4-'Utility Admin'!$G$4))*(1-((1+'Utility Admin'!$G$4)/(1+'Utility Admin'!$H$4))^$BK43)*$BG43,0)</f>
        <v>0</v>
      </c>
      <c r="BN43" s="553">
        <f>IFERROR('Utility Admin'!$I$4*((1+'Utility Admin'!$G$4)/('Utility Admin'!$H$4-'Utility Admin'!$G$4))*(1-((1+'Utility Admin'!$G$4)/(1+'Utility Admin'!$H$4))^$BL43)*((1+'Utility Admin'!$G$4)^$BK43/(1+'Utility Admin'!$H$4)^$BK43)*$BC43,0)</f>
        <v>0</v>
      </c>
      <c r="BO43" s="553">
        <f t="shared" si="27"/>
        <v>0</v>
      </c>
      <c r="BP43" s="553">
        <f>IFERROR('Utility Admin'!$J$4*((1+'Utility Admin'!$G$4)/('Utility Admin'!$H$4-'Utility Admin'!$G$4))*(1-((1+'Utility Admin'!$G$4)/(1+'Utility Admin'!$H$4))^$BK43)*$BJ43,0)</f>
        <v>0</v>
      </c>
      <c r="BQ43" s="553">
        <f>IFERROR('Utility Admin'!$J$4*((1+'Utility Admin'!$G$4)/('Utility Admin'!$H$4-'Utility Admin'!$G$4))*(1-((1+'Utility Admin'!$G$4)/(1+'Utility Admin'!$H$4))^$BL43)*((1+'Utility Admin'!$G$4)^$BK43/(1+'Utility Admin'!$H$4)^$BK43)*$BF43,0)</f>
        <v>0</v>
      </c>
      <c r="BR43" s="553">
        <f t="shared" si="28"/>
        <v>0</v>
      </c>
      <c r="BS43" s="553">
        <f>IFERROR('Utility Admin'!$I$4*((1+'Utility Admin'!$G$4)/('Utility Admin'!$H$4-'Utility Admin'!$G$4))*(1-((1+'Utility Admin'!$G$4)/(1+'Utility Admin'!$H$4))^$AT43),0)</f>
        <v>0</v>
      </c>
      <c r="BT43" s="553">
        <f>IFERROR('Utility Admin'!$J$4*((1+'Utility Admin'!$G$4)/('Utility Admin'!$H$4-'Utility Admin'!$G$4))*(1-((1+'Utility Admin'!$G$4)/(1+'Utility Admin'!$H$4))^$AT43),0)</f>
        <v>0</v>
      </c>
      <c r="BU43" s="459">
        <f t="shared" si="29"/>
        <v>0</v>
      </c>
      <c r="BV43" s="462">
        <f t="shared" si="30"/>
        <v>0</v>
      </c>
      <c r="BW43" s="219" t="str">
        <f t="shared" si="13"/>
        <v/>
      </c>
      <c r="BX43" s="250" t="str">
        <f t="shared" si="31"/>
        <v/>
      </c>
      <c r="BY43" s="250" t="str">
        <f t="shared" si="14"/>
        <v/>
      </c>
      <c r="BZ43" s="184">
        <f t="shared" si="32"/>
        <v>0</v>
      </c>
      <c r="CA43" s="693">
        <f t="shared" si="33"/>
        <v>0</v>
      </c>
      <c r="CB43" s="836">
        <f t="shared" si="34"/>
        <v>0</v>
      </c>
      <c r="CC43" s="693">
        <f>IF(AND($C43="Early Retirement",$H43&lt;&gt;"",$R43&lt;&gt;"",$T43&lt;&gt;""),$BZ43,Baselines!$CJ36)</f>
        <v>0</v>
      </c>
      <c r="CD43" s="693">
        <f>IF(AND($C43="Early Retirement",$H43&lt;&gt;"",$R43&lt;&gt;"",$T43&lt;&gt;""),$CA43,Baselines!$CK36)</f>
        <v>0</v>
      </c>
      <c r="CE43" s="182" t="str">
        <f>Baselines!$CL36</f>
        <v>kW/ton</v>
      </c>
      <c r="CF43" s="850" t="str">
        <f t="shared" si="15"/>
        <v/>
      </c>
      <c r="CG43" s="833">
        <f>IF(AND($C43="Early Retirement",$H43&lt;&gt;"",$R43&lt;&gt;"",$T43&lt;&gt;""),$CB43,IF(AND(Baselines!$CM36=0,OR($CL43="DX HP",$CL43="PTHP")),$BB43,Baselines!$CM36))</f>
        <v>0</v>
      </c>
      <c r="CH43" s="830" t="s">
        <v>567</v>
      </c>
      <c r="CI43" s="185" t="str">
        <f>IF(OR($C43="Replace-on-Burnout",$C43="New Construction"),$CT43,IF($BW43="","",VLOOKUP($D43,'Factor Tables'!$B$165:$H$192,MATCH($BW43,'Factor Tables'!$B$164:$H$164,0),FALSE)))</f>
        <v/>
      </c>
      <c r="CJ43" s="842" t="str">
        <f>IF(OR($C43="Replace-on-Burnout",$C43="New Construction"),$CU43,IF($BW43="","",IF($BW43="DX HP",VLOOKUP($D43,'Factor Tables'!$I$165:$Q$192,MATCH("DX HP Clg",'Factor Tables'!$I$164:$Q$164,0),FALSE),IF($BW43="PTHP",VLOOKUP($D43,'Factor Tables'!$I$165:$Q$192,MATCH("PTHP Clg",'Factor Tables'!$I$164:$Q$164,0),FALSE),IF(AND($BW43&lt;&gt;"DX HP",$BW43&lt;&gt;"PTHP"),VLOOKUP($D43,'Factor Tables'!$I$165:$Q$192,MATCH($BW43,'Factor Tables'!$I$164:$Q$164,0),FALSE),"")))))</f>
        <v/>
      </c>
      <c r="CK43" s="186" t="str">
        <f>IF(OR($C43="Replace-on-Burnout",$C43="New Construction",$CL43="DX HP",$CL43="PTHP"),$CV43,IF($BW43="","",IF($BW43="DX HP",VLOOKUP($D43,'Factor Tables'!$I$165:$Q$192,MATCH("DX HP Htg",'Factor Tables'!$I$164:$Q$164,0),FALSE),IF($BW43="PTHP",VLOOKUP($D43,'Factor Tables'!$I$165:$Q$192,MATCH("PTHP Htg",'Factor Tables'!$I$164:$Q$164,0),FALSE),0))))</f>
        <v/>
      </c>
      <c r="CL43" s="187" t="str">
        <f t="shared" si="16"/>
        <v/>
      </c>
      <c r="CM43" s="251" t="str">
        <f t="shared" si="17"/>
        <v/>
      </c>
      <c r="CN43" s="184">
        <f t="shared" si="35"/>
        <v>0</v>
      </c>
      <c r="CO43" s="693">
        <f t="shared" si="36"/>
        <v>0</v>
      </c>
      <c r="CP43" s="182" t="s">
        <v>46</v>
      </c>
      <c r="CQ43" s="852" t="str">
        <f t="shared" si="37"/>
        <v/>
      </c>
      <c r="CR43" s="833">
        <f t="shared" si="38"/>
        <v>0</v>
      </c>
      <c r="CS43" s="830" t="s">
        <v>567</v>
      </c>
      <c r="CT43" s="185" t="str">
        <f>IF($CL43="","",VLOOKUP($D43,'Factor Tables'!$B$165:$H$192,MATCH($CL43,'Factor Tables'!$B$164:$H$164,0),FALSE))</f>
        <v/>
      </c>
      <c r="CU43" s="842" t="str">
        <f>IF($CL43="","",IF(AND($CL43&lt;&gt;"DX HP",$CL43&lt;&gt;"PTHP"),VLOOKUP($D43,'Factor Tables'!$I$165:$Q$192,MATCH($CL43,'Factor Tables'!$I$164:$Q$164,0),FALSE),IF($CL43="DX HP",VLOOKUP($D43,'Factor Tables'!$I$165:$Q$192,MATCH("DX HP Clg",'Factor Tables'!$I$164:$Q$164,0),FALSE),IF($CL43="PTHP",VLOOKUP($D43,'Factor Tables'!$I$165:$Q$192,MATCH("PTHP Clg",'Factor Tables'!$I$164:$Q$164,0),FALSE),""))))</f>
        <v/>
      </c>
      <c r="CV43" s="186" t="str">
        <f>IF($CL43="","",IF(AND($CL43&lt;&gt;"DX HP",$CL43&lt;&gt;"PTHP"),0,IF($CL43="DX HP",VLOOKUP($D43,'Factor Tables'!$I$165:$Q$192,MATCH("DX HP Htg",'Factor Tables'!$I$164:$Q$164,0),FALSE),IF($CL43="PTHP",VLOOKUP($D43,'Factor Tables'!$I$165:$Q$192,MATCH("PTHP Htg",'Factor Tables'!$I$164:$Q$164,0),FALSE),""))))</f>
        <v/>
      </c>
      <c r="DD43" s="77" t="s">
        <v>48</v>
      </c>
      <c r="DE43" s="6"/>
      <c r="DF43" s="7"/>
      <c r="DG43" s="7"/>
      <c r="DH43" s="7"/>
      <c r="DI43" s="5"/>
      <c r="DJ43" s="5"/>
      <c r="DK43" s="5"/>
      <c r="DL43" s="5"/>
      <c r="DM43" s="493" t="s">
        <v>478</v>
      </c>
    </row>
    <row r="44" spans="2:117" s="427" customFormat="1" ht="21.95" customHeight="1" x14ac:dyDescent="0.25">
      <c r="B44" s="431">
        <v>35</v>
      </c>
      <c r="C44" s="501" t="str">
        <f t="shared" si="18"/>
        <v/>
      </c>
      <c r="D44" s="502" t="str">
        <f t="shared" si="19"/>
        <v/>
      </c>
      <c r="E44" s="546"/>
      <c r="F44" s="547"/>
      <c r="G44" s="729"/>
      <c r="H44" s="729"/>
      <c r="I44" s="729"/>
      <c r="J44" s="729"/>
      <c r="K44" s="729"/>
      <c r="L44" s="729"/>
      <c r="M44" s="765"/>
      <c r="N44" s="758"/>
      <c r="O44" s="765"/>
      <c r="P44" s="758"/>
      <c r="Q44" s="1143"/>
      <c r="R44" s="1134"/>
      <c r="S44" s="775"/>
      <c r="T44" s="729"/>
      <c r="U44" s="775"/>
      <c r="V44" s="779"/>
      <c r="W44" s="557"/>
      <c r="X44" s="788"/>
      <c r="Y44" s="543"/>
      <c r="Z44" s="281"/>
      <c r="AA44" s="281"/>
      <c r="AB44" s="281"/>
      <c r="AC44" s="281"/>
      <c r="AD44" s="492"/>
      <c r="AE44" s="527">
        <f t="shared" si="39"/>
        <v>0</v>
      </c>
      <c r="AF44" s="527">
        <f t="shared" si="40"/>
        <v>0</v>
      </c>
      <c r="AG44" s="527">
        <f t="shared" si="0"/>
        <v>0</v>
      </c>
      <c r="AH44" s="527">
        <f t="shared" si="1"/>
        <v>0</v>
      </c>
      <c r="AI44" s="527">
        <f t="shared" si="2"/>
        <v>0</v>
      </c>
      <c r="AJ44" s="527">
        <f t="shared" si="3"/>
        <v>999999999</v>
      </c>
      <c r="AK44" s="471"/>
      <c r="AL44" s="765"/>
      <c r="AM44" s="758"/>
      <c r="AN44" s="281"/>
      <c r="AO44" s="775"/>
      <c r="AP44" s="775"/>
      <c r="AQ44" s="281"/>
      <c r="AR44" s="528"/>
      <c r="AS44" s="532"/>
      <c r="AT44" s="524" t="str">
        <f t="shared" si="4"/>
        <v/>
      </c>
      <c r="AU44" s="311">
        <f t="shared" si="5"/>
        <v>0</v>
      </c>
      <c r="AV44" s="288">
        <f t="shared" si="22"/>
        <v>0</v>
      </c>
      <c r="AW44" s="290">
        <f>IF(ISERROR($AU44*'Utility Admin'!$E$4+$AV44*'Utility Admin'!$F$4),0,$AU44*'Utility Admin'!$E$4+$AV44*'Utility Admin'!$F$4)</f>
        <v>0</v>
      </c>
      <c r="AX44" s="323" t="str">
        <f t="shared" si="6"/>
        <v/>
      </c>
      <c r="AY44" s="322" t="str">
        <f t="shared" si="23"/>
        <v/>
      </c>
      <c r="AZ44" s="319">
        <f>Baselines!$CJ288</f>
        <v>0</v>
      </c>
      <c r="BA44" s="735">
        <f>Baselines!$CK288</f>
        <v>0</v>
      </c>
      <c r="BB44" s="839">
        <f>Baselines!$CM288</f>
        <v>0</v>
      </c>
      <c r="BC44" s="466">
        <f t="shared" si="7"/>
        <v>0</v>
      </c>
      <c r="BD44" s="464">
        <f t="shared" si="24"/>
        <v>0</v>
      </c>
      <c r="BE44" s="755">
        <f t="shared" si="8"/>
        <v>0</v>
      </c>
      <c r="BF44" s="755">
        <f t="shared" si="25"/>
        <v>0</v>
      </c>
      <c r="BG44" s="466">
        <f t="shared" si="9"/>
        <v>0</v>
      </c>
      <c r="BH44" s="464">
        <f t="shared" si="10"/>
        <v>0</v>
      </c>
      <c r="BI44" s="755">
        <f t="shared" si="11"/>
        <v>0</v>
      </c>
      <c r="BJ44" s="755">
        <f t="shared" si="26"/>
        <v>0</v>
      </c>
      <c r="BK44" s="333">
        <f>IF(OR($C44&lt;&gt;"Early Retirement",$H44=""),0,IF(AND($G44&lt;&gt;"Air Cooled Chiller",$G44&lt;&gt;"Water Cooled Chiller"),VLOOKUP($H44,'Early Retirement'!$CI$6:$CL$33,2,FALSE),IF($J44&lt;&gt;"Centrifugal",VLOOKUP($H44,'Early Retirement'!$CI$6:$CL$33,3,FALSE),IF($J44="Centrifugal",VLOOKUP($H44,'Early Retirement'!$CI$6:$CL$33,4,FALSE),""))))</f>
        <v>0</v>
      </c>
      <c r="BL44" s="450">
        <f t="shared" si="12"/>
        <v>0</v>
      </c>
      <c r="BM44" s="553">
        <f>IFERROR('Utility Admin'!$I$4*((1+'Utility Admin'!$G$4)/('Utility Admin'!$H$4-'Utility Admin'!$G$4))*(1-((1+'Utility Admin'!$G$4)/(1+'Utility Admin'!$H$4))^$BK44)*$BG44,0)</f>
        <v>0</v>
      </c>
      <c r="BN44" s="553">
        <f>IFERROR('Utility Admin'!$I$4*((1+'Utility Admin'!$G$4)/('Utility Admin'!$H$4-'Utility Admin'!$G$4))*(1-((1+'Utility Admin'!$G$4)/(1+'Utility Admin'!$H$4))^$BL44)*((1+'Utility Admin'!$G$4)^$BK44/(1+'Utility Admin'!$H$4)^$BK44)*$BC44,0)</f>
        <v>0</v>
      </c>
      <c r="BO44" s="553">
        <f t="shared" si="27"/>
        <v>0</v>
      </c>
      <c r="BP44" s="553">
        <f>IFERROR('Utility Admin'!$J$4*((1+'Utility Admin'!$G$4)/('Utility Admin'!$H$4-'Utility Admin'!$G$4))*(1-((1+'Utility Admin'!$G$4)/(1+'Utility Admin'!$H$4))^$BK44)*$BJ44,0)</f>
        <v>0</v>
      </c>
      <c r="BQ44" s="553">
        <f>IFERROR('Utility Admin'!$J$4*((1+'Utility Admin'!$G$4)/('Utility Admin'!$H$4-'Utility Admin'!$G$4))*(1-((1+'Utility Admin'!$G$4)/(1+'Utility Admin'!$H$4))^$BL44)*((1+'Utility Admin'!$G$4)^$BK44/(1+'Utility Admin'!$H$4)^$BK44)*$BF44,0)</f>
        <v>0</v>
      </c>
      <c r="BR44" s="553">
        <f t="shared" si="28"/>
        <v>0</v>
      </c>
      <c r="BS44" s="553">
        <f>IFERROR('Utility Admin'!$I$4*((1+'Utility Admin'!$G$4)/('Utility Admin'!$H$4-'Utility Admin'!$G$4))*(1-((1+'Utility Admin'!$G$4)/(1+'Utility Admin'!$H$4))^$AT44),0)</f>
        <v>0</v>
      </c>
      <c r="BT44" s="553">
        <f>IFERROR('Utility Admin'!$J$4*((1+'Utility Admin'!$G$4)/('Utility Admin'!$H$4-'Utility Admin'!$G$4))*(1-((1+'Utility Admin'!$G$4)/(1+'Utility Admin'!$H$4))^$AT44),0)</f>
        <v>0</v>
      </c>
      <c r="BU44" s="459">
        <f t="shared" si="29"/>
        <v>0</v>
      </c>
      <c r="BV44" s="462">
        <f t="shared" si="30"/>
        <v>0</v>
      </c>
      <c r="BW44" s="219" t="str">
        <f t="shared" si="13"/>
        <v/>
      </c>
      <c r="BX44" s="250" t="str">
        <f t="shared" si="31"/>
        <v/>
      </c>
      <c r="BY44" s="250" t="str">
        <f t="shared" si="14"/>
        <v/>
      </c>
      <c r="BZ44" s="184">
        <f t="shared" si="32"/>
        <v>0</v>
      </c>
      <c r="CA44" s="693">
        <f t="shared" si="33"/>
        <v>0</v>
      </c>
      <c r="CB44" s="836">
        <f t="shared" si="34"/>
        <v>0</v>
      </c>
      <c r="CC44" s="693">
        <f>IF(AND($C44="Early Retirement",$H44&lt;&gt;"",$R44&lt;&gt;"",$T44&lt;&gt;""),$BZ44,Baselines!$CJ37)</f>
        <v>0</v>
      </c>
      <c r="CD44" s="693">
        <f>IF(AND($C44="Early Retirement",$H44&lt;&gt;"",$R44&lt;&gt;"",$T44&lt;&gt;""),$CA44,Baselines!$CK37)</f>
        <v>0</v>
      </c>
      <c r="CE44" s="182" t="str">
        <f>Baselines!$CL37</f>
        <v>kW/ton</v>
      </c>
      <c r="CF44" s="850" t="str">
        <f t="shared" si="15"/>
        <v/>
      </c>
      <c r="CG44" s="833">
        <f>IF(AND($C44="Early Retirement",$H44&lt;&gt;"",$R44&lt;&gt;"",$T44&lt;&gt;""),$CB44,IF(AND(Baselines!$CM37=0,OR($CL44="DX HP",$CL44="PTHP")),$BB44,Baselines!$CM37))</f>
        <v>0</v>
      </c>
      <c r="CH44" s="830" t="s">
        <v>567</v>
      </c>
      <c r="CI44" s="185" t="str">
        <f>IF(OR($C44="Replace-on-Burnout",$C44="New Construction"),$CT44,IF($BW44="","",VLOOKUP($D44,'Factor Tables'!$B$165:$H$192,MATCH($BW44,'Factor Tables'!$B$164:$H$164,0),FALSE)))</f>
        <v/>
      </c>
      <c r="CJ44" s="842" t="str">
        <f>IF(OR($C44="Replace-on-Burnout",$C44="New Construction"),$CU44,IF($BW44="","",IF($BW44="DX HP",VLOOKUP($D44,'Factor Tables'!$I$165:$Q$192,MATCH("DX HP Clg",'Factor Tables'!$I$164:$Q$164,0),FALSE),IF($BW44="PTHP",VLOOKUP($D44,'Factor Tables'!$I$165:$Q$192,MATCH("PTHP Clg",'Factor Tables'!$I$164:$Q$164,0),FALSE),IF(AND($BW44&lt;&gt;"DX HP",$BW44&lt;&gt;"PTHP"),VLOOKUP($D44,'Factor Tables'!$I$165:$Q$192,MATCH($BW44,'Factor Tables'!$I$164:$Q$164,0),FALSE),"")))))</f>
        <v/>
      </c>
      <c r="CK44" s="186" t="str">
        <f>IF(OR($C44="Replace-on-Burnout",$C44="New Construction",$CL44="DX HP",$CL44="PTHP"),$CV44,IF($BW44="","",IF($BW44="DX HP",VLOOKUP($D44,'Factor Tables'!$I$165:$Q$192,MATCH("DX HP Htg",'Factor Tables'!$I$164:$Q$164,0),FALSE),IF($BW44="PTHP",VLOOKUP($D44,'Factor Tables'!$I$165:$Q$192,MATCH("PTHP Htg",'Factor Tables'!$I$164:$Q$164,0),FALSE),0))))</f>
        <v/>
      </c>
      <c r="CL44" s="187" t="str">
        <f t="shared" si="16"/>
        <v/>
      </c>
      <c r="CM44" s="251" t="str">
        <f t="shared" si="17"/>
        <v/>
      </c>
      <c r="CN44" s="184">
        <f t="shared" si="35"/>
        <v>0</v>
      </c>
      <c r="CO44" s="693">
        <f t="shared" si="36"/>
        <v>0</v>
      </c>
      <c r="CP44" s="182" t="s">
        <v>46</v>
      </c>
      <c r="CQ44" s="852" t="str">
        <f t="shared" si="37"/>
        <v/>
      </c>
      <c r="CR44" s="833">
        <f t="shared" si="38"/>
        <v>0</v>
      </c>
      <c r="CS44" s="830" t="s">
        <v>567</v>
      </c>
      <c r="CT44" s="185" t="str">
        <f>IF($CL44="","",VLOOKUP($D44,'Factor Tables'!$B$165:$H$192,MATCH($CL44,'Factor Tables'!$B$164:$H$164,0),FALSE))</f>
        <v/>
      </c>
      <c r="CU44" s="842" t="str">
        <f>IF($CL44="","",IF(AND($CL44&lt;&gt;"DX HP",$CL44&lt;&gt;"PTHP"),VLOOKUP($D44,'Factor Tables'!$I$165:$Q$192,MATCH($CL44,'Factor Tables'!$I$164:$Q$164,0),FALSE),IF($CL44="DX HP",VLOOKUP($D44,'Factor Tables'!$I$165:$Q$192,MATCH("DX HP Clg",'Factor Tables'!$I$164:$Q$164,0),FALSE),IF($CL44="PTHP",VLOOKUP($D44,'Factor Tables'!$I$165:$Q$192,MATCH("PTHP Clg",'Factor Tables'!$I$164:$Q$164,0),FALSE),""))))</f>
        <v/>
      </c>
      <c r="CV44" s="186" t="str">
        <f>IF($CL44="","",IF(AND($CL44&lt;&gt;"DX HP",$CL44&lt;&gt;"PTHP"),0,IF($CL44="DX HP",VLOOKUP($D44,'Factor Tables'!$I$165:$Q$192,MATCH("DX HP Htg",'Factor Tables'!$I$164:$Q$164,0),FALSE),IF($CL44="PTHP",VLOOKUP($D44,'Factor Tables'!$I$165:$Q$192,MATCH("PTHP Htg",'Factor Tables'!$I$164:$Q$164,0),FALSE),""))))</f>
        <v/>
      </c>
      <c r="DE44" s="6"/>
      <c r="DF44" s="7"/>
      <c r="DG44" s="7"/>
      <c r="DH44" s="7"/>
      <c r="DI44" s="5"/>
      <c r="DJ44" s="5"/>
      <c r="DK44" s="5"/>
      <c r="DL44" s="5"/>
      <c r="DM44" s="493" t="s">
        <v>478</v>
      </c>
    </row>
    <row r="45" spans="2:117" s="427" customFormat="1" ht="21.95" customHeight="1" x14ac:dyDescent="0.25">
      <c r="B45" s="432">
        <v>36</v>
      </c>
      <c r="C45" s="499" t="str">
        <f t="shared" si="18"/>
        <v/>
      </c>
      <c r="D45" s="403" t="str">
        <f t="shared" si="19"/>
        <v/>
      </c>
      <c r="E45" s="541"/>
      <c r="F45" s="785"/>
      <c r="G45" s="728"/>
      <c r="H45" s="728"/>
      <c r="I45" s="728"/>
      <c r="J45" s="728"/>
      <c r="K45" s="728"/>
      <c r="L45" s="728"/>
      <c r="M45" s="764"/>
      <c r="N45" s="728"/>
      <c r="O45" s="764"/>
      <c r="P45" s="728"/>
      <c r="Q45" s="1142"/>
      <c r="R45" s="1133"/>
      <c r="S45" s="778"/>
      <c r="T45" s="767"/>
      <c r="U45" s="778"/>
      <c r="V45" s="751"/>
      <c r="W45" s="556"/>
      <c r="X45" s="785"/>
      <c r="Y45" s="542"/>
      <c r="Z45" s="500"/>
      <c r="AA45" s="500"/>
      <c r="AB45" s="500"/>
      <c r="AC45" s="500"/>
      <c r="AD45" s="529"/>
      <c r="AE45" s="527">
        <f t="shared" si="39"/>
        <v>0</v>
      </c>
      <c r="AF45" s="527">
        <f t="shared" si="40"/>
        <v>0</v>
      </c>
      <c r="AG45" s="527">
        <f t="shared" si="0"/>
        <v>0</v>
      </c>
      <c r="AH45" s="527">
        <f t="shared" si="1"/>
        <v>0</v>
      </c>
      <c r="AI45" s="527">
        <f t="shared" si="2"/>
        <v>0</v>
      </c>
      <c r="AJ45" s="527">
        <f t="shared" si="3"/>
        <v>999999999</v>
      </c>
      <c r="AK45" s="530"/>
      <c r="AL45" s="776"/>
      <c r="AM45" s="777"/>
      <c r="AN45" s="500"/>
      <c r="AO45" s="778"/>
      <c r="AP45" s="778"/>
      <c r="AQ45" s="500"/>
      <c r="AR45" s="531"/>
      <c r="AS45" s="403"/>
      <c r="AT45" s="524" t="str">
        <f t="shared" si="4"/>
        <v/>
      </c>
      <c r="AU45" s="311">
        <f t="shared" si="5"/>
        <v>0</v>
      </c>
      <c r="AV45" s="288">
        <f t="shared" si="22"/>
        <v>0</v>
      </c>
      <c r="AW45" s="290">
        <f>IF(ISERROR($AU45*'Utility Admin'!$E$4+$AV45*'Utility Admin'!$F$4),0,$AU45*'Utility Admin'!$E$4+$AV45*'Utility Admin'!$F$4)</f>
        <v>0</v>
      </c>
      <c r="AX45" s="323" t="str">
        <f t="shared" si="6"/>
        <v/>
      </c>
      <c r="AY45" s="322" t="str">
        <f t="shared" si="23"/>
        <v/>
      </c>
      <c r="AZ45" s="319">
        <f>Baselines!$CJ289</f>
        <v>0</v>
      </c>
      <c r="BA45" s="735">
        <f>Baselines!$CK289</f>
        <v>0</v>
      </c>
      <c r="BB45" s="839">
        <f>Baselines!$CM289</f>
        <v>0</v>
      </c>
      <c r="BC45" s="466">
        <f t="shared" si="7"/>
        <v>0</v>
      </c>
      <c r="BD45" s="464">
        <f t="shared" si="24"/>
        <v>0</v>
      </c>
      <c r="BE45" s="755">
        <f t="shared" si="8"/>
        <v>0</v>
      </c>
      <c r="BF45" s="755">
        <f t="shared" si="25"/>
        <v>0</v>
      </c>
      <c r="BG45" s="466">
        <f t="shared" si="9"/>
        <v>0</v>
      </c>
      <c r="BH45" s="464">
        <f t="shared" si="10"/>
        <v>0</v>
      </c>
      <c r="BI45" s="755">
        <f t="shared" si="11"/>
        <v>0</v>
      </c>
      <c r="BJ45" s="755">
        <f t="shared" si="26"/>
        <v>0</v>
      </c>
      <c r="BK45" s="333">
        <f>IF(OR($C45&lt;&gt;"Early Retirement",$H45=""),0,IF(AND($G45&lt;&gt;"Air Cooled Chiller",$G45&lt;&gt;"Water Cooled Chiller"),VLOOKUP($H45,'Early Retirement'!$CI$6:$CL$33,2,FALSE),IF($J45&lt;&gt;"Centrifugal",VLOOKUP($H45,'Early Retirement'!$CI$6:$CL$33,3,FALSE),IF($J45="Centrifugal",VLOOKUP($H45,'Early Retirement'!$CI$6:$CL$33,4,FALSE),""))))</f>
        <v>0</v>
      </c>
      <c r="BL45" s="450">
        <f t="shared" si="12"/>
        <v>0</v>
      </c>
      <c r="BM45" s="553">
        <f>IFERROR('Utility Admin'!$I$4*((1+'Utility Admin'!$G$4)/('Utility Admin'!$H$4-'Utility Admin'!$G$4))*(1-((1+'Utility Admin'!$G$4)/(1+'Utility Admin'!$H$4))^$BK45)*$BG45,0)</f>
        <v>0</v>
      </c>
      <c r="BN45" s="553">
        <f>IFERROR('Utility Admin'!$I$4*((1+'Utility Admin'!$G$4)/('Utility Admin'!$H$4-'Utility Admin'!$G$4))*(1-((1+'Utility Admin'!$G$4)/(1+'Utility Admin'!$H$4))^$BL45)*((1+'Utility Admin'!$G$4)^$BK45/(1+'Utility Admin'!$H$4)^$BK45)*$BC45,0)</f>
        <v>0</v>
      </c>
      <c r="BO45" s="553">
        <f t="shared" si="27"/>
        <v>0</v>
      </c>
      <c r="BP45" s="553">
        <f>IFERROR('Utility Admin'!$J$4*((1+'Utility Admin'!$G$4)/('Utility Admin'!$H$4-'Utility Admin'!$G$4))*(1-((1+'Utility Admin'!$G$4)/(1+'Utility Admin'!$H$4))^$BK45)*$BJ45,0)</f>
        <v>0</v>
      </c>
      <c r="BQ45" s="553">
        <f>IFERROR('Utility Admin'!$J$4*((1+'Utility Admin'!$G$4)/('Utility Admin'!$H$4-'Utility Admin'!$G$4))*(1-((1+'Utility Admin'!$G$4)/(1+'Utility Admin'!$H$4))^$BL45)*((1+'Utility Admin'!$G$4)^$BK45/(1+'Utility Admin'!$H$4)^$BK45)*$BF45,0)</f>
        <v>0</v>
      </c>
      <c r="BR45" s="553">
        <f t="shared" si="28"/>
        <v>0</v>
      </c>
      <c r="BS45" s="553">
        <f>IFERROR('Utility Admin'!$I$4*((1+'Utility Admin'!$G$4)/('Utility Admin'!$H$4-'Utility Admin'!$G$4))*(1-((1+'Utility Admin'!$G$4)/(1+'Utility Admin'!$H$4))^$AT45),0)</f>
        <v>0</v>
      </c>
      <c r="BT45" s="553">
        <f>IFERROR('Utility Admin'!$J$4*((1+'Utility Admin'!$G$4)/('Utility Admin'!$H$4-'Utility Admin'!$G$4))*(1-((1+'Utility Admin'!$G$4)/(1+'Utility Admin'!$H$4))^$AT45),0)</f>
        <v>0</v>
      </c>
      <c r="BU45" s="459">
        <f t="shared" si="29"/>
        <v>0</v>
      </c>
      <c r="BV45" s="462">
        <f t="shared" si="30"/>
        <v>0</v>
      </c>
      <c r="BW45" s="219" t="str">
        <f t="shared" si="13"/>
        <v/>
      </c>
      <c r="BX45" s="250" t="str">
        <f t="shared" si="31"/>
        <v/>
      </c>
      <c r="BY45" s="250" t="str">
        <f t="shared" si="14"/>
        <v/>
      </c>
      <c r="BZ45" s="184">
        <f t="shared" si="32"/>
        <v>0</v>
      </c>
      <c r="CA45" s="693">
        <f t="shared" si="33"/>
        <v>0</v>
      </c>
      <c r="CB45" s="836">
        <f t="shared" si="34"/>
        <v>0</v>
      </c>
      <c r="CC45" s="693">
        <f>IF(AND($C45="Early Retirement",$H45&lt;&gt;"",$R45&lt;&gt;"",$T45&lt;&gt;""),$BZ45,Baselines!$CJ38)</f>
        <v>0</v>
      </c>
      <c r="CD45" s="693">
        <f>IF(AND($C45="Early Retirement",$H45&lt;&gt;"",$R45&lt;&gt;"",$T45&lt;&gt;""),$CA45,Baselines!$CK38)</f>
        <v>0</v>
      </c>
      <c r="CE45" s="182" t="str">
        <f>Baselines!$CL38</f>
        <v>kW/ton</v>
      </c>
      <c r="CF45" s="850" t="str">
        <f t="shared" si="15"/>
        <v/>
      </c>
      <c r="CG45" s="833">
        <f>IF(AND($C45="Early Retirement",$H45&lt;&gt;"",$R45&lt;&gt;"",$T45&lt;&gt;""),$CB45,IF(AND(Baselines!$CM38=0,OR($CL45="DX HP",$CL45="PTHP")),$BB45,Baselines!$CM38))</f>
        <v>0</v>
      </c>
      <c r="CH45" s="830" t="s">
        <v>567</v>
      </c>
      <c r="CI45" s="185" t="str">
        <f>IF(OR($C45="Replace-on-Burnout",$C45="New Construction"),$CT45,IF($BW45="","",VLOOKUP($D45,'Factor Tables'!$B$165:$H$192,MATCH($BW45,'Factor Tables'!$B$164:$H$164,0),FALSE)))</f>
        <v/>
      </c>
      <c r="CJ45" s="842" t="str">
        <f>IF(OR($C45="Replace-on-Burnout",$C45="New Construction"),$CU45,IF($BW45="","",IF($BW45="DX HP",VLOOKUP($D45,'Factor Tables'!$I$165:$Q$192,MATCH("DX HP Clg",'Factor Tables'!$I$164:$Q$164,0),FALSE),IF($BW45="PTHP",VLOOKUP($D45,'Factor Tables'!$I$165:$Q$192,MATCH("PTHP Clg",'Factor Tables'!$I$164:$Q$164,0),FALSE),IF(AND($BW45&lt;&gt;"DX HP",$BW45&lt;&gt;"PTHP"),VLOOKUP($D45,'Factor Tables'!$I$165:$Q$192,MATCH($BW45,'Factor Tables'!$I$164:$Q$164,0),FALSE),"")))))</f>
        <v/>
      </c>
      <c r="CK45" s="186" t="str">
        <f>IF(OR($C45="Replace-on-Burnout",$C45="New Construction",$CL45="DX HP",$CL45="PTHP"),$CV45,IF($BW45="","",IF($BW45="DX HP",VLOOKUP($D45,'Factor Tables'!$I$165:$Q$192,MATCH("DX HP Htg",'Factor Tables'!$I$164:$Q$164,0),FALSE),IF($BW45="PTHP",VLOOKUP($D45,'Factor Tables'!$I$165:$Q$192,MATCH("PTHP Htg",'Factor Tables'!$I$164:$Q$164,0),FALSE),0))))</f>
        <v/>
      </c>
      <c r="CL45" s="187" t="str">
        <f t="shared" si="16"/>
        <v/>
      </c>
      <c r="CM45" s="251" t="str">
        <f t="shared" si="17"/>
        <v/>
      </c>
      <c r="CN45" s="184">
        <f t="shared" si="35"/>
        <v>0</v>
      </c>
      <c r="CO45" s="693">
        <f t="shared" si="36"/>
        <v>0</v>
      </c>
      <c r="CP45" s="182" t="s">
        <v>46</v>
      </c>
      <c r="CQ45" s="852" t="str">
        <f t="shared" si="37"/>
        <v/>
      </c>
      <c r="CR45" s="833">
        <f t="shared" si="38"/>
        <v>0</v>
      </c>
      <c r="CS45" s="830" t="s">
        <v>567</v>
      </c>
      <c r="CT45" s="185" t="str">
        <f>IF($CL45="","",VLOOKUP($D45,'Factor Tables'!$B$165:$H$192,MATCH($CL45,'Factor Tables'!$B$164:$H$164,0),FALSE))</f>
        <v/>
      </c>
      <c r="CU45" s="842" t="str">
        <f>IF($CL45="","",IF(AND($CL45&lt;&gt;"DX HP",$CL45&lt;&gt;"PTHP"),VLOOKUP($D45,'Factor Tables'!$I$165:$Q$192,MATCH($CL45,'Factor Tables'!$I$164:$Q$164,0),FALSE),IF($CL45="DX HP",VLOOKUP($D45,'Factor Tables'!$I$165:$Q$192,MATCH("DX HP Clg",'Factor Tables'!$I$164:$Q$164,0),FALSE),IF($CL45="PTHP",VLOOKUP($D45,'Factor Tables'!$I$165:$Q$192,MATCH("PTHP Clg",'Factor Tables'!$I$164:$Q$164,0),FALSE),""))))</f>
        <v/>
      </c>
      <c r="CV45" s="186" t="str">
        <f>IF($CL45="","",IF(AND($CL45&lt;&gt;"DX HP",$CL45&lt;&gt;"PTHP"),0,IF($CL45="DX HP",VLOOKUP($D45,'Factor Tables'!$I$165:$Q$192,MATCH("DX HP Htg",'Factor Tables'!$I$164:$Q$164,0),FALSE),IF($CL45="PTHP",VLOOKUP($D45,'Factor Tables'!$I$165:$Q$192,MATCH("PTHP Htg",'Factor Tables'!$I$164:$Q$164,0),FALSE),""))))</f>
        <v/>
      </c>
      <c r="DD45" s="193" t="s">
        <v>349</v>
      </c>
      <c r="DE45" s="6"/>
      <c r="DF45" s="7"/>
      <c r="DG45" s="7"/>
      <c r="DH45" s="7"/>
      <c r="DI45" s="5"/>
      <c r="DJ45" s="5"/>
      <c r="DK45" s="5"/>
      <c r="DL45" s="5"/>
      <c r="DM45" s="493" t="s">
        <v>478</v>
      </c>
    </row>
    <row r="46" spans="2:117" s="427" customFormat="1" ht="21.95" customHeight="1" x14ac:dyDescent="0.25">
      <c r="B46" s="431">
        <v>37</v>
      </c>
      <c r="C46" s="501" t="str">
        <f t="shared" si="18"/>
        <v/>
      </c>
      <c r="D46" s="502" t="str">
        <f t="shared" si="19"/>
        <v/>
      </c>
      <c r="E46" s="546"/>
      <c r="F46" s="547"/>
      <c r="G46" s="729"/>
      <c r="H46" s="729"/>
      <c r="I46" s="729"/>
      <c r="J46" s="729"/>
      <c r="K46" s="729"/>
      <c r="L46" s="729"/>
      <c r="M46" s="765"/>
      <c r="N46" s="758"/>
      <c r="O46" s="765"/>
      <c r="P46" s="758"/>
      <c r="Q46" s="1143"/>
      <c r="R46" s="1134"/>
      <c r="S46" s="775"/>
      <c r="T46" s="729"/>
      <c r="U46" s="775"/>
      <c r="V46" s="779"/>
      <c r="W46" s="557"/>
      <c r="X46" s="788"/>
      <c r="Y46" s="543"/>
      <c r="Z46" s="281"/>
      <c r="AA46" s="281"/>
      <c r="AB46" s="281"/>
      <c r="AC46" s="281"/>
      <c r="AD46" s="492"/>
      <c r="AE46" s="527">
        <f t="shared" si="39"/>
        <v>0</v>
      </c>
      <c r="AF46" s="527">
        <f t="shared" si="40"/>
        <v>0</v>
      </c>
      <c r="AG46" s="527">
        <f t="shared" si="0"/>
        <v>0</v>
      </c>
      <c r="AH46" s="527">
        <f t="shared" si="1"/>
        <v>0</v>
      </c>
      <c r="AI46" s="527">
        <f t="shared" si="2"/>
        <v>0</v>
      </c>
      <c r="AJ46" s="527">
        <f t="shared" si="3"/>
        <v>999999999</v>
      </c>
      <c r="AK46" s="471"/>
      <c r="AL46" s="765"/>
      <c r="AM46" s="758"/>
      <c r="AN46" s="281"/>
      <c r="AO46" s="775"/>
      <c r="AP46" s="775"/>
      <c r="AQ46" s="281"/>
      <c r="AR46" s="528"/>
      <c r="AS46" s="532"/>
      <c r="AT46" s="524" t="str">
        <f t="shared" si="4"/>
        <v/>
      </c>
      <c r="AU46" s="311">
        <f t="shared" si="5"/>
        <v>0</v>
      </c>
      <c r="AV46" s="288">
        <f t="shared" si="22"/>
        <v>0</v>
      </c>
      <c r="AW46" s="290">
        <f>IF(ISERROR($AU46*'Utility Admin'!$E$4+$AV46*'Utility Admin'!$F$4),0,$AU46*'Utility Admin'!$E$4+$AV46*'Utility Admin'!$F$4)</f>
        <v>0</v>
      </c>
      <c r="AX46" s="323" t="str">
        <f t="shared" si="6"/>
        <v/>
      </c>
      <c r="AY46" s="322" t="str">
        <f t="shared" si="23"/>
        <v/>
      </c>
      <c r="AZ46" s="319">
        <f>Baselines!$CJ290</f>
        <v>0</v>
      </c>
      <c r="BA46" s="735">
        <f>Baselines!$CK290</f>
        <v>0</v>
      </c>
      <c r="BB46" s="839">
        <f>Baselines!$CM290</f>
        <v>0</v>
      </c>
      <c r="BC46" s="466">
        <f t="shared" si="7"/>
        <v>0</v>
      </c>
      <c r="BD46" s="464">
        <f t="shared" si="24"/>
        <v>0</v>
      </c>
      <c r="BE46" s="755">
        <f t="shared" si="8"/>
        <v>0</v>
      </c>
      <c r="BF46" s="755">
        <f t="shared" si="25"/>
        <v>0</v>
      </c>
      <c r="BG46" s="466">
        <f t="shared" si="9"/>
        <v>0</v>
      </c>
      <c r="BH46" s="464">
        <f t="shared" si="10"/>
        <v>0</v>
      </c>
      <c r="BI46" s="755">
        <f t="shared" si="11"/>
        <v>0</v>
      </c>
      <c r="BJ46" s="755">
        <f t="shared" si="26"/>
        <v>0</v>
      </c>
      <c r="BK46" s="333">
        <f>IF(OR($C46&lt;&gt;"Early Retirement",$H46=""),0,IF(AND($G46&lt;&gt;"Air Cooled Chiller",$G46&lt;&gt;"Water Cooled Chiller"),VLOOKUP($H46,'Early Retirement'!$CI$6:$CL$33,2,FALSE),IF($J46&lt;&gt;"Centrifugal",VLOOKUP($H46,'Early Retirement'!$CI$6:$CL$33,3,FALSE),IF($J46="Centrifugal",VLOOKUP($H46,'Early Retirement'!$CI$6:$CL$33,4,FALSE),""))))</f>
        <v>0</v>
      </c>
      <c r="BL46" s="450">
        <f t="shared" si="12"/>
        <v>0</v>
      </c>
      <c r="BM46" s="553">
        <f>IFERROR('Utility Admin'!$I$4*((1+'Utility Admin'!$G$4)/('Utility Admin'!$H$4-'Utility Admin'!$G$4))*(1-((1+'Utility Admin'!$G$4)/(1+'Utility Admin'!$H$4))^$BK46)*$BG46,0)</f>
        <v>0</v>
      </c>
      <c r="BN46" s="553">
        <f>IFERROR('Utility Admin'!$I$4*((1+'Utility Admin'!$G$4)/('Utility Admin'!$H$4-'Utility Admin'!$G$4))*(1-((1+'Utility Admin'!$G$4)/(1+'Utility Admin'!$H$4))^$BL46)*((1+'Utility Admin'!$G$4)^$BK46/(1+'Utility Admin'!$H$4)^$BK46)*$BC46,0)</f>
        <v>0</v>
      </c>
      <c r="BO46" s="553">
        <f t="shared" si="27"/>
        <v>0</v>
      </c>
      <c r="BP46" s="553">
        <f>IFERROR('Utility Admin'!$J$4*((1+'Utility Admin'!$G$4)/('Utility Admin'!$H$4-'Utility Admin'!$G$4))*(1-((1+'Utility Admin'!$G$4)/(1+'Utility Admin'!$H$4))^$BK46)*$BJ46,0)</f>
        <v>0</v>
      </c>
      <c r="BQ46" s="553">
        <f>IFERROR('Utility Admin'!$J$4*((1+'Utility Admin'!$G$4)/('Utility Admin'!$H$4-'Utility Admin'!$G$4))*(1-((1+'Utility Admin'!$G$4)/(1+'Utility Admin'!$H$4))^$BL46)*((1+'Utility Admin'!$G$4)^$BK46/(1+'Utility Admin'!$H$4)^$BK46)*$BF46,0)</f>
        <v>0</v>
      </c>
      <c r="BR46" s="553">
        <f t="shared" si="28"/>
        <v>0</v>
      </c>
      <c r="BS46" s="553">
        <f>IFERROR('Utility Admin'!$I$4*((1+'Utility Admin'!$G$4)/('Utility Admin'!$H$4-'Utility Admin'!$G$4))*(1-((1+'Utility Admin'!$G$4)/(1+'Utility Admin'!$H$4))^$AT46),0)</f>
        <v>0</v>
      </c>
      <c r="BT46" s="553">
        <f>IFERROR('Utility Admin'!$J$4*((1+'Utility Admin'!$G$4)/('Utility Admin'!$H$4-'Utility Admin'!$G$4))*(1-((1+'Utility Admin'!$G$4)/(1+'Utility Admin'!$H$4))^$AT46),0)</f>
        <v>0</v>
      </c>
      <c r="BU46" s="459">
        <f t="shared" si="29"/>
        <v>0</v>
      </c>
      <c r="BV46" s="462">
        <f t="shared" si="30"/>
        <v>0</v>
      </c>
      <c r="BW46" s="219" t="str">
        <f t="shared" si="13"/>
        <v/>
      </c>
      <c r="BX46" s="250" t="str">
        <f t="shared" si="31"/>
        <v/>
      </c>
      <c r="BY46" s="250" t="str">
        <f t="shared" si="14"/>
        <v/>
      </c>
      <c r="BZ46" s="184">
        <f t="shared" si="32"/>
        <v>0</v>
      </c>
      <c r="CA46" s="693">
        <f t="shared" si="33"/>
        <v>0</v>
      </c>
      <c r="CB46" s="836">
        <f t="shared" si="34"/>
        <v>0</v>
      </c>
      <c r="CC46" s="693">
        <f>IF(AND($C46="Early Retirement",$H46&lt;&gt;"",$R46&lt;&gt;"",$T46&lt;&gt;""),$BZ46,Baselines!$CJ39)</f>
        <v>0</v>
      </c>
      <c r="CD46" s="693">
        <f>IF(AND($C46="Early Retirement",$H46&lt;&gt;"",$R46&lt;&gt;"",$T46&lt;&gt;""),$CA46,Baselines!$CK39)</f>
        <v>0</v>
      </c>
      <c r="CE46" s="182" t="str">
        <f>Baselines!$CL39</f>
        <v>kW/ton</v>
      </c>
      <c r="CF46" s="850" t="str">
        <f t="shared" si="15"/>
        <v/>
      </c>
      <c r="CG46" s="833">
        <f>IF(AND($C46="Early Retirement",$H46&lt;&gt;"",$R46&lt;&gt;"",$T46&lt;&gt;""),$CB46,IF(AND(Baselines!$CM39=0,OR($CL46="DX HP",$CL46="PTHP")),$BB46,Baselines!$CM39))</f>
        <v>0</v>
      </c>
      <c r="CH46" s="830" t="s">
        <v>567</v>
      </c>
      <c r="CI46" s="185" t="str">
        <f>IF(OR($C46="Replace-on-Burnout",$C46="New Construction"),$CT46,IF($BW46="","",VLOOKUP($D46,'Factor Tables'!$B$165:$H$192,MATCH($BW46,'Factor Tables'!$B$164:$H$164,0),FALSE)))</f>
        <v/>
      </c>
      <c r="CJ46" s="842" t="str">
        <f>IF(OR($C46="Replace-on-Burnout",$C46="New Construction"),$CU46,IF($BW46="","",IF($BW46="DX HP",VLOOKUP($D46,'Factor Tables'!$I$165:$Q$192,MATCH("DX HP Clg",'Factor Tables'!$I$164:$Q$164,0),FALSE),IF($BW46="PTHP",VLOOKUP($D46,'Factor Tables'!$I$165:$Q$192,MATCH("PTHP Clg",'Factor Tables'!$I$164:$Q$164,0),FALSE),IF(AND($BW46&lt;&gt;"DX HP",$BW46&lt;&gt;"PTHP"),VLOOKUP($D46,'Factor Tables'!$I$165:$Q$192,MATCH($BW46,'Factor Tables'!$I$164:$Q$164,0),FALSE),"")))))</f>
        <v/>
      </c>
      <c r="CK46" s="186" t="str">
        <f>IF(OR($C46="Replace-on-Burnout",$C46="New Construction",$CL46="DX HP",$CL46="PTHP"),$CV46,IF($BW46="","",IF($BW46="DX HP",VLOOKUP($D46,'Factor Tables'!$I$165:$Q$192,MATCH("DX HP Htg",'Factor Tables'!$I$164:$Q$164,0),FALSE),IF($BW46="PTHP",VLOOKUP($D46,'Factor Tables'!$I$165:$Q$192,MATCH("PTHP Htg",'Factor Tables'!$I$164:$Q$164,0),FALSE),0))))</f>
        <v/>
      </c>
      <c r="CL46" s="187" t="str">
        <f t="shared" si="16"/>
        <v/>
      </c>
      <c r="CM46" s="251" t="str">
        <f t="shared" si="17"/>
        <v/>
      </c>
      <c r="CN46" s="184">
        <f t="shared" si="35"/>
        <v>0</v>
      </c>
      <c r="CO46" s="693">
        <f t="shared" si="36"/>
        <v>0</v>
      </c>
      <c r="CP46" s="182" t="s">
        <v>46</v>
      </c>
      <c r="CQ46" s="852" t="str">
        <f t="shared" si="37"/>
        <v/>
      </c>
      <c r="CR46" s="833">
        <f t="shared" si="38"/>
        <v>0</v>
      </c>
      <c r="CS46" s="830" t="s">
        <v>567</v>
      </c>
      <c r="CT46" s="185" t="str">
        <f>IF($CL46="","",VLOOKUP($D46,'Factor Tables'!$B$165:$H$192,MATCH($CL46,'Factor Tables'!$B$164:$H$164,0),FALSE))</f>
        <v/>
      </c>
      <c r="CU46" s="842" t="str">
        <f>IF($CL46="","",IF(AND($CL46&lt;&gt;"DX HP",$CL46&lt;&gt;"PTHP"),VLOOKUP($D46,'Factor Tables'!$I$165:$Q$192,MATCH($CL46,'Factor Tables'!$I$164:$Q$164,0),FALSE),IF($CL46="DX HP",VLOOKUP($D46,'Factor Tables'!$I$165:$Q$192,MATCH("DX HP Clg",'Factor Tables'!$I$164:$Q$164,0),FALSE),IF($CL46="PTHP",VLOOKUP($D46,'Factor Tables'!$I$165:$Q$192,MATCH("PTHP Clg",'Factor Tables'!$I$164:$Q$164,0),FALSE),""))))</f>
        <v/>
      </c>
      <c r="CV46" s="186" t="str">
        <f>IF($CL46="","",IF(AND($CL46&lt;&gt;"DX HP",$CL46&lt;&gt;"PTHP"),0,IF($CL46="DX HP",VLOOKUP($D46,'Factor Tables'!$I$165:$Q$192,MATCH("DX HP Htg",'Factor Tables'!$I$164:$Q$164,0),FALSE),IF($CL46="PTHP",VLOOKUP($D46,'Factor Tables'!$I$165:$Q$192,MATCH("PTHP Htg",'Factor Tables'!$I$164:$Q$164,0),FALSE),""))))</f>
        <v/>
      </c>
      <c r="DD46" s="194" t="s">
        <v>53</v>
      </c>
      <c r="DE46" s="6"/>
      <c r="DF46" s="7"/>
      <c r="DG46" s="7"/>
      <c r="DH46" s="7"/>
      <c r="DI46" s="5"/>
      <c r="DJ46" s="5"/>
      <c r="DK46" s="5"/>
      <c r="DL46" s="5"/>
      <c r="DM46" s="493" t="s">
        <v>478</v>
      </c>
    </row>
    <row r="47" spans="2:117" s="427" customFormat="1" ht="21.95" customHeight="1" x14ac:dyDescent="0.25">
      <c r="B47" s="432">
        <v>38</v>
      </c>
      <c r="C47" s="499" t="str">
        <f t="shared" si="18"/>
        <v/>
      </c>
      <c r="D47" s="403" t="str">
        <f t="shared" si="19"/>
        <v/>
      </c>
      <c r="E47" s="541"/>
      <c r="F47" s="785"/>
      <c r="G47" s="728"/>
      <c r="H47" s="728"/>
      <c r="I47" s="728"/>
      <c r="J47" s="728"/>
      <c r="K47" s="728"/>
      <c r="L47" s="728"/>
      <c r="M47" s="764"/>
      <c r="N47" s="728"/>
      <c r="O47" s="764"/>
      <c r="P47" s="728"/>
      <c r="Q47" s="1142"/>
      <c r="R47" s="1133"/>
      <c r="S47" s="778"/>
      <c r="T47" s="767"/>
      <c r="U47" s="778"/>
      <c r="V47" s="751"/>
      <c r="W47" s="556"/>
      <c r="X47" s="785"/>
      <c r="Y47" s="542"/>
      <c r="Z47" s="500"/>
      <c r="AA47" s="500"/>
      <c r="AB47" s="500"/>
      <c r="AC47" s="500"/>
      <c r="AD47" s="529"/>
      <c r="AE47" s="527">
        <f t="shared" si="39"/>
        <v>0</v>
      </c>
      <c r="AF47" s="527">
        <f t="shared" si="40"/>
        <v>0</v>
      </c>
      <c r="AG47" s="527">
        <f t="shared" si="0"/>
        <v>0</v>
      </c>
      <c r="AH47" s="527">
        <f t="shared" si="1"/>
        <v>0</v>
      </c>
      <c r="AI47" s="527">
        <f t="shared" si="2"/>
        <v>0</v>
      </c>
      <c r="AJ47" s="527">
        <f t="shared" si="3"/>
        <v>999999999</v>
      </c>
      <c r="AK47" s="530"/>
      <c r="AL47" s="776"/>
      <c r="AM47" s="777"/>
      <c r="AN47" s="500"/>
      <c r="AO47" s="778"/>
      <c r="AP47" s="778"/>
      <c r="AQ47" s="500"/>
      <c r="AR47" s="531"/>
      <c r="AS47" s="403"/>
      <c r="AT47" s="524" t="str">
        <f t="shared" si="4"/>
        <v/>
      </c>
      <c r="AU47" s="311">
        <f t="shared" si="5"/>
        <v>0</v>
      </c>
      <c r="AV47" s="288">
        <f t="shared" si="22"/>
        <v>0</v>
      </c>
      <c r="AW47" s="290">
        <f>IF(ISERROR($AU47*'Utility Admin'!$E$4+$AV47*'Utility Admin'!$F$4),0,$AU47*'Utility Admin'!$E$4+$AV47*'Utility Admin'!$F$4)</f>
        <v>0</v>
      </c>
      <c r="AX47" s="323" t="str">
        <f t="shared" si="6"/>
        <v/>
      </c>
      <c r="AY47" s="322" t="str">
        <f t="shared" si="23"/>
        <v/>
      </c>
      <c r="AZ47" s="319">
        <f>Baselines!$CJ291</f>
        <v>0</v>
      </c>
      <c r="BA47" s="735">
        <f>Baselines!$CK291</f>
        <v>0</v>
      </c>
      <c r="BB47" s="839">
        <f>Baselines!$CM291</f>
        <v>0</v>
      </c>
      <c r="BC47" s="466">
        <f t="shared" si="7"/>
        <v>0</v>
      </c>
      <c r="BD47" s="464">
        <f t="shared" si="24"/>
        <v>0</v>
      </c>
      <c r="BE47" s="755">
        <f t="shared" si="8"/>
        <v>0</v>
      </c>
      <c r="BF47" s="755">
        <f t="shared" si="25"/>
        <v>0</v>
      </c>
      <c r="BG47" s="466">
        <f t="shared" si="9"/>
        <v>0</v>
      </c>
      <c r="BH47" s="464">
        <f t="shared" si="10"/>
        <v>0</v>
      </c>
      <c r="BI47" s="755">
        <f t="shared" si="11"/>
        <v>0</v>
      </c>
      <c r="BJ47" s="755">
        <f t="shared" si="26"/>
        <v>0</v>
      </c>
      <c r="BK47" s="333">
        <f>IF(OR($C47&lt;&gt;"Early Retirement",$H47=""),0,IF(AND($G47&lt;&gt;"Air Cooled Chiller",$G47&lt;&gt;"Water Cooled Chiller"),VLOOKUP($H47,'Early Retirement'!$CI$6:$CL$33,2,FALSE),IF($J47&lt;&gt;"Centrifugal",VLOOKUP($H47,'Early Retirement'!$CI$6:$CL$33,3,FALSE),IF($J47="Centrifugal",VLOOKUP($H47,'Early Retirement'!$CI$6:$CL$33,4,FALSE),""))))</f>
        <v>0</v>
      </c>
      <c r="BL47" s="450">
        <f t="shared" si="12"/>
        <v>0</v>
      </c>
      <c r="BM47" s="553">
        <f>IFERROR('Utility Admin'!$I$4*((1+'Utility Admin'!$G$4)/('Utility Admin'!$H$4-'Utility Admin'!$G$4))*(1-((1+'Utility Admin'!$G$4)/(1+'Utility Admin'!$H$4))^$BK47)*$BG47,0)</f>
        <v>0</v>
      </c>
      <c r="BN47" s="553">
        <f>IFERROR('Utility Admin'!$I$4*((1+'Utility Admin'!$G$4)/('Utility Admin'!$H$4-'Utility Admin'!$G$4))*(1-((1+'Utility Admin'!$G$4)/(1+'Utility Admin'!$H$4))^$BL47)*((1+'Utility Admin'!$G$4)^$BK47/(1+'Utility Admin'!$H$4)^$BK47)*$BC47,0)</f>
        <v>0</v>
      </c>
      <c r="BO47" s="553">
        <f t="shared" si="27"/>
        <v>0</v>
      </c>
      <c r="BP47" s="553">
        <f>IFERROR('Utility Admin'!$J$4*((1+'Utility Admin'!$G$4)/('Utility Admin'!$H$4-'Utility Admin'!$G$4))*(1-((1+'Utility Admin'!$G$4)/(1+'Utility Admin'!$H$4))^$BK47)*$BJ47,0)</f>
        <v>0</v>
      </c>
      <c r="BQ47" s="553">
        <f>IFERROR('Utility Admin'!$J$4*((1+'Utility Admin'!$G$4)/('Utility Admin'!$H$4-'Utility Admin'!$G$4))*(1-((1+'Utility Admin'!$G$4)/(1+'Utility Admin'!$H$4))^$BL47)*((1+'Utility Admin'!$G$4)^$BK47/(1+'Utility Admin'!$H$4)^$BK47)*$BF47,0)</f>
        <v>0</v>
      </c>
      <c r="BR47" s="553">
        <f t="shared" si="28"/>
        <v>0</v>
      </c>
      <c r="BS47" s="553">
        <f>IFERROR('Utility Admin'!$I$4*((1+'Utility Admin'!$G$4)/('Utility Admin'!$H$4-'Utility Admin'!$G$4))*(1-((1+'Utility Admin'!$G$4)/(1+'Utility Admin'!$H$4))^$AT47),0)</f>
        <v>0</v>
      </c>
      <c r="BT47" s="553">
        <f>IFERROR('Utility Admin'!$J$4*((1+'Utility Admin'!$G$4)/('Utility Admin'!$H$4-'Utility Admin'!$G$4))*(1-((1+'Utility Admin'!$G$4)/(1+'Utility Admin'!$H$4))^$AT47),0)</f>
        <v>0</v>
      </c>
      <c r="BU47" s="459">
        <f t="shared" si="29"/>
        <v>0</v>
      </c>
      <c r="BV47" s="462">
        <f t="shared" si="30"/>
        <v>0</v>
      </c>
      <c r="BW47" s="219" t="str">
        <f t="shared" si="13"/>
        <v/>
      </c>
      <c r="BX47" s="250" t="str">
        <f t="shared" si="31"/>
        <v/>
      </c>
      <c r="BY47" s="250" t="str">
        <f t="shared" si="14"/>
        <v/>
      </c>
      <c r="BZ47" s="184">
        <f t="shared" si="32"/>
        <v>0</v>
      </c>
      <c r="CA47" s="693">
        <f t="shared" si="33"/>
        <v>0</v>
      </c>
      <c r="CB47" s="836">
        <f t="shared" si="34"/>
        <v>0</v>
      </c>
      <c r="CC47" s="693">
        <f>IF(AND($C47="Early Retirement",$H47&lt;&gt;"",$R47&lt;&gt;"",$T47&lt;&gt;""),$BZ47,Baselines!$CJ40)</f>
        <v>0</v>
      </c>
      <c r="CD47" s="693">
        <f>IF(AND($C47="Early Retirement",$H47&lt;&gt;"",$R47&lt;&gt;"",$T47&lt;&gt;""),$CA47,Baselines!$CK40)</f>
        <v>0</v>
      </c>
      <c r="CE47" s="182" t="str">
        <f>Baselines!$CL40</f>
        <v>kW/ton</v>
      </c>
      <c r="CF47" s="850" t="str">
        <f t="shared" si="15"/>
        <v/>
      </c>
      <c r="CG47" s="833">
        <f>IF(AND($C47="Early Retirement",$H47&lt;&gt;"",$R47&lt;&gt;"",$T47&lt;&gt;""),$CB47,IF(AND(Baselines!$CM40=0,OR($CL47="DX HP",$CL47="PTHP")),$BB47,Baselines!$CM40))</f>
        <v>0</v>
      </c>
      <c r="CH47" s="830" t="s">
        <v>567</v>
      </c>
      <c r="CI47" s="185" t="str">
        <f>IF(OR($C47="Replace-on-Burnout",$C47="New Construction"),$CT47,IF($BW47="","",VLOOKUP($D47,'Factor Tables'!$B$165:$H$192,MATCH($BW47,'Factor Tables'!$B$164:$H$164,0),FALSE)))</f>
        <v/>
      </c>
      <c r="CJ47" s="842" t="str">
        <f>IF(OR($C47="Replace-on-Burnout",$C47="New Construction"),$CU47,IF($BW47="","",IF($BW47="DX HP",VLOOKUP($D47,'Factor Tables'!$I$165:$Q$192,MATCH("DX HP Clg",'Factor Tables'!$I$164:$Q$164,0),FALSE),IF($BW47="PTHP",VLOOKUP($D47,'Factor Tables'!$I$165:$Q$192,MATCH("PTHP Clg",'Factor Tables'!$I$164:$Q$164,0),FALSE),IF(AND($BW47&lt;&gt;"DX HP",$BW47&lt;&gt;"PTHP"),VLOOKUP($D47,'Factor Tables'!$I$165:$Q$192,MATCH($BW47,'Factor Tables'!$I$164:$Q$164,0),FALSE),"")))))</f>
        <v/>
      </c>
      <c r="CK47" s="186" t="str">
        <f>IF(OR($C47="Replace-on-Burnout",$C47="New Construction",$CL47="DX HP",$CL47="PTHP"),$CV47,IF($BW47="","",IF($BW47="DX HP",VLOOKUP($D47,'Factor Tables'!$I$165:$Q$192,MATCH("DX HP Htg",'Factor Tables'!$I$164:$Q$164,0),FALSE),IF($BW47="PTHP",VLOOKUP($D47,'Factor Tables'!$I$165:$Q$192,MATCH("PTHP Htg",'Factor Tables'!$I$164:$Q$164,0),FALSE),0))))</f>
        <v/>
      </c>
      <c r="CL47" s="187" t="str">
        <f t="shared" si="16"/>
        <v/>
      </c>
      <c r="CM47" s="251" t="str">
        <f t="shared" si="17"/>
        <v/>
      </c>
      <c r="CN47" s="184">
        <f t="shared" si="35"/>
        <v>0</v>
      </c>
      <c r="CO47" s="693">
        <f t="shared" si="36"/>
        <v>0</v>
      </c>
      <c r="CP47" s="182" t="s">
        <v>46</v>
      </c>
      <c r="CQ47" s="852" t="str">
        <f t="shared" si="37"/>
        <v/>
      </c>
      <c r="CR47" s="833">
        <f t="shared" si="38"/>
        <v>0</v>
      </c>
      <c r="CS47" s="830" t="s">
        <v>567</v>
      </c>
      <c r="CT47" s="185" t="str">
        <f>IF($CL47="","",VLOOKUP($D47,'Factor Tables'!$B$165:$H$192,MATCH($CL47,'Factor Tables'!$B$164:$H$164,0),FALSE))</f>
        <v/>
      </c>
      <c r="CU47" s="842" t="str">
        <f>IF($CL47="","",IF(AND($CL47&lt;&gt;"DX HP",$CL47&lt;&gt;"PTHP"),VLOOKUP($D47,'Factor Tables'!$I$165:$Q$192,MATCH($CL47,'Factor Tables'!$I$164:$Q$164,0),FALSE),IF($CL47="DX HP",VLOOKUP($D47,'Factor Tables'!$I$165:$Q$192,MATCH("DX HP Clg",'Factor Tables'!$I$164:$Q$164,0),FALSE),IF($CL47="PTHP",VLOOKUP($D47,'Factor Tables'!$I$165:$Q$192,MATCH("PTHP Clg",'Factor Tables'!$I$164:$Q$164,0),FALSE),""))))</f>
        <v/>
      </c>
      <c r="CV47" s="186" t="str">
        <f>IF($CL47="","",IF(AND($CL47&lt;&gt;"DX HP",$CL47&lt;&gt;"PTHP"),0,IF($CL47="DX HP",VLOOKUP($D47,'Factor Tables'!$I$165:$Q$192,MATCH("DX HP Htg",'Factor Tables'!$I$164:$Q$164,0),FALSE),IF($CL47="PTHP",VLOOKUP($D47,'Factor Tables'!$I$165:$Q$192,MATCH("PTHP Htg",'Factor Tables'!$I$164:$Q$164,0),FALSE),""))))</f>
        <v/>
      </c>
      <c r="DD47" s="77" t="s">
        <v>54</v>
      </c>
      <c r="DE47" s="6"/>
      <c r="DF47" s="7"/>
      <c r="DG47" s="7"/>
      <c r="DH47" s="7"/>
      <c r="DI47" s="5"/>
      <c r="DJ47" s="5"/>
      <c r="DK47" s="5"/>
      <c r="DL47" s="5"/>
      <c r="DM47" s="493" t="s">
        <v>478</v>
      </c>
    </row>
    <row r="48" spans="2:117" s="427" customFormat="1" ht="21.95" customHeight="1" x14ac:dyDescent="0.25">
      <c r="B48" s="431">
        <v>39</v>
      </c>
      <c r="C48" s="501" t="str">
        <f t="shared" si="18"/>
        <v/>
      </c>
      <c r="D48" s="502" t="str">
        <f t="shared" si="19"/>
        <v/>
      </c>
      <c r="E48" s="546"/>
      <c r="F48" s="547"/>
      <c r="G48" s="729"/>
      <c r="H48" s="729"/>
      <c r="I48" s="729"/>
      <c r="J48" s="729"/>
      <c r="K48" s="729"/>
      <c r="L48" s="729"/>
      <c r="M48" s="765"/>
      <c r="N48" s="758"/>
      <c r="O48" s="765"/>
      <c r="P48" s="758"/>
      <c r="Q48" s="1143"/>
      <c r="R48" s="1134"/>
      <c r="S48" s="775"/>
      <c r="T48" s="729"/>
      <c r="U48" s="775"/>
      <c r="V48" s="779"/>
      <c r="W48" s="557"/>
      <c r="X48" s="788"/>
      <c r="Y48" s="543"/>
      <c r="Z48" s="281"/>
      <c r="AA48" s="281"/>
      <c r="AB48" s="281"/>
      <c r="AC48" s="281"/>
      <c r="AD48" s="492"/>
      <c r="AE48" s="527">
        <f t="shared" si="39"/>
        <v>0</v>
      </c>
      <c r="AF48" s="527">
        <f t="shared" si="40"/>
        <v>0</v>
      </c>
      <c r="AG48" s="527">
        <f t="shared" si="0"/>
        <v>0</v>
      </c>
      <c r="AH48" s="527">
        <f t="shared" si="1"/>
        <v>0</v>
      </c>
      <c r="AI48" s="527">
        <f t="shared" si="2"/>
        <v>0</v>
      </c>
      <c r="AJ48" s="527">
        <f t="shared" si="3"/>
        <v>999999999</v>
      </c>
      <c r="AK48" s="471"/>
      <c r="AL48" s="765"/>
      <c r="AM48" s="758"/>
      <c r="AN48" s="281"/>
      <c r="AO48" s="775"/>
      <c r="AP48" s="775"/>
      <c r="AQ48" s="281"/>
      <c r="AR48" s="528"/>
      <c r="AS48" s="532"/>
      <c r="AT48" s="524" t="str">
        <f t="shared" si="4"/>
        <v/>
      </c>
      <c r="AU48" s="311">
        <f t="shared" si="5"/>
        <v>0</v>
      </c>
      <c r="AV48" s="288">
        <f t="shared" si="22"/>
        <v>0</v>
      </c>
      <c r="AW48" s="290">
        <f>IF(ISERROR($AU48*'Utility Admin'!$E$4+$AV48*'Utility Admin'!$F$4),0,$AU48*'Utility Admin'!$E$4+$AV48*'Utility Admin'!$F$4)</f>
        <v>0</v>
      </c>
      <c r="AX48" s="323" t="str">
        <f t="shared" si="6"/>
        <v/>
      </c>
      <c r="AY48" s="322" t="str">
        <f t="shared" si="23"/>
        <v/>
      </c>
      <c r="AZ48" s="319">
        <f>Baselines!$CJ292</f>
        <v>0</v>
      </c>
      <c r="BA48" s="735">
        <f>Baselines!$CK292</f>
        <v>0</v>
      </c>
      <c r="BB48" s="839">
        <f>Baselines!$CM292</f>
        <v>0</v>
      </c>
      <c r="BC48" s="466">
        <f t="shared" si="7"/>
        <v>0</v>
      </c>
      <c r="BD48" s="464">
        <f t="shared" si="24"/>
        <v>0</v>
      </c>
      <c r="BE48" s="755">
        <f t="shared" si="8"/>
        <v>0</v>
      </c>
      <c r="BF48" s="755">
        <f t="shared" si="25"/>
        <v>0</v>
      </c>
      <c r="BG48" s="466">
        <f t="shared" si="9"/>
        <v>0</v>
      </c>
      <c r="BH48" s="464">
        <f t="shared" si="10"/>
        <v>0</v>
      </c>
      <c r="BI48" s="755">
        <f t="shared" si="11"/>
        <v>0</v>
      </c>
      <c r="BJ48" s="755">
        <f t="shared" si="26"/>
        <v>0</v>
      </c>
      <c r="BK48" s="333">
        <f>IF(OR($C48&lt;&gt;"Early Retirement",$H48=""),0,IF(AND($G48&lt;&gt;"Air Cooled Chiller",$G48&lt;&gt;"Water Cooled Chiller"),VLOOKUP($H48,'Early Retirement'!$CI$6:$CL$33,2,FALSE),IF($J48&lt;&gt;"Centrifugal",VLOOKUP($H48,'Early Retirement'!$CI$6:$CL$33,3,FALSE),IF($J48="Centrifugal",VLOOKUP($H48,'Early Retirement'!$CI$6:$CL$33,4,FALSE),""))))</f>
        <v>0</v>
      </c>
      <c r="BL48" s="450">
        <f t="shared" si="12"/>
        <v>0</v>
      </c>
      <c r="BM48" s="553">
        <f>IFERROR('Utility Admin'!$I$4*((1+'Utility Admin'!$G$4)/('Utility Admin'!$H$4-'Utility Admin'!$G$4))*(1-((1+'Utility Admin'!$G$4)/(1+'Utility Admin'!$H$4))^$BK48)*$BG48,0)</f>
        <v>0</v>
      </c>
      <c r="BN48" s="553">
        <f>IFERROR('Utility Admin'!$I$4*((1+'Utility Admin'!$G$4)/('Utility Admin'!$H$4-'Utility Admin'!$G$4))*(1-((1+'Utility Admin'!$G$4)/(1+'Utility Admin'!$H$4))^$BL48)*((1+'Utility Admin'!$G$4)^$BK48/(1+'Utility Admin'!$H$4)^$BK48)*$BC48,0)</f>
        <v>0</v>
      </c>
      <c r="BO48" s="553">
        <f t="shared" si="27"/>
        <v>0</v>
      </c>
      <c r="BP48" s="553">
        <f>IFERROR('Utility Admin'!$J$4*((1+'Utility Admin'!$G$4)/('Utility Admin'!$H$4-'Utility Admin'!$G$4))*(1-((1+'Utility Admin'!$G$4)/(1+'Utility Admin'!$H$4))^$BK48)*$BJ48,0)</f>
        <v>0</v>
      </c>
      <c r="BQ48" s="553">
        <f>IFERROR('Utility Admin'!$J$4*((1+'Utility Admin'!$G$4)/('Utility Admin'!$H$4-'Utility Admin'!$G$4))*(1-((1+'Utility Admin'!$G$4)/(1+'Utility Admin'!$H$4))^$BL48)*((1+'Utility Admin'!$G$4)^$BK48/(1+'Utility Admin'!$H$4)^$BK48)*$BF48,0)</f>
        <v>0</v>
      </c>
      <c r="BR48" s="553">
        <f t="shared" si="28"/>
        <v>0</v>
      </c>
      <c r="BS48" s="553">
        <f>IFERROR('Utility Admin'!$I$4*((1+'Utility Admin'!$G$4)/('Utility Admin'!$H$4-'Utility Admin'!$G$4))*(1-((1+'Utility Admin'!$G$4)/(1+'Utility Admin'!$H$4))^$AT48),0)</f>
        <v>0</v>
      </c>
      <c r="BT48" s="553">
        <f>IFERROR('Utility Admin'!$J$4*((1+'Utility Admin'!$G$4)/('Utility Admin'!$H$4-'Utility Admin'!$G$4))*(1-((1+'Utility Admin'!$G$4)/(1+'Utility Admin'!$H$4))^$AT48),0)</f>
        <v>0</v>
      </c>
      <c r="BU48" s="459">
        <f t="shared" si="29"/>
        <v>0</v>
      </c>
      <c r="BV48" s="462">
        <f t="shared" si="30"/>
        <v>0</v>
      </c>
      <c r="BW48" s="219" t="str">
        <f t="shared" si="13"/>
        <v/>
      </c>
      <c r="BX48" s="250" t="str">
        <f t="shared" si="31"/>
        <v/>
      </c>
      <c r="BY48" s="250" t="str">
        <f t="shared" si="14"/>
        <v/>
      </c>
      <c r="BZ48" s="184">
        <f t="shared" si="32"/>
        <v>0</v>
      </c>
      <c r="CA48" s="693">
        <f t="shared" si="33"/>
        <v>0</v>
      </c>
      <c r="CB48" s="836">
        <f t="shared" si="34"/>
        <v>0</v>
      </c>
      <c r="CC48" s="693">
        <f>IF(AND($C48="Early Retirement",$H48&lt;&gt;"",$R48&lt;&gt;"",$T48&lt;&gt;""),$BZ48,Baselines!$CJ41)</f>
        <v>0</v>
      </c>
      <c r="CD48" s="693">
        <f>IF(AND($C48="Early Retirement",$H48&lt;&gt;"",$R48&lt;&gt;"",$T48&lt;&gt;""),$CA48,Baselines!$CK41)</f>
        <v>0</v>
      </c>
      <c r="CE48" s="182" t="str">
        <f>Baselines!$CL41</f>
        <v>kW/ton</v>
      </c>
      <c r="CF48" s="850" t="str">
        <f t="shared" si="15"/>
        <v/>
      </c>
      <c r="CG48" s="833">
        <f>IF(AND($C48="Early Retirement",$H48&lt;&gt;"",$R48&lt;&gt;"",$T48&lt;&gt;""),$CB48,IF(AND(Baselines!$CM41=0,OR($CL48="DX HP",$CL48="PTHP")),$BB48,Baselines!$CM41))</f>
        <v>0</v>
      </c>
      <c r="CH48" s="830" t="s">
        <v>567</v>
      </c>
      <c r="CI48" s="185" t="str">
        <f>IF(OR($C48="Replace-on-Burnout",$C48="New Construction"),$CT48,IF($BW48="","",VLOOKUP($D48,'Factor Tables'!$B$165:$H$192,MATCH($BW48,'Factor Tables'!$B$164:$H$164,0),FALSE)))</f>
        <v/>
      </c>
      <c r="CJ48" s="842" t="str">
        <f>IF(OR($C48="Replace-on-Burnout",$C48="New Construction"),$CU48,IF($BW48="","",IF($BW48="DX HP",VLOOKUP($D48,'Factor Tables'!$I$165:$Q$192,MATCH("DX HP Clg",'Factor Tables'!$I$164:$Q$164,0),FALSE),IF($BW48="PTHP",VLOOKUP($D48,'Factor Tables'!$I$165:$Q$192,MATCH("PTHP Clg",'Factor Tables'!$I$164:$Q$164,0),FALSE),IF(AND($BW48&lt;&gt;"DX HP",$BW48&lt;&gt;"PTHP"),VLOOKUP($D48,'Factor Tables'!$I$165:$Q$192,MATCH($BW48,'Factor Tables'!$I$164:$Q$164,0),FALSE),"")))))</f>
        <v/>
      </c>
      <c r="CK48" s="186" t="str">
        <f>IF(OR($C48="Replace-on-Burnout",$C48="New Construction",$CL48="DX HP",$CL48="PTHP"),$CV48,IF($BW48="","",IF($BW48="DX HP",VLOOKUP($D48,'Factor Tables'!$I$165:$Q$192,MATCH("DX HP Htg",'Factor Tables'!$I$164:$Q$164,0),FALSE),IF($BW48="PTHP",VLOOKUP($D48,'Factor Tables'!$I$165:$Q$192,MATCH("PTHP Htg",'Factor Tables'!$I$164:$Q$164,0),FALSE),0))))</f>
        <v/>
      </c>
      <c r="CL48" s="187" t="str">
        <f t="shared" si="16"/>
        <v/>
      </c>
      <c r="CM48" s="251" t="str">
        <f t="shared" si="17"/>
        <v/>
      </c>
      <c r="CN48" s="184">
        <f t="shared" si="35"/>
        <v>0</v>
      </c>
      <c r="CO48" s="693">
        <f t="shared" si="36"/>
        <v>0</v>
      </c>
      <c r="CP48" s="182" t="s">
        <v>46</v>
      </c>
      <c r="CQ48" s="852" t="str">
        <f t="shared" si="37"/>
        <v/>
      </c>
      <c r="CR48" s="833">
        <f t="shared" si="38"/>
        <v>0</v>
      </c>
      <c r="CS48" s="830" t="s">
        <v>567</v>
      </c>
      <c r="CT48" s="185" t="str">
        <f>IF($CL48="","",VLOOKUP($D48,'Factor Tables'!$B$165:$H$192,MATCH($CL48,'Factor Tables'!$B$164:$H$164,0),FALSE))</f>
        <v/>
      </c>
      <c r="CU48" s="842" t="str">
        <f>IF($CL48="","",IF(AND($CL48&lt;&gt;"DX HP",$CL48&lt;&gt;"PTHP"),VLOOKUP($D48,'Factor Tables'!$I$165:$Q$192,MATCH($CL48,'Factor Tables'!$I$164:$Q$164,0),FALSE),IF($CL48="DX HP",VLOOKUP($D48,'Factor Tables'!$I$165:$Q$192,MATCH("DX HP Clg",'Factor Tables'!$I$164:$Q$164,0),FALSE),IF($CL48="PTHP",VLOOKUP($D48,'Factor Tables'!$I$165:$Q$192,MATCH("PTHP Clg",'Factor Tables'!$I$164:$Q$164,0),FALSE),""))))</f>
        <v/>
      </c>
      <c r="CV48" s="186" t="str">
        <f>IF($CL48="","",IF(AND($CL48&lt;&gt;"DX HP",$CL48&lt;&gt;"PTHP"),0,IF($CL48="DX HP",VLOOKUP($D48,'Factor Tables'!$I$165:$Q$192,MATCH("DX HP Htg",'Factor Tables'!$I$164:$Q$164,0),FALSE),IF($CL48="PTHP",VLOOKUP($D48,'Factor Tables'!$I$165:$Q$192,MATCH("PTHP Htg",'Factor Tables'!$I$164:$Q$164,0),FALSE),""))))</f>
        <v/>
      </c>
      <c r="DD48" s="845"/>
      <c r="DE48" s="6"/>
      <c r="DF48" s="7"/>
      <c r="DG48" s="7"/>
      <c r="DH48" s="7"/>
      <c r="DI48" s="5"/>
      <c r="DJ48" s="5"/>
      <c r="DK48" s="5"/>
      <c r="DL48" s="5"/>
      <c r="DM48" s="493" t="s">
        <v>478</v>
      </c>
    </row>
    <row r="49" spans="2:117" s="427" customFormat="1" ht="21.95" customHeight="1" x14ac:dyDescent="0.25">
      <c r="B49" s="432">
        <v>40</v>
      </c>
      <c r="C49" s="499" t="str">
        <f t="shared" si="18"/>
        <v/>
      </c>
      <c r="D49" s="403" t="str">
        <f t="shared" si="19"/>
        <v/>
      </c>
      <c r="E49" s="541"/>
      <c r="F49" s="785"/>
      <c r="G49" s="728"/>
      <c r="H49" s="728"/>
      <c r="I49" s="728"/>
      <c r="J49" s="728"/>
      <c r="K49" s="728"/>
      <c r="L49" s="728"/>
      <c r="M49" s="764"/>
      <c r="N49" s="728"/>
      <c r="O49" s="764"/>
      <c r="P49" s="728"/>
      <c r="Q49" s="1142"/>
      <c r="R49" s="1133"/>
      <c r="S49" s="778"/>
      <c r="T49" s="767"/>
      <c r="U49" s="778"/>
      <c r="V49" s="751"/>
      <c r="W49" s="556"/>
      <c r="X49" s="785"/>
      <c r="Y49" s="542"/>
      <c r="Z49" s="500"/>
      <c r="AA49" s="500"/>
      <c r="AB49" s="500"/>
      <c r="AC49" s="500"/>
      <c r="AD49" s="529"/>
      <c r="AE49" s="527">
        <f t="shared" si="39"/>
        <v>0</v>
      </c>
      <c r="AF49" s="527">
        <f t="shared" si="40"/>
        <v>0</v>
      </c>
      <c r="AG49" s="527">
        <f t="shared" si="0"/>
        <v>0</v>
      </c>
      <c r="AH49" s="527">
        <f t="shared" si="1"/>
        <v>0</v>
      </c>
      <c r="AI49" s="527">
        <f t="shared" si="2"/>
        <v>0</v>
      </c>
      <c r="AJ49" s="527">
        <f t="shared" si="3"/>
        <v>999999999</v>
      </c>
      <c r="AK49" s="530"/>
      <c r="AL49" s="776"/>
      <c r="AM49" s="777"/>
      <c r="AN49" s="500"/>
      <c r="AO49" s="778"/>
      <c r="AP49" s="778"/>
      <c r="AQ49" s="500"/>
      <c r="AR49" s="531"/>
      <c r="AS49" s="403"/>
      <c r="AT49" s="524" t="str">
        <f t="shared" si="4"/>
        <v/>
      </c>
      <c r="AU49" s="311">
        <f t="shared" si="5"/>
        <v>0</v>
      </c>
      <c r="AV49" s="288">
        <f t="shared" si="22"/>
        <v>0</v>
      </c>
      <c r="AW49" s="290">
        <f>IF(ISERROR($AU49*'Utility Admin'!$E$4+$AV49*'Utility Admin'!$F$4),0,$AU49*'Utility Admin'!$E$4+$AV49*'Utility Admin'!$F$4)</f>
        <v>0</v>
      </c>
      <c r="AX49" s="323" t="str">
        <f t="shared" si="6"/>
        <v/>
      </c>
      <c r="AY49" s="322" t="str">
        <f t="shared" si="23"/>
        <v/>
      </c>
      <c r="AZ49" s="319">
        <f>Baselines!$CJ293</f>
        <v>0</v>
      </c>
      <c r="BA49" s="735">
        <f>Baselines!$CK293</f>
        <v>0</v>
      </c>
      <c r="BB49" s="839">
        <f>Baselines!$CM293</f>
        <v>0</v>
      </c>
      <c r="BC49" s="466">
        <f t="shared" si="7"/>
        <v>0</v>
      </c>
      <c r="BD49" s="464">
        <f t="shared" si="24"/>
        <v>0</v>
      </c>
      <c r="BE49" s="755">
        <f t="shared" si="8"/>
        <v>0</v>
      </c>
      <c r="BF49" s="755">
        <f t="shared" si="25"/>
        <v>0</v>
      </c>
      <c r="BG49" s="466">
        <f t="shared" si="9"/>
        <v>0</v>
      </c>
      <c r="BH49" s="464">
        <f t="shared" si="10"/>
        <v>0</v>
      </c>
      <c r="BI49" s="755">
        <f t="shared" si="11"/>
        <v>0</v>
      </c>
      <c r="BJ49" s="755">
        <f t="shared" si="26"/>
        <v>0</v>
      </c>
      <c r="BK49" s="333">
        <f>IF(OR($C49&lt;&gt;"Early Retirement",$H49=""),0,IF(AND($G49&lt;&gt;"Air Cooled Chiller",$G49&lt;&gt;"Water Cooled Chiller"),VLOOKUP($H49,'Early Retirement'!$CI$6:$CL$33,2,FALSE),IF($J49&lt;&gt;"Centrifugal",VLOOKUP($H49,'Early Retirement'!$CI$6:$CL$33,3,FALSE),IF($J49="Centrifugal",VLOOKUP($H49,'Early Retirement'!$CI$6:$CL$33,4,FALSE),""))))</f>
        <v>0</v>
      </c>
      <c r="BL49" s="450">
        <f t="shared" si="12"/>
        <v>0</v>
      </c>
      <c r="BM49" s="553">
        <f>IFERROR('Utility Admin'!$I$4*((1+'Utility Admin'!$G$4)/('Utility Admin'!$H$4-'Utility Admin'!$G$4))*(1-((1+'Utility Admin'!$G$4)/(1+'Utility Admin'!$H$4))^$BK49)*$BG49,0)</f>
        <v>0</v>
      </c>
      <c r="BN49" s="553">
        <f>IFERROR('Utility Admin'!$I$4*((1+'Utility Admin'!$G$4)/('Utility Admin'!$H$4-'Utility Admin'!$G$4))*(1-((1+'Utility Admin'!$G$4)/(1+'Utility Admin'!$H$4))^$BL49)*((1+'Utility Admin'!$G$4)^$BK49/(1+'Utility Admin'!$H$4)^$BK49)*$BC49,0)</f>
        <v>0</v>
      </c>
      <c r="BO49" s="553">
        <f t="shared" si="27"/>
        <v>0</v>
      </c>
      <c r="BP49" s="553">
        <f>IFERROR('Utility Admin'!$J$4*((1+'Utility Admin'!$G$4)/('Utility Admin'!$H$4-'Utility Admin'!$G$4))*(1-((1+'Utility Admin'!$G$4)/(1+'Utility Admin'!$H$4))^$BK49)*$BJ49,0)</f>
        <v>0</v>
      </c>
      <c r="BQ49" s="553">
        <f>IFERROR('Utility Admin'!$J$4*((1+'Utility Admin'!$G$4)/('Utility Admin'!$H$4-'Utility Admin'!$G$4))*(1-((1+'Utility Admin'!$G$4)/(1+'Utility Admin'!$H$4))^$BL49)*((1+'Utility Admin'!$G$4)^$BK49/(1+'Utility Admin'!$H$4)^$BK49)*$BF49,0)</f>
        <v>0</v>
      </c>
      <c r="BR49" s="553">
        <f t="shared" si="28"/>
        <v>0</v>
      </c>
      <c r="BS49" s="553">
        <f>IFERROR('Utility Admin'!$I$4*((1+'Utility Admin'!$G$4)/('Utility Admin'!$H$4-'Utility Admin'!$G$4))*(1-((1+'Utility Admin'!$G$4)/(1+'Utility Admin'!$H$4))^$AT49),0)</f>
        <v>0</v>
      </c>
      <c r="BT49" s="553">
        <f>IFERROR('Utility Admin'!$J$4*((1+'Utility Admin'!$G$4)/('Utility Admin'!$H$4-'Utility Admin'!$G$4))*(1-((1+'Utility Admin'!$G$4)/(1+'Utility Admin'!$H$4))^$AT49),0)</f>
        <v>0</v>
      </c>
      <c r="BU49" s="459">
        <f t="shared" si="29"/>
        <v>0</v>
      </c>
      <c r="BV49" s="462">
        <f t="shared" si="30"/>
        <v>0</v>
      </c>
      <c r="BW49" s="219" t="str">
        <f t="shared" si="13"/>
        <v/>
      </c>
      <c r="BX49" s="250" t="str">
        <f t="shared" si="31"/>
        <v/>
      </c>
      <c r="BY49" s="250" t="str">
        <f t="shared" si="14"/>
        <v/>
      </c>
      <c r="BZ49" s="184">
        <f t="shared" si="32"/>
        <v>0</v>
      </c>
      <c r="CA49" s="693">
        <f t="shared" si="33"/>
        <v>0</v>
      </c>
      <c r="CB49" s="836">
        <f t="shared" si="34"/>
        <v>0</v>
      </c>
      <c r="CC49" s="693">
        <f>IF(AND($C49="Early Retirement",$H49&lt;&gt;"",$R49&lt;&gt;"",$T49&lt;&gt;""),$BZ49,Baselines!$CJ42)</f>
        <v>0</v>
      </c>
      <c r="CD49" s="693">
        <f>IF(AND($C49="Early Retirement",$H49&lt;&gt;"",$R49&lt;&gt;"",$T49&lt;&gt;""),$CA49,Baselines!$CK42)</f>
        <v>0</v>
      </c>
      <c r="CE49" s="182" t="str">
        <f>Baselines!$CL42</f>
        <v>kW/ton</v>
      </c>
      <c r="CF49" s="850" t="str">
        <f t="shared" si="15"/>
        <v/>
      </c>
      <c r="CG49" s="833">
        <f>IF(AND($C49="Early Retirement",$H49&lt;&gt;"",$R49&lt;&gt;"",$T49&lt;&gt;""),$CB49,IF(AND(Baselines!$CM42=0,OR($CL49="DX HP",$CL49="PTHP")),$BB49,Baselines!$CM42))</f>
        <v>0</v>
      </c>
      <c r="CH49" s="830" t="s">
        <v>567</v>
      </c>
      <c r="CI49" s="185" t="str">
        <f>IF(OR($C49="Replace-on-Burnout",$C49="New Construction"),$CT49,IF($BW49="","",VLOOKUP($D49,'Factor Tables'!$B$165:$H$192,MATCH($BW49,'Factor Tables'!$B$164:$H$164,0),FALSE)))</f>
        <v/>
      </c>
      <c r="CJ49" s="842" t="str">
        <f>IF(OR($C49="Replace-on-Burnout",$C49="New Construction"),$CU49,IF($BW49="","",IF($BW49="DX HP",VLOOKUP($D49,'Factor Tables'!$I$165:$Q$192,MATCH("DX HP Clg",'Factor Tables'!$I$164:$Q$164,0),FALSE),IF($BW49="PTHP",VLOOKUP($D49,'Factor Tables'!$I$165:$Q$192,MATCH("PTHP Clg",'Factor Tables'!$I$164:$Q$164,0),FALSE),IF(AND($BW49&lt;&gt;"DX HP",$BW49&lt;&gt;"PTHP"),VLOOKUP($D49,'Factor Tables'!$I$165:$Q$192,MATCH($BW49,'Factor Tables'!$I$164:$Q$164,0),FALSE),"")))))</f>
        <v/>
      </c>
      <c r="CK49" s="186" t="str">
        <f>IF(OR($C49="Replace-on-Burnout",$C49="New Construction",$CL49="DX HP",$CL49="PTHP"),$CV49,IF($BW49="","",IF($BW49="DX HP",VLOOKUP($D49,'Factor Tables'!$I$165:$Q$192,MATCH("DX HP Htg",'Factor Tables'!$I$164:$Q$164,0),FALSE),IF($BW49="PTHP",VLOOKUP($D49,'Factor Tables'!$I$165:$Q$192,MATCH("PTHP Htg",'Factor Tables'!$I$164:$Q$164,0),FALSE),0))))</f>
        <v/>
      </c>
      <c r="CL49" s="187" t="str">
        <f t="shared" si="16"/>
        <v/>
      </c>
      <c r="CM49" s="251" t="str">
        <f t="shared" si="17"/>
        <v/>
      </c>
      <c r="CN49" s="184">
        <f t="shared" si="35"/>
        <v>0</v>
      </c>
      <c r="CO49" s="693">
        <f t="shared" si="36"/>
        <v>0</v>
      </c>
      <c r="CP49" s="182" t="s">
        <v>46</v>
      </c>
      <c r="CQ49" s="852" t="str">
        <f t="shared" si="37"/>
        <v/>
      </c>
      <c r="CR49" s="833">
        <f t="shared" si="38"/>
        <v>0</v>
      </c>
      <c r="CS49" s="830" t="s">
        <v>567</v>
      </c>
      <c r="CT49" s="185" t="str">
        <f>IF($CL49="","",VLOOKUP($D49,'Factor Tables'!$B$165:$H$192,MATCH($CL49,'Factor Tables'!$B$164:$H$164,0),FALSE))</f>
        <v/>
      </c>
      <c r="CU49" s="842" t="str">
        <f>IF($CL49="","",IF(AND($CL49&lt;&gt;"DX HP",$CL49&lt;&gt;"PTHP"),VLOOKUP($D49,'Factor Tables'!$I$165:$Q$192,MATCH($CL49,'Factor Tables'!$I$164:$Q$164,0),FALSE),IF($CL49="DX HP",VLOOKUP($D49,'Factor Tables'!$I$165:$Q$192,MATCH("DX HP Clg",'Factor Tables'!$I$164:$Q$164,0),FALSE),IF($CL49="PTHP",VLOOKUP($D49,'Factor Tables'!$I$165:$Q$192,MATCH("PTHP Clg",'Factor Tables'!$I$164:$Q$164,0),FALSE),""))))</f>
        <v/>
      </c>
      <c r="CV49" s="186" t="str">
        <f>IF($CL49="","",IF(AND($CL49&lt;&gt;"DX HP",$CL49&lt;&gt;"PTHP"),0,IF($CL49="DX HP",VLOOKUP($D49,'Factor Tables'!$I$165:$Q$192,MATCH("DX HP Htg",'Factor Tables'!$I$164:$Q$164,0),FALSE),IF($CL49="PTHP",VLOOKUP($D49,'Factor Tables'!$I$165:$Q$192,MATCH("PTHP Htg",'Factor Tables'!$I$164:$Q$164,0),FALSE),""))))</f>
        <v/>
      </c>
      <c r="DD49" s="193" t="s">
        <v>25</v>
      </c>
      <c r="DE49" s="6"/>
      <c r="DF49" s="7"/>
      <c r="DG49" s="7"/>
      <c r="DH49" s="7"/>
      <c r="DI49" s="5"/>
      <c r="DJ49" s="5"/>
      <c r="DK49" s="5"/>
      <c r="DL49" s="5"/>
      <c r="DM49" s="493" t="s">
        <v>478</v>
      </c>
    </row>
    <row r="50" spans="2:117" s="427" customFormat="1" ht="21.95" customHeight="1" x14ac:dyDescent="0.25">
      <c r="B50" s="431">
        <v>41</v>
      </c>
      <c r="C50" s="501" t="str">
        <f t="shared" si="18"/>
        <v/>
      </c>
      <c r="D50" s="502" t="str">
        <f t="shared" si="19"/>
        <v/>
      </c>
      <c r="E50" s="546"/>
      <c r="F50" s="547"/>
      <c r="G50" s="729"/>
      <c r="H50" s="729"/>
      <c r="I50" s="729"/>
      <c r="J50" s="729"/>
      <c r="K50" s="729"/>
      <c r="L50" s="729"/>
      <c r="M50" s="765"/>
      <c r="N50" s="758"/>
      <c r="O50" s="765"/>
      <c r="P50" s="758"/>
      <c r="Q50" s="1143"/>
      <c r="R50" s="1134"/>
      <c r="S50" s="775"/>
      <c r="T50" s="729"/>
      <c r="U50" s="775"/>
      <c r="V50" s="779"/>
      <c r="W50" s="557"/>
      <c r="X50" s="788"/>
      <c r="Y50" s="543"/>
      <c r="Z50" s="281"/>
      <c r="AA50" s="281"/>
      <c r="AB50" s="281"/>
      <c r="AC50" s="281"/>
      <c r="AD50" s="492"/>
      <c r="AE50" s="527">
        <f t="shared" si="39"/>
        <v>0</v>
      </c>
      <c r="AF50" s="527">
        <f t="shared" si="40"/>
        <v>0</v>
      </c>
      <c r="AG50" s="527">
        <f t="shared" si="0"/>
        <v>0</v>
      </c>
      <c r="AH50" s="527">
        <f t="shared" si="1"/>
        <v>0</v>
      </c>
      <c r="AI50" s="527">
        <f t="shared" si="2"/>
        <v>0</v>
      </c>
      <c r="AJ50" s="527">
        <f t="shared" si="3"/>
        <v>999999999</v>
      </c>
      <c r="AK50" s="471"/>
      <c r="AL50" s="765"/>
      <c r="AM50" s="758"/>
      <c r="AN50" s="281"/>
      <c r="AO50" s="775"/>
      <c r="AP50" s="775"/>
      <c r="AQ50" s="281"/>
      <c r="AR50" s="528"/>
      <c r="AS50" s="532"/>
      <c r="AT50" s="524" t="str">
        <f t="shared" si="4"/>
        <v/>
      </c>
      <c r="AU50" s="311">
        <f t="shared" si="5"/>
        <v>0</v>
      </c>
      <c r="AV50" s="288">
        <f t="shared" si="22"/>
        <v>0</v>
      </c>
      <c r="AW50" s="290">
        <f>IF(ISERROR($AU50*'Utility Admin'!$E$4+$AV50*'Utility Admin'!$F$4),0,$AU50*'Utility Admin'!$E$4+$AV50*'Utility Admin'!$F$4)</f>
        <v>0</v>
      </c>
      <c r="AX50" s="323" t="str">
        <f t="shared" si="6"/>
        <v/>
      </c>
      <c r="AY50" s="322" t="str">
        <f t="shared" si="23"/>
        <v/>
      </c>
      <c r="AZ50" s="319">
        <f>Baselines!$CJ294</f>
        <v>0</v>
      </c>
      <c r="BA50" s="735">
        <f>Baselines!$CK294</f>
        <v>0</v>
      </c>
      <c r="BB50" s="839">
        <f>Baselines!$CM294</f>
        <v>0</v>
      </c>
      <c r="BC50" s="466">
        <f t="shared" si="7"/>
        <v>0</v>
      </c>
      <c r="BD50" s="464">
        <f t="shared" si="24"/>
        <v>0</v>
      </c>
      <c r="BE50" s="755">
        <f t="shared" si="8"/>
        <v>0</v>
      </c>
      <c r="BF50" s="755">
        <f t="shared" si="25"/>
        <v>0</v>
      </c>
      <c r="BG50" s="466">
        <f t="shared" si="9"/>
        <v>0</v>
      </c>
      <c r="BH50" s="464">
        <f t="shared" si="10"/>
        <v>0</v>
      </c>
      <c r="BI50" s="755">
        <f t="shared" si="11"/>
        <v>0</v>
      </c>
      <c r="BJ50" s="755">
        <f t="shared" si="26"/>
        <v>0</v>
      </c>
      <c r="BK50" s="333">
        <f>IF(OR($C50&lt;&gt;"Early Retirement",$H50=""),0,IF(AND($G50&lt;&gt;"Air Cooled Chiller",$G50&lt;&gt;"Water Cooled Chiller"),VLOOKUP($H50,'Early Retirement'!$CI$6:$CL$33,2,FALSE),IF($J50&lt;&gt;"Centrifugal",VLOOKUP($H50,'Early Retirement'!$CI$6:$CL$33,3,FALSE),IF($J50="Centrifugal",VLOOKUP($H50,'Early Retirement'!$CI$6:$CL$33,4,FALSE),""))))</f>
        <v>0</v>
      </c>
      <c r="BL50" s="450">
        <f t="shared" si="12"/>
        <v>0</v>
      </c>
      <c r="BM50" s="553">
        <f>IFERROR('Utility Admin'!$I$4*((1+'Utility Admin'!$G$4)/('Utility Admin'!$H$4-'Utility Admin'!$G$4))*(1-((1+'Utility Admin'!$G$4)/(1+'Utility Admin'!$H$4))^$BK50)*$BG50,0)</f>
        <v>0</v>
      </c>
      <c r="BN50" s="553">
        <f>IFERROR('Utility Admin'!$I$4*((1+'Utility Admin'!$G$4)/('Utility Admin'!$H$4-'Utility Admin'!$G$4))*(1-((1+'Utility Admin'!$G$4)/(1+'Utility Admin'!$H$4))^$BL50)*((1+'Utility Admin'!$G$4)^$BK50/(1+'Utility Admin'!$H$4)^$BK50)*$BC50,0)</f>
        <v>0</v>
      </c>
      <c r="BO50" s="553">
        <f t="shared" si="27"/>
        <v>0</v>
      </c>
      <c r="BP50" s="553">
        <f>IFERROR('Utility Admin'!$J$4*((1+'Utility Admin'!$G$4)/('Utility Admin'!$H$4-'Utility Admin'!$G$4))*(1-((1+'Utility Admin'!$G$4)/(1+'Utility Admin'!$H$4))^$BK50)*$BJ50,0)</f>
        <v>0</v>
      </c>
      <c r="BQ50" s="553">
        <f>IFERROR('Utility Admin'!$J$4*((1+'Utility Admin'!$G$4)/('Utility Admin'!$H$4-'Utility Admin'!$G$4))*(1-((1+'Utility Admin'!$G$4)/(1+'Utility Admin'!$H$4))^$BL50)*((1+'Utility Admin'!$G$4)^$BK50/(1+'Utility Admin'!$H$4)^$BK50)*$BF50,0)</f>
        <v>0</v>
      </c>
      <c r="BR50" s="553">
        <f t="shared" si="28"/>
        <v>0</v>
      </c>
      <c r="BS50" s="553">
        <f>IFERROR('Utility Admin'!$I$4*((1+'Utility Admin'!$G$4)/('Utility Admin'!$H$4-'Utility Admin'!$G$4))*(1-((1+'Utility Admin'!$G$4)/(1+'Utility Admin'!$H$4))^$AT50),0)</f>
        <v>0</v>
      </c>
      <c r="BT50" s="553">
        <f>IFERROR('Utility Admin'!$J$4*((1+'Utility Admin'!$G$4)/('Utility Admin'!$H$4-'Utility Admin'!$G$4))*(1-((1+'Utility Admin'!$G$4)/(1+'Utility Admin'!$H$4))^$AT50),0)</f>
        <v>0</v>
      </c>
      <c r="BU50" s="459">
        <f t="shared" si="29"/>
        <v>0</v>
      </c>
      <c r="BV50" s="462">
        <f t="shared" si="30"/>
        <v>0</v>
      </c>
      <c r="BW50" s="219" t="str">
        <f t="shared" si="13"/>
        <v/>
      </c>
      <c r="BX50" s="250" t="str">
        <f t="shared" si="31"/>
        <v/>
      </c>
      <c r="BY50" s="250" t="str">
        <f t="shared" si="14"/>
        <v/>
      </c>
      <c r="BZ50" s="184">
        <f t="shared" si="32"/>
        <v>0</v>
      </c>
      <c r="CA50" s="693">
        <f t="shared" si="33"/>
        <v>0</v>
      </c>
      <c r="CB50" s="836">
        <f t="shared" si="34"/>
        <v>0</v>
      </c>
      <c r="CC50" s="693">
        <f>IF(AND($C50="Early Retirement",$H50&lt;&gt;"",$R50&lt;&gt;"",$T50&lt;&gt;""),$BZ50,Baselines!$CJ43)</f>
        <v>0</v>
      </c>
      <c r="CD50" s="693">
        <f>IF(AND($C50="Early Retirement",$H50&lt;&gt;"",$R50&lt;&gt;"",$T50&lt;&gt;""),$CA50,Baselines!$CK43)</f>
        <v>0</v>
      </c>
      <c r="CE50" s="182" t="str">
        <f>Baselines!$CL43</f>
        <v>kW/ton</v>
      </c>
      <c r="CF50" s="850" t="str">
        <f t="shared" si="15"/>
        <v/>
      </c>
      <c r="CG50" s="833">
        <f>IF(AND($C50="Early Retirement",$H50&lt;&gt;"",$R50&lt;&gt;"",$T50&lt;&gt;""),$CB50,IF(AND(Baselines!$CM43=0,OR($CL50="DX HP",$CL50="PTHP")),$BB50,Baselines!$CM43))</f>
        <v>0</v>
      </c>
      <c r="CH50" s="830" t="s">
        <v>567</v>
      </c>
      <c r="CI50" s="185" t="str">
        <f>IF(OR($C50="Replace-on-Burnout",$C50="New Construction"),$CT50,IF($BW50="","",VLOOKUP($D50,'Factor Tables'!$B$165:$H$192,MATCH($BW50,'Factor Tables'!$B$164:$H$164,0),FALSE)))</f>
        <v/>
      </c>
      <c r="CJ50" s="842" t="str">
        <f>IF(OR($C50="Replace-on-Burnout",$C50="New Construction"),$CU50,IF($BW50="","",IF($BW50="DX HP",VLOOKUP($D50,'Factor Tables'!$I$165:$Q$192,MATCH("DX HP Clg",'Factor Tables'!$I$164:$Q$164,0),FALSE),IF($BW50="PTHP",VLOOKUP($D50,'Factor Tables'!$I$165:$Q$192,MATCH("PTHP Clg",'Factor Tables'!$I$164:$Q$164,0),FALSE),IF(AND($BW50&lt;&gt;"DX HP",$BW50&lt;&gt;"PTHP"),VLOOKUP($D50,'Factor Tables'!$I$165:$Q$192,MATCH($BW50,'Factor Tables'!$I$164:$Q$164,0),FALSE),"")))))</f>
        <v/>
      </c>
      <c r="CK50" s="186" t="str">
        <f>IF(OR($C50="Replace-on-Burnout",$C50="New Construction",$CL50="DX HP",$CL50="PTHP"),$CV50,IF($BW50="","",IF($BW50="DX HP",VLOOKUP($D50,'Factor Tables'!$I$165:$Q$192,MATCH("DX HP Htg",'Factor Tables'!$I$164:$Q$164,0),FALSE),IF($BW50="PTHP",VLOOKUP($D50,'Factor Tables'!$I$165:$Q$192,MATCH("PTHP Htg",'Factor Tables'!$I$164:$Q$164,0),FALSE),0))))</f>
        <v/>
      </c>
      <c r="CL50" s="187" t="str">
        <f t="shared" si="16"/>
        <v/>
      </c>
      <c r="CM50" s="251" t="str">
        <f t="shared" si="17"/>
        <v/>
      </c>
      <c r="CN50" s="184">
        <f t="shared" si="35"/>
        <v>0</v>
      </c>
      <c r="CO50" s="693">
        <f t="shared" si="36"/>
        <v>0</v>
      </c>
      <c r="CP50" s="182" t="s">
        <v>46</v>
      </c>
      <c r="CQ50" s="852" t="str">
        <f t="shared" si="37"/>
        <v/>
      </c>
      <c r="CR50" s="833">
        <f t="shared" si="38"/>
        <v>0</v>
      </c>
      <c r="CS50" s="830" t="s">
        <v>567</v>
      </c>
      <c r="CT50" s="185" t="str">
        <f>IF($CL50="","",VLOOKUP($D50,'Factor Tables'!$B$165:$H$192,MATCH($CL50,'Factor Tables'!$B$164:$H$164,0),FALSE))</f>
        <v/>
      </c>
      <c r="CU50" s="842" t="str">
        <f>IF($CL50="","",IF(AND($CL50&lt;&gt;"DX HP",$CL50&lt;&gt;"PTHP"),VLOOKUP($D50,'Factor Tables'!$I$165:$Q$192,MATCH($CL50,'Factor Tables'!$I$164:$Q$164,0),FALSE),IF($CL50="DX HP",VLOOKUP($D50,'Factor Tables'!$I$165:$Q$192,MATCH("DX HP Clg",'Factor Tables'!$I$164:$Q$164,0),FALSE),IF($CL50="PTHP",VLOOKUP($D50,'Factor Tables'!$I$165:$Q$192,MATCH("PTHP Clg",'Factor Tables'!$I$164:$Q$164,0),FALSE),""))))</f>
        <v/>
      </c>
      <c r="CV50" s="186" t="str">
        <f>IF($CL50="","",IF(AND($CL50&lt;&gt;"DX HP",$CL50&lt;&gt;"PTHP"),0,IF($CL50="DX HP",VLOOKUP($D50,'Factor Tables'!$I$165:$Q$192,MATCH("DX HP Htg",'Factor Tables'!$I$164:$Q$164,0),FALSE),IF($CL50="PTHP",VLOOKUP($D50,'Factor Tables'!$I$165:$Q$192,MATCH("PTHP Htg",'Factor Tables'!$I$164:$Q$164,0),FALSE),""))))</f>
        <v/>
      </c>
      <c r="DD50" s="77" t="s">
        <v>44</v>
      </c>
      <c r="DE50" s="6"/>
      <c r="DF50" s="7"/>
      <c r="DG50" s="7"/>
      <c r="DH50" s="7"/>
      <c r="DI50" s="5"/>
      <c r="DJ50" s="5"/>
      <c r="DK50" s="5"/>
      <c r="DL50" s="5"/>
      <c r="DM50" s="493" t="s">
        <v>478</v>
      </c>
    </row>
    <row r="51" spans="2:117" s="427" customFormat="1" ht="21.95" customHeight="1" x14ac:dyDescent="0.25">
      <c r="B51" s="432">
        <v>42</v>
      </c>
      <c r="C51" s="499" t="str">
        <f t="shared" si="18"/>
        <v/>
      </c>
      <c r="D51" s="403" t="str">
        <f t="shared" si="19"/>
        <v/>
      </c>
      <c r="E51" s="541"/>
      <c r="F51" s="785"/>
      <c r="G51" s="728"/>
      <c r="H51" s="728"/>
      <c r="I51" s="728"/>
      <c r="J51" s="728"/>
      <c r="K51" s="728"/>
      <c r="L51" s="728"/>
      <c r="M51" s="764"/>
      <c r="N51" s="728"/>
      <c r="O51" s="764"/>
      <c r="P51" s="728"/>
      <c r="Q51" s="1142"/>
      <c r="R51" s="1133"/>
      <c r="S51" s="778"/>
      <c r="T51" s="767"/>
      <c r="U51" s="778"/>
      <c r="V51" s="751"/>
      <c r="W51" s="556"/>
      <c r="X51" s="785"/>
      <c r="Y51" s="542"/>
      <c r="Z51" s="500"/>
      <c r="AA51" s="500"/>
      <c r="AB51" s="500"/>
      <c r="AC51" s="500"/>
      <c r="AD51" s="529"/>
      <c r="AE51" s="527">
        <f t="shared" si="39"/>
        <v>0</v>
      </c>
      <c r="AF51" s="527">
        <f t="shared" si="40"/>
        <v>0</v>
      </c>
      <c r="AG51" s="527">
        <f t="shared" si="0"/>
        <v>0</v>
      </c>
      <c r="AH51" s="527">
        <f t="shared" si="1"/>
        <v>0</v>
      </c>
      <c r="AI51" s="527">
        <f t="shared" si="2"/>
        <v>0</v>
      </c>
      <c r="AJ51" s="527">
        <f t="shared" si="3"/>
        <v>999999999</v>
      </c>
      <c r="AK51" s="530"/>
      <c r="AL51" s="776"/>
      <c r="AM51" s="777"/>
      <c r="AN51" s="500"/>
      <c r="AO51" s="778"/>
      <c r="AP51" s="778"/>
      <c r="AQ51" s="500"/>
      <c r="AR51" s="531"/>
      <c r="AS51" s="403"/>
      <c r="AT51" s="524" t="str">
        <f t="shared" si="4"/>
        <v/>
      </c>
      <c r="AU51" s="311">
        <f t="shared" si="5"/>
        <v>0</v>
      </c>
      <c r="AV51" s="288">
        <f t="shared" si="22"/>
        <v>0</v>
      </c>
      <c r="AW51" s="290">
        <f>IF(ISERROR($AU51*'Utility Admin'!$E$4+$AV51*'Utility Admin'!$F$4),0,$AU51*'Utility Admin'!$E$4+$AV51*'Utility Admin'!$F$4)</f>
        <v>0</v>
      </c>
      <c r="AX51" s="323" t="str">
        <f t="shared" si="6"/>
        <v/>
      </c>
      <c r="AY51" s="322" t="str">
        <f t="shared" si="23"/>
        <v/>
      </c>
      <c r="AZ51" s="319">
        <f>Baselines!$CJ295</f>
        <v>0</v>
      </c>
      <c r="BA51" s="735">
        <f>Baselines!$CK295</f>
        <v>0</v>
      </c>
      <c r="BB51" s="839">
        <f>Baselines!$CM295</f>
        <v>0</v>
      </c>
      <c r="BC51" s="466">
        <f t="shared" si="7"/>
        <v>0</v>
      </c>
      <c r="BD51" s="464">
        <f t="shared" si="24"/>
        <v>0</v>
      </c>
      <c r="BE51" s="755">
        <f t="shared" si="8"/>
        <v>0</v>
      </c>
      <c r="BF51" s="755">
        <f t="shared" si="25"/>
        <v>0</v>
      </c>
      <c r="BG51" s="466">
        <f t="shared" si="9"/>
        <v>0</v>
      </c>
      <c r="BH51" s="464">
        <f t="shared" si="10"/>
        <v>0</v>
      </c>
      <c r="BI51" s="755">
        <f t="shared" si="11"/>
        <v>0</v>
      </c>
      <c r="BJ51" s="755">
        <f t="shared" si="26"/>
        <v>0</v>
      </c>
      <c r="BK51" s="333">
        <f>IF(OR($C51&lt;&gt;"Early Retirement",$H51=""),0,IF(AND($G51&lt;&gt;"Air Cooled Chiller",$G51&lt;&gt;"Water Cooled Chiller"),VLOOKUP($H51,'Early Retirement'!$CI$6:$CL$33,2,FALSE),IF($J51&lt;&gt;"Centrifugal",VLOOKUP($H51,'Early Retirement'!$CI$6:$CL$33,3,FALSE),IF($J51="Centrifugal",VLOOKUP($H51,'Early Retirement'!$CI$6:$CL$33,4,FALSE),""))))</f>
        <v>0</v>
      </c>
      <c r="BL51" s="450">
        <f t="shared" si="12"/>
        <v>0</v>
      </c>
      <c r="BM51" s="553">
        <f>IFERROR('Utility Admin'!$I$4*((1+'Utility Admin'!$G$4)/('Utility Admin'!$H$4-'Utility Admin'!$G$4))*(1-((1+'Utility Admin'!$G$4)/(1+'Utility Admin'!$H$4))^$BK51)*$BG51,0)</f>
        <v>0</v>
      </c>
      <c r="BN51" s="553">
        <f>IFERROR('Utility Admin'!$I$4*((1+'Utility Admin'!$G$4)/('Utility Admin'!$H$4-'Utility Admin'!$G$4))*(1-((1+'Utility Admin'!$G$4)/(1+'Utility Admin'!$H$4))^$BL51)*((1+'Utility Admin'!$G$4)^$BK51/(1+'Utility Admin'!$H$4)^$BK51)*$BC51,0)</f>
        <v>0</v>
      </c>
      <c r="BO51" s="553">
        <f t="shared" si="27"/>
        <v>0</v>
      </c>
      <c r="BP51" s="553">
        <f>IFERROR('Utility Admin'!$J$4*((1+'Utility Admin'!$G$4)/('Utility Admin'!$H$4-'Utility Admin'!$G$4))*(1-((1+'Utility Admin'!$G$4)/(1+'Utility Admin'!$H$4))^$BK51)*$BJ51,0)</f>
        <v>0</v>
      </c>
      <c r="BQ51" s="553">
        <f>IFERROR('Utility Admin'!$J$4*((1+'Utility Admin'!$G$4)/('Utility Admin'!$H$4-'Utility Admin'!$G$4))*(1-((1+'Utility Admin'!$G$4)/(1+'Utility Admin'!$H$4))^$BL51)*((1+'Utility Admin'!$G$4)^$BK51/(1+'Utility Admin'!$H$4)^$BK51)*$BF51,0)</f>
        <v>0</v>
      </c>
      <c r="BR51" s="553">
        <f t="shared" si="28"/>
        <v>0</v>
      </c>
      <c r="BS51" s="553">
        <f>IFERROR('Utility Admin'!$I$4*((1+'Utility Admin'!$G$4)/('Utility Admin'!$H$4-'Utility Admin'!$G$4))*(1-((1+'Utility Admin'!$G$4)/(1+'Utility Admin'!$H$4))^$AT51),0)</f>
        <v>0</v>
      </c>
      <c r="BT51" s="553">
        <f>IFERROR('Utility Admin'!$J$4*((1+'Utility Admin'!$G$4)/('Utility Admin'!$H$4-'Utility Admin'!$G$4))*(1-((1+'Utility Admin'!$G$4)/(1+'Utility Admin'!$H$4))^$AT51),0)</f>
        <v>0</v>
      </c>
      <c r="BU51" s="459">
        <f t="shared" si="29"/>
        <v>0</v>
      </c>
      <c r="BV51" s="462">
        <f t="shared" si="30"/>
        <v>0</v>
      </c>
      <c r="BW51" s="219" t="str">
        <f t="shared" si="13"/>
        <v/>
      </c>
      <c r="BX51" s="250" t="str">
        <f t="shared" si="31"/>
        <v/>
      </c>
      <c r="BY51" s="250" t="str">
        <f t="shared" si="14"/>
        <v/>
      </c>
      <c r="BZ51" s="184">
        <f t="shared" si="32"/>
        <v>0</v>
      </c>
      <c r="CA51" s="693">
        <f t="shared" si="33"/>
        <v>0</v>
      </c>
      <c r="CB51" s="836">
        <f t="shared" si="34"/>
        <v>0</v>
      </c>
      <c r="CC51" s="693">
        <f>IF(AND($C51="Early Retirement",$H51&lt;&gt;"",$R51&lt;&gt;"",$T51&lt;&gt;""),$BZ51,Baselines!$CJ44)</f>
        <v>0</v>
      </c>
      <c r="CD51" s="693">
        <f>IF(AND($C51="Early Retirement",$H51&lt;&gt;"",$R51&lt;&gt;"",$T51&lt;&gt;""),$CA51,Baselines!$CK44)</f>
        <v>0</v>
      </c>
      <c r="CE51" s="182" t="str">
        <f>Baselines!$CL44</f>
        <v>kW/ton</v>
      </c>
      <c r="CF51" s="850" t="str">
        <f t="shared" si="15"/>
        <v/>
      </c>
      <c r="CG51" s="833">
        <f>IF(AND($C51="Early Retirement",$H51&lt;&gt;"",$R51&lt;&gt;"",$T51&lt;&gt;""),$CB51,IF(AND(Baselines!$CM44=0,OR($CL51="DX HP",$CL51="PTHP")),$BB51,Baselines!$CM44))</f>
        <v>0</v>
      </c>
      <c r="CH51" s="830" t="s">
        <v>567</v>
      </c>
      <c r="CI51" s="185" t="str">
        <f>IF(OR($C51="Replace-on-Burnout",$C51="New Construction"),$CT51,IF($BW51="","",VLOOKUP($D51,'Factor Tables'!$B$165:$H$192,MATCH($BW51,'Factor Tables'!$B$164:$H$164,0),FALSE)))</f>
        <v/>
      </c>
      <c r="CJ51" s="842" t="str">
        <f>IF(OR($C51="Replace-on-Burnout",$C51="New Construction"),$CU51,IF($BW51="","",IF($BW51="DX HP",VLOOKUP($D51,'Factor Tables'!$I$165:$Q$192,MATCH("DX HP Clg",'Factor Tables'!$I$164:$Q$164,0),FALSE),IF($BW51="PTHP",VLOOKUP($D51,'Factor Tables'!$I$165:$Q$192,MATCH("PTHP Clg",'Factor Tables'!$I$164:$Q$164,0),FALSE),IF(AND($BW51&lt;&gt;"DX HP",$BW51&lt;&gt;"PTHP"),VLOOKUP($D51,'Factor Tables'!$I$165:$Q$192,MATCH($BW51,'Factor Tables'!$I$164:$Q$164,0),FALSE),"")))))</f>
        <v/>
      </c>
      <c r="CK51" s="186" t="str">
        <f>IF(OR($C51="Replace-on-Burnout",$C51="New Construction",$CL51="DX HP",$CL51="PTHP"),$CV51,IF($BW51="","",IF($BW51="DX HP",VLOOKUP($D51,'Factor Tables'!$I$165:$Q$192,MATCH("DX HP Htg",'Factor Tables'!$I$164:$Q$164,0),FALSE),IF($BW51="PTHP",VLOOKUP($D51,'Factor Tables'!$I$165:$Q$192,MATCH("PTHP Htg",'Factor Tables'!$I$164:$Q$164,0),FALSE),0))))</f>
        <v/>
      </c>
      <c r="CL51" s="187" t="str">
        <f t="shared" si="16"/>
        <v/>
      </c>
      <c r="CM51" s="251" t="str">
        <f t="shared" si="17"/>
        <v/>
      </c>
      <c r="CN51" s="184">
        <f t="shared" si="35"/>
        <v>0</v>
      </c>
      <c r="CO51" s="693">
        <f t="shared" si="36"/>
        <v>0</v>
      </c>
      <c r="CP51" s="182" t="s">
        <v>46</v>
      </c>
      <c r="CQ51" s="852" t="str">
        <f t="shared" si="37"/>
        <v/>
      </c>
      <c r="CR51" s="833">
        <f t="shared" si="38"/>
        <v>0</v>
      </c>
      <c r="CS51" s="830" t="s">
        <v>567</v>
      </c>
      <c r="CT51" s="185" t="str">
        <f>IF($CL51="","",VLOOKUP($D51,'Factor Tables'!$B$165:$H$192,MATCH($CL51,'Factor Tables'!$B$164:$H$164,0),FALSE))</f>
        <v/>
      </c>
      <c r="CU51" s="842" t="str">
        <f>IF($CL51="","",IF(AND($CL51&lt;&gt;"DX HP",$CL51&lt;&gt;"PTHP"),VLOOKUP($D51,'Factor Tables'!$I$165:$Q$192,MATCH($CL51,'Factor Tables'!$I$164:$Q$164,0),FALSE),IF($CL51="DX HP",VLOOKUP($D51,'Factor Tables'!$I$165:$Q$192,MATCH("DX HP Clg",'Factor Tables'!$I$164:$Q$164,0),FALSE),IF($CL51="PTHP",VLOOKUP($D51,'Factor Tables'!$I$165:$Q$192,MATCH("PTHP Clg",'Factor Tables'!$I$164:$Q$164,0),FALSE),""))))</f>
        <v/>
      </c>
      <c r="CV51" s="186" t="str">
        <f>IF($CL51="","",IF(AND($CL51&lt;&gt;"DX HP",$CL51&lt;&gt;"PTHP"),0,IF($CL51="DX HP",VLOOKUP($D51,'Factor Tables'!$I$165:$Q$192,MATCH("DX HP Htg",'Factor Tables'!$I$164:$Q$164,0),FALSE),IF($CL51="PTHP",VLOOKUP($D51,'Factor Tables'!$I$165:$Q$192,MATCH("PTHP Htg",'Factor Tables'!$I$164:$Q$164,0),FALSE),""))))</f>
        <v/>
      </c>
      <c r="DD51" s="77" t="s">
        <v>43</v>
      </c>
      <c r="DE51" s="6"/>
      <c r="DF51" s="7"/>
      <c r="DG51" s="7"/>
      <c r="DH51" s="7"/>
      <c r="DI51" s="5"/>
      <c r="DJ51" s="5"/>
      <c r="DK51" s="5"/>
      <c r="DL51" s="5"/>
      <c r="DM51" s="493" t="s">
        <v>478</v>
      </c>
    </row>
    <row r="52" spans="2:117" s="427" customFormat="1" ht="21.95" customHeight="1" x14ac:dyDescent="0.25">
      <c r="B52" s="431">
        <v>43</v>
      </c>
      <c r="C52" s="501" t="str">
        <f t="shared" si="18"/>
        <v/>
      </c>
      <c r="D52" s="502" t="str">
        <f t="shared" si="19"/>
        <v/>
      </c>
      <c r="E52" s="546"/>
      <c r="F52" s="547"/>
      <c r="G52" s="729"/>
      <c r="H52" s="729"/>
      <c r="I52" s="729"/>
      <c r="J52" s="729"/>
      <c r="K52" s="729"/>
      <c r="L52" s="729"/>
      <c r="M52" s="765"/>
      <c r="N52" s="758"/>
      <c r="O52" s="765"/>
      <c r="P52" s="758"/>
      <c r="Q52" s="1143"/>
      <c r="R52" s="1134"/>
      <c r="S52" s="775"/>
      <c r="T52" s="729"/>
      <c r="U52" s="775"/>
      <c r="V52" s="779"/>
      <c r="W52" s="557"/>
      <c r="X52" s="788"/>
      <c r="Y52" s="543"/>
      <c r="Z52" s="281"/>
      <c r="AA52" s="281"/>
      <c r="AB52" s="281"/>
      <c r="AC52" s="281"/>
      <c r="AD52" s="492"/>
      <c r="AE52" s="527">
        <f t="shared" si="39"/>
        <v>0</v>
      </c>
      <c r="AF52" s="527">
        <f t="shared" si="40"/>
        <v>0</v>
      </c>
      <c r="AG52" s="527">
        <f t="shared" si="0"/>
        <v>0</v>
      </c>
      <c r="AH52" s="527">
        <f t="shared" si="1"/>
        <v>0</v>
      </c>
      <c r="AI52" s="527">
        <f t="shared" si="2"/>
        <v>0</v>
      </c>
      <c r="AJ52" s="527">
        <f t="shared" si="3"/>
        <v>999999999</v>
      </c>
      <c r="AK52" s="471"/>
      <c r="AL52" s="765"/>
      <c r="AM52" s="758"/>
      <c r="AN52" s="281"/>
      <c r="AO52" s="775"/>
      <c r="AP52" s="775"/>
      <c r="AQ52" s="281"/>
      <c r="AR52" s="528"/>
      <c r="AS52" s="532"/>
      <c r="AT52" s="524" t="str">
        <f t="shared" si="4"/>
        <v/>
      </c>
      <c r="AU52" s="311">
        <f t="shared" si="5"/>
        <v>0</v>
      </c>
      <c r="AV52" s="288">
        <f t="shared" si="22"/>
        <v>0</v>
      </c>
      <c r="AW52" s="290">
        <f>IF(ISERROR($AU52*'Utility Admin'!$E$4+$AV52*'Utility Admin'!$F$4),0,$AU52*'Utility Admin'!$E$4+$AV52*'Utility Admin'!$F$4)</f>
        <v>0</v>
      </c>
      <c r="AX52" s="323" t="str">
        <f t="shared" si="6"/>
        <v/>
      </c>
      <c r="AY52" s="322" t="str">
        <f t="shared" si="23"/>
        <v/>
      </c>
      <c r="AZ52" s="319">
        <f>Baselines!$CJ296</f>
        <v>0</v>
      </c>
      <c r="BA52" s="735">
        <f>Baselines!$CK296</f>
        <v>0</v>
      </c>
      <c r="BB52" s="839">
        <f>Baselines!$CM296</f>
        <v>0</v>
      </c>
      <c r="BC52" s="466">
        <f t="shared" si="7"/>
        <v>0</v>
      </c>
      <c r="BD52" s="464">
        <f t="shared" si="24"/>
        <v>0</v>
      </c>
      <c r="BE52" s="755">
        <f t="shared" si="8"/>
        <v>0</v>
      </c>
      <c r="BF52" s="755">
        <f t="shared" si="25"/>
        <v>0</v>
      </c>
      <c r="BG52" s="466">
        <f t="shared" si="9"/>
        <v>0</v>
      </c>
      <c r="BH52" s="464">
        <f t="shared" si="10"/>
        <v>0</v>
      </c>
      <c r="BI52" s="755">
        <f t="shared" si="11"/>
        <v>0</v>
      </c>
      <c r="BJ52" s="755">
        <f t="shared" si="26"/>
        <v>0</v>
      </c>
      <c r="BK52" s="333">
        <f>IF(OR($C52&lt;&gt;"Early Retirement",$H52=""),0,IF(AND($G52&lt;&gt;"Air Cooled Chiller",$G52&lt;&gt;"Water Cooled Chiller"),VLOOKUP($H52,'Early Retirement'!$CI$6:$CL$33,2,FALSE),IF($J52&lt;&gt;"Centrifugal",VLOOKUP($H52,'Early Retirement'!$CI$6:$CL$33,3,FALSE),IF($J52="Centrifugal",VLOOKUP($H52,'Early Retirement'!$CI$6:$CL$33,4,FALSE),""))))</f>
        <v>0</v>
      </c>
      <c r="BL52" s="450">
        <f t="shared" si="12"/>
        <v>0</v>
      </c>
      <c r="BM52" s="553">
        <f>IFERROR('Utility Admin'!$I$4*((1+'Utility Admin'!$G$4)/('Utility Admin'!$H$4-'Utility Admin'!$G$4))*(1-((1+'Utility Admin'!$G$4)/(1+'Utility Admin'!$H$4))^$BK52)*$BG52,0)</f>
        <v>0</v>
      </c>
      <c r="BN52" s="553">
        <f>IFERROR('Utility Admin'!$I$4*((1+'Utility Admin'!$G$4)/('Utility Admin'!$H$4-'Utility Admin'!$G$4))*(1-((1+'Utility Admin'!$G$4)/(1+'Utility Admin'!$H$4))^$BL52)*((1+'Utility Admin'!$G$4)^$BK52/(1+'Utility Admin'!$H$4)^$BK52)*$BC52,0)</f>
        <v>0</v>
      </c>
      <c r="BO52" s="553">
        <f t="shared" si="27"/>
        <v>0</v>
      </c>
      <c r="BP52" s="553">
        <f>IFERROR('Utility Admin'!$J$4*((1+'Utility Admin'!$G$4)/('Utility Admin'!$H$4-'Utility Admin'!$G$4))*(1-((1+'Utility Admin'!$G$4)/(1+'Utility Admin'!$H$4))^$BK52)*$BJ52,0)</f>
        <v>0</v>
      </c>
      <c r="BQ52" s="553">
        <f>IFERROR('Utility Admin'!$J$4*((1+'Utility Admin'!$G$4)/('Utility Admin'!$H$4-'Utility Admin'!$G$4))*(1-((1+'Utility Admin'!$G$4)/(1+'Utility Admin'!$H$4))^$BL52)*((1+'Utility Admin'!$G$4)^$BK52/(1+'Utility Admin'!$H$4)^$BK52)*$BF52,0)</f>
        <v>0</v>
      </c>
      <c r="BR52" s="553">
        <f t="shared" si="28"/>
        <v>0</v>
      </c>
      <c r="BS52" s="553">
        <f>IFERROR('Utility Admin'!$I$4*((1+'Utility Admin'!$G$4)/('Utility Admin'!$H$4-'Utility Admin'!$G$4))*(1-((1+'Utility Admin'!$G$4)/(1+'Utility Admin'!$H$4))^$AT52),0)</f>
        <v>0</v>
      </c>
      <c r="BT52" s="553">
        <f>IFERROR('Utility Admin'!$J$4*((1+'Utility Admin'!$G$4)/('Utility Admin'!$H$4-'Utility Admin'!$G$4))*(1-((1+'Utility Admin'!$G$4)/(1+'Utility Admin'!$H$4))^$AT52),0)</f>
        <v>0</v>
      </c>
      <c r="BU52" s="459">
        <f t="shared" si="29"/>
        <v>0</v>
      </c>
      <c r="BV52" s="462">
        <f t="shared" si="30"/>
        <v>0</v>
      </c>
      <c r="BW52" s="219" t="str">
        <f t="shared" si="13"/>
        <v/>
      </c>
      <c r="BX52" s="250" t="str">
        <f t="shared" si="31"/>
        <v/>
      </c>
      <c r="BY52" s="250" t="str">
        <f t="shared" si="14"/>
        <v/>
      </c>
      <c r="BZ52" s="184">
        <f t="shared" si="32"/>
        <v>0</v>
      </c>
      <c r="CA52" s="693">
        <f t="shared" si="33"/>
        <v>0</v>
      </c>
      <c r="CB52" s="836">
        <f t="shared" si="34"/>
        <v>0</v>
      </c>
      <c r="CC52" s="693">
        <f>IF(AND($C52="Early Retirement",$H52&lt;&gt;"",$R52&lt;&gt;"",$T52&lt;&gt;""),$BZ52,Baselines!$CJ45)</f>
        <v>0</v>
      </c>
      <c r="CD52" s="693">
        <f>IF(AND($C52="Early Retirement",$H52&lt;&gt;"",$R52&lt;&gt;"",$T52&lt;&gt;""),$CA52,Baselines!$CK45)</f>
        <v>0</v>
      </c>
      <c r="CE52" s="182" t="str">
        <f>Baselines!$CL45</f>
        <v>kW/ton</v>
      </c>
      <c r="CF52" s="850" t="str">
        <f t="shared" si="15"/>
        <v/>
      </c>
      <c r="CG52" s="833">
        <f>IF(AND($C52="Early Retirement",$H52&lt;&gt;"",$R52&lt;&gt;"",$T52&lt;&gt;""),$CB52,IF(AND(Baselines!$CM45=0,OR($CL52="DX HP",$CL52="PTHP")),$BB52,Baselines!$CM45))</f>
        <v>0</v>
      </c>
      <c r="CH52" s="830" t="s">
        <v>567</v>
      </c>
      <c r="CI52" s="185" t="str">
        <f>IF(OR($C52="Replace-on-Burnout",$C52="New Construction"),$CT52,IF($BW52="","",VLOOKUP($D52,'Factor Tables'!$B$165:$H$192,MATCH($BW52,'Factor Tables'!$B$164:$H$164,0),FALSE)))</f>
        <v/>
      </c>
      <c r="CJ52" s="842" t="str">
        <f>IF(OR($C52="Replace-on-Burnout",$C52="New Construction"),$CU52,IF($BW52="","",IF($BW52="DX HP",VLOOKUP($D52,'Factor Tables'!$I$165:$Q$192,MATCH("DX HP Clg",'Factor Tables'!$I$164:$Q$164,0),FALSE),IF($BW52="PTHP",VLOOKUP($D52,'Factor Tables'!$I$165:$Q$192,MATCH("PTHP Clg",'Factor Tables'!$I$164:$Q$164,0),FALSE),IF(AND($BW52&lt;&gt;"DX HP",$BW52&lt;&gt;"PTHP"),VLOOKUP($D52,'Factor Tables'!$I$165:$Q$192,MATCH($BW52,'Factor Tables'!$I$164:$Q$164,0),FALSE),"")))))</f>
        <v/>
      </c>
      <c r="CK52" s="186" t="str">
        <f>IF(OR($C52="Replace-on-Burnout",$C52="New Construction",$CL52="DX HP",$CL52="PTHP"),$CV52,IF($BW52="","",IF($BW52="DX HP",VLOOKUP($D52,'Factor Tables'!$I$165:$Q$192,MATCH("DX HP Htg",'Factor Tables'!$I$164:$Q$164,0),FALSE),IF($BW52="PTHP",VLOOKUP($D52,'Factor Tables'!$I$165:$Q$192,MATCH("PTHP Htg",'Factor Tables'!$I$164:$Q$164,0),FALSE),0))))</f>
        <v/>
      </c>
      <c r="CL52" s="187" t="str">
        <f t="shared" si="16"/>
        <v/>
      </c>
      <c r="CM52" s="251" t="str">
        <f t="shared" si="17"/>
        <v/>
      </c>
      <c r="CN52" s="184">
        <f t="shared" si="35"/>
        <v>0</v>
      </c>
      <c r="CO52" s="693">
        <f t="shared" si="36"/>
        <v>0</v>
      </c>
      <c r="CP52" s="182" t="s">
        <v>46</v>
      </c>
      <c r="CQ52" s="852" t="str">
        <f t="shared" si="37"/>
        <v/>
      </c>
      <c r="CR52" s="833">
        <f t="shared" si="38"/>
        <v>0</v>
      </c>
      <c r="CS52" s="830" t="s">
        <v>567</v>
      </c>
      <c r="CT52" s="185" t="str">
        <f>IF($CL52="","",VLOOKUP($D52,'Factor Tables'!$B$165:$H$192,MATCH($CL52,'Factor Tables'!$B$164:$H$164,0),FALSE))</f>
        <v/>
      </c>
      <c r="CU52" s="842" t="str">
        <f>IF($CL52="","",IF(AND($CL52&lt;&gt;"DX HP",$CL52&lt;&gt;"PTHP"),VLOOKUP($D52,'Factor Tables'!$I$165:$Q$192,MATCH($CL52,'Factor Tables'!$I$164:$Q$164,0),FALSE),IF($CL52="DX HP",VLOOKUP($D52,'Factor Tables'!$I$165:$Q$192,MATCH("DX HP Clg",'Factor Tables'!$I$164:$Q$164,0),FALSE),IF($CL52="PTHP",VLOOKUP($D52,'Factor Tables'!$I$165:$Q$192,MATCH("PTHP Clg",'Factor Tables'!$I$164:$Q$164,0),FALSE),""))))</f>
        <v/>
      </c>
      <c r="CV52" s="186" t="str">
        <f>IF($CL52="","",IF(AND($CL52&lt;&gt;"DX HP",$CL52&lt;&gt;"PTHP"),0,IF($CL52="DX HP",VLOOKUP($D52,'Factor Tables'!$I$165:$Q$192,MATCH("DX HP Htg",'Factor Tables'!$I$164:$Q$164,0),FALSE),IF($CL52="PTHP",VLOOKUP($D52,'Factor Tables'!$I$165:$Q$192,MATCH("PTHP Htg",'Factor Tables'!$I$164:$Q$164,0),FALSE),""))))</f>
        <v/>
      </c>
      <c r="DD52" s="194" t="s">
        <v>53</v>
      </c>
      <c r="DE52" s="6"/>
      <c r="DF52" s="7"/>
      <c r="DG52" s="7"/>
      <c r="DH52" s="7"/>
      <c r="DI52" s="5"/>
      <c r="DJ52" s="5"/>
      <c r="DK52" s="5"/>
      <c r="DL52" s="5"/>
      <c r="DM52" s="493" t="s">
        <v>478</v>
      </c>
    </row>
    <row r="53" spans="2:117" s="427" customFormat="1" ht="21.95" customHeight="1" x14ac:dyDescent="0.25">
      <c r="B53" s="432">
        <v>44</v>
      </c>
      <c r="C53" s="499" t="str">
        <f t="shared" si="18"/>
        <v/>
      </c>
      <c r="D53" s="403" t="str">
        <f t="shared" si="19"/>
        <v/>
      </c>
      <c r="E53" s="541"/>
      <c r="F53" s="785"/>
      <c r="G53" s="728"/>
      <c r="H53" s="728"/>
      <c r="I53" s="728"/>
      <c r="J53" s="728"/>
      <c r="K53" s="728"/>
      <c r="L53" s="728"/>
      <c r="M53" s="764"/>
      <c r="N53" s="728"/>
      <c r="O53" s="764"/>
      <c r="P53" s="728"/>
      <c r="Q53" s="1142"/>
      <c r="R53" s="1133"/>
      <c r="S53" s="778"/>
      <c r="T53" s="767"/>
      <c r="U53" s="778"/>
      <c r="V53" s="751"/>
      <c r="W53" s="556"/>
      <c r="X53" s="785"/>
      <c r="Y53" s="542"/>
      <c r="Z53" s="500"/>
      <c r="AA53" s="500"/>
      <c r="AB53" s="500"/>
      <c r="AC53" s="500"/>
      <c r="AD53" s="529"/>
      <c r="AE53" s="527">
        <f t="shared" si="39"/>
        <v>0</v>
      </c>
      <c r="AF53" s="527">
        <f t="shared" si="40"/>
        <v>0</v>
      </c>
      <c r="AG53" s="527">
        <f t="shared" si="0"/>
        <v>0</v>
      </c>
      <c r="AH53" s="527">
        <f t="shared" si="1"/>
        <v>0</v>
      </c>
      <c r="AI53" s="527">
        <f t="shared" si="2"/>
        <v>0</v>
      </c>
      <c r="AJ53" s="527">
        <f t="shared" si="3"/>
        <v>999999999</v>
      </c>
      <c r="AK53" s="530"/>
      <c r="AL53" s="776"/>
      <c r="AM53" s="777"/>
      <c r="AN53" s="500"/>
      <c r="AO53" s="778"/>
      <c r="AP53" s="778"/>
      <c r="AQ53" s="500"/>
      <c r="AR53" s="531"/>
      <c r="AS53" s="403"/>
      <c r="AT53" s="524" t="str">
        <f t="shared" si="4"/>
        <v/>
      </c>
      <c r="AU53" s="311">
        <f t="shared" si="5"/>
        <v>0</v>
      </c>
      <c r="AV53" s="288">
        <f t="shared" si="22"/>
        <v>0</v>
      </c>
      <c r="AW53" s="290">
        <f>IF(ISERROR($AU53*'Utility Admin'!$E$4+$AV53*'Utility Admin'!$F$4),0,$AU53*'Utility Admin'!$E$4+$AV53*'Utility Admin'!$F$4)</f>
        <v>0</v>
      </c>
      <c r="AX53" s="323" t="str">
        <f t="shared" si="6"/>
        <v/>
      </c>
      <c r="AY53" s="322" t="str">
        <f t="shared" si="23"/>
        <v/>
      </c>
      <c r="AZ53" s="319">
        <f>Baselines!$CJ297</f>
        <v>0</v>
      </c>
      <c r="BA53" s="735">
        <f>Baselines!$CK297</f>
        <v>0</v>
      </c>
      <c r="BB53" s="839">
        <f>Baselines!$CM297</f>
        <v>0</v>
      </c>
      <c r="BC53" s="466">
        <f t="shared" si="7"/>
        <v>0</v>
      </c>
      <c r="BD53" s="464">
        <f t="shared" si="24"/>
        <v>0</v>
      </c>
      <c r="BE53" s="755">
        <f t="shared" si="8"/>
        <v>0</v>
      </c>
      <c r="BF53" s="755">
        <f t="shared" si="25"/>
        <v>0</v>
      </c>
      <c r="BG53" s="466">
        <f t="shared" si="9"/>
        <v>0</v>
      </c>
      <c r="BH53" s="464">
        <f t="shared" si="10"/>
        <v>0</v>
      </c>
      <c r="BI53" s="755">
        <f t="shared" si="11"/>
        <v>0</v>
      </c>
      <c r="BJ53" s="755">
        <f t="shared" si="26"/>
        <v>0</v>
      </c>
      <c r="BK53" s="333">
        <f>IF(OR($C53&lt;&gt;"Early Retirement",$H53=""),0,IF(AND($G53&lt;&gt;"Air Cooled Chiller",$G53&lt;&gt;"Water Cooled Chiller"),VLOOKUP($H53,'Early Retirement'!$CI$6:$CL$33,2,FALSE),IF($J53&lt;&gt;"Centrifugal",VLOOKUP($H53,'Early Retirement'!$CI$6:$CL$33,3,FALSE),IF($J53="Centrifugal",VLOOKUP($H53,'Early Retirement'!$CI$6:$CL$33,4,FALSE),""))))</f>
        <v>0</v>
      </c>
      <c r="BL53" s="450">
        <f t="shared" si="12"/>
        <v>0</v>
      </c>
      <c r="BM53" s="553">
        <f>IFERROR('Utility Admin'!$I$4*((1+'Utility Admin'!$G$4)/('Utility Admin'!$H$4-'Utility Admin'!$G$4))*(1-((1+'Utility Admin'!$G$4)/(1+'Utility Admin'!$H$4))^$BK53)*$BG53,0)</f>
        <v>0</v>
      </c>
      <c r="BN53" s="553">
        <f>IFERROR('Utility Admin'!$I$4*((1+'Utility Admin'!$G$4)/('Utility Admin'!$H$4-'Utility Admin'!$G$4))*(1-((1+'Utility Admin'!$G$4)/(1+'Utility Admin'!$H$4))^$BL53)*((1+'Utility Admin'!$G$4)^$BK53/(1+'Utility Admin'!$H$4)^$BK53)*$BC53,0)</f>
        <v>0</v>
      </c>
      <c r="BO53" s="553">
        <f t="shared" si="27"/>
        <v>0</v>
      </c>
      <c r="BP53" s="553">
        <f>IFERROR('Utility Admin'!$J$4*((1+'Utility Admin'!$G$4)/('Utility Admin'!$H$4-'Utility Admin'!$G$4))*(1-((1+'Utility Admin'!$G$4)/(1+'Utility Admin'!$H$4))^$BK53)*$BJ53,0)</f>
        <v>0</v>
      </c>
      <c r="BQ53" s="553">
        <f>IFERROR('Utility Admin'!$J$4*((1+'Utility Admin'!$G$4)/('Utility Admin'!$H$4-'Utility Admin'!$G$4))*(1-((1+'Utility Admin'!$G$4)/(1+'Utility Admin'!$H$4))^$BL53)*((1+'Utility Admin'!$G$4)^$BK53/(1+'Utility Admin'!$H$4)^$BK53)*$BF53,0)</f>
        <v>0</v>
      </c>
      <c r="BR53" s="553">
        <f t="shared" si="28"/>
        <v>0</v>
      </c>
      <c r="BS53" s="553">
        <f>IFERROR('Utility Admin'!$I$4*((1+'Utility Admin'!$G$4)/('Utility Admin'!$H$4-'Utility Admin'!$G$4))*(1-((1+'Utility Admin'!$G$4)/(1+'Utility Admin'!$H$4))^$AT53),0)</f>
        <v>0</v>
      </c>
      <c r="BT53" s="553">
        <f>IFERROR('Utility Admin'!$J$4*((1+'Utility Admin'!$G$4)/('Utility Admin'!$H$4-'Utility Admin'!$G$4))*(1-((1+'Utility Admin'!$G$4)/(1+'Utility Admin'!$H$4))^$AT53),0)</f>
        <v>0</v>
      </c>
      <c r="BU53" s="459">
        <f t="shared" si="29"/>
        <v>0</v>
      </c>
      <c r="BV53" s="462">
        <f t="shared" si="30"/>
        <v>0</v>
      </c>
      <c r="BW53" s="219" t="str">
        <f t="shared" si="13"/>
        <v/>
      </c>
      <c r="BX53" s="250" t="str">
        <f t="shared" si="31"/>
        <v/>
      </c>
      <c r="BY53" s="250" t="str">
        <f t="shared" si="14"/>
        <v/>
      </c>
      <c r="BZ53" s="184">
        <f t="shared" si="32"/>
        <v>0</v>
      </c>
      <c r="CA53" s="693">
        <f t="shared" si="33"/>
        <v>0</v>
      </c>
      <c r="CB53" s="836">
        <f t="shared" si="34"/>
        <v>0</v>
      </c>
      <c r="CC53" s="693">
        <f>IF(AND($C53="Early Retirement",$H53&lt;&gt;"",$R53&lt;&gt;"",$T53&lt;&gt;""),$BZ53,Baselines!$CJ46)</f>
        <v>0</v>
      </c>
      <c r="CD53" s="693">
        <f>IF(AND($C53="Early Retirement",$H53&lt;&gt;"",$R53&lt;&gt;"",$T53&lt;&gt;""),$CA53,Baselines!$CK46)</f>
        <v>0</v>
      </c>
      <c r="CE53" s="182" t="str">
        <f>Baselines!$CL46</f>
        <v>kW/ton</v>
      </c>
      <c r="CF53" s="850" t="str">
        <f t="shared" si="15"/>
        <v/>
      </c>
      <c r="CG53" s="833">
        <f>IF(AND($C53="Early Retirement",$H53&lt;&gt;"",$R53&lt;&gt;"",$T53&lt;&gt;""),$CB53,IF(AND(Baselines!$CM46=0,OR($CL53="DX HP",$CL53="PTHP")),$BB53,Baselines!$CM46))</f>
        <v>0</v>
      </c>
      <c r="CH53" s="830" t="s">
        <v>567</v>
      </c>
      <c r="CI53" s="185" t="str">
        <f>IF(OR($C53="Replace-on-Burnout",$C53="New Construction"),$CT53,IF($BW53="","",VLOOKUP($D53,'Factor Tables'!$B$165:$H$192,MATCH($BW53,'Factor Tables'!$B$164:$H$164,0),FALSE)))</f>
        <v/>
      </c>
      <c r="CJ53" s="842" t="str">
        <f>IF(OR($C53="Replace-on-Burnout",$C53="New Construction"),$CU53,IF($BW53="","",IF($BW53="DX HP",VLOOKUP($D53,'Factor Tables'!$I$165:$Q$192,MATCH("DX HP Clg",'Factor Tables'!$I$164:$Q$164,0),FALSE),IF($BW53="PTHP",VLOOKUP($D53,'Factor Tables'!$I$165:$Q$192,MATCH("PTHP Clg",'Factor Tables'!$I$164:$Q$164,0),FALSE),IF(AND($BW53&lt;&gt;"DX HP",$BW53&lt;&gt;"PTHP"),VLOOKUP($D53,'Factor Tables'!$I$165:$Q$192,MATCH($BW53,'Factor Tables'!$I$164:$Q$164,0),FALSE),"")))))</f>
        <v/>
      </c>
      <c r="CK53" s="186" t="str">
        <f>IF(OR($C53="Replace-on-Burnout",$C53="New Construction",$CL53="DX HP",$CL53="PTHP"),$CV53,IF($BW53="","",IF($BW53="DX HP",VLOOKUP($D53,'Factor Tables'!$I$165:$Q$192,MATCH("DX HP Htg",'Factor Tables'!$I$164:$Q$164,0),FALSE),IF($BW53="PTHP",VLOOKUP($D53,'Factor Tables'!$I$165:$Q$192,MATCH("PTHP Htg",'Factor Tables'!$I$164:$Q$164,0),FALSE),0))))</f>
        <v/>
      </c>
      <c r="CL53" s="187" t="str">
        <f t="shared" si="16"/>
        <v/>
      </c>
      <c r="CM53" s="251" t="str">
        <f t="shared" si="17"/>
        <v/>
      </c>
      <c r="CN53" s="184">
        <f t="shared" si="35"/>
        <v>0</v>
      </c>
      <c r="CO53" s="693">
        <f t="shared" si="36"/>
        <v>0</v>
      </c>
      <c r="CP53" s="182" t="s">
        <v>46</v>
      </c>
      <c r="CQ53" s="852" t="str">
        <f t="shared" si="37"/>
        <v/>
      </c>
      <c r="CR53" s="833">
        <f t="shared" si="38"/>
        <v>0</v>
      </c>
      <c r="CS53" s="830" t="s">
        <v>567</v>
      </c>
      <c r="CT53" s="185" t="str">
        <f>IF($CL53="","",VLOOKUP($D53,'Factor Tables'!$B$165:$H$192,MATCH($CL53,'Factor Tables'!$B$164:$H$164,0),FALSE))</f>
        <v/>
      </c>
      <c r="CU53" s="842" t="str">
        <f>IF($CL53="","",IF(AND($CL53&lt;&gt;"DX HP",$CL53&lt;&gt;"PTHP"),VLOOKUP($D53,'Factor Tables'!$I$165:$Q$192,MATCH($CL53,'Factor Tables'!$I$164:$Q$164,0),FALSE),IF($CL53="DX HP",VLOOKUP($D53,'Factor Tables'!$I$165:$Q$192,MATCH("DX HP Clg",'Factor Tables'!$I$164:$Q$164,0),FALSE),IF($CL53="PTHP",VLOOKUP($D53,'Factor Tables'!$I$165:$Q$192,MATCH("PTHP Clg",'Factor Tables'!$I$164:$Q$164,0),FALSE),""))))</f>
        <v/>
      </c>
      <c r="CV53" s="186" t="str">
        <f>IF($CL53="","",IF(AND($CL53&lt;&gt;"DX HP",$CL53&lt;&gt;"PTHP"),0,IF($CL53="DX HP",VLOOKUP($D53,'Factor Tables'!$I$165:$Q$192,MATCH("DX HP Htg",'Factor Tables'!$I$164:$Q$164,0),FALSE),IF($CL53="PTHP",VLOOKUP($D53,'Factor Tables'!$I$165:$Q$192,MATCH("PTHP Htg",'Factor Tables'!$I$164:$Q$164,0),FALSE),""))))</f>
        <v/>
      </c>
      <c r="DD53" s="77" t="s">
        <v>54</v>
      </c>
      <c r="DE53" s="6"/>
      <c r="DF53" s="7"/>
      <c r="DG53" s="7"/>
      <c r="DH53" s="7"/>
      <c r="DI53" s="5"/>
      <c r="DJ53" s="5"/>
      <c r="DK53" s="5"/>
      <c r="DL53" s="5"/>
      <c r="DM53" s="493" t="s">
        <v>478</v>
      </c>
    </row>
    <row r="54" spans="2:117" s="427" customFormat="1" ht="21.95" customHeight="1" x14ac:dyDescent="0.25">
      <c r="B54" s="431">
        <v>45</v>
      </c>
      <c r="C54" s="501" t="str">
        <f t="shared" si="18"/>
        <v/>
      </c>
      <c r="D54" s="502" t="str">
        <f t="shared" si="19"/>
        <v/>
      </c>
      <c r="E54" s="546"/>
      <c r="F54" s="547"/>
      <c r="G54" s="729"/>
      <c r="H54" s="729"/>
      <c r="I54" s="729"/>
      <c r="J54" s="729"/>
      <c r="K54" s="729"/>
      <c r="L54" s="729"/>
      <c r="M54" s="765"/>
      <c r="N54" s="758"/>
      <c r="O54" s="765"/>
      <c r="P54" s="758"/>
      <c r="Q54" s="1143"/>
      <c r="R54" s="1134"/>
      <c r="S54" s="775"/>
      <c r="T54" s="729"/>
      <c r="U54" s="775"/>
      <c r="V54" s="779"/>
      <c r="W54" s="557"/>
      <c r="X54" s="788"/>
      <c r="Y54" s="543"/>
      <c r="Z54" s="281"/>
      <c r="AA54" s="281"/>
      <c r="AB54" s="281"/>
      <c r="AC54" s="281"/>
      <c r="AD54" s="492"/>
      <c r="AE54" s="527">
        <f t="shared" si="39"/>
        <v>0</v>
      </c>
      <c r="AF54" s="527">
        <f t="shared" si="40"/>
        <v>0</v>
      </c>
      <c r="AG54" s="527">
        <f t="shared" si="0"/>
        <v>0</v>
      </c>
      <c r="AH54" s="527">
        <f t="shared" si="1"/>
        <v>0</v>
      </c>
      <c r="AI54" s="527">
        <f t="shared" si="2"/>
        <v>0</v>
      </c>
      <c r="AJ54" s="527">
        <f t="shared" si="3"/>
        <v>999999999</v>
      </c>
      <c r="AK54" s="471"/>
      <c r="AL54" s="765"/>
      <c r="AM54" s="758"/>
      <c r="AN54" s="281"/>
      <c r="AO54" s="775"/>
      <c r="AP54" s="775"/>
      <c r="AQ54" s="281"/>
      <c r="AR54" s="528"/>
      <c r="AS54" s="532"/>
      <c r="AT54" s="524" t="str">
        <f t="shared" si="4"/>
        <v/>
      </c>
      <c r="AU54" s="311">
        <f t="shared" si="5"/>
        <v>0</v>
      </c>
      <c r="AV54" s="288">
        <f t="shared" si="22"/>
        <v>0</v>
      </c>
      <c r="AW54" s="290">
        <f>IF(ISERROR($AU54*'Utility Admin'!$E$4+$AV54*'Utility Admin'!$F$4),0,$AU54*'Utility Admin'!$E$4+$AV54*'Utility Admin'!$F$4)</f>
        <v>0</v>
      </c>
      <c r="AX54" s="323" t="str">
        <f t="shared" si="6"/>
        <v/>
      </c>
      <c r="AY54" s="322" t="str">
        <f t="shared" si="23"/>
        <v/>
      </c>
      <c r="AZ54" s="319">
        <f>Baselines!$CJ298</f>
        <v>0</v>
      </c>
      <c r="BA54" s="735">
        <f>Baselines!$CK298</f>
        <v>0</v>
      </c>
      <c r="BB54" s="839">
        <f>Baselines!$CM298</f>
        <v>0</v>
      </c>
      <c r="BC54" s="466">
        <f t="shared" si="7"/>
        <v>0</v>
      </c>
      <c r="BD54" s="464">
        <f t="shared" si="24"/>
        <v>0</v>
      </c>
      <c r="BE54" s="755">
        <f t="shared" si="8"/>
        <v>0</v>
      </c>
      <c r="BF54" s="755">
        <f t="shared" si="25"/>
        <v>0</v>
      </c>
      <c r="BG54" s="466">
        <f t="shared" si="9"/>
        <v>0</v>
      </c>
      <c r="BH54" s="464">
        <f t="shared" si="10"/>
        <v>0</v>
      </c>
      <c r="BI54" s="755">
        <f t="shared" si="11"/>
        <v>0</v>
      </c>
      <c r="BJ54" s="755">
        <f t="shared" si="26"/>
        <v>0</v>
      </c>
      <c r="BK54" s="333">
        <f>IF(OR($C54&lt;&gt;"Early Retirement",$H54=""),0,IF(AND($G54&lt;&gt;"Air Cooled Chiller",$G54&lt;&gt;"Water Cooled Chiller"),VLOOKUP($H54,'Early Retirement'!$CI$6:$CL$33,2,FALSE),IF($J54&lt;&gt;"Centrifugal",VLOOKUP($H54,'Early Retirement'!$CI$6:$CL$33,3,FALSE),IF($J54="Centrifugal",VLOOKUP($H54,'Early Retirement'!$CI$6:$CL$33,4,FALSE),""))))</f>
        <v>0</v>
      </c>
      <c r="BL54" s="450">
        <f t="shared" si="12"/>
        <v>0</v>
      </c>
      <c r="BM54" s="553">
        <f>IFERROR('Utility Admin'!$I$4*((1+'Utility Admin'!$G$4)/('Utility Admin'!$H$4-'Utility Admin'!$G$4))*(1-((1+'Utility Admin'!$G$4)/(1+'Utility Admin'!$H$4))^$BK54)*$BG54,0)</f>
        <v>0</v>
      </c>
      <c r="BN54" s="553">
        <f>IFERROR('Utility Admin'!$I$4*((1+'Utility Admin'!$G$4)/('Utility Admin'!$H$4-'Utility Admin'!$G$4))*(1-((1+'Utility Admin'!$G$4)/(1+'Utility Admin'!$H$4))^$BL54)*((1+'Utility Admin'!$G$4)^$BK54/(1+'Utility Admin'!$H$4)^$BK54)*$BC54,0)</f>
        <v>0</v>
      </c>
      <c r="BO54" s="553">
        <f t="shared" si="27"/>
        <v>0</v>
      </c>
      <c r="BP54" s="553">
        <f>IFERROR('Utility Admin'!$J$4*((1+'Utility Admin'!$G$4)/('Utility Admin'!$H$4-'Utility Admin'!$G$4))*(1-((1+'Utility Admin'!$G$4)/(1+'Utility Admin'!$H$4))^$BK54)*$BJ54,0)</f>
        <v>0</v>
      </c>
      <c r="BQ54" s="553">
        <f>IFERROR('Utility Admin'!$J$4*((1+'Utility Admin'!$G$4)/('Utility Admin'!$H$4-'Utility Admin'!$G$4))*(1-((1+'Utility Admin'!$G$4)/(1+'Utility Admin'!$H$4))^$BL54)*((1+'Utility Admin'!$G$4)^$BK54/(1+'Utility Admin'!$H$4)^$BK54)*$BF54,0)</f>
        <v>0</v>
      </c>
      <c r="BR54" s="553">
        <f t="shared" si="28"/>
        <v>0</v>
      </c>
      <c r="BS54" s="553">
        <f>IFERROR('Utility Admin'!$I$4*((1+'Utility Admin'!$G$4)/('Utility Admin'!$H$4-'Utility Admin'!$G$4))*(1-((1+'Utility Admin'!$G$4)/(1+'Utility Admin'!$H$4))^$AT54),0)</f>
        <v>0</v>
      </c>
      <c r="BT54" s="553">
        <f>IFERROR('Utility Admin'!$J$4*((1+'Utility Admin'!$G$4)/('Utility Admin'!$H$4-'Utility Admin'!$G$4))*(1-((1+'Utility Admin'!$G$4)/(1+'Utility Admin'!$H$4))^$AT54),0)</f>
        <v>0</v>
      </c>
      <c r="BU54" s="459">
        <f t="shared" si="29"/>
        <v>0</v>
      </c>
      <c r="BV54" s="462">
        <f t="shared" si="30"/>
        <v>0</v>
      </c>
      <c r="BW54" s="219" t="str">
        <f t="shared" si="13"/>
        <v/>
      </c>
      <c r="BX54" s="250" t="str">
        <f t="shared" si="31"/>
        <v/>
      </c>
      <c r="BY54" s="250" t="str">
        <f t="shared" si="14"/>
        <v/>
      </c>
      <c r="BZ54" s="184">
        <f t="shared" si="32"/>
        <v>0</v>
      </c>
      <c r="CA54" s="693">
        <f t="shared" si="33"/>
        <v>0</v>
      </c>
      <c r="CB54" s="836">
        <f t="shared" si="34"/>
        <v>0</v>
      </c>
      <c r="CC54" s="693">
        <f>IF(AND($C54="Early Retirement",$H54&lt;&gt;"",$R54&lt;&gt;"",$T54&lt;&gt;""),$BZ54,Baselines!$CJ47)</f>
        <v>0</v>
      </c>
      <c r="CD54" s="693">
        <f>IF(AND($C54="Early Retirement",$H54&lt;&gt;"",$R54&lt;&gt;"",$T54&lt;&gt;""),$CA54,Baselines!$CK47)</f>
        <v>0</v>
      </c>
      <c r="CE54" s="182" t="str">
        <f>Baselines!$CL47</f>
        <v>kW/ton</v>
      </c>
      <c r="CF54" s="850" t="str">
        <f t="shared" si="15"/>
        <v/>
      </c>
      <c r="CG54" s="833">
        <f>IF(AND($C54="Early Retirement",$H54&lt;&gt;"",$R54&lt;&gt;"",$T54&lt;&gt;""),$CB54,IF(AND(Baselines!$CM47=0,OR($CL54="DX HP",$CL54="PTHP")),$BB54,Baselines!$CM47))</f>
        <v>0</v>
      </c>
      <c r="CH54" s="830" t="s">
        <v>567</v>
      </c>
      <c r="CI54" s="185" t="str">
        <f>IF(OR($C54="Replace-on-Burnout",$C54="New Construction"),$CT54,IF($BW54="","",VLOOKUP($D54,'Factor Tables'!$B$165:$H$192,MATCH($BW54,'Factor Tables'!$B$164:$H$164,0),FALSE)))</f>
        <v/>
      </c>
      <c r="CJ54" s="842" t="str">
        <f>IF(OR($C54="Replace-on-Burnout",$C54="New Construction"),$CU54,IF($BW54="","",IF($BW54="DX HP",VLOOKUP($D54,'Factor Tables'!$I$165:$Q$192,MATCH("DX HP Clg",'Factor Tables'!$I$164:$Q$164,0),FALSE),IF($BW54="PTHP",VLOOKUP($D54,'Factor Tables'!$I$165:$Q$192,MATCH("PTHP Clg",'Factor Tables'!$I$164:$Q$164,0),FALSE),IF(AND($BW54&lt;&gt;"DX HP",$BW54&lt;&gt;"PTHP"),VLOOKUP($D54,'Factor Tables'!$I$165:$Q$192,MATCH($BW54,'Factor Tables'!$I$164:$Q$164,0),FALSE),"")))))</f>
        <v/>
      </c>
      <c r="CK54" s="186" t="str">
        <f>IF(OR($C54="Replace-on-Burnout",$C54="New Construction",$CL54="DX HP",$CL54="PTHP"),$CV54,IF($BW54="","",IF($BW54="DX HP",VLOOKUP($D54,'Factor Tables'!$I$165:$Q$192,MATCH("DX HP Htg",'Factor Tables'!$I$164:$Q$164,0),FALSE),IF($BW54="PTHP",VLOOKUP($D54,'Factor Tables'!$I$165:$Q$192,MATCH("PTHP Htg",'Factor Tables'!$I$164:$Q$164,0),FALSE),0))))</f>
        <v/>
      </c>
      <c r="CL54" s="187" t="str">
        <f t="shared" si="16"/>
        <v/>
      </c>
      <c r="CM54" s="251" t="str">
        <f t="shared" si="17"/>
        <v/>
      </c>
      <c r="CN54" s="184">
        <f t="shared" si="35"/>
        <v>0</v>
      </c>
      <c r="CO54" s="693">
        <f t="shared" si="36"/>
        <v>0</v>
      </c>
      <c r="CP54" s="182" t="s">
        <v>46</v>
      </c>
      <c r="CQ54" s="852" t="str">
        <f t="shared" si="37"/>
        <v/>
      </c>
      <c r="CR54" s="833">
        <f t="shared" si="38"/>
        <v>0</v>
      </c>
      <c r="CS54" s="830" t="s">
        <v>567</v>
      </c>
      <c r="CT54" s="185" t="str">
        <f>IF($CL54="","",VLOOKUP($D54,'Factor Tables'!$B$165:$H$192,MATCH($CL54,'Factor Tables'!$B$164:$H$164,0),FALSE))</f>
        <v/>
      </c>
      <c r="CU54" s="842" t="str">
        <f>IF($CL54="","",IF(AND($CL54&lt;&gt;"DX HP",$CL54&lt;&gt;"PTHP"),VLOOKUP($D54,'Factor Tables'!$I$165:$Q$192,MATCH($CL54,'Factor Tables'!$I$164:$Q$164,0),FALSE),IF($CL54="DX HP",VLOOKUP($D54,'Factor Tables'!$I$165:$Q$192,MATCH("DX HP Clg",'Factor Tables'!$I$164:$Q$164,0),FALSE),IF($CL54="PTHP",VLOOKUP($D54,'Factor Tables'!$I$165:$Q$192,MATCH("PTHP Clg",'Factor Tables'!$I$164:$Q$164,0),FALSE),""))))</f>
        <v/>
      </c>
      <c r="CV54" s="186" t="str">
        <f>IF($CL54="","",IF(AND($CL54&lt;&gt;"DX HP",$CL54&lt;&gt;"PTHP"),0,IF($CL54="DX HP",VLOOKUP($D54,'Factor Tables'!$I$165:$Q$192,MATCH("DX HP Htg",'Factor Tables'!$I$164:$Q$164,0),FALSE),IF($CL54="PTHP",VLOOKUP($D54,'Factor Tables'!$I$165:$Q$192,MATCH("PTHP Htg",'Factor Tables'!$I$164:$Q$164,0),FALSE),""))))</f>
        <v/>
      </c>
      <c r="DD54" s="77"/>
      <c r="DE54" s="6"/>
      <c r="DF54" s="7"/>
      <c r="DG54" s="7"/>
      <c r="DH54" s="7"/>
      <c r="DI54" s="5"/>
      <c r="DJ54" s="5"/>
      <c r="DK54" s="5"/>
      <c r="DL54" s="5"/>
      <c r="DM54" s="493" t="s">
        <v>478</v>
      </c>
    </row>
    <row r="55" spans="2:117" s="427" customFormat="1" ht="21.95" customHeight="1" x14ac:dyDescent="0.25">
      <c r="B55" s="432">
        <v>46</v>
      </c>
      <c r="C55" s="499" t="str">
        <f t="shared" si="18"/>
        <v/>
      </c>
      <c r="D55" s="403" t="str">
        <f t="shared" si="19"/>
        <v/>
      </c>
      <c r="E55" s="541"/>
      <c r="F55" s="785"/>
      <c r="G55" s="728"/>
      <c r="H55" s="728"/>
      <c r="I55" s="728"/>
      <c r="J55" s="728"/>
      <c r="K55" s="728"/>
      <c r="L55" s="728"/>
      <c r="M55" s="764"/>
      <c r="N55" s="728"/>
      <c r="O55" s="764"/>
      <c r="P55" s="728"/>
      <c r="Q55" s="1142"/>
      <c r="R55" s="1133"/>
      <c r="S55" s="778"/>
      <c r="T55" s="767"/>
      <c r="U55" s="778"/>
      <c r="V55" s="751"/>
      <c r="W55" s="556"/>
      <c r="X55" s="785"/>
      <c r="Y55" s="542"/>
      <c r="Z55" s="500"/>
      <c r="AA55" s="500"/>
      <c r="AB55" s="500"/>
      <c r="AC55" s="500"/>
      <c r="AD55" s="529"/>
      <c r="AE55" s="527">
        <f t="shared" si="39"/>
        <v>0</v>
      </c>
      <c r="AF55" s="527">
        <f t="shared" si="40"/>
        <v>0</v>
      </c>
      <c r="AG55" s="527">
        <f t="shared" si="0"/>
        <v>0</v>
      </c>
      <c r="AH55" s="527">
        <f t="shared" si="1"/>
        <v>0</v>
      </c>
      <c r="AI55" s="527">
        <f t="shared" si="2"/>
        <v>0</v>
      </c>
      <c r="AJ55" s="527">
        <f t="shared" si="3"/>
        <v>999999999</v>
      </c>
      <c r="AK55" s="530"/>
      <c r="AL55" s="776"/>
      <c r="AM55" s="777"/>
      <c r="AN55" s="500"/>
      <c r="AO55" s="778"/>
      <c r="AP55" s="778"/>
      <c r="AQ55" s="500"/>
      <c r="AR55" s="531"/>
      <c r="AS55" s="403"/>
      <c r="AT55" s="524" t="str">
        <f t="shared" si="4"/>
        <v/>
      </c>
      <c r="AU55" s="311">
        <f t="shared" si="5"/>
        <v>0</v>
      </c>
      <c r="AV55" s="288">
        <f t="shared" si="22"/>
        <v>0</v>
      </c>
      <c r="AW55" s="290">
        <f>IF(ISERROR($AU55*'Utility Admin'!$E$4+$AV55*'Utility Admin'!$F$4),0,$AU55*'Utility Admin'!$E$4+$AV55*'Utility Admin'!$F$4)</f>
        <v>0</v>
      </c>
      <c r="AX55" s="323" t="str">
        <f t="shared" si="6"/>
        <v/>
      </c>
      <c r="AY55" s="322" t="str">
        <f t="shared" si="23"/>
        <v/>
      </c>
      <c r="AZ55" s="319">
        <f>Baselines!$CJ299</f>
        <v>0</v>
      </c>
      <c r="BA55" s="735">
        <f>Baselines!$CK299</f>
        <v>0</v>
      </c>
      <c r="BB55" s="839">
        <f>Baselines!$CM299</f>
        <v>0</v>
      </c>
      <c r="BC55" s="466">
        <f t="shared" si="7"/>
        <v>0</v>
      </c>
      <c r="BD55" s="464">
        <f t="shared" si="24"/>
        <v>0</v>
      </c>
      <c r="BE55" s="755">
        <f t="shared" si="8"/>
        <v>0</v>
      </c>
      <c r="BF55" s="755">
        <f t="shared" si="25"/>
        <v>0</v>
      </c>
      <c r="BG55" s="466">
        <f t="shared" si="9"/>
        <v>0</v>
      </c>
      <c r="BH55" s="464">
        <f t="shared" si="10"/>
        <v>0</v>
      </c>
      <c r="BI55" s="755">
        <f t="shared" si="11"/>
        <v>0</v>
      </c>
      <c r="BJ55" s="755">
        <f t="shared" si="26"/>
        <v>0</v>
      </c>
      <c r="BK55" s="333">
        <f>IF(OR($C55&lt;&gt;"Early Retirement",$H55=""),0,IF(AND($G55&lt;&gt;"Air Cooled Chiller",$G55&lt;&gt;"Water Cooled Chiller"),VLOOKUP($H55,'Early Retirement'!$CI$6:$CL$33,2,FALSE),IF($J55&lt;&gt;"Centrifugal",VLOOKUP($H55,'Early Retirement'!$CI$6:$CL$33,3,FALSE),IF($J55="Centrifugal",VLOOKUP($H55,'Early Retirement'!$CI$6:$CL$33,4,FALSE),""))))</f>
        <v>0</v>
      </c>
      <c r="BL55" s="450">
        <f t="shared" si="12"/>
        <v>0</v>
      </c>
      <c r="BM55" s="553">
        <f>IFERROR('Utility Admin'!$I$4*((1+'Utility Admin'!$G$4)/('Utility Admin'!$H$4-'Utility Admin'!$G$4))*(1-((1+'Utility Admin'!$G$4)/(1+'Utility Admin'!$H$4))^$BK55)*$BG55,0)</f>
        <v>0</v>
      </c>
      <c r="BN55" s="553">
        <f>IFERROR('Utility Admin'!$I$4*((1+'Utility Admin'!$G$4)/('Utility Admin'!$H$4-'Utility Admin'!$G$4))*(1-((1+'Utility Admin'!$G$4)/(1+'Utility Admin'!$H$4))^$BL55)*((1+'Utility Admin'!$G$4)^$BK55/(1+'Utility Admin'!$H$4)^$BK55)*$BC55,0)</f>
        <v>0</v>
      </c>
      <c r="BO55" s="553">
        <f t="shared" si="27"/>
        <v>0</v>
      </c>
      <c r="BP55" s="553">
        <f>IFERROR('Utility Admin'!$J$4*((1+'Utility Admin'!$G$4)/('Utility Admin'!$H$4-'Utility Admin'!$G$4))*(1-((1+'Utility Admin'!$G$4)/(1+'Utility Admin'!$H$4))^$BK55)*$BJ55,0)</f>
        <v>0</v>
      </c>
      <c r="BQ55" s="553">
        <f>IFERROR('Utility Admin'!$J$4*((1+'Utility Admin'!$G$4)/('Utility Admin'!$H$4-'Utility Admin'!$G$4))*(1-((1+'Utility Admin'!$G$4)/(1+'Utility Admin'!$H$4))^$BL55)*((1+'Utility Admin'!$G$4)^$BK55/(1+'Utility Admin'!$H$4)^$BK55)*$BF55,0)</f>
        <v>0</v>
      </c>
      <c r="BR55" s="553">
        <f t="shared" si="28"/>
        <v>0</v>
      </c>
      <c r="BS55" s="553">
        <f>IFERROR('Utility Admin'!$I$4*((1+'Utility Admin'!$G$4)/('Utility Admin'!$H$4-'Utility Admin'!$G$4))*(1-((1+'Utility Admin'!$G$4)/(1+'Utility Admin'!$H$4))^$AT55),0)</f>
        <v>0</v>
      </c>
      <c r="BT55" s="553">
        <f>IFERROR('Utility Admin'!$J$4*((1+'Utility Admin'!$G$4)/('Utility Admin'!$H$4-'Utility Admin'!$G$4))*(1-((1+'Utility Admin'!$G$4)/(1+'Utility Admin'!$H$4))^$AT55),0)</f>
        <v>0</v>
      </c>
      <c r="BU55" s="459">
        <f t="shared" si="29"/>
        <v>0</v>
      </c>
      <c r="BV55" s="462">
        <f t="shared" si="30"/>
        <v>0</v>
      </c>
      <c r="BW55" s="219" t="str">
        <f t="shared" si="13"/>
        <v/>
      </c>
      <c r="BX55" s="250" t="str">
        <f t="shared" si="31"/>
        <v/>
      </c>
      <c r="BY55" s="250" t="str">
        <f t="shared" si="14"/>
        <v/>
      </c>
      <c r="BZ55" s="184">
        <f t="shared" si="32"/>
        <v>0</v>
      </c>
      <c r="CA55" s="693">
        <f t="shared" si="33"/>
        <v>0</v>
      </c>
      <c r="CB55" s="836">
        <f t="shared" si="34"/>
        <v>0</v>
      </c>
      <c r="CC55" s="693">
        <f>IF(AND($C55="Early Retirement",$H55&lt;&gt;"",$R55&lt;&gt;"",$T55&lt;&gt;""),$BZ55,Baselines!$CJ48)</f>
        <v>0</v>
      </c>
      <c r="CD55" s="693">
        <f>IF(AND($C55="Early Retirement",$H55&lt;&gt;"",$R55&lt;&gt;"",$T55&lt;&gt;""),$CA55,Baselines!$CK48)</f>
        <v>0</v>
      </c>
      <c r="CE55" s="182" t="str">
        <f>Baselines!$CL48</f>
        <v>kW/ton</v>
      </c>
      <c r="CF55" s="850" t="str">
        <f t="shared" si="15"/>
        <v/>
      </c>
      <c r="CG55" s="833">
        <f>IF(AND($C55="Early Retirement",$H55&lt;&gt;"",$R55&lt;&gt;"",$T55&lt;&gt;""),$CB55,IF(AND(Baselines!$CM48=0,OR($CL55="DX HP",$CL55="PTHP")),$BB55,Baselines!$CM48))</f>
        <v>0</v>
      </c>
      <c r="CH55" s="830" t="s">
        <v>567</v>
      </c>
      <c r="CI55" s="185" t="str">
        <f>IF(OR($C55="Replace-on-Burnout",$C55="New Construction"),$CT55,IF($BW55="","",VLOOKUP($D55,'Factor Tables'!$B$165:$H$192,MATCH($BW55,'Factor Tables'!$B$164:$H$164,0),FALSE)))</f>
        <v/>
      </c>
      <c r="CJ55" s="842" t="str">
        <f>IF(OR($C55="Replace-on-Burnout",$C55="New Construction"),$CU55,IF($BW55="","",IF($BW55="DX HP",VLOOKUP($D55,'Factor Tables'!$I$165:$Q$192,MATCH("DX HP Clg",'Factor Tables'!$I$164:$Q$164,0),FALSE),IF($BW55="PTHP",VLOOKUP($D55,'Factor Tables'!$I$165:$Q$192,MATCH("PTHP Clg",'Factor Tables'!$I$164:$Q$164,0),FALSE),IF(AND($BW55&lt;&gt;"DX HP",$BW55&lt;&gt;"PTHP"),VLOOKUP($D55,'Factor Tables'!$I$165:$Q$192,MATCH($BW55,'Factor Tables'!$I$164:$Q$164,0),FALSE),"")))))</f>
        <v/>
      </c>
      <c r="CK55" s="186" t="str">
        <f>IF(OR($C55="Replace-on-Burnout",$C55="New Construction",$CL55="DX HP",$CL55="PTHP"),$CV55,IF($BW55="","",IF($BW55="DX HP",VLOOKUP($D55,'Factor Tables'!$I$165:$Q$192,MATCH("DX HP Htg",'Factor Tables'!$I$164:$Q$164,0),FALSE),IF($BW55="PTHP",VLOOKUP($D55,'Factor Tables'!$I$165:$Q$192,MATCH("PTHP Htg",'Factor Tables'!$I$164:$Q$164,0),FALSE),0))))</f>
        <v/>
      </c>
      <c r="CL55" s="187" t="str">
        <f t="shared" si="16"/>
        <v/>
      </c>
      <c r="CM55" s="251" t="str">
        <f t="shared" si="17"/>
        <v/>
      </c>
      <c r="CN55" s="184">
        <f t="shared" si="35"/>
        <v>0</v>
      </c>
      <c r="CO55" s="693">
        <f t="shared" si="36"/>
        <v>0</v>
      </c>
      <c r="CP55" s="182" t="s">
        <v>46</v>
      </c>
      <c r="CQ55" s="852" t="str">
        <f t="shared" si="37"/>
        <v/>
      </c>
      <c r="CR55" s="833">
        <f t="shared" si="38"/>
        <v>0</v>
      </c>
      <c r="CS55" s="830" t="s">
        <v>567</v>
      </c>
      <c r="CT55" s="185" t="str">
        <f>IF($CL55="","",VLOOKUP($D55,'Factor Tables'!$B$165:$H$192,MATCH($CL55,'Factor Tables'!$B$164:$H$164,0),FALSE))</f>
        <v/>
      </c>
      <c r="CU55" s="842" t="str">
        <f>IF($CL55="","",IF(AND($CL55&lt;&gt;"DX HP",$CL55&lt;&gt;"PTHP"),VLOOKUP($D55,'Factor Tables'!$I$165:$Q$192,MATCH($CL55,'Factor Tables'!$I$164:$Q$164,0),FALSE),IF($CL55="DX HP",VLOOKUP($D55,'Factor Tables'!$I$165:$Q$192,MATCH("DX HP Clg",'Factor Tables'!$I$164:$Q$164,0),FALSE),IF($CL55="PTHP",VLOOKUP($D55,'Factor Tables'!$I$165:$Q$192,MATCH("PTHP Clg",'Factor Tables'!$I$164:$Q$164,0),FALSE),""))))</f>
        <v/>
      </c>
      <c r="CV55" s="186" t="str">
        <f>IF($CL55="","",IF(AND($CL55&lt;&gt;"DX HP",$CL55&lt;&gt;"PTHP"),0,IF($CL55="DX HP",VLOOKUP($D55,'Factor Tables'!$I$165:$Q$192,MATCH("DX HP Htg",'Factor Tables'!$I$164:$Q$164,0),FALSE),IF($CL55="PTHP",VLOOKUP($D55,'Factor Tables'!$I$165:$Q$192,MATCH("PTHP Htg",'Factor Tables'!$I$164:$Q$164,0),FALSE),""))))</f>
        <v/>
      </c>
      <c r="DD55" s="193" t="s">
        <v>350</v>
      </c>
      <c r="DE55" s="6"/>
      <c r="DF55" s="7"/>
      <c r="DG55" s="7"/>
      <c r="DH55" s="7"/>
      <c r="DI55" s="5"/>
      <c r="DJ55" s="5"/>
      <c r="DK55" s="5"/>
      <c r="DL55" s="5"/>
      <c r="DM55" s="493" t="s">
        <v>478</v>
      </c>
    </row>
    <row r="56" spans="2:117" s="427" customFormat="1" ht="21.95" customHeight="1" x14ac:dyDescent="0.25">
      <c r="B56" s="431">
        <v>47</v>
      </c>
      <c r="C56" s="501" t="str">
        <f t="shared" si="18"/>
        <v/>
      </c>
      <c r="D56" s="502" t="str">
        <f t="shared" si="19"/>
        <v/>
      </c>
      <c r="E56" s="546"/>
      <c r="F56" s="547"/>
      <c r="G56" s="729"/>
      <c r="H56" s="729"/>
      <c r="I56" s="729"/>
      <c r="J56" s="729"/>
      <c r="K56" s="729"/>
      <c r="L56" s="729"/>
      <c r="M56" s="765"/>
      <c r="N56" s="758"/>
      <c r="O56" s="765"/>
      <c r="P56" s="758"/>
      <c r="Q56" s="1143"/>
      <c r="R56" s="1134"/>
      <c r="S56" s="775"/>
      <c r="T56" s="729"/>
      <c r="U56" s="775"/>
      <c r="V56" s="779"/>
      <c r="W56" s="557"/>
      <c r="X56" s="788"/>
      <c r="Y56" s="543"/>
      <c r="Z56" s="281"/>
      <c r="AA56" s="281"/>
      <c r="AB56" s="281"/>
      <c r="AC56" s="281"/>
      <c r="AD56" s="492"/>
      <c r="AE56" s="527">
        <f t="shared" si="39"/>
        <v>0</v>
      </c>
      <c r="AF56" s="527">
        <f t="shared" si="40"/>
        <v>0</v>
      </c>
      <c r="AG56" s="527">
        <f t="shared" si="0"/>
        <v>0</v>
      </c>
      <c r="AH56" s="527">
        <f t="shared" si="1"/>
        <v>0</v>
      </c>
      <c r="AI56" s="527">
        <f t="shared" si="2"/>
        <v>0</v>
      </c>
      <c r="AJ56" s="527">
        <f t="shared" si="3"/>
        <v>999999999</v>
      </c>
      <c r="AK56" s="471"/>
      <c r="AL56" s="765"/>
      <c r="AM56" s="758"/>
      <c r="AN56" s="281"/>
      <c r="AO56" s="775"/>
      <c r="AP56" s="775"/>
      <c r="AQ56" s="281"/>
      <c r="AR56" s="528"/>
      <c r="AS56" s="532"/>
      <c r="AT56" s="524" t="str">
        <f t="shared" si="4"/>
        <v/>
      </c>
      <c r="AU56" s="311">
        <f t="shared" si="5"/>
        <v>0</v>
      </c>
      <c r="AV56" s="288">
        <f t="shared" si="22"/>
        <v>0</v>
      </c>
      <c r="AW56" s="290">
        <f>IF(ISERROR($AU56*'Utility Admin'!$E$4+$AV56*'Utility Admin'!$F$4),0,$AU56*'Utility Admin'!$E$4+$AV56*'Utility Admin'!$F$4)</f>
        <v>0</v>
      </c>
      <c r="AX56" s="323" t="str">
        <f t="shared" si="6"/>
        <v/>
      </c>
      <c r="AY56" s="322" t="str">
        <f t="shared" si="23"/>
        <v/>
      </c>
      <c r="AZ56" s="319">
        <f>Baselines!$CJ300</f>
        <v>0</v>
      </c>
      <c r="BA56" s="735">
        <f>Baselines!$CK300</f>
        <v>0</v>
      </c>
      <c r="BB56" s="839">
        <f>Baselines!$CM300</f>
        <v>0</v>
      </c>
      <c r="BC56" s="466">
        <f t="shared" si="7"/>
        <v>0</v>
      </c>
      <c r="BD56" s="464">
        <f t="shared" si="24"/>
        <v>0</v>
      </c>
      <c r="BE56" s="755">
        <f t="shared" si="8"/>
        <v>0</v>
      </c>
      <c r="BF56" s="755">
        <f t="shared" si="25"/>
        <v>0</v>
      </c>
      <c r="BG56" s="466">
        <f t="shared" si="9"/>
        <v>0</v>
      </c>
      <c r="BH56" s="464">
        <f t="shared" si="10"/>
        <v>0</v>
      </c>
      <c r="BI56" s="755">
        <f t="shared" si="11"/>
        <v>0</v>
      </c>
      <c r="BJ56" s="755">
        <f t="shared" si="26"/>
        <v>0</v>
      </c>
      <c r="BK56" s="333">
        <f>IF(OR($C56&lt;&gt;"Early Retirement",$H56=""),0,IF(AND($G56&lt;&gt;"Air Cooled Chiller",$G56&lt;&gt;"Water Cooled Chiller"),VLOOKUP($H56,'Early Retirement'!$CI$6:$CL$33,2,FALSE),IF($J56&lt;&gt;"Centrifugal",VLOOKUP($H56,'Early Retirement'!$CI$6:$CL$33,3,FALSE),IF($J56="Centrifugal",VLOOKUP($H56,'Early Retirement'!$CI$6:$CL$33,4,FALSE),""))))</f>
        <v>0</v>
      </c>
      <c r="BL56" s="450">
        <f t="shared" si="12"/>
        <v>0</v>
      </c>
      <c r="BM56" s="553">
        <f>IFERROR('Utility Admin'!$I$4*((1+'Utility Admin'!$G$4)/('Utility Admin'!$H$4-'Utility Admin'!$G$4))*(1-((1+'Utility Admin'!$G$4)/(1+'Utility Admin'!$H$4))^$BK56)*$BG56,0)</f>
        <v>0</v>
      </c>
      <c r="BN56" s="553">
        <f>IFERROR('Utility Admin'!$I$4*((1+'Utility Admin'!$G$4)/('Utility Admin'!$H$4-'Utility Admin'!$G$4))*(1-((1+'Utility Admin'!$G$4)/(1+'Utility Admin'!$H$4))^$BL56)*((1+'Utility Admin'!$G$4)^$BK56/(1+'Utility Admin'!$H$4)^$BK56)*$BC56,0)</f>
        <v>0</v>
      </c>
      <c r="BO56" s="553">
        <f t="shared" si="27"/>
        <v>0</v>
      </c>
      <c r="BP56" s="553">
        <f>IFERROR('Utility Admin'!$J$4*((1+'Utility Admin'!$G$4)/('Utility Admin'!$H$4-'Utility Admin'!$G$4))*(1-((1+'Utility Admin'!$G$4)/(1+'Utility Admin'!$H$4))^$BK56)*$BJ56,0)</f>
        <v>0</v>
      </c>
      <c r="BQ56" s="553">
        <f>IFERROR('Utility Admin'!$J$4*((1+'Utility Admin'!$G$4)/('Utility Admin'!$H$4-'Utility Admin'!$G$4))*(1-((1+'Utility Admin'!$G$4)/(1+'Utility Admin'!$H$4))^$BL56)*((1+'Utility Admin'!$G$4)^$BK56/(1+'Utility Admin'!$H$4)^$BK56)*$BF56,0)</f>
        <v>0</v>
      </c>
      <c r="BR56" s="553">
        <f t="shared" si="28"/>
        <v>0</v>
      </c>
      <c r="BS56" s="553">
        <f>IFERROR('Utility Admin'!$I$4*((1+'Utility Admin'!$G$4)/('Utility Admin'!$H$4-'Utility Admin'!$G$4))*(1-((1+'Utility Admin'!$G$4)/(1+'Utility Admin'!$H$4))^$AT56),0)</f>
        <v>0</v>
      </c>
      <c r="BT56" s="553">
        <f>IFERROR('Utility Admin'!$J$4*((1+'Utility Admin'!$G$4)/('Utility Admin'!$H$4-'Utility Admin'!$G$4))*(1-((1+'Utility Admin'!$G$4)/(1+'Utility Admin'!$H$4))^$AT56),0)</f>
        <v>0</v>
      </c>
      <c r="BU56" s="459">
        <f t="shared" si="29"/>
        <v>0</v>
      </c>
      <c r="BV56" s="462">
        <f t="shared" si="30"/>
        <v>0</v>
      </c>
      <c r="BW56" s="219" t="str">
        <f t="shared" si="13"/>
        <v/>
      </c>
      <c r="BX56" s="250" t="str">
        <f t="shared" si="31"/>
        <v/>
      </c>
      <c r="BY56" s="250" t="str">
        <f t="shared" si="14"/>
        <v/>
      </c>
      <c r="BZ56" s="184">
        <f t="shared" si="32"/>
        <v>0</v>
      </c>
      <c r="CA56" s="693">
        <f t="shared" si="33"/>
        <v>0</v>
      </c>
      <c r="CB56" s="836">
        <f t="shared" si="34"/>
        <v>0</v>
      </c>
      <c r="CC56" s="693">
        <f>IF(AND($C56="Early Retirement",$H56&lt;&gt;"",$R56&lt;&gt;"",$T56&lt;&gt;""),$BZ56,Baselines!$CJ49)</f>
        <v>0</v>
      </c>
      <c r="CD56" s="693">
        <f>IF(AND($C56="Early Retirement",$H56&lt;&gt;"",$R56&lt;&gt;"",$T56&lt;&gt;""),$CA56,Baselines!$CK49)</f>
        <v>0</v>
      </c>
      <c r="CE56" s="182" t="str">
        <f>Baselines!$CL49</f>
        <v>kW/ton</v>
      </c>
      <c r="CF56" s="850" t="str">
        <f t="shared" si="15"/>
        <v/>
      </c>
      <c r="CG56" s="833">
        <f>IF(AND($C56="Early Retirement",$H56&lt;&gt;"",$R56&lt;&gt;"",$T56&lt;&gt;""),$CB56,IF(AND(Baselines!$CM49=0,OR($CL56="DX HP",$CL56="PTHP")),$BB56,Baselines!$CM49))</f>
        <v>0</v>
      </c>
      <c r="CH56" s="830" t="s">
        <v>567</v>
      </c>
      <c r="CI56" s="185" t="str">
        <f>IF(OR($C56="Replace-on-Burnout",$C56="New Construction"),$CT56,IF($BW56="","",VLOOKUP($D56,'Factor Tables'!$B$165:$H$192,MATCH($BW56,'Factor Tables'!$B$164:$H$164,0),FALSE)))</f>
        <v/>
      </c>
      <c r="CJ56" s="842" t="str">
        <f>IF(OR($C56="Replace-on-Burnout",$C56="New Construction"),$CU56,IF($BW56="","",IF($BW56="DX HP",VLOOKUP($D56,'Factor Tables'!$I$165:$Q$192,MATCH("DX HP Clg",'Factor Tables'!$I$164:$Q$164,0),FALSE),IF($BW56="PTHP",VLOOKUP($D56,'Factor Tables'!$I$165:$Q$192,MATCH("PTHP Clg",'Factor Tables'!$I$164:$Q$164,0),FALSE),IF(AND($BW56&lt;&gt;"DX HP",$BW56&lt;&gt;"PTHP"),VLOOKUP($D56,'Factor Tables'!$I$165:$Q$192,MATCH($BW56,'Factor Tables'!$I$164:$Q$164,0),FALSE),"")))))</f>
        <v/>
      </c>
      <c r="CK56" s="186" t="str">
        <f>IF(OR($C56="Replace-on-Burnout",$C56="New Construction",$CL56="DX HP",$CL56="PTHP"),$CV56,IF($BW56="","",IF($BW56="DX HP",VLOOKUP($D56,'Factor Tables'!$I$165:$Q$192,MATCH("DX HP Htg",'Factor Tables'!$I$164:$Q$164,0),FALSE),IF($BW56="PTHP",VLOOKUP($D56,'Factor Tables'!$I$165:$Q$192,MATCH("PTHP Htg",'Factor Tables'!$I$164:$Q$164,0),FALSE),0))))</f>
        <v/>
      </c>
      <c r="CL56" s="187" t="str">
        <f t="shared" si="16"/>
        <v/>
      </c>
      <c r="CM56" s="251" t="str">
        <f t="shared" si="17"/>
        <v/>
      </c>
      <c r="CN56" s="184">
        <f t="shared" si="35"/>
        <v>0</v>
      </c>
      <c r="CO56" s="693">
        <f t="shared" si="36"/>
        <v>0</v>
      </c>
      <c r="CP56" s="182" t="s">
        <v>46</v>
      </c>
      <c r="CQ56" s="852" t="str">
        <f t="shared" si="37"/>
        <v/>
      </c>
      <c r="CR56" s="833">
        <f t="shared" si="38"/>
        <v>0</v>
      </c>
      <c r="CS56" s="830" t="s">
        <v>567</v>
      </c>
      <c r="CT56" s="185" t="str">
        <f>IF($CL56="","",VLOOKUP($D56,'Factor Tables'!$B$165:$H$192,MATCH($CL56,'Factor Tables'!$B$164:$H$164,0),FALSE))</f>
        <v/>
      </c>
      <c r="CU56" s="842" t="str">
        <f>IF($CL56="","",IF(AND($CL56&lt;&gt;"DX HP",$CL56&lt;&gt;"PTHP"),VLOOKUP($D56,'Factor Tables'!$I$165:$Q$192,MATCH($CL56,'Factor Tables'!$I$164:$Q$164,0),FALSE),IF($CL56="DX HP",VLOOKUP($D56,'Factor Tables'!$I$165:$Q$192,MATCH("DX HP Clg",'Factor Tables'!$I$164:$Q$164,0),FALSE),IF($CL56="PTHP",VLOOKUP($D56,'Factor Tables'!$I$165:$Q$192,MATCH("PTHP Clg",'Factor Tables'!$I$164:$Q$164,0),FALSE),""))))</f>
        <v/>
      </c>
      <c r="CV56" s="186" t="str">
        <f>IF($CL56="","",IF(AND($CL56&lt;&gt;"DX HP",$CL56&lt;&gt;"PTHP"),0,IF($CL56="DX HP",VLOOKUP($D56,'Factor Tables'!$I$165:$Q$192,MATCH("DX HP Htg",'Factor Tables'!$I$164:$Q$164,0),FALSE),IF($CL56="PTHP",VLOOKUP($D56,'Factor Tables'!$I$165:$Q$192,MATCH("PTHP Htg",'Factor Tables'!$I$164:$Q$164,0),FALSE),""))))</f>
        <v/>
      </c>
      <c r="DD56" s="77" t="s">
        <v>44</v>
      </c>
      <c r="DE56" s="6"/>
      <c r="DF56" s="7"/>
      <c r="DG56" s="7"/>
      <c r="DH56" s="7"/>
      <c r="DI56" s="5"/>
      <c r="DJ56" s="5"/>
      <c r="DK56" s="5"/>
      <c r="DL56" s="5"/>
      <c r="DM56" s="493" t="s">
        <v>478</v>
      </c>
    </row>
    <row r="57" spans="2:117" s="427" customFormat="1" ht="21.95" customHeight="1" x14ac:dyDescent="0.25">
      <c r="B57" s="432">
        <v>48</v>
      </c>
      <c r="C57" s="499" t="str">
        <f t="shared" si="18"/>
        <v/>
      </c>
      <c r="D57" s="403" t="str">
        <f t="shared" si="19"/>
        <v/>
      </c>
      <c r="E57" s="541"/>
      <c r="F57" s="785"/>
      <c r="G57" s="728"/>
      <c r="H57" s="728"/>
      <c r="I57" s="728"/>
      <c r="J57" s="728"/>
      <c r="K57" s="728"/>
      <c r="L57" s="728"/>
      <c r="M57" s="764"/>
      <c r="N57" s="728"/>
      <c r="O57" s="764"/>
      <c r="P57" s="728"/>
      <c r="Q57" s="1142"/>
      <c r="R57" s="1133"/>
      <c r="S57" s="778"/>
      <c r="T57" s="767"/>
      <c r="U57" s="778"/>
      <c r="V57" s="751"/>
      <c r="W57" s="556"/>
      <c r="X57" s="785"/>
      <c r="Y57" s="542"/>
      <c r="Z57" s="500"/>
      <c r="AA57" s="500"/>
      <c r="AB57" s="500"/>
      <c r="AC57" s="500"/>
      <c r="AD57" s="529"/>
      <c r="AE57" s="527">
        <f t="shared" si="39"/>
        <v>0</v>
      </c>
      <c r="AF57" s="527">
        <f t="shared" si="40"/>
        <v>0</v>
      </c>
      <c r="AG57" s="527">
        <f t="shared" si="0"/>
        <v>0</v>
      </c>
      <c r="AH57" s="527">
        <f t="shared" si="1"/>
        <v>0</v>
      </c>
      <c r="AI57" s="527">
        <f t="shared" si="2"/>
        <v>0</v>
      </c>
      <c r="AJ57" s="527">
        <f t="shared" si="3"/>
        <v>999999999</v>
      </c>
      <c r="AK57" s="530"/>
      <c r="AL57" s="776"/>
      <c r="AM57" s="777"/>
      <c r="AN57" s="500"/>
      <c r="AO57" s="778"/>
      <c r="AP57" s="778"/>
      <c r="AQ57" s="500"/>
      <c r="AR57" s="531"/>
      <c r="AS57" s="403"/>
      <c r="AT57" s="524" t="str">
        <f t="shared" si="4"/>
        <v/>
      </c>
      <c r="AU57" s="311">
        <f t="shared" si="5"/>
        <v>0</v>
      </c>
      <c r="AV57" s="288">
        <f t="shared" si="22"/>
        <v>0</v>
      </c>
      <c r="AW57" s="290">
        <f>IF(ISERROR($AU57*'Utility Admin'!$E$4+$AV57*'Utility Admin'!$F$4),0,$AU57*'Utility Admin'!$E$4+$AV57*'Utility Admin'!$F$4)</f>
        <v>0</v>
      </c>
      <c r="AX57" s="323" t="str">
        <f t="shared" si="6"/>
        <v/>
      </c>
      <c r="AY57" s="322" t="str">
        <f t="shared" si="23"/>
        <v/>
      </c>
      <c r="AZ57" s="319">
        <f>Baselines!$CJ301</f>
        <v>0</v>
      </c>
      <c r="BA57" s="735">
        <f>Baselines!$CK301</f>
        <v>0</v>
      </c>
      <c r="BB57" s="839">
        <f>Baselines!$CM301</f>
        <v>0</v>
      </c>
      <c r="BC57" s="466">
        <f t="shared" si="7"/>
        <v>0</v>
      </c>
      <c r="BD57" s="464">
        <f t="shared" si="24"/>
        <v>0</v>
      </c>
      <c r="BE57" s="755">
        <f t="shared" si="8"/>
        <v>0</v>
      </c>
      <c r="BF57" s="755">
        <f t="shared" si="25"/>
        <v>0</v>
      </c>
      <c r="BG57" s="466">
        <f t="shared" si="9"/>
        <v>0</v>
      </c>
      <c r="BH57" s="464">
        <f t="shared" si="10"/>
        <v>0</v>
      </c>
      <c r="BI57" s="755">
        <f t="shared" si="11"/>
        <v>0</v>
      </c>
      <c r="BJ57" s="755">
        <f t="shared" si="26"/>
        <v>0</v>
      </c>
      <c r="BK57" s="333">
        <f>IF(OR($C57&lt;&gt;"Early Retirement",$H57=""),0,IF(AND($G57&lt;&gt;"Air Cooled Chiller",$G57&lt;&gt;"Water Cooled Chiller"),VLOOKUP($H57,'Early Retirement'!$CI$6:$CL$33,2,FALSE),IF($J57&lt;&gt;"Centrifugal",VLOOKUP($H57,'Early Retirement'!$CI$6:$CL$33,3,FALSE),IF($J57="Centrifugal",VLOOKUP($H57,'Early Retirement'!$CI$6:$CL$33,4,FALSE),""))))</f>
        <v>0</v>
      </c>
      <c r="BL57" s="450">
        <f t="shared" si="12"/>
        <v>0</v>
      </c>
      <c r="BM57" s="553">
        <f>IFERROR('Utility Admin'!$I$4*((1+'Utility Admin'!$G$4)/('Utility Admin'!$H$4-'Utility Admin'!$G$4))*(1-((1+'Utility Admin'!$G$4)/(1+'Utility Admin'!$H$4))^$BK57)*$BG57,0)</f>
        <v>0</v>
      </c>
      <c r="BN57" s="553">
        <f>IFERROR('Utility Admin'!$I$4*((1+'Utility Admin'!$G$4)/('Utility Admin'!$H$4-'Utility Admin'!$G$4))*(1-((1+'Utility Admin'!$G$4)/(1+'Utility Admin'!$H$4))^$BL57)*((1+'Utility Admin'!$G$4)^$BK57/(1+'Utility Admin'!$H$4)^$BK57)*$BC57,0)</f>
        <v>0</v>
      </c>
      <c r="BO57" s="553">
        <f t="shared" si="27"/>
        <v>0</v>
      </c>
      <c r="BP57" s="553">
        <f>IFERROR('Utility Admin'!$J$4*((1+'Utility Admin'!$G$4)/('Utility Admin'!$H$4-'Utility Admin'!$G$4))*(1-((1+'Utility Admin'!$G$4)/(1+'Utility Admin'!$H$4))^$BK57)*$BJ57,0)</f>
        <v>0</v>
      </c>
      <c r="BQ57" s="553">
        <f>IFERROR('Utility Admin'!$J$4*((1+'Utility Admin'!$G$4)/('Utility Admin'!$H$4-'Utility Admin'!$G$4))*(1-((1+'Utility Admin'!$G$4)/(1+'Utility Admin'!$H$4))^$BL57)*((1+'Utility Admin'!$G$4)^$BK57/(1+'Utility Admin'!$H$4)^$BK57)*$BF57,0)</f>
        <v>0</v>
      </c>
      <c r="BR57" s="553">
        <f t="shared" si="28"/>
        <v>0</v>
      </c>
      <c r="BS57" s="553">
        <f>IFERROR('Utility Admin'!$I$4*((1+'Utility Admin'!$G$4)/('Utility Admin'!$H$4-'Utility Admin'!$G$4))*(1-((1+'Utility Admin'!$G$4)/(1+'Utility Admin'!$H$4))^$AT57),0)</f>
        <v>0</v>
      </c>
      <c r="BT57" s="553">
        <f>IFERROR('Utility Admin'!$J$4*((1+'Utility Admin'!$G$4)/('Utility Admin'!$H$4-'Utility Admin'!$G$4))*(1-((1+'Utility Admin'!$G$4)/(1+'Utility Admin'!$H$4))^$AT57),0)</f>
        <v>0</v>
      </c>
      <c r="BU57" s="459">
        <f t="shared" si="29"/>
        <v>0</v>
      </c>
      <c r="BV57" s="462">
        <f t="shared" si="30"/>
        <v>0</v>
      </c>
      <c r="BW57" s="219" t="str">
        <f t="shared" si="13"/>
        <v/>
      </c>
      <c r="BX57" s="250" t="str">
        <f t="shared" si="31"/>
        <v/>
      </c>
      <c r="BY57" s="250" t="str">
        <f t="shared" si="14"/>
        <v/>
      </c>
      <c r="BZ57" s="184">
        <f t="shared" si="32"/>
        <v>0</v>
      </c>
      <c r="CA57" s="693">
        <f t="shared" si="33"/>
        <v>0</v>
      </c>
      <c r="CB57" s="836">
        <f t="shared" si="34"/>
        <v>0</v>
      </c>
      <c r="CC57" s="693">
        <f>IF(AND($C57="Early Retirement",$H57&lt;&gt;"",$R57&lt;&gt;"",$T57&lt;&gt;""),$BZ57,Baselines!$CJ50)</f>
        <v>0</v>
      </c>
      <c r="CD57" s="693">
        <f>IF(AND($C57="Early Retirement",$H57&lt;&gt;"",$R57&lt;&gt;"",$T57&lt;&gt;""),$CA57,Baselines!$CK50)</f>
        <v>0</v>
      </c>
      <c r="CE57" s="182" t="str">
        <f>Baselines!$CL50</f>
        <v>kW/ton</v>
      </c>
      <c r="CF57" s="850" t="str">
        <f t="shared" si="15"/>
        <v/>
      </c>
      <c r="CG57" s="833">
        <f>IF(AND($C57="Early Retirement",$H57&lt;&gt;"",$R57&lt;&gt;"",$T57&lt;&gt;""),$CB57,IF(AND(Baselines!$CM50=0,OR($CL57="DX HP",$CL57="PTHP")),$BB57,Baselines!$CM50))</f>
        <v>0</v>
      </c>
      <c r="CH57" s="830" t="s">
        <v>567</v>
      </c>
      <c r="CI57" s="185" t="str">
        <f>IF(OR($C57="Replace-on-Burnout",$C57="New Construction"),$CT57,IF($BW57="","",VLOOKUP($D57,'Factor Tables'!$B$165:$H$192,MATCH($BW57,'Factor Tables'!$B$164:$H$164,0),FALSE)))</f>
        <v/>
      </c>
      <c r="CJ57" s="842" t="str">
        <f>IF(OR($C57="Replace-on-Burnout",$C57="New Construction"),$CU57,IF($BW57="","",IF($BW57="DX HP",VLOOKUP($D57,'Factor Tables'!$I$165:$Q$192,MATCH("DX HP Clg",'Factor Tables'!$I$164:$Q$164,0),FALSE),IF($BW57="PTHP",VLOOKUP($D57,'Factor Tables'!$I$165:$Q$192,MATCH("PTHP Clg",'Factor Tables'!$I$164:$Q$164,0),FALSE),IF(AND($BW57&lt;&gt;"DX HP",$BW57&lt;&gt;"PTHP"),VLOOKUP($D57,'Factor Tables'!$I$165:$Q$192,MATCH($BW57,'Factor Tables'!$I$164:$Q$164,0),FALSE),"")))))</f>
        <v/>
      </c>
      <c r="CK57" s="186" t="str">
        <f>IF(OR($C57="Replace-on-Burnout",$C57="New Construction",$CL57="DX HP",$CL57="PTHP"),$CV57,IF($BW57="","",IF($BW57="DX HP",VLOOKUP($D57,'Factor Tables'!$I$165:$Q$192,MATCH("DX HP Htg",'Factor Tables'!$I$164:$Q$164,0),FALSE),IF($BW57="PTHP",VLOOKUP($D57,'Factor Tables'!$I$165:$Q$192,MATCH("PTHP Htg",'Factor Tables'!$I$164:$Q$164,0),FALSE),0))))</f>
        <v/>
      </c>
      <c r="CL57" s="187" t="str">
        <f t="shared" si="16"/>
        <v/>
      </c>
      <c r="CM57" s="251" t="str">
        <f t="shared" si="17"/>
        <v/>
      </c>
      <c r="CN57" s="184">
        <f t="shared" si="35"/>
        <v>0</v>
      </c>
      <c r="CO57" s="693">
        <f t="shared" si="36"/>
        <v>0</v>
      </c>
      <c r="CP57" s="182" t="s">
        <v>46</v>
      </c>
      <c r="CQ57" s="852" t="str">
        <f t="shared" si="37"/>
        <v/>
      </c>
      <c r="CR57" s="833">
        <f t="shared" si="38"/>
        <v>0</v>
      </c>
      <c r="CS57" s="830" t="s">
        <v>567</v>
      </c>
      <c r="CT57" s="185" t="str">
        <f>IF($CL57="","",VLOOKUP($D57,'Factor Tables'!$B$165:$H$192,MATCH($CL57,'Factor Tables'!$B$164:$H$164,0),FALSE))</f>
        <v/>
      </c>
      <c r="CU57" s="842" t="str">
        <f>IF($CL57="","",IF(AND($CL57&lt;&gt;"DX HP",$CL57&lt;&gt;"PTHP"),VLOOKUP($D57,'Factor Tables'!$I$165:$Q$192,MATCH($CL57,'Factor Tables'!$I$164:$Q$164,0),FALSE),IF($CL57="DX HP",VLOOKUP($D57,'Factor Tables'!$I$165:$Q$192,MATCH("DX HP Clg",'Factor Tables'!$I$164:$Q$164,0),FALSE),IF($CL57="PTHP",VLOOKUP($D57,'Factor Tables'!$I$165:$Q$192,MATCH("PTHP Clg",'Factor Tables'!$I$164:$Q$164,0),FALSE),""))))</f>
        <v/>
      </c>
      <c r="CV57" s="186" t="str">
        <f>IF($CL57="","",IF(AND($CL57&lt;&gt;"DX HP",$CL57&lt;&gt;"PTHP"),0,IF($CL57="DX HP",VLOOKUP($D57,'Factor Tables'!$I$165:$Q$192,MATCH("DX HP Htg",'Factor Tables'!$I$164:$Q$164,0),FALSE),IF($CL57="PTHP",VLOOKUP($D57,'Factor Tables'!$I$165:$Q$192,MATCH("PTHP Htg",'Factor Tables'!$I$164:$Q$164,0),FALSE),""))))</f>
        <v/>
      </c>
      <c r="DD57" s="77" t="s">
        <v>43</v>
      </c>
      <c r="DE57" s="6"/>
      <c r="DF57" s="7"/>
      <c r="DG57" s="7"/>
      <c r="DH57" s="7"/>
      <c r="DI57" s="5"/>
      <c r="DJ57" s="5"/>
      <c r="DK57" s="5"/>
      <c r="DL57" s="5"/>
      <c r="DM57" s="493" t="s">
        <v>478</v>
      </c>
    </row>
    <row r="58" spans="2:117" s="427" customFormat="1" ht="21.95" customHeight="1" x14ac:dyDescent="0.25">
      <c r="B58" s="431">
        <v>49</v>
      </c>
      <c r="C58" s="501" t="str">
        <f t="shared" si="18"/>
        <v/>
      </c>
      <c r="D58" s="502" t="str">
        <f t="shared" si="19"/>
        <v/>
      </c>
      <c r="E58" s="546"/>
      <c r="F58" s="547"/>
      <c r="G58" s="729"/>
      <c r="H58" s="729"/>
      <c r="I58" s="729"/>
      <c r="J58" s="729"/>
      <c r="K58" s="729"/>
      <c r="L58" s="729"/>
      <c r="M58" s="765"/>
      <c r="N58" s="758"/>
      <c r="O58" s="765"/>
      <c r="P58" s="758"/>
      <c r="Q58" s="1143"/>
      <c r="R58" s="1134"/>
      <c r="S58" s="775"/>
      <c r="T58" s="729"/>
      <c r="U58" s="775"/>
      <c r="V58" s="779"/>
      <c r="W58" s="557"/>
      <c r="X58" s="788"/>
      <c r="Y58" s="543"/>
      <c r="Z58" s="281"/>
      <c r="AA58" s="281"/>
      <c r="AB58" s="281"/>
      <c r="AC58" s="281"/>
      <c r="AD58" s="492"/>
      <c r="AE58" s="527">
        <f t="shared" si="39"/>
        <v>0</v>
      </c>
      <c r="AF58" s="527">
        <f t="shared" si="40"/>
        <v>0</v>
      </c>
      <c r="AG58" s="527">
        <f t="shared" si="0"/>
        <v>0</v>
      </c>
      <c r="AH58" s="527">
        <f t="shared" si="1"/>
        <v>0</v>
      </c>
      <c r="AI58" s="527">
        <f t="shared" si="2"/>
        <v>0</v>
      </c>
      <c r="AJ58" s="527">
        <f t="shared" si="3"/>
        <v>999999999</v>
      </c>
      <c r="AK58" s="471"/>
      <c r="AL58" s="765"/>
      <c r="AM58" s="758"/>
      <c r="AN58" s="281"/>
      <c r="AO58" s="775"/>
      <c r="AP58" s="775"/>
      <c r="AQ58" s="281"/>
      <c r="AR58" s="528"/>
      <c r="AS58" s="532"/>
      <c r="AT58" s="524" t="str">
        <f t="shared" si="4"/>
        <v/>
      </c>
      <c r="AU58" s="311">
        <f t="shared" si="5"/>
        <v>0</v>
      </c>
      <c r="AV58" s="288">
        <f t="shared" si="22"/>
        <v>0</v>
      </c>
      <c r="AW58" s="290">
        <f>IF(ISERROR($AU58*'Utility Admin'!$E$4+$AV58*'Utility Admin'!$F$4),0,$AU58*'Utility Admin'!$E$4+$AV58*'Utility Admin'!$F$4)</f>
        <v>0</v>
      </c>
      <c r="AX58" s="323" t="str">
        <f t="shared" si="6"/>
        <v/>
      </c>
      <c r="AY58" s="322" t="str">
        <f t="shared" si="23"/>
        <v/>
      </c>
      <c r="AZ58" s="319">
        <f>Baselines!$CJ302</f>
        <v>0</v>
      </c>
      <c r="BA58" s="735">
        <f>Baselines!$CK302</f>
        <v>0</v>
      </c>
      <c r="BB58" s="839">
        <f>Baselines!$CM302</f>
        <v>0</v>
      </c>
      <c r="BC58" s="466">
        <f t="shared" si="7"/>
        <v>0</v>
      </c>
      <c r="BD58" s="464">
        <f t="shared" si="24"/>
        <v>0</v>
      </c>
      <c r="BE58" s="755">
        <f t="shared" si="8"/>
        <v>0</v>
      </c>
      <c r="BF58" s="755">
        <f t="shared" si="25"/>
        <v>0</v>
      </c>
      <c r="BG58" s="466">
        <f t="shared" si="9"/>
        <v>0</v>
      </c>
      <c r="BH58" s="464">
        <f t="shared" si="10"/>
        <v>0</v>
      </c>
      <c r="BI58" s="755">
        <f t="shared" si="11"/>
        <v>0</v>
      </c>
      <c r="BJ58" s="755">
        <f t="shared" si="26"/>
        <v>0</v>
      </c>
      <c r="BK58" s="333">
        <f>IF(OR($C58&lt;&gt;"Early Retirement",$H58=""),0,IF(AND($G58&lt;&gt;"Air Cooled Chiller",$G58&lt;&gt;"Water Cooled Chiller"),VLOOKUP($H58,'Early Retirement'!$CI$6:$CL$33,2,FALSE),IF($J58&lt;&gt;"Centrifugal",VLOOKUP($H58,'Early Retirement'!$CI$6:$CL$33,3,FALSE),IF($J58="Centrifugal",VLOOKUP($H58,'Early Retirement'!$CI$6:$CL$33,4,FALSE),""))))</f>
        <v>0</v>
      </c>
      <c r="BL58" s="450">
        <f t="shared" si="12"/>
        <v>0</v>
      </c>
      <c r="BM58" s="553">
        <f>IFERROR('Utility Admin'!$I$4*((1+'Utility Admin'!$G$4)/('Utility Admin'!$H$4-'Utility Admin'!$G$4))*(1-((1+'Utility Admin'!$G$4)/(1+'Utility Admin'!$H$4))^$BK58)*$BG58,0)</f>
        <v>0</v>
      </c>
      <c r="BN58" s="553">
        <f>IFERROR('Utility Admin'!$I$4*((1+'Utility Admin'!$G$4)/('Utility Admin'!$H$4-'Utility Admin'!$G$4))*(1-((1+'Utility Admin'!$G$4)/(1+'Utility Admin'!$H$4))^$BL58)*((1+'Utility Admin'!$G$4)^$BK58/(1+'Utility Admin'!$H$4)^$BK58)*$BC58,0)</f>
        <v>0</v>
      </c>
      <c r="BO58" s="553">
        <f t="shared" si="27"/>
        <v>0</v>
      </c>
      <c r="BP58" s="553">
        <f>IFERROR('Utility Admin'!$J$4*((1+'Utility Admin'!$G$4)/('Utility Admin'!$H$4-'Utility Admin'!$G$4))*(1-((1+'Utility Admin'!$G$4)/(1+'Utility Admin'!$H$4))^$BK58)*$BJ58,0)</f>
        <v>0</v>
      </c>
      <c r="BQ58" s="553">
        <f>IFERROR('Utility Admin'!$J$4*((1+'Utility Admin'!$G$4)/('Utility Admin'!$H$4-'Utility Admin'!$G$4))*(1-((1+'Utility Admin'!$G$4)/(1+'Utility Admin'!$H$4))^$BL58)*((1+'Utility Admin'!$G$4)^$BK58/(1+'Utility Admin'!$H$4)^$BK58)*$BF58,0)</f>
        <v>0</v>
      </c>
      <c r="BR58" s="553">
        <f t="shared" si="28"/>
        <v>0</v>
      </c>
      <c r="BS58" s="553">
        <f>IFERROR('Utility Admin'!$I$4*((1+'Utility Admin'!$G$4)/('Utility Admin'!$H$4-'Utility Admin'!$G$4))*(1-((1+'Utility Admin'!$G$4)/(1+'Utility Admin'!$H$4))^$AT58),0)</f>
        <v>0</v>
      </c>
      <c r="BT58" s="553">
        <f>IFERROR('Utility Admin'!$J$4*((1+'Utility Admin'!$G$4)/('Utility Admin'!$H$4-'Utility Admin'!$G$4))*(1-((1+'Utility Admin'!$G$4)/(1+'Utility Admin'!$H$4))^$AT58),0)</f>
        <v>0</v>
      </c>
      <c r="BU58" s="459">
        <f t="shared" si="29"/>
        <v>0</v>
      </c>
      <c r="BV58" s="462">
        <f t="shared" si="30"/>
        <v>0</v>
      </c>
      <c r="BW58" s="219" t="str">
        <f t="shared" si="13"/>
        <v/>
      </c>
      <c r="BX58" s="250" t="str">
        <f t="shared" si="31"/>
        <v/>
      </c>
      <c r="BY58" s="250" t="str">
        <f t="shared" si="14"/>
        <v/>
      </c>
      <c r="BZ58" s="184">
        <f t="shared" si="32"/>
        <v>0</v>
      </c>
      <c r="CA58" s="693">
        <f t="shared" si="33"/>
        <v>0</v>
      </c>
      <c r="CB58" s="836">
        <f t="shared" si="34"/>
        <v>0</v>
      </c>
      <c r="CC58" s="693">
        <f>IF(AND($C58="Early Retirement",$H58&lt;&gt;"",$R58&lt;&gt;"",$T58&lt;&gt;""),$BZ58,Baselines!$CJ51)</f>
        <v>0</v>
      </c>
      <c r="CD58" s="693">
        <f>IF(AND($C58="Early Retirement",$H58&lt;&gt;"",$R58&lt;&gt;"",$T58&lt;&gt;""),$CA58,Baselines!$CK51)</f>
        <v>0</v>
      </c>
      <c r="CE58" s="182" t="str">
        <f>Baselines!$CL51</f>
        <v>kW/ton</v>
      </c>
      <c r="CF58" s="850" t="str">
        <f t="shared" si="15"/>
        <v/>
      </c>
      <c r="CG58" s="833">
        <f>IF(AND($C58="Early Retirement",$H58&lt;&gt;"",$R58&lt;&gt;"",$T58&lt;&gt;""),$CB58,IF(AND(Baselines!$CM51=0,OR($CL58="DX HP",$CL58="PTHP")),$BB58,Baselines!$CM51))</f>
        <v>0</v>
      </c>
      <c r="CH58" s="830" t="s">
        <v>567</v>
      </c>
      <c r="CI58" s="185" t="str">
        <f>IF(OR($C58="Replace-on-Burnout",$C58="New Construction"),$CT58,IF($BW58="","",VLOOKUP($D58,'Factor Tables'!$B$165:$H$192,MATCH($BW58,'Factor Tables'!$B$164:$H$164,0),FALSE)))</f>
        <v/>
      </c>
      <c r="CJ58" s="842" t="str">
        <f>IF(OR($C58="Replace-on-Burnout",$C58="New Construction"),$CU58,IF($BW58="","",IF($BW58="DX HP",VLOOKUP($D58,'Factor Tables'!$I$165:$Q$192,MATCH("DX HP Clg",'Factor Tables'!$I$164:$Q$164,0),FALSE),IF($BW58="PTHP",VLOOKUP($D58,'Factor Tables'!$I$165:$Q$192,MATCH("PTHP Clg",'Factor Tables'!$I$164:$Q$164,0),FALSE),IF(AND($BW58&lt;&gt;"DX HP",$BW58&lt;&gt;"PTHP"),VLOOKUP($D58,'Factor Tables'!$I$165:$Q$192,MATCH($BW58,'Factor Tables'!$I$164:$Q$164,0),FALSE),"")))))</f>
        <v/>
      </c>
      <c r="CK58" s="186" t="str">
        <f>IF(OR($C58="Replace-on-Burnout",$C58="New Construction",$CL58="DX HP",$CL58="PTHP"),$CV58,IF($BW58="","",IF($BW58="DX HP",VLOOKUP($D58,'Factor Tables'!$I$165:$Q$192,MATCH("DX HP Htg",'Factor Tables'!$I$164:$Q$164,0),FALSE),IF($BW58="PTHP",VLOOKUP($D58,'Factor Tables'!$I$165:$Q$192,MATCH("PTHP Htg",'Factor Tables'!$I$164:$Q$164,0),FALSE),0))))</f>
        <v/>
      </c>
      <c r="CL58" s="187" t="str">
        <f t="shared" si="16"/>
        <v/>
      </c>
      <c r="CM58" s="251" t="str">
        <f t="shared" si="17"/>
        <v/>
      </c>
      <c r="CN58" s="184">
        <f t="shared" si="35"/>
        <v>0</v>
      </c>
      <c r="CO58" s="693">
        <f t="shared" si="36"/>
        <v>0</v>
      </c>
      <c r="CP58" s="182" t="s">
        <v>46</v>
      </c>
      <c r="CQ58" s="852" t="str">
        <f t="shared" si="37"/>
        <v/>
      </c>
      <c r="CR58" s="833">
        <f t="shared" si="38"/>
        <v>0</v>
      </c>
      <c r="CS58" s="830" t="s">
        <v>567</v>
      </c>
      <c r="CT58" s="185" t="str">
        <f>IF($CL58="","",VLOOKUP($D58,'Factor Tables'!$B$165:$H$192,MATCH($CL58,'Factor Tables'!$B$164:$H$164,0),FALSE))</f>
        <v/>
      </c>
      <c r="CU58" s="842" t="str">
        <f>IF($CL58="","",IF(AND($CL58&lt;&gt;"DX HP",$CL58&lt;&gt;"PTHP"),VLOOKUP($D58,'Factor Tables'!$I$165:$Q$192,MATCH($CL58,'Factor Tables'!$I$164:$Q$164,0),FALSE),IF($CL58="DX HP",VLOOKUP($D58,'Factor Tables'!$I$165:$Q$192,MATCH("DX HP Clg",'Factor Tables'!$I$164:$Q$164,0),FALSE),IF($CL58="PTHP",VLOOKUP($D58,'Factor Tables'!$I$165:$Q$192,MATCH("PTHP Clg",'Factor Tables'!$I$164:$Q$164,0),FALSE),""))))</f>
        <v/>
      </c>
      <c r="CV58" s="186" t="str">
        <f>IF($CL58="","",IF(AND($CL58&lt;&gt;"DX HP",$CL58&lt;&gt;"PTHP"),0,IF($CL58="DX HP",VLOOKUP($D58,'Factor Tables'!$I$165:$Q$192,MATCH("DX HP Htg",'Factor Tables'!$I$164:$Q$164,0),FALSE),IF($CL58="PTHP",VLOOKUP($D58,'Factor Tables'!$I$165:$Q$192,MATCH("PTHP Htg",'Factor Tables'!$I$164:$Q$164,0),FALSE),""))))</f>
        <v/>
      </c>
      <c r="DD58" s="194" t="s">
        <v>53</v>
      </c>
      <c r="DE58" s="6"/>
      <c r="DF58" s="7"/>
      <c r="DG58" s="7"/>
      <c r="DH58" s="7"/>
      <c r="DI58" s="5"/>
      <c r="DJ58" s="5"/>
      <c r="DK58" s="5"/>
      <c r="DL58" s="5"/>
      <c r="DM58" s="493" t="s">
        <v>478</v>
      </c>
    </row>
    <row r="59" spans="2:117" s="427" customFormat="1" ht="21.95" customHeight="1" x14ac:dyDescent="0.25">
      <c r="B59" s="432">
        <v>50</v>
      </c>
      <c r="C59" s="499" t="str">
        <f t="shared" si="18"/>
        <v/>
      </c>
      <c r="D59" s="403" t="str">
        <f t="shared" si="19"/>
        <v/>
      </c>
      <c r="E59" s="541"/>
      <c r="F59" s="785"/>
      <c r="G59" s="728"/>
      <c r="H59" s="728"/>
      <c r="I59" s="728"/>
      <c r="J59" s="728"/>
      <c r="K59" s="728"/>
      <c r="L59" s="728"/>
      <c r="M59" s="764"/>
      <c r="N59" s="728"/>
      <c r="O59" s="764"/>
      <c r="P59" s="728"/>
      <c r="Q59" s="1142"/>
      <c r="R59" s="1133"/>
      <c r="S59" s="778"/>
      <c r="T59" s="767"/>
      <c r="U59" s="778"/>
      <c r="V59" s="751"/>
      <c r="W59" s="556"/>
      <c r="X59" s="785"/>
      <c r="Y59" s="542"/>
      <c r="Z59" s="500"/>
      <c r="AA59" s="500"/>
      <c r="AB59" s="500"/>
      <c r="AC59" s="500"/>
      <c r="AD59" s="529"/>
      <c r="AE59" s="527">
        <f t="shared" si="39"/>
        <v>0</v>
      </c>
      <c r="AF59" s="527">
        <f t="shared" si="40"/>
        <v>0</v>
      </c>
      <c r="AG59" s="527">
        <f t="shared" si="0"/>
        <v>0</v>
      </c>
      <c r="AH59" s="527">
        <f t="shared" si="1"/>
        <v>0</v>
      </c>
      <c r="AI59" s="527">
        <f t="shared" si="2"/>
        <v>0</v>
      </c>
      <c r="AJ59" s="527">
        <f t="shared" si="3"/>
        <v>999999999</v>
      </c>
      <c r="AK59" s="530"/>
      <c r="AL59" s="776"/>
      <c r="AM59" s="777"/>
      <c r="AN59" s="500"/>
      <c r="AO59" s="778"/>
      <c r="AP59" s="778"/>
      <c r="AQ59" s="500"/>
      <c r="AR59" s="531"/>
      <c r="AS59" s="403"/>
      <c r="AT59" s="524" t="str">
        <f t="shared" si="4"/>
        <v/>
      </c>
      <c r="AU59" s="311">
        <f t="shared" si="5"/>
        <v>0</v>
      </c>
      <c r="AV59" s="288">
        <f t="shared" si="22"/>
        <v>0</v>
      </c>
      <c r="AW59" s="290">
        <f>IF(ISERROR($AU59*'Utility Admin'!$E$4+$AV59*'Utility Admin'!$F$4),0,$AU59*'Utility Admin'!$E$4+$AV59*'Utility Admin'!$F$4)</f>
        <v>0</v>
      </c>
      <c r="AX59" s="323" t="str">
        <f t="shared" si="6"/>
        <v/>
      </c>
      <c r="AY59" s="322" t="str">
        <f t="shared" si="23"/>
        <v/>
      </c>
      <c r="AZ59" s="319">
        <f>Baselines!$CJ303</f>
        <v>0</v>
      </c>
      <c r="BA59" s="735">
        <f>Baselines!$CK303</f>
        <v>0</v>
      </c>
      <c r="BB59" s="839">
        <f>Baselines!$CM303</f>
        <v>0</v>
      </c>
      <c r="BC59" s="466">
        <f t="shared" si="7"/>
        <v>0</v>
      </c>
      <c r="BD59" s="464">
        <f t="shared" si="24"/>
        <v>0</v>
      </c>
      <c r="BE59" s="755">
        <f t="shared" si="8"/>
        <v>0</v>
      </c>
      <c r="BF59" s="755">
        <f t="shared" si="25"/>
        <v>0</v>
      </c>
      <c r="BG59" s="466">
        <f t="shared" si="9"/>
        <v>0</v>
      </c>
      <c r="BH59" s="464">
        <f t="shared" si="10"/>
        <v>0</v>
      </c>
      <c r="BI59" s="755">
        <f t="shared" si="11"/>
        <v>0</v>
      </c>
      <c r="BJ59" s="755">
        <f t="shared" si="26"/>
        <v>0</v>
      </c>
      <c r="BK59" s="333">
        <f>IF(OR($C59&lt;&gt;"Early Retirement",$H59=""),0,IF(AND($G59&lt;&gt;"Air Cooled Chiller",$G59&lt;&gt;"Water Cooled Chiller"),VLOOKUP($H59,'Early Retirement'!$CI$6:$CL$33,2,FALSE),IF($J59&lt;&gt;"Centrifugal",VLOOKUP($H59,'Early Retirement'!$CI$6:$CL$33,3,FALSE),IF($J59="Centrifugal",VLOOKUP($H59,'Early Retirement'!$CI$6:$CL$33,4,FALSE),""))))</f>
        <v>0</v>
      </c>
      <c r="BL59" s="450">
        <f t="shared" si="12"/>
        <v>0</v>
      </c>
      <c r="BM59" s="553">
        <f>IFERROR('Utility Admin'!$I$4*((1+'Utility Admin'!$G$4)/('Utility Admin'!$H$4-'Utility Admin'!$G$4))*(1-((1+'Utility Admin'!$G$4)/(1+'Utility Admin'!$H$4))^$BK59)*$BG59,0)</f>
        <v>0</v>
      </c>
      <c r="BN59" s="553">
        <f>IFERROR('Utility Admin'!$I$4*((1+'Utility Admin'!$G$4)/('Utility Admin'!$H$4-'Utility Admin'!$G$4))*(1-((1+'Utility Admin'!$G$4)/(1+'Utility Admin'!$H$4))^$BL59)*((1+'Utility Admin'!$G$4)^$BK59/(1+'Utility Admin'!$H$4)^$BK59)*$BC59,0)</f>
        <v>0</v>
      </c>
      <c r="BO59" s="553">
        <f t="shared" si="27"/>
        <v>0</v>
      </c>
      <c r="BP59" s="553">
        <f>IFERROR('Utility Admin'!$J$4*((1+'Utility Admin'!$G$4)/('Utility Admin'!$H$4-'Utility Admin'!$G$4))*(1-((1+'Utility Admin'!$G$4)/(1+'Utility Admin'!$H$4))^$BK59)*$BJ59,0)</f>
        <v>0</v>
      </c>
      <c r="BQ59" s="553">
        <f>IFERROR('Utility Admin'!$J$4*((1+'Utility Admin'!$G$4)/('Utility Admin'!$H$4-'Utility Admin'!$G$4))*(1-((1+'Utility Admin'!$G$4)/(1+'Utility Admin'!$H$4))^$BL59)*((1+'Utility Admin'!$G$4)^$BK59/(1+'Utility Admin'!$H$4)^$BK59)*$BF59,0)</f>
        <v>0</v>
      </c>
      <c r="BR59" s="553">
        <f t="shared" si="28"/>
        <v>0</v>
      </c>
      <c r="BS59" s="553">
        <f>IFERROR('Utility Admin'!$I$4*((1+'Utility Admin'!$G$4)/('Utility Admin'!$H$4-'Utility Admin'!$G$4))*(1-((1+'Utility Admin'!$G$4)/(1+'Utility Admin'!$H$4))^$AT59),0)</f>
        <v>0</v>
      </c>
      <c r="BT59" s="553">
        <f>IFERROR('Utility Admin'!$J$4*((1+'Utility Admin'!$G$4)/('Utility Admin'!$H$4-'Utility Admin'!$G$4))*(1-((1+'Utility Admin'!$G$4)/(1+'Utility Admin'!$H$4))^$AT59),0)</f>
        <v>0</v>
      </c>
      <c r="BU59" s="459">
        <f t="shared" si="29"/>
        <v>0</v>
      </c>
      <c r="BV59" s="462">
        <f t="shared" si="30"/>
        <v>0</v>
      </c>
      <c r="BW59" s="219" t="str">
        <f t="shared" si="13"/>
        <v/>
      </c>
      <c r="BX59" s="250" t="str">
        <f t="shared" si="31"/>
        <v/>
      </c>
      <c r="BY59" s="250" t="str">
        <f t="shared" si="14"/>
        <v/>
      </c>
      <c r="BZ59" s="184">
        <f t="shared" si="32"/>
        <v>0</v>
      </c>
      <c r="CA59" s="693">
        <f t="shared" si="33"/>
        <v>0</v>
      </c>
      <c r="CB59" s="836">
        <f t="shared" si="34"/>
        <v>0</v>
      </c>
      <c r="CC59" s="693">
        <f>IF(AND($C59="Early Retirement",$H59&lt;&gt;"",$R59&lt;&gt;"",$T59&lt;&gt;""),$BZ59,Baselines!$CJ52)</f>
        <v>0</v>
      </c>
      <c r="CD59" s="693">
        <f>IF(AND($C59="Early Retirement",$H59&lt;&gt;"",$R59&lt;&gt;"",$T59&lt;&gt;""),$CA59,Baselines!$CK52)</f>
        <v>0</v>
      </c>
      <c r="CE59" s="182" t="str">
        <f>Baselines!$CL52</f>
        <v>kW/ton</v>
      </c>
      <c r="CF59" s="850" t="str">
        <f t="shared" si="15"/>
        <v/>
      </c>
      <c r="CG59" s="833">
        <f>IF(AND($C59="Early Retirement",$H59&lt;&gt;"",$R59&lt;&gt;"",$T59&lt;&gt;""),$CB59,IF(AND(Baselines!$CM52=0,OR($CL59="DX HP",$CL59="PTHP")),$BB59,Baselines!$CM52))</f>
        <v>0</v>
      </c>
      <c r="CH59" s="830" t="s">
        <v>567</v>
      </c>
      <c r="CI59" s="185" t="str">
        <f>IF(OR($C59="Replace-on-Burnout",$C59="New Construction"),$CT59,IF($BW59="","",VLOOKUP($D59,'Factor Tables'!$B$165:$H$192,MATCH($BW59,'Factor Tables'!$B$164:$H$164,0),FALSE)))</f>
        <v/>
      </c>
      <c r="CJ59" s="842" t="str">
        <f>IF(OR($C59="Replace-on-Burnout",$C59="New Construction"),$CU59,IF($BW59="","",IF($BW59="DX HP",VLOOKUP($D59,'Factor Tables'!$I$165:$Q$192,MATCH("DX HP Clg",'Factor Tables'!$I$164:$Q$164,0),FALSE),IF($BW59="PTHP",VLOOKUP($D59,'Factor Tables'!$I$165:$Q$192,MATCH("PTHP Clg",'Factor Tables'!$I$164:$Q$164,0),FALSE),IF(AND($BW59&lt;&gt;"DX HP",$BW59&lt;&gt;"PTHP"),VLOOKUP($D59,'Factor Tables'!$I$165:$Q$192,MATCH($BW59,'Factor Tables'!$I$164:$Q$164,0),FALSE),"")))))</f>
        <v/>
      </c>
      <c r="CK59" s="186" t="str">
        <f>IF(OR($C59="Replace-on-Burnout",$C59="New Construction",$CL59="DX HP",$CL59="PTHP"),$CV59,IF($BW59="","",IF($BW59="DX HP",VLOOKUP($D59,'Factor Tables'!$I$165:$Q$192,MATCH("DX HP Htg",'Factor Tables'!$I$164:$Q$164,0),FALSE),IF($BW59="PTHP",VLOOKUP($D59,'Factor Tables'!$I$165:$Q$192,MATCH("PTHP Htg",'Factor Tables'!$I$164:$Q$164,0),FALSE),0))))</f>
        <v/>
      </c>
      <c r="CL59" s="187" t="str">
        <f t="shared" si="16"/>
        <v/>
      </c>
      <c r="CM59" s="251" t="str">
        <f t="shared" si="17"/>
        <v/>
      </c>
      <c r="CN59" s="184">
        <f t="shared" si="35"/>
        <v>0</v>
      </c>
      <c r="CO59" s="693">
        <f t="shared" si="36"/>
        <v>0</v>
      </c>
      <c r="CP59" s="182" t="s">
        <v>46</v>
      </c>
      <c r="CQ59" s="852" t="str">
        <f t="shared" si="37"/>
        <v/>
      </c>
      <c r="CR59" s="833">
        <f t="shared" si="38"/>
        <v>0</v>
      </c>
      <c r="CS59" s="830" t="s">
        <v>567</v>
      </c>
      <c r="CT59" s="185" t="str">
        <f>IF($CL59="","",VLOOKUP($D59,'Factor Tables'!$B$165:$H$192,MATCH($CL59,'Factor Tables'!$B$164:$H$164,0),FALSE))</f>
        <v/>
      </c>
      <c r="CU59" s="842" t="str">
        <f>IF($CL59="","",IF(AND($CL59&lt;&gt;"DX HP",$CL59&lt;&gt;"PTHP"),VLOOKUP($D59,'Factor Tables'!$I$165:$Q$192,MATCH($CL59,'Factor Tables'!$I$164:$Q$164,0),FALSE),IF($CL59="DX HP",VLOOKUP($D59,'Factor Tables'!$I$165:$Q$192,MATCH("DX HP Clg",'Factor Tables'!$I$164:$Q$164,0),FALSE),IF($CL59="PTHP",VLOOKUP($D59,'Factor Tables'!$I$165:$Q$192,MATCH("PTHP Clg",'Factor Tables'!$I$164:$Q$164,0),FALSE),""))))</f>
        <v/>
      </c>
      <c r="CV59" s="186" t="str">
        <f>IF($CL59="","",IF(AND($CL59&lt;&gt;"DX HP",$CL59&lt;&gt;"PTHP"),0,IF($CL59="DX HP",VLOOKUP($D59,'Factor Tables'!$I$165:$Q$192,MATCH("DX HP Htg",'Factor Tables'!$I$164:$Q$164,0),FALSE),IF($CL59="PTHP",VLOOKUP($D59,'Factor Tables'!$I$165:$Q$192,MATCH("PTHP Htg",'Factor Tables'!$I$164:$Q$164,0),FALSE),""))))</f>
        <v/>
      </c>
      <c r="DD59" s="845"/>
      <c r="DE59" s="426"/>
      <c r="DI59" s="425"/>
      <c r="DJ59" s="425"/>
      <c r="DK59" s="425"/>
      <c r="DL59" s="425"/>
      <c r="DM59" s="493" t="s">
        <v>478</v>
      </c>
    </row>
    <row r="60" spans="2:117" s="427" customFormat="1" ht="21.95" customHeight="1" x14ac:dyDescent="0.25">
      <c r="B60" s="431">
        <v>51</v>
      </c>
      <c r="C60" s="501" t="str">
        <f t="shared" si="18"/>
        <v/>
      </c>
      <c r="D60" s="502" t="str">
        <f t="shared" si="19"/>
        <v/>
      </c>
      <c r="E60" s="546"/>
      <c r="F60" s="547"/>
      <c r="G60" s="729"/>
      <c r="H60" s="729"/>
      <c r="I60" s="729"/>
      <c r="J60" s="729"/>
      <c r="K60" s="729"/>
      <c r="L60" s="729"/>
      <c r="M60" s="765"/>
      <c r="N60" s="758"/>
      <c r="O60" s="765"/>
      <c r="P60" s="758"/>
      <c r="Q60" s="1143"/>
      <c r="R60" s="1134"/>
      <c r="S60" s="775"/>
      <c r="T60" s="729"/>
      <c r="U60" s="775"/>
      <c r="V60" s="779"/>
      <c r="W60" s="557"/>
      <c r="X60" s="788"/>
      <c r="Y60" s="543"/>
      <c r="Z60" s="281"/>
      <c r="AA60" s="281"/>
      <c r="AB60" s="281"/>
      <c r="AC60" s="281"/>
      <c r="AD60" s="492"/>
      <c r="AE60" s="527">
        <f t="shared" si="39"/>
        <v>0</v>
      </c>
      <c r="AF60" s="527">
        <f t="shared" si="40"/>
        <v>0</v>
      </c>
      <c r="AG60" s="527">
        <f t="shared" si="0"/>
        <v>0</v>
      </c>
      <c r="AH60" s="527">
        <f t="shared" si="1"/>
        <v>0</v>
      </c>
      <c r="AI60" s="527">
        <f t="shared" si="2"/>
        <v>0</v>
      </c>
      <c r="AJ60" s="527">
        <f t="shared" si="3"/>
        <v>999999999</v>
      </c>
      <c r="AK60" s="471"/>
      <c r="AL60" s="765"/>
      <c r="AM60" s="758"/>
      <c r="AN60" s="281"/>
      <c r="AO60" s="775"/>
      <c r="AP60" s="775"/>
      <c r="AQ60" s="281"/>
      <c r="AR60" s="528"/>
      <c r="AS60" s="532"/>
      <c r="AT60" s="524" t="str">
        <f t="shared" si="4"/>
        <v/>
      </c>
      <c r="AU60" s="311">
        <f t="shared" si="5"/>
        <v>0</v>
      </c>
      <c r="AV60" s="288">
        <f t="shared" si="22"/>
        <v>0</v>
      </c>
      <c r="AW60" s="290">
        <f>IF(ISERROR($AU60*'Utility Admin'!$E$4+$AV60*'Utility Admin'!$F$4),0,$AU60*'Utility Admin'!$E$4+$AV60*'Utility Admin'!$F$4)</f>
        <v>0</v>
      </c>
      <c r="AX60" s="323" t="str">
        <f t="shared" si="6"/>
        <v/>
      </c>
      <c r="AY60" s="322" t="str">
        <f t="shared" si="23"/>
        <v/>
      </c>
      <c r="AZ60" s="319">
        <f>Baselines!$CJ304</f>
        <v>0</v>
      </c>
      <c r="BA60" s="735">
        <f>Baselines!$CK304</f>
        <v>0</v>
      </c>
      <c r="BB60" s="839">
        <f>Baselines!$CM304</f>
        <v>0</v>
      </c>
      <c r="BC60" s="466">
        <f t="shared" si="7"/>
        <v>0</v>
      </c>
      <c r="BD60" s="464">
        <f t="shared" si="24"/>
        <v>0</v>
      </c>
      <c r="BE60" s="755">
        <f t="shared" si="8"/>
        <v>0</v>
      </c>
      <c r="BF60" s="755">
        <f t="shared" si="25"/>
        <v>0</v>
      </c>
      <c r="BG60" s="466">
        <f t="shared" si="9"/>
        <v>0</v>
      </c>
      <c r="BH60" s="464">
        <f t="shared" si="10"/>
        <v>0</v>
      </c>
      <c r="BI60" s="755">
        <f t="shared" si="11"/>
        <v>0</v>
      </c>
      <c r="BJ60" s="755">
        <f t="shared" si="26"/>
        <v>0</v>
      </c>
      <c r="BK60" s="333">
        <f>IF(OR($C60&lt;&gt;"Early Retirement",$H60=""),0,IF(AND($G60&lt;&gt;"Air Cooled Chiller",$G60&lt;&gt;"Water Cooled Chiller"),VLOOKUP($H60,'Early Retirement'!$CI$6:$CL$33,2,FALSE),IF($J60&lt;&gt;"Centrifugal",VLOOKUP($H60,'Early Retirement'!$CI$6:$CL$33,3,FALSE),IF($J60="Centrifugal",VLOOKUP($H60,'Early Retirement'!$CI$6:$CL$33,4,FALSE),""))))</f>
        <v>0</v>
      </c>
      <c r="BL60" s="450">
        <f t="shared" si="12"/>
        <v>0</v>
      </c>
      <c r="BM60" s="553">
        <f>IFERROR('Utility Admin'!$I$4*((1+'Utility Admin'!$G$4)/('Utility Admin'!$H$4-'Utility Admin'!$G$4))*(1-((1+'Utility Admin'!$G$4)/(1+'Utility Admin'!$H$4))^$BK60)*$BG60,0)</f>
        <v>0</v>
      </c>
      <c r="BN60" s="553">
        <f>IFERROR('Utility Admin'!$I$4*((1+'Utility Admin'!$G$4)/('Utility Admin'!$H$4-'Utility Admin'!$G$4))*(1-((1+'Utility Admin'!$G$4)/(1+'Utility Admin'!$H$4))^$BL60)*((1+'Utility Admin'!$G$4)^$BK60/(1+'Utility Admin'!$H$4)^$BK60)*$BC60,0)</f>
        <v>0</v>
      </c>
      <c r="BO60" s="553">
        <f t="shared" si="27"/>
        <v>0</v>
      </c>
      <c r="BP60" s="553">
        <f>IFERROR('Utility Admin'!$J$4*((1+'Utility Admin'!$G$4)/('Utility Admin'!$H$4-'Utility Admin'!$G$4))*(1-((1+'Utility Admin'!$G$4)/(1+'Utility Admin'!$H$4))^$BK60)*$BJ60,0)</f>
        <v>0</v>
      </c>
      <c r="BQ60" s="553">
        <f>IFERROR('Utility Admin'!$J$4*((1+'Utility Admin'!$G$4)/('Utility Admin'!$H$4-'Utility Admin'!$G$4))*(1-((1+'Utility Admin'!$G$4)/(1+'Utility Admin'!$H$4))^$BL60)*((1+'Utility Admin'!$G$4)^$BK60/(1+'Utility Admin'!$H$4)^$BK60)*$BF60,0)</f>
        <v>0</v>
      </c>
      <c r="BR60" s="553">
        <f t="shared" si="28"/>
        <v>0</v>
      </c>
      <c r="BS60" s="553">
        <f>IFERROR('Utility Admin'!$I$4*((1+'Utility Admin'!$G$4)/('Utility Admin'!$H$4-'Utility Admin'!$G$4))*(1-((1+'Utility Admin'!$G$4)/(1+'Utility Admin'!$H$4))^$AT60),0)</f>
        <v>0</v>
      </c>
      <c r="BT60" s="553">
        <f>IFERROR('Utility Admin'!$J$4*((1+'Utility Admin'!$G$4)/('Utility Admin'!$H$4-'Utility Admin'!$G$4))*(1-((1+'Utility Admin'!$G$4)/(1+'Utility Admin'!$H$4))^$AT60),0)</f>
        <v>0</v>
      </c>
      <c r="BU60" s="459">
        <f t="shared" si="29"/>
        <v>0</v>
      </c>
      <c r="BV60" s="462">
        <f t="shared" si="30"/>
        <v>0</v>
      </c>
      <c r="BW60" s="219" t="str">
        <f t="shared" si="13"/>
        <v/>
      </c>
      <c r="BX60" s="250" t="str">
        <f t="shared" si="31"/>
        <v/>
      </c>
      <c r="BY60" s="250" t="str">
        <f t="shared" si="14"/>
        <v/>
      </c>
      <c r="BZ60" s="184">
        <f t="shared" si="32"/>
        <v>0</v>
      </c>
      <c r="CA60" s="693">
        <f t="shared" si="33"/>
        <v>0</v>
      </c>
      <c r="CB60" s="836">
        <f t="shared" si="34"/>
        <v>0</v>
      </c>
      <c r="CC60" s="693">
        <f>IF(AND($C60="Early Retirement",$H60&lt;&gt;"",$R60&lt;&gt;"",$T60&lt;&gt;""),$BZ60,Baselines!$CJ53)</f>
        <v>0</v>
      </c>
      <c r="CD60" s="693">
        <f>IF(AND($C60="Early Retirement",$H60&lt;&gt;"",$R60&lt;&gt;"",$T60&lt;&gt;""),$CA60,Baselines!$CK53)</f>
        <v>0</v>
      </c>
      <c r="CE60" s="182" t="str">
        <f>Baselines!$CL53</f>
        <v>kW/ton</v>
      </c>
      <c r="CF60" s="850" t="str">
        <f t="shared" si="15"/>
        <v/>
      </c>
      <c r="CG60" s="833">
        <f>IF(AND($C60="Early Retirement",$H60&lt;&gt;"",$R60&lt;&gt;"",$T60&lt;&gt;""),$CB60,IF(AND(Baselines!$CM53=0,OR($CL60="DX HP",$CL60="PTHP")),$BB60,Baselines!$CM53))</f>
        <v>0</v>
      </c>
      <c r="CH60" s="830" t="s">
        <v>567</v>
      </c>
      <c r="CI60" s="185" t="str">
        <f>IF(OR($C60="Replace-on-Burnout",$C60="New Construction"),$CT60,IF($BW60="","",VLOOKUP($D60,'Factor Tables'!$B$165:$H$192,MATCH($BW60,'Factor Tables'!$B$164:$H$164,0),FALSE)))</f>
        <v/>
      </c>
      <c r="CJ60" s="842" t="str">
        <f>IF(OR($C60="Replace-on-Burnout",$C60="New Construction"),$CU60,IF($BW60="","",IF($BW60="DX HP",VLOOKUP($D60,'Factor Tables'!$I$165:$Q$192,MATCH("DX HP Clg",'Factor Tables'!$I$164:$Q$164,0),FALSE),IF($BW60="PTHP",VLOOKUP($D60,'Factor Tables'!$I$165:$Q$192,MATCH("PTHP Clg",'Factor Tables'!$I$164:$Q$164,0),FALSE),IF(AND($BW60&lt;&gt;"DX HP",$BW60&lt;&gt;"PTHP"),VLOOKUP($D60,'Factor Tables'!$I$165:$Q$192,MATCH($BW60,'Factor Tables'!$I$164:$Q$164,0),FALSE),"")))))</f>
        <v/>
      </c>
      <c r="CK60" s="186" t="str">
        <f>IF(OR($C60="Replace-on-Burnout",$C60="New Construction",$CL60="DX HP",$CL60="PTHP"),$CV60,IF($BW60="","",IF($BW60="DX HP",VLOOKUP($D60,'Factor Tables'!$I$165:$Q$192,MATCH("DX HP Htg",'Factor Tables'!$I$164:$Q$164,0),FALSE),IF($BW60="PTHP",VLOOKUP($D60,'Factor Tables'!$I$165:$Q$192,MATCH("PTHP Htg",'Factor Tables'!$I$164:$Q$164,0),FALSE),0))))</f>
        <v/>
      </c>
      <c r="CL60" s="187" t="str">
        <f t="shared" si="16"/>
        <v/>
      </c>
      <c r="CM60" s="251" t="str">
        <f t="shared" si="17"/>
        <v/>
      </c>
      <c r="CN60" s="184">
        <f t="shared" si="35"/>
        <v>0</v>
      </c>
      <c r="CO60" s="693">
        <f t="shared" si="36"/>
        <v>0</v>
      </c>
      <c r="CP60" s="182" t="s">
        <v>46</v>
      </c>
      <c r="CQ60" s="852" t="str">
        <f t="shared" si="37"/>
        <v/>
      </c>
      <c r="CR60" s="833">
        <f t="shared" si="38"/>
        <v>0</v>
      </c>
      <c r="CS60" s="830" t="s">
        <v>567</v>
      </c>
      <c r="CT60" s="185" t="str">
        <f>IF($CL60="","",VLOOKUP($D60,'Factor Tables'!$B$165:$H$192,MATCH($CL60,'Factor Tables'!$B$164:$H$164,0),FALSE))</f>
        <v/>
      </c>
      <c r="CU60" s="842" t="str">
        <f>IF($CL60="","",IF(AND($CL60&lt;&gt;"DX HP",$CL60&lt;&gt;"PTHP"),VLOOKUP($D60,'Factor Tables'!$I$165:$Q$192,MATCH($CL60,'Factor Tables'!$I$164:$Q$164,0),FALSE),IF($CL60="DX HP",VLOOKUP($D60,'Factor Tables'!$I$165:$Q$192,MATCH("DX HP Clg",'Factor Tables'!$I$164:$Q$164,0),FALSE),IF($CL60="PTHP",VLOOKUP($D60,'Factor Tables'!$I$165:$Q$192,MATCH("PTHP Clg",'Factor Tables'!$I$164:$Q$164,0),FALSE),""))))</f>
        <v/>
      </c>
      <c r="CV60" s="186" t="str">
        <f>IF($CL60="","",IF(AND($CL60&lt;&gt;"DX HP",$CL60&lt;&gt;"PTHP"),0,IF($CL60="DX HP",VLOOKUP($D60,'Factor Tables'!$I$165:$Q$192,MATCH("DX HP Htg",'Factor Tables'!$I$164:$Q$164,0),FALSE),IF($CL60="PTHP",VLOOKUP($D60,'Factor Tables'!$I$165:$Q$192,MATCH("PTHP Htg",'Factor Tables'!$I$164:$Q$164,0),FALSE),""))))</f>
        <v/>
      </c>
      <c r="DD60" s="193" t="s">
        <v>245</v>
      </c>
      <c r="DE60" s="426"/>
      <c r="DI60" s="425"/>
      <c r="DJ60" s="425"/>
      <c r="DK60" s="425"/>
      <c r="DL60" s="425"/>
      <c r="DM60" s="493" t="s">
        <v>478</v>
      </c>
    </row>
    <row r="61" spans="2:117" s="427" customFormat="1" ht="21.95" customHeight="1" x14ac:dyDescent="0.25">
      <c r="B61" s="432">
        <v>52</v>
      </c>
      <c r="C61" s="499" t="str">
        <f t="shared" si="18"/>
        <v/>
      </c>
      <c r="D61" s="403" t="str">
        <f t="shared" si="19"/>
        <v/>
      </c>
      <c r="E61" s="541"/>
      <c r="F61" s="785"/>
      <c r="G61" s="728"/>
      <c r="H61" s="728"/>
      <c r="I61" s="728"/>
      <c r="J61" s="728"/>
      <c r="K61" s="728"/>
      <c r="L61" s="728"/>
      <c r="M61" s="764"/>
      <c r="N61" s="728"/>
      <c r="O61" s="764"/>
      <c r="P61" s="728"/>
      <c r="Q61" s="1142"/>
      <c r="R61" s="1133"/>
      <c r="S61" s="778"/>
      <c r="T61" s="767"/>
      <c r="U61" s="778"/>
      <c r="V61" s="751"/>
      <c r="W61" s="556"/>
      <c r="X61" s="785"/>
      <c r="Y61" s="542"/>
      <c r="Z61" s="500"/>
      <c r="AA61" s="500"/>
      <c r="AB61" s="500"/>
      <c r="AC61" s="500"/>
      <c r="AD61" s="529"/>
      <c r="AE61" s="527">
        <f t="shared" si="39"/>
        <v>0</v>
      </c>
      <c r="AF61" s="527">
        <f t="shared" si="40"/>
        <v>0</v>
      </c>
      <c r="AG61" s="527">
        <f t="shared" si="0"/>
        <v>0</v>
      </c>
      <c r="AH61" s="527">
        <f t="shared" si="1"/>
        <v>0</v>
      </c>
      <c r="AI61" s="527">
        <f t="shared" si="2"/>
        <v>0</v>
      </c>
      <c r="AJ61" s="527">
        <f t="shared" si="3"/>
        <v>999999999</v>
      </c>
      <c r="AK61" s="530"/>
      <c r="AL61" s="776"/>
      <c r="AM61" s="777"/>
      <c r="AN61" s="500"/>
      <c r="AO61" s="778"/>
      <c r="AP61" s="778"/>
      <c r="AQ61" s="500"/>
      <c r="AR61" s="531"/>
      <c r="AS61" s="403"/>
      <c r="AT61" s="524" t="str">
        <f t="shared" si="4"/>
        <v/>
      </c>
      <c r="AU61" s="311">
        <f t="shared" si="5"/>
        <v>0</v>
      </c>
      <c r="AV61" s="288">
        <f t="shared" si="22"/>
        <v>0</v>
      </c>
      <c r="AW61" s="290">
        <f>IF(ISERROR($AU61*'Utility Admin'!$E$4+$AV61*'Utility Admin'!$F$4),0,$AU61*'Utility Admin'!$E$4+$AV61*'Utility Admin'!$F$4)</f>
        <v>0</v>
      </c>
      <c r="AX61" s="323" t="str">
        <f t="shared" si="6"/>
        <v/>
      </c>
      <c r="AY61" s="322" t="str">
        <f t="shared" si="23"/>
        <v/>
      </c>
      <c r="AZ61" s="319">
        <f>Baselines!$CJ305</f>
        <v>0</v>
      </c>
      <c r="BA61" s="735">
        <f>Baselines!$CK305</f>
        <v>0</v>
      </c>
      <c r="BB61" s="839">
        <f>Baselines!$CM305</f>
        <v>0</v>
      </c>
      <c r="BC61" s="466">
        <f t="shared" si="7"/>
        <v>0</v>
      </c>
      <c r="BD61" s="464">
        <f t="shared" si="24"/>
        <v>0</v>
      </c>
      <c r="BE61" s="755">
        <f t="shared" si="8"/>
        <v>0</v>
      </c>
      <c r="BF61" s="755">
        <f t="shared" si="25"/>
        <v>0</v>
      </c>
      <c r="BG61" s="466">
        <f t="shared" si="9"/>
        <v>0</v>
      </c>
      <c r="BH61" s="464">
        <f t="shared" si="10"/>
        <v>0</v>
      </c>
      <c r="BI61" s="755">
        <f t="shared" si="11"/>
        <v>0</v>
      </c>
      <c r="BJ61" s="755">
        <f t="shared" si="26"/>
        <v>0</v>
      </c>
      <c r="BK61" s="333">
        <f>IF(OR($C61&lt;&gt;"Early Retirement",$H61=""),0,IF(AND($G61&lt;&gt;"Air Cooled Chiller",$G61&lt;&gt;"Water Cooled Chiller"),VLOOKUP($H61,'Early Retirement'!$CI$6:$CL$33,2,FALSE),IF($J61&lt;&gt;"Centrifugal",VLOOKUP($H61,'Early Retirement'!$CI$6:$CL$33,3,FALSE),IF($J61="Centrifugal",VLOOKUP($H61,'Early Retirement'!$CI$6:$CL$33,4,FALSE),""))))</f>
        <v>0</v>
      </c>
      <c r="BL61" s="450">
        <f t="shared" si="12"/>
        <v>0</v>
      </c>
      <c r="BM61" s="553">
        <f>IFERROR('Utility Admin'!$I$4*((1+'Utility Admin'!$G$4)/('Utility Admin'!$H$4-'Utility Admin'!$G$4))*(1-((1+'Utility Admin'!$G$4)/(1+'Utility Admin'!$H$4))^$BK61)*$BG61,0)</f>
        <v>0</v>
      </c>
      <c r="BN61" s="553">
        <f>IFERROR('Utility Admin'!$I$4*((1+'Utility Admin'!$G$4)/('Utility Admin'!$H$4-'Utility Admin'!$G$4))*(1-((1+'Utility Admin'!$G$4)/(1+'Utility Admin'!$H$4))^$BL61)*((1+'Utility Admin'!$G$4)^$BK61/(1+'Utility Admin'!$H$4)^$BK61)*$BC61,0)</f>
        <v>0</v>
      </c>
      <c r="BO61" s="553">
        <f t="shared" si="27"/>
        <v>0</v>
      </c>
      <c r="BP61" s="553">
        <f>IFERROR('Utility Admin'!$J$4*((1+'Utility Admin'!$G$4)/('Utility Admin'!$H$4-'Utility Admin'!$G$4))*(1-((1+'Utility Admin'!$G$4)/(1+'Utility Admin'!$H$4))^$BK61)*$BJ61,0)</f>
        <v>0</v>
      </c>
      <c r="BQ61" s="553">
        <f>IFERROR('Utility Admin'!$J$4*((1+'Utility Admin'!$G$4)/('Utility Admin'!$H$4-'Utility Admin'!$G$4))*(1-((1+'Utility Admin'!$G$4)/(1+'Utility Admin'!$H$4))^$BL61)*((1+'Utility Admin'!$G$4)^$BK61/(1+'Utility Admin'!$H$4)^$BK61)*$BF61,0)</f>
        <v>0</v>
      </c>
      <c r="BR61" s="553">
        <f t="shared" si="28"/>
        <v>0</v>
      </c>
      <c r="BS61" s="553">
        <f>IFERROR('Utility Admin'!$I$4*((1+'Utility Admin'!$G$4)/('Utility Admin'!$H$4-'Utility Admin'!$G$4))*(1-((1+'Utility Admin'!$G$4)/(1+'Utility Admin'!$H$4))^$AT61),0)</f>
        <v>0</v>
      </c>
      <c r="BT61" s="553">
        <f>IFERROR('Utility Admin'!$J$4*((1+'Utility Admin'!$G$4)/('Utility Admin'!$H$4-'Utility Admin'!$G$4))*(1-((1+'Utility Admin'!$G$4)/(1+'Utility Admin'!$H$4))^$AT61),0)</f>
        <v>0</v>
      </c>
      <c r="BU61" s="459">
        <f t="shared" si="29"/>
        <v>0</v>
      </c>
      <c r="BV61" s="462">
        <f t="shared" si="30"/>
        <v>0</v>
      </c>
      <c r="BW61" s="219" t="str">
        <f t="shared" si="13"/>
        <v/>
      </c>
      <c r="BX61" s="250" t="str">
        <f t="shared" si="31"/>
        <v/>
      </c>
      <c r="BY61" s="250" t="str">
        <f t="shared" si="14"/>
        <v/>
      </c>
      <c r="BZ61" s="184">
        <f t="shared" si="32"/>
        <v>0</v>
      </c>
      <c r="CA61" s="693">
        <f t="shared" si="33"/>
        <v>0</v>
      </c>
      <c r="CB61" s="836">
        <f t="shared" si="34"/>
        <v>0</v>
      </c>
      <c r="CC61" s="693">
        <f>IF(AND($C61="Early Retirement",$H61&lt;&gt;"",$R61&lt;&gt;"",$T61&lt;&gt;""),$BZ61,Baselines!$CJ54)</f>
        <v>0</v>
      </c>
      <c r="CD61" s="693">
        <f>IF(AND($C61="Early Retirement",$H61&lt;&gt;"",$R61&lt;&gt;"",$T61&lt;&gt;""),$CA61,Baselines!$CK54)</f>
        <v>0</v>
      </c>
      <c r="CE61" s="182" t="str">
        <f>Baselines!$CL54</f>
        <v>kW/ton</v>
      </c>
      <c r="CF61" s="850" t="str">
        <f t="shared" si="15"/>
        <v/>
      </c>
      <c r="CG61" s="833">
        <f>IF(AND($C61="Early Retirement",$H61&lt;&gt;"",$R61&lt;&gt;"",$T61&lt;&gt;""),$CB61,IF(AND(Baselines!$CM54=0,OR($CL61="DX HP",$CL61="PTHP")),$BB61,Baselines!$CM54))</f>
        <v>0</v>
      </c>
      <c r="CH61" s="830" t="s">
        <v>567</v>
      </c>
      <c r="CI61" s="185" t="str">
        <f>IF(OR($C61="Replace-on-Burnout",$C61="New Construction"),$CT61,IF($BW61="","",VLOOKUP($D61,'Factor Tables'!$B$165:$H$192,MATCH($BW61,'Factor Tables'!$B$164:$H$164,0),FALSE)))</f>
        <v/>
      </c>
      <c r="CJ61" s="842" t="str">
        <f>IF(OR($C61="Replace-on-Burnout",$C61="New Construction"),$CU61,IF($BW61="","",IF($BW61="DX HP",VLOOKUP($D61,'Factor Tables'!$I$165:$Q$192,MATCH("DX HP Clg",'Factor Tables'!$I$164:$Q$164,0),FALSE),IF($BW61="PTHP",VLOOKUP($D61,'Factor Tables'!$I$165:$Q$192,MATCH("PTHP Clg",'Factor Tables'!$I$164:$Q$164,0),FALSE),IF(AND($BW61&lt;&gt;"DX HP",$BW61&lt;&gt;"PTHP"),VLOOKUP($D61,'Factor Tables'!$I$165:$Q$192,MATCH($BW61,'Factor Tables'!$I$164:$Q$164,0),FALSE),"")))))</f>
        <v/>
      </c>
      <c r="CK61" s="186" t="str">
        <f>IF(OR($C61="Replace-on-Burnout",$C61="New Construction",$CL61="DX HP",$CL61="PTHP"),$CV61,IF($BW61="","",IF($BW61="DX HP",VLOOKUP($D61,'Factor Tables'!$I$165:$Q$192,MATCH("DX HP Htg",'Factor Tables'!$I$164:$Q$164,0),FALSE),IF($BW61="PTHP",VLOOKUP($D61,'Factor Tables'!$I$165:$Q$192,MATCH("PTHP Htg",'Factor Tables'!$I$164:$Q$164,0),FALSE),0))))</f>
        <v/>
      </c>
      <c r="CL61" s="187" t="str">
        <f t="shared" si="16"/>
        <v/>
      </c>
      <c r="CM61" s="251" t="str">
        <f t="shared" si="17"/>
        <v/>
      </c>
      <c r="CN61" s="184">
        <f t="shared" si="35"/>
        <v>0</v>
      </c>
      <c r="CO61" s="693">
        <f t="shared" si="36"/>
        <v>0</v>
      </c>
      <c r="CP61" s="182" t="s">
        <v>46</v>
      </c>
      <c r="CQ61" s="852" t="str">
        <f t="shared" si="37"/>
        <v/>
      </c>
      <c r="CR61" s="833">
        <f t="shared" si="38"/>
        <v>0</v>
      </c>
      <c r="CS61" s="830" t="s">
        <v>567</v>
      </c>
      <c r="CT61" s="185" t="str">
        <f>IF($CL61="","",VLOOKUP($D61,'Factor Tables'!$B$165:$H$192,MATCH($CL61,'Factor Tables'!$B$164:$H$164,0),FALSE))</f>
        <v/>
      </c>
      <c r="CU61" s="842" t="str">
        <f>IF($CL61="","",IF(AND($CL61&lt;&gt;"DX HP",$CL61&lt;&gt;"PTHP"),VLOOKUP($D61,'Factor Tables'!$I$165:$Q$192,MATCH($CL61,'Factor Tables'!$I$164:$Q$164,0),FALSE),IF($CL61="DX HP",VLOOKUP($D61,'Factor Tables'!$I$165:$Q$192,MATCH("DX HP Clg",'Factor Tables'!$I$164:$Q$164,0),FALSE),IF($CL61="PTHP",VLOOKUP($D61,'Factor Tables'!$I$165:$Q$192,MATCH("PTHP Clg",'Factor Tables'!$I$164:$Q$164,0),FALSE),""))))</f>
        <v/>
      </c>
      <c r="CV61" s="186" t="str">
        <f>IF($CL61="","",IF(AND($CL61&lt;&gt;"DX HP",$CL61&lt;&gt;"PTHP"),0,IF($CL61="DX HP",VLOOKUP($D61,'Factor Tables'!$I$165:$Q$192,MATCH("DX HP Htg",'Factor Tables'!$I$164:$Q$164,0),FALSE),IF($CL61="PTHP",VLOOKUP($D61,'Factor Tables'!$I$165:$Q$192,MATCH("PTHP Htg",'Factor Tables'!$I$164:$Q$164,0),FALSE),""))))</f>
        <v/>
      </c>
      <c r="DD61" s="77" t="s">
        <v>44</v>
      </c>
      <c r="DE61" s="426"/>
      <c r="DI61" s="425"/>
      <c r="DJ61" s="425"/>
      <c r="DK61" s="425"/>
      <c r="DL61" s="425"/>
      <c r="DM61" s="493" t="s">
        <v>478</v>
      </c>
    </row>
    <row r="62" spans="2:117" s="427" customFormat="1" ht="21.95" customHeight="1" x14ac:dyDescent="0.25">
      <c r="B62" s="431">
        <v>53</v>
      </c>
      <c r="C62" s="501" t="str">
        <f t="shared" si="18"/>
        <v/>
      </c>
      <c r="D62" s="502" t="str">
        <f t="shared" si="19"/>
        <v/>
      </c>
      <c r="E62" s="546"/>
      <c r="F62" s="547"/>
      <c r="G62" s="729"/>
      <c r="H62" s="729"/>
      <c r="I62" s="729"/>
      <c r="J62" s="729"/>
      <c r="K62" s="729"/>
      <c r="L62" s="729"/>
      <c r="M62" s="765"/>
      <c r="N62" s="758"/>
      <c r="O62" s="765"/>
      <c r="P62" s="758"/>
      <c r="Q62" s="1143"/>
      <c r="R62" s="1134"/>
      <c r="S62" s="775"/>
      <c r="T62" s="729"/>
      <c r="U62" s="775"/>
      <c r="V62" s="779"/>
      <c r="W62" s="557"/>
      <c r="X62" s="788"/>
      <c r="Y62" s="543"/>
      <c r="Z62" s="281"/>
      <c r="AA62" s="281"/>
      <c r="AB62" s="281"/>
      <c r="AC62" s="281"/>
      <c r="AD62" s="492"/>
      <c r="AE62" s="527">
        <f t="shared" si="39"/>
        <v>0</v>
      </c>
      <c r="AF62" s="527">
        <f t="shared" si="40"/>
        <v>0</v>
      </c>
      <c r="AG62" s="527">
        <f t="shared" si="0"/>
        <v>0</v>
      </c>
      <c r="AH62" s="527">
        <f t="shared" si="1"/>
        <v>0</v>
      </c>
      <c r="AI62" s="527">
        <f t="shared" si="2"/>
        <v>0</v>
      </c>
      <c r="AJ62" s="527">
        <f t="shared" si="3"/>
        <v>999999999</v>
      </c>
      <c r="AK62" s="471"/>
      <c r="AL62" s="765"/>
      <c r="AM62" s="758"/>
      <c r="AN62" s="281"/>
      <c r="AO62" s="775"/>
      <c r="AP62" s="775"/>
      <c r="AQ62" s="281"/>
      <c r="AR62" s="528"/>
      <c r="AS62" s="532"/>
      <c r="AT62" s="524" t="str">
        <f t="shared" si="4"/>
        <v/>
      </c>
      <c r="AU62" s="311">
        <f t="shared" si="5"/>
        <v>0</v>
      </c>
      <c r="AV62" s="288">
        <f t="shared" si="22"/>
        <v>0</v>
      </c>
      <c r="AW62" s="290">
        <f>IF(ISERROR($AU62*'Utility Admin'!$E$4+$AV62*'Utility Admin'!$F$4),0,$AU62*'Utility Admin'!$E$4+$AV62*'Utility Admin'!$F$4)</f>
        <v>0</v>
      </c>
      <c r="AX62" s="323" t="str">
        <f t="shared" si="6"/>
        <v/>
      </c>
      <c r="AY62" s="322" t="str">
        <f t="shared" si="23"/>
        <v/>
      </c>
      <c r="AZ62" s="319">
        <f>Baselines!$CJ306</f>
        <v>0</v>
      </c>
      <c r="BA62" s="735">
        <f>Baselines!$CK306</f>
        <v>0</v>
      </c>
      <c r="BB62" s="839">
        <f>Baselines!$CM306</f>
        <v>0</v>
      </c>
      <c r="BC62" s="466">
        <f t="shared" si="7"/>
        <v>0</v>
      </c>
      <c r="BD62" s="464">
        <f t="shared" si="24"/>
        <v>0</v>
      </c>
      <c r="BE62" s="755">
        <f t="shared" si="8"/>
        <v>0</v>
      </c>
      <c r="BF62" s="755">
        <f t="shared" si="25"/>
        <v>0</v>
      </c>
      <c r="BG62" s="466">
        <f t="shared" si="9"/>
        <v>0</v>
      </c>
      <c r="BH62" s="464">
        <f t="shared" si="10"/>
        <v>0</v>
      </c>
      <c r="BI62" s="755">
        <f t="shared" si="11"/>
        <v>0</v>
      </c>
      <c r="BJ62" s="755">
        <f t="shared" si="26"/>
        <v>0</v>
      </c>
      <c r="BK62" s="333">
        <f>IF(OR($C62&lt;&gt;"Early Retirement",$H62=""),0,IF(AND($G62&lt;&gt;"Air Cooled Chiller",$G62&lt;&gt;"Water Cooled Chiller"),VLOOKUP($H62,'Early Retirement'!$CI$6:$CL$33,2,FALSE),IF($J62&lt;&gt;"Centrifugal",VLOOKUP($H62,'Early Retirement'!$CI$6:$CL$33,3,FALSE),IF($J62="Centrifugal",VLOOKUP($H62,'Early Retirement'!$CI$6:$CL$33,4,FALSE),""))))</f>
        <v>0</v>
      </c>
      <c r="BL62" s="450">
        <f t="shared" si="12"/>
        <v>0</v>
      </c>
      <c r="BM62" s="553">
        <f>IFERROR('Utility Admin'!$I$4*((1+'Utility Admin'!$G$4)/('Utility Admin'!$H$4-'Utility Admin'!$G$4))*(1-((1+'Utility Admin'!$G$4)/(1+'Utility Admin'!$H$4))^$BK62)*$BG62,0)</f>
        <v>0</v>
      </c>
      <c r="BN62" s="553">
        <f>IFERROR('Utility Admin'!$I$4*((1+'Utility Admin'!$G$4)/('Utility Admin'!$H$4-'Utility Admin'!$G$4))*(1-((1+'Utility Admin'!$G$4)/(1+'Utility Admin'!$H$4))^$BL62)*((1+'Utility Admin'!$G$4)^$BK62/(1+'Utility Admin'!$H$4)^$BK62)*$BC62,0)</f>
        <v>0</v>
      </c>
      <c r="BO62" s="553">
        <f t="shared" si="27"/>
        <v>0</v>
      </c>
      <c r="BP62" s="553">
        <f>IFERROR('Utility Admin'!$J$4*((1+'Utility Admin'!$G$4)/('Utility Admin'!$H$4-'Utility Admin'!$G$4))*(1-((1+'Utility Admin'!$G$4)/(1+'Utility Admin'!$H$4))^$BK62)*$BJ62,0)</f>
        <v>0</v>
      </c>
      <c r="BQ62" s="553">
        <f>IFERROR('Utility Admin'!$J$4*((1+'Utility Admin'!$G$4)/('Utility Admin'!$H$4-'Utility Admin'!$G$4))*(1-((1+'Utility Admin'!$G$4)/(1+'Utility Admin'!$H$4))^$BL62)*((1+'Utility Admin'!$G$4)^$BK62/(1+'Utility Admin'!$H$4)^$BK62)*$BF62,0)</f>
        <v>0</v>
      </c>
      <c r="BR62" s="553">
        <f t="shared" si="28"/>
        <v>0</v>
      </c>
      <c r="BS62" s="553">
        <f>IFERROR('Utility Admin'!$I$4*((1+'Utility Admin'!$G$4)/('Utility Admin'!$H$4-'Utility Admin'!$G$4))*(1-((1+'Utility Admin'!$G$4)/(1+'Utility Admin'!$H$4))^$AT62),0)</f>
        <v>0</v>
      </c>
      <c r="BT62" s="553">
        <f>IFERROR('Utility Admin'!$J$4*((1+'Utility Admin'!$G$4)/('Utility Admin'!$H$4-'Utility Admin'!$G$4))*(1-((1+'Utility Admin'!$G$4)/(1+'Utility Admin'!$H$4))^$AT62),0)</f>
        <v>0</v>
      </c>
      <c r="BU62" s="459">
        <f t="shared" si="29"/>
        <v>0</v>
      </c>
      <c r="BV62" s="462">
        <f t="shared" si="30"/>
        <v>0</v>
      </c>
      <c r="BW62" s="219" t="str">
        <f t="shared" si="13"/>
        <v/>
      </c>
      <c r="BX62" s="250" t="str">
        <f t="shared" si="31"/>
        <v/>
      </c>
      <c r="BY62" s="250" t="str">
        <f t="shared" si="14"/>
        <v/>
      </c>
      <c r="BZ62" s="184">
        <f t="shared" si="32"/>
        <v>0</v>
      </c>
      <c r="CA62" s="693">
        <f t="shared" si="33"/>
        <v>0</v>
      </c>
      <c r="CB62" s="836">
        <f t="shared" si="34"/>
        <v>0</v>
      </c>
      <c r="CC62" s="693">
        <f>IF(AND($C62="Early Retirement",$H62&lt;&gt;"",$R62&lt;&gt;"",$T62&lt;&gt;""),$BZ62,Baselines!$CJ55)</f>
        <v>0</v>
      </c>
      <c r="CD62" s="693">
        <f>IF(AND($C62="Early Retirement",$H62&lt;&gt;"",$R62&lt;&gt;"",$T62&lt;&gt;""),$CA62,Baselines!$CK55)</f>
        <v>0</v>
      </c>
      <c r="CE62" s="182" t="str">
        <f>Baselines!$CL55</f>
        <v>kW/ton</v>
      </c>
      <c r="CF62" s="850" t="str">
        <f t="shared" si="15"/>
        <v/>
      </c>
      <c r="CG62" s="833">
        <f>IF(AND($C62="Early Retirement",$H62&lt;&gt;"",$R62&lt;&gt;"",$T62&lt;&gt;""),$CB62,IF(AND(Baselines!$CM55=0,OR($CL62="DX HP",$CL62="PTHP")),$BB62,Baselines!$CM55))</f>
        <v>0</v>
      </c>
      <c r="CH62" s="830" t="s">
        <v>567</v>
      </c>
      <c r="CI62" s="185" t="str">
        <f>IF(OR($C62="Replace-on-Burnout",$C62="New Construction"),$CT62,IF($BW62="","",VLOOKUP($D62,'Factor Tables'!$B$165:$H$192,MATCH($BW62,'Factor Tables'!$B$164:$H$164,0),FALSE)))</f>
        <v/>
      </c>
      <c r="CJ62" s="842" t="str">
        <f>IF(OR($C62="Replace-on-Burnout",$C62="New Construction"),$CU62,IF($BW62="","",IF($BW62="DX HP",VLOOKUP($D62,'Factor Tables'!$I$165:$Q$192,MATCH("DX HP Clg",'Factor Tables'!$I$164:$Q$164,0),FALSE),IF($BW62="PTHP",VLOOKUP($D62,'Factor Tables'!$I$165:$Q$192,MATCH("PTHP Clg",'Factor Tables'!$I$164:$Q$164,0),FALSE),IF(AND($BW62&lt;&gt;"DX HP",$BW62&lt;&gt;"PTHP"),VLOOKUP($D62,'Factor Tables'!$I$165:$Q$192,MATCH($BW62,'Factor Tables'!$I$164:$Q$164,0),FALSE),"")))))</f>
        <v/>
      </c>
      <c r="CK62" s="186" t="str">
        <f>IF(OR($C62="Replace-on-Burnout",$C62="New Construction",$CL62="DX HP",$CL62="PTHP"),$CV62,IF($BW62="","",IF($BW62="DX HP",VLOOKUP($D62,'Factor Tables'!$I$165:$Q$192,MATCH("DX HP Htg",'Factor Tables'!$I$164:$Q$164,0),FALSE),IF($BW62="PTHP",VLOOKUP($D62,'Factor Tables'!$I$165:$Q$192,MATCH("PTHP Htg",'Factor Tables'!$I$164:$Q$164,0),FALSE),0))))</f>
        <v/>
      </c>
      <c r="CL62" s="187" t="str">
        <f t="shared" si="16"/>
        <v/>
      </c>
      <c r="CM62" s="251" t="str">
        <f t="shared" si="17"/>
        <v/>
      </c>
      <c r="CN62" s="184">
        <f t="shared" si="35"/>
        <v>0</v>
      </c>
      <c r="CO62" s="693">
        <f t="shared" si="36"/>
        <v>0</v>
      </c>
      <c r="CP62" s="182" t="s">
        <v>46</v>
      </c>
      <c r="CQ62" s="852" t="str">
        <f t="shared" si="37"/>
        <v/>
      </c>
      <c r="CR62" s="833">
        <f t="shared" si="38"/>
        <v>0</v>
      </c>
      <c r="CS62" s="830" t="s">
        <v>567</v>
      </c>
      <c r="CT62" s="185" t="str">
        <f>IF($CL62="","",VLOOKUP($D62,'Factor Tables'!$B$165:$H$192,MATCH($CL62,'Factor Tables'!$B$164:$H$164,0),FALSE))</f>
        <v/>
      </c>
      <c r="CU62" s="842" t="str">
        <f>IF($CL62="","",IF(AND($CL62&lt;&gt;"DX HP",$CL62&lt;&gt;"PTHP"),VLOOKUP($D62,'Factor Tables'!$I$165:$Q$192,MATCH($CL62,'Factor Tables'!$I$164:$Q$164,0),FALSE),IF($CL62="DX HP",VLOOKUP($D62,'Factor Tables'!$I$165:$Q$192,MATCH("DX HP Clg",'Factor Tables'!$I$164:$Q$164,0),FALSE),IF($CL62="PTHP",VLOOKUP($D62,'Factor Tables'!$I$165:$Q$192,MATCH("PTHP Clg",'Factor Tables'!$I$164:$Q$164,0),FALSE),""))))</f>
        <v/>
      </c>
      <c r="CV62" s="186" t="str">
        <f>IF($CL62="","",IF(AND($CL62&lt;&gt;"DX HP",$CL62&lt;&gt;"PTHP"),0,IF($CL62="DX HP",VLOOKUP($D62,'Factor Tables'!$I$165:$Q$192,MATCH("DX HP Htg",'Factor Tables'!$I$164:$Q$164,0),FALSE),IF($CL62="PTHP",VLOOKUP($D62,'Factor Tables'!$I$165:$Q$192,MATCH("PTHP Htg",'Factor Tables'!$I$164:$Q$164,0),FALSE),""))))</f>
        <v/>
      </c>
      <c r="DD62" s="77" t="s">
        <v>43</v>
      </c>
      <c r="DE62" s="426"/>
      <c r="DI62" s="425"/>
      <c r="DJ62" s="425"/>
      <c r="DK62" s="425"/>
      <c r="DL62" s="425"/>
      <c r="DM62" s="493" t="s">
        <v>478</v>
      </c>
    </row>
    <row r="63" spans="2:117" s="427" customFormat="1" ht="21.95" customHeight="1" x14ac:dyDescent="0.25">
      <c r="B63" s="432">
        <v>54</v>
      </c>
      <c r="C63" s="499" t="str">
        <f t="shared" si="18"/>
        <v/>
      </c>
      <c r="D63" s="403" t="str">
        <f t="shared" si="19"/>
        <v/>
      </c>
      <c r="E63" s="541"/>
      <c r="F63" s="785"/>
      <c r="G63" s="728"/>
      <c r="H63" s="728"/>
      <c r="I63" s="728"/>
      <c r="J63" s="728"/>
      <c r="K63" s="728"/>
      <c r="L63" s="728"/>
      <c r="M63" s="764"/>
      <c r="N63" s="728"/>
      <c r="O63" s="764"/>
      <c r="P63" s="728"/>
      <c r="Q63" s="1142"/>
      <c r="R63" s="1133"/>
      <c r="S63" s="778"/>
      <c r="T63" s="767"/>
      <c r="U63" s="778"/>
      <c r="V63" s="751"/>
      <c r="W63" s="556"/>
      <c r="X63" s="785"/>
      <c r="Y63" s="542"/>
      <c r="Z63" s="500"/>
      <c r="AA63" s="500"/>
      <c r="AB63" s="500"/>
      <c r="AC63" s="500"/>
      <c r="AD63" s="529"/>
      <c r="AE63" s="527">
        <f t="shared" si="39"/>
        <v>0</v>
      </c>
      <c r="AF63" s="527">
        <f t="shared" si="40"/>
        <v>0</v>
      </c>
      <c r="AG63" s="527">
        <f t="shared" si="0"/>
        <v>0</v>
      </c>
      <c r="AH63" s="527">
        <f t="shared" si="1"/>
        <v>0</v>
      </c>
      <c r="AI63" s="527">
        <f t="shared" si="2"/>
        <v>0</v>
      </c>
      <c r="AJ63" s="527">
        <f t="shared" si="3"/>
        <v>999999999</v>
      </c>
      <c r="AK63" s="530"/>
      <c r="AL63" s="776"/>
      <c r="AM63" s="777"/>
      <c r="AN63" s="500"/>
      <c r="AO63" s="778"/>
      <c r="AP63" s="778"/>
      <c r="AQ63" s="500"/>
      <c r="AR63" s="531"/>
      <c r="AS63" s="403"/>
      <c r="AT63" s="524" t="str">
        <f t="shared" si="4"/>
        <v/>
      </c>
      <c r="AU63" s="311">
        <f t="shared" si="5"/>
        <v>0</v>
      </c>
      <c r="AV63" s="288">
        <f t="shared" si="22"/>
        <v>0</v>
      </c>
      <c r="AW63" s="290">
        <f>IF(ISERROR($AU63*'Utility Admin'!$E$4+$AV63*'Utility Admin'!$F$4),0,$AU63*'Utility Admin'!$E$4+$AV63*'Utility Admin'!$F$4)</f>
        <v>0</v>
      </c>
      <c r="AX63" s="323" t="str">
        <f t="shared" si="6"/>
        <v/>
      </c>
      <c r="AY63" s="322" t="str">
        <f t="shared" si="23"/>
        <v/>
      </c>
      <c r="AZ63" s="319">
        <f>Baselines!$CJ307</f>
        <v>0</v>
      </c>
      <c r="BA63" s="735">
        <f>Baselines!$CK307</f>
        <v>0</v>
      </c>
      <c r="BB63" s="839">
        <f>Baselines!$CM307</f>
        <v>0</v>
      </c>
      <c r="BC63" s="466">
        <f t="shared" si="7"/>
        <v>0</v>
      </c>
      <c r="BD63" s="464">
        <f t="shared" si="24"/>
        <v>0</v>
      </c>
      <c r="BE63" s="755">
        <f t="shared" si="8"/>
        <v>0</v>
      </c>
      <c r="BF63" s="755">
        <f t="shared" si="25"/>
        <v>0</v>
      </c>
      <c r="BG63" s="466">
        <f t="shared" si="9"/>
        <v>0</v>
      </c>
      <c r="BH63" s="464">
        <f t="shared" si="10"/>
        <v>0</v>
      </c>
      <c r="BI63" s="755">
        <f t="shared" si="11"/>
        <v>0</v>
      </c>
      <c r="BJ63" s="755">
        <f t="shared" si="26"/>
        <v>0</v>
      </c>
      <c r="BK63" s="333">
        <f>IF(OR($C63&lt;&gt;"Early Retirement",$H63=""),0,IF(AND($G63&lt;&gt;"Air Cooled Chiller",$G63&lt;&gt;"Water Cooled Chiller"),VLOOKUP($H63,'Early Retirement'!$CI$6:$CL$33,2,FALSE),IF($J63&lt;&gt;"Centrifugal",VLOOKUP($H63,'Early Retirement'!$CI$6:$CL$33,3,FALSE),IF($J63="Centrifugal",VLOOKUP($H63,'Early Retirement'!$CI$6:$CL$33,4,FALSE),""))))</f>
        <v>0</v>
      </c>
      <c r="BL63" s="450">
        <f t="shared" si="12"/>
        <v>0</v>
      </c>
      <c r="BM63" s="553">
        <f>IFERROR('Utility Admin'!$I$4*((1+'Utility Admin'!$G$4)/('Utility Admin'!$H$4-'Utility Admin'!$G$4))*(1-((1+'Utility Admin'!$G$4)/(1+'Utility Admin'!$H$4))^$BK63)*$BG63,0)</f>
        <v>0</v>
      </c>
      <c r="BN63" s="553">
        <f>IFERROR('Utility Admin'!$I$4*((1+'Utility Admin'!$G$4)/('Utility Admin'!$H$4-'Utility Admin'!$G$4))*(1-((1+'Utility Admin'!$G$4)/(1+'Utility Admin'!$H$4))^$BL63)*((1+'Utility Admin'!$G$4)^$BK63/(1+'Utility Admin'!$H$4)^$BK63)*$BC63,0)</f>
        <v>0</v>
      </c>
      <c r="BO63" s="553">
        <f t="shared" si="27"/>
        <v>0</v>
      </c>
      <c r="BP63" s="553">
        <f>IFERROR('Utility Admin'!$J$4*((1+'Utility Admin'!$G$4)/('Utility Admin'!$H$4-'Utility Admin'!$G$4))*(1-((1+'Utility Admin'!$G$4)/(1+'Utility Admin'!$H$4))^$BK63)*$BJ63,0)</f>
        <v>0</v>
      </c>
      <c r="BQ63" s="553">
        <f>IFERROR('Utility Admin'!$J$4*((1+'Utility Admin'!$G$4)/('Utility Admin'!$H$4-'Utility Admin'!$G$4))*(1-((1+'Utility Admin'!$G$4)/(1+'Utility Admin'!$H$4))^$BL63)*((1+'Utility Admin'!$G$4)^$BK63/(1+'Utility Admin'!$H$4)^$BK63)*$BF63,0)</f>
        <v>0</v>
      </c>
      <c r="BR63" s="553">
        <f t="shared" si="28"/>
        <v>0</v>
      </c>
      <c r="BS63" s="553">
        <f>IFERROR('Utility Admin'!$I$4*((1+'Utility Admin'!$G$4)/('Utility Admin'!$H$4-'Utility Admin'!$G$4))*(1-((1+'Utility Admin'!$G$4)/(1+'Utility Admin'!$H$4))^$AT63),0)</f>
        <v>0</v>
      </c>
      <c r="BT63" s="553">
        <f>IFERROR('Utility Admin'!$J$4*((1+'Utility Admin'!$G$4)/('Utility Admin'!$H$4-'Utility Admin'!$G$4))*(1-((1+'Utility Admin'!$G$4)/(1+'Utility Admin'!$H$4))^$AT63),0)</f>
        <v>0</v>
      </c>
      <c r="BU63" s="459">
        <f t="shared" si="29"/>
        <v>0</v>
      </c>
      <c r="BV63" s="462">
        <f t="shared" si="30"/>
        <v>0</v>
      </c>
      <c r="BW63" s="219" t="str">
        <f t="shared" si="13"/>
        <v/>
      </c>
      <c r="BX63" s="250" t="str">
        <f t="shared" si="31"/>
        <v/>
      </c>
      <c r="BY63" s="250" t="str">
        <f t="shared" si="14"/>
        <v/>
      </c>
      <c r="BZ63" s="184">
        <f t="shared" si="32"/>
        <v>0</v>
      </c>
      <c r="CA63" s="693">
        <f t="shared" si="33"/>
        <v>0</v>
      </c>
      <c r="CB63" s="836">
        <f t="shared" si="34"/>
        <v>0</v>
      </c>
      <c r="CC63" s="693">
        <f>IF(AND($C63="Early Retirement",$H63&lt;&gt;"",$R63&lt;&gt;"",$T63&lt;&gt;""),$BZ63,Baselines!$CJ56)</f>
        <v>0</v>
      </c>
      <c r="CD63" s="693">
        <f>IF(AND($C63="Early Retirement",$H63&lt;&gt;"",$R63&lt;&gt;"",$T63&lt;&gt;""),$CA63,Baselines!$CK56)</f>
        <v>0</v>
      </c>
      <c r="CE63" s="182" t="str">
        <f>Baselines!$CL56</f>
        <v>kW/ton</v>
      </c>
      <c r="CF63" s="850" t="str">
        <f t="shared" si="15"/>
        <v/>
      </c>
      <c r="CG63" s="833">
        <f>IF(AND($C63="Early Retirement",$H63&lt;&gt;"",$R63&lt;&gt;"",$T63&lt;&gt;""),$CB63,IF(AND(Baselines!$CM56=0,OR($CL63="DX HP",$CL63="PTHP")),$BB63,Baselines!$CM56))</f>
        <v>0</v>
      </c>
      <c r="CH63" s="830" t="s">
        <v>567</v>
      </c>
      <c r="CI63" s="185" t="str">
        <f>IF(OR($C63="Replace-on-Burnout",$C63="New Construction"),$CT63,IF($BW63="","",VLOOKUP($D63,'Factor Tables'!$B$165:$H$192,MATCH($BW63,'Factor Tables'!$B$164:$H$164,0),FALSE)))</f>
        <v/>
      </c>
      <c r="CJ63" s="842" t="str">
        <f>IF(OR($C63="Replace-on-Burnout",$C63="New Construction"),$CU63,IF($BW63="","",IF($BW63="DX HP",VLOOKUP($D63,'Factor Tables'!$I$165:$Q$192,MATCH("DX HP Clg",'Factor Tables'!$I$164:$Q$164,0),FALSE),IF($BW63="PTHP",VLOOKUP($D63,'Factor Tables'!$I$165:$Q$192,MATCH("PTHP Clg",'Factor Tables'!$I$164:$Q$164,0),FALSE),IF(AND($BW63&lt;&gt;"DX HP",$BW63&lt;&gt;"PTHP"),VLOOKUP($D63,'Factor Tables'!$I$165:$Q$192,MATCH($BW63,'Factor Tables'!$I$164:$Q$164,0),FALSE),"")))))</f>
        <v/>
      </c>
      <c r="CK63" s="186" t="str">
        <f>IF(OR($C63="Replace-on-Burnout",$C63="New Construction",$CL63="DX HP",$CL63="PTHP"),$CV63,IF($BW63="","",IF($BW63="DX HP",VLOOKUP($D63,'Factor Tables'!$I$165:$Q$192,MATCH("DX HP Htg",'Factor Tables'!$I$164:$Q$164,0),FALSE),IF($BW63="PTHP",VLOOKUP($D63,'Factor Tables'!$I$165:$Q$192,MATCH("PTHP Htg",'Factor Tables'!$I$164:$Q$164,0),FALSE),0))))</f>
        <v/>
      </c>
      <c r="CL63" s="187" t="str">
        <f t="shared" si="16"/>
        <v/>
      </c>
      <c r="CM63" s="251" t="str">
        <f t="shared" si="17"/>
        <v/>
      </c>
      <c r="CN63" s="184">
        <f t="shared" si="35"/>
        <v>0</v>
      </c>
      <c r="CO63" s="693">
        <f t="shared" si="36"/>
        <v>0</v>
      </c>
      <c r="CP63" s="182" t="s">
        <v>46</v>
      </c>
      <c r="CQ63" s="852" t="str">
        <f t="shared" si="37"/>
        <v/>
      </c>
      <c r="CR63" s="833">
        <f t="shared" si="38"/>
        <v>0</v>
      </c>
      <c r="CS63" s="830" t="s">
        <v>567</v>
      </c>
      <c r="CT63" s="185" t="str">
        <f>IF($CL63="","",VLOOKUP($D63,'Factor Tables'!$B$165:$H$192,MATCH($CL63,'Factor Tables'!$B$164:$H$164,0),FALSE))</f>
        <v/>
      </c>
      <c r="CU63" s="842" t="str">
        <f>IF($CL63="","",IF(AND($CL63&lt;&gt;"DX HP",$CL63&lt;&gt;"PTHP"),VLOOKUP($D63,'Factor Tables'!$I$165:$Q$192,MATCH($CL63,'Factor Tables'!$I$164:$Q$164,0),FALSE),IF($CL63="DX HP",VLOOKUP($D63,'Factor Tables'!$I$165:$Q$192,MATCH("DX HP Clg",'Factor Tables'!$I$164:$Q$164,0),FALSE),IF($CL63="PTHP",VLOOKUP($D63,'Factor Tables'!$I$165:$Q$192,MATCH("PTHP Clg",'Factor Tables'!$I$164:$Q$164,0),FALSE),""))))</f>
        <v/>
      </c>
      <c r="CV63" s="186" t="str">
        <f>IF($CL63="","",IF(AND($CL63&lt;&gt;"DX HP",$CL63&lt;&gt;"PTHP"),0,IF($CL63="DX HP",VLOOKUP($D63,'Factor Tables'!$I$165:$Q$192,MATCH("DX HP Htg",'Factor Tables'!$I$164:$Q$164,0),FALSE),IF($CL63="PTHP",VLOOKUP($D63,'Factor Tables'!$I$165:$Q$192,MATCH("PTHP Htg",'Factor Tables'!$I$164:$Q$164,0),FALSE),""))))</f>
        <v/>
      </c>
      <c r="DD63" s="194" t="s">
        <v>53</v>
      </c>
      <c r="DE63" s="426"/>
      <c r="DI63" s="425"/>
      <c r="DJ63" s="425"/>
      <c r="DK63" s="425"/>
      <c r="DL63" s="425"/>
      <c r="DM63" s="493" t="s">
        <v>478</v>
      </c>
    </row>
    <row r="64" spans="2:117" s="427" customFormat="1" ht="21.95" customHeight="1" x14ac:dyDescent="0.25">
      <c r="B64" s="431">
        <v>55</v>
      </c>
      <c r="C64" s="501" t="str">
        <f t="shared" si="18"/>
        <v/>
      </c>
      <c r="D64" s="502" t="str">
        <f t="shared" si="19"/>
        <v/>
      </c>
      <c r="E64" s="546"/>
      <c r="F64" s="547"/>
      <c r="G64" s="729"/>
      <c r="H64" s="729"/>
      <c r="I64" s="729"/>
      <c r="J64" s="729"/>
      <c r="K64" s="729"/>
      <c r="L64" s="729"/>
      <c r="M64" s="765"/>
      <c r="N64" s="758"/>
      <c r="O64" s="765"/>
      <c r="P64" s="758"/>
      <c r="Q64" s="1143"/>
      <c r="R64" s="1134"/>
      <c r="S64" s="775"/>
      <c r="T64" s="729"/>
      <c r="U64" s="775"/>
      <c r="V64" s="779"/>
      <c r="W64" s="557"/>
      <c r="X64" s="788"/>
      <c r="Y64" s="543"/>
      <c r="Z64" s="281"/>
      <c r="AA64" s="281"/>
      <c r="AB64" s="281"/>
      <c r="AC64" s="281"/>
      <c r="AD64" s="492"/>
      <c r="AE64" s="527">
        <f t="shared" si="39"/>
        <v>0</v>
      </c>
      <c r="AF64" s="527">
        <f t="shared" si="40"/>
        <v>0</v>
      </c>
      <c r="AG64" s="527">
        <f t="shared" si="0"/>
        <v>0</v>
      </c>
      <c r="AH64" s="527">
        <f t="shared" si="1"/>
        <v>0</v>
      </c>
      <c r="AI64" s="527">
        <f t="shared" si="2"/>
        <v>0</v>
      </c>
      <c r="AJ64" s="527">
        <f t="shared" si="3"/>
        <v>999999999</v>
      </c>
      <c r="AK64" s="471"/>
      <c r="AL64" s="765"/>
      <c r="AM64" s="758"/>
      <c r="AN64" s="281"/>
      <c r="AO64" s="775"/>
      <c r="AP64" s="775"/>
      <c r="AQ64" s="281"/>
      <c r="AR64" s="528"/>
      <c r="AS64" s="532"/>
      <c r="AT64" s="524" t="str">
        <f t="shared" si="4"/>
        <v/>
      </c>
      <c r="AU64" s="311">
        <f t="shared" si="5"/>
        <v>0</v>
      </c>
      <c r="AV64" s="288">
        <f t="shared" si="22"/>
        <v>0</v>
      </c>
      <c r="AW64" s="290">
        <f>IF(ISERROR($AU64*'Utility Admin'!$E$4+$AV64*'Utility Admin'!$F$4),0,$AU64*'Utility Admin'!$E$4+$AV64*'Utility Admin'!$F$4)</f>
        <v>0</v>
      </c>
      <c r="AX64" s="323" t="str">
        <f t="shared" si="6"/>
        <v/>
      </c>
      <c r="AY64" s="322" t="str">
        <f t="shared" si="23"/>
        <v/>
      </c>
      <c r="AZ64" s="319">
        <f>Baselines!$CJ308</f>
        <v>0</v>
      </c>
      <c r="BA64" s="735">
        <f>Baselines!$CK308</f>
        <v>0</v>
      </c>
      <c r="BB64" s="839">
        <f>Baselines!$CM308</f>
        <v>0</v>
      </c>
      <c r="BC64" s="466">
        <f t="shared" si="7"/>
        <v>0</v>
      </c>
      <c r="BD64" s="464">
        <f t="shared" si="24"/>
        <v>0</v>
      </c>
      <c r="BE64" s="755">
        <f t="shared" si="8"/>
        <v>0</v>
      </c>
      <c r="BF64" s="755">
        <f t="shared" si="25"/>
        <v>0</v>
      </c>
      <c r="BG64" s="466">
        <f t="shared" si="9"/>
        <v>0</v>
      </c>
      <c r="BH64" s="464">
        <f t="shared" si="10"/>
        <v>0</v>
      </c>
      <c r="BI64" s="755">
        <f t="shared" si="11"/>
        <v>0</v>
      </c>
      <c r="BJ64" s="755">
        <f t="shared" si="26"/>
        <v>0</v>
      </c>
      <c r="BK64" s="333">
        <f>IF(OR($C64&lt;&gt;"Early Retirement",$H64=""),0,IF(AND($G64&lt;&gt;"Air Cooled Chiller",$G64&lt;&gt;"Water Cooled Chiller"),VLOOKUP($H64,'Early Retirement'!$CI$6:$CL$33,2,FALSE),IF($J64&lt;&gt;"Centrifugal",VLOOKUP($H64,'Early Retirement'!$CI$6:$CL$33,3,FALSE),IF($J64="Centrifugal",VLOOKUP($H64,'Early Retirement'!$CI$6:$CL$33,4,FALSE),""))))</f>
        <v>0</v>
      </c>
      <c r="BL64" s="450">
        <f t="shared" si="12"/>
        <v>0</v>
      </c>
      <c r="BM64" s="553">
        <f>IFERROR('Utility Admin'!$I$4*((1+'Utility Admin'!$G$4)/('Utility Admin'!$H$4-'Utility Admin'!$G$4))*(1-((1+'Utility Admin'!$G$4)/(1+'Utility Admin'!$H$4))^$BK64)*$BG64,0)</f>
        <v>0</v>
      </c>
      <c r="BN64" s="553">
        <f>IFERROR('Utility Admin'!$I$4*((1+'Utility Admin'!$G$4)/('Utility Admin'!$H$4-'Utility Admin'!$G$4))*(1-((1+'Utility Admin'!$G$4)/(1+'Utility Admin'!$H$4))^$BL64)*((1+'Utility Admin'!$G$4)^$BK64/(1+'Utility Admin'!$H$4)^$BK64)*$BC64,0)</f>
        <v>0</v>
      </c>
      <c r="BO64" s="553">
        <f t="shared" si="27"/>
        <v>0</v>
      </c>
      <c r="BP64" s="553">
        <f>IFERROR('Utility Admin'!$J$4*((1+'Utility Admin'!$G$4)/('Utility Admin'!$H$4-'Utility Admin'!$G$4))*(1-((1+'Utility Admin'!$G$4)/(1+'Utility Admin'!$H$4))^$BK64)*$BJ64,0)</f>
        <v>0</v>
      </c>
      <c r="BQ64" s="553">
        <f>IFERROR('Utility Admin'!$J$4*((1+'Utility Admin'!$G$4)/('Utility Admin'!$H$4-'Utility Admin'!$G$4))*(1-((1+'Utility Admin'!$G$4)/(1+'Utility Admin'!$H$4))^$BL64)*((1+'Utility Admin'!$G$4)^$BK64/(1+'Utility Admin'!$H$4)^$BK64)*$BF64,0)</f>
        <v>0</v>
      </c>
      <c r="BR64" s="553">
        <f t="shared" si="28"/>
        <v>0</v>
      </c>
      <c r="BS64" s="553">
        <f>IFERROR('Utility Admin'!$I$4*((1+'Utility Admin'!$G$4)/('Utility Admin'!$H$4-'Utility Admin'!$G$4))*(1-((1+'Utility Admin'!$G$4)/(1+'Utility Admin'!$H$4))^$AT64),0)</f>
        <v>0</v>
      </c>
      <c r="BT64" s="553">
        <f>IFERROR('Utility Admin'!$J$4*((1+'Utility Admin'!$G$4)/('Utility Admin'!$H$4-'Utility Admin'!$G$4))*(1-((1+'Utility Admin'!$G$4)/(1+'Utility Admin'!$H$4))^$AT64),0)</f>
        <v>0</v>
      </c>
      <c r="BU64" s="459">
        <f t="shared" si="29"/>
        <v>0</v>
      </c>
      <c r="BV64" s="462">
        <f t="shared" si="30"/>
        <v>0</v>
      </c>
      <c r="BW64" s="219" t="str">
        <f t="shared" si="13"/>
        <v/>
      </c>
      <c r="BX64" s="250" t="str">
        <f t="shared" si="31"/>
        <v/>
      </c>
      <c r="BY64" s="250" t="str">
        <f t="shared" si="14"/>
        <v/>
      </c>
      <c r="BZ64" s="184">
        <f t="shared" si="32"/>
        <v>0</v>
      </c>
      <c r="CA64" s="693">
        <f t="shared" si="33"/>
        <v>0</v>
      </c>
      <c r="CB64" s="836">
        <f t="shared" si="34"/>
        <v>0</v>
      </c>
      <c r="CC64" s="693">
        <f>IF(AND($C64="Early Retirement",$H64&lt;&gt;"",$R64&lt;&gt;"",$T64&lt;&gt;""),$BZ64,Baselines!$CJ57)</f>
        <v>0</v>
      </c>
      <c r="CD64" s="693">
        <f>IF(AND($C64="Early Retirement",$H64&lt;&gt;"",$R64&lt;&gt;"",$T64&lt;&gt;""),$CA64,Baselines!$CK57)</f>
        <v>0</v>
      </c>
      <c r="CE64" s="182" t="str">
        <f>Baselines!$CL57</f>
        <v>kW/ton</v>
      </c>
      <c r="CF64" s="850" t="str">
        <f t="shared" si="15"/>
        <v/>
      </c>
      <c r="CG64" s="833">
        <f>IF(AND($C64="Early Retirement",$H64&lt;&gt;"",$R64&lt;&gt;"",$T64&lt;&gt;""),$CB64,IF(AND(Baselines!$CM57=0,OR($CL64="DX HP",$CL64="PTHP")),$BB64,Baselines!$CM57))</f>
        <v>0</v>
      </c>
      <c r="CH64" s="830" t="s">
        <v>567</v>
      </c>
      <c r="CI64" s="185" t="str">
        <f>IF(OR($C64="Replace-on-Burnout",$C64="New Construction"),$CT64,IF($BW64="","",VLOOKUP($D64,'Factor Tables'!$B$165:$H$192,MATCH($BW64,'Factor Tables'!$B$164:$H$164,0),FALSE)))</f>
        <v/>
      </c>
      <c r="CJ64" s="842" t="str">
        <f>IF(OR($C64="Replace-on-Burnout",$C64="New Construction"),$CU64,IF($BW64="","",IF($BW64="DX HP",VLOOKUP($D64,'Factor Tables'!$I$165:$Q$192,MATCH("DX HP Clg",'Factor Tables'!$I$164:$Q$164,0),FALSE),IF($BW64="PTHP",VLOOKUP($D64,'Factor Tables'!$I$165:$Q$192,MATCH("PTHP Clg",'Factor Tables'!$I$164:$Q$164,0),FALSE),IF(AND($BW64&lt;&gt;"DX HP",$BW64&lt;&gt;"PTHP"),VLOOKUP($D64,'Factor Tables'!$I$165:$Q$192,MATCH($BW64,'Factor Tables'!$I$164:$Q$164,0),FALSE),"")))))</f>
        <v/>
      </c>
      <c r="CK64" s="186" t="str">
        <f>IF(OR($C64="Replace-on-Burnout",$C64="New Construction",$CL64="DX HP",$CL64="PTHP"),$CV64,IF($BW64="","",IF($BW64="DX HP",VLOOKUP($D64,'Factor Tables'!$I$165:$Q$192,MATCH("DX HP Htg",'Factor Tables'!$I$164:$Q$164,0),FALSE),IF($BW64="PTHP",VLOOKUP($D64,'Factor Tables'!$I$165:$Q$192,MATCH("PTHP Htg",'Factor Tables'!$I$164:$Q$164,0),FALSE),0))))</f>
        <v/>
      </c>
      <c r="CL64" s="187" t="str">
        <f t="shared" si="16"/>
        <v/>
      </c>
      <c r="CM64" s="251" t="str">
        <f t="shared" si="17"/>
        <v/>
      </c>
      <c r="CN64" s="184">
        <f t="shared" si="35"/>
        <v>0</v>
      </c>
      <c r="CO64" s="693">
        <f t="shared" si="36"/>
        <v>0</v>
      </c>
      <c r="CP64" s="182" t="s">
        <v>46</v>
      </c>
      <c r="CQ64" s="852" t="str">
        <f t="shared" si="37"/>
        <v/>
      </c>
      <c r="CR64" s="833">
        <f t="shared" si="38"/>
        <v>0</v>
      </c>
      <c r="CS64" s="830" t="s">
        <v>567</v>
      </c>
      <c r="CT64" s="185" t="str">
        <f>IF($CL64="","",VLOOKUP($D64,'Factor Tables'!$B$165:$H$192,MATCH($CL64,'Factor Tables'!$B$164:$H$164,0),FALSE))</f>
        <v/>
      </c>
      <c r="CU64" s="842" t="str">
        <f>IF($CL64="","",IF(AND($CL64&lt;&gt;"DX HP",$CL64&lt;&gt;"PTHP"),VLOOKUP($D64,'Factor Tables'!$I$165:$Q$192,MATCH($CL64,'Factor Tables'!$I$164:$Q$164,0),FALSE),IF($CL64="DX HP",VLOOKUP($D64,'Factor Tables'!$I$165:$Q$192,MATCH("DX HP Clg",'Factor Tables'!$I$164:$Q$164,0),FALSE),IF($CL64="PTHP",VLOOKUP($D64,'Factor Tables'!$I$165:$Q$192,MATCH("PTHP Clg",'Factor Tables'!$I$164:$Q$164,0),FALSE),""))))</f>
        <v/>
      </c>
      <c r="CV64" s="186" t="str">
        <f>IF($CL64="","",IF(AND($CL64&lt;&gt;"DX HP",$CL64&lt;&gt;"PTHP"),0,IF($CL64="DX HP",VLOOKUP($D64,'Factor Tables'!$I$165:$Q$192,MATCH("DX HP Htg",'Factor Tables'!$I$164:$Q$164,0),FALSE),IF($CL64="PTHP",VLOOKUP($D64,'Factor Tables'!$I$165:$Q$192,MATCH("PTHP Htg",'Factor Tables'!$I$164:$Q$164,0),FALSE),""))))</f>
        <v/>
      </c>
      <c r="DD64" s="77" t="s">
        <v>54</v>
      </c>
      <c r="DE64" s="426"/>
      <c r="DI64" s="425"/>
      <c r="DJ64" s="425"/>
      <c r="DK64" s="425"/>
      <c r="DL64" s="425"/>
      <c r="DM64" s="493" t="s">
        <v>478</v>
      </c>
    </row>
    <row r="65" spans="2:117" s="427" customFormat="1" ht="21.95" customHeight="1" x14ac:dyDescent="0.25">
      <c r="B65" s="432">
        <v>56</v>
      </c>
      <c r="C65" s="499" t="str">
        <f t="shared" si="18"/>
        <v/>
      </c>
      <c r="D65" s="403" t="str">
        <f t="shared" si="19"/>
        <v/>
      </c>
      <c r="E65" s="541"/>
      <c r="F65" s="785"/>
      <c r="G65" s="728"/>
      <c r="H65" s="728"/>
      <c r="I65" s="728"/>
      <c r="J65" s="728"/>
      <c r="K65" s="728"/>
      <c r="L65" s="728"/>
      <c r="M65" s="764"/>
      <c r="N65" s="728"/>
      <c r="O65" s="764"/>
      <c r="P65" s="728"/>
      <c r="Q65" s="1142"/>
      <c r="R65" s="1133"/>
      <c r="S65" s="778"/>
      <c r="T65" s="767"/>
      <c r="U65" s="778"/>
      <c r="V65" s="751"/>
      <c r="W65" s="556"/>
      <c r="X65" s="785"/>
      <c r="Y65" s="542"/>
      <c r="Z65" s="500"/>
      <c r="AA65" s="500"/>
      <c r="AB65" s="500"/>
      <c r="AC65" s="500"/>
      <c r="AD65" s="529"/>
      <c r="AE65" s="527">
        <f t="shared" si="39"/>
        <v>0</v>
      </c>
      <c r="AF65" s="527">
        <f t="shared" si="40"/>
        <v>0</v>
      </c>
      <c r="AG65" s="527">
        <f t="shared" si="0"/>
        <v>0</v>
      </c>
      <c r="AH65" s="527">
        <f t="shared" si="1"/>
        <v>0</v>
      </c>
      <c r="AI65" s="527">
        <f t="shared" si="2"/>
        <v>0</v>
      </c>
      <c r="AJ65" s="527">
        <f t="shared" si="3"/>
        <v>999999999</v>
      </c>
      <c r="AK65" s="530"/>
      <c r="AL65" s="776"/>
      <c r="AM65" s="777"/>
      <c r="AN65" s="500"/>
      <c r="AO65" s="778"/>
      <c r="AP65" s="778"/>
      <c r="AQ65" s="500"/>
      <c r="AR65" s="531"/>
      <c r="AS65" s="403"/>
      <c r="AT65" s="524" t="str">
        <f t="shared" si="4"/>
        <v/>
      </c>
      <c r="AU65" s="311">
        <f t="shared" si="5"/>
        <v>0</v>
      </c>
      <c r="AV65" s="288">
        <f t="shared" si="22"/>
        <v>0</v>
      </c>
      <c r="AW65" s="290">
        <f>IF(ISERROR($AU65*'Utility Admin'!$E$4+$AV65*'Utility Admin'!$F$4),0,$AU65*'Utility Admin'!$E$4+$AV65*'Utility Admin'!$F$4)</f>
        <v>0</v>
      </c>
      <c r="AX65" s="323" t="str">
        <f t="shared" si="6"/>
        <v/>
      </c>
      <c r="AY65" s="322" t="str">
        <f t="shared" si="23"/>
        <v/>
      </c>
      <c r="AZ65" s="319">
        <f>Baselines!$CJ309</f>
        <v>0</v>
      </c>
      <c r="BA65" s="735">
        <f>Baselines!$CK309</f>
        <v>0</v>
      </c>
      <c r="BB65" s="839">
        <f>Baselines!$CM309</f>
        <v>0</v>
      </c>
      <c r="BC65" s="466">
        <f t="shared" si="7"/>
        <v>0</v>
      </c>
      <c r="BD65" s="464">
        <f t="shared" si="24"/>
        <v>0</v>
      </c>
      <c r="BE65" s="755">
        <f t="shared" si="8"/>
        <v>0</v>
      </c>
      <c r="BF65" s="755">
        <f t="shared" si="25"/>
        <v>0</v>
      </c>
      <c r="BG65" s="466">
        <f t="shared" si="9"/>
        <v>0</v>
      </c>
      <c r="BH65" s="464">
        <f t="shared" si="10"/>
        <v>0</v>
      </c>
      <c r="BI65" s="755">
        <f t="shared" si="11"/>
        <v>0</v>
      </c>
      <c r="BJ65" s="755">
        <f t="shared" si="26"/>
        <v>0</v>
      </c>
      <c r="BK65" s="333">
        <f>IF(OR($C65&lt;&gt;"Early Retirement",$H65=""),0,IF(AND($G65&lt;&gt;"Air Cooled Chiller",$G65&lt;&gt;"Water Cooled Chiller"),VLOOKUP($H65,'Early Retirement'!$CI$6:$CL$33,2,FALSE),IF($J65&lt;&gt;"Centrifugal",VLOOKUP($H65,'Early Retirement'!$CI$6:$CL$33,3,FALSE),IF($J65="Centrifugal",VLOOKUP($H65,'Early Retirement'!$CI$6:$CL$33,4,FALSE),""))))</f>
        <v>0</v>
      </c>
      <c r="BL65" s="450">
        <f t="shared" si="12"/>
        <v>0</v>
      </c>
      <c r="BM65" s="553">
        <f>IFERROR('Utility Admin'!$I$4*((1+'Utility Admin'!$G$4)/('Utility Admin'!$H$4-'Utility Admin'!$G$4))*(1-((1+'Utility Admin'!$G$4)/(1+'Utility Admin'!$H$4))^$BK65)*$BG65,0)</f>
        <v>0</v>
      </c>
      <c r="BN65" s="553">
        <f>IFERROR('Utility Admin'!$I$4*((1+'Utility Admin'!$G$4)/('Utility Admin'!$H$4-'Utility Admin'!$G$4))*(1-((1+'Utility Admin'!$G$4)/(1+'Utility Admin'!$H$4))^$BL65)*((1+'Utility Admin'!$G$4)^$BK65/(1+'Utility Admin'!$H$4)^$BK65)*$BC65,0)</f>
        <v>0</v>
      </c>
      <c r="BO65" s="553">
        <f t="shared" si="27"/>
        <v>0</v>
      </c>
      <c r="BP65" s="553">
        <f>IFERROR('Utility Admin'!$J$4*((1+'Utility Admin'!$G$4)/('Utility Admin'!$H$4-'Utility Admin'!$G$4))*(1-((1+'Utility Admin'!$G$4)/(1+'Utility Admin'!$H$4))^$BK65)*$BJ65,0)</f>
        <v>0</v>
      </c>
      <c r="BQ65" s="553">
        <f>IFERROR('Utility Admin'!$J$4*((1+'Utility Admin'!$G$4)/('Utility Admin'!$H$4-'Utility Admin'!$G$4))*(1-((1+'Utility Admin'!$G$4)/(1+'Utility Admin'!$H$4))^$BL65)*((1+'Utility Admin'!$G$4)^$BK65/(1+'Utility Admin'!$H$4)^$BK65)*$BF65,0)</f>
        <v>0</v>
      </c>
      <c r="BR65" s="553">
        <f t="shared" si="28"/>
        <v>0</v>
      </c>
      <c r="BS65" s="553">
        <f>IFERROR('Utility Admin'!$I$4*((1+'Utility Admin'!$G$4)/('Utility Admin'!$H$4-'Utility Admin'!$G$4))*(1-((1+'Utility Admin'!$G$4)/(1+'Utility Admin'!$H$4))^$AT65),0)</f>
        <v>0</v>
      </c>
      <c r="BT65" s="553">
        <f>IFERROR('Utility Admin'!$J$4*((1+'Utility Admin'!$G$4)/('Utility Admin'!$H$4-'Utility Admin'!$G$4))*(1-((1+'Utility Admin'!$G$4)/(1+'Utility Admin'!$H$4))^$AT65),0)</f>
        <v>0</v>
      </c>
      <c r="BU65" s="459">
        <f t="shared" si="29"/>
        <v>0</v>
      </c>
      <c r="BV65" s="462">
        <f t="shared" si="30"/>
        <v>0</v>
      </c>
      <c r="BW65" s="219" t="str">
        <f t="shared" si="13"/>
        <v/>
      </c>
      <c r="BX65" s="250" t="str">
        <f t="shared" si="31"/>
        <v/>
      </c>
      <c r="BY65" s="250" t="str">
        <f t="shared" si="14"/>
        <v/>
      </c>
      <c r="BZ65" s="184">
        <f t="shared" si="32"/>
        <v>0</v>
      </c>
      <c r="CA65" s="693">
        <f t="shared" si="33"/>
        <v>0</v>
      </c>
      <c r="CB65" s="836">
        <f t="shared" si="34"/>
        <v>0</v>
      </c>
      <c r="CC65" s="693">
        <f>IF(AND($C65="Early Retirement",$H65&lt;&gt;"",$R65&lt;&gt;"",$T65&lt;&gt;""),$BZ65,Baselines!$CJ58)</f>
        <v>0</v>
      </c>
      <c r="CD65" s="693">
        <f>IF(AND($C65="Early Retirement",$H65&lt;&gt;"",$R65&lt;&gt;"",$T65&lt;&gt;""),$CA65,Baselines!$CK58)</f>
        <v>0</v>
      </c>
      <c r="CE65" s="182" t="str">
        <f>Baselines!$CL58</f>
        <v>kW/ton</v>
      </c>
      <c r="CF65" s="850" t="str">
        <f t="shared" si="15"/>
        <v/>
      </c>
      <c r="CG65" s="833">
        <f>IF(AND($C65="Early Retirement",$H65&lt;&gt;"",$R65&lt;&gt;"",$T65&lt;&gt;""),$CB65,IF(AND(Baselines!$CM58=0,OR($CL65="DX HP",$CL65="PTHP")),$BB65,Baselines!$CM58))</f>
        <v>0</v>
      </c>
      <c r="CH65" s="830" t="s">
        <v>567</v>
      </c>
      <c r="CI65" s="185" t="str">
        <f>IF(OR($C65="Replace-on-Burnout",$C65="New Construction"),$CT65,IF($BW65="","",VLOOKUP($D65,'Factor Tables'!$B$165:$H$192,MATCH($BW65,'Factor Tables'!$B$164:$H$164,0),FALSE)))</f>
        <v/>
      </c>
      <c r="CJ65" s="842" t="str">
        <f>IF(OR($C65="Replace-on-Burnout",$C65="New Construction"),$CU65,IF($BW65="","",IF($BW65="DX HP",VLOOKUP($D65,'Factor Tables'!$I$165:$Q$192,MATCH("DX HP Clg",'Factor Tables'!$I$164:$Q$164,0),FALSE),IF($BW65="PTHP",VLOOKUP($D65,'Factor Tables'!$I$165:$Q$192,MATCH("PTHP Clg",'Factor Tables'!$I$164:$Q$164,0),FALSE),IF(AND($BW65&lt;&gt;"DX HP",$BW65&lt;&gt;"PTHP"),VLOOKUP($D65,'Factor Tables'!$I$165:$Q$192,MATCH($BW65,'Factor Tables'!$I$164:$Q$164,0),FALSE),"")))))</f>
        <v/>
      </c>
      <c r="CK65" s="186" t="str">
        <f>IF(OR($C65="Replace-on-Burnout",$C65="New Construction",$CL65="DX HP",$CL65="PTHP"),$CV65,IF($BW65="","",IF($BW65="DX HP",VLOOKUP($D65,'Factor Tables'!$I$165:$Q$192,MATCH("DX HP Htg",'Factor Tables'!$I$164:$Q$164,0),FALSE),IF($BW65="PTHP",VLOOKUP($D65,'Factor Tables'!$I$165:$Q$192,MATCH("PTHP Htg",'Factor Tables'!$I$164:$Q$164,0),FALSE),0))))</f>
        <v/>
      </c>
      <c r="CL65" s="187" t="str">
        <f t="shared" si="16"/>
        <v/>
      </c>
      <c r="CM65" s="251" t="str">
        <f t="shared" si="17"/>
        <v/>
      </c>
      <c r="CN65" s="184">
        <f t="shared" si="35"/>
        <v>0</v>
      </c>
      <c r="CO65" s="693">
        <f t="shared" si="36"/>
        <v>0</v>
      </c>
      <c r="CP65" s="182" t="s">
        <v>46</v>
      </c>
      <c r="CQ65" s="852" t="str">
        <f t="shared" si="37"/>
        <v/>
      </c>
      <c r="CR65" s="833">
        <f t="shared" si="38"/>
        <v>0</v>
      </c>
      <c r="CS65" s="830" t="s">
        <v>567</v>
      </c>
      <c r="CT65" s="185" t="str">
        <f>IF($CL65="","",VLOOKUP($D65,'Factor Tables'!$B$165:$H$192,MATCH($CL65,'Factor Tables'!$B$164:$H$164,0),FALSE))</f>
        <v/>
      </c>
      <c r="CU65" s="842" t="str">
        <f>IF($CL65="","",IF(AND($CL65&lt;&gt;"DX HP",$CL65&lt;&gt;"PTHP"),VLOOKUP($D65,'Factor Tables'!$I$165:$Q$192,MATCH($CL65,'Factor Tables'!$I$164:$Q$164,0),FALSE),IF($CL65="DX HP",VLOOKUP($D65,'Factor Tables'!$I$165:$Q$192,MATCH("DX HP Clg",'Factor Tables'!$I$164:$Q$164,0),FALSE),IF($CL65="PTHP",VLOOKUP($D65,'Factor Tables'!$I$165:$Q$192,MATCH("PTHP Clg",'Factor Tables'!$I$164:$Q$164,0),FALSE),""))))</f>
        <v/>
      </c>
      <c r="CV65" s="186" t="str">
        <f>IF($CL65="","",IF(AND($CL65&lt;&gt;"DX HP",$CL65&lt;&gt;"PTHP"),0,IF($CL65="DX HP",VLOOKUP($D65,'Factor Tables'!$I$165:$Q$192,MATCH("DX HP Htg",'Factor Tables'!$I$164:$Q$164,0),FALSE),IF($CL65="PTHP",VLOOKUP($D65,'Factor Tables'!$I$165:$Q$192,MATCH("PTHP Htg",'Factor Tables'!$I$164:$Q$164,0),FALSE),""))))</f>
        <v/>
      </c>
      <c r="DD65" s="77"/>
      <c r="DE65" s="426"/>
      <c r="DI65" s="425"/>
      <c r="DJ65" s="425"/>
      <c r="DK65" s="425"/>
      <c r="DL65" s="425"/>
      <c r="DM65" s="493" t="s">
        <v>478</v>
      </c>
    </row>
    <row r="66" spans="2:117" s="427" customFormat="1" ht="21.95" customHeight="1" x14ac:dyDescent="0.25">
      <c r="B66" s="431">
        <v>57</v>
      </c>
      <c r="C66" s="501" t="str">
        <f t="shared" si="18"/>
        <v/>
      </c>
      <c r="D66" s="502" t="str">
        <f t="shared" si="19"/>
        <v/>
      </c>
      <c r="E66" s="546"/>
      <c r="F66" s="547"/>
      <c r="G66" s="729"/>
      <c r="H66" s="729"/>
      <c r="I66" s="729"/>
      <c r="J66" s="729"/>
      <c r="K66" s="729"/>
      <c r="L66" s="729"/>
      <c r="M66" s="765"/>
      <c r="N66" s="758"/>
      <c r="O66" s="765"/>
      <c r="P66" s="758"/>
      <c r="Q66" s="1143"/>
      <c r="R66" s="1134"/>
      <c r="S66" s="775"/>
      <c r="T66" s="729"/>
      <c r="U66" s="775"/>
      <c r="V66" s="779"/>
      <c r="W66" s="557"/>
      <c r="X66" s="788"/>
      <c r="Y66" s="543"/>
      <c r="Z66" s="281"/>
      <c r="AA66" s="281"/>
      <c r="AB66" s="281"/>
      <c r="AC66" s="281"/>
      <c r="AD66" s="492"/>
      <c r="AE66" s="527">
        <f t="shared" si="39"/>
        <v>0</v>
      </c>
      <c r="AF66" s="527">
        <f t="shared" si="40"/>
        <v>0</v>
      </c>
      <c r="AG66" s="527">
        <f t="shared" si="0"/>
        <v>0</v>
      </c>
      <c r="AH66" s="527">
        <f t="shared" si="1"/>
        <v>0</v>
      </c>
      <c r="AI66" s="527">
        <f t="shared" si="2"/>
        <v>0</v>
      </c>
      <c r="AJ66" s="527">
        <f t="shared" si="3"/>
        <v>999999999</v>
      </c>
      <c r="AK66" s="471"/>
      <c r="AL66" s="765"/>
      <c r="AM66" s="758"/>
      <c r="AN66" s="281"/>
      <c r="AO66" s="775"/>
      <c r="AP66" s="775"/>
      <c r="AQ66" s="281"/>
      <c r="AR66" s="528"/>
      <c r="AS66" s="532"/>
      <c r="AT66" s="524" t="str">
        <f t="shared" si="4"/>
        <v/>
      </c>
      <c r="AU66" s="311">
        <f t="shared" si="5"/>
        <v>0</v>
      </c>
      <c r="AV66" s="288">
        <f t="shared" si="22"/>
        <v>0</v>
      </c>
      <c r="AW66" s="290">
        <f>IF(ISERROR($AU66*'Utility Admin'!$E$4+$AV66*'Utility Admin'!$F$4),0,$AU66*'Utility Admin'!$E$4+$AV66*'Utility Admin'!$F$4)</f>
        <v>0</v>
      </c>
      <c r="AX66" s="323" t="str">
        <f t="shared" si="6"/>
        <v/>
      </c>
      <c r="AY66" s="322" t="str">
        <f t="shared" si="23"/>
        <v/>
      </c>
      <c r="AZ66" s="319">
        <f>Baselines!$CJ310</f>
        <v>0</v>
      </c>
      <c r="BA66" s="735">
        <f>Baselines!$CK310</f>
        <v>0</v>
      </c>
      <c r="BB66" s="839">
        <f>Baselines!$CM310</f>
        <v>0</v>
      </c>
      <c r="BC66" s="466">
        <f t="shared" si="7"/>
        <v>0</v>
      </c>
      <c r="BD66" s="464">
        <f t="shared" si="24"/>
        <v>0</v>
      </c>
      <c r="BE66" s="755">
        <f t="shared" si="8"/>
        <v>0</v>
      </c>
      <c r="BF66" s="755">
        <f t="shared" si="25"/>
        <v>0</v>
      </c>
      <c r="BG66" s="466">
        <f t="shared" si="9"/>
        <v>0</v>
      </c>
      <c r="BH66" s="464">
        <f t="shared" si="10"/>
        <v>0</v>
      </c>
      <c r="BI66" s="755">
        <f t="shared" si="11"/>
        <v>0</v>
      </c>
      <c r="BJ66" s="755">
        <f t="shared" si="26"/>
        <v>0</v>
      </c>
      <c r="BK66" s="333">
        <f>IF(OR($C66&lt;&gt;"Early Retirement",$H66=""),0,IF(AND($G66&lt;&gt;"Air Cooled Chiller",$G66&lt;&gt;"Water Cooled Chiller"),VLOOKUP($H66,'Early Retirement'!$CI$6:$CL$33,2,FALSE),IF($J66&lt;&gt;"Centrifugal",VLOOKUP($H66,'Early Retirement'!$CI$6:$CL$33,3,FALSE),IF($J66="Centrifugal",VLOOKUP($H66,'Early Retirement'!$CI$6:$CL$33,4,FALSE),""))))</f>
        <v>0</v>
      </c>
      <c r="BL66" s="450">
        <f t="shared" si="12"/>
        <v>0</v>
      </c>
      <c r="BM66" s="553">
        <f>IFERROR('Utility Admin'!$I$4*((1+'Utility Admin'!$G$4)/('Utility Admin'!$H$4-'Utility Admin'!$G$4))*(1-((1+'Utility Admin'!$G$4)/(1+'Utility Admin'!$H$4))^$BK66)*$BG66,0)</f>
        <v>0</v>
      </c>
      <c r="BN66" s="553">
        <f>IFERROR('Utility Admin'!$I$4*((1+'Utility Admin'!$G$4)/('Utility Admin'!$H$4-'Utility Admin'!$G$4))*(1-((1+'Utility Admin'!$G$4)/(1+'Utility Admin'!$H$4))^$BL66)*((1+'Utility Admin'!$G$4)^$BK66/(1+'Utility Admin'!$H$4)^$BK66)*$BC66,0)</f>
        <v>0</v>
      </c>
      <c r="BO66" s="553">
        <f t="shared" si="27"/>
        <v>0</v>
      </c>
      <c r="BP66" s="553">
        <f>IFERROR('Utility Admin'!$J$4*((1+'Utility Admin'!$G$4)/('Utility Admin'!$H$4-'Utility Admin'!$G$4))*(1-((1+'Utility Admin'!$G$4)/(1+'Utility Admin'!$H$4))^$BK66)*$BJ66,0)</f>
        <v>0</v>
      </c>
      <c r="BQ66" s="553">
        <f>IFERROR('Utility Admin'!$J$4*((1+'Utility Admin'!$G$4)/('Utility Admin'!$H$4-'Utility Admin'!$G$4))*(1-((1+'Utility Admin'!$G$4)/(1+'Utility Admin'!$H$4))^$BL66)*((1+'Utility Admin'!$G$4)^$BK66/(1+'Utility Admin'!$H$4)^$BK66)*$BF66,0)</f>
        <v>0</v>
      </c>
      <c r="BR66" s="553">
        <f t="shared" si="28"/>
        <v>0</v>
      </c>
      <c r="BS66" s="553">
        <f>IFERROR('Utility Admin'!$I$4*((1+'Utility Admin'!$G$4)/('Utility Admin'!$H$4-'Utility Admin'!$G$4))*(1-((1+'Utility Admin'!$G$4)/(1+'Utility Admin'!$H$4))^$AT66),0)</f>
        <v>0</v>
      </c>
      <c r="BT66" s="553">
        <f>IFERROR('Utility Admin'!$J$4*((1+'Utility Admin'!$G$4)/('Utility Admin'!$H$4-'Utility Admin'!$G$4))*(1-((1+'Utility Admin'!$G$4)/(1+'Utility Admin'!$H$4))^$AT66),0)</f>
        <v>0</v>
      </c>
      <c r="BU66" s="459">
        <f t="shared" si="29"/>
        <v>0</v>
      </c>
      <c r="BV66" s="462">
        <f t="shared" si="30"/>
        <v>0</v>
      </c>
      <c r="BW66" s="219" t="str">
        <f t="shared" si="13"/>
        <v/>
      </c>
      <c r="BX66" s="250" t="str">
        <f t="shared" si="31"/>
        <v/>
      </c>
      <c r="BY66" s="250" t="str">
        <f t="shared" si="14"/>
        <v/>
      </c>
      <c r="BZ66" s="184">
        <f t="shared" si="32"/>
        <v>0</v>
      </c>
      <c r="CA66" s="693">
        <f t="shared" si="33"/>
        <v>0</v>
      </c>
      <c r="CB66" s="836">
        <f t="shared" si="34"/>
        <v>0</v>
      </c>
      <c r="CC66" s="693">
        <f>IF(AND($C66="Early Retirement",$H66&lt;&gt;"",$R66&lt;&gt;"",$T66&lt;&gt;""),$BZ66,Baselines!$CJ59)</f>
        <v>0</v>
      </c>
      <c r="CD66" s="693">
        <f>IF(AND($C66="Early Retirement",$H66&lt;&gt;"",$R66&lt;&gt;"",$T66&lt;&gt;""),$CA66,Baselines!$CK59)</f>
        <v>0</v>
      </c>
      <c r="CE66" s="182" t="str">
        <f>Baselines!$CL59</f>
        <v>kW/ton</v>
      </c>
      <c r="CF66" s="850" t="str">
        <f t="shared" si="15"/>
        <v/>
      </c>
      <c r="CG66" s="833">
        <f>IF(AND($C66="Early Retirement",$H66&lt;&gt;"",$R66&lt;&gt;"",$T66&lt;&gt;""),$CB66,IF(AND(Baselines!$CM59=0,OR($CL66="DX HP",$CL66="PTHP")),$BB66,Baselines!$CM59))</f>
        <v>0</v>
      </c>
      <c r="CH66" s="830" t="s">
        <v>567</v>
      </c>
      <c r="CI66" s="185" t="str">
        <f>IF(OR($C66="Replace-on-Burnout",$C66="New Construction"),$CT66,IF($BW66="","",VLOOKUP($D66,'Factor Tables'!$B$165:$H$192,MATCH($BW66,'Factor Tables'!$B$164:$H$164,0),FALSE)))</f>
        <v/>
      </c>
      <c r="CJ66" s="842" t="str">
        <f>IF(OR($C66="Replace-on-Burnout",$C66="New Construction"),$CU66,IF($BW66="","",IF($BW66="DX HP",VLOOKUP($D66,'Factor Tables'!$I$165:$Q$192,MATCH("DX HP Clg",'Factor Tables'!$I$164:$Q$164,0),FALSE),IF($BW66="PTHP",VLOOKUP($D66,'Factor Tables'!$I$165:$Q$192,MATCH("PTHP Clg",'Factor Tables'!$I$164:$Q$164,0),FALSE),IF(AND($BW66&lt;&gt;"DX HP",$BW66&lt;&gt;"PTHP"),VLOOKUP($D66,'Factor Tables'!$I$165:$Q$192,MATCH($BW66,'Factor Tables'!$I$164:$Q$164,0),FALSE),"")))))</f>
        <v/>
      </c>
      <c r="CK66" s="186" t="str">
        <f>IF(OR($C66="Replace-on-Burnout",$C66="New Construction",$CL66="DX HP",$CL66="PTHP"),$CV66,IF($BW66="","",IF($BW66="DX HP",VLOOKUP($D66,'Factor Tables'!$I$165:$Q$192,MATCH("DX HP Htg",'Factor Tables'!$I$164:$Q$164,0),FALSE),IF($BW66="PTHP",VLOOKUP($D66,'Factor Tables'!$I$165:$Q$192,MATCH("PTHP Htg",'Factor Tables'!$I$164:$Q$164,0),FALSE),0))))</f>
        <v/>
      </c>
      <c r="CL66" s="187" t="str">
        <f t="shared" si="16"/>
        <v/>
      </c>
      <c r="CM66" s="251" t="str">
        <f t="shared" si="17"/>
        <v/>
      </c>
      <c r="CN66" s="184">
        <f t="shared" si="35"/>
        <v>0</v>
      </c>
      <c r="CO66" s="693">
        <f t="shared" si="36"/>
        <v>0</v>
      </c>
      <c r="CP66" s="182" t="s">
        <v>46</v>
      </c>
      <c r="CQ66" s="852" t="str">
        <f t="shared" si="37"/>
        <v/>
      </c>
      <c r="CR66" s="833">
        <f t="shared" si="38"/>
        <v>0</v>
      </c>
      <c r="CS66" s="830" t="s">
        <v>567</v>
      </c>
      <c r="CT66" s="185" t="str">
        <f>IF($CL66="","",VLOOKUP($D66,'Factor Tables'!$B$165:$H$192,MATCH($CL66,'Factor Tables'!$B$164:$H$164,0),FALSE))</f>
        <v/>
      </c>
      <c r="CU66" s="842" t="str">
        <f>IF($CL66="","",IF(AND($CL66&lt;&gt;"DX HP",$CL66&lt;&gt;"PTHP"),VLOOKUP($D66,'Factor Tables'!$I$165:$Q$192,MATCH($CL66,'Factor Tables'!$I$164:$Q$164,0),FALSE),IF($CL66="DX HP",VLOOKUP($D66,'Factor Tables'!$I$165:$Q$192,MATCH("DX HP Clg",'Factor Tables'!$I$164:$Q$164,0),FALSE),IF($CL66="PTHP",VLOOKUP($D66,'Factor Tables'!$I$165:$Q$192,MATCH("PTHP Clg",'Factor Tables'!$I$164:$Q$164,0),FALSE),""))))</f>
        <v/>
      </c>
      <c r="CV66" s="186" t="str">
        <f>IF($CL66="","",IF(AND($CL66&lt;&gt;"DX HP",$CL66&lt;&gt;"PTHP"),0,IF($CL66="DX HP",VLOOKUP($D66,'Factor Tables'!$I$165:$Q$192,MATCH("DX HP Htg",'Factor Tables'!$I$164:$Q$164,0),FALSE),IF($CL66="PTHP",VLOOKUP($D66,'Factor Tables'!$I$165:$Q$192,MATCH("PTHP Htg",'Factor Tables'!$I$164:$Q$164,0),FALSE),""))))</f>
        <v/>
      </c>
      <c r="DD66" s="193" t="s">
        <v>351</v>
      </c>
      <c r="DE66" s="426"/>
      <c r="DI66" s="425"/>
      <c r="DJ66" s="425"/>
      <c r="DK66" s="425"/>
      <c r="DL66" s="425"/>
      <c r="DM66" s="493" t="s">
        <v>478</v>
      </c>
    </row>
    <row r="67" spans="2:117" s="427" customFormat="1" ht="21.95" customHeight="1" x14ac:dyDescent="0.25">
      <c r="B67" s="432">
        <v>58</v>
      </c>
      <c r="C67" s="499" t="str">
        <f t="shared" si="18"/>
        <v/>
      </c>
      <c r="D67" s="403" t="str">
        <f t="shared" si="19"/>
        <v/>
      </c>
      <c r="E67" s="541"/>
      <c r="F67" s="785"/>
      <c r="G67" s="728"/>
      <c r="H67" s="728"/>
      <c r="I67" s="728"/>
      <c r="J67" s="728"/>
      <c r="K67" s="728"/>
      <c r="L67" s="728"/>
      <c r="M67" s="764"/>
      <c r="N67" s="728"/>
      <c r="O67" s="764"/>
      <c r="P67" s="728"/>
      <c r="Q67" s="1142"/>
      <c r="R67" s="1133"/>
      <c r="S67" s="778"/>
      <c r="T67" s="767"/>
      <c r="U67" s="778"/>
      <c r="V67" s="751"/>
      <c r="W67" s="556"/>
      <c r="X67" s="785"/>
      <c r="Y67" s="542"/>
      <c r="Z67" s="500"/>
      <c r="AA67" s="500"/>
      <c r="AB67" s="500"/>
      <c r="AC67" s="500"/>
      <c r="AD67" s="529"/>
      <c r="AE67" s="527">
        <f t="shared" si="39"/>
        <v>0</v>
      </c>
      <c r="AF67" s="527">
        <f t="shared" si="40"/>
        <v>0</v>
      </c>
      <c r="AG67" s="527">
        <f t="shared" si="0"/>
        <v>0</v>
      </c>
      <c r="AH67" s="527">
        <f t="shared" si="1"/>
        <v>0</v>
      </c>
      <c r="AI67" s="527">
        <f t="shared" si="2"/>
        <v>0</v>
      </c>
      <c r="AJ67" s="527">
        <f t="shared" si="3"/>
        <v>999999999</v>
      </c>
      <c r="AK67" s="530"/>
      <c r="AL67" s="776"/>
      <c r="AM67" s="777"/>
      <c r="AN67" s="500"/>
      <c r="AO67" s="778"/>
      <c r="AP67" s="778"/>
      <c r="AQ67" s="500"/>
      <c r="AR67" s="531"/>
      <c r="AS67" s="403"/>
      <c r="AT67" s="524" t="str">
        <f t="shared" si="4"/>
        <v/>
      </c>
      <c r="AU67" s="311">
        <f t="shared" si="5"/>
        <v>0</v>
      </c>
      <c r="AV67" s="288">
        <f t="shared" si="22"/>
        <v>0</v>
      </c>
      <c r="AW67" s="290">
        <f>IF(ISERROR($AU67*'Utility Admin'!$E$4+$AV67*'Utility Admin'!$F$4),0,$AU67*'Utility Admin'!$E$4+$AV67*'Utility Admin'!$F$4)</f>
        <v>0</v>
      </c>
      <c r="AX67" s="323" t="str">
        <f t="shared" si="6"/>
        <v/>
      </c>
      <c r="AY67" s="322" t="str">
        <f t="shared" si="23"/>
        <v/>
      </c>
      <c r="AZ67" s="319">
        <f>Baselines!$CJ311</f>
        <v>0</v>
      </c>
      <c r="BA67" s="735">
        <f>Baselines!$CK311</f>
        <v>0</v>
      </c>
      <c r="BB67" s="839">
        <f>Baselines!$CM311</f>
        <v>0</v>
      </c>
      <c r="BC67" s="466">
        <f t="shared" si="7"/>
        <v>0</v>
      </c>
      <c r="BD67" s="464">
        <f t="shared" si="24"/>
        <v>0</v>
      </c>
      <c r="BE67" s="755">
        <f t="shared" si="8"/>
        <v>0</v>
      </c>
      <c r="BF67" s="755">
        <f t="shared" si="25"/>
        <v>0</v>
      </c>
      <c r="BG67" s="466">
        <f t="shared" si="9"/>
        <v>0</v>
      </c>
      <c r="BH67" s="464">
        <f t="shared" si="10"/>
        <v>0</v>
      </c>
      <c r="BI67" s="755">
        <f t="shared" si="11"/>
        <v>0</v>
      </c>
      <c r="BJ67" s="755">
        <f t="shared" si="26"/>
        <v>0</v>
      </c>
      <c r="BK67" s="333">
        <f>IF(OR($C67&lt;&gt;"Early Retirement",$H67=""),0,IF(AND($G67&lt;&gt;"Air Cooled Chiller",$G67&lt;&gt;"Water Cooled Chiller"),VLOOKUP($H67,'Early Retirement'!$CI$6:$CL$33,2,FALSE),IF($J67&lt;&gt;"Centrifugal",VLOOKUP($H67,'Early Retirement'!$CI$6:$CL$33,3,FALSE),IF($J67="Centrifugal",VLOOKUP($H67,'Early Retirement'!$CI$6:$CL$33,4,FALSE),""))))</f>
        <v>0</v>
      </c>
      <c r="BL67" s="450">
        <f t="shared" si="12"/>
        <v>0</v>
      </c>
      <c r="BM67" s="553">
        <f>IFERROR('Utility Admin'!$I$4*((1+'Utility Admin'!$G$4)/('Utility Admin'!$H$4-'Utility Admin'!$G$4))*(1-((1+'Utility Admin'!$G$4)/(1+'Utility Admin'!$H$4))^$BK67)*$BG67,0)</f>
        <v>0</v>
      </c>
      <c r="BN67" s="553">
        <f>IFERROR('Utility Admin'!$I$4*((1+'Utility Admin'!$G$4)/('Utility Admin'!$H$4-'Utility Admin'!$G$4))*(1-((1+'Utility Admin'!$G$4)/(1+'Utility Admin'!$H$4))^$BL67)*((1+'Utility Admin'!$G$4)^$BK67/(1+'Utility Admin'!$H$4)^$BK67)*$BC67,0)</f>
        <v>0</v>
      </c>
      <c r="BO67" s="553">
        <f t="shared" si="27"/>
        <v>0</v>
      </c>
      <c r="BP67" s="553">
        <f>IFERROR('Utility Admin'!$J$4*((1+'Utility Admin'!$G$4)/('Utility Admin'!$H$4-'Utility Admin'!$G$4))*(1-((1+'Utility Admin'!$G$4)/(1+'Utility Admin'!$H$4))^$BK67)*$BJ67,0)</f>
        <v>0</v>
      </c>
      <c r="BQ67" s="553">
        <f>IFERROR('Utility Admin'!$J$4*((1+'Utility Admin'!$G$4)/('Utility Admin'!$H$4-'Utility Admin'!$G$4))*(1-((1+'Utility Admin'!$G$4)/(1+'Utility Admin'!$H$4))^$BL67)*((1+'Utility Admin'!$G$4)^$BK67/(1+'Utility Admin'!$H$4)^$BK67)*$BF67,0)</f>
        <v>0</v>
      </c>
      <c r="BR67" s="553">
        <f t="shared" si="28"/>
        <v>0</v>
      </c>
      <c r="BS67" s="553">
        <f>IFERROR('Utility Admin'!$I$4*((1+'Utility Admin'!$G$4)/('Utility Admin'!$H$4-'Utility Admin'!$G$4))*(1-((1+'Utility Admin'!$G$4)/(1+'Utility Admin'!$H$4))^$AT67),0)</f>
        <v>0</v>
      </c>
      <c r="BT67" s="553">
        <f>IFERROR('Utility Admin'!$J$4*((1+'Utility Admin'!$G$4)/('Utility Admin'!$H$4-'Utility Admin'!$G$4))*(1-((1+'Utility Admin'!$G$4)/(1+'Utility Admin'!$H$4))^$AT67),0)</f>
        <v>0</v>
      </c>
      <c r="BU67" s="459">
        <f t="shared" si="29"/>
        <v>0</v>
      </c>
      <c r="BV67" s="462">
        <f t="shared" si="30"/>
        <v>0</v>
      </c>
      <c r="BW67" s="219" t="str">
        <f t="shared" si="13"/>
        <v/>
      </c>
      <c r="BX67" s="250" t="str">
        <f t="shared" si="31"/>
        <v/>
      </c>
      <c r="BY67" s="250" t="str">
        <f t="shared" si="14"/>
        <v/>
      </c>
      <c r="BZ67" s="184">
        <f t="shared" si="32"/>
        <v>0</v>
      </c>
      <c r="CA67" s="693">
        <f t="shared" si="33"/>
        <v>0</v>
      </c>
      <c r="CB67" s="836">
        <f t="shared" si="34"/>
        <v>0</v>
      </c>
      <c r="CC67" s="693">
        <f>IF(AND($C67="Early Retirement",$H67&lt;&gt;"",$R67&lt;&gt;"",$T67&lt;&gt;""),$BZ67,Baselines!$CJ60)</f>
        <v>0</v>
      </c>
      <c r="CD67" s="693">
        <f>IF(AND($C67="Early Retirement",$H67&lt;&gt;"",$R67&lt;&gt;"",$T67&lt;&gt;""),$CA67,Baselines!$CK60)</f>
        <v>0</v>
      </c>
      <c r="CE67" s="182" t="str">
        <f>Baselines!$CL60</f>
        <v>kW/ton</v>
      </c>
      <c r="CF67" s="850" t="str">
        <f t="shared" si="15"/>
        <v/>
      </c>
      <c r="CG67" s="833">
        <f>IF(AND($C67="Early Retirement",$H67&lt;&gt;"",$R67&lt;&gt;"",$T67&lt;&gt;""),$CB67,IF(AND(Baselines!$CM60=0,OR($CL67="DX HP",$CL67="PTHP")),$BB67,Baselines!$CM60))</f>
        <v>0</v>
      </c>
      <c r="CH67" s="830" t="s">
        <v>567</v>
      </c>
      <c r="CI67" s="185" t="str">
        <f>IF(OR($C67="Replace-on-Burnout",$C67="New Construction"),$CT67,IF($BW67="","",VLOOKUP($D67,'Factor Tables'!$B$165:$H$192,MATCH($BW67,'Factor Tables'!$B$164:$H$164,0),FALSE)))</f>
        <v/>
      </c>
      <c r="CJ67" s="842" t="str">
        <f>IF(OR($C67="Replace-on-Burnout",$C67="New Construction"),$CU67,IF($BW67="","",IF($BW67="DX HP",VLOOKUP($D67,'Factor Tables'!$I$165:$Q$192,MATCH("DX HP Clg",'Factor Tables'!$I$164:$Q$164,0),FALSE),IF($BW67="PTHP",VLOOKUP($D67,'Factor Tables'!$I$165:$Q$192,MATCH("PTHP Clg",'Factor Tables'!$I$164:$Q$164,0),FALSE),IF(AND($BW67&lt;&gt;"DX HP",$BW67&lt;&gt;"PTHP"),VLOOKUP($D67,'Factor Tables'!$I$165:$Q$192,MATCH($BW67,'Factor Tables'!$I$164:$Q$164,0),FALSE),"")))))</f>
        <v/>
      </c>
      <c r="CK67" s="186" t="str">
        <f>IF(OR($C67="Replace-on-Burnout",$C67="New Construction",$CL67="DX HP",$CL67="PTHP"),$CV67,IF($BW67="","",IF($BW67="DX HP",VLOOKUP($D67,'Factor Tables'!$I$165:$Q$192,MATCH("DX HP Htg",'Factor Tables'!$I$164:$Q$164,0),FALSE),IF($BW67="PTHP",VLOOKUP($D67,'Factor Tables'!$I$165:$Q$192,MATCH("PTHP Htg",'Factor Tables'!$I$164:$Q$164,0),FALSE),0))))</f>
        <v/>
      </c>
      <c r="CL67" s="187" t="str">
        <f t="shared" si="16"/>
        <v/>
      </c>
      <c r="CM67" s="251" t="str">
        <f t="shared" si="17"/>
        <v/>
      </c>
      <c r="CN67" s="184">
        <f t="shared" si="35"/>
        <v>0</v>
      </c>
      <c r="CO67" s="693">
        <f t="shared" si="36"/>
        <v>0</v>
      </c>
      <c r="CP67" s="182" t="s">
        <v>46</v>
      </c>
      <c r="CQ67" s="852" t="str">
        <f t="shared" si="37"/>
        <v/>
      </c>
      <c r="CR67" s="833">
        <f t="shared" si="38"/>
        <v>0</v>
      </c>
      <c r="CS67" s="830" t="s">
        <v>567</v>
      </c>
      <c r="CT67" s="185" t="str">
        <f>IF($CL67="","",VLOOKUP($D67,'Factor Tables'!$B$165:$H$192,MATCH($CL67,'Factor Tables'!$B$164:$H$164,0),FALSE))</f>
        <v/>
      </c>
      <c r="CU67" s="842" t="str">
        <f>IF($CL67="","",IF(AND($CL67&lt;&gt;"DX HP",$CL67&lt;&gt;"PTHP"),VLOOKUP($D67,'Factor Tables'!$I$165:$Q$192,MATCH($CL67,'Factor Tables'!$I$164:$Q$164,0),FALSE),IF($CL67="DX HP",VLOOKUP($D67,'Factor Tables'!$I$165:$Q$192,MATCH("DX HP Clg",'Factor Tables'!$I$164:$Q$164,0),FALSE),IF($CL67="PTHP",VLOOKUP($D67,'Factor Tables'!$I$165:$Q$192,MATCH("PTHP Clg",'Factor Tables'!$I$164:$Q$164,0),FALSE),""))))</f>
        <v/>
      </c>
      <c r="CV67" s="186" t="str">
        <f>IF($CL67="","",IF(AND($CL67&lt;&gt;"DX HP",$CL67&lt;&gt;"PTHP"),0,IF($CL67="DX HP",VLOOKUP($D67,'Factor Tables'!$I$165:$Q$192,MATCH("DX HP Htg",'Factor Tables'!$I$164:$Q$164,0),FALSE),IF($CL67="PTHP",VLOOKUP($D67,'Factor Tables'!$I$165:$Q$192,MATCH("PTHP Htg",'Factor Tables'!$I$164:$Q$164,0),FALSE),""))))</f>
        <v/>
      </c>
      <c r="DD67" s="194" t="s">
        <v>53</v>
      </c>
      <c r="DE67" s="426"/>
      <c r="DI67" s="425"/>
      <c r="DJ67" s="425"/>
      <c r="DK67" s="425"/>
      <c r="DL67" s="425"/>
      <c r="DM67" s="493" t="s">
        <v>478</v>
      </c>
    </row>
    <row r="68" spans="2:117" s="427" customFormat="1" ht="21.95" customHeight="1" x14ac:dyDescent="0.25">
      <c r="B68" s="431">
        <v>59</v>
      </c>
      <c r="C68" s="501" t="str">
        <f t="shared" si="18"/>
        <v/>
      </c>
      <c r="D68" s="502" t="str">
        <f t="shared" si="19"/>
        <v/>
      </c>
      <c r="E68" s="546"/>
      <c r="F68" s="547"/>
      <c r="G68" s="729"/>
      <c r="H68" s="729"/>
      <c r="I68" s="729"/>
      <c r="J68" s="729"/>
      <c r="K68" s="729"/>
      <c r="L68" s="729"/>
      <c r="M68" s="765"/>
      <c r="N68" s="758"/>
      <c r="O68" s="765"/>
      <c r="P68" s="758"/>
      <c r="Q68" s="1143"/>
      <c r="R68" s="1134"/>
      <c r="S68" s="775"/>
      <c r="T68" s="729"/>
      <c r="U68" s="775"/>
      <c r="V68" s="779"/>
      <c r="W68" s="557"/>
      <c r="X68" s="788"/>
      <c r="Y68" s="543"/>
      <c r="Z68" s="281"/>
      <c r="AA68" s="281"/>
      <c r="AB68" s="281"/>
      <c r="AC68" s="281"/>
      <c r="AD68" s="492"/>
      <c r="AE68" s="527">
        <f t="shared" si="39"/>
        <v>0</v>
      </c>
      <c r="AF68" s="527">
        <f t="shared" si="40"/>
        <v>0</v>
      </c>
      <c r="AG68" s="527">
        <f t="shared" si="0"/>
        <v>0</v>
      </c>
      <c r="AH68" s="527">
        <f t="shared" si="1"/>
        <v>0</v>
      </c>
      <c r="AI68" s="527">
        <f t="shared" si="2"/>
        <v>0</v>
      </c>
      <c r="AJ68" s="527">
        <f t="shared" si="3"/>
        <v>999999999</v>
      </c>
      <c r="AK68" s="471"/>
      <c r="AL68" s="765"/>
      <c r="AM68" s="758"/>
      <c r="AN68" s="281"/>
      <c r="AO68" s="775"/>
      <c r="AP68" s="775"/>
      <c r="AQ68" s="281"/>
      <c r="AR68" s="528"/>
      <c r="AS68" s="532"/>
      <c r="AT68" s="524" t="str">
        <f t="shared" si="4"/>
        <v/>
      </c>
      <c r="AU68" s="311">
        <f t="shared" si="5"/>
        <v>0</v>
      </c>
      <c r="AV68" s="288">
        <f t="shared" si="22"/>
        <v>0</v>
      </c>
      <c r="AW68" s="290">
        <f>IF(ISERROR($AU68*'Utility Admin'!$E$4+$AV68*'Utility Admin'!$F$4),0,$AU68*'Utility Admin'!$E$4+$AV68*'Utility Admin'!$F$4)</f>
        <v>0</v>
      </c>
      <c r="AX68" s="323" t="str">
        <f t="shared" si="6"/>
        <v/>
      </c>
      <c r="AY68" s="322" t="str">
        <f t="shared" si="23"/>
        <v/>
      </c>
      <c r="AZ68" s="319">
        <f>Baselines!$CJ312</f>
        <v>0</v>
      </c>
      <c r="BA68" s="735">
        <f>Baselines!$CK312</f>
        <v>0</v>
      </c>
      <c r="BB68" s="839">
        <f>Baselines!$CM312</f>
        <v>0</v>
      </c>
      <c r="BC68" s="466">
        <f t="shared" si="7"/>
        <v>0</v>
      </c>
      <c r="BD68" s="464">
        <f t="shared" si="24"/>
        <v>0</v>
      </c>
      <c r="BE68" s="755">
        <f t="shared" si="8"/>
        <v>0</v>
      </c>
      <c r="BF68" s="755">
        <f t="shared" si="25"/>
        <v>0</v>
      </c>
      <c r="BG68" s="466">
        <f t="shared" si="9"/>
        <v>0</v>
      </c>
      <c r="BH68" s="464">
        <f t="shared" si="10"/>
        <v>0</v>
      </c>
      <c r="BI68" s="755">
        <f t="shared" si="11"/>
        <v>0</v>
      </c>
      <c r="BJ68" s="755">
        <f t="shared" si="26"/>
        <v>0</v>
      </c>
      <c r="BK68" s="333">
        <f>IF(OR($C68&lt;&gt;"Early Retirement",$H68=""),0,IF(AND($G68&lt;&gt;"Air Cooled Chiller",$G68&lt;&gt;"Water Cooled Chiller"),VLOOKUP($H68,'Early Retirement'!$CI$6:$CL$33,2,FALSE),IF($J68&lt;&gt;"Centrifugal",VLOOKUP($H68,'Early Retirement'!$CI$6:$CL$33,3,FALSE),IF($J68="Centrifugal",VLOOKUP($H68,'Early Retirement'!$CI$6:$CL$33,4,FALSE),""))))</f>
        <v>0</v>
      </c>
      <c r="BL68" s="450">
        <f t="shared" si="12"/>
        <v>0</v>
      </c>
      <c r="BM68" s="553">
        <f>IFERROR('Utility Admin'!$I$4*((1+'Utility Admin'!$G$4)/('Utility Admin'!$H$4-'Utility Admin'!$G$4))*(1-((1+'Utility Admin'!$G$4)/(1+'Utility Admin'!$H$4))^$BK68)*$BG68,0)</f>
        <v>0</v>
      </c>
      <c r="BN68" s="553">
        <f>IFERROR('Utility Admin'!$I$4*((1+'Utility Admin'!$G$4)/('Utility Admin'!$H$4-'Utility Admin'!$G$4))*(1-((1+'Utility Admin'!$G$4)/(1+'Utility Admin'!$H$4))^$BL68)*((1+'Utility Admin'!$G$4)^$BK68/(1+'Utility Admin'!$H$4)^$BK68)*$BC68,0)</f>
        <v>0</v>
      </c>
      <c r="BO68" s="553">
        <f t="shared" si="27"/>
        <v>0</v>
      </c>
      <c r="BP68" s="553">
        <f>IFERROR('Utility Admin'!$J$4*((1+'Utility Admin'!$G$4)/('Utility Admin'!$H$4-'Utility Admin'!$G$4))*(1-((1+'Utility Admin'!$G$4)/(1+'Utility Admin'!$H$4))^$BK68)*$BJ68,0)</f>
        <v>0</v>
      </c>
      <c r="BQ68" s="553">
        <f>IFERROR('Utility Admin'!$J$4*((1+'Utility Admin'!$G$4)/('Utility Admin'!$H$4-'Utility Admin'!$G$4))*(1-((1+'Utility Admin'!$G$4)/(1+'Utility Admin'!$H$4))^$BL68)*((1+'Utility Admin'!$G$4)^$BK68/(1+'Utility Admin'!$H$4)^$BK68)*$BF68,0)</f>
        <v>0</v>
      </c>
      <c r="BR68" s="553">
        <f t="shared" si="28"/>
        <v>0</v>
      </c>
      <c r="BS68" s="553">
        <f>IFERROR('Utility Admin'!$I$4*((1+'Utility Admin'!$G$4)/('Utility Admin'!$H$4-'Utility Admin'!$G$4))*(1-((1+'Utility Admin'!$G$4)/(1+'Utility Admin'!$H$4))^$AT68),0)</f>
        <v>0</v>
      </c>
      <c r="BT68" s="553">
        <f>IFERROR('Utility Admin'!$J$4*((1+'Utility Admin'!$G$4)/('Utility Admin'!$H$4-'Utility Admin'!$G$4))*(1-((1+'Utility Admin'!$G$4)/(1+'Utility Admin'!$H$4))^$AT68),0)</f>
        <v>0</v>
      </c>
      <c r="BU68" s="459">
        <f t="shared" si="29"/>
        <v>0</v>
      </c>
      <c r="BV68" s="462">
        <f t="shared" si="30"/>
        <v>0</v>
      </c>
      <c r="BW68" s="219" t="str">
        <f t="shared" si="13"/>
        <v/>
      </c>
      <c r="BX68" s="250" t="str">
        <f t="shared" si="31"/>
        <v/>
      </c>
      <c r="BY68" s="250" t="str">
        <f t="shared" si="14"/>
        <v/>
      </c>
      <c r="BZ68" s="184">
        <f t="shared" si="32"/>
        <v>0</v>
      </c>
      <c r="CA68" s="693">
        <f t="shared" si="33"/>
        <v>0</v>
      </c>
      <c r="CB68" s="836">
        <f t="shared" si="34"/>
        <v>0</v>
      </c>
      <c r="CC68" s="693">
        <f>IF(AND($C68="Early Retirement",$H68&lt;&gt;"",$R68&lt;&gt;"",$T68&lt;&gt;""),$BZ68,Baselines!$CJ61)</f>
        <v>0</v>
      </c>
      <c r="CD68" s="693">
        <f>IF(AND($C68="Early Retirement",$H68&lt;&gt;"",$R68&lt;&gt;"",$T68&lt;&gt;""),$CA68,Baselines!$CK61)</f>
        <v>0</v>
      </c>
      <c r="CE68" s="182" t="str">
        <f>Baselines!$CL61</f>
        <v>kW/ton</v>
      </c>
      <c r="CF68" s="850" t="str">
        <f t="shared" si="15"/>
        <v/>
      </c>
      <c r="CG68" s="833">
        <f>IF(AND($C68="Early Retirement",$H68&lt;&gt;"",$R68&lt;&gt;"",$T68&lt;&gt;""),$CB68,IF(AND(Baselines!$CM61=0,OR($CL68="DX HP",$CL68="PTHP")),$BB68,Baselines!$CM61))</f>
        <v>0</v>
      </c>
      <c r="CH68" s="830" t="s">
        <v>567</v>
      </c>
      <c r="CI68" s="185" t="str">
        <f>IF(OR($C68="Replace-on-Burnout",$C68="New Construction"),$CT68,IF($BW68="","",VLOOKUP($D68,'Factor Tables'!$B$165:$H$192,MATCH($BW68,'Factor Tables'!$B$164:$H$164,0),FALSE)))</f>
        <v/>
      </c>
      <c r="CJ68" s="842" t="str">
        <f>IF(OR($C68="Replace-on-Burnout",$C68="New Construction"),$CU68,IF($BW68="","",IF($BW68="DX HP",VLOOKUP($D68,'Factor Tables'!$I$165:$Q$192,MATCH("DX HP Clg",'Factor Tables'!$I$164:$Q$164,0),FALSE),IF($BW68="PTHP",VLOOKUP($D68,'Factor Tables'!$I$165:$Q$192,MATCH("PTHP Clg",'Factor Tables'!$I$164:$Q$164,0),FALSE),IF(AND($BW68&lt;&gt;"DX HP",$BW68&lt;&gt;"PTHP"),VLOOKUP($D68,'Factor Tables'!$I$165:$Q$192,MATCH($BW68,'Factor Tables'!$I$164:$Q$164,0),FALSE),"")))))</f>
        <v/>
      </c>
      <c r="CK68" s="186" t="str">
        <f>IF(OR($C68="Replace-on-Burnout",$C68="New Construction",$CL68="DX HP",$CL68="PTHP"),$CV68,IF($BW68="","",IF($BW68="DX HP",VLOOKUP($D68,'Factor Tables'!$I$165:$Q$192,MATCH("DX HP Htg",'Factor Tables'!$I$164:$Q$164,0),FALSE),IF($BW68="PTHP",VLOOKUP($D68,'Factor Tables'!$I$165:$Q$192,MATCH("PTHP Htg",'Factor Tables'!$I$164:$Q$164,0),FALSE),0))))</f>
        <v/>
      </c>
      <c r="CL68" s="187" t="str">
        <f t="shared" si="16"/>
        <v/>
      </c>
      <c r="CM68" s="251" t="str">
        <f t="shared" si="17"/>
        <v/>
      </c>
      <c r="CN68" s="184">
        <f t="shared" si="35"/>
        <v>0</v>
      </c>
      <c r="CO68" s="693">
        <f t="shared" si="36"/>
        <v>0</v>
      </c>
      <c r="CP68" s="182" t="s">
        <v>46</v>
      </c>
      <c r="CQ68" s="852" t="str">
        <f t="shared" si="37"/>
        <v/>
      </c>
      <c r="CR68" s="833">
        <f t="shared" si="38"/>
        <v>0</v>
      </c>
      <c r="CS68" s="830" t="s">
        <v>567</v>
      </c>
      <c r="CT68" s="185" t="str">
        <f>IF($CL68="","",VLOOKUP($D68,'Factor Tables'!$B$165:$H$192,MATCH($CL68,'Factor Tables'!$B$164:$H$164,0),FALSE))</f>
        <v/>
      </c>
      <c r="CU68" s="842" t="str">
        <f>IF($CL68="","",IF(AND($CL68&lt;&gt;"DX HP",$CL68&lt;&gt;"PTHP"),VLOOKUP($D68,'Factor Tables'!$I$165:$Q$192,MATCH($CL68,'Factor Tables'!$I$164:$Q$164,0),FALSE),IF($CL68="DX HP",VLOOKUP($D68,'Factor Tables'!$I$165:$Q$192,MATCH("DX HP Clg",'Factor Tables'!$I$164:$Q$164,0),FALSE),IF($CL68="PTHP",VLOOKUP($D68,'Factor Tables'!$I$165:$Q$192,MATCH("PTHP Clg",'Factor Tables'!$I$164:$Q$164,0),FALSE),""))))</f>
        <v/>
      </c>
      <c r="CV68" s="186" t="str">
        <f>IF($CL68="","",IF(AND($CL68&lt;&gt;"DX HP",$CL68&lt;&gt;"PTHP"),0,IF($CL68="DX HP",VLOOKUP($D68,'Factor Tables'!$I$165:$Q$192,MATCH("DX HP Htg",'Factor Tables'!$I$164:$Q$164,0),FALSE),IF($CL68="PTHP",VLOOKUP($D68,'Factor Tables'!$I$165:$Q$192,MATCH("PTHP Htg",'Factor Tables'!$I$164:$Q$164,0),FALSE),""))))</f>
        <v/>
      </c>
      <c r="DD68" s="77" t="s">
        <v>54</v>
      </c>
      <c r="DE68" s="426"/>
      <c r="DI68" s="425"/>
      <c r="DJ68" s="425"/>
      <c r="DK68" s="425"/>
      <c r="DL68" s="425"/>
      <c r="DM68" s="493" t="s">
        <v>478</v>
      </c>
    </row>
    <row r="69" spans="2:117" s="427" customFormat="1" ht="21.95" customHeight="1" x14ac:dyDescent="0.25">
      <c r="B69" s="432">
        <v>60</v>
      </c>
      <c r="C69" s="499" t="str">
        <f t="shared" si="18"/>
        <v/>
      </c>
      <c r="D69" s="403" t="str">
        <f t="shared" si="19"/>
        <v/>
      </c>
      <c r="E69" s="541"/>
      <c r="F69" s="785"/>
      <c r="G69" s="728"/>
      <c r="H69" s="728"/>
      <c r="I69" s="728"/>
      <c r="J69" s="728"/>
      <c r="K69" s="728"/>
      <c r="L69" s="728"/>
      <c r="M69" s="764"/>
      <c r="N69" s="728"/>
      <c r="O69" s="764"/>
      <c r="P69" s="728"/>
      <c r="Q69" s="1142"/>
      <c r="R69" s="1133"/>
      <c r="S69" s="778"/>
      <c r="T69" s="767"/>
      <c r="U69" s="778"/>
      <c r="V69" s="751"/>
      <c r="W69" s="556"/>
      <c r="X69" s="785"/>
      <c r="Y69" s="542"/>
      <c r="Z69" s="500"/>
      <c r="AA69" s="500"/>
      <c r="AB69" s="500"/>
      <c r="AC69" s="500"/>
      <c r="AD69" s="529"/>
      <c r="AE69" s="527">
        <f t="shared" si="39"/>
        <v>0</v>
      </c>
      <c r="AF69" s="527">
        <f t="shared" si="40"/>
        <v>0</v>
      </c>
      <c r="AG69" s="527">
        <f t="shared" si="0"/>
        <v>0</v>
      </c>
      <c r="AH69" s="527">
        <f t="shared" si="1"/>
        <v>0</v>
      </c>
      <c r="AI69" s="527">
        <f t="shared" si="2"/>
        <v>0</v>
      </c>
      <c r="AJ69" s="527">
        <f t="shared" si="3"/>
        <v>999999999</v>
      </c>
      <c r="AK69" s="530"/>
      <c r="AL69" s="776"/>
      <c r="AM69" s="777"/>
      <c r="AN69" s="500"/>
      <c r="AO69" s="778"/>
      <c r="AP69" s="778"/>
      <c r="AQ69" s="500"/>
      <c r="AR69" s="531"/>
      <c r="AS69" s="403"/>
      <c r="AT69" s="524" t="str">
        <f t="shared" si="4"/>
        <v/>
      </c>
      <c r="AU69" s="311">
        <f t="shared" si="5"/>
        <v>0</v>
      </c>
      <c r="AV69" s="288">
        <f t="shared" si="22"/>
        <v>0</v>
      </c>
      <c r="AW69" s="290">
        <f>IF(ISERROR($AU69*'Utility Admin'!$E$4+$AV69*'Utility Admin'!$F$4),0,$AU69*'Utility Admin'!$E$4+$AV69*'Utility Admin'!$F$4)</f>
        <v>0</v>
      </c>
      <c r="AX69" s="323" t="str">
        <f t="shared" si="6"/>
        <v/>
      </c>
      <c r="AY69" s="322" t="str">
        <f t="shared" si="23"/>
        <v/>
      </c>
      <c r="AZ69" s="319">
        <f>Baselines!$CJ313</f>
        <v>0</v>
      </c>
      <c r="BA69" s="735">
        <f>Baselines!$CK313</f>
        <v>0</v>
      </c>
      <c r="BB69" s="839">
        <f>Baselines!$CM313</f>
        <v>0</v>
      </c>
      <c r="BC69" s="466">
        <f t="shared" si="7"/>
        <v>0</v>
      </c>
      <c r="BD69" s="464">
        <f t="shared" si="24"/>
        <v>0</v>
      </c>
      <c r="BE69" s="755">
        <f t="shared" si="8"/>
        <v>0</v>
      </c>
      <c r="BF69" s="755">
        <f t="shared" si="25"/>
        <v>0</v>
      </c>
      <c r="BG69" s="466">
        <f t="shared" si="9"/>
        <v>0</v>
      </c>
      <c r="BH69" s="464">
        <f t="shared" si="10"/>
        <v>0</v>
      </c>
      <c r="BI69" s="755">
        <f t="shared" si="11"/>
        <v>0</v>
      </c>
      <c r="BJ69" s="755">
        <f t="shared" si="26"/>
        <v>0</v>
      </c>
      <c r="BK69" s="333">
        <f>IF(OR($C69&lt;&gt;"Early Retirement",$H69=""),0,IF(AND($G69&lt;&gt;"Air Cooled Chiller",$G69&lt;&gt;"Water Cooled Chiller"),VLOOKUP($H69,'Early Retirement'!$CI$6:$CL$33,2,FALSE),IF($J69&lt;&gt;"Centrifugal",VLOOKUP($H69,'Early Retirement'!$CI$6:$CL$33,3,FALSE),IF($J69="Centrifugal",VLOOKUP($H69,'Early Retirement'!$CI$6:$CL$33,4,FALSE),""))))</f>
        <v>0</v>
      </c>
      <c r="BL69" s="450">
        <f t="shared" si="12"/>
        <v>0</v>
      </c>
      <c r="BM69" s="553">
        <f>IFERROR('Utility Admin'!$I$4*((1+'Utility Admin'!$G$4)/('Utility Admin'!$H$4-'Utility Admin'!$G$4))*(1-((1+'Utility Admin'!$G$4)/(1+'Utility Admin'!$H$4))^$BK69)*$BG69,0)</f>
        <v>0</v>
      </c>
      <c r="BN69" s="553">
        <f>IFERROR('Utility Admin'!$I$4*((1+'Utility Admin'!$G$4)/('Utility Admin'!$H$4-'Utility Admin'!$G$4))*(1-((1+'Utility Admin'!$G$4)/(1+'Utility Admin'!$H$4))^$BL69)*((1+'Utility Admin'!$G$4)^$BK69/(1+'Utility Admin'!$H$4)^$BK69)*$BC69,0)</f>
        <v>0</v>
      </c>
      <c r="BO69" s="553">
        <f t="shared" si="27"/>
        <v>0</v>
      </c>
      <c r="BP69" s="553">
        <f>IFERROR('Utility Admin'!$J$4*((1+'Utility Admin'!$G$4)/('Utility Admin'!$H$4-'Utility Admin'!$G$4))*(1-((1+'Utility Admin'!$G$4)/(1+'Utility Admin'!$H$4))^$BK69)*$BJ69,0)</f>
        <v>0</v>
      </c>
      <c r="BQ69" s="553">
        <f>IFERROR('Utility Admin'!$J$4*((1+'Utility Admin'!$G$4)/('Utility Admin'!$H$4-'Utility Admin'!$G$4))*(1-((1+'Utility Admin'!$G$4)/(1+'Utility Admin'!$H$4))^$BL69)*((1+'Utility Admin'!$G$4)^$BK69/(1+'Utility Admin'!$H$4)^$BK69)*$BF69,0)</f>
        <v>0</v>
      </c>
      <c r="BR69" s="553">
        <f t="shared" si="28"/>
        <v>0</v>
      </c>
      <c r="BS69" s="553">
        <f>IFERROR('Utility Admin'!$I$4*((1+'Utility Admin'!$G$4)/('Utility Admin'!$H$4-'Utility Admin'!$G$4))*(1-((1+'Utility Admin'!$G$4)/(1+'Utility Admin'!$H$4))^$AT69),0)</f>
        <v>0</v>
      </c>
      <c r="BT69" s="553">
        <f>IFERROR('Utility Admin'!$J$4*((1+'Utility Admin'!$G$4)/('Utility Admin'!$H$4-'Utility Admin'!$G$4))*(1-((1+'Utility Admin'!$G$4)/(1+'Utility Admin'!$H$4))^$AT69),0)</f>
        <v>0</v>
      </c>
      <c r="BU69" s="459">
        <f t="shared" si="29"/>
        <v>0</v>
      </c>
      <c r="BV69" s="462">
        <f t="shared" si="30"/>
        <v>0</v>
      </c>
      <c r="BW69" s="219" t="str">
        <f t="shared" si="13"/>
        <v/>
      </c>
      <c r="BX69" s="250" t="str">
        <f t="shared" si="31"/>
        <v/>
      </c>
      <c r="BY69" s="250" t="str">
        <f t="shared" si="14"/>
        <v/>
      </c>
      <c r="BZ69" s="184">
        <f t="shared" si="32"/>
        <v>0</v>
      </c>
      <c r="CA69" s="693">
        <f t="shared" si="33"/>
        <v>0</v>
      </c>
      <c r="CB69" s="836">
        <f t="shared" si="34"/>
        <v>0</v>
      </c>
      <c r="CC69" s="693">
        <f>IF(AND($C69="Early Retirement",$H69&lt;&gt;"",$R69&lt;&gt;"",$T69&lt;&gt;""),$BZ69,Baselines!$CJ62)</f>
        <v>0</v>
      </c>
      <c r="CD69" s="693">
        <f>IF(AND($C69="Early Retirement",$H69&lt;&gt;"",$R69&lt;&gt;"",$T69&lt;&gt;""),$CA69,Baselines!$CK62)</f>
        <v>0</v>
      </c>
      <c r="CE69" s="182" t="str">
        <f>Baselines!$CL62</f>
        <v>kW/ton</v>
      </c>
      <c r="CF69" s="850" t="str">
        <f t="shared" si="15"/>
        <v/>
      </c>
      <c r="CG69" s="833">
        <f>IF(AND($C69="Early Retirement",$H69&lt;&gt;"",$R69&lt;&gt;"",$T69&lt;&gt;""),$CB69,IF(AND(Baselines!$CM62=0,OR($CL69="DX HP",$CL69="PTHP")),$BB69,Baselines!$CM62))</f>
        <v>0</v>
      </c>
      <c r="CH69" s="830" t="s">
        <v>567</v>
      </c>
      <c r="CI69" s="185" t="str">
        <f>IF(OR($C69="Replace-on-Burnout",$C69="New Construction"),$CT69,IF($BW69="","",VLOOKUP($D69,'Factor Tables'!$B$165:$H$192,MATCH($BW69,'Factor Tables'!$B$164:$H$164,0),FALSE)))</f>
        <v/>
      </c>
      <c r="CJ69" s="842" t="str">
        <f>IF(OR($C69="Replace-on-Burnout",$C69="New Construction"),$CU69,IF($BW69="","",IF($BW69="DX HP",VLOOKUP($D69,'Factor Tables'!$I$165:$Q$192,MATCH("DX HP Clg",'Factor Tables'!$I$164:$Q$164,0),FALSE),IF($BW69="PTHP",VLOOKUP($D69,'Factor Tables'!$I$165:$Q$192,MATCH("PTHP Clg",'Factor Tables'!$I$164:$Q$164,0),FALSE),IF(AND($BW69&lt;&gt;"DX HP",$BW69&lt;&gt;"PTHP"),VLOOKUP($D69,'Factor Tables'!$I$165:$Q$192,MATCH($BW69,'Factor Tables'!$I$164:$Q$164,0),FALSE),"")))))</f>
        <v/>
      </c>
      <c r="CK69" s="186" t="str">
        <f>IF(OR($C69="Replace-on-Burnout",$C69="New Construction",$CL69="DX HP",$CL69="PTHP"),$CV69,IF($BW69="","",IF($BW69="DX HP",VLOOKUP($D69,'Factor Tables'!$I$165:$Q$192,MATCH("DX HP Htg",'Factor Tables'!$I$164:$Q$164,0),FALSE),IF($BW69="PTHP",VLOOKUP($D69,'Factor Tables'!$I$165:$Q$192,MATCH("PTHP Htg",'Factor Tables'!$I$164:$Q$164,0),FALSE),0))))</f>
        <v/>
      </c>
      <c r="CL69" s="187" t="str">
        <f t="shared" si="16"/>
        <v/>
      </c>
      <c r="CM69" s="251" t="str">
        <f t="shared" si="17"/>
        <v/>
      </c>
      <c r="CN69" s="184">
        <f t="shared" si="35"/>
        <v>0</v>
      </c>
      <c r="CO69" s="693">
        <f t="shared" si="36"/>
        <v>0</v>
      </c>
      <c r="CP69" s="182" t="s">
        <v>46</v>
      </c>
      <c r="CQ69" s="852" t="str">
        <f t="shared" si="37"/>
        <v/>
      </c>
      <c r="CR69" s="833">
        <f t="shared" si="38"/>
        <v>0</v>
      </c>
      <c r="CS69" s="830" t="s">
        <v>567</v>
      </c>
      <c r="CT69" s="185" t="str">
        <f>IF($CL69="","",VLOOKUP($D69,'Factor Tables'!$B$165:$H$192,MATCH($CL69,'Factor Tables'!$B$164:$H$164,0),FALSE))</f>
        <v/>
      </c>
      <c r="CU69" s="842" t="str">
        <f>IF($CL69="","",IF(AND($CL69&lt;&gt;"DX HP",$CL69&lt;&gt;"PTHP"),VLOOKUP($D69,'Factor Tables'!$I$165:$Q$192,MATCH($CL69,'Factor Tables'!$I$164:$Q$164,0),FALSE),IF($CL69="DX HP",VLOOKUP($D69,'Factor Tables'!$I$165:$Q$192,MATCH("DX HP Clg",'Factor Tables'!$I$164:$Q$164,0),FALSE),IF($CL69="PTHP",VLOOKUP($D69,'Factor Tables'!$I$165:$Q$192,MATCH("PTHP Clg",'Factor Tables'!$I$164:$Q$164,0),FALSE),""))))</f>
        <v/>
      </c>
      <c r="CV69" s="186" t="str">
        <f>IF($CL69="","",IF(AND($CL69&lt;&gt;"DX HP",$CL69&lt;&gt;"PTHP"),0,IF($CL69="DX HP",VLOOKUP($D69,'Factor Tables'!$I$165:$Q$192,MATCH("DX HP Htg",'Factor Tables'!$I$164:$Q$164,0),FALSE),IF($CL69="PTHP",VLOOKUP($D69,'Factor Tables'!$I$165:$Q$192,MATCH("PTHP Htg",'Factor Tables'!$I$164:$Q$164,0),FALSE),""))))</f>
        <v/>
      </c>
      <c r="DD69" s="845"/>
      <c r="DE69" s="426"/>
      <c r="DI69" s="425"/>
      <c r="DJ69" s="425"/>
      <c r="DK69" s="425"/>
      <c r="DL69" s="425"/>
      <c r="DM69" s="493" t="s">
        <v>478</v>
      </c>
    </row>
    <row r="70" spans="2:117" s="427" customFormat="1" ht="21.95" customHeight="1" x14ac:dyDescent="0.25">
      <c r="B70" s="431">
        <v>61</v>
      </c>
      <c r="C70" s="501" t="str">
        <f t="shared" si="18"/>
        <v/>
      </c>
      <c r="D70" s="502" t="str">
        <f t="shared" si="19"/>
        <v/>
      </c>
      <c r="E70" s="546"/>
      <c r="F70" s="547"/>
      <c r="G70" s="729"/>
      <c r="H70" s="729"/>
      <c r="I70" s="729"/>
      <c r="J70" s="729"/>
      <c r="K70" s="729"/>
      <c r="L70" s="729"/>
      <c r="M70" s="765"/>
      <c r="N70" s="758"/>
      <c r="O70" s="765"/>
      <c r="P70" s="758"/>
      <c r="Q70" s="1143"/>
      <c r="R70" s="1134"/>
      <c r="S70" s="775"/>
      <c r="T70" s="729"/>
      <c r="U70" s="775"/>
      <c r="V70" s="779"/>
      <c r="W70" s="557"/>
      <c r="X70" s="788"/>
      <c r="Y70" s="543"/>
      <c r="Z70" s="281"/>
      <c r="AA70" s="281"/>
      <c r="AB70" s="281"/>
      <c r="AC70" s="281"/>
      <c r="AD70" s="492"/>
      <c r="AE70" s="527">
        <f t="shared" si="39"/>
        <v>0</v>
      </c>
      <c r="AF70" s="527">
        <f t="shared" si="40"/>
        <v>0</v>
      </c>
      <c r="AG70" s="527">
        <f t="shared" si="0"/>
        <v>0</v>
      </c>
      <c r="AH70" s="527">
        <f t="shared" si="1"/>
        <v>0</v>
      </c>
      <c r="AI70" s="527">
        <f t="shared" si="2"/>
        <v>0</v>
      </c>
      <c r="AJ70" s="527">
        <f t="shared" si="3"/>
        <v>999999999</v>
      </c>
      <c r="AK70" s="471"/>
      <c r="AL70" s="765"/>
      <c r="AM70" s="758"/>
      <c r="AN70" s="281"/>
      <c r="AO70" s="775"/>
      <c r="AP70" s="775"/>
      <c r="AQ70" s="281"/>
      <c r="AR70" s="528"/>
      <c r="AS70" s="532"/>
      <c r="AT70" s="524" t="str">
        <f t="shared" si="4"/>
        <v/>
      </c>
      <c r="AU70" s="311">
        <f t="shared" si="5"/>
        <v>0</v>
      </c>
      <c r="AV70" s="288">
        <f t="shared" si="22"/>
        <v>0</v>
      </c>
      <c r="AW70" s="290">
        <f>IF(ISERROR($AU70*'Utility Admin'!$E$4+$AV70*'Utility Admin'!$F$4),0,$AU70*'Utility Admin'!$E$4+$AV70*'Utility Admin'!$F$4)</f>
        <v>0</v>
      </c>
      <c r="AX70" s="323" t="str">
        <f t="shared" si="6"/>
        <v/>
      </c>
      <c r="AY70" s="322" t="str">
        <f t="shared" si="23"/>
        <v/>
      </c>
      <c r="AZ70" s="319">
        <f>Baselines!$CJ314</f>
        <v>0</v>
      </c>
      <c r="BA70" s="735">
        <f>Baselines!$CK314</f>
        <v>0</v>
      </c>
      <c r="BB70" s="839">
        <f>Baselines!$CM314</f>
        <v>0</v>
      </c>
      <c r="BC70" s="466">
        <f t="shared" si="7"/>
        <v>0</v>
      </c>
      <c r="BD70" s="464">
        <f t="shared" si="24"/>
        <v>0</v>
      </c>
      <c r="BE70" s="755">
        <f t="shared" si="8"/>
        <v>0</v>
      </c>
      <c r="BF70" s="755">
        <f t="shared" si="25"/>
        <v>0</v>
      </c>
      <c r="BG70" s="466">
        <f t="shared" si="9"/>
        <v>0</v>
      </c>
      <c r="BH70" s="464">
        <f t="shared" si="10"/>
        <v>0</v>
      </c>
      <c r="BI70" s="755">
        <f t="shared" si="11"/>
        <v>0</v>
      </c>
      <c r="BJ70" s="755">
        <f t="shared" si="26"/>
        <v>0</v>
      </c>
      <c r="BK70" s="333">
        <f>IF(OR($C70&lt;&gt;"Early Retirement",$H70=""),0,IF(AND($G70&lt;&gt;"Air Cooled Chiller",$G70&lt;&gt;"Water Cooled Chiller"),VLOOKUP($H70,'Early Retirement'!$CI$6:$CL$33,2,FALSE),IF($J70&lt;&gt;"Centrifugal",VLOOKUP($H70,'Early Retirement'!$CI$6:$CL$33,3,FALSE),IF($J70="Centrifugal",VLOOKUP($H70,'Early Retirement'!$CI$6:$CL$33,4,FALSE),""))))</f>
        <v>0</v>
      </c>
      <c r="BL70" s="450">
        <f t="shared" si="12"/>
        <v>0</v>
      </c>
      <c r="BM70" s="553">
        <f>IFERROR('Utility Admin'!$I$4*((1+'Utility Admin'!$G$4)/('Utility Admin'!$H$4-'Utility Admin'!$G$4))*(1-((1+'Utility Admin'!$G$4)/(1+'Utility Admin'!$H$4))^$BK70)*$BG70,0)</f>
        <v>0</v>
      </c>
      <c r="BN70" s="553">
        <f>IFERROR('Utility Admin'!$I$4*((1+'Utility Admin'!$G$4)/('Utility Admin'!$H$4-'Utility Admin'!$G$4))*(1-((1+'Utility Admin'!$G$4)/(1+'Utility Admin'!$H$4))^$BL70)*((1+'Utility Admin'!$G$4)^$BK70/(1+'Utility Admin'!$H$4)^$BK70)*$BC70,0)</f>
        <v>0</v>
      </c>
      <c r="BO70" s="553">
        <f t="shared" si="27"/>
        <v>0</v>
      </c>
      <c r="BP70" s="553">
        <f>IFERROR('Utility Admin'!$J$4*((1+'Utility Admin'!$G$4)/('Utility Admin'!$H$4-'Utility Admin'!$G$4))*(1-((1+'Utility Admin'!$G$4)/(1+'Utility Admin'!$H$4))^$BK70)*$BJ70,0)</f>
        <v>0</v>
      </c>
      <c r="BQ70" s="553">
        <f>IFERROR('Utility Admin'!$J$4*((1+'Utility Admin'!$G$4)/('Utility Admin'!$H$4-'Utility Admin'!$G$4))*(1-((1+'Utility Admin'!$G$4)/(1+'Utility Admin'!$H$4))^$BL70)*((1+'Utility Admin'!$G$4)^$BK70/(1+'Utility Admin'!$H$4)^$BK70)*$BF70,0)</f>
        <v>0</v>
      </c>
      <c r="BR70" s="553">
        <f t="shared" si="28"/>
        <v>0</v>
      </c>
      <c r="BS70" s="553">
        <f>IFERROR('Utility Admin'!$I$4*((1+'Utility Admin'!$G$4)/('Utility Admin'!$H$4-'Utility Admin'!$G$4))*(1-((1+'Utility Admin'!$G$4)/(1+'Utility Admin'!$H$4))^$AT70),0)</f>
        <v>0</v>
      </c>
      <c r="BT70" s="553">
        <f>IFERROR('Utility Admin'!$J$4*((1+'Utility Admin'!$G$4)/('Utility Admin'!$H$4-'Utility Admin'!$G$4))*(1-((1+'Utility Admin'!$G$4)/(1+'Utility Admin'!$H$4))^$AT70),0)</f>
        <v>0</v>
      </c>
      <c r="BU70" s="459">
        <f t="shared" si="29"/>
        <v>0</v>
      </c>
      <c r="BV70" s="462">
        <f t="shared" si="30"/>
        <v>0</v>
      </c>
      <c r="BW70" s="219" t="str">
        <f t="shared" si="13"/>
        <v/>
      </c>
      <c r="BX70" s="250" t="str">
        <f t="shared" si="31"/>
        <v/>
      </c>
      <c r="BY70" s="250" t="str">
        <f t="shared" si="14"/>
        <v/>
      </c>
      <c r="BZ70" s="184">
        <f t="shared" si="32"/>
        <v>0</v>
      </c>
      <c r="CA70" s="693">
        <f t="shared" si="33"/>
        <v>0</v>
      </c>
      <c r="CB70" s="836">
        <f t="shared" si="34"/>
        <v>0</v>
      </c>
      <c r="CC70" s="693">
        <f>IF(AND($C70="Early Retirement",$H70&lt;&gt;"",$R70&lt;&gt;"",$T70&lt;&gt;""),$BZ70,Baselines!$CJ63)</f>
        <v>0</v>
      </c>
      <c r="CD70" s="693">
        <f>IF(AND($C70="Early Retirement",$H70&lt;&gt;"",$R70&lt;&gt;"",$T70&lt;&gt;""),$CA70,Baselines!$CK63)</f>
        <v>0</v>
      </c>
      <c r="CE70" s="182" t="str">
        <f>Baselines!$CL63</f>
        <v>kW/ton</v>
      </c>
      <c r="CF70" s="850" t="str">
        <f t="shared" si="15"/>
        <v/>
      </c>
      <c r="CG70" s="833">
        <f>IF(AND($C70="Early Retirement",$H70&lt;&gt;"",$R70&lt;&gt;"",$T70&lt;&gt;""),$CB70,IF(AND(Baselines!$CM63=0,OR($CL70="DX HP",$CL70="PTHP")),$BB70,Baselines!$CM63))</f>
        <v>0</v>
      </c>
      <c r="CH70" s="830" t="s">
        <v>567</v>
      </c>
      <c r="CI70" s="185" t="str">
        <f>IF(OR($C70="Replace-on-Burnout",$C70="New Construction"),$CT70,IF($BW70="","",VLOOKUP($D70,'Factor Tables'!$B$165:$H$192,MATCH($BW70,'Factor Tables'!$B$164:$H$164,0),FALSE)))</f>
        <v/>
      </c>
      <c r="CJ70" s="842" t="str">
        <f>IF(OR($C70="Replace-on-Burnout",$C70="New Construction"),$CU70,IF($BW70="","",IF($BW70="DX HP",VLOOKUP($D70,'Factor Tables'!$I$165:$Q$192,MATCH("DX HP Clg",'Factor Tables'!$I$164:$Q$164,0),FALSE),IF($BW70="PTHP",VLOOKUP($D70,'Factor Tables'!$I$165:$Q$192,MATCH("PTHP Clg",'Factor Tables'!$I$164:$Q$164,0),FALSE),IF(AND($BW70&lt;&gt;"DX HP",$BW70&lt;&gt;"PTHP"),VLOOKUP($D70,'Factor Tables'!$I$165:$Q$192,MATCH($BW70,'Factor Tables'!$I$164:$Q$164,0),FALSE),"")))))</f>
        <v/>
      </c>
      <c r="CK70" s="186" t="str">
        <f>IF(OR($C70="Replace-on-Burnout",$C70="New Construction",$CL70="DX HP",$CL70="PTHP"),$CV70,IF($BW70="","",IF($BW70="DX HP",VLOOKUP($D70,'Factor Tables'!$I$165:$Q$192,MATCH("DX HP Htg",'Factor Tables'!$I$164:$Q$164,0),FALSE),IF($BW70="PTHP",VLOOKUP($D70,'Factor Tables'!$I$165:$Q$192,MATCH("PTHP Htg",'Factor Tables'!$I$164:$Q$164,0),FALSE),0))))</f>
        <v/>
      </c>
      <c r="CL70" s="187" t="str">
        <f t="shared" si="16"/>
        <v/>
      </c>
      <c r="CM70" s="251" t="str">
        <f t="shared" si="17"/>
        <v/>
      </c>
      <c r="CN70" s="184">
        <f t="shared" si="35"/>
        <v>0</v>
      </c>
      <c r="CO70" s="693">
        <f t="shared" si="36"/>
        <v>0</v>
      </c>
      <c r="CP70" s="182" t="s">
        <v>46</v>
      </c>
      <c r="CQ70" s="852" t="str">
        <f t="shared" si="37"/>
        <v/>
      </c>
      <c r="CR70" s="833">
        <f t="shared" si="38"/>
        <v>0</v>
      </c>
      <c r="CS70" s="830" t="s">
        <v>567</v>
      </c>
      <c r="CT70" s="185" t="str">
        <f>IF($CL70="","",VLOOKUP($D70,'Factor Tables'!$B$165:$H$192,MATCH($CL70,'Factor Tables'!$B$164:$H$164,0),FALSE))</f>
        <v/>
      </c>
      <c r="CU70" s="842" t="str">
        <f>IF($CL70="","",IF(AND($CL70&lt;&gt;"DX HP",$CL70&lt;&gt;"PTHP"),VLOOKUP($D70,'Factor Tables'!$I$165:$Q$192,MATCH($CL70,'Factor Tables'!$I$164:$Q$164,0),FALSE),IF($CL70="DX HP",VLOOKUP($D70,'Factor Tables'!$I$165:$Q$192,MATCH("DX HP Clg",'Factor Tables'!$I$164:$Q$164,0),FALSE),IF($CL70="PTHP",VLOOKUP($D70,'Factor Tables'!$I$165:$Q$192,MATCH("PTHP Clg",'Factor Tables'!$I$164:$Q$164,0),FALSE),""))))</f>
        <v/>
      </c>
      <c r="CV70" s="186" t="str">
        <f>IF($CL70="","",IF(AND($CL70&lt;&gt;"DX HP",$CL70&lt;&gt;"PTHP"),0,IF($CL70="DX HP",VLOOKUP($D70,'Factor Tables'!$I$165:$Q$192,MATCH("DX HP Htg",'Factor Tables'!$I$164:$Q$164,0),FALSE),IF($CL70="PTHP",VLOOKUP($D70,'Factor Tables'!$I$165:$Q$192,MATCH("PTHP Htg",'Factor Tables'!$I$164:$Q$164,0),FALSE),""))))</f>
        <v/>
      </c>
      <c r="DD70" s="193" t="s">
        <v>246</v>
      </c>
      <c r="DE70" s="426"/>
      <c r="DI70" s="425"/>
      <c r="DJ70" s="425"/>
      <c r="DK70" s="425"/>
      <c r="DL70" s="425"/>
      <c r="DM70" s="493" t="s">
        <v>478</v>
      </c>
    </row>
    <row r="71" spans="2:117" s="427" customFormat="1" ht="21.95" customHeight="1" x14ac:dyDescent="0.25">
      <c r="B71" s="432">
        <v>62</v>
      </c>
      <c r="C71" s="499" t="str">
        <f t="shared" si="18"/>
        <v/>
      </c>
      <c r="D71" s="403" t="str">
        <f t="shared" si="19"/>
        <v/>
      </c>
      <c r="E71" s="541"/>
      <c r="F71" s="785"/>
      <c r="G71" s="728"/>
      <c r="H71" s="728"/>
      <c r="I71" s="728"/>
      <c r="J71" s="728"/>
      <c r="K71" s="728"/>
      <c r="L71" s="728"/>
      <c r="M71" s="764"/>
      <c r="N71" s="728"/>
      <c r="O71" s="764"/>
      <c r="P71" s="728"/>
      <c r="Q71" s="1142"/>
      <c r="R71" s="1133"/>
      <c r="S71" s="778"/>
      <c r="T71" s="767"/>
      <c r="U71" s="778"/>
      <c r="V71" s="751"/>
      <c r="W71" s="556"/>
      <c r="X71" s="785"/>
      <c r="Y71" s="542"/>
      <c r="Z71" s="500"/>
      <c r="AA71" s="500"/>
      <c r="AB71" s="500"/>
      <c r="AC71" s="500"/>
      <c r="AD71" s="529"/>
      <c r="AE71" s="527">
        <f t="shared" si="39"/>
        <v>0</v>
      </c>
      <c r="AF71" s="527">
        <f t="shared" si="40"/>
        <v>0</v>
      </c>
      <c r="AG71" s="527">
        <f t="shared" si="0"/>
        <v>0</v>
      </c>
      <c r="AH71" s="527">
        <f t="shared" si="1"/>
        <v>0</v>
      </c>
      <c r="AI71" s="527">
        <f t="shared" si="2"/>
        <v>0</v>
      </c>
      <c r="AJ71" s="527">
        <f t="shared" si="3"/>
        <v>999999999</v>
      </c>
      <c r="AK71" s="530"/>
      <c r="AL71" s="776"/>
      <c r="AM71" s="777"/>
      <c r="AN71" s="500"/>
      <c r="AO71" s="778"/>
      <c r="AP71" s="778"/>
      <c r="AQ71" s="500"/>
      <c r="AR71" s="531"/>
      <c r="AS71" s="403"/>
      <c r="AT71" s="524" t="str">
        <f t="shared" si="4"/>
        <v/>
      </c>
      <c r="AU71" s="311">
        <f t="shared" si="5"/>
        <v>0</v>
      </c>
      <c r="AV71" s="288">
        <f t="shared" si="22"/>
        <v>0</v>
      </c>
      <c r="AW71" s="290">
        <f>IF(ISERROR($AU71*'Utility Admin'!$E$4+$AV71*'Utility Admin'!$F$4),0,$AU71*'Utility Admin'!$E$4+$AV71*'Utility Admin'!$F$4)</f>
        <v>0</v>
      </c>
      <c r="AX71" s="323" t="str">
        <f t="shared" si="6"/>
        <v/>
      </c>
      <c r="AY71" s="322" t="str">
        <f t="shared" si="23"/>
        <v/>
      </c>
      <c r="AZ71" s="319">
        <f>Baselines!$CJ315</f>
        <v>0</v>
      </c>
      <c r="BA71" s="735">
        <f>Baselines!$CK315</f>
        <v>0</v>
      </c>
      <c r="BB71" s="839">
        <f>Baselines!$CM315</f>
        <v>0</v>
      </c>
      <c r="BC71" s="466">
        <f t="shared" si="7"/>
        <v>0</v>
      </c>
      <c r="BD71" s="464">
        <f t="shared" si="24"/>
        <v>0</v>
      </c>
      <c r="BE71" s="755">
        <f t="shared" si="8"/>
        <v>0</v>
      </c>
      <c r="BF71" s="755">
        <f t="shared" si="25"/>
        <v>0</v>
      </c>
      <c r="BG71" s="466">
        <f t="shared" si="9"/>
        <v>0</v>
      </c>
      <c r="BH71" s="464">
        <f t="shared" si="10"/>
        <v>0</v>
      </c>
      <c r="BI71" s="755">
        <f t="shared" si="11"/>
        <v>0</v>
      </c>
      <c r="BJ71" s="755">
        <f t="shared" si="26"/>
        <v>0</v>
      </c>
      <c r="BK71" s="333">
        <f>IF(OR($C71&lt;&gt;"Early Retirement",$H71=""),0,IF(AND($G71&lt;&gt;"Air Cooled Chiller",$G71&lt;&gt;"Water Cooled Chiller"),VLOOKUP($H71,'Early Retirement'!$CI$6:$CL$33,2,FALSE),IF($J71&lt;&gt;"Centrifugal",VLOOKUP($H71,'Early Retirement'!$CI$6:$CL$33,3,FALSE),IF($J71="Centrifugal",VLOOKUP($H71,'Early Retirement'!$CI$6:$CL$33,4,FALSE),""))))</f>
        <v>0</v>
      </c>
      <c r="BL71" s="450">
        <f t="shared" si="12"/>
        <v>0</v>
      </c>
      <c r="BM71" s="553">
        <f>IFERROR('Utility Admin'!$I$4*((1+'Utility Admin'!$G$4)/('Utility Admin'!$H$4-'Utility Admin'!$G$4))*(1-((1+'Utility Admin'!$G$4)/(1+'Utility Admin'!$H$4))^$BK71)*$BG71,0)</f>
        <v>0</v>
      </c>
      <c r="BN71" s="553">
        <f>IFERROR('Utility Admin'!$I$4*((1+'Utility Admin'!$G$4)/('Utility Admin'!$H$4-'Utility Admin'!$G$4))*(1-((1+'Utility Admin'!$G$4)/(1+'Utility Admin'!$H$4))^$BL71)*((1+'Utility Admin'!$G$4)^$BK71/(1+'Utility Admin'!$H$4)^$BK71)*$BC71,0)</f>
        <v>0</v>
      </c>
      <c r="BO71" s="553">
        <f t="shared" si="27"/>
        <v>0</v>
      </c>
      <c r="BP71" s="553">
        <f>IFERROR('Utility Admin'!$J$4*((1+'Utility Admin'!$G$4)/('Utility Admin'!$H$4-'Utility Admin'!$G$4))*(1-((1+'Utility Admin'!$G$4)/(1+'Utility Admin'!$H$4))^$BK71)*$BJ71,0)</f>
        <v>0</v>
      </c>
      <c r="BQ71" s="553">
        <f>IFERROR('Utility Admin'!$J$4*((1+'Utility Admin'!$G$4)/('Utility Admin'!$H$4-'Utility Admin'!$G$4))*(1-((1+'Utility Admin'!$G$4)/(1+'Utility Admin'!$H$4))^$BL71)*((1+'Utility Admin'!$G$4)^$BK71/(1+'Utility Admin'!$H$4)^$BK71)*$BF71,0)</f>
        <v>0</v>
      </c>
      <c r="BR71" s="553">
        <f t="shared" si="28"/>
        <v>0</v>
      </c>
      <c r="BS71" s="553">
        <f>IFERROR('Utility Admin'!$I$4*((1+'Utility Admin'!$G$4)/('Utility Admin'!$H$4-'Utility Admin'!$G$4))*(1-((1+'Utility Admin'!$G$4)/(1+'Utility Admin'!$H$4))^$AT71),0)</f>
        <v>0</v>
      </c>
      <c r="BT71" s="553">
        <f>IFERROR('Utility Admin'!$J$4*((1+'Utility Admin'!$G$4)/('Utility Admin'!$H$4-'Utility Admin'!$G$4))*(1-((1+'Utility Admin'!$G$4)/(1+'Utility Admin'!$H$4))^$AT71),0)</f>
        <v>0</v>
      </c>
      <c r="BU71" s="459">
        <f t="shared" si="29"/>
        <v>0</v>
      </c>
      <c r="BV71" s="462">
        <f t="shared" si="30"/>
        <v>0</v>
      </c>
      <c r="BW71" s="219" t="str">
        <f t="shared" si="13"/>
        <v/>
      </c>
      <c r="BX71" s="250" t="str">
        <f t="shared" si="31"/>
        <v/>
      </c>
      <c r="BY71" s="250" t="str">
        <f t="shared" si="14"/>
        <v/>
      </c>
      <c r="BZ71" s="184">
        <f t="shared" si="32"/>
        <v>0</v>
      </c>
      <c r="CA71" s="693">
        <f t="shared" si="33"/>
        <v>0</v>
      </c>
      <c r="CB71" s="836">
        <f t="shared" si="34"/>
        <v>0</v>
      </c>
      <c r="CC71" s="693">
        <f>IF(AND($C71="Early Retirement",$H71&lt;&gt;"",$R71&lt;&gt;"",$T71&lt;&gt;""),$BZ71,Baselines!$CJ64)</f>
        <v>0</v>
      </c>
      <c r="CD71" s="693">
        <f>IF(AND($C71="Early Retirement",$H71&lt;&gt;"",$R71&lt;&gt;"",$T71&lt;&gt;""),$CA71,Baselines!$CK64)</f>
        <v>0</v>
      </c>
      <c r="CE71" s="182" t="str">
        <f>Baselines!$CL64</f>
        <v>kW/ton</v>
      </c>
      <c r="CF71" s="850" t="str">
        <f t="shared" si="15"/>
        <v/>
      </c>
      <c r="CG71" s="833">
        <f>IF(AND($C71="Early Retirement",$H71&lt;&gt;"",$R71&lt;&gt;"",$T71&lt;&gt;""),$CB71,IF(AND(Baselines!$CM64=0,OR($CL71="DX HP",$CL71="PTHP")),$BB71,Baselines!$CM64))</f>
        <v>0</v>
      </c>
      <c r="CH71" s="830" t="s">
        <v>567</v>
      </c>
      <c r="CI71" s="185" t="str">
        <f>IF(OR($C71="Replace-on-Burnout",$C71="New Construction"),$CT71,IF($BW71="","",VLOOKUP($D71,'Factor Tables'!$B$165:$H$192,MATCH($BW71,'Factor Tables'!$B$164:$H$164,0),FALSE)))</f>
        <v/>
      </c>
      <c r="CJ71" s="842" t="str">
        <f>IF(OR($C71="Replace-on-Burnout",$C71="New Construction"),$CU71,IF($BW71="","",IF($BW71="DX HP",VLOOKUP($D71,'Factor Tables'!$I$165:$Q$192,MATCH("DX HP Clg",'Factor Tables'!$I$164:$Q$164,0),FALSE),IF($BW71="PTHP",VLOOKUP($D71,'Factor Tables'!$I$165:$Q$192,MATCH("PTHP Clg",'Factor Tables'!$I$164:$Q$164,0),FALSE),IF(AND($BW71&lt;&gt;"DX HP",$BW71&lt;&gt;"PTHP"),VLOOKUP($D71,'Factor Tables'!$I$165:$Q$192,MATCH($BW71,'Factor Tables'!$I$164:$Q$164,0),FALSE),"")))))</f>
        <v/>
      </c>
      <c r="CK71" s="186" t="str">
        <f>IF(OR($C71="Replace-on-Burnout",$C71="New Construction",$CL71="DX HP",$CL71="PTHP"),$CV71,IF($BW71="","",IF($BW71="DX HP",VLOOKUP($D71,'Factor Tables'!$I$165:$Q$192,MATCH("DX HP Htg",'Factor Tables'!$I$164:$Q$164,0),FALSE),IF($BW71="PTHP",VLOOKUP($D71,'Factor Tables'!$I$165:$Q$192,MATCH("PTHP Htg",'Factor Tables'!$I$164:$Q$164,0),FALSE),0))))</f>
        <v/>
      </c>
      <c r="CL71" s="187" t="str">
        <f t="shared" si="16"/>
        <v/>
      </c>
      <c r="CM71" s="251" t="str">
        <f t="shared" si="17"/>
        <v/>
      </c>
      <c r="CN71" s="184">
        <f t="shared" si="35"/>
        <v>0</v>
      </c>
      <c r="CO71" s="693">
        <f t="shared" si="36"/>
        <v>0</v>
      </c>
      <c r="CP71" s="182" t="s">
        <v>46</v>
      </c>
      <c r="CQ71" s="852" t="str">
        <f t="shared" si="37"/>
        <v/>
      </c>
      <c r="CR71" s="833">
        <f t="shared" si="38"/>
        <v>0</v>
      </c>
      <c r="CS71" s="830" t="s">
        <v>567</v>
      </c>
      <c r="CT71" s="185" t="str">
        <f>IF($CL71="","",VLOOKUP($D71,'Factor Tables'!$B$165:$H$192,MATCH($CL71,'Factor Tables'!$B$164:$H$164,0),FALSE))</f>
        <v/>
      </c>
      <c r="CU71" s="842" t="str">
        <f>IF($CL71="","",IF(AND($CL71&lt;&gt;"DX HP",$CL71&lt;&gt;"PTHP"),VLOOKUP($D71,'Factor Tables'!$I$165:$Q$192,MATCH($CL71,'Factor Tables'!$I$164:$Q$164,0),FALSE),IF($CL71="DX HP",VLOOKUP($D71,'Factor Tables'!$I$165:$Q$192,MATCH("DX HP Clg",'Factor Tables'!$I$164:$Q$164,0),FALSE),IF($CL71="PTHP",VLOOKUP($D71,'Factor Tables'!$I$165:$Q$192,MATCH("PTHP Clg",'Factor Tables'!$I$164:$Q$164,0),FALSE),""))))</f>
        <v/>
      </c>
      <c r="CV71" s="186" t="str">
        <f>IF($CL71="","",IF(AND($CL71&lt;&gt;"DX HP",$CL71&lt;&gt;"PTHP"),0,IF($CL71="DX HP",VLOOKUP($D71,'Factor Tables'!$I$165:$Q$192,MATCH("DX HP Htg",'Factor Tables'!$I$164:$Q$164,0),FALSE),IF($CL71="PTHP",VLOOKUP($D71,'Factor Tables'!$I$165:$Q$192,MATCH("PTHP Htg",'Factor Tables'!$I$164:$Q$164,0),FALSE),""))))</f>
        <v/>
      </c>
      <c r="DD71" s="194" t="s">
        <v>53</v>
      </c>
      <c r="DE71" s="426"/>
      <c r="DI71" s="425"/>
      <c r="DJ71" s="425"/>
      <c r="DK71" s="425"/>
      <c r="DL71" s="425"/>
      <c r="DM71" s="493" t="s">
        <v>478</v>
      </c>
    </row>
    <row r="72" spans="2:117" s="427" customFormat="1" ht="21.95" customHeight="1" x14ac:dyDescent="0.25">
      <c r="B72" s="431">
        <v>63</v>
      </c>
      <c r="C72" s="501" t="str">
        <f t="shared" si="18"/>
        <v/>
      </c>
      <c r="D72" s="502" t="str">
        <f t="shared" si="19"/>
        <v/>
      </c>
      <c r="E72" s="546"/>
      <c r="F72" s="547"/>
      <c r="G72" s="729"/>
      <c r="H72" s="729"/>
      <c r="I72" s="729"/>
      <c r="J72" s="729"/>
      <c r="K72" s="729"/>
      <c r="L72" s="729"/>
      <c r="M72" s="765"/>
      <c r="N72" s="758"/>
      <c r="O72" s="765"/>
      <c r="P72" s="758"/>
      <c r="Q72" s="1143"/>
      <c r="R72" s="1134"/>
      <c r="S72" s="775"/>
      <c r="T72" s="729"/>
      <c r="U72" s="775"/>
      <c r="V72" s="779"/>
      <c r="W72" s="557"/>
      <c r="X72" s="788"/>
      <c r="Y72" s="543"/>
      <c r="Z72" s="281"/>
      <c r="AA72" s="281"/>
      <c r="AB72" s="281"/>
      <c r="AC72" s="281"/>
      <c r="AD72" s="492"/>
      <c r="AE72" s="527">
        <f t="shared" si="39"/>
        <v>0</v>
      </c>
      <c r="AF72" s="527">
        <f t="shared" si="40"/>
        <v>0</v>
      </c>
      <c r="AG72" s="527">
        <f t="shared" si="0"/>
        <v>0</v>
      </c>
      <c r="AH72" s="527">
        <f t="shared" si="1"/>
        <v>0</v>
      </c>
      <c r="AI72" s="527">
        <f t="shared" si="2"/>
        <v>0</v>
      </c>
      <c r="AJ72" s="527">
        <f t="shared" si="3"/>
        <v>999999999</v>
      </c>
      <c r="AK72" s="471"/>
      <c r="AL72" s="765"/>
      <c r="AM72" s="758"/>
      <c r="AN72" s="281"/>
      <c r="AO72" s="775"/>
      <c r="AP72" s="775"/>
      <c r="AQ72" s="281"/>
      <c r="AR72" s="528"/>
      <c r="AS72" s="532"/>
      <c r="AT72" s="524" t="str">
        <f t="shared" si="4"/>
        <v/>
      </c>
      <c r="AU72" s="311">
        <f t="shared" si="5"/>
        <v>0</v>
      </c>
      <c r="AV72" s="288">
        <f t="shared" si="22"/>
        <v>0</v>
      </c>
      <c r="AW72" s="290">
        <f>IF(ISERROR($AU72*'Utility Admin'!$E$4+$AV72*'Utility Admin'!$F$4),0,$AU72*'Utility Admin'!$E$4+$AV72*'Utility Admin'!$F$4)</f>
        <v>0</v>
      </c>
      <c r="AX72" s="323" t="str">
        <f t="shared" si="6"/>
        <v/>
      </c>
      <c r="AY72" s="322" t="str">
        <f t="shared" si="23"/>
        <v/>
      </c>
      <c r="AZ72" s="319">
        <f>Baselines!$CJ316</f>
        <v>0</v>
      </c>
      <c r="BA72" s="735">
        <f>Baselines!$CK316</f>
        <v>0</v>
      </c>
      <c r="BB72" s="839">
        <f>Baselines!$CM316</f>
        <v>0</v>
      </c>
      <c r="BC72" s="466">
        <f t="shared" si="7"/>
        <v>0</v>
      </c>
      <c r="BD72" s="464">
        <f t="shared" si="24"/>
        <v>0</v>
      </c>
      <c r="BE72" s="755">
        <f t="shared" si="8"/>
        <v>0</v>
      </c>
      <c r="BF72" s="755">
        <f t="shared" si="25"/>
        <v>0</v>
      </c>
      <c r="BG72" s="466">
        <f t="shared" si="9"/>
        <v>0</v>
      </c>
      <c r="BH72" s="464">
        <f t="shared" si="10"/>
        <v>0</v>
      </c>
      <c r="BI72" s="755">
        <f t="shared" si="11"/>
        <v>0</v>
      </c>
      <c r="BJ72" s="755">
        <f t="shared" si="26"/>
        <v>0</v>
      </c>
      <c r="BK72" s="333">
        <f>IF(OR($C72&lt;&gt;"Early Retirement",$H72=""),0,IF(AND($G72&lt;&gt;"Air Cooled Chiller",$G72&lt;&gt;"Water Cooled Chiller"),VLOOKUP($H72,'Early Retirement'!$CI$6:$CL$33,2,FALSE),IF($J72&lt;&gt;"Centrifugal",VLOOKUP($H72,'Early Retirement'!$CI$6:$CL$33,3,FALSE),IF($J72="Centrifugal",VLOOKUP($H72,'Early Retirement'!$CI$6:$CL$33,4,FALSE),""))))</f>
        <v>0</v>
      </c>
      <c r="BL72" s="450">
        <f t="shared" si="12"/>
        <v>0</v>
      </c>
      <c r="BM72" s="553">
        <f>IFERROR('Utility Admin'!$I$4*((1+'Utility Admin'!$G$4)/('Utility Admin'!$H$4-'Utility Admin'!$G$4))*(1-((1+'Utility Admin'!$G$4)/(1+'Utility Admin'!$H$4))^$BK72)*$BG72,0)</f>
        <v>0</v>
      </c>
      <c r="BN72" s="553">
        <f>IFERROR('Utility Admin'!$I$4*((1+'Utility Admin'!$G$4)/('Utility Admin'!$H$4-'Utility Admin'!$G$4))*(1-((1+'Utility Admin'!$G$4)/(1+'Utility Admin'!$H$4))^$BL72)*((1+'Utility Admin'!$G$4)^$BK72/(1+'Utility Admin'!$H$4)^$BK72)*$BC72,0)</f>
        <v>0</v>
      </c>
      <c r="BO72" s="553">
        <f t="shared" si="27"/>
        <v>0</v>
      </c>
      <c r="BP72" s="553">
        <f>IFERROR('Utility Admin'!$J$4*((1+'Utility Admin'!$G$4)/('Utility Admin'!$H$4-'Utility Admin'!$G$4))*(1-((1+'Utility Admin'!$G$4)/(1+'Utility Admin'!$H$4))^$BK72)*$BJ72,0)</f>
        <v>0</v>
      </c>
      <c r="BQ72" s="553">
        <f>IFERROR('Utility Admin'!$J$4*((1+'Utility Admin'!$G$4)/('Utility Admin'!$H$4-'Utility Admin'!$G$4))*(1-((1+'Utility Admin'!$G$4)/(1+'Utility Admin'!$H$4))^$BL72)*((1+'Utility Admin'!$G$4)^$BK72/(1+'Utility Admin'!$H$4)^$BK72)*$BF72,0)</f>
        <v>0</v>
      </c>
      <c r="BR72" s="553">
        <f t="shared" si="28"/>
        <v>0</v>
      </c>
      <c r="BS72" s="553">
        <f>IFERROR('Utility Admin'!$I$4*((1+'Utility Admin'!$G$4)/('Utility Admin'!$H$4-'Utility Admin'!$G$4))*(1-((1+'Utility Admin'!$G$4)/(1+'Utility Admin'!$H$4))^$AT72),0)</f>
        <v>0</v>
      </c>
      <c r="BT72" s="553">
        <f>IFERROR('Utility Admin'!$J$4*((1+'Utility Admin'!$G$4)/('Utility Admin'!$H$4-'Utility Admin'!$G$4))*(1-((1+'Utility Admin'!$G$4)/(1+'Utility Admin'!$H$4))^$AT72),0)</f>
        <v>0</v>
      </c>
      <c r="BU72" s="459">
        <f t="shared" si="29"/>
        <v>0</v>
      </c>
      <c r="BV72" s="462">
        <f t="shared" si="30"/>
        <v>0</v>
      </c>
      <c r="BW72" s="219" t="str">
        <f t="shared" si="13"/>
        <v/>
      </c>
      <c r="BX72" s="250" t="str">
        <f t="shared" si="31"/>
        <v/>
      </c>
      <c r="BY72" s="250" t="str">
        <f t="shared" si="14"/>
        <v/>
      </c>
      <c r="BZ72" s="184">
        <f t="shared" si="32"/>
        <v>0</v>
      </c>
      <c r="CA72" s="693">
        <f t="shared" si="33"/>
        <v>0</v>
      </c>
      <c r="CB72" s="836">
        <f t="shared" si="34"/>
        <v>0</v>
      </c>
      <c r="CC72" s="693">
        <f>IF(AND($C72="Early Retirement",$H72&lt;&gt;"",$R72&lt;&gt;"",$T72&lt;&gt;""),$BZ72,Baselines!$CJ65)</f>
        <v>0</v>
      </c>
      <c r="CD72" s="693">
        <f>IF(AND($C72="Early Retirement",$H72&lt;&gt;"",$R72&lt;&gt;"",$T72&lt;&gt;""),$CA72,Baselines!$CK65)</f>
        <v>0</v>
      </c>
      <c r="CE72" s="182" t="str">
        <f>Baselines!$CL65</f>
        <v>kW/ton</v>
      </c>
      <c r="CF72" s="850" t="str">
        <f t="shared" si="15"/>
        <v/>
      </c>
      <c r="CG72" s="833">
        <f>IF(AND($C72="Early Retirement",$H72&lt;&gt;"",$R72&lt;&gt;"",$T72&lt;&gt;""),$CB72,IF(AND(Baselines!$CM65=0,OR($CL72="DX HP",$CL72="PTHP")),$BB72,Baselines!$CM65))</f>
        <v>0</v>
      </c>
      <c r="CH72" s="830" t="s">
        <v>567</v>
      </c>
      <c r="CI72" s="185" t="str">
        <f>IF(OR($C72="Replace-on-Burnout",$C72="New Construction"),$CT72,IF($BW72="","",VLOOKUP($D72,'Factor Tables'!$B$165:$H$192,MATCH($BW72,'Factor Tables'!$B$164:$H$164,0),FALSE)))</f>
        <v/>
      </c>
      <c r="CJ72" s="842" t="str">
        <f>IF(OR($C72="Replace-on-Burnout",$C72="New Construction"),$CU72,IF($BW72="","",IF($BW72="DX HP",VLOOKUP($D72,'Factor Tables'!$I$165:$Q$192,MATCH("DX HP Clg",'Factor Tables'!$I$164:$Q$164,0),FALSE),IF($BW72="PTHP",VLOOKUP($D72,'Factor Tables'!$I$165:$Q$192,MATCH("PTHP Clg",'Factor Tables'!$I$164:$Q$164,0),FALSE),IF(AND($BW72&lt;&gt;"DX HP",$BW72&lt;&gt;"PTHP"),VLOOKUP($D72,'Factor Tables'!$I$165:$Q$192,MATCH($BW72,'Factor Tables'!$I$164:$Q$164,0),FALSE),"")))))</f>
        <v/>
      </c>
      <c r="CK72" s="186" t="str">
        <f>IF(OR($C72="Replace-on-Burnout",$C72="New Construction",$CL72="DX HP",$CL72="PTHP"),$CV72,IF($BW72="","",IF($BW72="DX HP",VLOOKUP($D72,'Factor Tables'!$I$165:$Q$192,MATCH("DX HP Htg",'Factor Tables'!$I$164:$Q$164,0),FALSE),IF($BW72="PTHP",VLOOKUP($D72,'Factor Tables'!$I$165:$Q$192,MATCH("PTHP Htg",'Factor Tables'!$I$164:$Q$164,0),FALSE),0))))</f>
        <v/>
      </c>
      <c r="CL72" s="187" t="str">
        <f t="shared" si="16"/>
        <v/>
      </c>
      <c r="CM72" s="251" t="str">
        <f t="shared" si="17"/>
        <v/>
      </c>
      <c r="CN72" s="184">
        <f t="shared" si="35"/>
        <v>0</v>
      </c>
      <c r="CO72" s="693">
        <f t="shared" si="36"/>
        <v>0</v>
      </c>
      <c r="CP72" s="182" t="s">
        <v>46</v>
      </c>
      <c r="CQ72" s="852" t="str">
        <f t="shared" si="37"/>
        <v/>
      </c>
      <c r="CR72" s="833">
        <f t="shared" si="38"/>
        <v>0</v>
      </c>
      <c r="CS72" s="830" t="s">
        <v>567</v>
      </c>
      <c r="CT72" s="185" t="str">
        <f>IF($CL72="","",VLOOKUP($D72,'Factor Tables'!$B$165:$H$192,MATCH($CL72,'Factor Tables'!$B$164:$H$164,0),FALSE))</f>
        <v/>
      </c>
      <c r="CU72" s="842" t="str">
        <f>IF($CL72="","",IF(AND($CL72&lt;&gt;"DX HP",$CL72&lt;&gt;"PTHP"),VLOOKUP($D72,'Factor Tables'!$I$165:$Q$192,MATCH($CL72,'Factor Tables'!$I$164:$Q$164,0),FALSE),IF($CL72="DX HP",VLOOKUP($D72,'Factor Tables'!$I$165:$Q$192,MATCH("DX HP Clg",'Factor Tables'!$I$164:$Q$164,0),FALSE),IF($CL72="PTHP",VLOOKUP($D72,'Factor Tables'!$I$165:$Q$192,MATCH("PTHP Clg",'Factor Tables'!$I$164:$Q$164,0),FALSE),""))))</f>
        <v/>
      </c>
      <c r="CV72" s="186" t="str">
        <f>IF($CL72="","",IF(AND($CL72&lt;&gt;"DX HP",$CL72&lt;&gt;"PTHP"),0,IF($CL72="DX HP",VLOOKUP($D72,'Factor Tables'!$I$165:$Q$192,MATCH("DX HP Htg",'Factor Tables'!$I$164:$Q$164,0),FALSE),IF($CL72="PTHP",VLOOKUP($D72,'Factor Tables'!$I$165:$Q$192,MATCH("PTHP Htg",'Factor Tables'!$I$164:$Q$164,0),FALSE),""))))</f>
        <v/>
      </c>
      <c r="DD72" s="77" t="s">
        <v>54</v>
      </c>
      <c r="DE72" s="426"/>
      <c r="DI72" s="425"/>
      <c r="DJ72" s="425"/>
      <c r="DK72" s="425"/>
      <c r="DL72" s="425"/>
      <c r="DM72" s="493" t="s">
        <v>478</v>
      </c>
    </row>
    <row r="73" spans="2:117" s="427" customFormat="1" ht="21.95" customHeight="1" x14ac:dyDescent="0.25">
      <c r="B73" s="432">
        <v>64</v>
      </c>
      <c r="C73" s="499" t="str">
        <f t="shared" si="18"/>
        <v/>
      </c>
      <c r="D73" s="403" t="str">
        <f t="shared" si="19"/>
        <v/>
      </c>
      <c r="E73" s="541"/>
      <c r="F73" s="785"/>
      <c r="G73" s="728"/>
      <c r="H73" s="728"/>
      <c r="I73" s="728"/>
      <c r="J73" s="728"/>
      <c r="K73" s="728"/>
      <c r="L73" s="728"/>
      <c r="M73" s="764"/>
      <c r="N73" s="728"/>
      <c r="O73" s="764"/>
      <c r="P73" s="728"/>
      <c r="Q73" s="1142"/>
      <c r="R73" s="1133"/>
      <c r="S73" s="778"/>
      <c r="T73" s="767"/>
      <c r="U73" s="778"/>
      <c r="V73" s="751"/>
      <c r="W73" s="556"/>
      <c r="X73" s="785"/>
      <c r="Y73" s="542"/>
      <c r="Z73" s="500"/>
      <c r="AA73" s="500"/>
      <c r="AB73" s="500"/>
      <c r="AC73" s="500"/>
      <c r="AD73" s="529"/>
      <c r="AE73" s="527">
        <f t="shared" si="39"/>
        <v>0</v>
      </c>
      <c r="AF73" s="527">
        <f t="shared" si="40"/>
        <v>0</v>
      </c>
      <c r="AG73" s="527">
        <f t="shared" si="0"/>
        <v>0</v>
      </c>
      <c r="AH73" s="527">
        <f t="shared" si="1"/>
        <v>0</v>
      </c>
      <c r="AI73" s="527">
        <f t="shared" si="2"/>
        <v>0</v>
      </c>
      <c r="AJ73" s="527">
        <f t="shared" si="3"/>
        <v>999999999</v>
      </c>
      <c r="AK73" s="530"/>
      <c r="AL73" s="776"/>
      <c r="AM73" s="777"/>
      <c r="AN73" s="500"/>
      <c r="AO73" s="778"/>
      <c r="AP73" s="778"/>
      <c r="AQ73" s="500"/>
      <c r="AR73" s="531"/>
      <c r="AS73" s="403"/>
      <c r="AT73" s="524" t="str">
        <f t="shared" si="4"/>
        <v/>
      </c>
      <c r="AU73" s="311">
        <f t="shared" si="5"/>
        <v>0</v>
      </c>
      <c r="AV73" s="288">
        <f t="shared" si="22"/>
        <v>0</v>
      </c>
      <c r="AW73" s="290">
        <f>IF(ISERROR($AU73*'Utility Admin'!$E$4+$AV73*'Utility Admin'!$F$4),0,$AU73*'Utility Admin'!$E$4+$AV73*'Utility Admin'!$F$4)</f>
        <v>0</v>
      </c>
      <c r="AX73" s="323" t="str">
        <f t="shared" si="6"/>
        <v/>
      </c>
      <c r="AY73" s="322" t="str">
        <f t="shared" si="23"/>
        <v/>
      </c>
      <c r="AZ73" s="319">
        <f>Baselines!$CJ317</f>
        <v>0</v>
      </c>
      <c r="BA73" s="735">
        <f>Baselines!$CK317</f>
        <v>0</v>
      </c>
      <c r="BB73" s="839">
        <f>Baselines!$CM317</f>
        <v>0</v>
      </c>
      <c r="BC73" s="466">
        <f t="shared" si="7"/>
        <v>0</v>
      </c>
      <c r="BD73" s="464">
        <f t="shared" si="24"/>
        <v>0</v>
      </c>
      <c r="BE73" s="755">
        <f t="shared" si="8"/>
        <v>0</v>
      </c>
      <c r="BF73" s="755">
        <f t="shared" si="25"/>
        <v>0</v>
      </c>
      <c r="BG73" s="466">
        <f t="shared" si="9"/>
        <v>0</v>
      </c>
      <c r="BH73" s="464">
        <f t="shared" si="10"/>
        <v>0</v>
      </c>
      <c r="BI73" s="755">
        <f t="shared" si="11"/>
        <v>0</v>
      </c>
      <c r="BJ73" s="755">
        <f t="shared" si="26"/>
        <v>0</v>
      </c>
      <c r="BK73" s="333">
        <f>IF(OR($C73&lt;&gt;"Early Retirement",$H73=""),0,IF(AND($G73&lt;&gt;"Air Cooled Chiller",$G73&lt;&gt;"Water Cooled Chiller"),VLOOKUP($H73,'Early Retirement'!$CI$6:$CL$33,2,FALSE),IF($J73&lt;&gt;"Centrifugal",VLOOKUP($H73,'Early Retirement'!$CI$6:$CL$33,3,FALSE),IF($J73="Centrifugal",VLOOKUP($H73,'Early Retirement'!$CI$6:$CL$33,4,FALSE),""))))</f>
        <v>0</v>
      </c>
      <c r="BL73" s="450">
        <f t="shared" si="12"/>
        <v>0</v>
      </c>
      <c r="BM73" s="553">
        <f>IFERROR('Utility Admin'!$I$4*((1+'Utility Admin'!$G$4)/('Utility Admin'!$H$4-'Utility Admin'!$G$4))*(1-((1+'Utility Admin'!$G$4)/(1+'Utility Admin'!$H$4))^$BK73)*$BG73,0)</f>
        <v>0</v>
      </c>
      <c r="BN73" s="553">
        <f>IFERROR('Utility Admin'!$I$4*((1+'Utility Admin'!$G$4)/('Utility Admin'!$H$4-'Utility Admin'!$G$4))*(1-((1+'Utility Admin'!$G$4)/(1+'Utility Admin'!$H$4))^$BL73)*((1+'Utility Admin'!$G$4)^$BK73/(1+'Utility Admin'!$H$4)^$BK73)*$BC73,0)</f>
        <v>0</v>
      </c>
      <c r="BO73" s="553">
        <f t="shared" si="27"/>
        <v>0</v>
      </c>
      <c r="BP73" s="553">
        <f>IFERROR('Utility Admin'!$J$4*((1+'Utility Admin'!$G$4)/('Utility Admin'!$H$4-'Utility Admin'!$G$4))*(1-((1+'Utility Admin'!$G$4)/(1+'Utility Admin'!$H$4))^$BK73)*$BJ73,0)</f>
        <v>0</v>
      </c>
      <c r="BQ73" s="553">
        <f>IFERROR('Utility Admin'!$J$4*((1+'Utility Admin'!$G$4)/('Utility Admin'!$H$4-'Utility Admin'!$G$4))*(1-((1+'Utility Admin'!$G$4)/(1+'Utility Admin'!$H$4))^$BL73)*((1+'Utility Admin'!$G$4)^$BK73/(1+'Utility Admin'!$H$4)^$BK73)*$BF73,0)</f>
        <v>0</v>
      </c>
      <c r="BR73" s="553">
        <f t="shared" si="28"/>
        <v>0</v>
      </c>
      <c r="BS73" s="553">
        <f>IFERROR('Utility Admin'!$I$4*((1+'Utility Admin'!$G$4)/('Utility Admin'!$H$4-'Utility Admin'!$G$4))*(1-((1+'Utility Admin'!$G$4)/(1+'Utility Admin'!$H$4))^$AT73),0)</f>
        <v>0</v>
      </c>
      <c r="BT73" s="553">
        <f>IFERROR('Utility Admin'!$J$4*((1+'Utility Admin'!$G$4)/('Utility Admin'!$H$4-'Utility Admin'!$G$4))*(1-((1+'Utility Admin'!$G$4)/(1+'Utility Admin'!$H$4))^$AT73),0)</f>
        <v>0</v>
      </c>
      <c r="BU73" s="459">
        <f t="shared" si="29"/>
        <v>0</v>
      </c>
      <c r="BV73" s="462">
        <f t="shared" si="30"/>
        <v>0</v>
      </c>
      <c r="BW73" s="219" t="str">
        <f t="shared" si="13"/>
        <v/>
      </c>
      <c r="BX73" s="250" t="str">
        <f t="shared" si="31"/>
        <v/>
      </c>
      <c r="BY73" s="250" t="str">
        <f t="shared" si="14"/>
        <v/>
      </c>
      <c r="BZ73" s="184">
        <f t="shared" si="32"/>
        <v>0</v>
      </c>
      <c r="CA73" s="693">
        <f t="shared" si="33"/>
        <v>0</v>
      </c>
      <c r="CB73" s="836">
        <f t="shared" si="34"/>
        <v>0</v>
      </c>
      <c r="CC73" s="693">
        <f>IF(AND($C73="Early Retirement",$H73&lt;&gt;"",$R73&lt;&gt;"",$T73&lt;&gt;""),$BZ73,Baselines!$CJ66)</f>
        <v>0</v>
      </c>
      <c r="CD73" s="693">
        <f>IF(AND($C73="Early Retirement",$H73&lt;&gt;"",$R73&lt;&gt;"",$T73&lt;&gt;""),$CA73,Baselines!$CK66)</f>
        <v>0</v>
      </c>
      <c r="CE73" s="182" t="str">
        <f>Baselines!$CL66</f>
        <v>kW/ton</v>
      </c>
      <c r="CF73" s="850" t="str">
        <f t="shared" si="15"/>
        <v/>
      </c>
      <c r="CG73" s="833">
        <f>IF(AND($C73="Early Retirement",$H73&lt;&gt;"",$R73&lt;&gt;"",$T73&lt;&gt;""),$CB73,IF(AND(Baselines!$CM66=0,OR($CL73="DX HP",$CL73="PTHP")),$BB73,Baselines!$CM66))</f>
        <v>0</v>
      </c>
      <c r="CH73" s="830" t="s">
        <v>567</v>
      </c>
      <c r="CI73" s="185" t="str">
        <f>IF(OR($C73="Replace-on-Burnout",$C73="New Construction"),$CT73,IF($BW73="","",VLOOKUP($D73,'Factor Tables'!$B$165:$H$192,MATCH($BW73,'Factor Tables'!$B$164:$H$164,0),FALSE)))</f>
        <v/>
      </c>
      <c r="CJ73" s="842" t="str">
        <f>IF(OR($C73="Replace-on-Burnout",$C73="New Construction"),$CU73,IF($BW73="","",IF($BW73="DX HP",VLOOKUP($D73,'Factor Tables'!$I$165:$Q$192,MATCH("DX HP Clg",'Factor Tables'!$I$164:$Q$164,0),FALSE),IF($BW73="PTHP",VLOOKUP($D73,'Factor Tables'!$I$165:$Q$192,MATCH("PTHP Clg",'Factor Tables'!$I$164:$Q$164,0),FALSE),IF(AND($BW73&lt;&gt;"DX HP",$BW73&lt;&gt;"PTHP"),VLOOKUP($D73,'Factor Tables'!$I$165:$Q$192,MATCH($BW73,'Factor Tables'!$I$164:$Q$164,0),FALSE),"")))))</f>
        <v/>
      </c>
      <c r="CK73" s="186" t="str">
        <f>IF(OR($C73="Replace-on-Burnout",$C73="New Construction",$CL73="DX HP",$CL73="PTHP"),$CV73,IF($BW73="","",IF($BW73="DX HP",VLOOKUP($D73,'Factor Tables'!$I$165:$Q$192,MATCH("DX HP Htg",'Factor Tables'!$I$164:$Q$164,0),FALSE),IF($BW73="PTHP",VLOOKUP($D73,'Factor Tables'!$I$165:$Q$192,MATCH("PTHP Htg",'Factor Tables'!$I$164:$Q$164,0),FALSE),0))))</f>
        <v/>
      </c>
      <c r="CL73" s="187" t="str">
        <f t="shared" si="16"/>
        <v/>
      </c>
      <c r="CM73" s="251" t="str">
        <f t="shared" si="17"/>
        <v/>
      </c>
      <c r="CN73" s="184">
        <f t="shared" si="35"/>
        <v>0</v>
      </c>
      <c r="CO73" s="693">
        <f t="shared" si="36"/>
        <v>0</v>
      </c>
      <c r="CP73" s="182" t="s">
        <v>46</v>
      </c>
      <c r="CQ73" s="852" t="str">
        <f t="shared" si="37"/>
        <v/>
      </c>
      <c r="CR73" s="833">
        <f t="shared" si="38"/>
        <v>0</v>
      </c>
      <c r="CS73" s="830" t="s">
        <v>567</v>
      </c>
      <c r="CT73" s="185" t="str">
        <f>IF($CL73="","",VLOOKUP($D73,'Factor Tables'!$B$165:$H$192,MATCH($CL73,'Factor Tables'!$B$164:$H$164,0),FALSE))</f>
        <v/>
      </c>
      <c r="CU73" s="842" t="str">
        <f>IF($CL73="","",IF(AND($CL73&lt;&gt;"DX HP",$CL73&lt;&gt;"PTHP"),VLOOKUP($D73,'Factor Tables'!$I$165:$Q$192,MATCH($CL73,'Factor Tables'!$I$164:$Q$164,0),FALSE),IF($CL73="DX HP",VLOOKUP($D73,'Factor Tables'!$I$165:$Q$192,MATCH("DX HP Clg",'Factor Tables'!$I$164:$Q$164,0),FALSE),IF($CL73="PTHP",VLOOKUP($D73,'Factor Tables'!$I$165:$Q$192,MATCH("PTHP Clg",'Factor Tables'!$I$164:$Q$164,0),FALSE),""))))</f>
        <v/>
      </c>
      <c r="CV73" s="186" t="str">
        <f>IF($CL73="","",IF(AND($CL73&lt;&gt;"DX HP",$CL73&lt;&gt;"PTHP"),0,IF($CL73="DX HP",VLOOKUP($D73,'Factor Tables'!$I$165:$Q$192,MATCH("DX HP Htg",'Factor Tables'!$I$164:$Q$164,0),FALSE),IF($CL73="PTHP",VLOOKUP($D73,'Factor Tables'!$I$165:$Q$192,MATCH("PTHP Htg",'Factor Tables'!$I$164:$Q$164,0),FALSE),""))))</f>
        <v/>
      </c>
      <c r="DD73" s="77"/>
      <c r="DE73" s="426"/>
      <c r="DI73" s="425"/>
      <c r="DJ73" s="425"/>
      <c r="DK73" s="425"/>
      <c r="DL73" s="425"/>
      <c r="DM73" s="493" t="s">
        <v>478</v>
      </c>
    </row>
    <row r="74" spans="2:117" s="427" customFormat="1" ht="21.95" customHeight="1" x14ac:dyDescent="0.25">
      <c r="B74" s="431">
        <v>65</v>
      </c>
      <c r="C74" s="501" t="str">
        <f t="shared" si="18"/>
        <v/>
      </c>
      <c r="D74" s="502" t="str">
        <f t="shared" si="19"/>
        <v/>
      </c>
      <c r="E74" s="546"/>
      <c r="F74" s="547"/>
      <c r="G74" s="729"/>
      <c r="H74" s="729"/>
      <c r="I74" s="729"/>
      <c r="J74" s="729"/>
      <c r="K74" s="729"/>
      <c r="L74" s="729"/>
      <c r="M74" s="765"/>
      <c r="N74" s="758"/>
      <c r="O74" s="765"/>
      <c r="P74" s="758"/>
      <c r="Q74" s="1143"/>
      <c r="R74" s="1134"/>
      <c r="S74" s="775"/>
      <c r="T74" s="729"/>
      <c r="U74" s="775"/>
      <c r="V74" s="779"/>
      <c r="W74" s="557"/>
      <c r="X74" s="788"/>
      <c r="Y74" s="543"/>
      <c r="Z74" s="281"/>
      <c r="AA74" s="281"/>
      <c r="AB74" s="281"/>
      <c r="AC74" s="281"/>
      <c r="AD74" s="492"/>
      <c r="AE74" s="527">
        <f t="shared" si="39"/>
        <v>0</v>
      </c>
      <c r="AF74" s="527">
        <f t="shared" si="40"/>
        <v>0</v>
      </c>
      <c r="AG74" s="527">
        <f t="shared" ref="AG74:AG137" si="41">IF(OR($C74="New Construction",$C74="Replace-on-Burnout",$AK74="",$AN74=""),0,(0.8*$AE74*$Q74)/$AN74)</f>
        <v>0</v>
      </c>
      <c r="AH74" s="527">
        <f t="shared" ref="AH74:AH137" si="42">IF(OR($C74="New Construction",$C74="Replace-on-Burnout"),999999999,IF(OR($AK74="",$AN74=""),0,(1.2*$AE74*$Q74)/$AN74))</f>
        <v>0</v>
      </c>
      <c r="AI74" s="527">
        <f t="shared" ref="AI74:AI137" si="43">IF(OR($C74="New Construction",$C74="Replace-on-Burnout",$AK74="",$AN74=""),0,IF($AK74="Tons",$AG74,IF($AK74="Btu/hr",$AG74*12000,0)))</f>
        <v>0</v>
      </c>
      <c r="AJ74" s="527">
        <f t="shared" ref="AJ74:AJ137" si="44">IF(OR($C74="New Construction",$C74="Replace-on-Burnout",$AK74="",$AN74=""),999999999,IF($AK74="Tons",$AH74,IF($AK74="Btu/hr",$AH74*12000,0)))</f>
        <v>999999999</v>
      </c>
      <c r="AK74" s="471"/>
      <c r="AL74" s="765"/>
      <c r="AM74" s="758"/>
      <c r="AN74" s="281"/>
      <c r="AO74" s="775"/>
      <c r="AP74" s="775"/>
      <c r="AQ74" s="281"/>
      <c r="AR74" s="528"/>
      <c r="AS74" s="532"/>
      <c r="AT74" s="524" t="str">
        <f t="shared" ref="AT74:AT137" si="45">IF(OR($Z74="",AND(OR($Z74="Air Cooled Chiller",$Z74="Water Cooled Chiller"),$AA74="")),"",IF(OR($Z74="Air Cooled Chiller",$Z74="Water Cooled Chiller"),VLOOKUP(CONCATENATE($AA74," ",$Z74),$CY$10:$DB$21,4,FALSE),VLOOKUP($Z74,$CY$10:$DB$21,4,FALSE)))</f>
        <v/>
      </c>
      <c r="AU74" s="311">
        <f t="shared" ref="AU74:AU137" si="46">IF($C74="Early Retirement",$BU74,IFERROR(IF(OR($Z74="",$AD74="",$AK74="",$AN74="",$AO74="",$AQ74="",$CI74=0,$CT74=0),0,($BY74*$CC74*$CI74)-($CM74*$CN74*$CT74)),0))</f>
        <v>0</v>
      </c>
      <c r="AV74" s="288">
        <f t="shared" si="22"/>
        <v>0</v>
      </c>
      <c r="AW74" s="290">
        <f>IF(ISERROR($AU74*'Utility Admin'!$E$4+$AV74*'Utility Admin'!$F$4),0,$AU74*'Utility Admin'!$E$4+$AV74*'Utility Admin'!$F$4)</f>
        <v>0</v>
      </c>
      <c r="AX74" s="323" t="str">
        <f t="shared" ref="AX74:AX137" si="47">IF(OR($Z74="",AND(OR($Z74="Air Cooled Chiller",$Z74="Water Cooled Chiller"),$AA74="")),"",IF(OR($Z74="Air Cooled Chiller",$Z74="Water Cooled Chiller"),VLOOKUP(CONCATENATE($AA74," ",$Z74),$CY$10:$DA$21,3,FALSE),VLOOKUP($Z74,$CY$10:$DA$21,3,FALSE)))</f>
        <v/>
      </c>
      <c r="AY74" s="322" t="str">
        <f t="shared" si="23"/>
        <v/>
      </c>
      <c r="AZ74" s="319">
        <f>Baselines!$CJ318</f>
        <v>0</v>
      </c>
      <c r="BA74" s="735">
        <f>Baselines!$CK318</f>
        <v>0</v>
      </c>
      <c r="BB74" s="839">
        <f>Baselines!$CM318</f>
        <v>0</v>
      </c>
      <c r="BC74" s="466">
        <f t="shared" ref="BC74:BC137" si="48">IF(OR($D74="",$Z74="",$AD74="",$AK74="",$AN74="",$AO74="",$AQ74="",$AY74=""),0,IFERROR(IF(OR($CI74=0,$CT74=0),0,($BY74*$AZ74*$CI74)-($CM74*$CN74*$CT74)),0))</f>
        <v>0</v>
      </c>
      <c r="BD74" s="464">
        <f t="shared" si="24"/>
        <v>0</v>
      </c>
      <c r="BE74" s="755">
        <f t="shared" ref="BE74:BE137" si="49">IF(OR($D74="",$Z74="",$AL74="",$AM74="",$AN74="",$AR74="",$AS74="",$AY74=""),0,IFERROR(IF(OR($CK74=0,$CV74=0),0,(($CF74*(1/$BB74)*$CK74)-($CQ74*(1/$CR74)*$CV74))*(1/3412)),0))</f>
        <v>0</v>
      </c>
      <c r="BF74" s="755">
        <f t="shared" si="25"/>
        <v>0</v>
      </c>
      <c r="BG74" s="466">
        <f t="shared" ref="BG74:BG137" si="50">IF(OR($C74&lt;&gt;"Early Retirement",$D74="",$H74="",$Z74="",$AD74="",$AK74="",$AN74="",$AO74="",$AQ74=""),0,IF(AND($C74="Early Retirement",OR($Z74="PTAC",$Z74="PTHP"),OR($AB74&lt;&gt;"Yes",$AD74&gt;$M74)),$BC74,IFERROR(IF(OR($CI74=0,$CT74=0),0,($BY74*$CC74*$CI74)-($CM74*$CN74*$CT74)),0)))</f>
        <v>0</v>
      </c>
      <c r="BH74" s="464">
        <f t="shared" ref="BH74:BH137" si="51">IF(OR($C74&lt;&gt;"Early Retirement",$D74="",$H74="",$Z74="",$AD74="",$AK74="",$AN74="",AND($AO74="",$AP74=""),$AQ74=""),0,IF(AND($C74="Early Retirement",OR($Z74="PTAC",$Z74="PTHP"),OR($AB74&lt;&gt;"Yes",$AD74&gt;$M74)),$BD74,IFERROR(IF(OR($CJ74=0,$CU74=0),0,($BY74*$CD74*$CJ74)-($CM74*$CO74*$CU74)),0)))</f>
        <v>0</v>
      </c>
      <c r="BI74" s="755">
        <f t="shared" ref="BI74:BI137" si="52">IF(OR($C74&lt;&gt;"Early Retirement",$D74="",$H74="",$Z74="",$AL74="",$AM74="",$AN74="",$AR74="",$AS74=""),0,IF(AND($C74="Early Retirement",OR($Z74="PTAC",$Z74="PTHP"),OR($AB74&lt;&gt;"Yes",$AD74&gt;$M74)),$BE74,IFERROR(IF(OR($CK74=0,$CV74=0),0,(($CF74*(1/$CG74)*$CK74)-($CQ74*(1/$CR74)*$CV74))*(1/3412)),0)))</f>
        <v>0</v>
      </c>
      <c r="BJ74" s="755">
        <f t="shared" si="26"/>
        <v>0</v>
      </c>
      <c r="BK74" s="333">
        <f>IF(OR($C74&lt;&gt;"Early Retirement",$H74=""),0,IF(AND($G74&lt;&gt;"Air Cooled Chiller",$G74&lt;&gt;"Water Cooled Chiller"),VLOOKUP($H74,'Early Retirement'!$CI$6:$CL$33,2,FALSE),IF($J74&lt;&gt;"Centrifugal",VLOOKUP($H74,'Early Retirement'!$CI$6:$CL$33,3,FALSE),IF($J74="Centrifugal",VLOOKUP($H74,'Early Retirement'!$CI$6:$CL$33,4,FALSE),""))))</f>
        <v>0</v>
      </c>
      <c r="BL74" s="450">
        <f t="shared" ref="BL74:BL137" si="53">IF(OR($C74&lt;&gt;"Early Retirement",$H74="",$Z74="",$AT74=""),0,$AT74-$BK74)</f>
        <v>0</v>
      </c>
      <c r="BM74" s="553">
        <f>IFERROR('Utility Admin'!$I$4*((1+'Utility Admin'!$G$4)/('Utility Admin'!$H$4-'Utility Admin'!$G$4))*(1-((1+'Utility Admin'!$G$4)/(1+'Utility Admin'!$H$4))^$BK74)*$BG74,0)</f>
        <v>0</v>
      </c>
      <c r="BN74" s="553">
        <f>IFERROR('Utility Admin'!$I$4*((1+'Utility Admin'!$G$4)/('Utility Admin'!$H$4-'Utility Admin'!$G$4))*(1-((1+'Utility Admin'!$G$4)/(1+'Utility Admin'!$H$4))^$BL74)*((1+'Utility Admin'!$G$4)^$BK74/(1+'Utility Admin'!$H$4)^$BK74)*$BC74,0)</f>
        <v>0</v>
      </c>
      <c r="BO74" s="553">
        <f t="shared" si="27"/>
        <v>0</v>
      </c>
      <c r="BP74" s="553">
        <f>IFERROR('Utility Admin'!$J$4*((1+'Utility Admin'!$G$4)/('Utility Admin'!$H$4-'Utility Admin'!$G$4))*(1-((1+'Utility Admin'!$G$4)/(1+'Utility Admin'!$H$4))^$BK74)*$BJ74,0)</f>
        <v>0</v>
      </c>
      <c r="BQ74" s="553">
        <f>IFERROR('Utility Admin'!$J$4*((1+'Utility Admin'!$G$4)/('Utility Admin'!$H$4-'Utility Admin'!$G$4))*(1-((1+'Utility Admin'!$G$4)/(1+'Utility Admin'!$H$4))^$BL74)*((1+'Utility Admin'!$G$4)^$BK74/(1+'Utility Admin'!$H$4)^$BK74)*$BF74,0)</f>
        <v>0</v>
      </c>
      <c r="BR74" s="553">
        <f t="shared" si="28"/>
        <v>0</v>
      </c>
      <c r="BS74" s="553">
        <f>IFERROR('Utility Admin'!$I$4*((1+'Utility Admin'!$G$4)/('Utility Admin'!$H$4-'Utility Admin'!$G$4))*(1-((1+'Utility Admin'!$G$4)/(1+'Utility Admin'!$H$4))^$AT74),0)</f>
        <v>0</v>
      </c>
      <c r="BT74" s="553">
        <f>IFERROR('Utility Admin'!$J$4*((1+'Utility Admin'!$G$4)/('Utility Admin'!$H$4-'Utility Admin'!$G$4))*(1-((1+'Utility Admin'!$G$4)/(1+'Utility Admin'!$H$4))^$AT74),0)</f>
        <v>0</v>
      </c>
      <c r="BU74" s="459">
        <f t="shared" si="29"/>
        <v>0</v>
      </c>
      <c r="BV74" s="462">
        <f t="shared" si="30"/>
        <v>0</v>
      </c>
      <c r="BW74" s="219" t="str">
        <f t="shared" ref="BW74:BW137" si="54">IF($C74="New Construction",$CL74,IF($G74="","",VLOOKUP($G74,$CX$10:$CZ$21,3,FALSE)))</f>
        <v/>
      </c>
      <c r="BX74" s="250" t="str">
        <f t="shared" si="31"/>
        <v/>
      </c>
      <c r="BY74" s="250" t="str">
        <f t="shared" ref="BY74:BY137" si="55">IF(OR($C74="New Construction",$C74="Replace-on-Burnout"),$CM74,$BX74)</f>
        <v/>
      </c>
      <c r="BZ74" s="184">
        <f t="shared" si="32"/>
        <v>0</v>
      </c>
      <c r="CA74" s="693">
        <f t="shared" si="33"/>
        <v>0</v>
      </c>
      <c r="CB74" s="836">
        <f t="shared" si="34"/>
        <v>0</v>
      </c>
      <c r="CC74" s="693">
        <f>IF(AND($C74="Early Retirement",$H74&lt;&gt;"",$R74&lt;&gt;"",$T74&lt;&gt;""),$BZ74,Baselines!$CJ67)</f>
        <v>0</v>
      </c>
      <c r="CD74" s="693">
        <f>IF(AND($C74="Early Retirement",$H74&lt;&gt;"",$R74&lt;&gt;"",$T74&lt;&gt;""),$CA74,Baselines!$CK67)</f>
        <v>0</v>
      </c>
      <c r="CE74" s="182" t="str">
        <f>Baselines!$CL67</f>
        <v>kW/ton</v>
      </c>
      <c r="CF74" s="850" t="str">
        <f t="shared" ref="CF74:CF137" si="56">IF(OR($C74="New Construction",$C74="Replace-on-Burnout",$CL74="DX HP",$CL74="PTHP"),$CQ74,IF(OR($O74="",$P74="",$Q74=""),"",IF($P74="Tons",($O74*12000)*$Q74,IF($P74="Btu/hr",$O74*$Q74,""))))</f>
        <v/>
      </c>
      <c r="CG74" s="833">
        <f>IF(AND($C74="Early Retirement",$H74&lt;&gt;"",$R74&lt;&gt;"",$T74&lt;&gt;""),$CB74,IF(AND(Baselines!$CM67=0,OR($CL74="DX HP",$CL74="PTHP")),$BB74,Baselines!$CM67))</f>
        <v>0</v>
      </c>
      <c r="CH74" s="830" t="s">
        <v>567</v>
      </c>
      <c r="CI74" s="185" t="str">
        <f>IF(OR($C74="Replace-on-Burnout",$C74="New Construction"),$CT74,IF($BW74="","",VLOOKUP($D74,'Factor Tables'!$B$165:$H$192,MATCH($BW74,'Factor Tables'!$B$164:$H$164,0),FALSE)))</f>
        <v/>
      </c>
      <c r="CJ74" s="842" t="str">
        <f>IF(OR($C74="Replace-on-Burnout",$C74="New Construction"),$CU74,IF($BW74="","",IF($BW74="DX HP",VLOOKUP($D74,'Factor Tables'!$I$165:$Q$192,MATCH("DX HP Clg",'Factor Tables'!$I$164:$Q$164,0),FALSE),IF($BW74="PTHP",VLOOKUP($D74,'Factor Tables'!$I$165:$Q$192,MATCH("PTHP Clg",'Factor Tables'!$I$164:$Q$164,0),FALSE),IF(AND($BW74&lt;&gt;"DX HP",$BW74&lt;&gt;"PTHP"),VLOOKUP($D74,'Factor Tables'!$I$165:$Q$192,MATCH($BW74,'Factor Tables'!$I$164:$Q$164,0),FALSE),"")))))</f>
        <v/>
      </c>
      <c r="CK74" s="186" t="str">
        <f>IF(OR($C74="Replace-on-Burnout",$C74="New Construction",$CL74="DX HP",$CL74="PTHP"),$CV74,IF($BW74="","",IF($BW74="DX HP",VLOOKUP($D74,'Factor Tables'!$I$165:$Q$192,MATCH("DX HP Htg",'Factor Tables'!$I$164:$Q$164,0),FALSE),IF($BW74="PTHP",VLOOKUP($D74,'Factor Tables'!$I$165:$Q$192,MATCH("PTHP Htg",'Factor Tables'!$I$164:$Q$164,0),FALSE),0))))</f>
        <v/>
      </c>
      <c r="CL74" s="187" t="str">
        <f t="shared" ref="CL74:CL137" si="57">IF($Z74="","",VLOOKUP($Z74,$CX$10:$CZ$21,3,FALSE))</f>
        <v/>
      </c>
      <c r="CM74" s="251" t="str">
        <f t="shared" ref="CM74:CM137" si="58">IF(OR($AD74="",$AK74="",$AN74=""),"",IF($AK74="Btu/hr",($AD74/12000)*$AN74,IF($AK74="Tons",$AD74*$AN74,"")))</f>
        <v/>
      </c>
      <c r="CN74" s="184">
        <f t="shared" si="35"/>
        <v>0</v>
      </c>
      <c r="CO74" s="693">
        <f t="shared" si="36"/>
        <v>0</v>
      </c>
      <c r="CP74" s="182" t="s">
        <v>46</v>
      </c>
      <c r="CQ74" s="852" t="str">
        <f t="shared" si="37"/>
        <v/>
      </c>
      <c r="CR74" s="833">
        <f t="shared" si="38"/>
        <v>0</v>
      </c>
      <c r="CS74" s="830" t="s">
        <v>567</v>
      </c>
      <c r="CT74" s="185" t="str">
        <f>IF($CL74="","",VLOOKUP($D74,'Factor Tables'!$B$165:$H$192,MATCH($CL74,'Factor Tables'!$B$164:$H$164,0),FALSE))</f>
        <v/>
      </c>
      <c r="CU74" s="842" t="str">
        <f>IF($CL74="","",IF(AND($CL74&lt;&gt;"DX HP",$CL74&lt;&gt;"PTHP"),VLOOKUP($D74,'Factor Tables'!$I$165:$Q$192,MATCH($CL74,'Factor Tables'!$I$164:$Q$164,0),FALSE),IF($CL74="DX HP",VLOOKUP($D74,'Factor Tables'!$I$165:$Q$192,MATCH("DX HP Clg",'Factor Tables'!$I$164:$Q$164,0),FALSE),IF($CL74="PTHP",VLOOKUP($D74,'Factor Tables'!$I$165:$Q$192,MATCH("PTHP Clg",'Factor Tables'!$I$164:$Q$164,0),FALSE),""))))</f>
        <v/>
      </c>
      <c r="CV74" s="186" t="str">
        <f>IF($CL74="","",IF(AND($CL74&lt;&gt;"DX HP",$CL74&lt;&gt;"PTHP"),0,IF($CL74="DX HP",VLOOKUP($D74,'Factor Tables'!$I$165:$Q$192,MATCH("DX HP Htg",'Factor Tables'!$I$164:$Q$164,0),FALSE),IF($CL74="PTHP",VLOOKUP($D74,'Factor Tables'!$I$165:$Q$192,MATCH("PTHP Htg",'Factor Tables'!$I$164:$Q$164,0),FALSE),""))))</f>
        <v/>
      </c>
      <c r="DD74" s="193" t="s">
        <v>366</v>
      </c>
      <c r="DE74" s="426"/>
      <c r="DI74" s="425"/>
      <c r="DJ74" s="425"/>
      <c r="DK74" s="425"/>
      <c r="DL74" s="425"/>
      <c r="DM74" s="493" t="s">
        <v>478</v>
      </c>
    </row>
    <row r="75" spans="2:117" s="427" customFormat="1" ht="21.95" customHeight="1" x14ac:dyDescent="0.25">
      <c r="B75" s="432">
        <v>66</v>
      </c>
      <c r="C75" s="499" t="str">
        <f t="shared" ref="C75:C138" si="59">IF($C74="","",$C74)</f>
        <v/>
      </c>
      <c r="D75" s="403" t="str">
        <f t="shared" ref="D75:D138" si="60">IF($D74="","",$D74)</f>
        <v/>
      </c>
      <c r="E75" s="541"/>
      <c r="F75" s="785"/>
      <c r="G75" s="728"/>
      <c r="H75" s="728"/>
      <c r="I75" s="728"/>
      <c r="J75" s="728"/>
      <c r="K75" s="728"/>
      <c r="L75" s="728"/>
      <c r="M75" s="764"/>
      <c r="N75" s="728"/>
      <c r="O75" s="764"/>
      <c r="P75" s="728"/>
      <c r="Q75" s="1142"/>
      <c r="R75" s="1133"/>
      <c r="S75" s="778"/>
      <c r="T75" s="767"/>
      <c r="U75" s="778"/>
      <c r="V75" s="751"/>
      <c r="W75" s="556"/>
      <c r="X75" s="785"/>
      <c r="Y75" s="542"/>
      <c r="Z75" s="500"/>
      <c r="AA75" s="500"/>
      <c r="AB75" s="500"/>
      <c r="AC75" s="500"/>
      <c r="AD75" s="529"/>
      <c r="AE75" s="527">
        <f t="shared" si="39"/>
        <v>0</v>
      </c>
      <c r="AF75" s="527">
        <f t="shared" ref="AF75:AF138" si="61">IF(OR($AD75="",$AK75=""),0,IF($AK75="Tons",$AD75,IF($AK75="Btu/hr",$AD75/12000,"")))</f>
        <v>0</v>
      </c>
      <c r="AG75" s="527">
        <f t="shared" si="41"/>
        <v>0</v>
      </c>
      <c r="AH75" s="527">
        <f t="shared" si="42"/>
        <v>0</v>
      </c>
      <c r="AI75" s="527">
        <f t="shared" si="43"/>
        <v>0</v>
      </c>
      <c r="AJ75" s="527">
        <f t="shared" si="44"/>
        <v>999999999</v>
      </c>
      <c r="AK75" s="530"/>
      <c r="AL75" s="776"/>
      <c r="AM75" s="777"/>
      <c r="AN75" s="500"/>
      <c r="AO75" s="778"/>
      <c r="AP75" s="778"/>
      <c r="AQ75" s="500"/>
      <c r="AR75" s="531"/>
      <c r="AS75" s="403"/>
      <c r="AT75" s="524" t="str">
        <f t="shared" si="45"/>
        <v/>
      </c>
      <c r="AU75" s="311">
        <f t="shared" si="46"/>
        <v>0</v>
      </c>
      <c r="AV75" s="288">
        <f t="shared" ref="AV75:AV138" si="62">IF($C75="Early Retirement",$BV75,IFERROR(IF(OR($Z75="",$AD75="",$AK75="",$AN75="",$AO75="",AND(OR($Z75="Air Cooled Chiller",$Z75="Water Cooled Chiller",$Z75="DX AC Air Cooled", $Z75="DX HP Air Cooled"),$AP75=""),$AQ75="",AND(OR($Z75="DX HP Air Cooled",$Z75="PTHP"),OR($AR75="",$AS75="")),$CJ75=0,$CU75=0),0,IF(OR($Z75="DX HP Air Cooled",$Z75="PTHP"),(($BY75*$CD75*$CJ75)-($CM75*$CO75*$CU75))+((($CF75*(1/$CG75)*$CK75)-($CQ75*(1/$CR75)*$CV75))*(1/3412)),($BY75*$CD75*$CJ75)-($CM75*$CO75*$CU75))),0))</f>
        <v>0</v>
      </c>
      <c r="AW75" s="290">
        <f>IF(ISERROR($AU75*'Utility Admin'!$E$4+$AV75*'Utility Admin'!$F$4),0,$AU75*'Utility Admin'!$E$4+$AV75*'Utility Admin'!$F$4)</f>
        <v>0</v>
      </c>
      <c r="AX75" s="323" t="str">
        <f t="shared" si="47"/>
        <v/>
      </c>
      <c r="AY75" s="322" t="str">
        <f t="shared" si="23"/>
        <v/>
      </c>
      <c r="AZ75" s="319">
        <f>Baselines!$CJ319</f>
        <v>0</v>
      </c>
      <c r="BA75" s="735">
        <f>Baselines!$CK319</f>
        <v>0</v>
      </c>
      <c r="BB75" s="839">
        <f>Baselines!$CM319</f>
        <v>0</v>
      </c>
      <c r="BC75" s="466">
        <f t="shared" si="48"/>
        <v>0</v>
      </c>
      <c r="BD75" s="464">
        <f t="shared" ref="BD75:BD138" si="63">IF(OR($D75="",$Z75="",$AD75="",$AK75="",$AN75="",AND($Z75&lt;&gt;"PTAC",$Z75&lt;&gt;"PTHP",$AP75=""),AND(OR($Z75="PTAC",$Z75="PTHP"),$AO75=""),$AQ75="",$AY75=""),0,IFERROR(IF(OR($CJ75=0,$CU75=0),0,($BY75*$BA75*$CJ75)-($CM75*$CO75*$CU75)),0))</f>
        <v>0</v>
      </c>
      <c r="BE75" s="755">
        <f t="shared" si="49"/>
        <v>0</v>
      </c>
      <c r="BF75" s="755">
        <f t="shared" ref="BF75:BF138" si="64">BD75+BE75</f>
        <v>0</v>
      </c>
      <c r="BG75" s="466">
        <f t="shared" si="50"/>
        <v>0</v>
      </c>
      <c r="BH75" s="464">
        <f t="shared" si="51"/>
        <v>0</v>
      </c>
      <c r="BI75" s="755">
        <f t="shared" si="52"/>
        <v>0</v>
      </c>
      <c r="BJ75" s="755">
        <f t="shared" ref="BJ75:BJ138" si="65">BH75+BI75</f>
        <v>0</v>
      </c>
      <c r="BK75" s="333">
        <f>IF(OR($C75&lt;&gt;"Early Retirement",$H75=""),0,IF(AND($G75&lt;&gt;"Air Cooled Chiller",$G75&lt;&gt;"Water Cooled Chiller"),VLOOKUP($H75,'Early Retirement'!$CI$6:$CL$33,2,FALSE),IF($J75&lt;&gt;"Centrifugal",VLOOKUP($H75,'Early Retirement'!$CI$6:$CL$33,3,FALSE),IF($J75="Centrifugal",VLOOKUP($H75,'Early Retirement'!$CI$6:$CL$33,4,FALSE),""))))</f>
        <v>0</v>
      </c>
      <c r="BL75" s="450">
        <f t="shared" si="53"/>
        <v>0</v>
      </c>
      <c r="BM75" s="553">
        <f>IFERROR('Utility Admin'!$I$4*((1+'Utility Admin'!$G$4)/('Utility Admin'!$H$4-'Utility Admin'!$G$4))*(1-((1+'Utility Admin'!$G$4)/(1+'Utility Admin'!$H$4))^$BK75)*$BG75,0)</f>
        <v>0</v>
      </c>
      <c r="BN75" s="553">
        <f>IFERROR('Utility Admin'!$I$4*((1+'Utility Admin'!$G$4)/('Utility Admin'!$H$4-'Utility Admin'!$G$4))*(1-((1+'Utility Admin'!$G$4)/(1+'Utility Admin'!$H$4))^$BL75)*((1+'Utility Admin'!$G$4)^$BK75/(1+'Utility Admin'!$H$4)^$BK75)*$BC75,0)</f>
        <v>0</v>
      </c>
      <c r="BO75" s="553">
        <f t="shared" si="27"/>
        <v>0</v>
      </c>
      <c r="BP75" s="553">
        <f>IFERROR('Utility Admin'!$J$4*((1+'Utility Admin'!$G$4)/('Utility Admin'!$H$4-'Utility Admin'!$G$4))*(1-((1+'Utility Admin'!$G$4)/(1+'Utility Admin'!$H$4))^$BK75)*$BJ75,0)</f>
        <v>0</v>
      </c>
      <c r="BQ75" s="553">
        <f>IFERROR('Utility Admin'!$J$4*((1+'Utility Admin'!$G$4)/('Utility Admin'!$H$4-'Utility Admin'!$G$4))*(1-((1+'Utility Admin'!$G$4)/(1+'Utility Admin'!$H$4))^$BL75)*((1+'Utility Admin'!$G$4)^$BK75/(1+'Utility Admin'!$H$4)^$BK75)*$BF75,0)</f>
        <v>0</v>
      </c>
      <c r="BR75" s="553">
        <f t="shared" si="28"/>
        <v>0</v>
      </c>
      <c r="BS75" s="553">
        <f>IFERROR('Utility Admin'!$I$4*((1+'Utility Admin'!$G$4)/('Utility Admin'!$H$4-'Utility Admin'!$G$4))*(1-((1+'Utility Admin'!$G$4)/(1+'Utility Admin'!$H$4))^$AT75),0)</f>
        <v>0</v>
      </c>
      <c r="BT75" s="553">
        <f>IFERROR('Utility Admin'!$J$4*((1+'Utility Admin'!$G$4)/('Utility Admin'!$H$4-'Utility Admin'!$G$4))*(1-((1+'Utility Admin'!$G$4)/(1+'Utility Admin'!$H$4))^$AT75),0)</f>
        <v>0</v>
      </c>
      <c r="BU75" s="459">
        <f t="shared" ref="BU75:BU138" si="66">IF(OR($C75&lt;&gt;"Early Retirement",$AO75="",AND($Z75&lt;&gt;"PTAC",$Z75&lt;&gt;"PTHP",$AP75=""),$AQ75=""),0,IFERROR($BO75/$BS75,0))</f>
        <v>0</v>
      </c>
      <c r="BV75" s="462">
        <f t="shared" ref="BV75:BV138" si="67">IF(OR($C75&lt;&gt;"Early Retirement",$AO75="",AND($Z75&lt;&gt;"PTAC",$Z75&lt;&gt;"PTHP",$AP75=""),$AQ75=""),0,IFERROR($BR75/$BT75,0))</f>
        <v>0</v>
      </c>
      <c r="BW75" s="219" t="str">
        <f t="shared" si="54"/>
        <v/>
      </c>
      <c r="BX75" s="250" t="str">
        <f t="shared" ref="BX75:BX138" si="68">IF(OR($M75="",$N75="",$Q75=""),"",IF($N75="Btu/hr",($M75/12000)*$Q75,IF($N75="Tons",$M75*$Q75,"")))</f>
        <v/>
      </c>
      <c r="BY75" s="250" t="str">
        <f t="shared" si="55"/>
        <v/>
      </c>
      <c r="BZ75" s="184">
        <f t="shared" ref="BZ75:BZ138" si="69">IF($T75="EER",12/$R75,IF($T75="kW/ton",$R75,0))</f>
        <v>0</v>
      </c>
      <c r="CA75" s="693">
        <f t="shared" ref="CA75:CA138" si="70">IF(AND(OR($G75="PTAC",$G75="PTHP",$G75="Room AC",$G75="Room HP"),$T75="EER"),12/$R75,IF(AND(OR($G75="PTAC",$G75="PTHP",$G75="Room AC",$G75="Room HP"),$T75="kW/ton"),$R75,IF($T75="EER",12/$S75,IF($T75="kW/ton",$S75,0))))</f>
        <v>0</v>
      </c>
      <c r="CB75" s="836">
        <f t="shared" ref="CB75:CB138" si="71">IF($V75="HSPF",$U75/3.214,IF($V75="COP",$U75,0))</f>
        <v>0</v>
      </c>
      <c r="CC75" s="693">
        <f>IF(AND($C75="Early Retirement",$H75&lt;&gt;"",$R75&lt;&gt;"",$T75&lt;&gt;""),$BZ75,Baselines!$CJ68)</f>
        <v>0</v>
      </c>
      <c r="CD75" s="693">
        <f>IF(AND($C75="Early Retirement",$H75&lt;&gt;"",$R75&lt;&gt;"",$T75&lt;&gt;""),$CA75,Baselines!$CK68)</f>
        <v>0</v>
      </c>
      <c r="CE75" s="182" t="str">
        <f>Baselines!$CL68</f>
        <v>kW/ton</v>
      </c>
      <c r="CF75" s="850" t="str">
        <f t="shared" si="56"/>
        <v/>
      </c>
      <c r="CG75" s="833">
        <f>IF(AND($C75="Early Retirement",$H75&lt;&gt;"",$R75&lt;&gt;"",$T75&lt;&gt;""),$CB75,IF(AND(Baselines!$CM68=0,OR($CL75="DX HP",$CL75="PTHP")),$BB75,Baselines!$CM68))</f>
        <v>0</v>
      </c>
      <c r="CH75" s="830" t="s">
        <v>567</v>
      </c>
      <c r="CI75" s="185" t="str">
        <f>IF(OR($C75="Replace-on-Burnout",$C75="New Construction"),$CT75,IF($BW75="","",VLOOKUP($D75,'Factor Tables'!$B$165:$H$192,MATCH($BW75,'Factor Tables'!$B$164:$H$164,0),FALSE)))</f>
        <v/>
      </c>
      <c r="CJ75" s="842" t="str">
        <f>IF(OR($C75="Replace-on-Burnout",$C75="New Construction"),$CU75,IF($BW75="","",IF($BW75="DX HP",VLOOKUP($D75,'Factor Tables'!$I$165:$Q$192,MATCH("DX HP Clg",'Factor Tables'!$I$164:$Q$164,0),FALSE),IF($BW75="PTHP",VLOOKUP($D75,'Factor Tables'!$I$165:$Q$192,MATCH("PTHP Clg",'Factor Tables'!$I$164:$Q$164,0),FALSE),IF(AND($BW75&lt;&gt;"DX HP",$BW75&lt;&gt;"PTHP"),VLOOKUP($D75,'Factor Tables'!$I$165:$Q$192,MATCH($BW75,'Factor Tables'!$I$164:$Q$164,0),FALSE),"")))))</f>
        <v/>
      </c>
      <c r="CK75" s="186" t="str">
        <f>IF(OR($C75="Replace-on-Burnout",$C75="New Construction",$CL75="DX HP",$CL75="PTHP"),$CV75,IF($BW75="","",IF($BW75="DX HP",VLOOKUP($D75,'Factor Tables'!$I$165:$Q$192,MATCH("DX HP Htg",'Factor Tables'!$I$164:$Q$164,0),FALSE),IF($BW75="PTHP",VLOOKUP($D75,'Factor Tables'!$I$165:$Q$192,MATCH("PTHP Htg",'Factor Tables'!$I$164:$Q$164,0),FALSE),0))))</f>
        <v/>
      </c>
      <c r="CL75" s="187" t="str">
        <f t="shared" si="57"/>
        <v/>
      </c>
      <c r="CM75" s="251" t="str">
        <f t="shared" si="58"/>
        <v/>
      </c>
      <c r="CN75" s="184">
        <f t="shared" ref="CN75:CN138" si="72">IF($AQ75="EER",12/$AO75,IF($AQ75="kW/ton",$AO75,0))</f>
        <v>0</v>
      </c>
      <c r="CO75" s="693">
        <f t="shared" ref="CO75:CO138" si="73">IF(AND(OR($Z75="PTAC",$Z75="PTHP",$Z75="Room AC",$Z75="Room HP"),$AQ75="EER"),12/$AO75,IF(AND(OR($Z75="PTAC",$Z75="PTHP",$Z75="Room AC",$Z75="Room HP"),$AQ75="kW/ton"),$AO75,IF($AQ75="EER",12/$AP75,IF($AQ75="kW/ton",$AP75,0))))</f>
        <v>0</v>
      </c>
      <c r="CP75" s="182" t="s">
        <v>46</v>
      </c>
      <c r="CQ75" s="852" t="str">
        <f t="shared" ref="CQ75:CQ138" si="74">IF(OR($AL75="",$AM75="",$AN75=""),"",IF($AM75="Tons",($AL75*12000)*$AN75,IF($AM75="Btu/hr",$AL75*$AN75,"")))</f>
        <v/>
      </c>
      <c r="CR75" s="833">
        <f t="shared" ref="CR75:CR138" si="75">IF($AS75="HSPF",$AR75/3.412,IF($AS75="COP",$AR75,0))</f>
        <v>0</v>
      </c>
      <c r="CS75" s="830" t="s">
        <v>567</v>
      </c>
      <c r="CT75" s="185" t="str">
        <f>IF($CL75="","",VLOOKUP($D75,'Factor Tables'!$B$165:$H$192,MATCH($CL75,'Factor Tables'!$B$164:$H$164,0),FALSE))</f>
        <v/>
      </c>
      <c r="CU75" s="842" t="str">
        <f>IF($CL75="","",IF(AND($CL75&lt;&gt;"DX HP",$CL75&lt;&gt;"PTHP"),VLOOKUP($D75,'Factor Tables'!$I$165:$Q$192,MATCH($CL75,'Factor Tables'!$I$164:$Q$164,0),FALSE),IF($CL75="DX HP",VLOOKUP($D75,'Factor Tables'!$I$165:$Q$192,MATCH("DX HP Clg",'Factor Tables'!$I$164:$Q$164,0),FALSE),IF($CL75="PTHP",VLOOKUP($D75,'Factor Tables'!$I$165:$Q$192,MATCH("PTHP Clg",'Factor Tables'!$I$164:$Q$164,0),FALSE),""))))</f>
        <v/>
      </c>
      <c r="CV75" s="186" t="str">
        <f>IF($CL75="","",IF(AND($CL75&lt;&gt;"DX HP",$CL75&lt;&gt;"PTHP"),0,IF($CL75="DX HP",VLOOKUP($D75,'Factor Tables'!$I$165:$Q$192,MATCH("DX HP Htg",'Factor Tables'!$I$164:$Q$164,0),FALSE),IF($CL75="PTHP",VLOOKUP($D75,'Factor Tables'!$I$165:$Q$192,MATCH("PTHP Htg",'Factor Tables'!$I$164:$Q$164,0),FALSE),""))))</f>
        <v/>
      </c>
      <c r="DD75" s="77" t="s">
        <v>44</v>
      </c>
      <c r="DE75" s="426"/>
      <c r="DI75" s="425"/>
      <c r="DJ75" s="425"/>
      <c r="DK75" s="425"/>
      <c r="DL75" s="425"/>
      <c r="DM75" s="493" t="s">
        <v>478</v>
      </c>
    </row>
    <row r="76" spans="2:117" s="427" customFormat="1" ht="21.95" customHeight="1" x14ac:dyDescent="0.25">
      <c r="B76" s="431">
        <v>67</v>
      </c>
      <c r="C76" s="501" t="str">
        <f t="shared" si="59"/>
        <v/>
      </c>
      <c r="D76" s="502" t="str">
        <f t="shared" si="60"/>
        <v/>
      </c>
      <c r="E76" s="546"/>
      <c r="F76" s="547"/>
      <c r="G76" s="729"/>
      <c r="H76" s="729"/>
      <c r="I76" s="729"/>
      <c r="J76" s="729"/>
      <c r="K76" s="729"/>
      <c r="L76" s="729"/>
      <c r="M76" s="765"/>
      <c r="N76" s="758"/>
      <c r="O76" s="765"/>
      <c r="P76" s="758"/>
      <c r="Q76" s="1143"/>
      <c r="R76" s="1134"/>
      <c r="S76" s="775"/>
      <c r="T76" s="729"/>
      <c r="U76" s="775"/>
      <c r="V76" s="779"/>
      <c r="W76" s="557"/>
      <c r="X76" s="788"/>
      <c r="Y76" s="543"/>
      <c r="Z76" s="281"/>
      <c r="AA76" s="281"/>
      <c r="AB76" s="281"/>
      <c r="AC76" s="281"/>
      <c r="AD76" s="492"/>
      <c r="AE76" s="527">
        <f t="shared" si="39"/>
        <v>0</v>
      </c>
      <c r="AF76" s="527">
        <f t="shared" si="61"/>
        <v>0</v>
      </c>
      <c r="AG76" s="527">
        <f t="shared" si="41"/>
        <v>0</v>
      </c>
      <c r="AH76" s="527">
        <f t="shared" si="42"/>
        <v>0</v>
      </c>
      <c r="AI76" s="527">
        <f t="shared" si="43"/>
        <v>0</v>
      </c>
      <c r="AJ76" s="527">
        <f t="shared" si="44"/>
        <v>999999999</v>
      </c>
      <c r="AK76" s="471"/>
      <c r="AL76" s="765"/>
      <c r="AM76" s="758"/>
      <c r="AN76" s="281"/>
      <c r="AO76" s="775"/>
      <c r="AP76" s="775"/>
      <c r="AQ76" s="281"/>
      <c r="AR76" s="528"/>
      <c r="AS76" s="532"/>
      <c r="AT76" s="524" t="str">
        <f t="shared" si="45"/>
        <v/>
      </c>
      <c r="AU76" s="311">
        <f t="shared" si="46"/>
        <v>0</v>
      </c>
      <c r="AV76" s="288">
        <f t="shared" si="62"/>
        <v>0</v>
      </c>
      <c r="AW76" s="290">
        <f>IF(ISERROR($AU76*'Utility Admin'!$E$4+$AV76*'Utility Admin'!$F$4),0,$AU76*'Utility Admin'!$E$4+$AV76*'Utility Admin'!$F$4)</f>
        <v>0</v>
      </c>
      <c r="AX76" s="323" t="str">
        <f t="shared" si="47"/>
        <v/>
      </c>
      <c r="AY76" s="322" t="str">
        <f t="shared" si="23"/>
        <v/>
      </c>
      <c r="AZ76" s="319">
        <f>Baselines!$CJ320</f>
        <v>0</v>
      </c>
      <c r="BA76" s="735">
        <f>Baselines!$CK320</f>
        <v>0</v>
      </c>
      <c r="BB76" s="839">
        <f>Baselines!$CM320</f>
        <v>0</v>
      </c>
      <c r="BC76" s="466">
        <f t="shared" si="48"/>
        <v>0</v>
      </c>
      <c r="BD76" s="464">
        <f t="shared" si="63"/>
        <v>0</v>
      </c>
      <c r="BE76" s="755">
        <f t="shared" si="49"/>
        <v>0</v>
      </c>
      <c r="BF76" s="755">
        <f t="shared" si="64"/>
        <v>0</v>
      </c>
      <c r="BG76" s="466">
        <f t="shared" si="50"/>
        <v>0</v>
      </c>
      <c r="BH76" s="464">
        <f t="shared" si="51"/>
        <v>0</v>
      </c>
      <c r="BI76" s="755">
        <f t="shared" si="52"/>
        <v>0</v>
      </c>
      <c r="BJ76" s="755">
        <f t="shared" si="65"/>
        <v>0</v>
      </c>
      <c r="BK76" s="333">
        <f>IF(OR($C76&lt;&gt;"Early Retirement",$H76=""),0,IF(AND($G76&lt;&gt;"Air Cooled Chiller",$G76&lt;&gt;"Water Cooled Chiller"),VLOOKUP($H76,'Early Retirement'!$CI$6:$CL$33,2,FALSE),IF($J76&lt;&gt;"Centrifugal",VLOOKUP($H76,'Early Retirement'!$CI$6:$CL$33,3,FALSE),IF($J76="Centrifugal",VLOOKUP($H76,'Early Retirement'!$CI$6:$CL$33,4,FALSE),""))))</f>
        <v>0</v>
      </c>
      <c r="BL76" s="450">
        <f t="shared" si="53"/>
        <v>0</v>
      </c>
      <c r="BM76" s="553">
        <f>IFERROR('Utility Admin'!$I$4*((1+'Utility Admin'!$G$4)/('Utility Admin'!$H$4-'Utility Admin'!$G$4))*(1-((1+'Utility Admin'!$G$4)/(1+'Utility Admin'!$H$4))^$BK76)*$BG76,0)</f>
        <v>0</v>
      </c>
      <c r="BN76" s="553">
        <f>IFERROR('Utility Admin'!$I$4*((1+'Utility Admin'!$G$4)/('Utility Admin'!$H$4-'Utility Admin'!$G$4))*(1-((1+'Utility Admin'!$G$4)/(1+'Utility Admin'!$H$4))^$BL76)*((1+'Utility Admin'!$G$4)^$BK76/(1+'Utility Admin'!$H$4)^$BK76)*$BC76,0)</f>
        <v>0</v>
      </c>
      <c r="BO76" s="553">
        <f t="shared" si="27"/>
        <v>0</v>
      </c>
      <c r="BP76" s="553">
        <f>IFERROR('Utility Admin'!$J$4*((1+'Utility Admin'!$G$4)/('Utility Admin'!$H$4-'Utility Admin'!$G$4))*(1-((1+'Utility Admin'!$G$4)/(1+'Utility Admin'!$H$4))^$BK76)*$BJ76,0)</f>
        <v>0</v>
      </c>
      <c r="BQ76" s="553">
        <f>IFERROR('Utility Admin'!$J$4*((1+'Utility Admin'!$G$4)/('Utility Admin'!$H$4-'Utility Admin'!$G$4))*(1-((1+'Utility Admin'!$G$4)/(1+'Utility Admin'!$H$4))^$BL76)*((1+'Utility Admin'!$G$4)^$BK76/(1+'Utility Admin'!$H$4)^$BK76)*$BF76,0)</f>
        <v>0</v>
      </c>
      <c r="BR76" s="553">
        <f t="shared" si="28"/>
        <v>0</v>
      </c>
      <c r="BS76" s="553">
        <f>IFERROR('Utility Admin'!$I$4*((1+'Utility Admin'!$G$4)/('Utility Admin'!$H$4-'Utility Admin'!$G$4))*(1-((1+'Utility Admin'!$G$4)/(1+'Utility Admin'!$H$4))^$AT76),0)</f>
        <v>0</v>
      </c>
      <c r="BT76" s="553">
        <f>IFERROR('Utility Admin'!$J$4*((1+'Utility Admin'!$G$4)/('Utility Admin'!$H$4-'Utility Admin'!$G$4))*(1-((1+'Utility Admin'!$G$4)/(1+'Utility Admin'!$H$4))^$AT76),0)</f>
        <v>0</v>
      </c>
      <c r="BU76" s="459">
        <f t="shared" si="66"/>
        <v>0</v>
      </c>
      <c r="BV76" s="462">
        <f t="shared" si="67"/>
        <v>0</v>
      </c>
      <c r="BW76" s="219" t="str">
        <f t="shared" si="54"/>
        <v/>
      </c>
      <c r="BX76" s="250" t="str">
        <f t="shared" si="68"/>
        <v/>
      </c>
      <c r="BY76" s="250" t="str">
        <f t="shared" si="55"/>
        <v/>
      </c>
      <c r="BZ76" s="184">
        <f t="shared" si="69"/>
        <v>0</v>
      </c>
      <c r="CA76" s="693">
        <f t="shared" si="70"/>
        <v>0</v>
      </c>
      <c r="CB76" s="836">
        <f t="shared" si="71"/>
        <v>0</v>
      </c>
      <c r="CC76" s="693">
        <f>IF(AND($C76="Early Retirement",$H76&lt;&gt;"",$R76&lt;&gt;"",$T76&lt;&gt;""),$BZ76,Baselines!$CJ69)</f>
        <v>0</v>
      </c>
      <c r="CD76" s="693">
        <f>IF(AND($C76="Early Retirement",$H76&lt;&gt;"",$R76&lt;&gt;"",$T76&lt;&gt;""),$CA76,Baselines!$CK69)</f>
        <v>0</v>
      </c>
      <c r="CE76" s="182" t="str">
        <f>Baselines!$CL69</f>
        <v>kW/ton</v>
      </c>
      <c r="CF76" s="850" t="str">
        <f t="shared" si="56"/>
        <v/>
      </c>
      <c r="CG76" s="833">
        <f>IF(AND($C76="Early Retirement",$H76&lt;&gt;"",$R76&lt;&gt;"",$T76&lt;&gt;""),$CB76,IF(AND(Baselines!$CM69=0,OR($CL76="DX HP",$CL76="PTHP")),$BB76,Baselines!$CM69))</f>
        <v>0</v>
      </c>
      <c r="CH76" s="830" t="s">
        <v>567</v>
      </c>
      <c r="CI76" s="185" t="str">
        <f>IF(OR($C76="Replace-on-Burnout",$C76="New Construction"),$CT76,IF($BW76="","",VLOOKUP($D76,'Factor Tables'!$B$165:$H$192,MATCH($BW76,'Factor Tables'!$B$164:$H$164,0),FALSE)))</f>
        <v/>
      </c>
      <c r="CJ76" s="842" t="str">
        <f>IF(OR($C76="Replace-on-Burnout",$C76="New Construction"),$CU76,IF($BW76="","",IF($BW76="DX HP",VLOOKUP($D76,'Factor Tables'!$I$165:$Q$192,MATCH("DX HP Clg",'Factor Tables'!$I$164:$Q$164,0),FALSE),IF($BW76="PTHP",VLOOKUP($D76,'Factor Tables'!$I$165:$Q$192,MATCH("PTHP Clg",'Factor Tables'!$I$164:$Q$164,0),FALSE),IF(AND($BW76&lt;&gt;"DX HP",$BW76&lt;&gt;"PTHP"),VLOOKUP($D76,'Factor Tables'!$I$165:$Q$192,MATCH($BW76,'Factor Tables'!$I$164:$Q$164,0),FALSE),"")))))</f>
        <v/>
      </c>
      <c r="CK76" s="186" t="str">
        <f>IF(OR($C76="Replace-on-Burnout",$C76="New Construction",$CL76="DX HP",$CL76="PTHP"),$CV76,IF($BW76="","",IF($BW76="DX HP",VLOOKUP($D76,'Factor Tables'!$I$165:$Q$192,MATCH("DX HP Htg",'Factor Tables'!$I$164:$Q$164,0),FALSE),IF($BW76="PTHP",VLOOKUP($D76,'Factor Tables'!$I$165:$Q$192,MATCH("PTHP Htg",'Factor Tables'!$I$164:$Q$164,0),FALSE),0))))</f>
        <v/>
      </c>
      <c r="CL76" s="187" t="str">
        <f t="shared" si="57"/>
        <v/>
      </c>
      <c r="CM76" s="251" t="str">
        <f t="shared" si="58"/>
        <v/>
      </c>
      <c r="CN76" s="184">
        <f t="shared" si="72"/>
        <v>0</v>
      </c>
      <c r="CO76" s="693">
        <f t="shared" si="73"/>
        <v>0</v>
      </c>
      <c r="CP76" s="182" t="s">
        <v>46</v>
      </c>
      <c r="CQ76" s="852" t="str">
        <f t="shared" si="74"/>
        <v/>
      </c>
      <c r="CR76" s="833">
        <f t="shared" si="75"/>
        <v>0</v>
      </c>
      <c r="CS76" s="830" t="s">
        <v>567</v>
      </c>
      <c r="CT76" s="185" t="str">
        <f>IF($CL76="","",VLOOKUP($D76,'Factor Tables'!$B$165:$H$192,MATCH($CL76,'Factor Tables'!$B$164:$H$164,0),FALSE))</f>
        <v/>
      </c>
      <c r="CU76" s="842" t="str">
        <f>IF($CL76="","",IF(AND($CL76&lt;&gt;"DX HP",$CL76&lt;&gt;"PTHP"),VLOOKUP($D76,'Factor Tables'!$I$165:$Q$192,MATCH($CL76,'Factor Tables'!$I$164:$Q$164,0),FALSE),IF($CL76="DX HP",VLOOKUP($D76,'Factor Tables'!$I$165:$Q$192,MATCH("DX HP Clg",'Factor Tables'!$I$164:$Q$164,0),FALSE),IF($CL76="PTHP",VLOOKUP($D76,'Factor Tables'!$I$165:$Q$192,MATCH("PTHP Clg",'Factor Tables'!$I$164:$Q$164,0),FALSE),""))))</f>
        <v/>
      </c>
      <c r="CV76" s="186" t="str">
        <f>IF($CL76="","",IF(AND($CL76&lt;&gt;"DX HP",$CL76&lt;&gt;"PTHP"),0,IF($CL76="DX HP",VLOOKUP($D76,'Factor Tables'!$I$165:$Q$192,MATCH("DX HP Htg",'Factor Tables'!$I$164:$Q$164,0),FALSE),IF($CL76="PTHP",VLOOKUP($D76,'Factor Tables'!$I$165:$Q$192,MATCH("PTHP Htg",'Factor Tables'!$I$164:$Q$164,0),FALSE),""))))</f>
        <v/>
      </c>
      <c r="DD76" s="77" t="s">
        <v>43</v>
      </c>
      <c r="DE76" s="426"/>
      <c r="DI76" s="425"/>
      <c r="DJ76" s="425"/>
      <c r="DK76" s="425"/>
      <c r="DL76" s="425"/>
      <c r="DM76" s="493" t="s">
        <v>478</v>
      </c>
    </row>
    <row r="77" spans="2:117" s="427" customFormat="1" ht="21.95" customHeight="1" x14ac:dyDescent="0.25">
      <c r="B77" s="432">
        <v>68</v>
      </c>
      <c r="C77" s="499" t="str">
        <f t="shared" si="59"/>
        <v/>
      </c>
      <c r="D77" s="403" t="str">
        <f t="shared" si="60"/>
        <v/>
      </c>
      <c r="E77" s="541"/>
      <c r="F77" s="785"/>
      <c r="G77" s="728"/>
      <c r="H77" s="728"/>
      <c r="I77" s="728"/>
      <c r="J77" s="728"/>
      <c r="K77" s="728"/>
      <c r="L77" s="728"/>
      <c r="M77" s="764"/>
      <c r="N77" s="728"/>
      <c r="O77" s="764"/>
      <c r="P77" s="728"/>
      <c r="Q77" s="1142"/>
      <c r="R77" s="1133"/>
      <c r="S77" s="778"/>
      <c r="T77" s="767"/>
      <c r="U77" s="778"/>
      <c r="V77" s="751"/>
      <c r="W77" s="556"/>
      <c r="X77" s="785"/>
      <c r="Y77" s="542"/>
      <c r="Z77" s="500"/>
      <c r="AA77" s="500"/>
      <c r="AB77" s="500"/>
      <c r="AC77" s="500"/>
      <c r="AD77" s="529"/>
      <c r="AE77" s="527">
        <f t="shared" si="39"/>
        <v>0</v>
      </c>
      <c r="AF77" s="527">
        <f t="shared" si="61"/>
        <v>0</v>
      </c>
      <c r="AG77" s="527">
        <f t="shared" si="41"/>
        <v>0</v>
      </c>
      <c r="AH77" s="527">
        <f t="shared" si="42"/>
        <v>0</v>
      </c>
      <c r="AI77" s="527">
        <f t="shared" si="43"/>
        <v>0</v>
      </c>
      <c r="AJ77" s="527">
        <f t="shared" si="44"/>
        <v>999999999</v>
      </c>
      <c r="AK77" s="530"/>
      <c r="AL77" s="776"/>
      <c r="AM77" s="777"/>
      <c r="AN77" s="500"/>
      <c r="AO77" s="778"/>
      <c r="AP77" s="778"/>
      <c r="AQ77" s="500"/>
      <c r="AR77" s="531"/>
      <c r="AS77" s="403"/>
      <c r="AT77" s="524" t="str">
        <f t="shared" si="45"/>
        <v/>
      </c>
      <c r="AU77" s="311">
        <f t="shared" si="46"/>
        <v>0</v>
      </c>
      <c r="AV77" s="288">
        <f t="shared" si="62"/>
        <v>0</v>
      </c>
      <c r="AW77" s="290">
        <f>IF(ISERROR($AU77*'Utility Admin'!$E$4+$AV77*'Utility Admin'!$F$4),0,$AU77*'Utility Admin'!$E$4+$AV77*'Utility Admin'!$F$4)</f>
        <v>0</v>
      </c>
      <c r="AX77" s="323" t="str">
        <f t="shared" si="47"/>
        <v/>
      </c>
      <c r="AY77" s="322" t="str">
        <f t="shared" si="23"/>
        <v/>
      </c>
      <c r="AZ77" s="319">
        <f>Baselines!$CJ321</f>
        <v>0</v>
      </c>
      <c r="BA77" s="735">
        <f>Baselines!$CK321</f>
        <v>0</v>
      </c>
      <c r="BB77" s="839">
        <f>Baselines!$CM321</f>
        <v>0</v>
      </c>
      <c r="BC77" s="466">
        <f t="shared" si="48"/>
        <v>0</v>
      </c>
      <c r="BD77" s="464">
        <f t="shared" si="63"/>
        <v>0</v>
      </c>
      <c r="BE77" s="755">
        <f t="shared" si="49"/>
        <v>0</v>
      </c>
      <c r="BF77" s="755">
        <f t="shared" si="64"/>
        <v>0</v>
      </c>
      <c r="BG77" s="466">
        <f t="shared" si="50"/>
        <v>0</v>
      </c>
      <c r="BH77" s="464">
        <f t="shared" si="51"/>
        <v>0</v>
      </c>
      <c r="BI77" s="755">
        <f t="shared" si="52"/>
        <v>0</v>
      </c>
      <c r="BJ77" s="755">
        <f t="shared" si="65"/>
        <v>0</v>
      </c>
      <c r="BK77" s="333">
        <f>IF(OR($C77&lt;&gt;"Early Retirement",$H77=""),0,IF(AND($G77&lt;&gt;"Air Cooled Chiller",$G77&lt;&gt;"Water Cooled Chiller"),VLOOKUP($H77,'Early Retirement'!$CI$6:$CL$33,2,FALSE),IF($J77&lt;&gt;"Centrifugal",VLOOKUP($H77,'Early Retirement'!$CI$6:$CL$33,3,FALSE),IF($J77="Centrifugal",VLOOKUP($H77,'Early Retirement'!$CI$6:$CL$33,4,FALSE),""))))</f>
        <v>0</v>
      </c>
      <c r="BL77" s="450">
        <f t="shared" si="53"/>
        <v>0</v>
      </c>
      <c r="BM77" s="553">
        <f>IFERROR('Utility Admin'!$I$4*((1+'Utility Admin'!$G$4)/('Utility Admin'!$H$4-'Utility Admin'!$G$4))*(1-((1+'Utility Admin'!$G$4)/(1+'Utility Admin'!$H$4))^$BK77)*$BG77,0)</f>
        <v>0</v>
      </c>
      <c r="BN77" s="553">
        <f>IFERROR('Utility Admin'!$I$4*((1+'Utility Admin'!$G$4)/('Utility Admin'!$H$4-'Utility Admin'!$G$4))*(1-((1+'Utility Admin'!$G$4)/(1+'Utility Admin'!$H$4))^$BL77)*((1+'Utility Admin'!$G$4)^$BK77/(1+'Utility Admin'!$H$4)^$BK77)*$BC77,0)</f>
        <v>0</v>
      </c>
      <c r="BO77" s="553">
        <f t="shared" si="27"/>
        <v>0</v>
      </c>
      <c r="BP77" s="553">
        <f>IFERROR('Utility Admin'!$J$4*((1+'Utility Admin'!$G$4)/('Utility Admin'!$H$4-'Utility Admin'!$G$4))*(1-((1+'Utility Admin'!$G$4)/(1+'Utility Admin'!$H$4))^$BK77)*$BJ77,0)</f>
        <v>0</v>
      </c>
      <c r="BQ77" s="553">
        <f>IFERROR('Utility Admin'!$J$4*((1+'Utility Admin'!$G$4)/('Utility Admin'!$H$4-'Utility Admin'!$G$4))*(1-((1+'Utility Admin'!$G$4)/(1+'Utility Admin'!$H$4))^$BL77)*((1+'Utility Admin'!$G$4)^$BK77/(1+'Utility Admin'!$H$4)^$BK77)*$BF77,0)</f>
        <v>0</v>
      </c>
      <c r="BR77" s="553">
        <f t="shared" si="28"/>
        <v>0</v>
      </c>
      <c r="BS77" s="553">
        <f>IFERROR('Utility Admin'!$I$4*((1+'Utility Admin'!$G$4)/('Utility Admin'!$H$4-'Utility Admin'!$G$4))*(1-((1+'Utility Admin'!$G$4)/(1+'Utility Admin'!$H$4))^$AT77),0)</f>
        <v>0</v>
      </c>
      <c r="BT77" s="553">
        <f>IFERROR('Utility Admin'!$J$4*((1+'Utility Admin'!$G$4)/('Utility Admin'!$H$4-'Utility Admin'!$G$4))*(1-((1+'Utility Admin'!$G$4)/(1+'Utility Admin'!$H$4))^$AT77),0)</f>
        <v>0</v>
      </c>
      <c r="BU77" s="459">
        <f t="shared" si="66"/>
        <v>0</v>
      </c>
      <c r="BV77" s="462">
        <f t="shared" si="67"/>
        <v>0</v>
      </c>
      <c r="BW77" s="219" t="str">
        <f t="shared" si="54"/>
        <v/>
      </c>
      <c r="BX77" s="250" t="str">
        <f t="shared" si="68"/>
        <v/>
      </c>
      <c r="BY77" s="250" t="str">
        <f t="shared" si="55"/>
        <v/>
      </c>
      <c r="BZ77" s="184">
        <f t="shared" si="69"/>
        <v>0</v>
      </c>
      <c r="CA77" s="693">
        <f t="shared" si="70"/>
        <v>0</v>
      </c>
      <c r="CB77" s="836">
        <f t="shared" si="71"/>
        <v>0</v>
      </c>
      <c r="CC77" s="693">
        <f>IF(AND($C77="Early Retirement",$H77&lt;&gt;"",$R77&lt;&gt;"",$T77&lt;&gt;""),$BZ77,Baselines!$CJ70)</f>
        <v>0</v>
      </c>
      <c r="CD77" s="693">
        <f>IF(AND($C77="Early Retirement",$H77&lt;&gt;"",$R77&lt;&gt;"",$T77&lt;&gt;""),$CA77,Baselines!$CK70)</f>
        <v>0</v>
      </c>
      <c r="CE77" s="182" t="str">
        <f>Baselines!$CL70</f>
        <v>kW/ton</v>
      </c>
      <c r="CF77" s="850" t="str">
        <f t="shared" si="56"/>
        <v/>
      </c>
      <c r="CG77" s="833">
        <f>IF(AND($C77="Early Retirement",$H77&lt;&gt;"",$R77&lt;&gt;"",$T77&lt;&gt;""),$CB77,IF(AND(Baselines!$CM70=0,OR($CL77="DX HP",$CL77="PTHP")),$BB77,Baselines!$CM70))</f>
        <v>0</v>
      </c>
      <c r="CH77" s="830" t="s">
        <v>567</v>
      </c>
      <c r="CI77" s="185" t="str">
        <f>IF(OR($C77="Replace-on-Burnout",$C77="New Construction"),$CT77,IF($BW77="","",VLOOKUP($D77,'Factor Tables'!$B$165:$H$192,MATCH($BW77,'Factor Tables'!$B$164:$H$164,0),FALSE)))</f>
        <v/>
      </c>
      <c r="CJ77" s="842" t="str">
        <f>IF(OR($C77="Replace-on-Burnout",$C77="New Construction"),$CU77,IF($BW77="","",IF($BW77="DX HP",VLOOKUP($D77,'Factor Tables'!$I$165:$Q$192,MATCH("DX HP Clg",'Factor Tables'!$I$164:$Q$164,0),FALSE),IF($BW77="PTHP",VLOOKUP($D77,'Factor Tables'!$I$165:$Q$192,MATCH("PTHP Clg",'Factor Tables'!$I$164:$Q$164,0),FALSE),IF(AND($BW77&lt;&gt;"DX HP",$BW77&lt;&gt;"PTHP"),VLOOKUP($D77,'Factor Tables'!$I$165:$Q$192,MATCH($BW77,'Factor Tables'!$I$164:$Q$164,0),FALSE),"")))))</f>
        <v/>
      </c>
      <c r="CK77" s="186" t="str">
        <f>IF(OR($C77="Replace-on-Burnout",$C77="New Construction",$CL77="DX HP",$CL77="PTHP"),$CV77,IF($BW77="","",IF($BW77="DX HP",VLOOKUP($D77,'Factor Tables'!$I$165:$Q$192,MATCH("DX HP Htg",'Factor Tables'!$I$164:$Q$164,0),FALSE),IF($BW77="PTHP",VLOOKUP($D77,'Factor Tables'!$I$165:$Q$192,MATCH("PTHP Htg",'Factor Tables'!$I$164:$Q$164,0),FALSE),0))))</f>
        <v/>
      </c>
      <c r="CL77" s="187" t="str">
        <f t="shared" si="57"/>
        <v/>
      </c>
      <c r="CM77" s="251" t="str">
        <f t="shared" si="58"/>
        <v/>
      </c>
      <c r="CN77" s="184">
        <f t="shared" si="72"/>
        <v>0</v>
      </c>
      <c r="CO77" s="693">
        <f t="shared" si="73"/>
        <v>0</v>
      </c>
      <c r="CP77" s="182" t="s">
        <v>46</v>
      </c>
      <c r="CQ77" s="852" t="str">
        <f t="shared" si="74"/>
        <v/>
      </c>
      <c r="CR77" s="833">
        <f t="shared" si="75"/>
        <v>0</v>
      </c>
      <c r="CS77" s="830" t="s">
        <v>567</v>
      </c>
      <c r="CT77" s="185" t="str">
        <f>IF($CL77="","",VLOOKUP($D77,'Factor Tables'!$B$165:$H$192,MATCH($CL77,'Factor Tables'!$B$164:$H$164,0),FALSE))</f>
        <v/>
      </c>
      <c r="CU77" s="842" t="str">
        <f>IF($CL77="","",IF(AND($CL77&lt;&gt;"DX HP",$CL77&lt;&gt;"PTHP"),VLOOKUP($D77,'Factor Tables'!$I$165:$Q$192,MATCH($CL77,'Factor Tables'!$I$164:$Q$164,0),FALSE),IF($CL77="DX HP",VLOOKUP($D77,'Factor Tables'!$I$165:$Q$192,MATCH("DX HP Clg",'Factor Tables'!$I$164:$Q$164,0),FALSE),IF($CL77="PTHP",VLOOKUP($D77,'Factor Tables'!$I$165:$Q$192,MATCH("PTHP Clg",'Factor Tables'!$I$164:$Q$164,0),FALSE),""))))</f>
        <v/>
      </c>
      <c r="CV77" s="186" t="str">
        <f>IF($CL77="","",IF(AND($CL77&lt;&gt;"DX HP",$CL77&lt;&gt;"PTHP"),0,IF($CL77="DX HP",VLOOKUP($D77,'Factor Tables'!$I$165:$Q$192,MATCH("DX HP Htg",'Factor Tables'!$I$164:$Q$164,0),FALSE),IF($CL77="PTHP",VLOOKUP($D77,'Factor Tables'!$I$165:$Q$192,MATCH("PTHP Htg",'Factor Tables'!$I$164:$Q$164,0),FALSE),""))))</f>
        <v/>
      </c>
      <c r="DD77" s="194" t="s">
        <v>53</v>
      </c>
      <c r="DE77" s="426"/>
      <c r="DI77" s="425"/>
      <c r="DJ77" s="425"/>
      <c r="DK77" s="425"/>
      <c r="DL77" s="425"/>
      <c r="DM77" s="493" t="s">
        <v>478</v>
      </c>
    </row>
    <row r="78" spans="2:117" s="427" customFormat="1" ht="21.95" customHeight="1" x14ac:dyDescent="0.25">
      <c r="B78" s="431">
        <v>69</v>
      </c>
      <c r="C78" s="501" t="str">
        <f t="shared" si="59"/>
        <v/>
      </c>
      <c r="D78" s="502" t="str">
        <f t="shared" si="60"/>
        <v/>
      </c>
      <c r="E78" s="546"/>
      <c r="F78" s="547"/>
      <c r="G78" s="729"/>
      <c r="H78" s="729"/>
      <c r="I78" s="729"/>
      <c r="J78" s="729"/>
      <c r="K78" s="729"/>
      <c r="L78" s="729"/>
      <c r="M78" s="765"/>
      <c r="N78" s="758"/>
      <c r="O78" s="765"/>
      <c r="P78" s="758"/>
      <c r="Q78" s="1143"/>
      <c r="R78" s="1134"/>
      <c r="S78" s="775"/>
      <c r="T78" s="729"/>
      <c r="U78" s="775"/>
      <c r="V78" s="779"/>
      <c r="W78" s="557"/>
      <c r="X78" s="788"/>
      <c r="Y78" s="543"/>
      <c r="Z78" s="281"/>
      <c r="AA78" s="281"/>
      <c r="AB78" s="281"/>
      <c r="AC78" s="281"/>
      <c r="AD78" s="492"/>
      <c r="AE78" s="527">
        <f t="shared" si="39"/>
        <v>0</v>
      </c>
      <c r="AF78" s="527">
        <f t="shared" si="61"/>
        <v>0</v>
      </c>
      <c r="AG78" s="527">
        <f t="shared" si="41"/>
        <v>0</v>
      </c>
      <c r="AH78" s="527">
        <f t="shared" si="42"/>
        <v>0</v>
      </c>
      <c r="AI78" s="527">
        <f t="shared" si="43"/>
        <v>0</v>
      </c>
      <c r="AJ78" s="527">
        <f t="shared" si="44"/>
        <v>999999999</v>
      </c>
      <c r="AK78" s="471"/>
      <c r="AL78" s="765"/>
      <c r="AM78" s="758"/>
      <c r="AN78" s="281"/>
      <c r="AO78" s="775"/>
      <c r="AP78" s="775"/>
      <c r="AQ78" s="281"/>
      <c r="AR78" s="528"/>
      <c r="AS78" s="532"/>
      <c r="AT78" s="524" t="str">
        <f t="shared" si="45"/>
        <v/>
      </c>
      <c r="AU78" s="311">
        <f t="shared" si="46"/>
        <v>0</v>
      </c>
      <c r="AV78" s="288">
        <f t="shared" si="62"/>
        <v>0</v>
      </c>
      <c r="AW78" s="290">
        <f>IF(ISERROR($AU78*'Utility Admin'!$E$4+$AV78*'Utility Admin'!$F$4),0,$AU78*'Utility Admin'!$E$4+$AV78*'Utility Admin'!$F$4)</f>
        <v>0</v>
      </c>
      <c r="AX78" s="323" t="str">
        <f t="shared" si="47"/>
        <v/>
      </c>
      <c r="AY78" s="322" t="str">
        <f t="shared" si="23"/>
        <v/>
      </c>
      <c r="AZ78" s="319">
        <f>Baselines!$CJ322</f>
        <v>0</v>
      </c>
      <c r="BA78" s="735">
        <f>Baselines!$CK322</f>
        <v>0</v>
      </c>
      <c r="BB78" s="839">
        <f>Baselines!$CM322</f>
        <v>0</v>
      </c>
      <c r="BC78" s="466">
        <f t="shared" si="48"/>
        <v>0</v>
      </c>
      <c r="BD78" s="464">
        <f t="shared" si="63"/>
        <v>0</v>
      </c>
      <c r="BE78" s="755">
        <f t="shared" si="49"/>
        <v>0</v>
      </c>
      <c r="BF78" s="755">
        <f t="shared" si="64"/>
        <v>0</v>
      </c>
      <c r="BG78" s="466">
        <f t="shared" si="50"/>
        <v>0</v>
      </c>
      <c r="BH78" s="464">
        <f t="shared" si="51"/>
        <v>0</v>
      </c>
      <c r="BI78" s="755">
        <f t="shared" si="52"/>
        <v>0</v>
      </c>
      <c r="BJ78" s="755">
        <f t="shared" si="65"/>
        <v>0</v>
      </c>
      <c r="BK78" s="333">
        <f>IF(OR($C78&lt;&gt;"Early Retirement",$H78=""),0,IF(AND($G78&lt;&gt;"Air Cooled Chiller",$G78&lt;&gt;"Water Cooled Chiller"),VLOOKUP($H78,'Early Retirement'!$CI$6:$CL$33,2,FALSE),IF($J78&lt;&gt;"Centrifugal",VLOOKUP($H78,'Early Retirement'!$CI$6:$CL$33,3,FALSE),IF($J78="Centrifugal",VLOOKUP($H78,'Early Retirement'!$CI$6:$CL$33,4,FALSE),""))))</f>
        <v>0</v>
      </c>
      <c r="BL78" s="450">
        <f t="shared" si="53"/>
        <v>0</v>
      </c>
      <c r="BM78" s="553">
        <f>IFERROR('Utility Admin'!$I$4*((1+'Utility Admin'!$G$4)/('Utility Admin'!$H$4-'Utility Admin'!$G$4))*(1-((1+'Utility Admin'!$G$4)/(1+'Utility Admin'!$H$4))^$BK78)*$BG78,0)</f>
        <v>0</v>
      </c>
      <c r="BN78" s="553">
        <f>IFERROR('Utility Admin'!$I$4*((1+'Utility Admin'!$G$4)/('Utility Admin'!$H$4-'Utility Admin'!$G$4))*(1-((1+'Utility Admin'!$G$4)/(1+'Utility Admin'!$H$4))^$BL78)*((1+'Utility Admin'!$G$4)^$BK78/(1+'Utility Admin'!$H$4)^$BK78)*$BC78,0)</f>
        <v>0</v>
      </c>
      <c r="BO78" s="553">
        <f t="shared" si="27"/>
        <v>0</v>
      </c>
      <c r="BP78" s="553">
        <f>IFERROR('Utility Admin'!$J$4*((1+'Utility Admin'!$G$4)/('Utility Admin'!$H$4-'Utility Admin'!$G$4))*(1-((1+'Utility Admin'!$G$4)/(1+'Utility Admin'!$H$4))^$BK78)*$BJ78,0)</f>
        <v>0</v>
      </c>
      <c r="BQ78" s="553">
        <f>IFERROR('Utility Admin'!$J$4*((1+'Utility Admin'!$G$4)/('Utility Admin'!$H$4-'Utility Admin'!$G$4))*(1-((1+'Utility Admin'!$G$4)/(1+'Utility Admin'!$H$4))^$BL78)*((1+'Utility Admin'!$G$4)^$BK78/(1+'Utility Admin'!$H$4)^$BK78)*$BF78,0)</f>
        <v>0</v>
      </c>
      <c r="BR78" s="553">
        <f t="shared" si="28"/>
        <v>0</v>
      </c>
      <c r="BS78" s="553">
        <f>IFERROR('Utility Admin'!$I$4*((1+'Utility Admin'!$G$4)/('Utility Admin'!$H$4-'Utility Admin'!$G$4))*(1-((1+'Utility Admin'!$G$4)/(1+'Utility Admin'!$H$4))^$AT78),0)</f>
        <v>0</v>
      </c>
      <c r="BT78" s="553">
        <f>IFERROR('Utility Admin'!$J$4*((1+'Utility Admin'!$G$4)/('Utility Admin'!$H$4-'Utility Admin'!$G$4))*(1-((1+'Utility Admin'!$G$4)/(1+'Utility Admin'!$H$4))^$AT78),0)</f>
        <v>0</v>
      </c>
      <c r="BU78" s="459">
        <f t="shared" si="66"/>
        <v>0</v>
      </c>
      <c r="BV78" s="462">
        <f t="shared" si="67"/>
        <v>0</v>
      </c>
      <c r="BW78" s="219" t="str">
        <f t="shared" si="54"/>
        <v/>
      </c>
      <c r="BX78" s="250" t="str">
        <f t="shared" si="68"/>
        <v/>
      </c>
      <c r="BY78" s="250" t="str">
        <f t="shared" si="55"/>
        <v/>
      </c>
      <c r="BZ78" s="184">
        <f t="shared" si="69"/>
        <v>0</v>
      </c>
      <c r="CA78" s="693">
        <f t="shared" si="70"/>
        <v>0</v>
      </c>
      <c r="CB78" s="836">
        <f t="shared" si="71"/>
        <v>0</v>
      </c>
      <c r="CC78" s="693">
        <f>IF(AND($C78="Early Retirement",$H78&lt;&gt;"",$R78&lt;&gt;"",$T78&lt;&gt;""),$BZ78,Baselines!$CJ71)</f>
        <v>0</v>
      </c>
      <c r="CD78" s="693">
        <f>IF(AND($C78="Early Retirement",$H78&lt;&gt;"",$R78&lt;&gt;"",$T78&lt;&gt;""),$CA78,Baselines!$CK71)</f>
        <v>0</v>
      </c>
      <c r="CE78" s="182" t="str">
        <f>Baselines!$CL71</f>
        <v>kW/ton</v>
      </c>
      <c r="CF78" s="850" t="str">
        <f t="shared" si="56"/>
        <v/>
      </c>
      <c r="CG78" s="833">
        <f>IF(AND($C78="Early Retirement",$H78&lt;&gt;"",$R78&lt;&gt;"",$T78&lt;&gt;""),$CB78,IF(AND(Baselines!$CM71=0,OR($CL78="DX HP",$CL78="PTHP")),$BB78,Baselines!$CM71))</f>
        <v>0</v>
      </c>
      <c r="CH78" s="830" t="s">
        <v>567</v>
      </c>
      <c r="CI78" s="185" t="str">
        <f>IF(OR($C78="Replace-on-Burnout",$C78="New Construction"),$CT78,IF($BW78="","",VLOOKUP($D78,'Factor Tables'!$B$165:$H$192,MATCH($BW78,'Factor Tables'!$B$164:$H$164,0),FALSE)))</f>
        <v/>
      </c>
      <c r="CJ78" s="842" t="str">
        <f>IF(OR($C78="Replace-on-Burnout",$C78="New Construction"),$CU78,IF($BW78="","",IF($BW78="DX HP",VLOOKUP($D78,'Factor Tables'!$I$165:$Q$192,MATCH("DX HP Clg",'Factor Tables'!$I$164:$Q$164,0),FALSE),IF($BW78="PTHP",VLOOKUP($D78,'Factor Tables'!$I$165:$Q$192,MATCH("PTHP Clg",'Factor Tables'!$I$164:$Q$164,0),FALSE),IF(AND($BW78&lt;&gt;"DX HP",$BW78&lt;&gt;"PTHP"),VLOOKUP($D78,'Factor Tables'!$I$165:$Q$192,MATCH($BW78,'Factor Tables'!$I$164:$Q$164,0),FALSE),"")))))</f>
        <v/>
      </c>
      <c r="CK78" s="186" t="str">
        <f>IF(OR($C78="Replace-on-Burnout",$C78="New Construction",$CL78="DX HP",$CL78="PTHP"),$CV78,IF($BW78="","",IF($BW78="DX HP",VLOOKUP($D78,'Factor Tables'!$I$165:$Q$192,MATCH("DX HP Htg",'Factor Tables'!$I$164:$Q$164,0),FALSE),IF($BW78="PTHP",VLOOKUP($D78,'Factor Tables'!$I$165:$Q$192,MATCH("PTHP Htg",'Factor Tables'!$I$164:$Q$164,0),FALSE),0))))</f>
        <v/>
      </c>
      <c r="CL78" s="187" t="str">
        <f t="shared" si="57"/>
        <v/>
      </c>
      <c r="CM78" s="251" t="str">
        <f t="shared" si="58"/>
        <v/>
      </c>
      <c r="CN78" s="184">
        <f t="shared" si="72"/>
        <v>0</v>
      </c>
      <c r="CO78" s="693">
        <f t="shared" si="73"/>
        <v>0</v>
      </c>
      <c r="CP78" s="182" t="s">
        <v>46</v>
      </c>
      <c r="CQ78" s="852" t="str">
        <f t="shared" si="74"/>
        <v/>
      </c>
      <c r="CR78" s="833">
        <f t="shared" si="75"/>
        <v>0</v>
      </c>
      <c r="CS78" s="830" t="s">
        <v>567</v>
      </c>
      <c r="CT78" s="185" t="str">
        <f>IF($CL78="","",VLOOKUP($D78,'Factor Tables'!$B$165:$H$192,MATCH($CL78,'Factor Tables'!$B$164:$H$164,0),FALSE))</f>
        <v/>
      </c>
      <c r="CU78" s="842" t="str">
        <f>IF($CL78="","",IF(AND($CL78&lt;&gt;"DX HP",$CL78&lt;&gt;"PTHP"),VLOOKUP($D78,'Factor Tables'!$I$165:$Q$192,MATCH($CL78,'Factor Tables'!$I$164:$Q$164,0),FALSE),IF($CL78="DX HP",VLOOKUP($D78,'Factor Tables'!$I$165:$Q$192,MATCH("DX HP Clg",'Factor Tables'!$I$164:$Q$164,0),FALSE),IF($CL78="PTHP",VLOOKUP($D78,'Factor Tables'!$I$165:$Q$192,MATCH("PTHP Clg",'Factor Tables'!$I$164:$Q$164,0),FALSE),""))))</f>
        <v/>
      </c>
      <c r="CV78" s="186" t="str">
        <f>IF($CL78="","",IF(AND($CL78&lt;&gt;"DX HP",$CL78&lt;&gt;"PTHP"),0,IF($CL78="DX HP",VLOOKUP($D78,'Factor Tables'!$I$165:$Q$192,MATCH("DX HP Htg",'Factor Tables'!$I$164:$Q$164,0),FALSE),IF($CL78="PTHP",VLOOKUP($D78,'Factor Tables'!$I$165:$Q$192,MATCH("PTHP Htg",'Factor Tables'!$I$164:$Q$164,0),FALSE),""))))</f>
        <v/>
      </c>
      <c r="DD78" s="77" t="s">
        <v>54</v>
      </c>
      <c r="DE78" s="426"/>
      <c r="DI78" s="425"/>
      <c r="DJ78" s="425"/>
      <c r="DK78" s="425"/>
      <c r="DL78" s="425"/>
      <c r="DM78" s="493" t="s">
        <v>478</v>
      </c>
    </row>
    <row r="79" spans="2:117" s="427" customFormat="1" ht="21.95" customHeight="1" x14ac:dyDescent="0.25">
      <c r="B79" s="432">
        <v>70</v>
      </c>
      <c r="C79" s="499" t="str">
        <f t="shared" si="59"/>
        <v/>
      </c>
      <c r="D79" s="403" t="str">
        <f t="shared" si="60"/>
        <v/>
      </c>
      <c r="E79" s="541"/>
      <c r="F79" s="785"/>
      <c r="G79" s="728"/>
      <c r="H79" s="728"/>
      <c r="I79" s="728"/>
      <c r="J79" s="728"/>
      <c r="K79" s="728"/>
      <c r="L79" s="728"/>
      <c r="M79" s="764"/>
      <c r="N79" s="728"/>
      <c r="O79" s="764"/>
      <c r="P79" s="728"/>
      <c r="Q79" s="1142"/>
      <c r="R79" s="1133"/>
      <c r="S79" s="778"/>
      <c r="T79" s="767"/>
      <c r="U79" s="778"/>
      <c r="V79" s="751"/>
      <c r="W79" s="556"/>
      <c r="X79" s="785"/>
      <c r="Y79" s="542"/>
      <c r="Z79" s="500"/>
      <c r="AA79" s="500"/>
      <c r="AB79" s="500"/>
      <c r="AC79" s="500"/>
      <c r="AD79" s="529"/>
      <c r="AE79" s="527">
        <f t="shared" si="39"/>
        <v>0</v>
      </c>
      <c r="AF79" s="527">
        <f t="shared" si="61"/>
        <v>0</v>
      </c>
      <c r="AG79" s="527">
        <f t="shared" si="41"/>
        <v>0</v>
      </c>
      <c r="AH79" s="527">
        <f t="shared" si="42"/>
        <v>0</v>
      </c>
      <c r="AI79" s="527">
        <f t="shared" si="43"/>
        <v>0</v>
      </c>
      <c r="AJ79" s="527">
        <f t="shared" si="44"/>
        <v>999999999</v>
      </c>
      <c r="AK79" s="530"/>
      <c r="AL79" s="776"/>
      <c r="AM79" s="777"/>
      <c r="AN79" s="500"/>
      <c r="AO79" s="778"/>
      <c r="AP79" s="778"/>
      <c r="AQ79" s="500"/>
      <c r="AR79" s="531"/>
      <c r="AS79" s="403"/>
      <c r="AT79" s="524" t="str">
        <f t="shared" si="45"/>
        <v/>
      </c>
      <c r="AU79" s="311">
        <f t="shared" si="46"/>
        <v>0</v>
      </c>
      <c r="AV79" s="288">
        <f t="shared" si="62"/>
        <v>0</v>
      </c>
      <c r="AW79" s="290">
        <f>IF(ISERROR($AU79*'Utility Admin'!$E$4+$AV79*'Utility Admin'!$F$4),0,$AU79*'Utility Admin'!$E$4+$AV79*'Utility Admin'!$F$4)</f>
        <v>0</v>
      </c>
      <c r="AX79" s="323" t="str">
        <f t="shared" si="47"/>
        <v/>
      </c>
      <c r="AY79" s="322" t="str">
        <f t="shared" si="23"/>
        <v/>
      </c>
      <c r="AZ79" s="319">
        <f>Baselines!$CJ323</f>
        <v>0</v>
      </c>
      <c r="BA79" s="735">
        <f>Baselines!$CK323</f>
        <v>0</v>
      </c>
      <c r="BB79" s="839">
        <f>Baselines!$CM323</f>
        <v>0</v>
      </c>
      <c r="BC79" s="466">
        <f t="shared" si="48"/>
        <v>0</v>
      </c>
      <c r="BD79" s="464">
        <f t="shared" si="63"/>
        <v>0</v>
      </c>
      <c r="BE79" s="755">
        <f t="shared" si="49"/>
        <v>0</v>
      </c>
      <c r="BF79" s="755">
        <f t="shared" si="64"/>
        <v>0</v>
      </c>
      <c r="BG79" s="466">
        <f t="shared" si="50"/>
        <v>0</v>
      </c>
      <c r="BH79" s="464">
        <f t="shared" si="51"/>
        <v>0</v>
      </c>
      <c r="BI79" s="755">
        <f t="shared" si="52"/>
        <v>0</v>
      </c>
      <c r="BJ79" s="755">
        <f t="shared" si="65"/>
        <v>0</v>
      </c>
      <c r="BK79" s="333">
        <f>IF(OR($C79&lt;&gt;"Early Retirement",$H79=""),0,IF(AND($G79&lt;&gt;"Air Cooled Chiller",$G79&lt;&gt;"Water Cooled Chiller"),VLOOKUP($H79,'Early Retirement'!$CI$6:$CL$33,2,FALSE),IF($J79&lt;&gt;"Centrifugal",VLOOKUP($H79,'Early Retirement'!$CI$6:$CL$33,3,FALSE),IF($J79="Centrifugal",VLOOKUP($H79,'Early Retirement'!$CI$6:$CL$33,4,FALSE),""))))</f>
        <v>0</v>
      </c>
      <c r="BL79" s="450">
        <f t="shared" si="53"/>
        <v>0</v>
      </c>
      <c r="BM79" s="553">
        <f>IFERROR('Utility Admin'!$I$4*((1+'Utility Admin'!$G$4)/('Utility Admin'!$H$4-'Utility Admin'!$G$4))*(1-((1+'Utility Admin'!$G$4)/(1+'Utility Admin'!$H$4))^$BK79)*$BG79,0)</f>
        <v>0</v>
      </c>
      <c r="BN79" s="553">
        <f>IFERROR('Utility Admin'!$I$4*((1+'Utility Admin'!$G$4)/('Utility Admin'!$H$4-'Utility Admin'!$G$4))*(1-((1+'Utility Admin'!$G$4)/(1+'Utility Admin'!$H$4))^$BL79)*((1+'Utility Admin'!$G$4)^$BK79/(1+'Utility Admin'!$H$4)^$BK79)*$BC79,0)</f>
        <v>0</v>
      </c>
      <c r="BO79" s="553">
        <f t="shared" si="27"/>
        <v>0</v>
      </c>
      <c r="BP79" s="553">
        <f>IFERROR('Utility Admin'!$J$4*((1+'Utility Admin'!$G$4)/('Utility Admin'!$H$4-'Utility Admin'!$G$4))*(1-((1+'Utility Admin'!$G$4)/(1+'Utility Admin'!$H$4))^$BK79)*$BJ79,0)</f>
        <v>0</v>
      </c>
      <c r="BQ79" s="553">
        <f>IFERROR('Utility Admin'!$J$4*((1+'Utility Admin'!$G$4)/('Utility Admin'!$H$4-'Utility Admin'!$G$4))*(1-((1+'Utility Admin'!$G$4)/(1+'Utility Admin'!$H$4))^$BL79)*((1+'Utility Admin'!$G$4)^$BK79/(1+'Utility Admin'!$H$4)^$BK79)*$BF79,0)</f>
        <v>0</v>
      </c>
      <c r="BR79" s="553">
        <f t="shared" si="28"/>
        <v>0</v>
      </c>
      <c r="BS79" s="553">
        <f>IFERROR('Utility Admin'!$I$4*((1+'Utility Admin'!$G$4)/('Utility Admin'!$H$4-'Utility Admin'!$G$4))*(1-((1+'Utility Admin'!$G$4)/(1+'Utility Admin'!$H$4))^$AT79),0)</f>
        <v>0</v>
      </c>
      <c r="BT79" s="553">
        <f>IFERROR('Utility Admin'!$J$4*((1+'Utility Admin'!$G$4)/('Utility Admin'!$H$4-'Utility Admin'!$G$4))*(1-((1+'Utility Admin'!$G$4)/(1+'Utility Admin'!$H$4))^$AT79),0)</f>
        <v>0</v>
      </c>
      <c r="BU79" s="459">
        <f t="shared" si="66"/>
        <v>0</v>
      </c>
      <c r="BV79" s="462">
        <f t="shared" si="67"/>
        <v>0</v>
      </c>
      <c r="BW79" s="219" t="str">
        <f t="shared" si="54"/>
        <v/>
      </c>
      <c r="BX79" s="250" t="str">
        <f t="shared" si="68"/>
        <v/>
      </c>
      <c r="BY79" s="250" t="str">
        <f t="shared" si="55"/>
        <v/>
      </c>
      <c r="BZ79" s="184">
        <f t="shared" si="69"/>
        <v>0</v>
      </c>
      <c r="CA79" s="693">
        <f t="shared" si="70"/>
        <v>0</v>
      </c>
      <c r="CB79" s="836">
        <f t="shared" si="71"/>
        <v>0</v>
      </c>
      <c r="CC79" s="693">
        <f>IF(AND($C79="Early Retirement",$H79&lt;&gt;"",$R79&lt;&gt;"",$T79&lt;&gt;""),$BZ79,Baselines!$CJ72)</f>
        <v>0</v>
      </c>
      <c r="CD79" s="693">
        <f>IF(AND($C79="Early Retirement",$H79&lt;&gt;"",$R79&lt;&gt;"",$T79&lt;&gt;""),$CA79,Baselines!$CK72)</f>
        <v>0</v>
      </c>
      <c r="CE79" s="182" t="str">
        <f>Baselines!$CL72</f>
        <v>kW/ton</v>
      </c>
      <c r="CF79" s="850" t="str">
        <f t="shared" si="56"/>
        <v/>
      </c>
      <c r="CG79" s="833">
        <f>IF(AND($C79="Early Retirement",$H79&lt;&gt;"",$R79&lt;&gt;"",$T79&lt;&gt;""),$CB79,IF(AND(Baselines!$CM72=0,OR($CL79="DX HP",$CL79="PTHP")),$BB79,Baselines!$CM72))</f>
        <v>0</v>
      </c>
      <c r="CH79" s="830" t="s">
        <v>567</v>
      </c>
      <c r="CI79" s="185" t="str">
        <f>IF(OR($C79="Replace-on-Burnout",$C79="New Construction"),$CT79,IF($BW79="","",VLOOKUP($D79,'Factor Tables'!$B$165:$H$192,MATCH($BW79,'Factor Tables'!$B$164:$H$164,0),FALSE)))</f>
        <v/>
      </c>
      <c r="CJ79" s="842" t="str">
        <f>IF(OR($C79="Replace-on-Burnout",$C79="New Construction"),$CU79,IF($BW79="","",IF($BW79="DX HP",VLOOKUP($D79,'Factor Tables'!$I$165:$Q$192,MATCH("DX HP Clg",'Factor Tables'!$I$164:$Q$164,0),FALSE),IF($BW79="PTHP",VLOOKUP($D79,'Factor Tables'!$I$165:$Q$192,MATCH("PTHP Clg",'Factor Tables'!$I$164:$Q$164,0),FALSE),IF(AND($BW79&lt;&gt;"DX HP",$BW79&lt;&gt;"PTHP"),VLOOKUP($D79,'Factor Tables'!$I$165:$Q$192,MATCH($BW79,'Factor Tables'!$I$164:$Q$164,0),FALSE),"")))))</f>
        <v/>
      </c>
      <c r="CK79" s="186" t="str">
        <f>IF(OR($C79="Replace-on-Burnout",$C79="New Construction",$CL79="DX HP",$CL79="PTHP"),$CV79,IF($BW79="","",IF($BW79="DX HP",VLOOKUP($D79,'Factor Tables'!$I$165:$Q$192,MATCH("DX HP Htg",'Factor Tables'!$I$164:$Q$164,0),FALSE),IF($BW79="PTHP",VLOOKUP($D79,'Factor Tables'!$I$165:$Q$192,MATCH("PTHP Htg",'Factor Tables'!$I$164:$Q$164,0),FALSE),0))))</f>
        <v/>
      </c>
      <c r="CL79" s="187" t="str">
        <f t="shared" si="57"/>
        <v/>
      </c>
      <c r="CM79" s="251" t="str">
        <f t="shared" si="58"/>
        <v/>
      </c>
      <c r="CN79" s="184">
        <f t="shared" si="72"/>
        <v>0</v>
      </c>
      <c r="CO79" s="693">
        <f t="shared" si="73"/>
        <v>0</v>
      </c>
      <c r="CP79" s="182" t="s">
        <v>46</v>
      </c>
      <c r="CQ79" s="852" t="str">
        <f t="shared" si="74"/>
        <v/>
      </c>
      <c r="CR79" s="833">
        <f t="shared" si="75"/>
        <v>0</v>
      </c>
      <c r="CS79" s="830" t="s">
        <v>567</v>
      </c>
      <c r="CT79" s="185" t="str">
        <f>IF($CL79="","",VLOOKUP($D79,'Factor Tables'!$B$165:$H$192,MATCH($CL79,'Factor Tables'!$B$164:$H$164,0),FALSE))</f>
        <v/>
      </c>
      <c r="CU79" s="842" t="str">
        <f>IF($CL79="","",IF(AND($CL79&lt;&gt;"DX HP",$CL79&lt;&gt;"PTHP"),VLOOKUP($D79,'Factor Tables'!$I$165:$Q$192,MATCH($CL79,'Factor Tables'!$I$164:$Q$164,0),FALSE),IF($CL79="DX HP",VLOOKUP($D79,'Factor Tables'!$I$165:$Q$192,MATCH("DX HP Clg",'Factor Tables'!$I$164:$Q$164,0),FALSE),IF($CL79="PTHP",VLOOKUP($D79,'Factor Tables'!$I$165:$Q$192,MATCH("PTHP Clg",'Factor Tables'!$I$164:$Q$164,0),FALSE),""))))</f>
        <v/>
      </c>
      <c r="CV79" s="186" t="str">
        <f>IF($CL79="","",IF(AND($CL79&lt;&gt;"DX HP",$CL79&lt;&gt;"PTHP"),0,IF($CL79="DX HP",VLOOKUP($D79,'Factor Tables'!$I$165:$Q$192,MATCH("DX HP Htg",'Factor Tables'!$I$164:$Q$164,0),FALSE),IF($CL79="PTHP",VLOOKUP($D79,'Factor Tables'!$I$165:$Q$192,MATCH("PTHP Htg",'Factor Tables'!$I$164:$Q$164,0),FALSE),""))))</f>
        <v/>
      </c>
      <c r="DD79" s="845"/>
      <c r="DE79" s="426"/>
      <c r="DI79" s="425"/>
      <c r="DJ79" s="425"/>
      <c r="DK79" s="425"/>
      <c r="DL79" s="425"/>
      <c r="DM79" s="493" t="s">
        <v>478</v>
      </c>
    </row>
    <row r="80" spans="2:117" s="427" customFormat="1" ht="21.95" customHeight="1" x14ac:dyDescent="0.25">
      <c r="B80" s="431">
        <v>71</v>
      </c>
      <c r="C80" s="501" t="str">
        <f t="shared" si="59"/>
        <v/>
      </c>
      <c r="D80" s="502" t="str">
        <f t="shared" si="60"/>
        <v/>
      </c>
      <c r="E80" s="546"/>
      <c r="F80" s="547"/>
      <c r="G80" s="729"/>
      <c r="H80" s="729"/>
      <c r="I80" s="729"/>
      <c r="J80" s="729"/>
      <c r="K80" s="729"/>
      <c r="L80" s="729"/>
      <c r="M80" s="765"/>
      <c r="N80" s="758"/>
      <c r="O80" s="765"/>
      <c r="P80" s="758"/>
      <c r="Q80" s="1143"/>
      <c r="R80" s="1134"/>
      <c r="S80" s="775"/>
      <c r="T80" s="729"/>
      <c r="U80" s="775"/>
      <c r="V80" s="779"/>
      <c r="W80" s="557"/>
      <c r="X80" s="788"/>
      <c r="Y80" s="543"/>
      <c r="Z80" s="281"/>
      <c r="AA80" s="281"/>
      <c r="AB80" s="281"/>
      <c r="AC80" s="281"/>
      <c r="AD80" s="492"/>
      <c r="AE80" s="527">
        <f t="shared" si="39"/>
        <v>0</v>
      </c>
      <c r="AF80" s="527">
        <f t="shared" si="61"/>
        <v>0</v>
      </c>
      <c r="AG80" s="527">
        <f t="shared" si="41"/>
        <v>0</v>
      </c>
      <c r="AH80" s="527">
        <f t="shared" si="42"/>
        <v>0</v>
      </c>
      <c r="AI80" s="527">
        <f t="shared" si="43"/>
        <v>0</v>
      </c>
      <c r="AJ80" s="527">
        <f t="shared" si="44"/>
        <v>999999999</v>
      </c>
      <c r="AK80" s="471"/>
      <c r="AL80" s="765"/>
      <c r="AM80" s="758"/>
      <c r="AN80" s="281"/>
      <c r="AO80" s="775"/>
      <c r="AP80" s="775"/>
      <c r="AQ80" s="281"/>
      <c r="AR80" s="528"/>
      <c r="AS80" s="532"/>
      <c r="AT80" s="524" t="str">
        <f t="shared" si="45"/>
        <v/>
      </c>
      <c r="AU80" s="311">
        <f t="shared" si="46"/>
        <v>0</v>
      </c>
      <c r="AV80" s="288">
        <f t="shared" si="62"/>
        <v>0</v>
      </c>
      <c r="AW80" s="290">
        <f>IF(ISERROR($AU80*'Utility Admin'!$E$4+$AV80*'Utility Admin'!$F$4),0,$AU80*'Utility Admin'!$E$4+$AV80*'Utility Admin'!$F$4)</f>
        <v>0</v>
      </c>
      <c r="AX80" s="323" t="str">
        <f t="shared" si="47"/>
        <v/>
      </c>
      <c r="AY80" s="322" t="str">
        <f t="shared" si="23"/>
        <v/>
      </c>
      <c r="AZ80" s="319">
        <f>Baselines!$CJ324</f>
        <v>0</v>
      </c>
      <c r="BA80" s="735">
        <f>Baselines!$CK324</f>
        <v>0</v>
      </c>
      <c r="BB80" s="839">
        <f>Baselines!$CM324</f>
        <v>0</v>
      </c>
      <c r="BC80" s="466">
        <f t="shared" si="48"/>
        <v>0</v>
      </c>
      <c r="BD80" s="464">
        <f t="shared" si="63"/>
        <v>0</v>
      </c>
      <c r="BE80" s="755">
        <f t="shared" si="49"/>
        <v>0</v>
      </c>
      <c r="BF80" s="755">
        <f t="shared" si="64"/>
        <v>0</v>
      </c>
      <c r="BG80" s="466">
        <f t="shared" si="50"/>
        <v>0</v>
      </c>
      <c r="BH80" s="464">
        <f t="shared" si="51"/>
        <v>0</v>
      </c>
      <c r="BI80" s="755">
        <f t="shared" si="52"/>
        <v>0</v>
      </c>
      <c r="BJ80" s="755">
        <f t="shared" si="65"/>
        <v>0</v>
      </c>
      <c r="BK80" s="333">
        <f>IF(OR($C80&lt;&gt;"Early Retirement",$H80=""),0,IF(AND($G80&lt;&gt;"Air Cooled Chiller",$G80&lt;&gt;"Water Cooled Chiller"),VLOOKUP($H80,'Early Retirement'!$CI$6:$CL$33,2,FALSE),IF($J80&lt;&gt;"Centrifugal",VLOOKUP($H80,'Early Retirement'!$CI$6:$CL$33,3,FALSE),IF($J80="Centrifugal",VLOOKUP($H80,'Early Retirement'!$CI$6:$CL$33,4,FALSE),""))))</f>
        <v>0</v>
      </c>
      <c r="BL80" s="450">
        <f t="shared" si="53"/>
        <v>0</v>
      </c>
      <c r="BM80" s="553">
        <f>IFERROR('Utility Admin'!$I$4*((1+'Utility Admin'!$G$4)/('Utility Admin'!$H$4-'Utility Admin'!$G$4))*(1-((1+'Utility Admin'!$G$4)/(1+'Utility Admin'!$H$4))^$BK80)*$BG80,0)</f>
        <v>0</v>
      </c>
      <c r="BN80" s="553">
        <f>IFERROR('Utility Admin'!$I$4*((1+'Utility Admin'!$G$4)/('Utility Admin'!$H$4-'Utility Admin'!$G$4))*(1-((1+'Utility Admin'!$G$4)/(1+'Utility Admin'!$H$4))^$BL80)*((1+'Utility Admin'!$G$4)^$BK80/(1+'Utility Admin'!$H$4)^$BK80)*$BC80,0)</f>
        <v>0</v>
      </c>
      <c r="BO80" s="553">
        <f t="shared" si="27"/>
        <v>0</v>
      </c>
      <c r="BP80" s="553">
        <f>IFERROR('Utility Admin'!$J$4*((1+'Utility Admin'!$G$4)/('Utility Admin'!$H$4-'Utility Admin'!$G$4))*(1-((1+'Utility Admin'!$G$4)/(1+'Utility Admin'!$H$4))^$BK80)*$BJ80,0)</f>
        <v>0</v>
      </c>
      <c r="BQ80" s="553">
        <f>IFERROR('Utility Admin'!$J$4*((1+'Utility Admin'!$G$4)/('Utility Admin'!$H$4-'Utility Admin'!$G$4))*(1-((1+'Utility Admin'!$G$4)/(1+'Utility Admin'!$H$4))^$BL80)*((1+'Utility Admin'!$G$4)^$BK80/(1+'Utility Admin'!$H$4)^$BK80)*$BF80,0)</f>
        <v>0</v>
      </c>
      <c r="BR80" s="553">
        <f t="shared" si="28"/>
        <v>0</v>
      </c>
      <c r="BS80" s="553">
        <f>IFERROR('Utility Admin'!$I$4*((1+'Utility Admin'!$G$4)/('Utility Admin'!$H$4-'Utility Admin'!$G$4))*(1-((1+'Utility Admin'!$G$4)/(1+'Utility Admin'!$H$4))^$AT80),0)</f>
        <v>0</v>
      </c>
      <c r="BT80" s="553">
        <f>IFERROR('Utility Admin'!$J$4*((1+'Utility Admin'!$G$4)/('Utility Admin'!$H$4-'Utility Admin'!$G$4))*(1-((1+'Utility Admin'!$G$4)/(1+'Utility Admin'!$H$4))^$AT80),0)</f>
        <v>0</v>
      </c>
      <c r="BU80" s="459">
        <f t="shared" si="66"/>
        <v>0</v>
      </c>
      <c r="BV80" s="462">
        <f t="shared" si="67"/>
        <v>0</v>
      </c>
      <c r="BW80" s="219" t="str">
        <f t="shared" si="54"/>
        <v/>
      </c>
      <c r="BX80" s="250" t="str">
        <f t="shared" si="68"/>
        <v/>
      </c>
      <c r="BY80" s="250" t="str">
        <f t="shared" si="55"/>
        <v/>
      </c>
      <c r="BZ80" s="184">
        <f t="shared" si="69"/>
        <v>0</v>
      </c>
      <c r="CA80" s="693">
        <f t="shared" si="70"/>
        <v>0</v>
      </c>
      <c r="CB80" s="836">
        <f t="shared" si="71"/>
        <v>0</v>
      </c>
      <c r="CC80" s="693">
        <f>IF(AND($C80="Early Retirement",$H80&lt;&gt;"",$R80&lt;&gt;"",$T80&lt;&gt;""),$BZ80,Baselines!$CJ73)</f>
        <v>0</v>
      </c>
      <c r="CD80" s="693">
        <f>IF(AND($C80="Early Retirement",$H80&lt;&gt;"",$R80&lt;&gt;"",$T80&lt;&gt;""),$CA80,Baselines!$CK73)</f>
        <v>0</v>
      </c>
      <c r="CE80" s="182" t="str">
        <f>Baselines!$CL73</f>
        <v>kW/ton</v>
      </c>
      <c r="CF80" s="850" t="str">
        <f t="shared" si="56"/>
        <v/>
      </c>
      <c r="CG80" s="833">
        <f>IF(AND($C80="Early Retirement",$H80&lt;&gt;"",$R80&lt;&gt;"",$T80&lt;&gt;""),$CB80,IF(AND(Baselines!$CM73=0,OR($CL80="DX HP",$CL80="PTHP")),$BB80,Baselines!$CM73))</f>
        <v>0</v>
      </c>
      <c r="CH80" s="830" t="s">
        <v>567</v>
      </c>
      <c r="CI80" s="185" t="str">
        <f>IF(OR($C80="Replace-on-Burnout",$C80="New Construction"),$CT80,IF($BW80="","",VLOOKUP($D80,'Factor Tables'!$B$165:$H$192,MATCH($BW80,'Factor Tables'!$B$164:$H$164,0),FALSE)))</f>
        <v/>
      </c>
      <c r="CJ80" s="842" t="str">
        <f>IF(OR($C80="Replace-on-Burnout",$C80="New Construction"),$CU80,IF($BW80="","",IF($BW80="DX HP",VLOOKUP($D80,'Factor Tables'!$I$165:$Q$192,MATCH("DX HP Clg",'Factor Tables'!$I$164:$Q$164,0),FALSE),IF($BW80="PTHP",VLOOKUP($D80,'Factor Tables'!$I$165:$Q$192,MATCH("PTHP Clg",'Factor Tables'!$I$164:$Q$164,0),FALSE),IF(AND($BW80&lt;&gt;"DX HP",$BW80&lt;&gt;"PTHP"),VLOOKUP($D80,'Factor Tables'!$I$165:$Q$192,MATCH($BW80,'Factor Tables'!$I$164:$Q$164,0),FALSE),"")))))</f>
        <v/>
      </c>
      <c r="CK80" s="186" t="str">
        <f>IF(OR($C80="Replace-on-Burnout",$C80="New Construction",$CL80="DX HP",$CL80="PTHP"),$CV80,IF($BW80="","",IF($BW80="DX HP",VLOOKUP($D80,'Factor Tables'!$I$165:$Q$192,MATCH("DX HP Htg",'Factor Tables'!$I$164:$Q$164,0),FALSE),IF($BW80="PTHP",VLOOKUP($D80,'Factor Tables'!$I$165:$Q$192,MATCH("PTHP Htg",'Factor Tables'!$I$164:$Q$164,0),FALSE),0))))</f>
        <v/>
      </c>
      <c r="CL80" s="187" t="str">
        <f t="shared" si="57"/>
        <v/>
      </c>
      <c r="CM80" s="251" t="str">
        <f t="shared" si="58"/>
        <v/>
      </c>
      <c r="CN80" s="184">
        <f t="shared" si="72"/>
        <v>0</v>
      </c>
      <c r="CO80" s="693">
        <f t="shared" si="73"/>
        <v>0</v>
      </c>
      <c r="CP80" s="182" t="s">
        <v>46</v>
      </c>
      <c r="CQ80" s="852" t="str">
        <f t="shared" si="74"/>
        <v/>
      </c>
      <c r="CR80" s="833">
        <f t="shared" si="75"/>
        <v>0</v>
      </c>
      <c r="CS80" s="830" t="s">
        <v>567</v>
      </c>
      <c r="CT80" s="185" t="str">
        <f>IF($CL80="","",VLOOKUP($D80,'Factor Tables'!$B$165:$H$192,MATCH($CL80,'Factor Tables'!$B$164:$H$164,0),FALSE))</f>
        <v/>
      </c>
      <c r="CU80" s="842" t="str">
        <f>IF($CL80="","",IF(AND($CL80&lt;&gt;"DX HP",$CL80&lt;&gt;"PTHP"),VLOOKUP($D80,'Factor Tables'!$I$165:$Q$192,MATCH($CL80,'Factor Tables'!$I$164:$Q$164,0),FALSE),IF($CL80="DX HP",VLOOKUP($D80,'Factor Tables'!$I$165:$Q$192,MATCH("DX HP Clg",'Factor Tables'!$I$164:$Q$164,0),FALSE),IF($CL80="PTHP",VLOOKUP($D80,'Factor Tables'!$I$165:$Q$192,MATCH("PTHP Clg",'Factor Tables'!$I$164:$Q$164,0),FALSE),""))))</f>
        <v/>
      </c>
      <c r="CV80" s="186" t="str">
        <f>IF($CL80="","",IF(AND($CL80&lt;&gt;"DX HP",$CL80&lt;&gt;"PTHP"),0,IF($CL80="DX HP",VLOOKUP($D80,'Factor Tables'!$I$165:$Q$192,MATCH("DX HP Htg",'Factor Tables'!$I$164:$Q$164,0),FALSE),IF($CL80="PTHP",VLOOKUP($D80,'Factor Tables'!$I$165:$Q$192,MATCH("PTHP Htg",'Factor Tables'!$I$164:$Q$164,0),FALSE),""))))</f>
        <v/>
      </c>
      <c r="DD80" s="193" t="s">
        <v>352</v>
      </c>
      <c r="DE80" s="426"/>
      <c r="DI80" s="425"/>
      <c r="DJ80" s="425"/>
      <c r="DK80" s="425"/>
      <c r="DL80" s="425"/>
      <c r="DM80" s="493" t="s">
        <v>478</v>
      </c>
    </row>
    <row r="81" spans="2:117" s="427" customFormat="1" ht="21.95" customHeight="1" x14ac:dyDescent="0.25">
      <c r="B81" s="432">
        <v>72</v>
      </c>
      <c r="C81" s="499" t="str">
        <f t="shared" si="59"/>
        <v/>
      </c>
      <c r="D81" s="403" t="str">
        <f t="shared" si="60"/>
        <v/>
      </c>
      <c r="E81" s="541"/>
      <c r="F81" s="785"/>
      <c r="G81" s="728"/>
      <c r="H81" s="728"/>
      <c r="I81" s="728"/>
      <c r="J81" s="728"/>
      <c r="K81" s="728"/>
      <c r="L81" s="728"/>
      <c r="M81" s="764"/>
      <c r="N81" s="728"/>
      <c r="O81" s="764"/>
      <c r="P81" s="728"/>
      <c r="Q81" s="1142"/>
      <c r="R81" s="1133"/>
      <c r="S81" s="778"/>
      <c r="T81" s="767"/>
      <c r="U81" s="778"/>
      <c r="V81" s="751"/>
      <c r="W81" s="556"/>
      <c r="X81" s="785"/>
      <c r="Y81" s="542"/>
      <c r="Z81" s="500"/>
      <c r="AA81" s="500"/>
      <c r="AB81" s="500"/>
      <c r="AC81" s="500"/>
      <c r="AD81" s="529"/>
      <c r="AE81" s="527">
        <f t="shared" si="39"/>
        <v>0</v>
      </c>
      <c r="AF81" s="527">
        <f t="shared" si="61"/>
        <v>0</v>
      </c>
      <c r="AG81" s="527">
        <f t="shared" si="41"/>
        <v>0</v>
      </c>
      <c r="AH81" s="527">
        <f t="shared" si="42"/>
        <v>0</v>
      </c>
      <c r="AI81" s="527">
        <f t="shared" si="43"/>
        <v>0</v>
      </c>
      <c r="AJ81" s="527">
        <f t="shared" si="44"/>
        <v>999999999</v>
      </c>
      <c r="AK81" s="530"/>
      <c r="AL81" s="776"/>
      <c r="AM81" s="777"/>
      <c r="AN81" s="500"/>
      <c r="AO81" s="778"/>
      <c r="AP81" s="778"/>
      <c r="AQ81" s="500"/>
      <c r="AR81" s="531"/>
      <c r="AS81" s="403"/>
      <c r="AT81" s="524" t="str">
        <f t="shared" si="45"/>
        <v/>
      </c>
      <c r="AU81" s="311">
        <f t="shared" si="46"/>
        <v>0</v>
      </c>
      <c r="AV81" s="288">
        <f t="shared" si="62"/>
        <v>0</v>
      </c>
      <c r="AW81" s="290">
        <f>IF(ISERROR($AU81*'Utility Admin'!$E$4+$AV81*'Utility Admin'!$F$4),0,$AU81*'Utility Admin'!$E$4+$AV81*'Utility Admin'!$F$4)</f>
        <v>0</v>
      </c>
      <c r="AX81" s="323" t="str">
        <f t="shared" si="47"/>
        <v/>
      </c>
      <c r="AY81" s="322" t="str">
        <f t="shared" si="23"/>
        <v/>
      </c>
      <c r="AZ81" s="319">
        <f>Baselines!$CJ325</f>
        <v>0</v>
      </c>
      <c r="BA81" s="735">
        <f>Baselines!$CK325</f>
        <v>0</v>
      </c>
      <c r="BB81" s="839">
        <f>Baselines!$CM325</f>
        <v>0</v>
      </c>
      <c r="BC81" s="466">
        <f t="shared" si="48"/>
        <v>0</v>
      </c>
      <c r="BD81" s="464">
        <f t="shared" si="63"/>
        <v>0</v>
      </c>
      <c r="BE81" s="755">
        <f t="shared" si="49"/>
        <v>0</v>
      </c>
      <c r="BF81" s="755">
        <f t="shared" si="64"/>
        <v>0</v>
      </c>
      <c r="BG81" s="466">
        <f t="shared" si="50"/>
        <v>0</v>
      </c>
      <c r="BH81" s="464">
        <f t="shared" si="51"/>
        <v>0</v>
      </c>
      <c r="BI81" s="755">
        <f t="shared" si="52"/>
        <v>0</v>
      </c>
      <c r="BJ81" s="755">
        <f t="shared" si="65"/>
        <v>0</v>
      </c>
      <c r="BK81" s="333">
        <f>IF(OR($C81&lt;&gt;"Early Retirement",$H81=""),0,IF(AND($G81&lt;&gt;"Air Cooled Chiller",$G81&lt;&gt;"Water Cooled Chiller"),VLOOKUP($H81,'Early Retirement'!$CI$6:$CL$33,2,FALSE),IF($J81&lt;&gt;"Centrifugal",VLOOKUP($H81,'Early Retirement'!$CI$6:$CL$33,3,FALSE),IF($J81="Centrifugal",VLOOKUP($H81,'Early Retirement'!$CI$6:$CL$33,4,FALSE),""))))</f>
        <v>0</v>
      </c>
      <c r="BL81" s="450">
        <f t="shared" si="53"/>
        <v>0</v>
      </c>
      <c r="BM81" s="553">
        <f>IFERROR('Utility Admin'!$I$4*((1+'Utility Admin'!$G$4)/('Utility Admin'!$H$4-'Utility Admin'!$G$4))*(1-((1+'Utility Admin'!$G$4)/(1+'Utility Admin'!$H$4))^$BK81)*$BG81,0)</f>
        <v>0</v>
      </c>
      <c r="BN81" s="553">
        <f>IFERROR('Utility Admin'!$I$4*((1+'Utility Admin'!$G$4)/('Utility Admin'!$H$4-'Utility Admin'!$G$4))*(1-((1+'Utility Admin'!$G$4)/(1+'Utility Admin'!$H$4))^$BL81)*((1+'Utility Admin'!$G$4)^$BK81/(1+'Utility Admin'!$H$4)^$BK81)*$BC81,0)</f>
        <v>0</v>
      </c>
      <c r="BO81" s="553">
        <f t="shared" si="27"/>
        <v>0</v>
      </c>
      <c r="BP81" s="553">
        <f>IFERROR('Utility Admin'!$J$4*((1+'Utility Admin'!$G$4)/('Utility Admin'!$H$4-'Utility Admin'!$G$4))*(1-((1+'Utility Admin'!$G$4)/(1+'Utility Admin'!$H$4))^$BK81)*$BJ81,0)</f>
        <v>0</v>
      </c>
      <c r="BQ81" s="553">
        <f>IFERROR('Utility Admin'!$J$4*((1+'Utility Admin'!$G$4)/('Utility Admin'!$H$4-'Utility Admin'!$G$4))*(1-((1+'Utility Admin'!$G$4)/(1+'Utility Admin'!$H$4))^$BL81)*((1+'Utility Admin'!$G$4)^$BK81/(1+'Utility Admin'!$H$4)^$BK81)*$BF81,0)</f>
        <v>0</v>
      </c>
      <c r="BR81" s="553">
        <f t="shared" si="28"/>
        <v>0</v>
      </c>
      <c r="BS81" s="553">
        <f>IFERROR('Utility Admin'!$I$4*((1+'Utility Admin'!$G$4)/('Utility Admin'!$H$4-'Utility Admin'!$G$4))*(1-((1+'Utility Admin'!$G$4)/(1+'Utility Admin'!$H$4))^$AT81),0)</f>
        <v>0</v>
      </c>
      <c r="BT81" s="553">
        <f>IFERROR('Utility Admin'!$J$4*((1+'Utility Admin'!$G$4)/('Utility Admin'!$H$4-'Utility Admin'!$G$4))*(1-((1+'Utility Admin'!$G$4)/(1+'Utility Admin'!$H$4))^$AT81),0)</f>
        <v>0</v>
      </c>
      <c r="BU81" s="459">
        <f t="shared" si="66"/>
        <v>0</v>
      </c>
      <c r="BV81" s="462">
        <f t="shared" si="67"/>
        <v>0</v>
      </c>
      <c r="BW81" s="219" t="str">
        <f t="shared" si="54"/>
        <v/>
      </c>
      <c r="BX81" s="250" t="str">
        <f t="shared" si="68"/>
        <v/>
      </c>
      <c r="BY81" s="250" t="str">
        <f t="shared" si="55"/>
        <v/>
      </c>
      <c r="BZ81" s="184">
        <f t="shared" si="69"/>
        <v>0</v>
      </c>
      <c r="CA81" s="693">
        <f t="shared" si="70"/>
        <v>0</v>
      </c>
      <c r="CB81" s="836">
        <f t="shared" si="71"/>
        <v>0</v>
      </c>
      <c r="CC81" s="693">
        <f>IF(AND($C81="Early Retirement",$H81&lt;&gt;"",$R81&lt;&gt;"",$T81&lt;&gt;""),$BZ81,Baselines!$CJ74)</f>
        <v>0</v>
      </c>
      <c r="CD81" s="693">
        <f>IF(AND($C81="Early Retirement",$H81&lt;&gt;"",$R81&lt;&gt;"",$T81&lt;&gt;""),$CA81,Baselines!$CK74)</f>
        <v>0</v>
      </c>
      <c r="CE81" s="182" t="str">
        <f>Baselines!$CL74</f>
        <v>kW/ton</v>
      </c>
      <c r="CF81" s="850" t="str">
        <f t="shared" si="56"/>
        <v/>
      </c>
      <c r="CG81" s="833">
        <f>IF(AND($C81="Early Retirement",$H81&lt;&gt;"",$R81&lt;&gt;"",$T81&lt;&gt;""),$CB81,IF(AND(Baselines!$CM74=0,OR($CL81="DX HP",$CL81="PTHP")),$BB81,Baselines!$CM74))</f>
        <v>0</v>
      </c>
      <c r="CH81" s="830" t="s">
        <v>567</v>
      </c>
      <c r="CI81" s="185" t="str">
        <f>IF(OR($C81="Replace-on-Burnout",$C81="New Construction"),$CT81,IF($BW81="","",VLOOKUP($D81,'Factor Tables'!$B$165:$H$192,MATCH($BW81,'Factor Tables'!$B$164:$H$164,0),FALSE)))</f>
        <v/>
      </c>
      <c r="CJ81" s="842" t="str">
        <f>IF(OR($C81="Replace-on-Burnout",$C81="New Construction"),$CU81,IF($BW81="","",IF($BW81="DX HP",VLOOKUP($D81,'Factor Tables'!$I$165:$Q$192,MATCH("DX HP Clg",'Factor Tables'!$I$164:$Q$164,0),FALSE),IF($BW81="PTHP",VLOOKUP($D81,'Factor Tables'!$I$165:$Q$192,MATCH("PTHP Clg",'Factor Tables'!$I$164:$Q$164,0),FALSE),IF(AND($BW81&lt;&gt;"DX HP",$BW81&lt;&gt;"PTHP"),VLOOKUP($D81,'Factor Tables'!$I$165:$Q$192,MATCH($BW81,'Factor Tables'!$I$164:$Q$164,0),FALSE),"")))))</f>
        <v/>
      </c>
      <c r="CK81" s="186" t="str">
        <f>IF(OR($C81="Replace-on-Burnout",$C81="New Construction",$CL81="DX HP",$CL81="PTHP"),$CV81,IF($BW81="","",IF($BW81="DX HP",VLOOKUP($D81,'Factor Tables'!$I$165:$Q$192,MATCH("DX HP Htg",'Factor Tables'!$I$164:$Q$164,0),FALSE),IF($BW81="PTHP",VLOOKUP($D81,'Factor Tables'!$I$165:$Q$192,MATCH("PTHP Htg",'Factor Tables'!$I$164:$Q$164,0),FALSE),0))))</f>
        <v/>
      </c>
      <c r="CL81" s="187" t="str">
        <f t="shared" si="57"/>
        <v/>
      </c>
      <c r="CM81" s="251" t="str">
        <f t="shared" si="58"/>
        <v/>
      </c>
      <c r="CN81" s="184">
        <f t="shared" si="72"/>
        <v>0</v>
      </c>
      <c r="CO81" s="693">
        <f t="shared" si="73"/>
        <v>0</v>
      </c>
      <c r="CP81" s="182" t="s">
        <v>46</v>
      </c>
      <c r="CQ81" s="852" t="str">
        <f t="shared" si="74"/>
        <v/>
      </c>
      <c r="CR81" s="833">
        <f t="shared" si="75"/>
        <v>0</v>
      </c>
      <c r="CS81" s="830" t="s">
        <v>567</v>
      </c>
      <c r="CT81" s="185" t="str">
        <f>IF($CL81="","",VLOOKUP($D81,'Factor Tables'!$B$165:$H$192,MATCH($CL81,'Factor Tables'!$B$164:$H$164,0),FALSE))</f>
        <v/>
      </c>
      <c r="CU81" s="842" t="str">
        <f>IF($CL81="","",IF(AND($CL81&lt;&gt;"DX HP",$CL81&lt;&gt;"PTHP"),VLOOKUP($D81,'Factor Tables'!$I$165:$Q$192,MATCH($CL81,'Factor Tables'!$I$164:$Q$164,0),FALSE),IF($CL81="DX HP",VLOOKUP($D81,'Factor Tables'!$I$165:$Q$192,MATCH("DX HP Clg",'Factor Tables'!$I$164:$Q$164,0),FALSE),IF($CL81="PTHP",VLOOKUP($D81,'Factor Tables'!$I$165:$Q$192,MATCH("PTHP Clg",'Factor Tables'!$I$164:$Q$164,0),FALSE),""))))</f>
        <v/>
      </c>
      <c r="CV81" s="186" t="str">
        <f>IF($CL81="","",IF(AND($CL81&lt;&gt;"DX HP",$CL81&lt;&gt;"PTHP"),0,IF($CL81="DX HP",VLOOKUP($D81,'Factor Tables'!$I$165:$Q$192,MATCH("DX HP Htg",'Factor Tables'!$I$164:$Q$164,0),FALSE),IF($CL81="PTHP",VLOOKUP($D81,'Factor Tables'!$I$165:$Q$192,MATCH("PTHP Htg",'Factor Tables'!$I$164:$Q$164,0),FALSE),""))))</f>
        <v/>
      </c>
      <c r="DD81" s="77" t="s">
        <v>44</v>
      </c>
      <c r="DE81" s="426"/>
      <c r="DI81" s="425"/>
      <c r="DJ81" s="425"/>
      <c r="DK81" s="425"/>
      <c r="DL81" s="425"/>
      <c r="DM81" s="493" t="s">
        <v>478</v>
      </c>
    </row>
    <row r="82" spans="2:117" s="427" customFormat="1" ht="21.95" customHeight="1" x14ac:dyDescent="0.25">
      <c r="B82" s="431">
        <v>73</v>
      </c>
      <c r="C82" s="501" t="str">
        <f t="shared" si="59"/>
        <v/>
      </c>
      <c r="D82" s="502" t="str">
        <f t="shared" si="60"/>
        <v/>
      </c>
      <c r="E82" s="546"/>
      <c r="F82" s="547"/>
      <c r="G82" s="729"/>
      <c r="H82" s="729"/>
      <c r="I82" s="729"/>
      <c r="J82" s="729"/>
      <c r="K82" s="729"/>
      <c r="L82" s="729"/>
      <c r="M82" s="765"/>
      <c r="N82" s="758"/>
      <c r="O82" s="765"/>
      <c r="P82" s="758"/>
      <c r="Q82" s="1143"/>
      <c r="R82" s="1134"/>
      <c r="S82" s="775"/>
      <c r="T82" s="729"/>
      <c r="U82" s="775"/>
      <c r="V82" s="779"/>
      <c r="W82" s="557"/>
      <c r="X82" s="788"/>
      <c r="Y82" s="543"/>
      <c r="Z82" s="281"/>
      <c r="AA82" s="281"/>
      <c r="AB82" s="281"/>
      <c r="AC82" s="281"/>
      <c r="AD82" s="492"/>
      <c r="AE82" s="527">
        <f t="shared" si="39"/>
        <v>0</v>
      </c>
      <c r="AF82" s="527">
        <f t="shared" si="61"/>
        <v>0</v>
      </c>
      <c r="AG82" s="527">
        <f t="shared" si="41"/>
        <v>0</v>
      </c>
      <c r="AH82" s="527">
        <f t="shared" si="42"/>
        <v>0</v>
      </c>
      <c r="AI82" s="527">
        <f t="shared" si="43"/>
        <v>0</v>
      </c>
      <c r="AJ82" s="527">
        <f t="shared" si="44"/>
        <v>999999999</v>
      </c>
      <c r="AK82" s="471"/>
      <c r="AL82" s="765"/>
      <c r="AM82" s="758"/>
      <c r="AN82" s="281"/>
      <c r="AO82" s="775"/>
      <c r="AP82" s="775"/>
      <c r="AQ82" s="281"/>
      <c r="AR82" s="528"/>
      <c r="AS82" s="532"/>
      <c r="AT82" s="524" t="str">
        <f t="shared" si="45"/>
        <v/>
      </c>
      <c r="AU82" s="311">
        <f t="shared" si="46"/>
        <v>0</v>
      </c>
      <c r="AV82" s="288">
        <f t="shared" si="62"/>
        <v>0</v>
      </c>
      <c r="AW82" s="290">
        <f>IF(ISERROR($AU82*'Utility Admin'!$E$4+$AV82*'Utility Admin'!$F$4),0,$AU82*'Utility Admin'!$E$4+$AV82*'Utility Admin'!$F$4)</f>
        <v>0</v>
      </c>
      <c r="AX82" s="323" t="str">
        <f t="shared" si="47"/>
        <v/>
      </c>
      <c r="AY82" s="322" t="str">
        <f t="shared" si="23"/>
        <v/>
      </c>
      <c r="AZ82" s="319">
        <f>Baselines!$CJ326</f>
        <v>0</v>
      </c>
      <c r="BA82" s="735">
        <f>Baselines!$CK326</f>
        <v>0</v>
      </c>
      <c r="BB82" s="839">
        <f>Baselines!$CM326</f>
        <v>0</v>
      </c>
      <c r="BC82" s="466">
        <f t="shared" si="48"/>
        <v>0</v>
      </c>
      <c r="BD82" s="464">
        <f t="shared" si="63"/>
        <v>0</v>
      </c>
      <c r="BE82" s="755">
        <f t="shared" si="49"/>
        <v>0</v>
      </c>
      <c r="BF82" s="755">
        <f t="shared" si="64"/>
        <v>0</v>
      </c>
      <c r="BG82" s="466">
        <f t="shared" si="50"/>
        <v>0</v>
      </c>
      <c r="BH82" s="464">
        <f t="shared" si="51"/>
        <v>0</v>
      </c>
      <c r="BI82" s="755">
        <f t="shared" si="52"/>
        <v>0</v>
      </c>
      <c r="BJ82" s="755">
        <f t="shared" si="65"/>
        <v>0</v>
      </c>
      <c r="BK82" s="333">
        <f>IF(OR($C82&lt;&gt;"Early Retirement",$H82=""),0,IF(AND($G82&lt;&gt;"Air Cooled Chiller",$G82&lt;&gt;"Water Cooled Chiller"),VLOOKUP($H82,'Early Retirement'!$CI$6:$CL$33,2,FALSE),IF($J82&lt;&gt;"Centrifugal",VLOOKUP($H82,'Early Retirement'!$CI$6:$CL$33,3,FALSE),IF($J82="Centrifugal",VLOOKUP($H82,'Early Retirement'!$CI$6:$CL$33,4,FALSE),""))))</f>
        <v>0</v>
      </c>
      <c r="BL82" s="450">
        <f t="shared" si="53"/>
        <v>0</v>
      </c>
      <c r="BM82" s="553">
        <f>IFERROR('Utility Admin'!$I$4*((1+'Utility Admin'!$G$4)/('Utility Admin'!$H$4-'Utility Admin'!$G$4))*(1-((1+'Utility Admin'!$G$4)/(1+'Utility Admin'!$H$4))^$BK82)*$BG82,0)</f>
        <v>0</v>
      </c>
      <c r="BN82" s="553">
        <f>IFERROR('Utility Admin'!$I$4*((1+'Utility Admin'!$G$4)/('Utility Admin'!$H$4-'Utility Admin'!$G$4))*(1-((1+'Utility Admin'!$G$4)/(1+'Utility Admin'!$H$4))^$BL82)*((1+'Utility Admin'!$G$4)^$BK82/(1+'Utility Admin'!$H$4)^$BK82)*$BC82,0)</f>
        <v>0</v>
      </c>
      <c r="BO82" s="553">
        <f t="shared" si="27"/>
        <v>0</v>
      </c>
      <c r="BP82" s="553">
        <f>IFERROR('Utility Admin'!$J$4*((1+'Utility Admin'!$G$4)/('Utility Admin'!$H$4-'Utility Admin'!$G$4))*(1-((1+'Utility Admin'!$G$4)/(1+'Utility Admin'!$H$4))^$BK82)*$BJ82,0)</f>
        <v>0</v>
      </c>
      <c r="BQ82" s="553">
        <f>IFERROR('Utility Admin'!$J$4*((1+'Utility Admin'!$G$4)/('Utility Admin'!$H$4-'Utility Admin'!$G$4))*(1-((1+'Utility Admin'!$G$4)/(1+'Utility Admin'!$H$4))^$BL82)*((1+'Utility Admin'!$G$4)^$BK82/(1+'Utility Admin'!$H$4)^$BK82)*$BF82,0)</f>
        <v>0</v>
      </c>
      <c r="BR82" s="553">
        <f t="shared" si="28"/>
        <v>0</v>
      </c>
      <c r="BS82" s="553">
        <f>IFERROR('Utility Admin'!$I$4*((1+'Utility Admin'!$G$4)/('Utility Admin'!$H$4-'Utility Admin'!$G$4))*(1-((1+'Utility Admin'!$G$4)/(1+'Utility Admin'!$H$4))^$AT82),0)</f>
        <v>0</v>
      </c>
      <c r="BT82" s="553">
        <f>IFERROR('Utility Admin'!$J$4*((1+'Utility Admin'!$G$4)/('Utility Admin'!$H$4-'Utility Admin'!$G$4))*(1-((1+'Utility Admin'!$G$4)/(1+'Utility Admin'!$H$4))^$AT82),0)</f>
        <v>0</v>
      </c>
      <c r="BU82" s="459">
        <f t="shared" si="66"/>
        <v>0</v>
      </c>
      <c r="BV82" s="462">
        <f t="shared" si="67"/>
        <v>0</v>
      </c>
      <c r="BW82" s="219" t="str">
        <f t="shared" si="54"/>
        <v/>
      </c>
      <c r="BX82" s="250" t="str">
        <f t="shared" si="68"/>
        <v/>
      </c>
      <c r="BY82" s="250" t="str">
        <f t="shared" si="55"/>
        <v/>
      </c>
      <c r="BZ82" s="184">
        <f t="shared" si="69"/>
        <v>0</v>
      </c>
      <c r="CA82" s="693">
        <f t="shared" si="70"/>
        <v>0</v>
      </c>
      <c r="CB82" s="836">
        <f t="shared" si="71"/>
        <v>0</v>
      </c>
      <c r="CC82" s="693">
        <f>IF(AND($C82="Early Retirement",$H82&lt;&gt;"",$R82&lt;&gt;"",$T82&lt;&gt;""),$BZ82,Baselines!$CJ75)</f>
        <v>0</v>
      </c>
      <c r="CD82" s="693">
        <f>IF(AND($C82="Early Retirement",$H82&lt;&gt;"",$R82&lt;&gt;"",$T82&lt;&gt;""),$CA82,Baselines!$CK75)</f>
        <v>0</v>
      </c>
      <c r="CE82" s="182" t="str">
        <f>Baselines!$CL75</f>
        <v>kW/ton</v>
      </c>
      <c r="CF82" s="850" t="str">
        <f t="shared" si="56"/>
        <v/>
      </c>
      <c r="CG82" s="833">
        <f>IF(AND($C82="Early Retirement",$H82&lt;&gt;"",$R82&lt;&gt;"",$T82&lt;&gt;""),$CB82,IF(AND(Baselines!$CM75=0,OR($CL82="DX HP",$CL82="PTHP")),$BB82,Baselines!$CM75))</f>
        <v>0</v>
      </c>
      <c r="CH82" s="830" t="s">
        <v>567</v>
      </c>
      <c r="CI82" s="185" t="str">
        <f>IF(OR($C82="Replace-on-Burnout",$C82="New Construction"),$CT82,IF($BW82="","",VLOOKUP($D82,'Factor Tables'!$B$165:$H$192,MATCH($BW82,'Factor Tables'!$B$164:$H$164,0),FALSE)))</f>
        <v/>
      </c>
      <c r="CJ82" s="842" t="str">
        <f>IF(OR($C82="Replace-on-Burnout",$C82="New Construction"),$CU82,IF($BW82="","",IF($BW82="DX HP",VLOOKUP($D82,'Factor Tables'!$I$165:$Q$192,MATCH("DX HP Clg",'Factor Tables'!$I$164:$Q$164,0),FALSE),IF($BW82="PTHP",VLOOKUP($D82,'Factor Tables'!$I$165:$Q$192,MATCH("PTHP Clg",'Factor Tables'!$I$164:$Q$164,0),FALSE),IF(AND($BW82&lt;&gt;"DX HP",$BW82&lt;&gt;"PTHP"),VLOOKUP($D82,'Factor Tables'!$I$165:$Q$192,MATCH($BW82,'Factor Tables'!$I$164:$Q$164,0),FALSE),"")))))</f>
        <v/>
      </c>
      <c r="CK82" s="186" t="str">
        <f>IF(OR($C82="Replace-on-Burnout",$C82="New Construction",$CL82="DX HP",$CL82="PTHP"),$CV82,IF($BW82="","",IF($BW82="DX HP",VLOOKUP($D82,'Factor Tables'!$I$165:$Q$192,MATCH("DX HP Htg",'Factor Tables'!$I$164:$Q$164,0),FALSE),IF($BW82="PTHP",VLOOKUP($D82,'Factor Tables'!$I$165:$Q$192,MATCH("PTHP Htg",'Factor Tables'!$I$164:$Q$164,0),FALSE),0))))</f>
        <v/>
      </c>
      <c r="CL82" s="187" t="str">
        <f t="shared" si="57"/>
        <v/>
      </c>
      <c r="CM82" s="251" t="str">
        <f t="shared" si="58"/>
        <v/>
      </c>
      <c r="CN82" s="184">
        <f t="shared" si="72"/>
        <v>0</v>
      </c>
      <c r="CO82" s="693">
        <f t="shared" si="73"/>
        <v>0</v>
      </c>
      <c r="CP82" s="182" t="s">
        <v>46</v>
      </c>
      <c r="CQ82" s="852" t="str">
        <f t="shared" si="74"/>
        <v/>
      </c>
      <c r="CR82" s="833">
        <f t="shared" si="75"/>
        <v>0</v>
      </c>
      <c r="CS82" s="830" t="s">
        <v>567</v>
      </c>
      <c r="CT82" s="185" t="str">
        <f>IF($CL82="","",VLOOKUP($D82,'Factor Tables'!$B$165:$H$192,MATCH($CL82,'Factor Tables'!$B$164:$H$164,0),FALSE))</f>
        <v/>
      </c>
      <c r="CU82" s="842" t="str">
        <f>IF($CL82="","",IF(AND($CL82&lt;&gt;"DX HP",$CL82&lt;&gt;"PTHP"),VLOOKUP($D82,'Factor Tables'!$I$165:$Q$192,MATCH($CL82,'Factor Tables'!$I$164:$Q$164,0),FALSE),IF($CL82="DX HP",VLOOKUP($D82,'Factor Tables'!$I$165:$Q$192,MATCH("DX HP Clg",'Factor Tables'!$I$164:$Q$164,0),FALSE),IF($CL82="PTHP",VLOOKUP($D82,'Factor Tables'!$I$165:$Q$192,MATCH("PTHP Clg",'Factor Tables'!$I$164:$Q$164,0),FALSE),""))))</f>
        <v/>
      </c>
      <c r="CV82" s="186" t="str">
        <f>IF($CL82="","",IF(AND($CL82&lt;&gt;"DX HP",$CL82&lt;&gt;"PTHP"),0,IF($CL82="DX HP",VLOOKUP($D82,'Factor Tables'!$I$165:$Q$192,MATCH("DX HP Htg",'Factor Tables'!$I$164:$Q$164,0),FALSE),IF($CL82="PTHP",VLOOKUP($D82,'Factor Tables'!$I$165:$Q$192,MATCH("PTHP Htg",'Factor Tables'!$I$164:$Q$164,0),FALSE),""))))</f>
        <v/>
      </c>
      <c r="DD82" s="77" t="s">
        <v>43</v>
      </c>
      <c r="DE82" s="426"/>
      <c r="DI82" s="425"/>
      <c r="DJ82" s="425"/>
      <c r="DK82" s="425"/>
      <c r="DL82" s="425"/>
      <c r="DM82" s="493" t="s">
        <v>478</v>
      </c>
    </row>
    <row r="83" spans="2:117" s="427" customFormat="1" ht="21.95" customHeight="1" x14ac:dyDescent="0.25">
      <c r="B83" s="432">
        <v>74</v>
      </c>
      <c r="C83" s="499" t="str">
        <f t="shared" si="59"/>
        <v/>
      </c>
      <c r="D83" s="403" t="str">
        <f t="shared" si="60"/>
        <v/>
      </c>
      <c r="E83" s="541"/>
      <c r="F83" s="785"/>
      <c r="G83" s="728"/>
      <c r="H83" s="728"/>
      <c r="I83" s="728"/>
      <c r="J83" s="728"/>
      <c r="K83" s="728"/>
      <c r="L83" s="728"/>
      <c r="M83" s="764"/>
      <c r="N83" s="728"/>
      <c r="O83" s="764"/>
      <c r="P83" s="728"/>
      <c r="Q83" s="1142"/>
      <c r="R83" s="1133"/>
      <c r="S83" s="778"/>
      <c r="T83" s="767"/>
      <c r="U83" s="778"/>
      <c r="V83" s="751"/>
      <c r="W83" s="556"/>
      <c r="X83" s="785"/>
      <c r="Y83" s="542"/>
      <c r="Z83" s="500"/>
      <c r="AA83" s="500"/>
      <c r="AB83" s="500"/>
      <c r="AC83" s="500"/>
      <c r="AD83" s="529"/>
      <c r="AE83" s="527">
        <f t="shared" si="39"/>
        <v>0</v>
      </c>
      <c r="AF83" s="527">
        <f t="shared" si="61"/>
        <v>0</v>
      </c>
      <c r="AG83" s="527">
        <f t="shared" si="41"/>
        <v>0</v>
      </c>
      <c r="AH83" s="527">
        <f t="shared" si="42"/>
        <v>0</v>
      </c>
      <c r="AI83" s="527">
        <f t="shared" si="43"/>
        <v>0</v>
      </c>
      <c r="AJ83" s="527">
        <f t="shared" si="44"/>
        <v>999999999</v>
      </c>
      <c r="AK83" s="530"/>
      <c r="AL83" s="776"/>
      <c r="AM83" s="777"/>
      <c r="AN83" s="500"/>
      <c r="AO83" s="778"/>
      <c r="AP83" s="778"/>
      <c r="AQ83" s="500"/>
      <c r="AR83" s="531"/>
      <c r="AS83" s="403"/>
      <c r="AT83" s="524" t="str">
        <f t="shared" si="45"/>
        <v/>
      </c>
      <c r="AU83" s="311">
        <f t="shared" si="46"/>
        <v>0</v>
      </c>
      <c r="AV83" s="288">
        <f t="shared" si="62"/>
        <v>0</v>
      </c>
      <c r="AW83" s="290">
        <f>IF(ISERROR($AU83*'Utility Admin'!$E$4+$AV83*'Utility Admin'!$F$4),0,$AU83*'Utility Admin'!$E$4+$AV83*'Utility Admin'!$F$4)</f>
        <v>0</v>
      </c>
      <c r="AX83" s="323" t="str">
        <f t="shared" si="47"/>
        <v/>
      </c>
      <c r="AY83" s="322" t="str">
        <f t="shared" si="23"/>
        <v/>
      </c>
      <c r="AZ83" s="319">
        <f>Baselines!$CJ327</f>
        <v>0</v>
      </c>
      <c r="BA83" s="735">
        <f>Baselines!$CK327</f>
        <v>0</v>
      </c>
      <c r="BB83" s="839">
        <f>Baselines!$CM327</f>
        <v>0</v>
      </c>
      <c r="BC83" s="466">
        <f t="shared" si="48"/>
        <v>0</v>
      </c>
      <c r="BD83" s="464">
        <f t="shared" si="63"/>
        <v>0</v>
      </c>
      <c r="BE83" s="755">
        <f t="shared" si="49"/>
        <v>0</v>
      </c>
      <c r="BF83" s="755">
        <f t="shared" si="64"/>
        <v>0</v>
      </c>
      <c r="BG83" s="466">
        <f t="shared" si="50"/>
        <v>0</v>
      </c>
      <c r="BH83" s="464">
        <f t="shared" si="51"/>
        <v>0</v>
      </c>
      <c r="BI83" s="755">
        <f t="shared" si="52"/>
        <v>0</v>
      </c>
      <c r="BJ83" s="755">
        <f t="shared" si="65"/>
        <v>0</v>
      </c>
      <c r="BK83" s="333">
        <f>IF(OR($C83&lt;&gt;"Early Retirement",$H83=""),0,IF(AND($G83&lt;&gt;"Air Cooled Chiller",$G83&lt;&gt;"Water Cooled Chiller"),VLOOKUP($H83,'Early Retirement'!$CI$6:$CL$33,2,FALSE),IF($J83&lt;&gt;"Centrifugal",VLOOKUP($H83,'Early Retirement'!$CI$6:$CL$33,3,FALSE),IF($J83="Centrifugal",VLOOKUP($H83,'Early Retirement'!$CI$6:$CL$33,4,FALSE),""))))</f>
        <v>0</v>
      </c>
      <c r="BL83" s="450">
        <f t="shared" si="53"/>
        <v>0</v>
      </c>
      <c r="BM83" s="553">
        <f>IFERROR('Utility Admin'!$I$4*((1+'Utility Admin'!$G$4)/('Utility Admin'!$H$4-'Utility Admin'!$G$4))*(1-((1+'Utility Admin'!$G$4)/(1+'Utility Admin'!$H$4))^$BK83)*$BG83,0)</f>
        <v>0</v>
      </c>
      <c r="BN83" s="553">
        <f>IFERROR('Utility Admin'!$I$4*((1+'Utility Admin'!$G$4)/('Utility Admin'!$H$4-'Utility Admin'!$G$4))*(1-((1+'Utility Admin'!$G$4)/(1+'Utility Admin'!$H$4))^$BL83)*((1+'Utility Admin'!$G$4)^$BK83/(1+'Utility Admin'!$H$4)^$BK83)*$BC83,0)</f>
        <v>0</v>
      </c>
      <c r="BO83" s="553">
        <f t="shared" si="27"/>
        <v>0</v>
      </c>
      <c r="BP83" s="553">
        <f>IFERROR('Utility Admin'!$J$4*((1+'Utility Admin'!$G$4)/('Utility Admin'!$H$4-'Utility Admin'!$G$4))*(1-((1+'Utility Admin'!$G$4)/(1+'Utility Admin'!$H$4))^$BK83)*$BJ83,0)</f>
        <v>0</v>
      </c>
      <c r="BQ83" s="553">
        <f>IFERROR('Utility Admin'!$J$4*((1+'Utility Admin'!$G$4)/('Utility Admin'!$H$4-'Utility Admin'!$G$4))*(1-((1+'Utility Admin'!$G$4)/(1+'Utility Admin'!$H$4))^$BL83)*((1+'Utility Admin'!$G$4)^$BK83/(1+'Utility Admin'!$H$4)^$BK83)*$BF83,0)</f>
        <v>0</v>
      </c>
      <c r="BR83" s="553">
        <f t="shared" si="28"/>
        <v>0</v>
      </c>
      <c r="BS83" s="553">
        <f>IFERROR('Utility Admin'!$I$4*((1+'Utility Admin'!$G$4)/('Utility Admin'!$H$4-'Utility Admin'!$G$4))*(1-((1+'Utility Admin'!$G$4)/(1+'Utility Admin'!$H$4))^$AT83),0)</f>
        <v>0</v>
      </c>
      <c r="BT83" s="553">
        <f>IFERROR('Utility Admin'!$J$4*((1+'Utility Admin'!$G$4)/('Utility Admin'!$H$4-'Utility Admin'!$G$4))*(1-((1+'Utility Admin'!$G$4)/(1+'Utility Admin'!$H$4))^$AT83),0)</f>
        <v>0</v>
      </c>
      <c r="BU83" s="459">
        <f t="shared" si="66"/>
        <v>0</v>
      </c>
      <c r="BV83" s="462">
        <f t="shared" si="67"/>
        <v>0</v>
      </c>
      <c r="BW83" s="219" t="str">
        <f t="shared" si="54"/>
        <v/>
      </c>
      <c r="BX83" s="250" t="str">
        <f t="shared" si="68"/>
        <v/>
      </c>
      <c r="BY83" s="250" t="str">
        <f t="shared" si="55"/>
        <v/>
      </c>
      <c r="BZ83" s="184">
        <f t="shared" si="69"/>
        <v>0</v>
      </c>
      <c r="CA83" s="693">
        <f t="shared" si="70"/>
        <v>0</v>
      </c>
      <c r="CB83" s="836">
        <f t="shared" si="71"/>
        <v>0</v>
      </c>
      <c r="CC83" s="693">
        <f>IF(AND($C83="Early Retirement",$H83&lt;&gt;"",$R83&lt;&gt;"",$T83&lt;&gt;""),$BZ83,Baselines!$CJ76)</f>
        <v>0</v>
      </c>
      <c r="CD83" s="693">
        <f>IF(AND($C83="Early Retirement",$H83&lt;&gt;"",$R83&lt;&gt;"",$T83&lt;&gt;""),$CA83,Baselines!$CK76)</f>
        <v>0</v>
      </c>
      <c r="CE83" s="182" t="str">
        <f>Baselines!$CL76</f>
        <v>kW/ton</v>
      </c>
      <c r="CF83" s="850" t="str">
        <f t="shared" si="56"/>
        <v/>
      </c>
      <c r="CG83" s="833">
        <f>IF(AND($C83="Early Retirement",$H83&lt;&gt;"",$R83&lt;&gt;"",$T83&lt;&gt;""),$CB83,IF(AND(Baselines!$CM76=0,OR($CL83="DX HP",$CL83="PTHP")),$BB83,Baselines!$CM76))</f>
        <v>0</v>
      </c>
      <c r="CH83" s="830" t="s">
        <v>567</v>
      </c>
      <c r="CI83" s="185" t="str">
        <f>IF(OR($C83="Replace-on-Burnout",$C83="New Construction"),$CT83,IF($BW83="","",VLOOKUP($D83,'Factor Tables'!$B$165:$H$192,MATCH($BW83,'Factor Tables'!$B$164:$H$164,0),FALSE)))</f>
        <v/>
      </c>
      <c r="CJ83" s="842" t="str">
        <f>IF(OR($C83="Replace-on-Burnout",$C83="New Construction"),$CU83,IF($BW83="","",IF($BW83="DX HP",VLOOKUP($D83,'Factor Tables'!$I$165:$Q$192,MATCH("DX HP Clg",'Factor Tables'!$I$164:$Q$164,0),FALSE),IF($BW83="PTHP",VLOOKUP($D83,'Factor Tables'!$I$165:$Q$192,MATCH("PTHP Clg",'Factor Tables'!$I$164:$Q$164,0),FALSE),IF(AND($BW83&lt;&gt;"DX HP",$BW83&lt;&gt;"PTHP"),VLOOKUP($D83,'Factor Tables'!$I$165:$Q$192,MATCH($BW83,'Factor Tables'!$I$164:$Q$164,0),FALSE),"")))))</f>
        <v/>
      </c>
      <c r="CK83" s="186" t="str">
        <f>IF(OR($C83="Replace-on-Burnout",$C83="New Construction",$CL83="DX HP",$CL83="PTHP"),$CV83,IF($BW83="","",IF($BW83="DX HP",VLOOKUP($D83,'Factor Tables'!$I$165:$Q$192,MATCH("DX HP Htg",'Factor Tables'!$I$164:$Q$164,0),FALSE),IF($BW83="PTHP",VLOOKUP($D83,'Factor Tables'!$I$165:$Q$192,MATCH("PTHP Htg",'Factor Tables'!$I$164:$Q$164,0),FALSE),0))))</f>
        <v/>
      </c>
      <c r="CL83" s="187" t="str">
        <f t="shared" si="57"/>
        <v/>
      </c>
      <c r="CM83" s="251" t="str">
        <f t="shared" si="58"/>
        <v/>
      </c>
      <c r="CN83" s="184">
        <f t="shared" si="72"/>
        <v>0</v>
      </c>
      <c r="CO83" s="693">
        <f t="shared" si="73"/>
        <v>0</v>
      </c>
      <c r="CP83" s="182" t="s">
        <v>46</v>
      </c>
      <c r="CQ83" s="852" t="str">
        <f t="shared" si="74"/>
        <v/>
      </c>
      <c r="CR83" s="833">
        <f t="shared" si="75"/>
        <v>0</v>
      </c>
      <c r="CS83" s="830" t="s">
        <v>567</v>
      </c>
      <c r="CT83" s="185" t="str">
        <f>IF($CL83="","",VLOOKUP($D83,'Factor Tables'!$B$165:$H$192,MATCH($CL83,'Factor Tables'!$B$164:$H$164,0),FALSE))</f>
        <v/>
      </c>
      <c r="CU83" s="842" t="str">
        <f>IF($CL83="","",IF(AND($CL83&lt;&gt;"DX HP",$CL83&lt;&gt;"PTHP"),VLOOKUP($D83,'Factor Tables'!$I$165:$Q$192,MATCH($CL83,'Factor Tables'!$I$164:$Q$164,0),FALSE),IF($CL83="DX HP",VLOOKUP($D83,'Factor Tables'!$I$165:$Q$192,MATCH("DX HP Clg",'Factor Tables'!$I$164:$Q$164,0),FALSE),IF($CL83="PTHP",VLOOKUP($D83,'Factor Tables'!$I$165:$Q$192,MATCH("PTHP Clg",'Factor Tables'!$I$164:$Q$164,0),FALSE),""))))</f>
        <v/>
      </c>
      <c r="CV83" s="186" t="str">
        <f>IF($CL83="","",IF(AND($CL83&lt;&gt;"DX HP",$CL83&lt;&gt;"PTHP"),0,IF($CL83="DX HP",VLOOKUP($D83,'Factor Tables'!$I$165:$Q$192,MATCH("DX HP Htg",'Factor Tables'!$I$164:$Q$164,0),FALSE),IF($CL83="PTHP",VLOOKUP($D83,'Factor Tables'!$I$165:$Q$192,MATCH("PTHP Htg",'Factor Tables'!$I$164:$Q$164,0),FALSE),""))))</f>
        <v/>
      </c>
      <c r="DD83" s="194" t="s">
        <v>53</v>
      </c>
      <c r="DE83" s="426"/>
      <c r="DI83" s="425"/>
      <c r="DJ83" s="425"/>
      <c r="DK83" s="425"/>
      <c r="DL83" s="425"/>
      <c r="DM83" s="493" t="s">
        <v>478</v>
      </c>
    </row>
    <row r="84" spans="2:117" s="427" customFormat="1" ht="21.95" customHeight="1" x14ac:dyDescent="0.25">
      <c r="B84" s="431">
        <v>75</v>
      </c>
      <c r="C84" s="501" t="str">
        <f t="shared" si="59"/>
        <v/>
      </c>
      <c r="D84" s="502" t="str">
        <f t="shared" si="60"/>
        <v/>
      </c>
      <c r="E84" s="546"/>
      <c r="F84" s="547"/>
      <c r="G84" s="729"/>
      <c r="H84" s="729"/>
      <c r="I84" s="729"/>
      <c r="J84" s="729"/>
      <c r="K84" s="729"/>
      <c r="L84" s="729"/>
      <c r="M84" s="765"/>
      <c r="N84" s="758"/>
      <c r="O84" s="765"/>
      <c r="P84" s="758"/>
      <c r="Q84" s="1143"/>
      <c r="R84" s="1134"/>
      <c r="S84" s="775"/>
      <c r="T84" s="729"/>
      <c r="U84" s="775"/>
      <c r="V84" s="779"/>
      <c r="W84" s="557"/>
      <c r="X84" s="788"/>
      <c r="Y84" s="543"/>
      <c r="Z84" s="281"/>
      <c r="AA84" s="281"/>
      <c r="AB84" s="281"/>
      <c r="AC84" s="281"/>
      <c r="AD84" s="492"/>
      <c r="AE84" s="527">
        <f t="shared" si="39"/>
        <v>0</v>
      </c>
      <c r="AF84" s="527">
        <f t="shared" si="61"/>
        <v>0</v>
      </c>
      <c r="AG84" s="527">
        <f t="shared" si="41"/>
        <v>0</v>
      </c>
      <c r="AH84" s="527">
        <f t="shared" si="42"/>
        <v>0</v>
      </c>
      <c r="AI84" s="527">
        <f t="shared" si="43"/>
        <v>0</v>
      </c>
      <c r="AJ84" s="527">
        <f t="shared" si="44"/>
        <v>999999999</v>
      </c>
      <c r="AK84" s="471"/>
      <c r="AL84" s="765"/>
      <c r="AM84" s="758"/>
      <c r="AN84" s="281"/>
      <c r="AO84" s="775"/>
      <c r="AP84" s="775"/>
      <c r="AQ84" s="281"/>
      <c r="AR84" s="528"/>
      <c r="AS84" s="532"/>
      <c r="AT84" s="524" t="str">
        <f t="shared" si="45"/>
        <v/>
      </c>
      <c r="AU84" s="311">
        <f t="shared" si="46"/>
        <v>0</v>
      </c>
      <c r="AV84" s="288">
        <f t="shared" si="62"/>
        <v>0</v>
      </c>
      <c r="AW84" s="290">
        <f>IF(ISERROR($AU84*'Utility Admin'!$E$4+$AV84*'Utility Admin'!$F$4),0,$AU84*'Utility Admin'!$E$4+$AV84*'Utility Admin'!$F$4)</f>
        <v>0</v>
      </c>
      <c r="AX84" s="323" t="str">
        <f t="shared" si="47"/>
        <v/>
      </c>
      <c r="AY84" s="322" t="str">
        <f t="shared" si="23"/>
        <v/>
      </c>
      <c r="AZ84" s="319">
        <f>Baselines!$CJ328</f>
        <v>0</v>
      </c>
      <c r="BA84" s="735">
        <f>Baselines!$CK328</f>
        <v>0</v>
      </c>
      <c r="BB84" s="839">
        <f>Baselines!$CM328</f>
        <v>0</v>
      </c>
      <c r="BC84" s="466">
        <f t="shared" si="48"/>
        <v>0</v>
      </c>
      <c r="BD84" s="464">
        <f t="shared" si="63"/>
        <v>0</v>
      </c>
      <c r="BE84" s="755">
        <f t="shared" si="49"/>
        <v>0</v>
      </c>
      <c r="BF84" s="755">
        <f t="shared" si="64"/>
        <v>0</v>
      </c>
      <c r="BG84" s="466">
        <f t="shared" si="50"/>
        <v>0</v>
      </c>
      <c r="BH84" s="464">
        <f t="shared" si="51"/>
        <v>0</v>
      </c>
      <c r="BI84" s="755">
        <f t="shared" si="52"/>
        <v>0</v>
      </c>
      <c r="BJ84" s="755">
        <f t="shared" si="65"/>
        <v>0</v>
      </c>
      <c r="BK84" s="333">
        <f>IF(OR($C84&lt;&gt;"Early Retirement",$H84=""),0,IF(AND($G84&lt;&gt;"Air Cooled Chiller",$G84&lt;&gt;"Water Cooled Chiller"),VLOOKUP($H84,'Early Retirement'!$CI$6:$CL$33,2,FALSE),IF($J84&lt;&gt;"Centrifugal",VLOOKUP($H84,'Early Retirement'!$CI$6:$CL$33,3,FALSE),IF($J84="Centrifugal",VLOOKUP($H84,'Early Retirement'!$CI$6:$CL$33,4,FALSE),""))))</f>
        <v>0</v>
      </c>
      <c r="BL84" s="450">
        <f t="shared" si="53"/>
        <v>0</v>
      </c>
      <c r="BM84" s="553">
        <f>IFERROR('Utility Admin'!$I$4*((1+'Utility Admin'!$G$4)/('Utility Admin'!$H$4-'Utility Admin'!$G$4))*(1-((1+'Utility Admin'!$G$4)/(1+'Utility Admin'!$H$4))^$BK84)*$BG84,0)</f>
        <v>0</v>
      </c>
      <c r="BN84" s="553">
        <f>IFERROR('Utility Admin'!$I$4*((1+'Utility Admin'!$G$4)/('Utility Admin'!$H$4-'Utility Admin'!$G$4))*(1-((1+'Utility Admin'!$G$4)/(1+'Utility Admin'!$H$4))^$BL84)*((1+'Utility Admin'!$G$4)^$BK84/(1+'Utility Admin'!$H$4)^$BK84)*$BC84,0)</f>
        <v>0</v>
      </c>
      <c r="BO84" s="553">
        <f t="shared" si="27"/>
        <v>0</v>
      </c>
      <c r="BP84" s="553">
        <f>IFERROR('Utility Admin'!$J$4*((1+'Utility Admin'!$G$4)/('Utility Admin'!$H$4-'Utility Admin'!$G$4))*(1-((1+'Utility Admin'!$G$4)/(1+'Utility Admin'!$H$4))^$BK84)*$BJ84,0)</f>
        <v>0</v>
      </c>
      <c r="BQ84" s="553">
        <f>IFERROR('Utility Admin'!$J$4*((1+'Utility Admin'!$G$4)/('Utility Admin'!$H$4-'Utility Admin'!$G$4))*(1-((1+'Utility Admin'!$G$4)/(1+'Utility Admin'!$H$4))^$BL84)*((1+'Utility Admin'!$G$4)^$BK84/(1+'Utility Admin'!$H$4)^$BK84)*$BF84,0)</f>
        <v>0</v>
      </c>
      <c r="BR84" s="553">
        <f t="shared" si="28"/>
        <v>0</v>
      </c>
      <c r="BS84" s="553">
        <f>IFERROR('Utility Admin'!$I$4*((1+'Utility Admin'!$G$4)/('Utility Admin'!$H$4-'Utility Admin'!$G$4))*(1-((1+'Utility Admin'!$G$4)/(1+'Utility Admin'!$H$4))^$AT84),0)</f>
        <v>0</v>
      </c>
      <c r="BT84" s="553">
        <f>IFERROR('Utility Admin'!$J$4*((1+'Utility Admin'!$G$4)/('Utility Admin'!$H$4-'Utility Admin'!$G$4))*(1-((1+'Utility Admin'!$G$4)/(1+'Utility Admin'!$H$4))^$AT84),0)</f>
        <v>0</v>
      </c>
      <c r="BU84" s="459">
        <f t="shared" si="66"/>
        <v>0</v>
      </c>
      <c r="BV84" s="462">
        <f t="shared" si="67"/>
        <v>0</v>
      </c>
      <c r="BW84" s="219" t="str">
        <f t="shared" si="54"/>
        <v/>
      </c>
      <c r="BX84" s="250" t="str">
        <f t="shared" si="68"/>
        <v/>
      </c>
      <c r="BY84" s="250" t="str">
        <f t="shared" si="55"/>
        <v/>
      </c>
      <c r="BZ84" s="184">
        <f t="shared" si="69"/>
        <v>0</v>
      </c>
      <c r="CA84" s="693">
        <f t="shared" si="70"/>
        <v>0</v>
      </c>
      <c r="CB84" s="836">
        <f t="shared" si="71"/>
        <v>0</v>
      </c>
      <c r="CC84" s="693">
        <f>IF(AND($C84="Early Retirement",$H84&lt;&gt;"",$R84&lt;&gt;"",$T84&lt;&gt;""),$BZ84,Baselines!$CJ77)</f>
        <v>0</v>
      </c>
      <c r="CD84" s="693">
        <f>IF(AND($C84="Early Retirement",$H84&lt;&gt;"",$R84&lt;&gt;"",$T84&lt;&gt;""),$CA84,Baselines!$CK77)</f>
        <v>0</v>
      </c>
      <c r="CE84" s="182" t="str">
        <f>Baselines!$CL77</f>
        <v>kW/ton</v>
      </c>
      <c r="CF84" s="850" t="str">
        <f t="shared" si="56"/>
        <v/>
      </c>
      <c r="CG84" s="833">
        <f>IF(AND($C84="Early Retirement",$H84&lt;&gt;"",$R84&lt;&gt;"",$T84&lt;&gt;""),$CB84,IF(AND(Baselines!$CM77=0,OR($CL84="DX HP",$CL84="PTHP")),$BB84,Baselines!$CM77))</f>
        <v>0</v>
      </c>
      <c r="CH84" s="830" t="s">
        <v>567</v>
      </c>
      <c r="CI84" s="185" t="str">
        <f>IF(OR($C84="Replace-on-Burnout",$C84="New Construction"),$CT84,IF($BW84="","",VLOOKUP($D84,'Factor Tables'!$B$165:$H$192,MATCH($BW84,'Factor Tables'!$B$164:$H$164,0),FALSE)))</f>
        <v/>
      </c>
      <c r="CJ84" s="842" t="str">
        <f>IF(OR($C84="Replace-on-Burnout",$C84="New Construction"),$CU84,IF($BW84="","",IF($BW84="DX HP",VLOOKUP($D84,'Factor Tables'!$I$165:$Q$192,MATCH("DX HP Clg",'Factor Tables'!$I$164:$Q$164,0),FALSE),IF($BW84="PTHP",VLOOKUP($D84,'Factor Tables'!$I$165:$Q$192,MATCH("PTHP Clg",'Factor Tables'!$I$164:$Q$164,0),FALSE),IF(AND($BW84&lt;&gt;"DX HP",$BW84&lt;&gt;"PTHP"),VLOOKUP($D84,'Factor Tables'!$I$165:$Q$192,MATCH($BW84,'Factor Tables'!$I$164:$Q$164,0),FALSE),"")))))</f>
        <v/>
      </c>
      <c r="CK84" s="186" t="str">
        <f>IF(OR($C84="Replace-on-Burnout",$C84="New Construction",$CL84="DX HP",$CL84="PTHP"),$CV84,IF($BW84="","",IF($BW84="DX HP",VLOOKUP($D84,'Factor Tables'!$I$165:$Q$192,MATCH("DX HP Htg",'Factor Tables'!$I$164:$Q$164,0),FALSE),IF($BW84="PTHP",VLOOKUP($D84,'Factor Tables'!$I$165:$Q$192,MATCH("PTHP Htg",'Factor Tables'!$I$164:$Q$164,0),FALSE),0))))</f>
        <v/>
      </c>
      <c r="CL84" s="187" t="str">
        <f t="shared" si="57"/>
        <v/>
      </c>
      <c r="CM84" s="251" t="str">
        <f t="shared" si="58"/>
        <v/>
      </c>
      <c r="CN84" s="184">
        <f t="shared" si="72"/>
        <v>0</v>
      </c>
      <c r="CO84" s="693">
        <f t="shared" si="73"/>
        <v>0</v>
      </c>
      <c r="CP84" s="182" t="s">
        <v>46</v>
      </c>
      <c r="CQ84" s="852" t="str">
        <f t="shared" si="74"/>
        <v/>
      </c>
      <c r="CR84" s="833">
        <f t="shared" si="75"/>
        <v>0</v>
      </c>
      <c r="CS84" s="830" t="s">
        <v>567</v>
      </c>
      <c r="CT84" s="185" t="str">
        <f>IF($CL84="","",VLOOKUP($D84,'Factor Tables'!$B$165:$H$192,MATCH($CL84,'Factor Tables'!$B$164:$H$164,0),FALSE))</f>
        <v/>
      </c>
      <c r="CU84" s="842" t="str">
        <f>IF($CL84="","",IF(AND($CL84&lt;&gt;"DX HP",$CL84&lt;&gt;"PTHP"),VLOOKUP($D84,'Factor Tables'!$I$165:$Q$192,MATCH($CL84,'Factor Tables'!$I$164:$Q$164,0),FALSE),IF($CL84="DX HP",VLOOKUP($D84,'Factor Tables'!$I$165:$Q$192,MATCH("DX HP Clg",'Factor Tables'!$I$164:$Q$164,0),FALSE),IF($CL84="PTHP",VLOOKUP($D84,'Factor Tables'!$I$165:$Q$192,MATCH("PTHP Clg",'Factor Tables'!$I$164:$Q$164,0),FALSE),""))))</f>
        <v/>
      </c>
      <c r="CV84" s="186" t="str">
        <f>IF($CL84="","",IF(AND($CL84&lt;&gt;"DX HP",$CL84&lt;&gt;"PTHP"),0,IF($CL84="DX HP",VLOOKUP($D84,'Factor Tables'!$I$165:$Q$192,MATCH("DX HP Htg",'Factor Tables'!$I$164:$Q$164,0),FALSE),IF($CL84="PTHP",VLOOKUP($D84,'Factor Tables'!$I$165:$Q$192,MATCH("PTHP Htg",'Factor Tables'!$I$164:$Q$164,0),FALSE),""))))</f>
        <v/>
      </c>
      <c r="DD84" s="194"/>
      <c r="DE84" s="426"/>
      <c r="DI84" s="425"/>
      <c r="DJ84" s="425"/>
      <c r="DK84" s="425"/>
      <c r="DL84" s="425"/>
      <c r="DM84" s="493" t="s">
        <v>478</v>
      </c>
    </row>
    <row r="85" spans="2:117" s="427" customFormat="1" ht="21.95" customHeight="1" x14ac:dyDescent="0.25">
      <c r="B85" s="432">
        <v>76</v>
      </c>
      <c r="C85" s="499" t="str">
        <f t="shared" si="59"/>
        <v/>
      </c>
      <c r="D85" s="403" t="str">
        <f t="shared" si="60"/>
        <v/>
      </c>
      <c r="E85" s="541"/>
      <c r="F85" s="785"/>
      <c r="G85" s="728"/>
      <c r="H85" s="728"/>
      <c r="I85" s="728"/>
      <c r="J85" s="728"/>
      <c r="K85" s="728"/>
      <c r="L85" s="728"/>
      <c r="M85" s="764"/>
      <c r="N85" s="728"/>
      <c r="O85" s="764"/>
      <c r="P85" s="728"/>
      <c r="Q85" s="1142"/>
      <c r="R85" s="1133"/>
      <c r="S85" s="778"/>
      <c r="T85" s="767"/>
      <c r="U85" s="778"/>
      <c r="V85" s="751"/>
      <c r="W85" s="556"/>
      <c r="X85" s="785"/>
      <c r="Y85" s="542"/>
      <c r="Z85" s="500"/>
      <c r="AA85" s="500"/>
      <c r="AB85" s="500"/>
      <c r="AC85" s="500"/>
      <c r="AD85" s="529"/>
      <c r="AE85" s="527">
        <f t="shared" si="39"/>
        <v>0</v>
      </c>
      <c r="AF85" s="527">
        <f t="shared" si="61"/>
        <v>0</v>
      </c>
      <c r="AG85" s="527">
        <f t="shared" si="41"/>
        <v>0</v>
      </c>
      <c r="AH85" s="527">
        <f t="shared" si="42"/>
        <v>0</v>
      </c>
      <c r="AI85" s="527">
        <f t="shared" si="43"/>
        <v>0</v>
      </c>
      <c r="AJ85" s="527">
        <f t="shared" si="44"/>
        <v>999999999</v>
      </c>
      <c r="AK85" s="530"/>
      <c r="AL85" s="776"/>
      <c r="AM85" s="777"/>
      <c r="AN85" s="500"/>
      <c r="AO85" s="778"/>
      <c r="AP85" s="778"/>
      <c r="AQ85" s="500"/>
      <c r="AR85" s="531"/>
      <c r="AS85" s="403"/>
      <c r="AT85" s="524" t="str">
        <f t="shared" si="45"/>
        <v/>
      </c>
      <c r="AU85" s="311">
        <f t="shared" si="46"/>
        <v>0</v>
      </c>
      <c r="AV85" s="288">
        <f t="shared" si="62"/>
        <v>0</v>
      </c>
      <c r="AW85" s="290">
        <f>IF(ISERROR($AU85*'Utility Admin'!$E$4+$AV85*'Utility Admin'!$F$4),0,$AU85*'Utility Admin'!$E$4+$AV85*'Utility Admin'!$F$4)</f>
        <v>0</v>
      </c>
      <c r="AX85" s="323" t="str">
        <f t="shared" si="47"/>
        <v/>
      </c>
      <c r="AY85" s="322" t="str">
        <f t="shared" si="23"/>
        <v/>
      </c>
      <c r="AZ85" s="319">
        <f>Baselines!$CJ329</f>
        <v>0</v>
      </c>
      <c r="BA85" s="735">
        <f>Baselines!$CK329</f>
        <v>0</v>
      </c>
      <c r="BB85" s="839">
        <f>Baselines!$CM329</f>
        <v>0</v>
      </c>
      <c r="BC85" s="466">
        <f t="shared" si="48"/>
        <v>0</v>
      </c>
      <c r="BD85" s="464">
        <f t="shared" si="63"/>
        <v>0</v>
      </c>
      <c r="BE85" s="755">
        <f t="shared" si="49"/>
        <v>0</v>
      </c>
      <c r="BF85" s="755">
        <f t="shared" si="64"/>
        <v>0</v>
      </c>
      <c r="BG85" s="466">
        <f t="shared" si="50"/>
        <v>0</v>
      </c>
      <c r="BH85" s="464">
        <f t="shared" si="51"/>
        <v>0</v>
      </c>
      <c r="BI85" s="755">
        <f t="shared" si="52"/>
        <v>0</v>
      </c>
      <c r="BJ85" s="755">
        <f t="shared" si="65"/>
        <v>0</v>
      </c>
      <c r="BK85" s="333">
        <f>IF(OR($C85&lt;&gt;"Early Retirement",$H85=""),0,IF(AND($G85&lt;&gt;"Air Cooled Chiller",$G85&lt;&gt;"Water Cooled Chiller"),VLOOKUP($H85,'Early Retirement'!$CI$6:$CL$33,2,FALSE),IF($J85&lt;&gt;"Centrifugal",VLOOKUP($H85,'Early Retirement'!$CI$6:$CL$33,3,FALSE),IF($J85="Centrifugal",VLOOKUP($H85,'Early Retirement'!$CI$6:$CL$33,4,FALSE),""))))</f>
        <v>0</v>
      </c>
      <c r="BL85" s="450">
        <f t="shared" si="53"/>
        <v>0</v>
      </c>
      <c r="BM85" s="553">
        <f>IFERROR('Utility Admin'!$I$4*((1+'Utility Admin'!$G$4)/('Utility Admin'!$H$4-'Utility Admin'!$G$4))*(1-((1+'Utility Admin'!$G$4)/(1+'Utility Admin'!$H$4))^$BK85)*$BG85,0)</f>
        <v>0</v>
      </c>
      <c r="BN85" s="553">
        <f>IFERROR('Utility Admin'!$I$4*((1+'Utility Admin'!$G$4)/('Utility Admin'!$H$4-'Utility Admin'!$G$4))*(1-((1+'Utility Admin'!$G$4)/(1+'Utility Admin'!$H$4))^$BL85)*((1+'Utility Admin'!$G$4)^$BK85/(1+'Utility Admin'!$H$4)^$BK85)*$BC85,0)</f>
        <v>0</v>
      </c>
      <c r="BO85" s="553">
        <f t="shared" si="27"/>
        <v>0</v>
      </c>
      <c r="BP85" s="553">
        <f>IFERROR('Utility Admin'!$J$4*((1+'Utility Admin'!$G$4)/('Utility Admin'!$H$4-'Utility Admin'!$G$4))*(1-((1+'Utility Admin'!$G$4)/(1+'Utility Admin'!$H$4))^$BK85)*$BJ85,0)</f>
        <v>0</v>
      </c>
      <c r="BQ85" s="553">
        <f>IFERROR('Utility Admin'!$J$4*((1+'Utility Admin'!$G$4)/('Utility Admin'!$H$4-'Utility Admin'!$G$4))*(1-((1+'Utility Admin'!$G$4)/(1+'Utility Admin'!$H$4))^$BL85)*((1+'Utility Admin'!$G$4)^$BK85/(1+'Utility Admin'!$H$4)^$BK85)*$BF85,0)</f>
        <v>0</v>
      </c>
      <c r="BR85" s="553">
        <f t="shared" si="28"/>
        <v>0</v>
      </c>
      <c r="BS85" s="553">
        <f>IFERROR('Utility Admin'!$I$4*((1+'Utility Admin'!$G$4)/('Utility Admin'!$H$4-'Utility Admin'!$G$4))*(1-((1+'Utility Admin'!$G$4)/(1+'Utility Admin'!$H$4))^$AT85),0)</f>
        <v>0</v>
      </c>
      <c r="BT85" s="553">
        <f>IFERROR('Utility Admin'!$J$4*((1+'Utility Admin'!$G$4)/('Utility Admin'!$H$4-'Utility Admin'!$G$4))*(1-((1+'Utility Admin'!$G$4)/(1+'Utility Admin'!$H$4))^$AT85),0)</f>
        <v>0</v>
      </c>
      <c r="BU85" s="459">
        <f t="shared" si="66"/>
        <v>0</v>
      </c>
      <c r="BV85" s="462">
        <f t="shared" si="67"/>
        <v>0</v>
      </c>
      <c r="BW85" s="219" t="str">
        <f t="shared" si="54"/>
        <v/>
      </c>
      <c r="BX85" s="250" t="str">
        <f t="shared" si="68"/>
        <v/>
      </c>
      <c r="BY85" s="250" t="str">
        <f t="shared" si="55"/>
        <v/>
      </c>
      <c r="BZ85" s="184">
        <f t="shared" si="69"/>
        <v>0</v>
      </c>
      <c r="CA85" s="693">
        <f t="shared" si="70"/>
        <v>0</v>
      </c>
      <c r="CB85" s="836">
        <f t="shared" si="71"/>
        <v>0</v>
      </c>
      <c r="CC85" s="693">
        <f>IF(AND($C85="Early Retirement",$H85&lt;&gt;"",$R85&lt;&gt;"",$T85&lt;&gt;""),$BZ85,Baselines!$CJ78)</f>
        <v>0</v>
      </c>
      <c r="CD85" s="693">
        <f>IF(AND($C85="Early Retirement",$H85&lt;&gt;"",$R85&lt;&gt;"",$T85&lt;&gt;""),$CA85,Baselines!$CK78)</f>
        <v>0</v>
      </c>
      <c r="CE85" s="182" t="str">
        <f>Baselines!$CL78</f>
        <v>kW/ton</v>
      </c>
      <c r="CF85" s="850" t="str">
        <f t="shared" si="56"/>
        <v/>
      </c>
      <c r="CG85" s="833">
        <f>IF(AND($C85="Early Retirement",$H85&lt;&gt;"",$R85&lt;&gt;"",$T85&lt;&gt;""),$CB85,IF(AND(Baselines!$CM78=0,OR($CL85="DX HP",$CL85="PTHP")),$BB85,Baselines!$CM78))</f>
        <v>0</v>
      </c>
      <c r="CH85" s="830" t="s">
        <v>567</v>
      </c>
      <c r="CI85" s="185" t="str">
        <f>IF(OR($C85="Replace-on-Burnout",$C85="New Construction"),$CT85,IF($BW85="","",VLOOKUP($D85,'Factor Tables'!$B$165:$H$192,MATCH($BW85,'Factor Tables'!$B$164:$H$164,0),FALSE)))</f>
        <v/>
      </c>
      <c r="CJ85" s="842" t="str">
        <f>IF(OR($C85="Replace-on-Burnout",$C85="New Construction"),$CU85,IF($BW85="","",IF($BW85="DX HP",VLOOKUP($D85,'Factor Tables'!$I$165:$Q$192,MATCH("DX HP Clg",'Factor Tables'!$I$164:$Q$164,0),FALSE),IF($BW85="PTHP",VLOOKUP($D85,'Factor Tables'!$I$165:$Q$192,MATCH("PTHP Clg",'Factor Tables'!$I$164:$Q$164,0),FALSE),IF(AND($BW85&lt;&gt;"DX HP",$BW85&lt;&gt;"PTHP"),VLOOKUP($D85,'Factor Tables'!$I$165:$Q$192,MATCH($BW85,'Factor Tables'!$I$164:$Q$164,0),FALSE),"")))))</f>
        <v/>
      </c>
      <c r="CK85" s="186" t="str">
        <f>IF(OR($C85="Replace-on-Burnout",$C85="New Construction",$CL85="DX HP",$CL85="PTHP"),$CV85,IF($BW85="","",IF($BW85="DX HP",VLOOKUP($D85,'Factor Tables'!$I$165:$Q$192,MATCH("DX HP Htg",'Factor Tables'!$I$164:$Q$164,0),FALSE),IF($BW85="PTHP",VLOOKUP($D85,'Factor Tables'!$I$165:$Q$192,MATCH("PTHP Htg",'Factor Tables'!$I$164:$Q$164,0),FALSE),0))))</f>
        <v/>
      </c>
      <c r="CL85" s="187" t="str">
        <f t="shared" si="57"/>
        <v/>
      </c>
      <c r="CM85" s="251" t="str">
        <f t="shared" si="58"/>
        <v/>
      </c>
      <c r="CN85" s="184">
        <f t="shared" si="72"/>
        <v>0</v>
      </c>
      <c r="CO85" s="693">
        <f t="shared" si="73"/>
        <v>0</v>
      </c>
      <c r="CP85" s="182" t="s">
        <v>46</v>
      </c>
      <c r="CQ85" s="852" t="str">
        <f t="shared" si="74"/>
        <v/>
      </c>
      <c r="CR85" s="833">
        <f t="shared" si="75"/>
        <v>0</v>
      </c>
      <c r="CS85" s="830" t="s">
        <v>567</v>
      </c>
      <c r="CT85" s="185" t="str">
        <f>IF($CL85="","",VLOOKUP($D85,'Factor Tables'!$B$165:$H$192,MATCH($CL85,'Factor Tables'!$B$164:$H$164,0),FALSE))</f>
        <v/>
      </c>
      <c r="CU85" s="842" t="str">
        <f>IF($CL85="","",IF(AND($CL85&lt;&gt;"DX HP",$CL85&lt;&gt;"PTHP"),VLOOKUP($D85,'Factor Tables'!$I$165:$Q$192,MATCH($CL85,'Factor Tables'!$I$164:$Q$164,0),FALSE),IF($CL85="DX HP",VLOOKUP($D85,'Factor Tables'!$I$165:$Q$192,MATCH("DX HP Clg",'Factor Tables'!$I$164:$Q$164,0),FALSE),IF($CL85="PTHP",VLOOKUP($D85,'Factor Tables'!$I$165:$Q$192,MATCH("PTHP Clg",'Factor Tables'!$I$164:$Q$164,0),FALSE),""))))</f>
        <v/>
      </c>
      <c r="CV85" s="186" t="str">
        <f>IF($CL85="","",IF(AND($CL85&lt;&gt;"DX HP",$CL85&lt;&gt;"PTHP"),0,IF($CL85="DX HP",VLOOKUP($D85,'Factor Tables'!$I$165:$Q$192,MATCH("DX HP Htg",'Factor Tables'!$I$164:$Q$164,0),FALSE),IF($CL85="PTHP",VLOOKUP($D85,'Factor Tables'!$I$165:$Q$192,MATCH("PTHP Htg",'Factor Tables'!$I$164:$Q$164,0),FALSE),""))))</f>
        <v/>
      </c>
      <c r="DD85" s="193" t="s">
        <v>353</v>
      </c>
      <c r="DE85" s="426"/>
      <c r="DI85" s="425"/>
      <c r="DJ85" s="425"/>
      <c r="DK85" s="425"/>
      <c r="DL85" s="425"/>
      <c r="DM85" s="493" t="s">
        <v>478</v>
      </c>
    </row>
    <row r="86" spans="2:117" s="427" customFormat="1" ht="21.95" customHeight="1" x14ac:dyDescent="0.25">
      <c r="B86" s="431">
        <v>77</v>
      </c>
      <c r="C86" s="501" t="str">
        <f t="shared" si="59"/>
        <v/>
      </c>
      <c r="D86" s="502" t="str">
        <f t="shared" si="60"/>
        <v/>
      </c>
      <c r="E86" s="546"/>
      <c r="F86" s="547"/>
      <c r="G86" s="729"/>
      <c r="H86" s="729"/>
      <c r="I86" s="729"/>
      <c r="J86" s="729"/>
      <c r="K86" s="729"/>
      <c r="L86" s="729"/>
      <c r="M86" s="765"/>
      <c r="N86" s="758"/>
      <c r="O86" s="765"/>
      <c r="P86" s="758"/>
      <c r="Q86" s="1143"/>
      <c r="R86" s="1134"/>
      <c r="S86" s="775"/>
      <c r="T86" s="729"/>
      <c r="U86" s="775"/>
      <c r="V86" s="779"/>
      <c r="W86" s="557"/>
      <c r="X86" s="788"/>
      <c r="Y86" s="543"/>
      <c r="Z86" s="281"/>
      <c r="AA86" s="281"/>
      <c r="AB86" s="281"/>
      <c r="AC86" s="281"/>
      <c r="AD86" s="492"/>
      <c r="AE86" s="527">
        <f t="shared" si="39"/>
        <v>0</v>
      </c>
      <c r="AF86" s="527">
        <f t="shared" si="61"/>
        <v>0</v>
      </c>
      <c r="AG86" s="527">
        <f t="shared" si="41"/>
        <v>0</v>
      </c>
      <c r="AH86" s="527">
        <f t="shared" si="42"/>
        <v>0</v>
      </c>
      <c r="AI86" s="527">
        <f t="shared" si="43"/>
        <v>0</v>
      </c>
      <c r="AJ86" s="527">
        <f t="shared" si="44"/>
        <v>999999999</v>
      </c>
      <c r="AK86" s="471"/>
      <c r="AL86" s="765"/>
      <c r="AM86" s="758"/>
      <c r="AN86" s="281"/>
      <c r="AO86" s="775"/>
      <c r="AP86" s="775"/>
      <c r="AQ86" s="281"/>
      <c r="AR86" s="528"/>
      <c r="AS86" s="532"/>
      <c r="AT86" s="524" t="str">
        <f t="shared" si="45"/>
        <v/>
      </c>
      <c r="AU86" s="311">
        <f t="shared" si="46"/>
        <v>0</v>
      </c>
      <c r="AV86" s="288">
        <f t="shared" si="62"/>
        <v>0</v>
      </c>
      <c r="AW86" s="290">
        <f>IF(ISERROR($AU86*'Utility Admin'!$E$4+$AV86*'Utility Admin'!$F$4),0,$AU86*'Utility Admin'!$E$4+$AV86*'Utility Admin'!$F$4)</f>
        <v>0</v>
      </c>
      <c r="AX86" s="323" t="str">
        <f t="shared" si="47"/>
        <v/>
      </c>
      <c r="AY86" s="322" t="str">
        <f t="shared" si="23"/>
        <v/>
      </c>
      <c r="AZ86" s="319">
        <f>Baselines!$CJ330</f>
        <v>0</v>
      </c>
      <c r="BA86" s="735">
        <f>Baselines!$CK330</f>
        <v>0</v>
      </c>
      <c r="BB86" s="839">
        <f>Baselines!$CM330</f>
        <v>0</v>
      </c>
      <c r="BC86" s="466">
        <f t="shared" si="48"/>
        <v>0</v>
      </c>
      <c r="BD86" s="464">
        <f t="shared" si="63"/>
        <v>0</v>
      </c>
      <c r="BE86" s="755">
        <f t="shared" si="49"/>
        <v>0</v>
      </c>
      <c r="BF86" s="755">
        <f t="shared" si="64"/>
        <v>0</v>
      </c>
      <c r="BG86" s="466">
        <f t="shared" si="50"/>
        <v>0</v>
      </c>
      <c r="BH86" s="464">
        <f t="shared" si="51"/>
        <v>0</v>
      </c>
      <c r="BI86" s="755">
        <f t="shared" si="52"/>
        <v>0</v>
      </c>
      <c r="BJ86" s="755">
        <f t="shared" si="65"/>
        <v>0</v>
      </c>
      <c r="BK86" s="333">
        <f>IF(OR($C86&lt;&gt;"Early Retirement",$H86=""),0,IF(AND($G86&lt;&gt;"Air Cooled Chiller",$G86&lt;&gt;"Water Cooled Chiller"),VLOOKUP($H86,'Early Retirement'!$CI$6:$CL$33,2,FALSE),IF($J86&lt;&gt;"Centrifugal",VLOOKUP($H86,'Early Retirement'!$CI$6:$CL$33,3,FALSE),IF($J86="Centrifugal",VLOOKUP($H86,'Early Retirement'!$CI$6:$CL$33,4,FALSE),""))))</f>
        <v>0</v>
      </c>
      <c r="BL86" s="450">
        <f t="shared" si="53"/>
        <v>0</v>
      </c>
      <c r="BM86" s="553">
        <f>IFERROR('Utility Admin'!$I$4*((1+'Utility Admin'!$G$4)/('Utility Admin'!$H$4-'Utility Admin'!$G$4))*(1-((1+'Utility Admin'!$G$4)/(1+'Utility Admin'!$H$4))^$BK86)*$BG86,0)</f>
        <v>0</v>
      </c>
      <c r="BN86" s="553">
        <f>IFERROR('Utility Admin'!$I$4*((1+'Utility Admin'!$G$4)/('Utility Admin'!$H$4-'Utility Admin'!$G$4))*(1-((1+'Utility Admin'!$G$4)/(1+'Utility Admin'!$H$4))^$BL86)*((1+'Utility Admin'!$G$4)^$BK86/(1+'Utility Admin'!$H$4)^$BK86)*$BC86,0)</f>
        <v>0</v>
      </c>
      <c r="BO86" s="553">
        <f t="shared" si="27"/>
        <v>0</v>
      </c>
      <c r="BP86" s="553">
        <f>IFERROR('Utility Admin'!$J$4*((1+'Utility Admin'!$G$4)/('Utility Admin'!$H$4-'Utility Admin'!$G$4))*(1-((1+'Utility Admin'!$G$4)/(1+'Utility Admin'!$H$4))^$BK86)*$BJ86,0)</f>
        <v>0</v>
      </c>
      <c r="BQ86" s="553">
        <f>IFERROR('Utility Admin'!$J$4*((1+'Utility Admin'!$G$4)/('Utility Admin'!$H$4-'Utility Admin'!$G$4))*(1-((1+'Utility Admin'!$G$4)/(1+'Utility Admin'!$H$4))^$BL86)*((1+'Utility Admin'!$G$4)^$BK86/(1+'Utility Admin'!$H$4)^$BK86)*$BF86,0)</f>
        <v>0</v>
      </c>
      <c r="BR86" s="553">
        <f t="shared" si="28"/>
        <v>0</v>
      </c>
      <c r="BS86" s="553">
        <f>IFERROR('Utility Admin'!$I$4*((1+'Utility Admin'!$G$4)/('Utility Admin'!$H$4-'Utility Admin'!$G$4))*(1-((1+'Utility Admin'!$G$4)/(1+'Utility Admin'!$H$4))^$AT86),0)</f>
        <v>0</v>
      </c>
      <c r="BT86" s="553">
        <f>IFERROR('Utility Admin'!$J$4*((1+'Utility Admin'!$G$4)/('Utility Admin'!$H$4-'Utility Admin'!$G$4))*(1-((1+'Utility Admin'!$G$4)/(1+'Utility Admin'!$H$4))^$AT86),0)</f>
        <v>0</v>
      </c>
      <c r="BU86" s="459">
        <f t="shared" si="66"/>
        <v>0</v>
      </c>
      <c r="BV86" s="462">
        <f t="shared" si="67"/>
        <v>0</v>
      </c>
      <c r="BW86" s="219" t="str">
        <f t="shared" si="54"/>
        <v/>
      </c>
      <c r="BX86" s="250" t="str">
        <f t="shared" si="68"/>
        <v/>
      </c>
      <c r="BY86" s="250" t="str">
        <f t="shared" si="55"/>
        <v/>
      </c>
      <c r="BZ86" s="184">
        <f t="shared" si="69"/>
        <v>0</v>
      </c>
      <c r="CA86" s="693">
        <f t="shared" si="70"/>
        <v>0</v>
      </c>
      <c r="CB86" s="836">
        <f t="shared" si="71"/>
        <v>0</v>
      </c>
      <c r="CC86" s="693">
        <f>IF(AND($C86="Early Retirement",$H86&lt;&gt;"",$R86&lt;&gt;"",$T86&lt;&gt;""),$BZ86,Baselines!$CJ79)</f>
        <v>0</v>
      </c>
      <c r="CD86" s="693">
        <f>IF(AND($C86="Early Retirement",$H86&lt;&gt;"",$R86&lt;&gt;"",$T86&lt;&gt;""),$CA86,Baselines!$CK79)</f>
        <v>0</v>
      </c>
      <c r="CE86" s="182" t="str">
        <f>Baselines!$CL79</f>
        <v>kW/ton</v>
      </c>
      <c r="CF86" s="850" t="str">
        <f t="shared" si="56"/>
        <v/>
      </c>
      <c r="CG86" s="833">
        <f>IF(AND($C86="Early Retirement",$H86&lt;&gt;"",$R86&lt;&gt;"",$T86&lt;&gt;""),$CB86,IF(AND(Baselines!$CM79=0,OR($CL86="DX HP",$CL86="PTHP")),$BB86,Baselines!$CM79))</f>
        <v>0</v>
      </c>
      <c r="CH86" s="830" t="s">
        <v>567</v>
      </c>
      <c r="CI86" s="185" t="str">
        <f>IF(OR($C86="Replace-on-Burnout",$C86="New Construction"),$CT86,IF($BW86="","",VLOOKUP($D86,'Factor Tables'!$B$165:$H$192,MATCH($BW86,'Factor Tables'!$B$164:$H$164,0),FALSE)))</f>
        <v/>
      </c>
      <c r="CJ86" s="842" t="str">
        <f>IF(OR($C86="Replace-on-Burnout",$C86="New Construction"),$CU86,IF($BW86="","",IF($BW86="DX HP",VLOOKUP($D86,'Factor Tables'!$I$165:$Q$192,MATCH("DX HP Clg",'Factor Tables'!$I$164:$Q$164,0),FALSE),IF($BW86="PTHP",VLOOKUP($D86,'Factor Tables'!$I$165:$Q$192,MATCH("PTHP Clg",'Factor Tables'!$I$164:$Q$164,0),FALSE),IF(AND($BW86&lt;&gt;"DX HP",$BW86&lt;&gt;"PTHP"),VLOOKUP($D86,'Factor Tables'!$I$165:$Q$192,MATCH($BW86,'Factor Tables'!$I$164:$Q$164,0),FALSE),"")))))</f>
        <v/>
      </c>
      <c r="CK86" s="186" t="str">
        <f>IF(OR($C86="Replace-on-Burnout",$C86="New Construction",$CL86="DX HP",$CL86="PTHP"),$CV86,IF($BW86="","",IF($BW86="DX HP",VLOOKUP($D86,'Factor Tables'!$I$165:$Q$192,MATCH("DX HP Htg",'Factor Tables'!$I$164:$Q$164,0),FALSE),IF($BW86="PTHP",VLOOKUP($D86,'Factor Tables'!$I$165:$Q$192,MATCH("PTHP Htg",'Factor Tables'!$I$164:$Q$164,0),FALSE),0))))</f>
        <v/>
      </c>
      <c r="CL86" s="187" t="str">
        <f t="shared" si="57"/>
        <v/>
      </c>
      <c r="CM86" s="251" t="str">
        <f t="shared" si="58"/>
        <v/>
      </c>
      <c r="CN86" s="184">
        <f t="shared" si="72"/>
        <v>0</v>
      </c>
      <c r="CO86" s="693">
        <f t="shared" si="73"/>
        <v>0</v>
      </c>
      <c r="CP86" s="182" t="s">
        <v>46</v>
      </c>
      <c r="CQ86" s="852" t="str">
        <f t="shared" si="74"/>
        <v/>
      </c>
      <c r="CR86" s="833">
        <f t="shared" si="75"/>
        <v>0</v>
      </c>
      <c r="CS86" s="830" t="s">
        <v>567</v>
      </c>
      <c r="CT86" s="185" t="str">
        <f>IF($CL86="","",VLOOKUP($D86,'Factor Tables'!$B$165:$H$192,MATCH($CL86,'Factor Tables'!$B$164:$H$164,0),FALSE))</f>
        <v/>
      </c>
      <c r="CU86" s="842" t="str">
        <f>IF($CL86="","",IF(AND($CL86&lt;&gt;"DX HP",$CL86&lt;&gt;"PTHP"),VLOOKUP($D86,'Factor Tables'!$I$165:$Q$192,MATCH($CL86,'Factor Tables'!$I$164:$Q$164,0),FALSE),IF($CL86="DX HP",VLOOKUP($D86,'Factor Tables'!$I$165:$Q$192,MATCH("DX HP Clg",'Factor Tables'!$I$164:$Q$164,0),FALSE),IF($CL86="PTHP",VLOOKUP($D86,'Factor Tables'!$I$165:$Q$192,MATCH("PTHP Clg",'Factor Tables'!$I$164:$Q$164,0),FALSE),""))))</f>
        <v/>
      </c>
      <c r="CV86" s="186" t="str">
        <f>IF($CL86="","",IF(AND($CL86&lt;&gt;"DX HP",$CL86&lt;&gt;"PTHP"),0,IF($CL86="DX HP",VLOOKUP($D86,'Factor Tables'!$I$165:$Q$192,MATCH("DX HP Htg",'Factor Tables'!$I$164:$Q$164,0),FALSE),IF($CL86="PTHP",VLOOKUP($D86,'Factor Tables'!$I$165:$Q$192,MATCH("PTHP Htg",'Factor Tables'!$I$164:$Q$164,0),FALSE),""))))</f>
        <v/>
      </c>
      <c r="DD86" s="77" t="s">
        <v>44</v>
      </c>
      <c r="DE86" s="426"/>
      <c r="DI86" s="425"/>
      <c r="DJ86" s="425"/>
      <c r="DK86" s="425"/>
      <c r="DL86" s="425"/>
      <c r="DM86" s="493" t="s">
        <v>478</v>
      </c>
    </row>
    <row r="87" spans="2:117" s="427" customFormat="1" ht="21.95" customHeight="1" x14ac:dyDescent="0.25">
      <c r="B87" s="432">
        <v>78</v>
      </c>
      <c r="C87" s="499" t="str">
        <f t="shared" si="59"/>
        <v/>
      </c>
      <c r="D87" s="403" t="str">
        <f t="shared" si="60"/>
        <v/>
      </c>
      <c r="E87" s="541"/>
      <c r="F87" s="785"/>
      <c r="G87" s="728"/>
      <c r="H87" s="728"/>
      <c r="I87" s="728"/>
      <c r="J87" s="728"/>
      <c r="K87" s="728"/>
      <c r="L87" s="728"/>
      <c r="M87" s="764"/>
      <c r="N87" s="728"/>
      <c r="O87" s="764"/>
      <c r="P87" s="728"/>
      <c r="Q87" s="1142"/>
      <c r="R87" s="1133"/>
      <c r="S87" s="778"/>
      <c r="T87" s="767"/>
      <c r="U87" s="778"/>
      <c r="V87" s="751"/>
      <c r="W87" s="556"/>
      <c r="X87" s="785"/>
      <c r="Y87" s="542"/>
      <c r="Z87" s="500"/>
      <c r="AA87" s="500"/>
      <c r="AB87" s="500"/>
      <c r="AC87" s="500"/>
      <c r="AD87" s="529"/>
      <c r="AE87" s="527">
        <f t="shared" si="39"/>
        <v>0</v>
      </c>
      <c r="AF87" s="527">
        <f t="shared" si="61"/>
        <v>0</v>
      </c>
      <c r="AG87" s="527">
        <f t="shared" si="41"/>
        <v>0</v>
      </c>
      <c r="AH87" s="527">
        <f t="shared" si="42"/>
        <v>0</v>
      </c>
      <c r="AI87" s="527">
        <f t="shared" si="43"/>
        <v>0</v>
      </c>
      <c r="AJ87" s="527">
        <f t="shared" si="44"/>
        <v>999999999</v>
      </c>
      <c r="AK87" s="530"/>
      <c r="AL87" s="776"/>
      <c r="AM87" s="777"/>
      <c r="AN87" s="500"/>
      <c r="AO87" s="778"/>
      <c r="AP87" s="778"/>
      <c r="AQ87" s="500"/>
      <c r="AR87" s="531"/>
      <c r="AS87" s="403"/>
      <c r="AT87" s="524" t="str">
        <f t="shared" si="45"/>
        <v/>
      </c>
      <c r="AU87" s="311">
        <f t="shared" si="46"/>
        <v>0</v>
      </c>
      <c r="AV87" s="288">
        <f t="shared" si="62"/>
        <v>0</v>
      </c>
      <c r="AW87" s="290">
        <f>IF(ISERROR($AU87*'Utility Admin'!$E$4+$AV87*'Utility Admin'!$F$4),0,$AU87*'Utility Admin'!$E$4+$AV87*'Utility Admin'!$F$4)</f>
        <v>0</v>
      </c>
      <c r="AX87" s="323" t="str">
        <f t="shared" si="47"/>
        <v/>
      </c>
      <c r="AY87" s="322" t="str">
        <f t="shared" si="23"/>
        <v/>
      </c>
      <c r="AZ87" s="319">
        <f>Baselines!$CJ331</f>
        <v>0</v>
      </c>
      <c r="BA87" s="735">
        <f>Baselines!$CK331</f>
        <v>0</v>
      </c>
      <c r="BB87" s="839">
        <f>Baselines!$CM331</f>
        <v>0</v>
      </c>
      <c r="BC87" s="466">
        <f t="shared" si="48"/>
        <v>0</v>
      </c>
      <c r="BD87" s="464">
        <f t="shared" si="63"/>
        <v>0</v>
      </c>
      <c r="BE87" s="755">
        <f t="shared" si="49"/>
        <v>0</v>
      </c>
      <c r="BF87" s="755">
        <f t="shared" si="64"/>
        <v>0</v>
      </c>
      <c r="BG87" s="466">
        <f t="shared" si="50"/>
        <v>0</v>
      </c>
      <c r="BH87" s="464">
        <f t="shared" si="51"/>
        <v>0</v>
      </c>
      <c r="BI87" s="755">
        <f t="shared" si="52"/>
        <v>0</v>
      </c>
      <c r="BJ87" s="755">
        <f t="shared" si="65"/>
        <v>0</v>
      </c>
      <c r="BK87" s="333">
        <f>IF(OR($C87&lt;&gt;"Early Retirement",$H87=""),0,IF(AND($G87&lt;&gt;"Air Cooled Chiller",$G87&lt;&gt;"Water Cooled Chiller"),VLOOKUP($H87,'Early Retirement'!$CI$6:$CL$33,2,FALSE),IF($J87&lt;&gt;"Centrifugal",VLOOKUP($H87,'Early Retirement'!$CI$6:$CL$33,3,FALSE),IF($J87="Centrifugal",VLOOKUP($H87,'Early Retirement'!$CI$6:$CL$33,4,FALSE),""))))</f>
        <v>0</v>
      </c>
      <c r="BL87" s="450">
        <f t="shared" si="53"/>
        <v>0</v>
      </c>
      <c r="BM87" s="553">
        <f>IFERROR('Utility Admin'!$I$4*((1+'Utility Admin'!$G$4)/('Utility Admin'!$H$4-'Utility Admin'!$G$4))*(1-((1+'Utility Admin'!$G$4)/(1+'Utility Admin'!$H$4))^$BK87)*$BG87,0)</f>
        <v>0</v>
      </c>
      <c r="BN87" s="553">
        <f>IFERROR('Utility Admin'!$I$4*((1+'Utility Admin'!$G$4)/('Utility Admin'!$H$4-'Utility Admin'!$G$4))*(1-((1+'Utility Admin'!$G$4)/(1+'Utility Admin'!$H$4))^$BL87)*((1+'Utility Admin'!$G$4)^$BK87/(1+'Utility Admin'!$H$4)^$BK87)*$BC87,0)</f>
        <v>0</v>
      </c>
      <c r="BO87" s="553">
        <f t="shared" si="27"/>
        <v>0</v>
      </c>
      <c r="BP87" s="553">
        <f>IFERROR('Utility Admin'!$J$4*((1+'Utility Admin'!$G$4)/('Utility Admin'!$H$4-'Utility Admin'!$G$4))*(1-((1+'Utility Admin'!$G$4)/(1+'Utility Admin'!$H$4))^$BK87)*$BJ87,0)</f>
        <v>0</v>
      </c>
      <c r="BQ87" s="553">
        <f>IFERROR('Utility Admin'!$J$4*((1+'Utility Admin'!$G$4)/('Utility Admin'!$H$4-'Utility Admin'!$G$4))*(1-((1+'Utility Admin'!$G$4)/(1+'Utility Admin'!$H$4))^$BL87)*((1+'Utility Admin'!$G$4)^$BK87/(1+'Utility Admin'!$H$4)^$BK87)*$BF87,0)</f>
        <v>0</v>
      </c>
      <c r="BR87" s="553">
        <f t="shared" si="28"/>
        <v>0</v>
      </c>
      <c r="BS87" s="553">
        <f>IFERROR('Utility Admin'!$I$4*((1+'Utility Admin'!$G$4)/('Utility Admin'!$H$4-'Utility Admin'!$G$4))*(1-((1+'Utility Admin'!$G$4)/(1+'Utility Admin'!$H$4))^$AT87),0)</f>
        <v>0</v>
      </c>
      <c r="BT87" s="553">
        <f>IFERROR('Utility Admin'!$J$4*((1+'Utility Admin'!$G$4)/('Utility Admin'!$H$4-'Utility Admin'!$G$4))*(1-((1+'Utility Admin'!$G$4)/(1+'Utility Admin'!$H$4))^$AT87),0)</f>
        <v>0</v>
      </c>
      <c r="BU87" s="459">
        <f t="shared" si="66"/>
        <v>0</v>
      </c>
      <c r="BV87" s="462">
        <f t="shared" si="67"/>
        <v>0</v>
      </c>
      <c r="BW87" s="219" t="str">
        <f t="shared" si="54"/>
        <v/>
      </c>
      <c r="BX87" s="250" t="str">
        <f t="shared" si="68"/>
        <v/>
      </c>
      <c r="BY87" s="250" t="str">
        <f t="shared" si="55"/>
        <v/>
      </c>
      <c r="BZ87" s="184">
        <f t="shared" si="69"/>
        <v>0</v>
      </c>
      <c r="CA87" s="693">
        <f t="shared" si="70"/>
        <v>0</v>
      </c>
      <c r="CB87" s="836">
        <f t="shared" si="71"/>
        <v>0</v>
      </c>
      <c r="CC87" s="693">
        <f>IF(AND($C87="Early Retirement",$H87&lt;&gt;"",$R87&lt;&gt;"",$T87&lt;&gt;""),$BZ87,Baselines!$CJ80)</f>
        <v>0</v>
      </c>
      <c r="CD87" s="693">
        <f>IF(AND($C87="Early Retirement",$H87&lt;&gt;"",$R87&lt;&gt;"",$T87&lt;&gt;""),$CA87,Baselines!$CK80)</f>
        <v>0</v>
      </c>
      <c r="CE87" s="182" t="str">
        <f>Baselines!$CL80</f>
        <v>kW/ton</v>
      </c>
      <c r="CF87" s="850" t="str">
        <f t="shared" si="56"/>
        <v/>
      </c>
      <c r="CG87" s="833">
        <f>IF(AND($C87="Early Retirement",$H87&lt;&gt;"",$R87&lt;&gt;"",$T87&lt;&gt;""),$CB87,IF(AND(Baselines!$CM80=0,OR($CL87="DX HP",$CL87="PTHP")),$BB87,Baselines!$CM80))</f>
        <v>0</v>
      </c>
      <c r="CH87" s="830" t="s">
        <v>567</v>
      </c>
      <c r="CI87" s="185" t="str">
        <f>IF(OR($C87="Replace-on-Burnout",$C87="New Construction"),$CT87,IF($BW87="","",VLOOKUP($D87,'Factor Tables'!$B$165:$H$192,MATCH($BW87,'Factor Tables'!$B$164:$H$164,0),FALSE)))</f>
        <v/>
      </c>
      <c r="CJ87" s="842" t="str">
        <f>IF(OR($C87="Replace-on-Burnout",$C87="New Construction"),$CU87,IF($BW87="","",IF($BW87="DX HP",VLOOKUP($D87,'Factor Tables'!$I$165:$Q$192,MATCH("DX HP Clg",'Factor Tables'!$I$164:$Q$164,0),FALSE),IF($BW87="PTHP",VLOOKUP($D87,'Factor Tables'!$I$165:$Q$192,MATCH("PTHP Clg",'Factor Tables'!$I$164:$Q$164,0),FALSE),IF(AND($BW87&lt;&gt;"DX HP",$BW87&lt;&gt;"PTHP"),VLOOKUP($D87,'Factor Tables'!$I$165:$Q$192,MATCH($BW87,'Factor Tables'!$I$164:$Q$164,0),FALSE),"")))))</f>
        <v/>
      </c>
      <c r="CK87" s="186" t="str">
        <f>IF(OR($C87="Replace-on-Burnout",$C87="New Construction",$CL87="DX HP",$CL87="PTHP"),$CV87,IF($BW87="","",IF($BW87="DX HP",VLOOKUP($D87,'Factor Tables'!$I$165:$Q$192,MATCH("DX HP Htg",'Factor Tables'!$I$164:$Q$164,0),FALSE),IF($BW87="PTHP",VLOOKUP($D87,'Factor Tables'!$I$165:$Q$192,MATCH("PTHP Htg",'Factor Tables'!$I$164:$Q$164,0),FALSE),0))))</f>
        <v/>
      </c>
      <c r="CL87" s="187" t="str">
        <f t="shared" si="57"/>
        <v/>
      </c>
      <c r="CM87" s="251" t="str">
        <f t="shared" si="58"/>
        <v/>
      </c>
      <c r="CN87" s="184">
        <f t="shared" si="72"/>
        <v>0</v>
      </c>
      <c r="CO87" s="693">
        <f t="shared" si="73"/>
        <v>0</v>
      </c>
      <c r="CP87" s="182" t="s">
        <v>46</v>
      </c>
      <c r="CQ87" s="852" t="str">
        <f t="shared" si="74"/>
        <v/>
      </c>
      <c r="CR87" s="833">
        <f t="shared" si="75"/>
        <v>0</v>
      </c>
      <c r="CS87" s="830" t="s">
        <v>567</v>
      </c>
      <c r="CT87" s="185" t="str">
        <f>IF($CL87="","",VLOOKUP($D87,'Factor Tables'!$B$165:$H$192,MATCH($CL87,'Factor Tables'!$B$164:$H$164,0),FALSE))</f>
        <v/>
      </c>
      <c r="CU87" s="842" t="str">
        <f>IF($CL87="","",IF(AND($CL87&lt;&gt;"DX HP",$CL87&lt;&gt;"PTHP"),VLOOKUP($D87,'Factor Tables'!$I$165:$Q$192,MATCH($CL87,'Factor Tables'!$I$164:$Q$164,0),FALSE),IF($CL87="DX HP",VLOOKUP($D87,'Factor Tables'!$I$165:$Q$192,MATCH("DX HP Clg",'Factor Tables'!$I$164:$Q$164,0),FALSE),IF($CL87="PTHP",VLOOKUP($D87,'Factor Tables'!$I$165:$Q$192,MATCH("PTHP Clg",'Factor Tables'!$I$164:$Q$164,0),FALSE),""))))</f>
        <v/>
      </c>
      <c r="CV87" s="186" t="str">
        <f>IF($CL87="","",IF(AND($CL87&lt;&gt;"DX HP",$CL87&lt;&gt;"PTHP"),0,IF($CL87="DX HP",VLOOKUP($D87,'Factor Tables'!$I$165:$Q$192,MATCH("DX HP Htg",'Factor Tables'!$I$164:$Q$164,0),FALSE),IF($CL87="PTHP",VLOOKUP($D87,'Factor Tables'!$I$165:$Q$192,MATCH("PTHP Htg",'Factor Tables'!$I$164:$Q$164,0),FALSE),""))))</f>
        <v/>
      </c>
      <c r="DD87" s="77" t="s">
        <v>43</v>
      </c>
      <c r="DE87" s="426"/>
      <c r="DI87" s="425"/>
      <c r="DJ87" s="425"/>
      <c r="DK87" s="425"/>
      <c r="DL87" s="425"/>
      <c r="DM87" s="493" t="s">
        <v>478</v>
      </c>
    </row>
    <row r="88" spans="2:117" s="427" customFormat="1" ht="21.95" customHeight="1" x14ac:dyDescent="0.25">
      <c r="B88" s="431">
        <v>79</v>
      </c>
      <c r="C88" s="501" t="str">
        <f t="shared" si="59"/>
        <v/>
      </c>
      <c r="D88" s="502" t="str">
        <f t="shared" si="60"/>
        <v/>
      </c>
      <c r="E88" s="546"/>
      <c r="F88" s="547"/>
      <c r="G88" s="729"/>
      <c r="H88" s="729"/>
      <c r="I88" s="729"/>
      <c r="J88" s="729"/>
      <c r="K88" s="729"/>
      <c r="L88" s="729"/>
      <c r="M88" s="765"/>
      <c r="N88" s="758"/>
      <c r="O88" s="765"/>
      <c r="P88" s="758"/>
      <c r="Q88" s="1143"/>
      <c r="R88" s="1134"/>
      <c r="S88" s="775"/>
      <c r="T88" s="729"/>
      <c r="U88" s="775"/>
      <c r="V88" s="779"/>
      <c r="W88" s="557"/>
      <c r="X88" s="788"/>
      <c r="Y88" s="543"/>
      <c r="Z88" s="281"/>
      <c r="AA88" s="281"/>
      <c r="AB88" s="281"/>
      <c r="AC88" s="281"/>
      <c r="AD88" s="492"/>
      <c r="AE88" s="527">
        <f t="shared" si="39"/>
        <v>0</v>
      </c>
      <c r="AF88" s="527">
        <f t="shared" si="61"/>
        <v>0</v>
      </c>
      <c r="AG88" s="527">
        <f t="shared" si="41"/>
        <v>0</v>
      </c>
      <c r="AH88" s="527">
        <f t="shared" si="42"/>
        <v>0</v>
      </c>
      <c r="AI88" s="527">
        <f t="shared" si="43"/>
        <v>0</v>
      </c>
      <c r="AJ88" s="527">
        <f t="shared" si="44"/>
        <v>999999999</v>
      </c>
      <c r="AK88" s="471"/>
      <c r="AL88" s="765"/>
      <c r="AM88" s="758"/>
      <c r="AN88" s="281"/>
      <c r="AO88" s="775"/>
      <c r="AP88" s="775"/>
      <c r="AQ88" s="281"/>
      <c r="AR88" s="528"/>
      <c r="AS88" s="532"/>
      <c r="AT88" s="524" t="str">
        <f t="shared" si="45"/>
        <v/>
      </c>
      <c r="AU88" s="311">
        <f t="shared" si="46"/>
        <v>0</v>
      </c>
      <c r="AV88" s="288">
        <f t="shared" si="62"/>
        <v>0</v>
      </c>
      <c r="AW88" s="290">
        <f>IF(ISERROR($AU88*'Utility Admin'!$E$4+$AV88*'Utility Admin'!$F$4),0,$AU88*'Utility Admin'!$E$4+$AV88*'Utility Admin'!$F$4)</f>
        <v>0</v>
      </c>
      <c r="AX88" s="323" t="str">
        <f t="shared" si="47"/>
        <v/>
      </c>
      <c r="AY88" s="322" t="str">
        <f t="shared" si="23"/>
        <v/>
      </c>
      <c r="AZ88" s="319">
        <f>Baselines!$CJ332</f>
        <v>0</v>
      </c>
      <c r="BA88" s="735">
        <f>Baselines!$CK332</f>
        <v>0</v>
      </c>
      <c r="BB88" s="839">
        <f>Baselines!$CM332</f>
        <v>0</v>
      </c>
      <c r="BC88" s="466">
        <f t="shared" si="48"/>
        <v>0</v>
      </c>
      <c r="BD88" s="464">
        <f t="shared" si="63"/>
        <v>0</v>
      </c>
      <c r="BE88" s="755">
        <f t="shared" si="49"/>
        <v>0</v>
      </c>
      <c r="BF88" s="755">
        <f t="shared" si="64"/>
        <v>0</v>
      </c>
      <c r="BG88" s="466">
        <f t="shared" si="50"/>
        <v>0</v>
      </c>
      <c r="BH88" s="464">
        <f t="shared" si="51"/>
        <v>0</v>
      </c>
      <c r="BI88" s="755">
        <f t="shared" si="52"/>
        <v>0</v>
      </c>
      <c r="BJ88" s="755">
        <f t="shared" si="65"/>
        <v>0</v>
      </c>
      <c r="BK88" s="333">
        <f>IF(OR($C88&lt;&gt;"Early Retirement",$H88=""),0,IF(AND($G88&lt;&gt;"Air Cooled Chiller",$G88&lt;&gt;"Water Cooled Chiller"),VLOOKUP($H88,'Early Retirement'!$CI$6:$CL$33,2,FALSE),IF($J88&lt;&gt;"Centrifugal",VLOOKUP($H88,'Early Retirement'!$CI$6:$CL$33,3,FALSE),IF($J88="Centrifugal",VLOOKUP($H88,'Early Retirement'!$CI$6:$CL$33,4,FALSE),""))))</f>
        <v>0</v>
      </c>
      <c r="BL88" s="450">
        <f t="shared" si="53"/>
        <v>0</v>
      </c>
      <c r="BM88" s="553">
        <f>IFERROR('Utility Admin'!$I$4*((1+'Utility Admin'!$G$4)/('Utility Admin'!$H$4-'Utility Admin'!$G$4))*(1-((1+'Utility Admin'!$G$4)/(1+'Utility Admin'!$H$4))^$BK88)*$BG88,0)</f>
        <v>0</v>
      </c>
      <c r="BN88" s="553">
        <f>IFERROR('Utility Admin'!$I$4*((1+'Utility Admin'!$G$4)/('Utility Admin'!$H$4-'Utility Admin'!$G$4))*(1-((1+'Utility Admin'!$G$4)/(1+'Utility Admin'!$H$4))^$BL88)*((1+'Utility Admin'!$G$4)^$BK88/(1+'Utility Admin'!$H$4)^$BK88)*$BC88,0)</f>
        <v>0</v>
      </c>
      <c r="BO88" s="553">
        <f t="shared" si="27"/>
        <v>0</v>
      </c>
      <c r="BP88" s="553">
        <f>IFERROR('Utility Admin'!$J$4*((1+'Utility Admin'!$G$4)/('Utility Admin'!$H$4-'Utility Admin'!$G$4))*(1-((1+'Utility Admin'!$G$4)/(1+'Utility Admin'!$H$4))^$BK88)*$BJ88,0)</f>
        <v>0</v>
      </c>
      <c r="BQ88" s="553">
        <f>IFERROR('Utility Admin'!$J$4*((1+'Utility Admin'!$G$4)/('Utility Admin'!$H$4-'Utility Admin'!$G$4))*(1-((1+'Utility Admin'!$G$4)/(1+'Utility Admin'!$H$4))^$BL88)*((1+'Utility Admin'!$G$4)^$BK88/(1+'Utility Admin'!$H$4)^$BK88)*$BF88,0)</f>
        <v>0</v>
      </c>
      <c r="BR88" s="553">
        <f t="shared" si="28"/>
        <v>0</v>
      </c>
      <c r="BS88" s="553">
        <f>IFERROR('Utility Admin'!$I$4*((1+'Utility Admin'!$G$4)/('Utility Admin'!$H$4-'Utility Admin'!$G$4))*(1-((1+'Utility Admin'!$G$4)/(1+'Utility Admin'!$H$4))^$AT88),0)</f>
        <v>0</v>
      </c>
      <c r="BT88" s="553">
        <f>IFERROR('Utility Admin'!$J$4*((1+'Utility Admin'!$G$4)/('Utility Admin'!$H$4-'Utility Admin'!$G$4))*(1-((1+'Utility Admin'!$G$4)/(1+'Utility Admin'!$H$4))^$AT88),0)</f>
        <v>0</v>
      </c>
      <c r="BU88" s="459">
        <f t="shared" si="66"/>
        <v>0</v>
      </c>
      <c r="BV88" s="462">
        <f t="shared" si="67"/>
        <v>0</v>
      </c>
      <c r="BW88" s="219" t="str">
        <f t="shared" si="54"/>
        <v/>
      </c>
      <c r="BX88" s="250" t="str">
        <f t="shared" si="68"/>
        <v/>
      </c>
      <c r="BY88" s="250" t="str">
        <f t="shared" si="55"/>
        <v/>
      </c>
      <c r="BZ88" s="184">
        <f t="shared" si="69"/>
        <v>0</v>
      </c>
      <c r="CA88" s="693">
        <f t="shared" si="70"/>
        <v>0</v>
      </c>
      <c r="CB88" s="836">
        <f t="shared" si="71"/>
        <v>0</v>
      </c>
      <c r="CC88" s="693">
        <f>IF(AND($C88="Early Retirement",$H88&lt;&gt;"",$R88&lt;&gt;"",$T88&lt;&gt;""),$BZ88,Baselines!$CJ81)</f>
        <v>0</v>
      </c>
      <c r="CD88" s="693">
        <f>IF(AND($C88="Early Retirement",$H88&lt;&gt;"",$R88&lt;&gt;"",$T88&lt;&gt;""),$CA88,Baselines!$CK81)</f>
        <v>0</v>
      </c>
      <c r="CE88" s="182" t="str">
        <f>Baselines!$CL81</f>
        <v>kW/ton</v>
      </c>
      <c r="CF88" s="850" t="str">
        <f t="shared" si="56"/>
        <v/>
      </c>
      <c r="CG88" s="833">
        <f>IF(AND($C88="Early Retirement",$H88&lt;&gt;"",$R88&lt;&gt;"",$T88&lt;&gt;""),$CB88,IF(AND(Baselines!$CM81=0,OR($CL88="DX HP",$CL88="PTHP")),$BB88,Baselines!$CM81))</f>
        <v>0</v>
      </c>
      <c r="CH88" s="830" t="s">
        <v>567</v>
      </c>
      <c r="CI88" s="185" t="str">
        <f>IF(OR($C88="Replace-on-Burnout",$C88="New Construction"),$CT88,IF($BW88="","",VLOOKUP($D88,'Factor Tables'!$B$165:$H$192,MATCH($BW88,'Factor Tables'!$B$164:$H$164,0),FALSE)))</f>
        <v/>
      </c>
      <c r="CJ88" s="842" t="str">
        <f>IF(OR($C88="Replace-on-Burnout",$C88="New Construction"),$CU88,IF($BW88="","",IF($BW88="DX HP",VLOOKUP($D88,'Factor Tables'!$I$165:$Q$192,MATCH("DX HP Clg",'Factor Tables'!$I$164:$Q$164,0),FALSE),IF($BW88="PTHP",VLOOKUP($D88,'Factor Tables'!$I$165:$Q$192,MATCH("PTHP Clg",'Factor Tables'!$I$164:$Q$164,0),FALSE),IF(AND($BW88&lt;&gt;"DX HP",$BW88&lt;&gt;"PTHP"),VLOOKUP($D88,'Factor Tables'!$I$165:$Q$192,MATCH($BW88,'Factor Tables'!$I$164:$Q$164,0),FALSE),"")))))</f>
        <v/>
      </c>
      <c r="CK88" s="186" t="str">
        <f>IF(OR($C88="Replace-on-Burnout",$C88="New Construction",$CL88="DX HP",$CL88="PTHP"),$CV88,IF($BW88="","",IF($BW88="DX HP",VLOOKUP($D88,'Factor Tables'!$I$165:$Q$192,MATCH("DX HP Htg",'Factor Tables'!$I$164:$Q$164,0),FALSE),IF($BW88="PTHP",VLOOKUP($D88,'Factor Tables'!$I$165:$Q$192,MATCH("PTHP Htg",'Factor Tables'!$I$164:$Q$164,0),FALSE),0))))</f>
        <v/>
      </c>
      <c r="CL88" s="187" t="str">
        <f t="shared" si="57"/>
        <v/>
      </c>
      <c r="CM88" s="251" t="str">
        <f t="shared" si="58"/>
        <v/>
      </c>
      <c r="CN88" s="184">
        <f t="shared" si="72"/>
        <v>0</v>
      </c>
      <c r="CO88" s="693">
        <f t="shared" si="73"/>
        <v>0</v>
      </c>
      <c r="CP88" s="182" t="s">
        <v>46</v>
      </c>
      <c r="CQ88" s="852" t="str">
        <f t="shared" si="74"/>
        <v/>
      </c>
      <c r="CR88" s="833">
        <f t="shared" si="75"/>
        <v>0</v>
      </c>
      <c r="CS88" s="830" t="s">
        <v>567</v>
      </c>
      <c r="CT88" s="185" t="str">
        <f>IF($CL88="","",VLOOKUP($D88,'Factor Tables'!$B$165:$H$192,MATCH($CL88,'Factor Tables'!$B$164:$H$164,0),FALSE))</f>
        <v/>
      </c>
      <c r="CU88" s="842" t="str">
        <f>IF($CL88="","",IF(AND($CL88&lt;&gt;"DX HP",$CL88&lt;&gt;"PTHP"),VLOOKUP($D88,'Factor Tables'!$I$165:$Q$192,MATCH($CL88,'Factor Tables'!$I$164:$Q$164,0),FALSE),IF($CL88="DX HP",VLOOKUP($D88,'Factor Tables'!$I$165:$Q$192,MATCH("DX HP Clg",'Factor Tables'!$I$164:$Q$164,0),FALSE),IF($CL88="PTHP",VLOOKUP($D88,'Factor Tables'!$I$165:$Q$192,MATCH("PTHP Clg",'Factor Tables'!$I$164:$Q$164,0),FALSE),""))))</f>
        <v/>
      </c>
      <c r="CV88" s="186" t="str">
        <f>IF($CL88="","",IF(AND($CL88&lt;&gt;"DX HP",$CL88&lt;&gt;"PTHP"),0,IF($CL88="DX HP",VLOOKUP($D88,'Factor Tables'!$I$165:$Q$192,MATCH("DX HP Htg",'Factor Tables'!$I$164:$Q$164,0),FALSE),IF($CL88="PTHP",VLOOKUP($D88,'Factor Tables'!$I$165:$Q$192,MATCH("PTHP Htg",'Factor Tables'!$I$164:$Q$164,0),FALSE),""))))</f>
        <v/>
      </c>
      <c r="DD88" s="194" t="s">
        <v>53</v>
      </c>
      <c r="DE88" s="426"/>
      <c r="DI88" s="425"/>
      <c r="DJ88" s="425"/>
      <c r="DK88" s="425"/>
      <c r="DL88" s="425"/>
      <c r="DM88" s="493" t="s">
        <v>478</v>
      </c>
    </row>
    <row r="89" spans="2:117" s="427" customFormat="1" ht="21.95" customHeight="1" x14ac:dyDescent="0.25">
      <c r="B89" s="432">
        <v>80</v>
      </c>
      <c r="C89" s="499" t="str">
        <f t="shared" si="59"/>
        <v/>
      </c>
      <c r="D89" s="403" t="str">
        <f t="shared" si="60"/>
        <v/>
      </c>
      <c r="E89" s="541"/>
      <c r="F89" s="785"/>
      <c r="G89" s="728"/>
      <c r="H89" s="728"/>
      <c r="I89" s="728"/>
      <c r="J89" s="728"/>
      <c r="K89" s="728"/>
      <c r="L89" s="728"/>
      <c r="M89" s="764"/>
      <c r="N89" s="728"/>
      <c r="O89" s="764"/>
      <c r="P89" s="728"/>
      <c r="Q89" s="1142"/>
      <c r="R89" s="1133"/>
      <c r="S89" s="778"/>
      <c r="T89" s="767"/>
      <c r="U89" s="778"/>
      <c r="V89" s="751"/>
      <c r="W89" s="556"/>
      <c r="X89" s="785"/>
      <c r="Y89" s="542"/>
      <c r="Z89" s="500"/>
      <c r="AA89" s="500"/>
      <c r="AB89" s="500"/>
      <c r="AC89" s="500"/>
      <c r="AD89" s="529"/>
      <c r="AE89" s="527">
        <f t="shared" si="39"/>
        <v>0</v>
      </c>
      <c r="AF89" s="527">
        <f t="shared" si="61"/>
        <v>0</v>
      </c>
      <c r="AG89" s="527">
        <f t="shared" si="41"/>
        <v>0</v>
      </c>
      <c r="AH89" s="527">
        <f t="shared" si="42"/>
        <v>0</v>
      </c>
      <c r="AI89" s="527">
        <f t="shared" si="43"/>
        <v>0</v>
      </c>
      <c r="AJ89" s="527">
        <f t="shared" si="44"/>
        <v>999999999</v>
      </c>
      <c r="AK89" s="530"/>
      <c r="AL89" s="776"/>
      <c r="AM89" s="777"/>
      <c r="AN89" s="500"/>
      <c r="AO89" s="778"/>
      <c r="AP89" s="778"/>
      <c r="AQ89" s="500"/>
      <c r="AR89" s="531"/>
      <c r="AS89" s="403"/>
      <c r="AT89" s="524" t="str">
        <f t="shared" si="45"/>
        <v/>
      </c>
      <c r="AU89" s="311">
        <f t="shared" si="46"/>
        <v>0</v>
      </c>
      <c r="AV89" s="288">
        <f t="shared" si="62"/>
        <v>0</v>
      </c>
      <c r="AW89" s="290">
        <f>IF(ISERROR($AU89*'Utility Admin'!$E$4+$AV89*'Utility Admin'!$F$4),0,$AU89*'Utility Admin'!$E$4+$AV89*'Utility Admin'!$F$4)</f>
        <v>0</v>
      </c>
      <c r="AX89" s="323" t="str">
        <f t="shared" si="47"/>
        <v/>
      </c>
      <c r="AY89" s="322" t="str">
        <f t="shared" si="23"/>
        <v/>
      </c>
      <c r="AZ89" s="319">
        <f>Baselines!$CJ333</f>
        <v>0</v>
      </c>
      <c r="BA89" s="735">
        <f>Baselines!$CK333</f>
        <v>0</v>
      </c>
      <c r="BB89" s="839">
        <f>Baselines!$CM333</f>
        <v>0</v>
      </c>
      <c r="BC89" s="466">
        <f t="shared" si="48"/>
        <v>0</v>
      </c>
      <c r="BD89" s="464">
        <f t="shared" si="63"/>
        <v>0</v>
      </c>
      <c r="BE89" s="755">
        <f t="shared" si="49"/>
        <v>0</v>
      </c>
      <c r="BF89" s="755">
        <f t="shared" si="64"/>
        <v>0</v>
      </c>
      <c r="BG89" s="466">
        <f t="shared" si="50"/>
        <v>0</v>
      </c>
      <c r="BH89" s="464">
        <f t="shared" si="51"/>
        <v>0</v>
      </c>
      <c r="BI89" s="755">
        <f t="shared" si="52"/>
        <v>0</v>
      </c>
      <c r="BJ89" s="755">
        <f t="shared" si="65"/>
        <v>0</v>
      </c>
      <c r="BK89" s="333">
        <f>IF(OR($C89&lt;&gt;"Early Retirement",$H89=""),0,IF(AND($G89&lt;&gt;"Air Cooled Chiller",$G89&lt;&gt;"Water Cooled Chiller"),VLOOKUP($H89,'Early Retirement'!$CI$6:$CL$33,2,FALSE),IF($J89&lt;&gt;"Centrifugal",VLOOKUP($H89,'Early Retirement'!$CI$6:$CL$33,3,FALSE),IF($J89="Centrifugal",VLOOKUP($H89,'Early Retirement'!$CI$6:$CL$33,4,FALSE),""))))</f>
        <v>0</v>
      </c>
      <c r="BL89" s="450">
        <f t="shared" si="53"/>
        <v>0</v>
      </c>
      <c r="BM89" s="553">
        <f>IFERROR('Utility Admin'!$I$4*((1+'Utility Admin'!$G$4)/('Utility Admin'!$H$4-'Utility Admin'!$G$4))*(1-((1+'Utility Admin'!$G$4)/(1+'Utility Admin'!$H$4))^$BK89)*$BG89,0)</f>
        <v>0</v>
      </c>
      <c r="BN89" s="553">
        <f>IFERROR('Utility Admin'!$I$4*((1+'Utility Admin'!$G$4)/('Utility Admin'!$H$4-'Utility Admin'!$G$4))*(1-((1+'Utility Admin'!$G$4)/(1+'Utility Admin'!$H$4))^$BL89)*((1+'Utility Admin'!$G$4)^$BK89/(1+'Utility Admin'!$H$4)^$BK89)*$BC89,0)</f>
        <v>0</v>
      </c>
      <c r="BO89" s="553">
        <f t="shared" si="27"/>
        <v>0</v>
      </c>
      <c r="BP89" s="553">
        <f>IFERROR('Utility Admin'!$J$4*((1+'Utility Admin'!$G$4)/('Utility Admin'!$H$4-'Utility Admin'!$G$4))*(1-((1+'Utility Admin'!$G$4)/(1+'Utility Admin'!$H$4))^$BK89)*$BJ89,0)</f>
        <v>0</v>
      </c>
      <c r="BQ89" s="553">
        <f>IFERROR('Utility Admin'!$J$4*((1+'Utility Admin'!$G$4)/('Utility Admin'!$H$4-'Utility Admin'!$G$4))*(1-((1+'Utility Admin'!$G$4)/(1+'Utility Admin'!$H$4))^$BL89)*((1+'Utility Admin'!$G$4)^$BK89/(1+'Utility Admin'!$H$4)^$BK89)*$BF89,0)</f>
        <v>0</v>
      </c>
      <c r="BR89" s="553">
        <f t="shared" si="28"/>
        <v>0</v>
      </c>
      <c r="BS89" s="553">
        <f>IFERROR('Utility Admin'!$I$4*((1+'Utility Admin'!$G$4)/('Utility Admin'!$H$4-'Utility Admin'!$G$4))*(1-((1+'Utility Admin'!$G$4)/(1+'Utility Admin'!$H$4))^$AT89),0)</f>
        <v>0</v>
      </c>
      <c r="BT89" s="553">
        <f>IFERROR('Utility Admin'!$J$4*((1+'Utility Admin'!$G$4)/('Utility Admin'!$H$4-'Utility Admin'!$G$4))*(1-((1+'Utility Admin'!$G$4)/(1+'Utility Admin'!$H$4))^$AT89),0)</f>
        <v>0</v>
      </c>
      <c r="BU89" s="459">
        <f t="shared" si="66"/>
        <v>0</v>
      </c>
      <c r="BV89" s="462">
        <f t="shared" si="67"/>
        <v>0</v>
      </c>
      <c r="BW89" s="219" t="str">
        <f t="shared" si="54"/>
        <v/>
      </c>
      <c r="BX89" s="250" t="str">
        <f t="shared" si="68"/>
        <v/>
      </c>
      <c r="BY89" s="250" t="str">
        <f t="shared" si="55"/>
        <v/>
      </c>
      <c r="BZ89" s="184">
        <f t="shared" si="69"/>
        <v>0</v>
      </c>
      <c r="CA89" s="693">
        <f t="shared" si="70"/>
        <v>0</v>
      </c>
      <c r="CB89" s="836">
        <f t="shared" si="71"/>
        <v>0</v>
      </c>
      <c r="CC89" s="693">
        <f>IF(AND($C89="Early Retirement",$H89&lt;&gt;"",$R89&lt;&gt;"",$T89&lt;&gt;""),$BZ89,Baselines!$CJ82)</f>
        <v>0</v>
      </c>
      <c r="CD89" s="693">
        <f>IF(AND($C89="Early Retirement",$H89&lt;&gt;"",$R89&lt;&gt;"",$T89&lt;&gt;""),$CA89,Baselines!$CK82)</f>
        <v>0</v>
      </c>
      <c r="CE89" s="182" t="str">
        <f>Baselines!$CL82</f>
        <v>kW/ton</v>
      </c>
      <c r="CF89" s="850" t="str">
        <f t="shared" si="56"/>
        <v/>
      </c>
      <c r="CG89" s="833">
        <f>IF(AND($C89="Early Retirement",$H89&lt;&gt;"",$R89&lt;&gt;"",$T89&lt;&gt;""),$CB89,IF(AND(Baselines!$CM82=0,OR($CL89="DX HP",$CL89="PTHP")),$BB89,Baselines!$CM82))</f>
        <v>0</v>
      </c>
      <c r="CH89" s="830" t="s">
        <v>567</v>
      </c>
      <c r="CI89" s="185" t="str">
        <f>IF(OR($C89="Replace-on-Burnout",$C89="New Construction"),$CT89,IF($BW89="","",VLOOKUP($D89,'Factor Tables'!$B$165:$H$192,MATCH($BW89,'Factor Tables'!$B$164:$H$164,0),FALSE)))</f>
        <v/>
      </c>
      <c r="CJ89" s="842" t="str">
        <f>IF(OR($C89="Replace-on-Burnout",$C89="New Construction"),$CU89,IF($BW89="","",IF($BW89="DX HP",VLOOKUP($D89,'Factor Tables'!$I$165:$Q$192,MATCH("DX HP Clg",'Factor Tables'!$I$164:$Q$164,0),FALSE),IF($BW89="PTHP",VLOOKUP($D89,'Factor Tables'!$I$165:$Q$192,MATCH("PTHP Clg",'Factor Tables'!$I$164:$Q$164,0),FALSE),IF(AND($BW89&lt;&gt;"DX HP",$BW89&lt;&gt;"PTHP"),VLOOKUP($D89,'Factor Tables'!$I$165:$Q$192,MATCH($BW89,'Factor Tables'!$I$164:$Q$164,0),FALSE),"")))))</f>
        <v/>
      </c>
      <c r="CK89" s="186" t="str">
        <f>IF(OR($C89="Replace-on-Burnout",$C89="New Construction",$CL89="DX HP",$CL89="PTHP"),$CV89,IF($BW89="","",IF($BW89="DX HP",VLOOKUP($D89,'Factor Tables'!$I$165:$Q$192,MATCH("DX HP Htg",'Factor Tables'!$I$164:$Q$164,0),FALSE),IF($BW89="PTHP",VLOOKUP($D89,'Factor Tables'!$I$165:$Q$192,MATCH("PTHP Htg",'Factor Tables'!$I$164:$Q$164,0),FALSE),0))))</f>
        <v/>
      </c>
      <c r="CL89" s="187" t="str">
        <f t="shared" si="57"/>
        <v/>
      </c>
      <c r="CM89" s="251" t="str">
        <f t="shared" si="58"/>
        <v/>
      </c>
      <c r="CN89" s="184">
        <f t="shared" si="72"/>
        <v>0</v>
      </c>
      <c r="CO89" s="693">
        <f t="shared" si="73"/>
        <v>0</v>
      </c>
      <c r="CP89" s="182" t="s">
        <v>46</v>
      </c>
      <c r="CQ89" s="852" t="str">
        <f t="shared" si="74"/>
        <v/>
      </c>
      <c r="CR89" s="833">
        <f t="shared" si="75"/>
        <v>0</v>
      </c>
      <c r="CS89" s="830" t="s">
        <v>567</v>
      </c>
      <c r="CT89" s="185" t="str">
        <f>IF($CL89="","",VLOOKUP($D89,'Factor Tables'!$B$165:$H$192,MATCH($CL89,'Factor Tables'!$B$164:$H$164,0),FALSE))</f>
        <v/>
      </c>
      <c r="CU89" s="842" t="str">
        <f>IF($CL89="","",IF(AND($CL89&lt;&gt;"DX HP",$CL89&lt;&gt;"PTHP"),VLOOKUP($D89,'Factor Tables'!$I$165:$Q$192,MATCH($CL89,'Factor Tables'!$I$164:$Q$164,0),FALSE),IF($CL89="DX HP",VLOOKUP($D89,'Factor Tables'!$I$165:$Q$192,MATCH("DX HP Clg",'Factor Tables'!$I$164:$Q$164,0),FALSE),IF($CL89="PTHP",VLOOKUP($D89,'Factor Tables'!$I$165:$Q$192,MATCH("PTHP Clg",'Factor Tables'!$I$164:$Q$164,0),FALSE),""))))</f>
        <v/>
      </c>
      <c r="CV89" s="186" t="str">
        <f>IF($CL89="","",IF(AND($CL89&lt;&gt;"DX HP",$CL89&lt;&gt;"PTHP"),0,IF($CL89="DX HP",VLOOKUP($D89,'Factor Tables'!$I$165:$Q$192,MATCH("DX HP Htg",'Factor Tables'!$I$164:$Q$164,0),FALSE),IF($CL89="PTHP",VLOOKUP($D89,'Factor Tables'!$I$165:$Q$192,MATCH("PTHP Htg",'Factor Tables'!$I$164:$Q$164,0),FALSE),""))))</f>
        <v/>
      </c>
      <c r="DD89" s="845"/>
      <c r="DE89" s="426"/>
      <c r="DI89" s="425"/>
      <c r="DJ89" s="425"/>
      <c r="DK89" s="425"/>
      <c r="DL89" s="425"/>
      <c r="DM89" s="493" t="s">
        <v>478</v>
      </c>
    </row>
    <row r="90" spans="2:117" s="427" customFormat="1" ht="21.95" customHeight="1" x14ac:dyDescent="0.25">
      <c r="B90" s="431">
        <v>81</v>
      </c>
      <c r="C90" s="501" t="str">
        <f t="shared" si="59"/>
        <v/>
      </c>
      <c r="D90" s="502" t="str">
        <f t="shared" si="60"/>
        <v/>
      </c>
      <c r="E90" s="546"/>
      <c r="F90" s="547"/>
      <c r="G90" s="729"/>
      <c r="H90" s="729"/>
      <c r="I90" s="729"/>
      <c r="J90" s="729"/>
      <c r="K90" s="729"/>
      <c r="L90" s="729"/>
      <c r="M90" s="765"/>
      <c r="N90" s="758"/>
      <c r="O90" s="765"/>
      <c r="P90" s="758"/>
      <c r="Q90" s="1143"/>
      <c r="R90" s="1134"/>
      <c r="S90" s="775"/>
      <c r="T90" s="729"/>
      <c r="U90" s="775"/>
      <c r="V90" s="779"/>
      <c r="W90" s="557"/>
      <c r="X90" s="788"/>
      <c r="Y90" s="543"/>
      <c r="Z90" s="281"/>
      <c r="AA90" s="281"/>
      <c r="AB90" s="281"/>
      <c r="AC90" s="281"/>
      <c r="AD90" s="492"/>
      <c r="AE90" s="527">
        <f t="shared" si="39"/>
        <v>0</v>
      </c>
      <c r="AF90" s="527">
        <f t="shared" si="61"/>
        <v>0</v>
      </c>
      <c r="AG90" s="527">
        <f t="shared" si="41"/>
        <v>0</v>
      </c>
      <c r="AH90" s="527">
        <f t="shared" si="42"/>
        <v>0</v>
      </c>
      <c r="AI90" s="527">
        <f t="shared" si="43"/>
        <v>0</v>
      </c>
      <c r="AJ90" s="527">
        <f t="shared" si="44"/>
        <v>999999999</v>
      </c>
      <c r="AK90" s="471"/>
      <c r="AL90" s="765"/>
      <c r="AM90" s="758"/>
      <c r="AN90" s="281"/>
      <c r="AO90" s="775"/>
      <c r="AP90" s="775"/>
      <c r="AQ90" s="281"/>
      <c r="AR90" s="528"/>
      <c r="AS90" s="532"/>
      <c r="AT90" s="524" t="str">
        <f t="shared" si="45"/>
        <v/>
      </c>
      <c r="AU90" s="311">
        <f t="shared" si="46"/>
        <v>0</v>
      </c>
      <c r="AV90" s="288">
        <f t="shared" si="62"/>
        <v>0</v>
      </c>
      <c r="AW90" s="290">
        <f>IF(ISERROR($AU90*'Utility Admin'!$E$4+$AV90*'Utility Admin'!$F$4),0,$AU90*'Utility Admin'!$E$4+$AV90*'Utility Admin'!$F$4)</f>
        <v>0</v>
      </c>
      <c r="AX90" s="323" t="str">
        <f t="shared" si="47"/>
        <v/>
      </c>
      <c r="AY90" s="322" t="str">
        <f t="shared" si="23"/>
        <v/>
      </c>
      <c r="AZ90" s="319">
        <f>Baselines!$CJ334</f>
        <v>0</v>
      </c>
      <c r="BA90" s="735">
        <f>Baselines!$CK334</f>
        <v>0</v>
      </c>
      <c r="BB90" s="839">
        <f>Baselines!$CM334</f>
        <v>0</v>
      </c>
      <c r="BC90" s="466">
        <f t="shared" si="48"/>
        <v>0</v>
      </c>
      <c r="BD90" s="464">
        <f t="shared" si="63"/>
        <v>0</v>
      </c>
      <c r="BE90" s="755">
        <f t="shared" si="49"/>
        <v>0</v>
      </c>
      <c r="BF90" s="755">
        <f t="shared" si="64"/>
        <v>0</v>
      </c>
      <c r="BG90" s="466">
        <f t="shared" si="50"/>
        <v>0</v>
      </c>
      <c r="BH90" s="464">
        <f t="shared" si="51"/>
        <v>0</v>
      </c>
      <c r="BI90" s="755">
        <f t="shared" si="52"/>
        <v>0</v>
      </c>
      <c r="BJ90" s="755">
        <f t="shared" si="65"/>
        <v>0</v>
      </c>
      <c r="BK90" s="333">
        <f>IF(OR($C90&lt;&gt;"Early Retirement",$H90=""),0,IF(AND($G90&lt;&gt;"Air Cooled Chiller",$G90&lt;&gt;"Water Cooled Chiller"),VLOOKUP($H90,'Early Retirement'!$CI$6:$CL$33,2,FALSE),IF($J90&lt;&gt;"Centrifugal",VLOOKUP($H90,'Early Retirement'!$CI$6:$CL$33,3,FALSE),IF($J90="Centrifugal",VLOOKUP($H90,'Early Retirement'!$CI$6:$CL$33,4,FALSE),""))))</f>
        <v>0</v>
      </c>
      <c r="BL90" s="450">
        <f t="shared" si="53"/>
        <v>0</v>
      </c>
      <c r="BM90" s="553">
        <f>IFERROR('Utility Admin'!$I$4*((1+'Utility Admin'!$G$4)/('Utility Admin'!$H$4-'Utility Admin'!$G$4))*(1-((1+'Utility Admin'!$G$4)/(1+'Utility Admin'!$H$4))^$BK90)*$BG90,0)</f>
        <v>0</v>
      </c>
      <c r="BN90" s="553">
        <f>IFERROR('Utility Admin'!$I$4*((1+'Utility Admin'!$G$4)/('Utility Admin'!$H$4-'Utility Admin'!$G$4))*(1-((1+'Utility Admin'!$G$4)/(1+'Utility Admin'!$H$4))^$BL90)*((1+'Utility Admin'!$G$4)^$BK90/(1+'Utility Admin'!$H$4)^$BK90)*$BC90,0)</f>
        <v>0</v>
      </c>
      <c r="BO90" s="553">
        <f t="shared" si="27"/>
        <v>0</v>
      </c>
      <c r="BP90" s="553">
        <f>IFERROR('Utility Admin'!$J$4*((1+'Utility Admin'!$G$4)/('Utility Admin'!$H$4-'Utility Admin'!$G$4))*(1-((1+'Utility Admin'!$G$4)/(1+'Utility Admin'!$H$4))^$BK90)*$BJ90,0)</f>
        <v>0</v>
      </c>
      <c r="BQ90" s="553">
        <f>IFERROR('Utility Admin'!$J$4*((1+'Utility Admin'!$G$4)/('Utility Admin'!$H$4-'Utility Admin'!$G$4))*(1-((1+'Utility Admin'!$G$4)/(1+'Utility Admin'!$H$4))^$BL90)*((1+'Utility Admin'!$G$4)^$BK90/(1+'Utility Admin'!$H$4)^$BK90)*$BF90,0)</f>
        <v>0</v>
      </c>
      <c r="BR90" s="553">
        <f t="shared" si="28"/>
        <v>0</v>
      </c>
      <c r="BS90" s="553">
        <f>IFERROR('Utility Admin'!$I$4*((1+'Utility Admin'!$G$4)/('Utility Admin'!$H$4-'Utility Admin'!$G$4))*(1-((1+'Utility Admin'!$G$4)/(1+'Utility Admin'!$H$4))^$AT90),0)</f>
        <v>0</v>
      </c>
      <c r="BT90" s="553">
        <f>IFERROR('Utility Admin'!$J$4*((1+'Utility Admin'!$G$4)/('Utility Admin'!$H$4-'Utility Admin'!$G$4))*(1-((1+'Utility Admin'!$G$4)/(1+'Utility Admin'!$H$4))^$AT90),0)</f>
        <v>0</v>
      </c>
      <c r="BU90" s="459">
        <f t="shared" si="66"/>
        <v>0</v>
      </c>
      <c r="BV90" s="462">
        <f t="shared" si="67"/>
        <v>0</v>
      </c>
      <c r="BW90" s="219" t="str">
        <f t="shared" si="54"/>
        <v/>
      </c>
      <c r="BX90" s="250" t="str">
        <f t="shared" si="68"/>
        <v/>
      </c>
      <c r="BY90" s="250" t="str">
        <f t="shared" si="55"/>
        <v/>
      </c>
      <c r="BZ90" s="184">
        <f t="shared" si="69"/>
        <v>0</v>
      </c>
      <c r="CA90" s="693">
        <f t="shared" si="70"/>
        <v>0</v>
      </c>
      <c r="CB90" s="836">
        <f t="shared" si="71"/>
        <v>0</v>
      </c>
      <c r="CC90" s="693">
        <f>IF(AND($C90="Early Retirement",$H90&lt;&gt;"",$R90&lt;&gt;"",$T90&lt;&gt;""),$BZ90,Baselines!$CJ83)</f>
        <v>0</v>
      </c>
      <c r="CD90" s="693">
        <f>IF(AND($C90="Early Retirement",$H90&lt;&gt;"",$R90&lt;&gt;"",$T90&lt;&gt;""),$CA90,Baselines!$CK83)</f>
        <v>0</v>
      </c>
      <c r="CE90" s="182" t="str">
        <f>Baselines!$CL83</f>
        <v>kW/ton</v>
      </c>
      <c r="CF90" s="850" t="str">
        <f t="shared" si="56"/>
        <v/>
      </c>
      <c r="CG90" s="833">
        <f>IF(AND($C90="Early Retirement",$H90&lt;&gt;"",$R90&lt;&gt;"",$T90&lt;&gt;""),$CB90,IF(AND(Baselines!$CM83=0,OR($CL90="DX HP",$CL90="PTHP")),$BB90,Baselines!$CM83))</f>
        <v>0</v>
      </c>
      <c r="CH90" s="830" t="s">
        <v>567</v>
      </c>
      <c r="CI90" s="185" t="str">
        <f>IF(OR($C90="Replace-on-Burnout",$C90="New Construction"),$CT90,IF($BW90="","",VLOOKUP($D90,'Factor Tables'!$B$165:$H$192,MATCH($BW90,'Factor Tables'!$B$164:$H$164,0),FALSE)))</f>
        <v/>
      </c>
      <c r="CJ90" s="842" t="str">
        <f>IF(OR($C90="Replace-on-Burnout",$C90="New Construction"),$CU90,IF($BW90="","",IF($BW90="DX HP",VLOOKUP($D90,'Factor Tables'!$I$165:$Q$192,MATCH("DX HP Clg",'Factor Tables'!$I$164:$Q$164,0),FALSE),IF($BW90="PTHP",VLOOKUP($D90,'Factor Tables'!$I$165:$Q$192,MATCH("PTHP Clg",'Factor Tables'!$I$164:$Q$164,0),FALSE),IF(AND($BW90&lt;&gt;"DX HP",$BW90&lt;&gt;"PTHP"),VLOOKUP($D90,'Factor Tables'!$I$165:$Q$192,MATCH($BW90,'Factor Tables'!$I$164:$Q$164,0),FALSE),"")))))</f>
        <v/>
      </c>
      <c r="CK90" s="186" t="str">
        <f>IF(OR($C90="Replace-on-Burnout",$C90="New Construction",$CL90="DX HP",$CL90="PTHP"),$CV90,IF($BW90="","",IF($BW90="DX HP",VLOOKUP($D90,'Factor Tables'!$I$165:$Q$192,MATCH("DX HP Htg",'Factor Tables'!$I$164:$Q$164,0),FALSE),IF($BW90="PTHP",VLOOKUP($D90,'Factor Tables'!$I$165:$Q$192,MATCH("PTHP Htg",'Factor Tables'!$I$164:$Q$164,0),FALSE),0))))</f>
        <v/>
      </c>
      <c r="CL90" s="187" t="str">
        <f t="shared" si="57"/>
        <v/>
      </c>
      <c r="CM90" s="251" t="str">
        <f t="shared" si="58"/>
        <v/>
      </c>
      <c r="CN90" s="184">
        <f t="shared" si="72"/>
        <v>0</v>
      </c>
      <c r="CO90" s="693">
        <f t="shared" si="73"/>
        <v>0</v>
      </c>
      <c r="CP90" s="182" t="s">
        <v>46</v>
      </c>
      <c r="CQ90" s="852" t="str">
        <f t="shared" si="74"/>
        <v/>
      </c>
      <c r="CR90" s="833">
        <f t="shared" si="75"/>
        <v>0</v>
      </c>
      <c r="CS90" s="830" t="s">
        <v>567</v>
      </c>
      <c r="CT90" s="185" t="str">
        <f>IF($CL90="","",VLOOKUP($D90,'Factor Tables'!$B$165:$H$192,MATCH($CL90,'Factor Tables'!$B$164:$H$164,0),FALSE))</f>
        <v/>
      </c>
      <c r="CU90" s="842" t="str">
        <f>IF($CL90="","",IF(AND($CL90&lt;&gt;"DX HP",$CL90&lt;&gt;"PTHP"),VLOOKUP($D90,'Factor Tables'!$I$165:$Q$192,MATCH($CL90,'Factor Tables'!$I$164:$Q$164,0),FALSE),IF($CL90="DX HP",VLOOKUP($D90,'Factor Tables'!$I$165:$Q$192,MATCH("DX HP Clg",'Factor Tables'!$I$164:$Q$164,0),FALSE),IF($CL90="PTHP",VLOOKUP($D90,'Factor Tables'!$I$165:$Q$192,MATCH("PTHP Clg",'Factor Tables'!$I$164:$Q$164,0),FALSE),""))))</f>
        <v/>
      </c>
      <c r="CV90" s="186" t="str">
        <f>IF($CL90="","",IF(AND($CL90&lt;&gt;"DX HP",$CL90&lt;&gt;"PTHP"),0,IF($CL90="DX HP",VLOOKUP($D90,'Factor Tables'!$I$165:$Q$192,MATCH("DX HP Htg",'Factor Tables'!$I$164:$Q$164,0),FALSE),IF($CL90="PTHP",VLOOKUP($D90,'Factor Tables'!$I$165:$Q$192,MATCH("PTHP Htg",'Factor Tables'!$I$164:$Q$164,0),FALSE),""))))</f>
        <v/>
      </c>
      <c r="DD90" s="193" t="s">
        <v>354</v>
      </c>
      <c r="DE90" s="426"/>
      <c r="DI90" s="425"/>
      <c r="DJ90" s="425"/>
      <c r="DK90" s="425"/>
      <c r="DL90" s="425"/>
      <c r="DM90" s="493" t="s">
        <v>478</v>
      </c>
    </row>
    <row r="91" spans="2:117" s="427" customFormat="1" ht="21.95" customHeight="1" x14ac:dyDescent="0.25">
      <c r="B91" s="432">
        <v>82</v>
      </c>
      <c r="C91" s="499" t="str">
        <f t="shared" si="59"/>
        <v/>
      </c>
      <c r="D91" s="403" t="str">
        <f t="shared" si="60"/>
        <v/>
      </c>
      <c r="E91" s="541"/>
      <c r="F91" s="785"/>
      <c r="G91" s="728"/>
      <c r="H91" s="728"/>
      <c r="I91" s="728"/>
      <c r="J91" s="728"/>
      <c r="K91" s="728"/>
      <c r="L91" s="728"/>
      <c r="M91" s="764"/>
      <c r="N91" s="728"/>
      <c r="O91" s="764"/>
      <c r="P91" s="728"/>
      <c r="Q91" s="1142"/>
      <c r="R91" s="1133"/>
      <c r="S91" s="778"/>
      <c r="T91" s="767"/>
      <c r="U91" s="778"/>
      <c r="V91" s="751"/>
      <c r="W91" s="556"/>
      <c r="X91" s="785"/>
      <c r="Y91" s="542"/>
      <c r="Z91" s="500"/>
      <c r="AA91" s="500"/>
      <c r="AB91" s="500"/>
      <c r="AC91" s="500"/>
      <c r="AD91" s="529"/>
      <c r="AE91" s="527">
        <f t="shared" si="39"/>
        <v>0</v>
      </c>
      <c r="AF91" s="527">
        <f t="shared" si="61"/>
        <v>0</v>
      </c>
      <c r="AG91" s="527">
        <f t="shared" si="41"/>
        <v>0</v>
      </c>
      <c r="AH91" s="527">
        <f t="shared" si="42"/>
        <v>0</v>
      </c>
      <c r="AI91" s="527">
        <f t="shared" si="43"/>
        <v>0</v>
      </c>
      <c r="AJ91" s="527">
        <f t="shared" si="44"/>
        <v>999999999</v>
      </c>
      <c r="AK91" s="530"/>
      <c r="AL91" s="776"/>
      <c r="AM91" s="777"/>
      <c r="AN91" s="500"/>
      <c r="AO91" s="778"/>
      <c r="AP91" s="778"/>
      <c r="AQ91" s="500"/>
      <c r="AR91" s="531"/>
      <c r="AS91" s="403"/>
      <c r="AT91" s="524" t="str">
        <f t="shared" si="45"/>
        <v/>
      </c>
      <c r="AU91" s="311">
        <f t="shared" si="46"/>
        <v>0</v>
      </c>
      <c r="AV91" s="288">
        <f t="shared" si="62"/>
        <v>0</v>
      </c>
      <c r="AW91" s="290">
        <f>IF(ISERROR($AU91*'Utility Admin'!$E$4+$AV91*'Utility Admin'!$F$4),0,$AU91*'Utility Admin'!$E$4+$AV91*'Utility Admin'!$F$4)</f>
        <v>0</v>
      </c>
      <c r="AX91" s="323" t="str">
        <f t="shared" si="47"/>
        <v/>
      </c>
      <c r="AY91" s="322" t="str">
        <f t="shared" si="23"/>
        <v/>
      </c>
      <c r="AZ91" s="319">
        <f>Baselines!$CJ335</f>
        <v>0</v>
      </c>
      <c r="BA91" s="735">
        <f>Baselines!$CK335</f>
        <v>0</v>
      </c>
      <c r="BB91" s="839">
        <f>Baselines!$CM335</f>
        <v>0</v>
      </c>
      <c r="BC91" s="466">
        <f t="shared" si="48"/>
        <v>0</v>
      </c>
      <c r="BD91" s="464">
        <f t="shared" si="63"/>
        <v>0</v>
      </c>
      <c r="BE91" s="755">
        <f t="shared" si="49"/>
        <v>0</v>
      </c>
      <c r="BF91" s="755">
        <f t="shared" si="64"/>
        <v>0</v>
      </c>
      <c r="BG91" s="466">
        <f t="shared" si="50"/>
        <v>0</v>
      </c>
      <c r="BH91" s="464">
        <f t="shared" si="51"/>
        <v>0</v>
      </c>
      <c r="BI91" s="755">
        <f t="shared" si="52"/>
        <v>0</v>
      </c>
      <c r="BJ91" s="755">
        <f t="shared" si="65"/>
        <v>0</v>
      </c>
      <c r="BK91" s="333">
        <f>IF(OR($C91&lt;&gt;"Early Retirement",$H91=""),0,IF(AND($G91&lt;&gt;"Air Cooled Chiller",$G91&lt;&gt;"Water Cooled Chiller"),VLOOKUP($H91,'Early Retirement'!$CI$6:$CL$33,2,FALSE),IF($J91&lt;&gt;"Centrifugal",VLOOKUP($H91,'Early Retirement'!$CI$6:$CL$33,3,FALSE),IF($J91="Centrifugal",VLOOKUP($H91,'Early Retirement'!$CI$6:$CL$33,4,FALSE),""))))</f>
        <v>0</v>
      </c>
      <c r="BL91" s="450">
        <f t="shared" si="53"/>
        <v>0</v>
      </c>
      <c r="BM91" s="553">
        <f>IFERROR('Utility Admin'!$I$4*((1+'Utility Admin'!$G$4)/('Utility Admin'!$H$4-'Utility Admin'!$G$4))*(1-((1+'Utility Admin'!$G$4)/(1+'Utility Admin'!$H$4))^$BK91)*$BG91,0)</f>
        <v>0</v>
      </c>
      <c r="BN91" s="553">
        <f>IFERROR('Utility Admin'!$I$4*((1+'Utility Admin'!$G$4)/('Utility Admin'!$H$4-'Utility Admin'!$G$4))*(1-((1+'Utility Admin'!$G$4)/(1+'Utility Admin'!$H$4))^$BL91)*((1+'Utility Admin'!$G$4)^$BK91/(1+'Utility Admin'!$H$4)^$BK91)*$BC91,0)</f>
        <v>0</v>
      </c>
      <c r="BO91" s="553">
        <f t="shared" si="27"/>
        <v>0</v>
      </c>
      <c r="BP91" s="553">
        <f>IFERROR('Utility Admin'!$J$4*((1+'Utility Admin'!$G$4)/('Utility Admin'!$H$4-'Utility Admin'!$G$4))*(1-((1+'Utility Admin'!$G$4)/(1+'Utility Admin'!$H$4))^$BK91)*$BJ91,0)</f>
        <v>0</v>
      </c>
      <c r="BQ91" s="553">
        <f>IFERROR('Utility Admin'!$J$4*((1+'Utility Admin'!$G$4)/('Utility Admin'!$H$4-'Utility Admin'!$G$4))*(1-((1+'Utility Admin'!$G$4)/(1+'Utility Admin'!$H$4))^$BL91)*((1+'Utility Admin'!$G$4)^$BK91/(1+'Utility Admin'!$H$4)^$BK91)*$BF91,0)</f>
        <v>0</v>
      </c>
      <c r="BR91" s="553">
        <f t="shared" si="28"/>
        <v>0</v>
      </c>
      <c r="BS91" s="553">
        <f>IFERROR('Utility Admin'!$I$4*((1+'Utility Admin'!$G$4)/('Utility Admin'!$H$4-'Utility Admin'!$G$4))*(1-((1+'Utility Admin'!$G$4)/(1+'Utility Admin'!$H$4))^$AT91),0)</f>
        <v>0</v>
      </c>
      <c r="BT91" s="553">
        <f>IFERROR('Utility Admin'!$J$4*((1+'Utility Admin'!$G$4)/('Utility Admin'!$H$4-'Utility Admin'!$G$4))*(1-((1+'Utility Admin'!$G$4)/(1+'Utility Admin'!$H$4))^$AT91),0)</f>
        <v>0</v>
      </c>
      <c r="BU91" s="459">
        <f t="shared" si="66"/>
        <v>0</v>
      </c>
      <c r="BV91" s="462">
        <f t="shared" si="67"/>
        <v>0</v>
      </c>
      <c r="BW91" s="219" t="str">
        <f t="shared" si="54"/>
        <v/>
      </c>
      <c r="BX91" s="250" t="str">
        <f t="shared" si="68"/>
        <v/>
      </c>
      <c r="BY91" s="250" t="str">
        <f t="shared" si="55"/>
        <v/>
      </c>
      <c r="BZ91" s="184">
        <f t="shared" si="69"/>
        <v>0</v>
      </c>
      <c r="CA91" s="693">
        <f t="shared" si="70"/>
        <v>0</v>
      </c>
      <c r="CB91" s="836">
        <f t="shared" si="71"/>
        <v>0</v>
      </c>
      <c r="CC91" s="693">
        <f>IF(AND($C91="Early Retirement",$H91&lt;&gt;"",$R91&lt;&gt;"",$T91&lt;&gt;""),$BZ91,Baselines!$CJ84)</f>
        <v>0</v>
      </c>
      <c r="CD91" s="693">
        <f>IF(AND($C91="Early Retirement",$H91&lt;&gt;"",$R91&lt;&gt;"",$T91&lt;&gt;""),$CA91,Baselines!$CK84)</f>
        <v>0</v>
      </c>
      <c r="CE91" s="182" t="str">
        <f>Baselines!$CL84</f>
        <v>kW/ton</v>
      </c>
      <c r="CF91" s="850" t="str">
        <f t="shared" si="56"/>
        <v/>
      </c>
      <c r="CG91" s="833">
        <f>IF(AND($C91="Early Retirement",$H91&lt;&gt;"",$R91&lt;&gt;"",$T91&lt;&gt;""),$CB91,IF(AND(Baselines!$CM84=0,OR($CL91="DX HP",$CL91="PTHP")),$BB91,Baselines!$CM84))</f>
        <v>0</v>
      </c>
      <c r="CH91" s="830" t="s">
        <v>567</v>
      </c>
      <c r="CI91" s="185" t="str">
        <f>IF(OR($C91="Replace-on-Burnout",$C91="New Construction"),$CT91,IF($BW91="","",VLOOKUP($D91,'Factor Tables'!$B$165:$H$192,MATCH($BW91,'Factor Tables'!$B$164:$H$164,0),FALSE)))</f>
        <v/>
      </c>
      <c r="CJ91" s="842" t="str">
        <f>IF(OR($C91="Replace-on-Burnout",$C91="New Construction"),$CU91,IF($BW91="","",IF($BW91="DX HP",VLOOKUP($D91,'Factor Tables'!$I$165:$Q$192,MATCH("DX HP Clg",'Factor Tables'!$I$164:$Q$164,0),FALSE),IF($BW91="PTHP",VLOOKUP($D91,'Factor Tables'!$I$165:$Q$192,MATCH("PTHP Clg",'Factor Tables'!$I$164:$Q$164,0),FALSE),IF(AND($BW91&lt;&gt;"DX HP",$BW91&lt;&gt;"PTHP"),VLOOKUP($D91,'Factor Tables'!$I$165:$Q$192,MATCH($BW91,'Factor Tables'!$I$164:$Q$164,0),FALSE),"")))))</f>
        <v/>
      </c>
      <c r="CK91" s="186" t="str">
        <f>IF(OR($C91="Replace-on-Burnout",$C91="New Construction",$CL91="DX HP",$CL91="PTHP"),$CV91,IF($BW91="","",IF($BW91="DX HP",VLOOKUP($D91,'Factor Tables'!$I$165:$Q$192,MATCH("DX HP Htg",'Factor Tables'!$I$164:$Q$164,0),FALSE),IF($BW91="PTHP",VLOOKUP($D91,'Factor Tables'!$I$165:$Q$192,MATCH("PTHP Htg",'Factor Tables'!$I$164:$Q$164,0),FALSE),0))))</f>
        <v/>
      </c>
      <c r="CL91" s="187" t="str">
        <f t="shared" si="57"/>
        <v/>
      </c>
      <c r="CM91" s="251" t="str">
        <f t="shared" si="58"/>
        <v/>
      </c>
      <c r="CN91" s="184">
        <f t="shared" si="72"/>
        <v>0</v>
      </c>
      <c r="CO91" s="693">
        <f t="shared" si="73"/>
        <v>0</v>
      </c>
      <c r="CP91" s="182" t="s">
        <v>46</v>
      </c>
      <c r="CQ91" s="852" t="str">
        <f t="shared" si="74"/>
        <v/>
      </c>
      <c r="CR91" s="833">
        <f t="shared" si="75"/>
        <v>0</v>
      </c>
      <c r="CS91" s="830" t="s">
        <v>567</v>
      </c>
      <c r="CT91" s="185" t="str">
        <f>IF($CL91="","",VLOOKUP($D91,'Factor Tables'!$B$165:$H$192,MATCH($CL91,'Factor Tables'!$B$164:$H$164,0),FALSE))</f>
        <v/>
      </c>
      <c r="CU91" s="842" t="str">
        <f>IF($CL91="","",IF(AND($CL91&lt;&gt;"DX HP",$CL91&lt;&gt;"PTHP"),VLOOKUP($D91,'Factor Tables'!$I$165:$Q$192,MATCH($CL91,'Factor Tables'!$I$164:$Q$164,0),FALSE),IF($CL91="DX HP",VLOOKUP($D91,'Factor Tables'!$I$165:$Q$192,MATCH("DX HP Clg",'Factor Tables'!$I$164:$Q$164,0),FALSE),IF($CL91="PTHP",VLOOKUP($D91,'Factor Tables'!$I$165:$Q$192,MATCH("PTHP Clg",'Factor Tables'!$I$164:$Q$164,0),FALSE),""))))</f>
        <v/>
      </c>
      <c r="CV91" s="186" t="str">
        <f>IF($CL91="","",IF(AND($CL91&lt;&gt;"DX HP",$CL91&lt;&gt;"PTHP"),0,IF($CL91="DX HP",VLOOKUP($D91,'Factor Tables'!$I$165:$Q$192,MATCH("DX HP Htg",'Factor Tables'!$I$164:$Q$164,0),FALSE),IF($CL91="PTHP",VLOOKUP($D91,'Factor Tables'!$I$165:$Q$192,MATCH("PTHP Htg",'Factor Tables'!$I$164:$Q$164,0),FALSE),""))))</f>
        <v/>
      </c>
      <c r="DD91" s="194" t="s">
        <v>53</v>
      </c>
      <c r="DE91" s="426"/>
      <c r="DI91" s="425"/>
      <c r="DJ91" s="425"/>
      <c r="DK91" s="425"/>
      <c r="DL91" s="425"/>
      <c r="DM91" s="493" t="s">
        <v>478</v>
      </c>
    </row>
    <row r="92" spans="2:117" s="427" customFormat="1" ht="21.95" customHeight="1" x14ac:dyDescent="0.25">
      <c r="B92" s="431">
        <v>83</v>
      </c>
      <c r="C92" s="501" t="str">
        <f t="shared" si="59"/>
        <v/>
      </c>
      <c r="D92" s="502" t="str">
        <f t="shared" si="60"/>
        <v/>
      </c>
      <c r="E92" s="546"/>
      <c r="F92" s="547"/>
      <c r="G92" s="729"/>
      <c r="H92" s="729"/>
      <c r="I92" s="729"/>
      <c r="J92" s="729"/>
      <c r="K92" s="729"/>
      <c r="L92" s="729"/>
      <c r="M92" s="765"/>
      <c r="N92" s="758"/>
      <c r="O92" s="765"/>
      <c r="P92" s="758"/>
      <c r="Q92" s="1143"/>
      <c r="R92" s="1134"/>
      <c r="S92" s="775"/>
      <c r="T92" s="729"/>
      <c r="U92" s="775"/>
      <c r="V92" s="779"/>
      <c r="W92" s="557"/>
      <c r="X92" s="788"/>
      <c r="Y92" s="543"/>
      <c r="Z92" s="281"/>
      <c r="AA92" s="281"/>
      <c r="AB92" s="281"/>
      <c r="AC92" s="281"/>
      <c r="AD92" s="492"/>
      <c r="AE92" s="527">
        <f t="shared" si="39"/>
        <v>0</v>
      </c>
      <c r="AF92" s="527">
        <f t="shared" si="61"/>
        <v>0</v>
      </c>
      <c r="AG92" s="527">
        <f t="shared" si="41"/>
        <v>0</v>
      </c>
      <c r="AH92" s="527">
        <f t="shared" si="42"/>
        <v>0</v>
      </c>
      <c r="AI92" s="527">
        <f t="shared" si="43"/>
        <v>0</v>
      </c>
      <c r="AJ92" s="527">
        <f t="shared" si="44"/>
        <v>999999999</v>
      </c>
      <c r="AK92" s="471"/>
      <c r="AL92" s="765"/>
      <c r="AM92" s="758"/>
      <c r="AN92" s="281"/>
      <c r="AO92" s="775"/>
      <c r="AP92" s="775"/>
      <c r="AQ92" s="281"/>
      <c r="AR92" s="528"/>
      <c r="AS92" s="532"/>
      <c r="AT92" s="524" t="str">
        <f t="shared" si="45"/>
        <v/>
      </c>
      <c r="AU92" s="311">
        <f t="shared" si="46"/>
        <v>0</v>
      </c>
      <c r="AV92" s="288">
        <f t="shared" si="62"/>
        <v>0</v>
      </c>
      <c r="AW92" s="290">
        <f>IF(ISERROR($AU92*'Utility Admin'!$E$4+$AV92*'Utility Admin'!$F$4),0,$AU92*'Utility Admin'!$E$4+$AV92*'Utility Admin'!$F$4)</f>
        <v>0</v>
      </c>
      <c r="AX92" s="323" t="str">
        <f t="shared" si="47"/>
        <v/>
      </c>
      <c r="AY92" s="322" t="str">
        <f t="shared" si="23"/>
        <v/>
      </c>
      <c r="AZ92" s="319">
        <f>Baselines!$CJ336</f>
        <v>0</v>
      </c>
      <c r="BA92" s="735">
        <f>Baselines!$CK336</f>
        <v>0</v>
      </c>
      <c r="BB92" s="839">
        <f>Baselines!$CM336</f>
        <v>0</v>
      </c>
      <c r="BC92" s="466">
        <f t="shared" si="48"/>
        <v>0</v>
      </c>
      <c r="BD92" s="464">
        <f t="shared" si="63"/>
        <v>0</v>
      </c>
      <c r="BE92" s="755">
        <f t="shared" si="49"/>
        <v>0</v>
      </c>
      <c r="BF92" s="755">
        <f t="shared" si="64"/>
        <v>0</v>
      </c>
      <c r="BG92" s="466">
        <f t="shared" si="50"/>
        <v>0</v>
      </c>
      <c r="BH92" s="464">
        <f t="shared" si="51"/>
        <v>0</v>
      </c>
      <c r="BI92" s="755">
        <f t="shared" si="52"/>
        <v>0</v>
      </c>
      <c r="BJ92" s="755">
        <f t="shared" si="65"/>
        <v>0</v>
      </c>
      <c r="BK92" s="333">
        <f>IF(OR($C92&lt;&gt;"Early Retirement",$H92=""),0,IF(AND($G92&lt;&gt;"Air Cooled Chiller",$G92&lt;&gt;"Water Cooled Chiller"),VLOOKUP($H92,'Early Retirement'!$CI$6:$CL$33,2,FALSE),IF($J92&lt;&gt;"Centrifugal",VLOOKUP($H92,'Early Retirement'!$CI$6:$CL$33,3,FALSE),IF($J92="Centrifugal",VLOOKUP($H92,'Early Retirement'!$CI$6:$CL$33,4,FALSE),""))))</f>
        <v>0</v>
      </c>
      <c r="BL92" s="450">
        <f t="shared" si="53"/>
        <v>0</v>
      </c>
      <c r="BM92" s="553">
        <f>IFERROR('Utility Admin'!$I$4*((1+'Utility Admin'!$G$4)/('Utility Admin'!$H$4-'Utility Admin'!$G$4))*(1-((1+'Utility Admin'!$G$4)/(1+'Utility Admin'!$H$4))^$BK92)*$BG92,0)</f>
        <v>0</v>
      </c>
      <c r="BN92" s="553">
        <f>IFERROR('Utility Admin'!$I$4*((1+'Utility Admin'!$G$4)/('Utility Admin'!$H$4-'Utility Admin'!$G$4))*(1-((1+'Utility Admin'!$G$4)/(1+'Utility Admin'!$H$4))^$BL92)*((1+'Utility Admin'!$G$4)^$BK92/(1+'Utility Admin'!$H$4)^$BK92)*$BC92,0)</f>
        <v>0</v>
      </c>
      <c r="BO92" s="553">
        <f t="shared" si="27"/>
        <v>0</v>
      </c>
      <c r="BP92" s="553">
        <f>IFERROR('Utility Admin'!$J$4*((1+'Utility Admin'!$G$4)/('Utility Admin'!$H$4-'Utility Admin'!$G$4))*(1-((1+'Utility Admin'!$G$4)/(1+'Utility Admin'!$H$4))^$BK92)*$BJ92,0)</f>
        <v>0</v>
      </c>
      <c r="BQ92" s="553">
        <f>IFERROR('Utility Admin'!$J$4*((1+'Utility Admin'!$G$4)/('Utility Admin'!$H$4-'Utility Admin'!$G$4))*(1-((1+'Utility Admin'!$G$4)/(1+'Utility Admin'!$H$4))^$BL92)*((1+'Utility Admin'!$G$4)^$BK92/(1+'Utility Admin'!$H$4)^$BK92)*$BF92,0)</f>
        <v>0</v>
      </c>
      <c r="BR92" s="553">
        <f t="shared" si="28"/>
        <v>0</v>
      </c>
      <c r="BS92" s="553">
        <f>IFERROR('Utility Admin'!$I$4*((1+'Utility Admin'!$G$4)/('Utility Admin'!$H$4-'Utility Admin'!$G$4))*(1-((1+'Utility Admin'!$G$4)/(1+'Utility Admin'!$H$4))^$AT92),0)</f>
        <v>0</v>
      </c>
      <c r="BT92" s="553">
        <f>IFERROR('Utility Admin'!$J$4*((1+'Utility Admin'!$G$4)/('Utility Admin'!$H$4-'Utility Admin'!$G$4))*(1-((1+'Utility Admin'!$G$4)/(1+'Utility Admin'!$H$4))^$AT92),0)</f>
        <v>0</v>
      </c>
      <c r="BU92" s="459">
        <f t="shared" si="66"/>
        <v>0</v>
      </c>
      <c r="BV92" s="462">
        <f t="shared" si="67"/>
        <v>0</v>
      </c>
      <c r="BW92" s="219" t="str">
        <f t="shared" si="54"/>
        <v/>
      </c>
      <c r="BX92" s="250" t="str">
        <f t="shared" si="68"/>
        <v/>
      </c>
      <c r="BY92" s="250" t="str">
        <f t="shared" si="55"/>
        <v/>
      </c>
      <c r="BZ92" s="184">
        <f t="shared" si="69"/>
        <v>0</v>
      </c>
      <c r="CA92" s="693">
        <f t="shared" si="70"/>
        <v>0</v>
      </c>
      <c r="CB92" s="836">
        <f t="shared" si="71"/>
        <v>0</v>
      </c>
      <c r="CC92" s="693">
        <f>IF(AND($C92="Early Retirement",$H92&lt;&gt;"",$R92&lt;&gt;"",$T92&lt;&gt;""),$BZ92,Baselines!$CJ85)</f>
        <v>0</v>
      </c>
      <c r="CD92" s="693">
        <f>IF(AND($C92="Early Retirement",$H92&lt;&gt;"",$R92&lt;&gt;"",$T92&lt;&gt;""),$CA92,Baselines!$CK85)</f>
        <v>0</v>
      </c>
      <c r="CE92" s="182" t="str">
        <f>Baselines!$CL85</f>
        <v>kW/ton</v>
      </c>
      <c r="CF92" s="850" t="str">
        <f t="shared" si="56"/>
        <v/>
      </c>
      <c r="CG92" s="833">
        <f>IF(AND($C92="Early Retirement",$H92&lt;&gt;"",$R92&lt;&gt;"",$T92&lt;&gt;""),$CB92,IF(AND(Baselines!$CM85=0,OR($CL92="DX HP",$CL92="PTHP")),$BB92,Baselines!$CM85))</f>
        <v>0</v>
      </c>
      <c r="CH92" s="830" t="s">
        <v>567</v>
      </c>
      <c r="CI92" s="185" t="str">
        <f>IF(OR($C92="Replace-on-Burnout",$C92="New Construction"),$CT92,IF($BW92="","",VLOOKUP($D92,'Factor Tables'!$B$165:$H$192,MATCH($BW92,'Factor Tables'!$B$164:$H$164,0),FALSE)))</f>
        <v/>
      </c>
      <c r="CJ92" s="842" t="str">
        <f>IF(OR($C92="Replace-on-Burnout",$C92="New Construction"),$CU92,IF($BW92="","",IF($BW92="DX HP",VLOOKUP($D92,'Factor Tables'!$I$165:$Q$192,MATCH("DX HP Clg",'Factor Tables'!$I$164:$Q$164,0),FALSE),IF($BW92="PTHP",VLOOKUP($D92,'Factor Tables'!$I$165:$Q$192,MATCH("PTHP Clg",'Factor Tables'!$I$164:$Q$164,0),FALSE),IF(AND($BW92&lt;&gt;"DX HP",$BW92&lt;&gt;"PTHP"),VLOOKUP($D92,'Factor Tables'!$I$165:$Q$192,MATCH($BW92,'Factor Tables'!$I$164:$Q$164,0),FALSE),"")))))</f>
        <v/>
      </c>
      <c r="CK92" s="186" t="str">
        <f>IF(OR($C92="Replace-on-Burnout",$C92="New Construction",$CL92="DX HP",$CL92="PTHP"),$CV92,IF($BW92="","",IF($BW92="DX HP",VLOOKUP($D92,'Factor Tables'!$I$165:$Q$192,MATCH("DX HP Htg",'Factor Tables'!$I$164:$Q$164,0),FALSE),IF($BW92="PTHP",VLOOKUP($D92,'Factor Tables'!$I$165:$Q$192,MATCH("PTHP Htg",'Factor Tables'!$I$164:$Q$164,0),FALSE),0))))</f>
        <v/>
      </c>
      <c r="CL92" s="187" t="str">
        <f t="shared" si="57"/>
        <v/>
      </c>
      <c r="CM92" s="251" t="str">
        <f t="shared" si="58"/>
        <v/>
      </c>
      <c r="CN92" s="184">
        <f t="shared" si="72"/>
        <v>0</v>
      </c>
      <c r="CO92" s="693">
        <f t="shared" si="73"/>
        <v>0</v>
      </c>
      <c r="CP92" s="182" t="s">
        <v>46</v>
      </c>
      <c r="CQ92" s="852" t="str">
        <f t="shared" si="74"/>
        <v/>
      </c>
      <c r="CR92" s="833">
        <f t="shared" si="75"/>
        <v>0</v>
      </c>
      <c r="CS92" s="830" t="s">
        <v>567</v>
      </c>
      <c r="CT92" s="185" t="str">
        <f>IF($CL92="","",VLOOKUP($D92,'Factor Tables'!$B$165:$H$192,MATCH($CL92,'Factor Tables'!$B$164:$H$164,0),FALSE))</f>
        <v/>
      </c>
      <c r="CU92" s="842" t="str">
        <f>IF($CL92="","",IF(AND($CL92&lt;&gt;"DX HP",$CL92&lt;&gt;"PTHP"),VLOOKUP($D92,'Factor Tables'!$I$165:$Q$192,MATCH($CL92,'Factor Tables'!$I$164:$Q$164,0),FALSE),IF($CL92="DX HP",VLOOKUP($D92,'Factor Tables'!$I$165:$Q$192,MATCH("DX HP Clg",'Factor Tables'!$I$164:$Q$164,0),FALSE),IF($CL92="PTHP",VLOOKUP($D92,'Factor Tables'!$I$165:$Q$192,MATCH("PTHP Clg",'Factor Tables'!$I$164:$Q$164,0),FALSE),""))))</f>
        <v/>
      </c>
      <c r="CV92" s="186" t="str">
        <f>IF($CL92="","",IF(AND($CL92&lt;&gt;"DX HP",$CL92&lt;&gt;"PTHP"),0,IF($CL92="DX HP",VLOOKUP($D92,'Factor Tables'!$I$165:$Q$192,MATCH("DX HP Htg",'Factor Tables'!$I$164:$Q$164,0),FALSE),IF($CL92="PTHP",VLOOKUP($D92,'Factor Tables'!$I$165:$Q$192,MATCH("PTHP Htg",'Factor Tables'!$I$164:$Q$164,0),FALSE),""))))</f>
        <v/>
      </c>
      <c r="DD92" s="77" t="s">
        <v>54</v>
      </c>
      <c r="DE92" s="426"/>
      <c r="DI92" s="425"/>
      <c r="DJ92" s="425"/>
      <c r="DK92" s="425"/>
      <c r="DL92" s="425"/>
      <c r="DM92" s="493" t="s">
        <v>478</v>
      </c>
    </row>
    <row r="93" spans="2:117" s="427" customFormat="1" ht="21.95" customHeight="1" x14ac:dyDescent="0.25">
      <c r="B93" s="432">
        <v>84</v>
      </c>
      <c r="C93" s="499" t="str">
        <f t="shared" si="59"/>
        <v/>
      </c>
      <c r="D93" s="403" t="str">
        <f t="shared" si="60"/>
        <v/>
      </c>
      <c r="E93" s="541"/>
      <c r="F93" s="785"/>
      <c r="G93" s="728"/>
      <c r="H93" s="728"/>
      <c r="I93" s="728"/>
      <c r="J93" s="728"/>
      <c r="K93" s="728"/>
      <c r="L93" s="728"/>
      <c r="M93" s="764"/>
      <c r="N93" s="728"/>
      <c r="O93" s="764"/>
      <c r="P93" s="728"/>
      <c r="Q93" s="1142"/>
      <c r="R93" s="1133"/>
      <c r="S93" s="778"/>
      <c r="T93" s="767"/>
      <c r="U93" s="778"/>
      <c r="V93" s="751"/>
      <c r="W93" s="556"/>
      <c r="X93" s="785"/>
      <c r="Y93" s="542"/>
      <c r="Z93" s="500"/>
      <c r="AA93" s="500"/>
      <c r="AB93" s="500"/>
      <c r="AC93" s="500"/>
      <c r="AD93" s="529"/>
      <c r="AE93" s="527">
        <f t="shared" si="39"/>
        <v>0</v>
      </c>
      <c r="AF93" s="527">
        <f t="shared" si="61"/>
        <v>0</v>
      </c>
      <c r="AG93" s="527">
        <f t="shared" si="41"/>
        <v>0</v>
      </c>
      <c r="AH93" s="527">
        <f t="shared" si="42"/>
        <v>0</v>
      </c>
      <c r="AI93" s="527">
        <f t="shared" si="43"/>
        <v>0</v>
      </c>
      <c r="AJ93" s="527">
        <f t="shared" si="44"/>
        <v>999999999</v>
      </c>
      <c r="AK93" s="530"/>
      <c r="AL93" s="776"/>
      <c r="AM93" s="777"/>
      <c r="AN93" s="500"/>
      <c r="AO93" s="778"/>
      <c r="AP93" s="778"/>
      <c r="AQ93" s="500"/>
      <c r="AR93" s="531"/>
      <c r="AS93" s="403"/>
      <c r="AT93" s="524" t="str">
        <f t="shared" si="45"/>
        <v/>
      </c>
      <c r="AU93" s="311">
        <f t="shared" si="46"/>
        <v>0</v>
      </c>
      <c r="AV93" s="288">
        <f t="shared" si="62"/>
        <v>0</v>
      </c>
      <c r="AW93" s="290">
        <f>IF(ISERROR($AU93*'Utility Admin'!$E$4+$AV93*'Utility Admin'!$F$4),0,$AU93*'Utility Admin'!$E$4+$AV93*'Utility Admin'!$F$4)</f>
        <v>0</v>
      </c>
      <c r="AX93" s="323" t="str">
        <f t="shared" si="47"/>
        <v/>
      </c>
      <c r="AY93" s="322" t="str">
        <f t="shared" si="23"/>
        <v/>
      </c>
      <c r="AZ93" s="319">
        <f>Baselines!$CJ337</f>
        <v>0</v>
      </c>
      <c r="BA93" s="735">
        <f>Baselines!$CK337</f>
        <v>0</v>
      </c>
      <c r="BB93" s="839">
        <f>Baselines!$CM337</f>
        <v>0</v>
      </c>
      <c r="BC93" s="466">
        <f t="shared" si="48"/>
        <v>0</v>
      </c>
      <c r="BD93" s="464">
        <f t="shared" si="63"/>
        <v>0</v>
      </c>
      <c r="BE93" s="755">
        <f t="shared" si="49"/>
        <v>0</v>
      </c>
      <c r="BF93" s="755">
        <f t="shared" si="64"/>
        <v>0</v>
      </c>
      <c r="BG93" s="466">
        <f t="shared" si="50"/>
        <v>0</v>
      </c>
      <c r="BH93" s="464">
        <f t="shared" si="51"/>
        <v>0</v>
      </c>
      <c r="BI93" s="755">
        <f t="shared" si="52"/>
        <v>0</v>
      </c>
      <c r="BJ93" s="755">
        <f t="shared" si="65"/>
        <v>0</v>
      </c>
      <c r="BK93" s="333">
        <f>IF(OR($C93&lt;&gt;"Early Retirement",$H93=""),0,IF(AND($G93&lt;&gt;"Air Cooled Chiller",$G93&lt;&gt;"Water Cooled Chiller"),VLOOKUP($H93,'Early Retirement'!$CI$6:$CL$33,2,FALSE),IF($J93&lt;&gt;"Centrifugal",VLOOKUP($H93,'Early Retirement'!$CI$6:$CL$33,3,FALSE),IF($J93="Centrifugal",VLOOKUP($H93,'Early Retirement'!$CI$6:$CL$33,4,FALSE),""))))</f>
        <v>0</v>
      </c>
      <c r="BL93" s="450">
        <f t="shared" si="53"/>
        <v>0</v>
      </c>
      <c r="BM93" s="553">
        <f>IFERROR('Utility Admin'!$I$4*((1+'Utility Admin'!$G$4)/('Utility Admin'!$H$4-'Utility Admin'!$G$4))*(1-((1+'Utility Admin'!$G$4)/(1+'Utility Admin'!$H$4))^$BK93)*$BG93,0)</f>
        <v>0</v>
      </c>
      <c r="BN93" s="553">
        <f>IFERROR('Utility Admin'!$I$4*((1+'Utility Admin'!$G$4)/('Utility Admin'!$H$4-'Utility Admin'!$G$4))*(1-((1+'Utility Admin'!$G$4)/(1+'Utility Admin'!$H$4))^$BL93)*((1+'Utility Admin'!$G$4)^$BK93/(1+'Utility Admin'!$H$4)^$BK93)*$BC93,0)</f>
        <v>0</v>
      </c>
      <c r="BO93" s="553">
        <f t="shared" si="27"/>
        <v>0</v>
      </c>
      <c r="BP93" s="553">
        <f>IFERROR('Utility Admin'!$J$4*((1+'Utility Admin'!$G$4)/('Utility Admin'!$H$4-'Utility Admin'!$G$4))*(1-((1+'Utility Admin'!$G$4)/(1+'Utility Admin'!$H$4))^$BK93)*$BJ93,0)</f>
        <v>0</v>
      </c>
      <c r="BQ93" s="553">
        <f>IFERROR('Utility Admin'!$J$4*((1+'Utility Admin'!$G$4)/('Utility Admin'!$H$4-'Utility Admin'!$G$4))*(1-((1+'Utility Admin'!$G$4)/(1+'Utility Admin'!$H$4))^$BL93)*((1+'Utility Admin'!$G$4)^$BK93/(1+'Utility Admin'!$H$4)^$BK93)*$BF93,0)</f>
        <v>0</v>
      </c>
      <c r="BR93" s="553">
        <f t="shared" si="28"/>
        <v>0</v>
      </c>
      <c r="BS93" s="553">
        <f>IFERROR('Utility Admin'!$I$4*((1+'Utility Admin'!$G$4)/('Utility Admin'!$H$4-'Utility Admin'!$G$4))*(1-((1+'Utility Admin'!$G$4)/(1+'Utility Admin'!$H$4))^$AT93),0)</f>
        <v>0</v>
      </c>
      <c r="BT93" s="553">
        <f>IFERROR('Utility Admin'!$J$4*((1+'Utility Admin'!$G$4)/('Utility Admin'!$H$4-'Utility Admin'!$G$4))*(1-((1+'Utility Admin'!$G$4)/(1+'Utility Admin'!$H$4))^$AT93),0)</f>
        <v>0</v>
      </c>
      <c r="BU93" s="459">
        <f t="shared" si="66"/>
        <v>0</v>
      </c>
      <c r="BV93" s="462">
        <f t="shared" si="67"/>
        <v>0</v>
      </c>
      <c r="BW93" s="219" t="str">
        <f t="shared" si="54"/>
        <v/>
      </c>
      <c r="BX93" s="250" t="str">
        <f t="shared" si="68"/>
        <v/>
      </c>
      <c r="BY93" s="250" t="str">
        <f t="shared" si="55"/>
        <v/>
      </c>
      <c r="BZ93" s="184">
        <f t="shared" si="69"/>
        <v>0</v>
      </c>
      <c r="CA93" s="693">
        <f t="shared" si="70"/>
        <v>0</v>
      </c>
      <c r="CB93" s="836">
        <f t="shared" si="71"/>
        <v>0</v>
      </c>
      <c r="CC93" s="693">
        <f>IF(AND($C93="Early Retirement",$H93&lt;&gt;"",$R93&lt;&gt;"",$T93&lt;&gt;""),$BZ93,Baselines!$CJ86)</f>
        <v>0</v>
      </c>
      <c r="CD93" s="693">
        <f>IF(AND($C93="Early Retirement",$H93&lt;&gt;"",$R93&lt;&gt;"",$T93&lt;&gt;""),$CA93,Baselines!$CK86)</f>
        <v>0</v>
      </c>
      <c r="CE93" s="182" t="str">
        <f>Baselines!$CL86</f>
        <v>kW/ton</v>
      </c>
      <c r="CF93" s="850" t="str">
        <f t="shared" si="56"/>
        <v/>
      </c>
      <c r="CG93" s="833">
        <f>IF(AND($C93="Early Retirement",$H93&lt;&gt;"",$R93&lt;&gt;"",$T93&lt;&gt;""),$CB93,IF(AND(Baselines!$CM86=0,OR($CL93="DX HP",$CL93="PTHP")),$BB93,Baselines!$CM86))</f>
        <v>0</v>
      </c>
      <c r="CH93" s="830" t="s">
        <v>567</v>
      </c>
      <c r="CI93" s="185" t="str">
        <f>IF(OR($C93="Replace-on-Burnout",$C93="New Construction"),$CT93,IF($BW93="","",VLOOKUP($D93,'Factor Tables'!$B$165:$H$192,MATCH($BW93,'Factor Tables'!$B$164:$H$164,0),FALSE)))</f>
        <v/>
      </c>
      <c r="CJ93" s="842" t="str">
        <f>IF(OR($C93="Replace-on-Burnout",$C93="New Construction"),$CU93,IF($BW93="","",IF($BW93="DX HP",VLOOKUP($D93,'Factor Tables'!$I$165:$Q$192,MATCH("DX HP Clg",'Factor Tables'!$I$164:$Q$164,0),FALSE),IF($BW93="PTHP",VLOOKUP($D93,'Factor Tables'!$I$165:$Q$192,MATCH("PTHP Clg",'Factor Tables'!$I$164:$Q$164,0),FALSE),IF(AND($BW93&lt;&gt;"DX HP",$BW93&lt;&gt;"PTHP"),VLOOKUP($D93,'Factor Tables'!$I$165:$Q$192,MATCH($BW93,'Factor Tables'!$I$164:$Q$164,0),FALSE),"")))))</f>
        <v/>
      </c>
      <c r="CK93" s="186" t="str">
        <f>IF(OR($C93="Replace-on-Burnout",$C93="New Construction",$CL93="DX HP",$CL93="PTHP"),$CV93,IF($BW93="","",IF($BW93="DX HP",VLOOKUP($D93,'Factor Tables'!$I$165:$Q$192,MATCH("DX HP Htg",'Factor Tables'!$I$164:$Q$164,0),FALSE),IF($BW93="PTHP",VLOOKUP($D93,'Factor Tables'!$I$165:$Q$192,MATCH("PTHP Htg",'Factor Tables'!$I$164:$Q$164,0),FALSE),0))))</f>
        <v/>
      </c>
      <c r="CL93" s="187" t="str">
        <f t="shared" si="57"/>
        <v/>
      </c>
      <c r="CM93" s="251" t="str">
        <f t="shared" si="58"/>
        <v/>
      </c>
      <c r="CN93" s="184">
        <f t="shared" si="72"/>
        <v>0</v>
      </c>
      <c r="CO93" s="693">
        <f t="shared" si="73"/>
        <v>0</v>
      </c>
      <c r="CP93" s="182" t="s">
        <v>46</v>
      </c>
      <c r="CQ93" s="852" t="str">
        <f t="shared" si="74"/>
        <v/>
      </c>
      <c r="CR93" s="833">
        <f t="shared" si="75"/>
        <v>0</v>
      </c>
      <c r="CS93" s="830" t="s">
        <v>567</v>
      </c>
      <c r="CT93" s="185" t="str">
        <f>IF($CL93="","",VLOOKUP($D93,'Factor Tables'!$B$165:$H$192,MATCH($CL93,'Factor Tables'!$B$164:$H$164,0),FALSE))</f>
        <v/>
      </c>
      <c r="CU93" s="842" t="str">
        <f>IF($CL93="","",IF(AND($CL93&lt;&gt;"DX HP",$CL93&lt;&gt;"PTHP"),VLOOKUP($D93,'Factor Tables'!$I$165:$Q$192,MATCH($CL93,'Factor Tables'!$I$164:$Q$164,0),FALSE),IF($CL93="DX HP",VLOOKUP($D93,'Factor Tables'!$I$165:$Q$192,MATCH("DX HP Clg",'Factor Tables'!$I$164:$Q$164,0),FALSE),IF($CL93="PTHP",VLOOKUP($D93,'Factor Tables'!$I$165:$Q$192,MATCH("PTHP Clg",'Factor Tables'!$I$164:$Q$164,0),FALSE),""))))</f>
        <v/>
      </c>
      <c r="CV93" s="186" t="str">
        <f>IF($CL93="","",IF(AND($CL93&lt;&gt;"DX HP",$CL93&lt;&gt;"PTHP"),0,IF($CL93="DX HP",VLOOKUP($D93,'Factor Tables'!$I$165:$Q$192,MATCH("DX HP Htg",'Factor Tables'!$I$164:$Q$164,0),FALSE),IF($CL93="PTHP",VLOOKUP($D93,'Factor Tables'!$I$165:$Q$192,MATCH("PTHP Htg",'Factor Tables'!$I$164:$Q$164,0),FALSE),""))))</f>
        <v/>
      </c>
      <c r="DD93" s="77"/>
      <c r="DE93" s="426"/>
      <c r="DI93" s="425"/>
      <c r="DJ93" s="425"/>
      <c r="DK93" s="425"/>
      <c r="DL93" s="425"/>
      <c r="DM93" s="493" t="s">
        <v>478</v>
      </c>
    </row>
    <row r="94" spans="2:117" s="427" customFormat="1" ht="21.95" customHeight="1" x14ac:dyDescent="0.25">
      <c r="B94" s="431">
        <v>85</v>
      </c>
      <c r="C94" s="501" t="str">
        <f t="shared" si="59"/>
        <v/>
      </c>
      <c r="D94" s="502" t="str">
        <f t="shared" si="60"/>
        <v/>
      </c>
      <c r="E94" s="546"/>
      <c r="F94" s="547"/>
      <c r="G94" s="729"/>
      <c r="H94" s="729"/>
      <c r="I94" s="729"/>
      <c r="J94" s="729"/>
      <c r="K94" s="729"/>
      <c r="L94" s="729"/>
      <c r="M94" s="765"/>
      <c r="N94" s="758"/>
      <c r="O94" s="765"/>
      <c r="P94" s="758"/>
      <c r="Q94" s="1143"/>
      <c r="R94" s="1134"/>
      <c r="S94" s="775"/>
      <c r="T94" s="729"/>
      <c r="U94" s="775"/>
      <c r="V94" s="779"/>
      <c r="W94" s="557"/>
      <c r="X94" s="788"/>
      <c r="Y94" s="543"/>
      <c r="Z94" s="281"/>
      <c r="AA94" s="281"/>
      <c r="AB94" s="281"/>
      <c r="AC94" s="281"/>
      <c r="AD94" s="492"/>
      <c r="AE94" s="527">
        <f t="shared" si="39"/>
        <v>0</v>
      </c>
      <c r="AF94" s="527">
        <f t="shared" si="61"/>
        <v>0</v>
      </c>
      <c r="AG94" s="527">
        <f t="shared" si="41"/>
        <v>0</v>
      </c>
      <c r="AH94" s="527">
        <f t="shared" si="42"/>
        <v>0</v>
      </c>
      <c r="AI94" s="527">
        <f t="shared" si="43"/>
        <v>0</v>
      </c>
      <c r="AJ94" s="527">
        <f t="shared" si="44"/>
        <v>999999999</v>
      </c>
      <c r="AK94" s="471"/>
      <c r="AL94" s="765"/>
      <c r="AM94" s="758"/>
      <c r="AN94" s="281"/>
      <c r="AO94" s="775"/>
      <c r="AP94" s="775"/>
      <c r="AQ94" s="281"/>
      <c r="AR94" s="528"/>
      <c r="AS94" s="532"/>
      <c r="AT94" s="524" t="str">
        <f t="shared" si="45"/>
        <v/>
      </c>
      <c r="AU94" s="311">
        <f t="shared" si="46"/>
        <v>0</v>
      </c>
      <c r="AV94" s="288">
        <f t="shared" si="62"/>
        <v>0</v>
      </c>
      <c r="AW94" s="290">
        <f>IF(ISERROR($AU94*'Utility Admin'!$E$4+$AV94*'Utility Admin'!$F$4),0,$AU94*'Utility Admin'!$E$4+$AV94*'Utility Admin'!$F$4)</f>
        <v>0</v>
      </c>
      <c r="AX94" s="323" t="str">
        <f t="shared" si="47"/>
        <v/>
      </c>
      <c r="AY94" s="322" t="str">
        <f t="shared" si="23"/>
        <v/>
      </c>
      <c r="AZ94" s="319">
        <f>Baselines!$CJ338</f>
        <v>0</v>
      </c>
      <c r="BA94" s="735">
        <f>Baselines!$CK338</f>
        <v>0</v>
      </c>
      <c r="BB94" s="839">
        <f>Baselines!$CM338</f>
        <v>0</v>
      </c>
      <c r="BC94" s="466">
        <f t="shared" si="48"/>
        <v>0</v>
      </c>
      <c r="BD94" s="464">
        <f t="shared" si="63"/>
        <v>0</v>
      </c>
      <c r="BE94" s="755">
        <f t="shared" si="49"/>
        <v>0</v>
      </c>
      <c r="BF94" s="755">
        <f t="shared" si="64"/>
        <v>0</v>
      </c>
      <c r="BG94" s="466">
        <f t="shared" si="50"/>
        <v>0</v>
      </c>
      <c r="BH94" s="464">
        <f t="shared" si="51"/>
        <v>0</v>
      </c>
      <c r="BI94" s="755">
        <f t="shared" si="52"/>
        <v>0</v>
      </c>
      <c r="BJ94" s="755">
        <f t="shared" si="65"/>
        <v>0</v>
      </c>
      <c r="BK94" s="333">
        <f>IF(OR($C94&lt;&gt;"Early Retirement",$H94=""),0,IF(AND($G94&lt;&gt;"Air Cooled Chiller",$G94&lt;&gt;"Water Cooled Chiller"),VLOOKUP($H94,'Early Retirement'!$CI$6:$CL$33,2,FALSE),IF($J94&lt;&gt;"Centrifugal",VLOOKUP($H94,'Early Retirement'!$CI$6:$CL$33,3,FALSE),IF($J94="Centrifugal",VLOOKUP($H94,'Early Retirement'!$CI$6:$CL$33,4,FALSE),""))))</f>
        <v>0</v>
      </c>
      <c r="BL94" s="450">
        <f t="shared" si="53"/>
        <v>0</v>
      </c>
      <c r="BM94" s="553">
        <f>IFERROR('Utility Admin'!$I$4*((1+'Utility Admin'!$G$4)/('Utility Admin'!$H$4-'Utility Admin'!$G$4))*(1-((1+'Utility Admin'!$G$4)/(1+'Utility Admin'!$H$4))^$BK94)*$BG94,0)</f>
        <v>0</v>
      </c>
      <c r="BN94" s="553">
        <f>IFERROR('Utility Admin'!$I$4*((1+'Utility Admin'!$G$4)/('Utility Admin'!$H$4-'Utility Admin'!$G$4))*(1-((1+'Utility Admin'!$G$4)/(1+'Utility Admin'!$H$4))^$BL94)*((1+'Utility Admin'!$G$4)^$BK94/(1+'Utility Admin'!$H$4)^$BK94)*$BC94,0)</f>
        <v>0</v>
      </c>
      <c r="BO94" s="553">
        <f t="shared" si="27"/>
        <v>0</v>
      </c>
      <c r="BP94" s="553">
        <f>IFERROR('Utility Admin'!$J$4*((1+'Utility Admin'!$G$4)/('Utility Admin'!$H$4-'Utility Admin'!$G$4))*(1-((1+'Utility Admin'!$G$4)/(1+'Utility Admin'!$H$4))^$BK94)*$BJ94,0)</f>
        <v>0</v>
      </c>
      <c r="BQ94" s="553">
        <f>IFERROR('Utility Admin'!$J$4*((1+'Utility Admin'!$G$4)/('Utility Admin'!$H$4-'Utility Admin'!$G$4))*(1-((1+'Utility Admin'!$G$4)/(1+'Utility Admin'!$H$4))^$BL94)*((1+'Utility Admin'!$G$4)^$BK94/(1+'Utility Admin'!$H$4)^$BK94)*$BF94,0)</f>
        <v>0</v>
      </c>
      <c r="BR94" s="553">
        <f t="shared" si="28"/>
        <v>0</v>
      </c>
      <c r="BS94" s="553">
        <f>IFERROR('Utility Admin'!$I$4*((1+'Utility Admin'!$G$4)/('Utility Admin'!$H$4-'Utility Admin'!$G$4))*(1-((1+'Utility Admin'!$G$4)/(1+'Utility Admin'!$H$4))^$AT94),0)</f>
        <v>0</v>
      </c>
      <c r="BT94" s="553">
        <f>IFERROR('Utility Admin'!$J$4*((1+'Utility Admin'!$G$4)/('Utility Admin'!$H$4-'Utility Admin'!$G$4))*(1-((1+'Utility Admin'!$G$4)/(1+'Utility Admin'!$H$4))^$AT94),0)</f>
        <v>0</v>
      </c>
      <c r="BU94" s="459">
        <f t="shared" si="66"/>
        <v>0</v>
      </c>
      <c r="BV94" s="462">
        <f t="shared" si="67"/>
        <v>0</v>
      </c>
      <c r="BW94" s="219" t="str">
        <f t="shared" si="54"/>
        <v/>
      </c>
      <c r="BX94" s="250" t="str">
        <f t="shared" si="68"/>
        <v/>
      </c>
      <c r="BY94" s="250" t="str">
        <f t="shared" si="55"/>
        <v/>
      </c>
      <c r="BZ94" s="184">
        <f t="shared" si="69"/>
        <v>0</v>
      </c>
      <c r="CA94" s="693">
        <f t="shared" si="70"/>
        <v>0</v>
      </c>
      <c r="CB94" s="836">
        <f t="shared" si="71"/>
        <v>0</v>
      </c>
      <c r="CC94" s="693">
        <f>IF(AND($C94="Early Retirement",$H94&lt;&gt;"",$R94&lt;&gt;"",$T94&lt;&gt;""),$BZ94,Baselines!$CJ87)</f>
        <v>0</v>
      </c>
      <c r="CD94" s="693">
        <f>IF(AND($C94="Early Retirement",$H94&lt;&gt;"",$R94&lt;&gt;"",$T94&lt;&gt;""),$CA94,Baselines!$CK87)</f>
        <v>0</v>
      </c>
      <c r="CE94" s="182" t="str">
        <f>Baselines!$CL87</f>
        <v>kW/ton</v>
      </c>
      <c r="CF94" s="850" t="str">
        <f t="shared" si="56"/>
        <v/>
      </c>
      <c r="CG94" s="833">
        <f>IF(AND($C94="Early Retirement",$H94&lt;&gt;"",$R94&lt;&gt;"",$T94&lt;&gt;""),$CB94,IF(AND(Baselines!$CM87=0,OR($CL94="DX HP",$CL94="PTHP")),$BB94,Baselines!$CM87))</f>
        <v>0</v>
      </c>
      <c r="CH94" s="830" t="s">
        <v>567</v>
      </c>
      <c r="CI94" s="185" t="str">
        <f>IF(OR($C94="Replace-on-Burnout",$C94="New Construction"),$CT94,IF($BW94="","",VLOOKUP($D94,'Factor Tables'!$B$165:$H$192,MATCH($BW94,'Factor Tables'!$B$164:$H$164,0),FALSE)))</f>
        <v/>
      </c>
      <c r="CJ94" s="842" t="str">
        <f>IF(OR($C94="Replace-on-Burnout",$C94="New Construction"),$CU94,IF($BW94="","",IF($BW94="DX HP",VLOOKUP($D94,'Factor Tables'!$I$165:$Q$192,MATCH("DX HP Clg",'Factor Tables'!$I$164:$Q$164,0),FALSE),IF($BW94="PTHP",VLOOKUP($D94,'Factor Tables'!$I$165:$Q$192,MATCH("PTHP Clg",'Factor Tables'!$I$164:$Q$164,0),FALSE),IF(AND($BW94&lt;&gt;"DX HP",$BW94&lt;&gt;"PTHP"),VLOOKUP($D94,'Factor Tables'!$I$165:$Q$192,MATCH($BW94,'Factor Tables'!$I$164:$Q$164,0),FALSE),"")))))</f>
        <v/>
      </c>
      <c r="CK94" s="186" t="str">
        <f>IF(OR($C94="Replace-on-Burnout",$C94="New Construction",$CL94="DX HP",$CL94="PTHP"),$CV94,IF($BW94="","",IF($BW94="DX HP",VLOOKUP($D94,'Factor Tables'!$I$165:$Q$192,MATCH("DX HP Htg",'Factor Tables'!$I$164:$Q$164,0),FALSE),IF($BW94="PTHP",VLOOKUP($D94,'Factor Tables'!$I$165:$Q$192,MATCH("PTHP Htg",'Factor Tables'!$I$164:$Q$164,0),FALSE),0))))</f>
        <v/>
      </c>
      <c r="CL94" s="187" t="str">
        <f t="shared" si="57"/>
        <v/>
      </c>
      <c r="CM94" s="251" t="str">
        <f t="shared" si="58"/>
        <v/>
      </c>
      <c r="CN94" s="184">
        <f t="shared" si="72"/>
        <v>0</v>
      </c>
      <c r="CO94" s="693">
        <f t="shared" si="73"/>
        <v>0</v>
      </c>
      <c r="CP94" s="182" t="s">
        <v>46</v>
      </c>
      <c r="CQ94" s="852" t="str">
        <f t="shared" si="74"/>
        <v/>
      </c>
      <c r="CR94" s="833">
        <f t="shared" si="75"/>
        <v>0</v>
      </c>
      <c r="CS94" s="830" t="s">
        <v>567</v>
      </c>
      <c r="CT94" s="185" t="str">
        <f>IF($CL94="","",VLOOKUP($D94,'Factor Tables'!$B$165:$H$192,MATCH($CL94,'Factor Tables'!$B$164:$H$164,0),FALSE))</f>
        <v/>
      </c>
      <c r="CU94" s="842" t="str">
        <f>IF($CL94="","",IF(AND($CL94&lt;&gt;"DX HP",$CL94&lt;&gt;"PTHP"),VLOOKUP($D94,'Factor Tables'!$I$165:$Q$192,MATCH($CL94,'Factor Tables'!$I$164:$Q$164,0),FALSE),IF($CL94="DX HP",VLOOKUP($D94,'Factor Tables'!$I$165:$Q$192,MATCH("DX HP Clg",'Factor Tables'!$I$164:$Q$164,0),FALSE),IF($CL94="PTHP",VLOOKUP($D94,'Factor Tables'!$I$165:$Q$192,MATCH("PTHP Clg",'Factor Tables'!$I$164:$Q$164,0),FALSE),""))))</f>
        <v/>
      </c>
      <c r="CV94" s="186" t="str">
        <f>IF($CL94="","",IF(AND($CL94&lt;&gt;"DX HP",$CL94&lt;&gt;"PTHP"),0,IF($CL94="DX HP",VLOOKUP($D94,'Factor Tables'!$I$165:$Q$192,MATCH("DX HP Htg",'Factor Tables'!$I$164:$Q$164,0),FALSE),IF($CL94="PTHP",VLOOKUP($D94,'Factor Tables'!$I$165:$Q$192,MATCH("PTHP Htg",'Factor Tables'!$I$164:$Q$164,0),FALSE),""))))</f>
        <v/>
      </c>
      <c r="DD94" s="193" t="s">
        <v>355</v>
      </c>
      <c r="DE94" s="426"/>
      <c r="DI94" s="425"/>
      <c r="DJ94" s="425"/>
      <c r="DK94" s="425"/>
      <c r="DL94" s="425"/>
      <c r="DM94" s="493" t="s">
        <v>478</v>
      </c>
    </row>
    <row r="95" spans="2:117" s="427" customFormat="1" ht="21.95" customHeight="1" x14ac:dyDescent="0.25">
      <c r="B95" s="432">
        <v>86</v>
      </c>
      <c r="C95" s="499" t="str">
        <f t="shared" si="59"/>
        <v/>
      </c>
      <c r="D95" s="403" t="str">
        <f t="shared" si="60"/>
        <v/>
      </c>
      <c r="E95" s="541"/>
      <c r="F95" s="785"/>
      <c r="G95" s="728"/>
      <c r="H95" s="728"/>
      <c r="I95" s="728"/>
      <c r="J95" s="728"/>
      <c r="K95" s="728"/>
      <c r="L95" s="728"/>
      <c r="M95" s="764"/>
      <c r="N95" s="728"/>
      <c r="O95" s="764"/>
      <c r="P95" s="728"/>
      <c r="Q95" s="1142"/>
      <c r="R95" s="1133"/>
      <c r="S95" s="778"/>
      <c r="T95" s="767"/>
      <c r="U95" s="778"/>
      <c r="V95" s="751"/>
      <c r="W95" s="556"/>
      <c r="X95" s="785"/>
      <c r="Y95" s="542"/>
      <c r="Z95" s="500"/>
      <c r="AA95" s="500"/>
      <c r="AB95" s="500"/>
      <c r="AC95" s="500"/>
      <c r="AD95" s="529"/>
      <c r="AE95" s="527">
        <f t="shared" si="39"/>
        <v>0</v>
      </c>
      <c r="AF95" s="527">
        <f t="shared" si="61"/>
        <v>0</v>
      </c>
      <c r="AG95" s="527">
        <f t="shared" si="41"/>
        <v>0</v>
      </c>
      <c r="AH95" s="527">
        <f t="shared" si="42"/>
        <v>0</v>
      </c>
      <c r="AI95" s="527">
        <f t="shared" si="43"/>
        <v>0</v>
      </c>
      <c r="AJ95" s="527">
        <f t="shared" si="44"/>
        <v>999999999</v>
      </c>
      <c r="AK95" s="530"/>
      <c r="AL95" s="776"/>
      <c r="AM95" s="777"/>
      <c r="AN95" s="500"/>
      <c r="AO95" s="778"/>
      <c r="AP95" s="778"/>
      <c r="AQ95" s="500"/>
      <c r="AR95" s="531"/>
      <c r="AS95" s="403"/>
      <c r="AT95" s="524" t="str">
        <f t="shared" si="45"/>
        <v/>
      </c>
      <c r="AU95" s="311">
        <f t="shared" si="46"/>
        <v>0</v>
      </c>
      <c r="AV95" s="288">
        <f t="shared" si="62"/>
        <v>0</v>
      </c>
      <c r="AW95" s="290">
        <f>IF(ISERROR($AU95*'Utility Admin'!$E$4+$AV95*'Utility Admin'!$F$4),0,$AU95*'Utility Admin'!$E$4+$AV95*'Utility Admin'!$F$4)</f>
        <v>0</v>
      </c>
      <c r="AX95" s="323" t="str">
        <f t="shared" si="47"/>
        <v/>
      </c>
      <c r="AY95" s="322" t="str">
        <f t="shared" si="23"/>
        <v/>
      </c>
      <c r="AZ95" s="319">
        <f>Baselines!$CJ339</f>
        <v>0</v>
      </c>
      <c r="BA95" s="735">
        <f>Baselines!$CK339</f>
        <v>0</v>
      </c>
      <c r="BB95" s="839">
        <f>Baselines!$CM339</f>
        <v>0</v>
      </c>
      <c r="BC95" s="466">
        <f t="shared" si="48"/>
        <v>0</v>
      </c>
      <c r="BD95" s="464">
        <f t="shared" si="63"/>
        <v>0</v>
      </c>
      <c r="BE95" s="755">
        <f t="shared" si="49"/>
        <v>0</v>
      </c>
      <c r="BF95" s="755">
        <f t="shared" si="64"/>
        <v>0</v>
      </c>
      <c r="BG95" s="466">
        <f t="shared" si="50"/>
        <v>0</v>
      </c>
      <c r="BH95" s="464">
        <f t="shared" si="51"/>
        <v>0</v>
      </c>
      <c r="BI95" s="755">
        <f t="shared" si="52"/>
        <v>0</v>
      </c>
      <c r="BJ95" s="755">
        <f t="shared" si="65"/>
        <v>0</v>
      </c>
      <c r="BK95" s="333">
        <f>IF(OR($C95&lt;&gt;"Early Retirement",$H95=""),0,IF(AND($G95&lt;&gt;"Air Cooled Chiller",$G95&lt;&gt;"Water Cooled Chiller"),VLOOKUP($H95,'Early Retirement'!$CI$6:$CL$33,2,FALSE),IF($J95&lt;&gt;"Centrifugal",VLOOKUP($H95,'Early Retirement'!$CI$6:$CL$33,3,FALSE),IF($J95="Centrifugal",VLOOKUP($H95,'Early Retirement'!$CI$6:$CL$33,4,FALSE),""))))</f>
        <v>0</v>
      </c>
      <c r="BL95" s="450">
        <f t="shared" si="53"/>
        <v>0</v>
      </c>
      <c r="BM95" s="553">
        <f>IFERROR('Utility Admin'!$I$4*((1+'Utility Admin'!$G$4)/('Utility Admin'!$H$4-'Utility Admin'!$G$4))*(1-((1+'Utility Admin'!$G$4)/(1+'Utility Admin'!$H$4))^$BK95)*$BG95,0)</f>
        <v>0</v>
      </c>
      <c r="BN95" s="553">
        <f>IFERROR('Utility Admin'!$I$4*((1+'Utility Admin'!$G$4)/('Utility Admin'!$H$4-'Utility Admin'!$G$4))*(1-((1+'Utility Admin'!$G$4)/(1+'Utility Admin'!$H$4))^$BL95)*((1+'Utility Admin'!$G$4)^$BK95/(1+'Utility Admin'!$H$4)^$BK95)*$BC95,0)</f>
        <v>0</v>
      </c>
      <c r="BO95" s="553">
        <f t="shared" si="27"/>
        <v>0</v>
      </c>
      <c r="BP95" s="553">
        <f>IFERROR('Utility Admin'!$J$4*((1+'Utility Admin'!$G$4)/('Utility Admin'!$H$4-'Utility Admin'!$G$4))*(1-((1+'Utility Admin'!$G$4)/(1+'Utility Admin'!$H$4))^$BK95)*$BJ95,0)</f>
        <v>0</v>
      </c>
      <c r="BQ95" s="553">
        <f>IFERROR('Utility Admin'!$J$4*((1+'Utility Admin'!$G$4)/('Utility Admin'!$H$4-'Utility Admin'!$G$4))*(1-((1+'Utility Admin'!$G$4)/(1+'Utility Admin'!$H$4))^$BL95)*((1+'Utility Admin'!$G$4)^$BK95/(1+'Utility Admin'!$H$4)^$BK95)*$BF95,0)</f>
        <v>0</v>
      </c>
      <c r="BR95" s="553">
        <f t="shared" si="28"/>
        <v>0</v>
      </c>
      <c r="BS95" s="553">
        <f>IFERROR('Utility Admin'!$I$4*((1+'Utility Admin'!$G$4)/('Utility Admin'!$H$4-'Utility Admin'!$G$4))*(1-((1+'Utility Admin'!$G$4)/(1+'Utility Admin'!$H$4))^$AT95),0)</f>
        <v>0</v>
      </c>
      <c r="BT95" s="553">
        <f>IFERROR('Utility Admin'!$J$4*((1+'Utility Admin'!$G$4)/('Utility Admin'!$H$4-'Utility Admin'!$G$4))*(1-((1+'Utility Admin'!$G$4)/(1+'Utility Admin'!$H$4))^$AT95),0)</f>
        <v>0</v>
      </c>
      <c r="BU95" s="459">
        <f t="shared" si="66"/>
        <v>0</v>
      </c>
      <c r="BV95" s="462">
        <f t="shared" si="67"/>
        <v>0</v>
      </c>
      <c r="BW95" s="219" t="str">
        <f t="shared" si="54"/>
        <v/>
      </c>
      <c r="BX95" s="250" t="str">
        <f t="shared" si="68"/>
        <v/>
      </c>
      <c r="BY95" s="250" t="str">
        <f t="shared" si="55"/>
        <v/>
      </c>
      <c r="BZ95" s="184">
        <f t="shared" si="69"/>
        <v>0</v>
      </c>
      <c r="CA95" s="693">
        <f t="shared" si="70"/>
        <v>0</v>
      </c>
      <c r="CB95" s="836">
        <f t="shared" si="71"/>
        <v>0</v>
      </c>
      <c r="CC95" s="693">
        <f>IF(AND($C95="Early Retirement",$H95&lt;&gt;"",$R95&lt;&gt;"",$T95&lt;&gt;""),$BZ95,Baselines!$CJ88)</f>
        <v>0</v>
      </c>
      <c r="CD95" s="693">
        <f>IF(AND($C95="Early Retirement",$H95&lt;&gt;"",$R95&lt;&gt;"",$T95&lt;&gt;""),$CA95,Baselines!$CK88)</f>
        <v>0</v>
      </c>
      <c r="CE95" s="182" t="str">
        <f>Baselines!$CL88</f>
        <v>kW/ton</v>
      </c>
      <c r="CF95" s="850" t="str">
        <f t="shared" si="56"/>
        <v/>
      </c>
      <c r="CG95" s="833">
        <f>IF(AND($C95="Early Retirement",$H95&lt;&gt;"",$R95&lt;&gt;"",$T95&lt;&gt;""),$CB95,IF(AND(Baselines!$CM88=0,OR($CL95="DX HP",$CL95="PTHP")),$BB95,Baselines!$CM88))</f>
        <v>0</v>
      </c>
      <c r="CH95" s="830" t="s">
        <v>567</v>
      </c>
      <c r="CI95" s="185" t="str">
        <f>IF(OR($C95="Replace-on-Burnout",$C95="New Construction"),$CT95,IF($BW95="","",VLOOKUP($D95,'Factor Tables'!$B$165:$H$192,MATCH($BW95,'Factor Tables'!$B$164:$H$164,0),FALSE)))</f>
        <v/>
      </c>
      <c r="CJ95" s="842" t="str">
        <f>IF(OR($C95="Replace-on-Burnout",$C95="New Construction"),$CU95,IF($BW95="","",IF($BW95="DX HP",VLOOKUP($D95,'Factor Tables'!$I$165:$Q$192,MATCH("DX HP Clg",'Factor Tables'!$I$164:$Q$164,0),FALSE),IF($BW95="PTHP",VLOOKUP($D95,'Factor Tables'!$I$165:$Q$192,MATCH("PTHP Clg",'Factor Tables'!$I$164:$Q$164,0),FALSE),IF(AND($BW95&lt;&gt;"DX HP",$BW95&lt;&gt;"PTHP"),VLOOKUP($D95,'Factor Tables'!$I$165:$Q$192,MATCH($BW95,'Factor Tables'!$I$164:$Q$164,0),FALSE),"")))))</f>
        <v/>
      </c>
      <c r="CK95" s="186" t="str">
        <f>IF(OR($C95="Replace-on-Burnout",$C95="New Construction",$CL95="DX HP",$CL95="PTHP"),$CV95,IF($BW95="","",IF($BW95="DX HP",VLOOKUP($D95,'Factor Tables'!$I$165:$Q$192,MATCH("DX HP Htg",'Factor Tables'!$I$164:$Q$164,0),FALSE),IF($BW95="PTHP",VLOOKUP($D95,'Factor Tables'!$I$165:$Q$192,MATCH("PTHP Htg",'Factor Tables'!$I$164:$Q$164,0),FALSE),0))))</f>
        <v/>
      </c>
      <c r="CL95" s="187" t="str">
        <f t="shared" si="57"/>
        <v/>
      </c>
      <c r="CM95" s="251" t="str">
        <f t="shared" si="58"/>
        <v/>
      </c>
      <c r="CN95" s="184">
        <f t="shared" si="72"/>
        <v>0</v>
      </c>
      <c r="CO95" s="693">
        <f t="shared" si="73"/>
        <v>0</v>
      </c>
      <c r="CP95" s="182" t="s">
        <v>46</v>
      </c>
      <c r="CQ95" s="852" t="str">
        <f t="shared" si="74"/>
        <v/>
      </c>
      <c r="CR95" s="833">
        <f t="shared" si="75"/>
        <v>0</v>
      </c>
      <c r="CS95" s="830" t="s">
        <v>567</v>
      </c>
      <c r="CT95" s="185" t="str">
        <f>IF($CL95="","",VLOOKUP($D95,'Factor Tables'!$B$165:$H$192,MATCH($CL95,'Factor Tables'!$B$164:$H$164,0),FALSE))</f>
        <v/>
      </c>
      <c r="CU95" s="842" t="str">
        <f>IF($CL95="","",IF(AND($CL95&lt;&gt;"DX HP",$CL95&lt;&gt;"PTHP"),VLOOKUP($D95,'Factor Tables'!$I$165:$Q$192,MATCH($CL95,'Factor Tables'!$I$164:$Q$164,0),FALSE),IF($CL95="DX HP",VLOOKUP($D95,'Factor Tables'!$I$165:$Q$192,MATCH("DX HP Clg",'Factor Tables'!$I$164:$Q$164,0),FALSE),IF($CL95="PTHP",VLOOKUP($D95,'Factor Tables'!$I$165:$Q$192,MATCH("PTHP Clg",'Factor Tables'!$I$164:$Q$164,0),FALSE),""))))</f>
        <v/>
      </c>
      <c r="CV95" s="186" t="str">
        <f>IF($CL95="","",IF(AND($CL95&lt;&gt;"DX HP",$CL95&lt;&gt;"PTHP"),0,IF($CL95="DX HP",VLOOKUP($D95,'Factor Tables'!$I$165:$Q$192,MATCH("DX HP Htg",'Factor Tables'!$I$164:$Q$164,0),FALSE),IF($CL95="PTHP",VLOOKUP($D95,'Factor Tables'!$I$165:$Q$192,MATCH("PTHP Htg",'Factor Tables'!$I$164:$Q$164,0),FALSE),""))))</f>
        <v/>
      </c>
      <c r="DD95" s="194" t="s">
        <v>53</v>
      </c>
      <c r="DE95" s="426"/>
      <c r="DI95" s="425"/>
      <c r="DJ95" s="425"/>
      <c r="DK95" s="425"/>
      <c r="DL95" s="425"/>
      <c r="DM95" s="493" t="s">
        <v>478</v>
      </c>
    </row>
    <row r="96" spans="2:117" s="427" customFormat="1" ht="21.95" customHeight="1" x14ac:dyDescent="0.25">
      <c r="B96" s="431">
        <v>87</v>
      </c>
      <c r="C96" s="501" t="str">
        <f t="shared" si="59"/>
        <v/>
      </c>
      <c r="D96" s="502" t="str">
        <f t="shared" si="60"/>
        <v/>
      </c>
      <c r="E96" s="546"/>
      <c r="F96" s="547"/>
      <c r="G96" s="729"/>
      <c r="H96" s="729"/>
      <c r="I96" s="729"/>
      <c r="J96" s="729"/>
      <c r="K96" s="729"/>
      <c r="L96" s="729"/>
      <c r="M96" s="765"/>
      <c r="N96" s="758"/>
      <c r="O96" s="765"/>
      <c r="P96" s="758"/>
      <c r="Q96" s="1143"/>
      <c r="R96" s="1134"/>
      <c r="S96" s="775"/>
      <c r="T96" s="729"/>
      <c r="U96" s="775"/>
      <c r="V96" s="779"/>
      <c r="W96" s="557"/>
      <c r="X96" s="788"/>
      <c r="Y96" s="543"/>
      <c r="Z96" s="281"/>
      <c r="AA96" s="281"/>
      <c r="AB96" s="281"/>
      <c r="AC96" s="281"/>
      <c r="AD96" s="492"/>
      <c r="AE96" s="527">
        <f t="shared" si="39"/>
        <v>0</v>
      </c>
      <c r="AF96" s="527">
        <f t="shared" si="61"/>
        <v>0</v>
      </c>
      <c r="AG96" s="527">
        <f t="shared" si="41"/>
        <v>0</v>
      </c>
      <c r="AH96" s="527">
        <f t="shared" si="42"/>
        <v>0</v>
      </c>
      <c r="AI96" s="527">
        <f t="shared" si="43"/>
        <v>0</v>
      </c>
      <c r="AJ96" s="527">
        <f t="shared" si="44"/>
        <v>999999999</v>
      </c>
      <c r="AK96" s="471"/>
      <c r="AL96" s="765"/>
      <c r="AM96" s="758"/>
      <c r="AN96" s="281"/>
      <c r="AO96" s="775"/>
      <c r="AP96" s="775"/>
      <c r="AQ96" s="281"/>
      <c r="AR96" s="528"/>
      <c r="AS96" s="532"/>
      <c r="AT96" s="524" t="str">
        <f t="shared" si="45"/>
        <v/>
      </c>
      <c r="AU96" s="311">
        <f t="shared" si="46"/>
        <v>0</v>
      </c>
      <c r="AV96" s="288">
        <f t="shared" si="62"/>
        <v>0</v>
      </c>
      <c r="AW96" s="290">
        <f>IF(ISERROR($AU96*'Utility Admin'!$E$4+$AV96*'Utility Admin'!$F$4),0,$AU96*'Utility Admin'!$E$4+$AV96*'Utility Admin'!$F$4)</f>
        <v>0</v>
      </c>
      <c r="AX96" s="323" t="str">
        <f t="shared" si="47"/>
        <v/>
      </c>
      <c r="AY96" s="322" t="str">
        <f t="shared" si="23"/>
        <v/>
      </c>
      <c r="AZ96" s="319">
        <f>Baselines!$CJ340</f>
        <v>0</v>
      </c>
      <c r="BA96" s="735">
        <f>Baselines!$CK340</f>
        <v>0</v>
      </c>
      <c r="BB96" s="839">
        <f>Baselines!$CM340</f>
        <v>0</v>
      </c>
      <c r="BC96" s="466">
        <f t="shared" si="48"/>
        <v>0</v>
      </c>
      <c r="BD96" s="464">
        <f t="shared" si="63"/>
        <v>0</v>
      </c>
      <c r="BE96" s="755">
        <f t="shared" si="49"/>
        <v>0</v>
      </c>
      <c r="BF96" s="755">
        <f t="shared" si="64"/>
        <v>0</v>
      </c>
      <c r="BG96" s="466">
        <f t="shared" si="50"/>
        <v>0</v>
      </c>
      <c r="BH96" s="464">
        <f t="shared" si="51"/>
        <v>0</v>
      </c>
      <c r="BI96" s="755">
        <f t="shared" si="52"/>
        <v>0</v>
      </c>
      <c r="BJ96" s="755">
        <f t="shared" si="65"/>
        <v>0</v>
      </c>
      <c r="BK96" s="333">
        <f>IF(OR($C96&lt;&gt;"Early Retirement",$H96=""),0,IF(AND($G96&lt;&gt;"Air Cooled Chiller",$G96&lt;&gt;"Water Cooled Chiller"),VLOOKUP($H96,'Early Retirement'!$CI$6:$CL$33,2,FALSE),IF($J96&lt;&gt;"Centrifugal",VLOOKUP($H96,'Early Retirement'!$CI$6:$CL$33,3,FALSE),IF($J96="Centrifugal",VLOOKUP($H96,'Early Retirement'!$CI$6:$CL$33,4,FALSE),""))))</f>
        <v>0</v>
      </c>
      <c r="BL96" s="450">
        <f t="shared" si="53"/>
        <v>0</v>
      </c>
      <c r="BM96" s="553">
        <f>IFERROR('Utility Admin'!$I$4*((1+'Utility Admin'!$G$4)/('Utility Admin'!$H$4-'Utility Admin'!$G$4))*(1-((1+'Utility Admin'!$G$4)/(1+'Utility Admin'!$H$4))^$BK96)*$BG96,0)</f>
        <v>0</v>
      </c>
      <c r="BN96" s="553">
        <f>IFERROR('Utility Admin'!$I$4*((1+'Utility Admin'!$G$4)/('Utility Admin'!$H$4-'Utility Admin'!$G$4))*(1-((1+'Utility Admin'!$G$4)/(1+'Utility Admin'!$H$4))^$BL96)*((1+'Utility Admin'!$G$4)^$BK96/(1+'Utility Admin'!$H$4)^$BK96)*$BC96,0)</f>
        <v>0</v>
      </c>
      <c r="BO96" s="553">
        <f t="shared" si="27"/>
        <v>0</v>
      </c>
      <c r="BP96" s="553">
        <f>IFERROR('Utility Admin'!$J$4*((1+'Utility Admin'!$G$4)/('Utility Admin'!$H$4-'Utility Admin'!$G$4))*(1-((1+'Utility Admin'!$G$4)/(1+'Utility Admin'!$H$4))^$BK96)*$BJ96,0)</f>
        <v>0</v>
      </c>
      <c r="BQ96" s="553">
        <f>IFERROR('Utility Admin'!$J$4*((1+'Utility Admin'!$G$4)/('Utility Admin'!$H$4-'Utility Admin'!$G$4))*(1-((1+'Utility Admin'!$G$4)/(1+'Utility Admin'!$H$4))^$BL96)*((1+'Utility Admin'!$G$4)^$BK96/(1+'Utility Admin'!$H$4)^$BK96)*$BF96,0)</f>
        <v>0</v>
      </c>
      <c r="BR96" s="553">
        <f t="shared" si="28"/>
        <v>0</v>
      </c>
      <c r="BS96" s="553">
        <f>IFERROR('Utility Admin'!$I$4*((1+'Utility Admin'!$G$4)/('Utility Admin'!$H$4-'Utility Admin'!$G$4))*(1-((1+'Utility Admin'!$G$4)/(1+'Utility Admin'!$H$4))^$AT96),0)</f>
        <v>0</v>
      </c>
      <c r="BT96" s="553">
        <f>IFERROR('Utility Admin'!$J$4*((1+'Utility Admin'!$G$4)/('Utility Admin'!$H$4-'Utility Admin'!$G$4))*(1-((1+'Utility Admin'!$G$4)/(1+'Utility Admin'!$H$4))^$AT96),0)</f>
        <v>0</v>
      </c>
      <c r="BU96" s="459">
        <f t="shared" si="66"/>
        <v>0</v>
      </c>
      <c r="BV96" s="462">
        <f t="shared" si="67"/>
        <v>0</v>
      </c>
      <c r="BW96" s="219" t="str">
        <f t="shared" si="54"/>
        <v/>
      </c>
      <c r="BX96" s="250" t="str">
        <f t="shared" si="68"/>
        <v/>
      </c>
      <c r="BY96" s="250" t="str">
        <f t="shared" si="55"/>
        <v/>
      </c>
      <c r="BZ96" s="184">
        <f t="shared" si="69"/>
        <v>0</v>
      </c>
      <c r="CA96" s="693">
        <f t="shared" si="70"/>
        <v>0</v>
      </c>
      <c r="CB96" s="836">
        <f t="shared" si="71"/>
        <v>0</v>
      </c>
      <c r="CC96" s="693">
        <f>IF(AND($C96="Early Retirement",$H96&lt;&gt;"",$R96&lt;&gt;"",$T96&lt;&gt;""),$BZ96,Baselines!$CJ89)</f>
        <v>0</v>
      </c>
      <c r="CD96" s="693">
        <f>IF(AND($C96="Early Retirement",$H96&lt;&gt;"",$R96&lt;&gt;"",$T96&lt;&gt;""),$CA96,Baselines!$CK89)</f>
        <v>0</v>
      </c>
      <c r="CE96" s="182" t="str">
        <f>Baselines!$CL89</f>
        <v>kW/ton</v>
      </c>
      <c r="CF96" s="850" t="str">
        <f t="shared" si="56"/>
        <v/>
      </c>
      <c r="CG96" s="833">
        <f>IF(AND($C96="Early Retirement",$H96&lt;&gt;"",$R96&lt;&gt;"",$T96&lt;&gt;""),$CB96,IF(AND(Baselines!$CM89=0,OR($CL96="DX HP",$CL96="PTHP")),$BB96,Baselines!$CM89))</f>
        <v>0</v>
      </c>
      <c r="CH96" s="830" t="s">
        <v>567</v>
      </c>
      <c r="CI96" s="185" t="str">
        <f>IF(OR($C96="Replace-on-Burnout",$C96="New Construction"),$CT96,IF($BW96="","",VLOOKUP($D96,'Factor Tables'!$B$165:$H$192,MATCH($BW96,'Factor Tables'!$B$164:$H$164,0),FALSE)))</f>
        <v/>
      </c>
      <c r="CJ96" s="842" t="str">
        <f>IF(OR($C96="Replace-on-Burnout",$C96="New Construction"),$CU96,IF($BW96="","",IF($BW96="DX HP",VLOOKUP($D96,'Factor Tables'!$I$165:$Q$192,MATCH("DX HP Clg",'Factor Tables'!$I$164:$Q$164,0),FALSE),IF($BW96="PTHP",VLOOKUP($D96,'Factor Tables'!$I$165:$Q$192,MATCH("PTHP Clg",'Factor Tables'!$I$164:$Q$164,0),FALSE),IF(AND($BW96&lt;&gt;"DX HP",$BW96&lt;&gt;"PTHP"),VLOOKUP($D96,'Factor Tables'!$I$165:$Q$192,MATCH($BW96,'Factor Tables'!$I$164:$Q$164,0),FALSE),"")))))</f>
        <v/>
      </c>
      <c r="CK96" s="186" t="str">
        <f>IF(OR($C96="Replace-on-Burnout",$C96="New Construction",$CL96="DX HP",$CL96="PTHP"),$CV96,IF($BW96="","",IF($BW96="DX HP",VLOOKUP($D96,'Factor Tables'!$I$165:$Q$192,MATCH("DX HP Htg",'Factor Tables'!$I$164:$Q$164,0),FALSE),IF($BW96="PTHP",VLOOKUP($D96,'Factor Tables'!$I$165:$Q$192,MATCH("PTHP Htg",'Factor Tables'!$I$164:$Q$164,0),FALSE),0))))</f>
        <v/>
      </c>
      <c r="CL96" s="187" t="str">
        <f t="shared" si="57"/>
        <v/>
      </c>
      <c r="CM96" s="251" t="str">
        <f t="shared" si="58"/>
        <v/>
      </c>
      <c r="CN96" s="184">
        <f t="shared" si="72"/>
        <v>0</v>
      </c>
      <c r="CO96" s="693">
        <f t="shared" si="73"/>
        <v>0</v>
      </c>
      <c r="CP96" s="182" t="s">
        <v>46</v>
      </c>
      <c r="CQ96" s="852" t="str">
        <f t="shared" si="74"/>
        <v/>
      </c>
      <c r="CR96" s="833">
        <f t="shared" si="75"/>
        <v>0</v>
      </c>
      <c r="CS96" s="830" t="s">
        <v>567</v>
      </c>
      <c r="CT96" s="185" t="str">
        <f>IF($CL96="","",VLOOKUP($D96,'Factor Tables'!$B$165:$H$192,MATCH($CL96,'Factor Tables'!$B$164:$H$164,0),FALSE))</f>
        <v/>
      </c>
      <c r="CU96" s="842" t="str">
        <f>IF($CL96="","",IF(AND($CL96&lt;&gt;"DX HP",$CL96&lt;&gt;"PTHP"),VLOOKUP($D96,'Factor Tables'!$I$165:$Q$192,MATCH($CL96,'Factor Tables'!$I$164:$Q$164,0),FALSE),IF($CL96="DX HP",VLOOKUP($D96,'Factor Tables'!$I$165:$Q$192,MATCH("DX HP Clg",'Factor Tables'!$I$164:$Q$164,0),FALSE),IF($CL96="PTHP",VLOOKUP($D96,'Factor Tables'!$I$165:$Q$192,MATCH("PTHP Clg",'Factor Tables'!$I$164:$Q$164,0),FALSE),""))))</f>
        <v/>
      </c>
      <c r="CV96" s="186" t="str">
        <f>IF($CL96="","",IF(AND($CL96&lt;&gt;"DX HP",$CL96&lt;&gt;"PTHP"),0,IF($CL96="DX HP",VLOOKUP($D96,'Factor Tables'!$I$165:$Q$192,MATCH("DX HP Htg",'Factor Tables'!$I$164:$Q$164,0),FALSE),IF($CL96="PTHP",VLOOKUP($D96,'Factor Tables'!$I$165:$Q$192,MATCH("PTHP Htg",'Factor Tables'!$I$164:$Q$164,0),FALSE),""))))</f>
        <v/>
      </c>
      <c r="DD96" s="77" t="s">
        <v>54</v>
      </c>
      <c r="DE96" s="426"/>
      <c r="DI96" s="425"/>
      <c r="DJ96" s="425"/>
      <c r="DK96" s="425"/>
      <c r="DL96" s="425"/>
      <c r="DM96" s="493" t="s">
        <v>478</v>
      </c>
    </row>
    <row r="97" spans="2:117" s="427" customFormat="1" ht="21.95" customHeight="1" x14ac:dyDescent="0.25">
      <c r="B97" s="432">
        <v>88</v>
      </c>
      <c r="C97" s="499" t="str">
        <f t="shared" si="59"/>
        <v/>
      </c>
      <c r="D97" s="403" t="str">
        <f t="shared" si="60"/>
        <v/>
      </c>
      <c r="E97" s="541"/>
      <c r="F97" s="785"/>
      <c r="G97" s="728"/>
      <c r="H97" s="728"/>
      <c r="I97" s="728"/>
      <c r="J97" s="728"/>
      <c r="K97" s="728"/>
      <c r="L97" s="728"/>
      <c r="M97" s="764"/>
      <c r="N97" s="728"/>
      <c r="O97" s="764"/>
      <c r="P97" s="728"/>
      <c r="Q97" s="1142"/>
      <c r="R97" s="1133"/>
      <c r="S97" s="778"/>
      <c r="T97" s="767"/>
      <c r="U97" s="778"/>
      <c r="V97" s="751"/>
      <c r="W97" s="556"/>
      <c r="X97" s="785"/>
      <c r="Y97" s="542"/>
      <c r="Z97" s="500"/>
      <c r="AA97" s="500"/>
      <c r="AB97" s="500"/>
      <c r="AC97" s="500"/>
      <c r="AD97" s="529"/>
      <c r="AE97" s="527">
        <f t="shared" si="39"/>
        <v>0</v>
      </c>
      <c r="AF97" s="527">
        <f t="shared" si="61"/>
        <v>0</v>
      </c>
      <c r="AG97" s="527">
        <f t="shared" si="41"/>
        <v>0</v>
      </c>
      <c r="AH97" s="527">
        <f t="shared" si="42"/>
        <v>0</v>
      </c>
      <c r="AI97" s="527">
        <f t="shared" si="43"/>
        <v>0</v>
      </c>
      <c r="AJ97" s="527">
        <f t="shared" si="44"/>
        <v>999999999</v>
      </c>
      <c r="AK97" s="530"/>
      <c r="AL97" s="776"/>
      <c r="AM97" s="777"/>
      <c r="AN97" s="500"/>
      <c r="AO97" s="778"/>
      <c r="AP97" s="778"/>
      <c r="AQ97" s="500"/>
      <c r="AR97" s="531"/>
      <c r="AS97" s="403"/>
      <c r="AT97" s="524" t="str">
        <f t="shared" si="45"/>
        <v/>
      </c>
      <c r="AU97" s="311">
        <f t="shared" si="46"/>
        <v>0</v>
      </c>
      <c r="AV97" s="288">
        <f t="shared" si="62"/>
        <v>0</v>
      </c>
      <c r="AW97" s="290">
        <f>IF(ISERROR($AU97*'Utility Admin'!$E$4+$AV97*'Utility Admin'!$F$4),0,$AU97*'Utility Admin'!$E$4+$AV97*'Utility Admin'!$F$4)</f>
        <v>0</v>
      </c>
      <c r="AX97" s="323" t="str">
        <f t="shared" si="47"/>
        <v/>
      </c>
      <c r="AY97" s="322" t="str">
        <f t="shared" si="23"/>
        <v/>
      </c>
      <c r="AZ97" s="319">
        <f>Baselines!$CJ341</f>
        <v>0</v>
      </c>
      <c r="BA97" s="735">
        <f>Baselines!$CK341</f>
        <v>0</v>
      </c>
      <c r="BB97" s="839">
        <f>Baselines!$CM341</f>
        <v>0</v>
      </c>
      <c r="BC97" s="466">
        <f t="shared" si="48"/>
        <v>0</v>
      </c>
      <c r="BD97" s="464">
        <f t="shared" si="63"/>
        <v>0</v>
      </c>
      <c r="BE97" s="755">
        <f t="shared" si="49"/>
        <v>0</v>
      </c>
      <c r="BF97" s="755">
        <f t="shared" si="64"/>
        <v>0</v>
      </c>
      <c r="BG97" s="466">
        <f t="shared" si="50"/>
        <v>0</v>
      </c>
      <c r="BH97" s="464">
        <f t="shared" si="51"/>
        <v>0</v>
      </c>
      <c r="BI97" s="755">
        <f t="shared" si="52"/>
        <v>0</v>
      </c>
      <c r="BJ97" s="755">
        <f t="shared" si="65"/>
        <v>0</v>
      </c>
      <c r="BK97" s="333">
        <f>IF(OR($C97&lt;&gt;"Early Retirement",$H97=""),0,IF(AND($G97&lt;&gt;"Air Cooled Chiller",$G97&lt;&gt;"Water Cooled Chiller"),VLOOKUP($H97,'Early Retirement'!$CI$6:$CL$33,2,FALSE),IF($J97&lt;&gt;"Centrifugal",VLOOKUP($H97,'Early Retirement'!$CI$6:$CL$33,3,FALSE),IF($J97="Centrifugal",VLOOKUP($H97,'Early Retirement'!$CI$6:$CL$33,4,FALSE),""))))</f>
        <v>0</v>
      </c>
      <c r="BL97" s="450">
        <f t="shared" si="53"/>
        <v>0</v>
      </c>
      <c r="BM97" s="553">
        <f>IFERROR('Utility Admin'!$I$4*((1+'Utility Admin'!$G$4)/('Utility Admin'!$H$4-'Utility Admin'!$G$4))*(1-((1+'Utility Admin'!$G$4)/(1+'Utility Admin'!$H$4))^$BK97)*$BG97,0)</f>
        <v>0</v>
      </c>
      <c r="BN97" s="553">
        <f>IFERROR('Utility Admin'!$I$4*((1+'Utility Admin'!$G$4)/('Utility Admin'!$H$4-'Utility Admin'!$G$4))*(1-((1+'Utility Admin'!$G$4)/(1+'Utility Admin'!$H$4))^$BL97)*((1+'Utility Admin'!$G$4)^$BK97/(1+'Utility Admin'!$H$4)^$BK97)*$BC97,0)</f>
        <v>0</v>
      </c>
      <c r="BO97" s="553">
        <f t="shared" si="27"/>
        <v>0</v>
      </c>
      <c r="BP97" s="553">
        <f>IFERROR('Utility Admin'!$J$4*((1+'Utility Admin'!$G$4)/('Utility Admin'!$H$4-'Utility Admin'!$G$4))*(1-((1+'Utility Admin'!$G$4)/(1+'Utility Admin'!$H$4))^$BK97)*$BJ97,0)</f>
        <v>0</v>
      </c>
      <c r="BQ97" s="553">
        <f>IFERROR('Utility Admin'!$J$4*((1+'Utility Admin'!$G$4)/('Utility Admin'!$H$4-'Utility Admin'!$G$4))*(1-((1+'Utility Admin'!$G$4)/(1+'Utility Admin'!$H$4))^$BL97)*((1+'Utility Admin'!$G$4)^$BK97/(1+'Utility Admin'!$H$4)^$BK97)*$BF97,0)</f>
        <v>0</v>
      </c>
      <c r="BR97" s="553">
        <f t="shared" si="28"/>
        <v>0</v>
      </c>
      <c r="BS97" s="553">
        <f>IFERROR('Utility Admin'!$I$4*((1+'Utility Admin'!$G$4)/('Utility Admin'!$H$4-'Utility Admin'!$G$4))*(1-((1+'Utility Admin'!$G$4)/(1+'Utility Admin'!$H$4))^$AT97),0)</f>
        <v>0</v>
      </c>
      <c r="BT97" s="553">
        <f>IFERROR('Utility Admin'!$J$4*((1+'Utility Admin'!$G$4)/('Utility Admin'!$H$4-'Utility Admin'!$G$4))*(1-((1+'Utility Admin'!$G$4)/(1+'Utility Admin'!$H$4))^$AT97),0)</f>
        <v>0</v>
      </c>
      <c r="BU97" s="459">
        <f t="shared" si="66"/>
        <v>0</v>
      </c>
      <c r="BV97" s="462">
        <f t="shared" si="67"/>
        <v>0</v>
      </c>
      <c r="BW97" s="219" t="str">
        <f t="shared" si="54"/>
        <v/>
      </c>
      <c r="BX97" s="250" t="str">
        <f t="shared" si="68"/>
        <v/>
      </c>
      <c r="BY97" s="250" t="str">
        <f t="shared" si="55"/>
        <v/>
      </c>
      <c r="BZ97" s="184">
        <f t="shared" si="69"/>
        <v>0</v>
      </c>
      <c r="CA97" s="693">
        <f t="shared" si="70"/>
        <v>0</v>
      </c>
      <c r="CB97" s="836">
        <f t="shared" si="71"/>
        <v>0</v>
      </c>
      <c r="CC97" s="693">
        <f>IF(AND($C97="Early Retirement",$H97&lt;&gt;"",$R97&lt;&gt;"",$T97&lt;&gt;""),$BZ97,Baselines!$CJ90)</f>
        <v>0</v>
      </c>
      <c r="CD97" s="693">
        <f>IF(AND($C97="Early Retirement",$H97&lt;&gt;"",$R97&lt;&gt;"",$T97&lt;&gt;""),$CA97,Baselines!$CK90)</f>
        <v>0</v>
      </c>
      <c r="CE97" s="182" t="str">
        <f>Baselines!$CL90</f>
        <v>kW/ton</v>
      </c>
      <c r="CF97" s="850" t="str">
        <f t="shared" si="56"/>
        <v/>
      </c>
      <c r="CG97" s="833">
        <f>IF(AND($C97="Early Retirement",$H97&lt;&gt;"",$R97&lt;&gt;"",$T97&lt;&gt;""),$CB97,IF(AND(Baselines!$CM90=0,OR($CL97="DX HP",$CL97="PTHP")),$BB97,Baselines!$CM90))</f>
        <v>0</v>
      </c>
      <c r="CH97" s="830" t="s">
        <v>567</v>
      </c>
      <c r="CI97" s="185" t="str">
        <f>IF(OR($C97="Replace-on-Burnout",$C97="New Construction"),$CT97,IF($BW97="","",VLOOKUP($D97,'Factor Tables'!$B$165:$H$192,MATCH($BW97,'Factor Tables'!$B$164:$H$164,0),FALSE)))</f>
        <v/>
      </c>
      <c r="CJ97" s="842" t="str">
        <f>IF(OR($C97="Replace-on-Burnout",$C97="New Construction"),$CU97,IF($BW97="","",IF($BW97="DX HP",VLOOKUP($D97,'Factor Tables'!$I$165:$Q$192,MATCH("DX HP Clg",'Factor Tables'!$I$164:$Q$164,0),FALSE),IF($BW97="PTHP",VLOOKUP($D97,'Factor Tables'!$I$165:$Q$192,MATCH("PTHP Clg",'Factor Tables'!$I$164:$Q$164,0),FALSE),IF(AND($BW97&lt;&gt;"DX HP",$BW97&lt;&gt;"PTHP"),VLOOKUP($D97,'Factor Tables'!$I$165:$Q$192,MATCH($BW97,'Factor Tables'!$I$164:$Q$164,0),FALSE),"")))))</f>
        <v/>
      </c>
      <c r="CK97" s="186" t="str">
        <f>IF(OR($C97="Replace-on-Burnout",$C97="New Construction",$CL97="DX HP",$CL97="PTHP"),$CV97,IF($BW97="","",IF($BW97="DX HP",VLOOKUP($D97,'Factor Tables'!$I$165:$Q$192,MATCH("DX HP Htg",'Factor Tables'!$I$164:$Q$164,0),FALSE),IF($BW97="PTHP",VLOOKUP($D97,'Factor Tables'!$I$165:$Q$192,MATCH("PTHP Htg",'Factor Tables'!$I$164:$Q$164,0),FALSE),0))))</f>
        <v/>
      </c>
      <c r="CL97" s="187" t="str">
        <f t="shared" si="57"/>
        <v/>
      </c>
      <c r="CM97" s="251" t="str">
        <f t="shared" si="58"/>
        <v/>
      </c>
      <c r="CN97" s="184">
        <f t="shared" si="72"/>
        <v>0</v>
      </c>
      <c r="CO97" s="693">
        <f t="shared" si="73"/>
        <v>0</v>
      </c>
      <c r="CP97" s="182" t="s">
        <v>46</v>
      </c>
      <c r="CQ97" s="852" t="str">
        <f t="shared" si="74"/>
        <v/>
      </c>
      <c r="CR97" s="833">
        <f t="shared" si="75"/>
        <v>0</v>
      </c>
      <c r="CS97" s="830" t="s">
        <v>567</v>
      </c>
      <c r="CT97" s="185" t="str">
        <f>IF($CL97="","",VLOOKUP($D97,'Factor Tables'!$B$165:$H$192,MATCH($CL97,'Factor Tables'!$B$164:$H$164,0),FALSE))</f>
        <v/>
      </c>
      <c r="CU97" s="842" t="str">
        <f>IF($CL97="","",IF(AND($CL97&lt;&gt;"DX HP",$CL97&lt;&gt;"PTHP"),VLOOKUP($D97,'Factor Tables'!$I$165:$Q$192,MATCH($CL97,'Factor Tables'!$I$164:$Q$164,0),FALSE),IF($CL97="DX HP",VLOOKUP($D97,'Factor Tables'!$I$165:$Q$192,MATCH("DX HP Clg",'Factor Tables'!$I$164:$Q$164,0),FALSE),IF($CL97="PTHP",VLOOKUP($D97,'Factor Tables'!$I$165:$Q$192,MATCH("PTHP Clg",'Factor Tables'!$I$164:$Q$164,0),FALSE),""))))</f>
        <v/>
      </c>
      <c r="CV97" s="186" t="str">
        <f>IF($CL97="","",IF(AND($CL97&lt;&gt;"DX HP",$CL97&lt;&gt;"PTHP"),0,IF($CL97="DX HP",VLOOKUP($D97,'Factor Tables'!$I$165:$Q$192,MATCH("DX HP Htg",'Factor Tables'!$I$164:$Q$164,0),FALSE),IF($CL97="PTHP",VLOOKUP($D97,'Factor Tables'!$I$165:$Q$192,MATCH("PTHP Htg",'Factor Tables'!$I$164:$Q$164,0),FALSE),""))))</f>
        <v/>
      </c>
      <c r="DD97" s="845"/>
      <c r="DE97" s="426"/>
      <c r="DI97" s="425"/>
      <c r="DJ97" s="425"/>
      <c r="DK97" s="425"/>
      <c r="DL97" s="425"/>
      <c r="DM97" s="493" t="s">
        <v>478</v>
      </c>
    </row>
    <row r="98" spans="2:117" s="427" customFormat="1" ht="21.95" customHeight="1" x14ac:dyDescent="0.25">
      <c r="B98" s="431">
        <v>89</v>
      </c>
      <c r="C98" s="501" t="str">
        <f t="shared" si="59"/>
        <v/>
      </c>
      <c r="D98" s="502" t="str">
        <f t="shared" si="60"/>
        <v/>
      </c>
      <c r="E98" s="546"/>
      <c r="F98" s="547"/>
      <c r="G98" s="729"/>
      <c r="H98" s="729"/>
      <c r="I98" s="729"/>
      <c r="J98" s="729"/>
      <c r="K98" s="729"/>
      <c r="L98" s="729"/>
      <c r="M98" s="765"/>
      <c r="N98" s="758"/>
      <c r="O98" s="765"/>
      <c r="P98" s="758"/>
      <c r="Q98" s="1143"/>
      <c r="R98" s="1134"/>
      <c r="S98" s="775"/>
      <c r="T98" s="729"/>
      <c r="U98" s="775"/>
      <c r="V98" s="779"/>
      <c r="W98" s="557"/>
      <c r="X98" s="788"/>
      <c r="Y98" s="543"/>
      <c r="Z98" s="281"/>
      <c r="AA98" s="281"/>
      <c r="AB98" s="281"/>
      <c r="AC98" s="281"/>
      <c r="AD98" s="492"/>
      <c r="AE98" s="527">
        <f t="shared" si="39"/>
        <v>0</v>
      </c>
      <c r="AF98" s="527">
        <f t="shared" si="61"/>
        <v>0</v>
      </c>
      <c r="AG98" s="527">
        <f t="shared" si="41"/>
        <v>0</v>
      </c>
      <c r="AH98" s="527">
        <f t="shared" si="42"/>
        <v>0</v>
      </c>
      <c r="AI98" s="527">
        <f t="shared" si="43"/>
        <v>0</v>
      </c>
      <c r="AJ98" s="527">
        <f t="shared" si="44"/>
        <v>999999999</v>
      </c>
      <c r="AK98" s="471"/>
      <c r="AL98" s="765"/>
      <c r="AM98" s="758"/>
      <c r="AN98" s="281"/>
      <c r="AO98" s="775"/>
      <c r="AP98" s="775"/>
      <c r="AQ98" s="281"/>
      <c r="AR98" s="528"/>
      <c r="AS98" s="532"/>
      <c r="AT98" s="524" t="str">
        <f t="shared" si="45"/>
        <v/>
      </c>
      <c r="AU98" s="311">
        <f t="shared" si="46"/>
        <v>0</v>
      </c>
      <c r="AV98" s="288">
        <f t="shared" si="62"/>
        <v>0</v>
      </c>
      <c r="AW98" s="290">
        <f>IF(ISERROR($AU98*'Utility Admin'!$E$4+$AV98*'Utility Admin'!$F$4),0,$AU98*'Utility Admin'!$E$4+$AV98*'Utility Admin'!$F$4)</f>
        <v>0</v>
      </c>
      <c r="AX98" s="323" t="str">
        <f t="shared" si="47"/>
        <v/>
      </c>
      <c r="AY98" s="322" t="str">
        <f t="shared" si="23"/>
        <v/>
      </c>
      <c r="AZ98" s="319">
        <f>Baselines!$CJ342</f>
        <v>0</v>
      </c>
      <c r="BA98" s="735">
        <f>Baselines!$CK342</f>
        <v>0</v>
      </c>
      <c r="BB98" s="839">
        <f>Baselines!$CM342</f>
        <v>0</v>
      </c>
      <c r="BC98" s="466">
        <f t="shared" si="48"/>
        <v>0</v>
      </c>
      <c r="BD98" s="464">
        <f t="shared" si="63"/>
        <v>0</v>
      </c>
      <c r="BE98" s="755">
        <f t="shared" si="49"/>
        <v>0</v>
      </c>
      <c r="BF98" s="755">
        <f t="shared" si="64"/>
        <v>0</v>
      </c>
      <c r="BG98" s="466">
        <f t="shared" si="50"/>
        <v>0</v>
      </c>
      <c r="BH98" s="464">
        <f t="shared" si="51"/>
        <v>0</v>
      </c>
      <c r="BI98" s="755">
        <f t="shared" si="52"/>
        <v>0</v>
      </c>
      <c r="BJ98" s="755">
        <f t="shared" si="65"/>
        <v>0</v>
      </c>
      <c r="BK98" s="333">
        <f>IF(OR($C98&lt;&gt;"Early Retirement",$H98=""),0,IF(AND($G98&lt;&gt;"Air Cooled Chiller",$G98&lt;&gt;"Water Cooled Chiller"),VLOOKUP($H98,'Early Retirement'!$CI$6:$CL$33,2,FALSE),IF($J98&lt;&gt;"Centrifugal",VLOOKUP($H98,'Early Retirement'!$CI$6:$CL$33,3,FALSE),IF($J98="Centrifugal",VLOOKUP($H98,'Early Retirement'!$CI$6:$CL$33,4,FALSE),""))))</f>
        <v>0</v>
      </c>
      <c r="BL98" s="450">
        <f t="shared" si="53"/>
        <v>0</v>
      </c>
      <c r="BM98" s="553">
        <f>IFERROR('Utility Admin'!$I$4*((1+'Utility Admin'!$G$4)/('Utility Admin'!$H$4-'Utility Admin'!$G$4))*(1-((1+'Utility Admin'!$G$4)/(1+'Utility Admin'!$H$4))^$BK98)*$BG98,0)</f>
        <v>0</v>
      </c>
      <c r="BN98" s="553">
        <f>IFERROR('Utility Admin'!$I$4*((1+'Utility Admin'!$G$4)/('Utility Admin'!$H$4-'Utility Admin'!$G$4))*(1-((1+'Utility Admin'!$G$4)/(1+'Utility Admin'!$H$4))^$BL98)*((1+'Utility Admin'!$G$4)^$BK98/(1+'Utility Admin'!$H$4)^$BK98)*$BC98,0)</f>
        <v>0</v>
      </c>
      <c r="BO98" s="553">
        <f t="shared" si="27"/>
        <v>0</v>
      </c>
      <c r="BP98" s="553">
        <f>IFERROR('Utility Admin'!$J$4*((1+'Utility Admin'!$G$4)/('Utility Admin'!$H$4-'Utility Admin'!$G$4))*(1-((1+'Utility Admin'!$G$4)/(1+'Utility Admin'!$H$4))^$BK98)*$BJ98,0)</f>
        <v>0</v>
      </c>
      <c r="BQ98" s="553">
        <f>IFERROR('Utility Admin'!$J$4*((1+'Utility Admin'!$G$4)/('Utility Admin'!$H$4-'Utility Admin'!$G$4))*(1-((1+'Utility Admin'!$G$4)/(1+'Utility Admin'!$H$4))^$BL98)*((1+'Utility Admin'!$G$4)^$BK98/(1+'Utility Admin'!$H$4)^$BK98)*$BF98,0)</f>
        <v>0</v>
      </c>
      <c r="BR98" s="553">
        <f t="shared" si="28"/>
        <v>0</v>
      </c>
      <c r="BS98" s="553">
        <f>IFERROR('Utility Admin'!$I$4*((1+'Utility Admin'!$G$4)/('Utility Admin'!$H$4-'Utility Admin'!$G$4))*(1-((1+'Utility Admin'!$G$4)/(1+'Utility Admin'!$H$4))^$AT98),0)</f>
        <v>0</v>
      </c>
      <c r="BT98" s="553">
        <f>IFERROR('Utility Admin'!$J$4*((1+'Utility Admin'!$G$4)/('Utility Admin'!$H$4-'Utility Admin'!$G$4))*(1-((1+'Utility Admin'!$G$4)/(1+'Utility Admin'!$H$4))^$AT98),0)</f>
        <v>0</v>
      </c>
      <c r="BU98" s="459">
        <f t="shared" si="66"/>
        <v>0</v>
      </c>
      <c r="BV98" s="462">
        <f t="shared" si="67"/>
        <v>0</v>
      </c>
      <c r="BW98" s="219" t="str">
        <f t="shared" si="54"/>
        <v/>
      </c>
      <c r="BX98" s="250" t="str">
        <f t="shared" si="68"/>
        <v/>
      </c>
      <c r="BY98" s="250" t="str">
        <f t="shared" si="55"/>
        <v/>
      </c>
      <c r="BZ98" s="184">
        <f t="shared" si="69"/>
        <v>0</v>
      </c>
      <c r="CA98" s="693">
        <f t="shared" si="70"/>
        <v>0</v>
      </c>
      <c r="CB98" s="836">
        <f t="shared" si="71"/>
        <v>0</v>
      </c>
      <c r="CC98" s="693">
        <f>IF(AND($C98="Early Retirement",$H98&lt;&gt;"",$R98&lt;&gt;"",$T98&lt;&gt;""),$BZ98,Baselines!$CJ91)</f>
        <v>0</v>
      </c>
      <c r="CD98" s="693">
        <f>IF(AND($C98="Early Retirement",$H98&lt;&gt;"",$R98&lt;&gt;"",$T98&lt;&gt;""),$CA98,Baselines!$CK91)</f>
        <v>0</v>
      </c>
      <c r="CE98" s="182" t="str">
        <f>Baselines!$CL91</f>
        <v>kW/ton</v>
      </c>
      <c r="CF98" s="850" t="str">
        <f t="shared" si="56"/>
        <v/>
      </c>
      <c r="CG98" s="833">
        <f>IF(AND($C98="Early Retirement",$H98&lt;&gt;"",$R98&lt;&gt;"",$T98&lt;&gt;""),$CB98,IF(AND(Baselines!$CM91=0,OR($CL98="DX HP",$CL98="PTHP")),$BB98,Baselines!$CM91))</f>
        <v>0</v>
      </c>
      <c r="CH98" s="830" t="s">
        <v>567</v>
      </c>
      <c r="CI98" s="185" t="str">
        <f>IF(OR($C98="Replace-on-Burnout",$C98="New Construction"),$CT98,IF($BW98="","",VLOOKUP($D98,'Factor Tables'!$B$165:$H$192,MATCH($BW98,'Factor Tables'!$B$164:$H$164,0),FALSE)))</f>
        <v/>
      </c>
      <c r="CJ98" s="842" t="str">
        <f>IF(OR($C98="Replace-on-Burnout",$C98="New Construction"),$CU98,IF($BW98="","",IF($BW98="DX HP",VLOOKUP($D98,'Factor Tables'!$I$165:$Q$192,MATCH("DX HP Clg",'Factor Tables'!$I$164:$Q$164,0),FALSE),IF($BW98="PTHP",VLOOKUP($D98,'Factor Tables'!$I$165:$Q$192,MATCH("PTHP Clg",'Factor Tables'!$I$164:$Q$164,0),FALSE),IF(AND($BW98&lt;&gt;"DX HP",$BW98&lt;&gt;"PTHP"),VLOOKUP($D98,'Factor Tables'!$I$165:$Q$192,MATCH($BW98,'Factor Tables'!$I$164:$Q$164,0),FALSE),"")))))</f>
        <v/>
      </c>
      <c r="CK98" s="186" t="str">
        <f>IF(OR($C98="Replace-on-Burnout",$C98="New Construction",$CL98="DX HP",$CL98="PTHP"),$CV98,IF($BW98="","",IF($BW98="DX HP",VLOOKUP($D98,'Factor Tables'!$I$165:$Q$192,MATCH("DX HP Htg",'Factor Tables'!$I$164:$Q$164,0),FALSE),IF($BW98="PTHP",VLOOKUP($D98,'Factor Tables'!$I$165:$Q$192,MATCH("PTHP Htg",'Factor Tables'!$I$164:$Q$164,0),FALSE),0))))</f>
        <v/>
      </c>
      <c r="CL98" s="187" t="str">
        <f t="shared" si="57"/>
        <v/>
      </c>
      <c r="CM98" s="251" t="str">
        <f t="shared" si="58"/>
        <v/>
      </c>
      <c r="CN98" s="184">
        <f t="shared" si="72"/>
        <v>0</v>
      </c>
      <c r="CO98" s="693">
        <f t="shared" si="73"/>
        <v>0</v>
      </c>
      <c r="CP98" s="182" t="s">
        <v>46</v>
      </c>
      <c r="CQ98" s="852" t="str">
        <f t="shared" si="74"/>
        <v/>
      </c>
      <c r="CR98" s="833">
        <f t="shared" si="75"/>
        <v>0</v>
      </c>
      <c r="CS98" s="830" t="s">
        <v>567</v>
      </c>
      <c r="CT98" s="185" t="str">
        <f>IF($CL98="","",VLOOKUP($D98,'Factor Tables'!$B$165:$H$192,MATCH($CL98,'Factor Tables'!$B$164:$H$164,0),FALSE))</f>
        <v/>
      </c>
      <c r="CU98" s="842" t="str">
        <f>IF($CL98="","",IF(AND($CL98&lt;&gt;"DX HP",$CL98&lt;&gt;"PTHP"),VLOOKUP($D98,'Factor Tables'!$I$165:$Q$192,MATCH($CL98,'Factor Tables'!$I$164:$Q$164,0),FALSE),IF($CL98="DX HP",VLOOKUP($D98,'Factor Tables'!$I$165:$Q$192,MATCH("DX HP Clg",'Factor Tables'!$I$164:$Q$164,0),FALSE),IF($CL98="PTHP",VLOOKUP($D98,'Factor Tables'!$I$165:$Q$192,MATCH("PTHP Clg",'Factor Tables'!$I$164:$Q$164,0),FALSE),""))))</f>
        <v/>
      </c>
      <c r="CV98" s="186" t="str">
        <f>IF($CL98="","",IF(AND($CL98&lt;&gt;"DX HP",$CL98&lt;&gt;"PTHP"),0,IF($CL98="DX HP",VLOOKUP($D98,'Factor Tables'!$I$165:$Q$192,MATCH("DX HP Htg",'Factor Tables'!$I$164:$Q$164,0),FALSE),IF($CL98="PTHP",VLOOKUP($D98,'Factor Tables'!$I$165:$Q$192,MATCH("PTHP Htg",'Factor Tables'!$I$164:$Q$164,0),FALSE),""))))</f>
        <v/>
      </c>
      <c r="DD98" s="193" t="s">
        <v>356</v>
      </c>
      <c r="DE98" s="426"/>
      <c r="DI98" s="425"/>
      <c r="DJ98" s="425"/>
      <c r="DK98" s="425"/>
      <c r="DL98" s="425"/>
      <c r="DM98" s="493" t="s">
        <v>478</v>
      </c>
    </row>
    <row r="99" spans="2:117" s="427" customFormat="1" ht="21.95" customHeight="1" x14ac:dyDescent="0.25">
      <c r="B99" s="432">
        <v>90</v>
      </c>
      <c r="C99" s="499" t="str">
        <f t="shared" si="59"/>
        <v/>
      </c>
      <c r="D99" s="403" t="str">
        <f t="shared" si="60"/>
        <v/>
      </c>
      <c r="E99" s="541"/>
      <c r="F99" s="785"/>
      <c r="G99" s="728"/>
      <c r="H99" s="728"/>
      <c r="I99" s="728"/>
      <c r="J99" s="728"/>
      <c r="K99" s="728"/>
      <c r="L99" s="728"/>
      <c r="M99" s="764"/>
      <c r="N99" s="728"/>
      <c r="O99" s="764"/>
      <c r="P99" s="728"/>
      <c r="Q99" s="1142"/>
      <c r="R99" s="1133"/>
      <c r="S99" s="778"/>
      <c r="T99" s="767"/>
      <c r="U99" s="778"/>
      <c r="V99" s="751"/>
      <c r="W99" s="556"/>
      <c r="X99" s="785"/>
      <c r="Y99" s="542"/>
      <c r="Z99" s="500"/>
      <c r="AA99" s="500"/>
      <c r="AB99" s="500"/>
      <c r="AC99" s="500"/>
      <c r="AD99" s="529"/>
      <c r="AE99" s="527">
        <f t="shared" si="39"/>
        <v>0</v>
      </c>
      <c r="AF99" s="527">
        <f t="shared" si="61"/>
        <v>0</v>
      </c>
      <c r="AG99" s="527">
        <f t="shared" si="41"/>
        <v>0</v>
      </c>
      <c r="AH99" s="527">
        <f t="shared" si="42"/>
        <v>0</v>
      </c>
      <c r="AI99" s="527">
        <f t="shared" si="43"/>
        <v>0</v>
      </c>
      <c r="AJ99" s="527">
        <f t="shared" si="44"/>
        <v>999999999</v>
      </c>
      <c r="AK99" s="530"/>
      <c r="AL99" s="776"/>
      <c r="AM99" s="777"/>
      <c r="AN99" s="500"/>
      <c r="AO99" s="778"/>
      <c r="AP99" s="778"/>
      <c r="AQ99" s="500"/>
      <c r="AR99" s="531"/>
      <c r="AS99" s="403"/>
      <c r="AT99" s="524" t="str">
        <f t="shared" si="45"/>
        <v/>
      </c>
      <c r="AU99" s="311">
        <f t="shared" si="46"/>
        <v>0</v>
      </c>
      <c r="AV99" s="288">
        <f t="shared" si="62"/>
        <v>0</v>
      </c>
      <c r="AW99" s="290">
        <f>IF(ISERROR($AU99*'Utility Admin'!$E$4+$AV99*'Utility Admin'!$F$4),0,$AU99*'Utility Admin'!$E$4+$AV99*'Utility Admin'!$F$4)</f>
        <v>0</v>
      </c>
      <c r="AX99" s="323" t="str">
        <f t="shared" si="47"/>
        <v/>
      </c>
      <c r="AY99" s="322" t="str">
        <f t="shared" si="23"/>
        <v/>
      </c>
      <c r="AZ99" s="319">
        <f>Baselines!$CJ343</f>
        <v>0</v>
      </c>
      <c r="BA99" s="735">
        <f>Baselines!$CK343</f>
        <v>0</v>
      </c>
      <c r="BB99" s="839">
        <f>Baselines!$CM343</f>
        <v>0</v>
      </c>
      <c r="BC99" s="466">
        <f t="shared" si="48"/>
        <v>0</v>
      </c>
      <c r="BD99" s="464">
        <f t="shared" si="63"/>
        <v>0</v>
      </c>
      <c r="BE99" s="755">
        <f t="shared" si="49"/>
        <v>0</v>
      </c>
      <c r="BF99" s="755">
        <f t="shared" si="64"/>
        <v>0</v>
      </c>
      <c r="BG99" s="466">
        <f t="shared" si="50"/>
        <v>0</v>
      </c>
      <c r="BH99" s="464">
        <f t="shared" si="51"/>
        <v>0</v>
      </c>
      <c r="BI99" s="755">
        <f t="shared" si="52"/>
        <v>0</v>
      </c>
      <c r="BJ99" s="755">
        <f t="shared" si="65"/>
        <v>0</v>
      </c>
      <c r="BK99" s="333">
        <f>IF(OR($C99&lt;&gt;"Early Retirement",$H99=""),0,IF(AND($G99&lt;&gt;"Air Cooled Chiller",$G99&lt;&gt;"Water Cooled Chiller"),VLOOKUP($H99,'Early Retirement'!$CI$6:$CL$33,2,FALSE),IF($J99&lt;&gt;"Centrifugal",VLOOKUP($H99,'Early Retirement'!$CI$6:$CL$33,3,FALSE),IF($J99="Centrifugal",VLOOKUP($H99,'Early Retirement'!$CI$6:$CL$33,4,FALSE),""))))</f>
        <v>0</v>
      </c>
      <c r="BL99" s="450">
        <f t="shared" si="53"/>
        <v>0</v>
      </c>
      <c r="BM99" s="553">
        <f>IFERROR('Utility Admin'!$I$4*((1+'Utility Admin'!$G$4)/('Utility Admin'!$H$4-'Utility Admin'!$G$4))*(1-((1+'Utility Admin'!$G$4)/(1+'Utility Admin'!$H$4))^$BK99)*$BG99,0)</f>
        <v>0</v>
      </c>
      <c r="BN99" s="553">
        <f>IFERROR('Utility Admin'!$I$4*((1+'Utility Admin'!$G$4)/('Utility Admin'!$H$4-'Utility Admin'!$G$4))*(1-((1+'Utility Admin'!$G$4)/(1+'Utility Admin'!$H$4))^$BL99)*((1+'Utility Admin'!$G$4)^$BK99/(1+'Utility Admin'!$H$4)^$BK99)*$BC99,0)</f>
        <v>0</v>
      </c>
      <c r="BO99" s="553">
        <f t="shared" si="27"/>
        <v>0</v>
      </c>
      <c r="BP99" s="553">
        <f>IFERROR('Utility Admin'!$J$4*((1+'Utility Admin'!$G$4)/('Utility Admin'!$H$4-'Utility Admin'!$G$4))*(1-((1+'Utility Admin'!$G$4)/(1+'Utility Admin'!$H$4))^$BK99)*$BJ99,0)</f>
        <v>0</v>
      </c>
      <c r="BQ99" s="553">
        <f>IFERROR('Utility Admin'!$J$4*((1+'Utility Admin'!$G$4)/('Utility Admin'!$H$4-'Utility Admin'!$G$4))*(1-((1+'Utility Admin'!$G$4)/(1+'Utility Admin'!$H$4))^$BL99)*((1+'Utility Admin'!$G$4)^$BK99/(1+'Utility Admin'!$H$4)^$BK99)*$BF99,0)</f>
        <v>0</v>
      </c>
      <c r="BR99" s="553">
        <f t="shared" si="28"/>
        <v>0</v>
      </c>
      <c r="BS99" s="553">
        <f>IFERROR('Utility Admin'!$I$4*((1+'Utility Admin'!$G$4)/('Utility Admin'!$H$4-'Utility Admin'!$G$4))*(1-((1+'Utility Admin'!$G$4)/(1+'Utility Admin'!$H$4))^$AT99),0)</f>
        <v>0</v>
      </c>
      <c r="BT99" s="553">
        <f>IFERROR('Utility Admin'!$J$4*((1+'Utility Admin'!$G$4)/('Utility Admin'!$H$4-'Utility Admin'!$G$4))*(1-((1+'Utility Admin'!$G$4)/(1+'Utility Admin'!$H$4))^$AT99),0)</f>
        <v>0</v>
      </c>
      <c r="BU99" s="459">
        <f t="shared" si="66"/>
        <v>0</v>
      </c>
      <c r="BV99" s="462">
        <f t="shared" si="67"/>
        <v>0</v>
      </c>
      <c r="BW99" s="219" t="str">
        <f t="shared" si="54"/>
        <v/>
      </c>
      <c r="BX99" s="250" t="str">
        <f t="shared" si="68"/>
        <v/>
      </c>
      <c r="BY99" s="250" t="str">
        <f t="shared" si="55"/>
        <v/>
      </c>
      <c r="BZ99" s="184">
        <f t="shared" si="69"/>
        <v>0</v>
      </c>
      <c r="CA99" s="693">
        <f t="shared" si="70"/>
        <v>0</v>
      </c>
      <c r="CB99" s="836">
        <f t="shared" si="71"/>
        <v>0</v>
      </c>
      <c r="CC99" s="693">
        <f>IF(AND($C99="Early Retirement",$H99&lt;&gt;"",$R99&lt;&gt;"",$T99&lt;&gt;""),$BZ99,Baselines!$CJ92)</f>
        <v>0</v>
      </c>
      <c r="CD99" s="693">
        <f>IF(AND($C99="Early Retirement",$H99&lt;&gt;"",$R99&lt;&gt;"",$T99&lt;&gt;""),$CA99,Baselines!$CK92)</f>
        <v>0</v>
      </c>
      <c r="CE99" s="182" t="str">
        <f>Baselines!$CL92</f>
        <v>kW/ton</v>
      </c>
      <c r="CF99" s="850" t="str">
        <f t="shared" si="56"/>
        <v/>
      </c>
      <c r="CG99" s="833">
        <f>IF(AND($C99="Early Retirement",$H99&lt;&gt;"",$R99&lt;&gt;"",$T99&lt;&gt;""),$CB99,IF(AND(Baselines!$CM92=0,OR($CL99="DX HP",$CL99="PTHP")),$BB99,Baselines!$CM92))</f>
        <v>0</v>
      </c>
      <c r="CH99" s="830" t="s">
        <v>567</v>
      </c>
      <c r="CI99" s="185" t="str">
        <f>IF(OR($C99="Replace-on-Burnout",$C99="New Construction"),$CT99,IF($BW99="","",VLOOKUP($D99,'Factor Tables'!$B$165:$H$192,MATCH($BW99,'Factor Tables'!$B$164:$H$164,0),FALSE)))</f>
        <v/>
      </c>
      <c r="CJ99" s="842" t="str">
        <f>IF(OR($C99="Replace-on-Burnout",$C99="New Construction"),$CU99,IF($BW99="","",IF($BW99="DX HP",VLOOKUP($D99,'Factor Tables'!$I$165:$Q$192,MATCH("DX HP Clg",'Factor Tables'!$I$164:$Q$164,0),FALSE),IF($BW99="PTHP",VLOOKUP($D99,'Factor Tables'!$I$165:$Q$192,MATCH("PTHP Clg",'Factor Tables'!$I$164:$Q$164,0),FALSE),IF(AND($BW99&lt;&gt;"DX HP",$BW99&lt;&gt;"PTHP"),VLOOKUP($D99,'Factor Tables'!$I$165:$Q$192,MATCH($BW99,'Factor Tables'!$I$164:$Q$164,0),FALSE),"")))))</f>
        <v/>
      </c>
      <c r="CK99" s="186" t="str">
        <f>IF(OR($C99="Replace-on-Burnout",$C99="New Construction",$CL99="DX HP",$CL99="PTHP"),$CV99,IF($BW99="","",IF($BW99="DX HP",VLOOKUP($D99,'Factor Tables'!$I$165:$Q$192,MATCH("DX HP Htg",'Factor Tables'!$I$164:$Q$164,0),FALSE),IF($BW99="PTHP",VLOOKUP($D99,'Factor Tables'!$I$165:$Q$192,MATCH("PTHP Htg",'Factor Tables'!$I$164:$Q$164,0),FALSE),0))))</f>
        <v/>
      </c>
      <c r="CL99" s="187" t="str">
        <f t="shared" si="57"/>
        <v/>
      </c>
      <c r="CM99" s="251" t="str">
        <f t="shared" si="58"/>
        <v/>
      </c>
      <c r="CN99" s="184">
        <f t="shared" si="72"/>
        <v>0</v>
      </c>
      <c r="CO99" s="693">
        <f t="shared" si="73"/>
        <v>0</v>
      </c>
      <c r="CP99" s="182" t="s">
        <v>46</v>
      </c>
      <c r="CQ99" s="852" t="str">
        <f t="shared" si="74"/>
        <v/>
      </c>
      <c r="CR99" s="833">
        <f t="shared" si="75"/>
        <v>0</v>
      </c>
      <c r="CS99" s="830" t="s">
        <v>567</v>
      </c>
      <c r="CT99" s="185" t="str">
        <f>IF($CL99="","",VLOOKUP($D99,'Factor Tables'!$B$165:$H$192,MATCH($CL99,'Factor Tables'!$B$164:$H$164,0),FALSE))</f>
        <v/>
      </c>
      <c r="CU99" s="842" t="str">
        <f>IF($CL99="","",IF(AND($CL99&lt;&gt;"DX HP",$CL99&lt;&gt;"PTHP"),VLOOKUP($D99,'Factor Tables'!$I$165:$Q$192,MATCH($CL99,'Factor Tables'!$I$164:$Q$164,0),FALSE),IF($CL99="DX HP",VLOOKUP($D99,'Factor Tables'!$I$165:$Q$192,MATCH("DX HP Clg",'Factor Tables'!$I$164:$Q$164,0),FALSE),IF($CL99="PTHP",VLOOKUP($D99,'Factor Tables'!$I$165:$Q$192,MATCH("PTHP Clg",'Factor Tables'!$I$164:$Q$164,0),FALSE),""))))</f>
        <v/>
      </c>
      <c r="CV99" s="186" t="str">
        <f>IF($CL99="","",IF(AND($CL99&lt;&gt;"DX HP",$CL99&lt;&gt;"PTHP"),0,IF($CL99="DX HP",VLOOKUP($D99,'Factor Tables'!$I$165:$Q$192,MATCH("DX HP Htg",'Factor Tables'!$I$164:$Q$164,0),FALSE),IF($CL99="PTHP",VLOOKUP($D99,'Factor Tables'!$I$165:$Q$192,MATCH("PTHP Htg",'Factor Tables'!$I$164:$Q$164,0),FALSE),""))))</f>
        <v/>
      </c>
      <c r="DD99" s="194" t="s">
        <v>53</v>
      </c>
      <c r="DE99" s="426"/>
      <c r="DI99" s="425"/>
      <c r="DJ99" s="425"/>
      <c r="DK99" s="425"/>
      <c r="DL99" s="425"/>
      <c r="DM99" s="493" t="s">
        <v>478</v>
      </c>
    </row>
    <row r="100" spans="2:117" s="427" customFormat="1" ht="21.95" customHeight="1" x14ac:dyDescent="0.25">
      <c r="B100" s="431">
        <v>91</v>
      </c>
      <c r="C100" s="501" t="str">
        <f t="shared" si="59"/>
        <v/>
      </c>
      <c r="D100" s="502" t="str">
        <f t="shared" si="60"/>
        <v/>
      </c>
      <c r="E100" s="546"/>
      <c r="F100" s="547"/>
      <c r="G100" s="729"/>
      <c r="H100" s="729"/>
      <c r="I100" s="729"/>
      <c r="J100" s="729"/>
      <c r="K100" s="729"/>
      <c r="L100" s="729"/>
      <c r="M100" s="765"/>
      <c r="N100" s="758"/>
      <c r="O100" s="765"/>
      <c r="P100" s="758"/>
      <c r="Q100" s="1143"/>
      <c r="R100" s="1134"/>
      <c r="S100" s="775"/>
      <c r="T100" s="729"/>
      <c r="U100" s="775"/>
      <c r="V100" s="779"/>
      <c r="W100" s="557"/>
      <c r="X100" s="788"/>
      <c r="Y100" s="543"/>
      <c r="Z100" s="281"/>
      <c r="AA100" s="281"/>
      <c r="AB100" s="281"/>
      <c r="AC100" s="281"/>
      <c r="AD100" s="492"/>
      <c r="AE100" s="527">
        <f t="shared" si="39"/>
        <v>0</v>
      </c>
      <c r="AF100" s="527">
        <f t="shared" si="61"/>
        <v>0</v>
      </c>
      <c r="AG100" s="527">
        <f t="shared" si="41"/>
        <v>0</v>
      </c>
      <c r="AH100" s="527">
        <f t="shared" si="42"/>
        <v>0</v>
      </c>
      <c r="AI100" s="527">
        <f t="shared" si="43"/>
        <v>0</v>
      </c>
      <c r="AJ100" s="527">
        <f t="shared" si="44"/>
        <v>999999999</v>
      </c>
      <c r="AK100" s="471"/>
      <c r="AL100" s="765"/>
      <c r="AM100" s="758"/>
      <c r="AN100" s="281"/>
      <c r="AO100" s="775"/>
      <c r="AP100" s="775"/>
      <c r="AQ100" s="281"/>
      <c r="AR100" s="528"/>
      <c r="AS100" s="532"/>
      <c r="AT100" s="524" t="str">
        <f t="shared" si="45"/>
        <v/>
      </c>
      <c r="AU100" s="311">
        <f t="shared" si="46"/>
        <v>0</v>
      </c>
      <c r="AV100" s="288">
        <f t="shared" si="62"/>
        <v>0</v>
      </c>
      <c r="AW100" s="290">
        <f>IF(ISERROR($AU100*'Utility Admin'!$E$4+$AV100*'Utility Admin'!$F$4),0,$AU100*'Utility Admin'!$E$4+$AV100*'Utility Admin'!$F$4)</f>
        <v>0</v>
      </c>
      <c r="AX100" s="323" t="str">
        <f t="shared" si="47"/>
        <v/>
      </c>
      <c r="AY100" s="322" t="str">
        <f t="shared" si="23"/>
        <v/>
      </c>
      <c r="AZ100" s="319">
        <f>Baselines!$CJ344</f>
        <v>0</v>
      </c>
      <c r="BA100" s="735">
        <f>Baselines!$CK344</f>
        <v>0</v>
      </c>
      <c r="BB100" s="839">
        <f>Baselines!$CM344</f>
        <v>0</v>
      </c>
      <c r="BC100" s="466">
        <f t="shared" si="48"/>
        <v>0</v>
      </c>
      <c r="BD100" s="464">
        <f t="shared" si="63"/>
        <v>0</v>
      </c>
      <c r="BE100" s="755">
        <f t="shared" si="49"/>
        <v>0</v>
      </c>
      <c r="BF100" s="755">
        <f t="shared" si="64"/>
        <v>0</v>
      </c>
      <c r="BG100" s="466">
        <f t="shared" si="50"/>
        <v>0</v>
      </c>
      <c r="BH100" s="464">
        <f t="shared" si="51"/>
        <v>0</v>
      </c>
      <c r="BI100" s="755">
        <f t="shared" si="52"/>
        <v>0</v>
      </c>
      <c r="BJ100" s="755">
        <f t="shared" si="65"/>
        <v>0</v>
      </c>
      <c r="BK100" s="333">
        <f>IF(OR($C100&lt;&gt;"Early Retirement",$H100=""),0,IF(AND($G100&lt;&gt;"Air Cooled Chiller",$G100&lt;&gt;"Water Cooled Chiller"),VLOOKUP($H100,'Early Retirement'!$CI$6:$CL$33,2,FALSE),IF($J100&lt;&gt;"Centrifugal",VLOOKUP($H100,'Early Retirement'!$CI$6:$CL$33,3,FALSE),IF($J100="Centrifugal",VLOOKUP($H100,'Early Retirement'!$CI$6:$CL$33,4,FALSE),""))))</f>
        <v>0</v>
      </c>
      <c r="BL100" s="450">
        <f t="shared" si="53"/>
        <v>0</v>
      </c>
      <c r="BM100" s="553">
        <f>IFERROR('Utility Admin'!$I$4*((1+'Utility Admin'!$G$4)/('Utility Admin'!$H$4-'Utility Admin'!$G$4))*(1-((1+'Utility Admin'!$G$4)/(1+'Utility Admin'!$H$4))^$BK100)*$BG100,0)</f>
        <v>0</v>
      </c>
      <c r="BN100" s="553">
        <f>IFERROR('Utility Admin'!$I$4*((1+'Utility Admin'!$G$4)/('Utility Admin'!$H$4-'Utility Admin'!$G$4))*(1-((1+'Utility Admin'!$G$4)/(1+'Utility Admin'!$H$4))^$BL100)*((1+'Utility Admin'!$G$4)^$BK100/(1+'Utility Admin'!$H$4)^$BK100)*$BC100,0)</f>
        <v>0</v>
      </c>
      <c r="BO100" s="553">
        <f t="shared" si="27"/>
        <v>0</v>
      </c>
      <c r="BP100" s="553">
        <f>IFERROR('Utility Admin'!$J$4*((1+'Utility Admin'!$G$4)/('Utility Admin'!$H$4-'Utility Admin'!$G$4))*(1-((1+'Utility Admin'!$G$4)/(1+'Utility Admin'!$H$4))^$BK100)*$BJ100,0)</f>
        <v>0</v>
      </c>
      <c r="BQ100" s="553">
        <f>IFERROR('Utility Admin'!$J$4*((1+'Utility Admin'!$G$4)/('Utility Admin'!$H$4-'Utility Admin'!$G$4))*(1-((1+'Utility Admin'!$G$4)/(1+'Utility Admin'!$H$4))^$BL100)*((1+'Utility Admin'!$G$4)^$BK100/(1+'Utility Admin'!$H$4)^$BK100)*$BF100,0)</f>
        <v>0</v>
      </c>
      <c r="BR100" s="553">
        <f t="shared" si="28"/>
        <v>0</v>
      </c>
      <c r="BS100" s="553">
        <f>IFERROR('Utility Admin'!$I$4*((1+'Utility Admin'!$G$4)/('Utility Admin'!$H$4-'Utility Admin'!$G$4))*(1-((1+'Utility Admin'!$G$4)/(1+'Utility Admin'!$H$4))^$AT100),0)</f>
        <v>0</v>
      </c>
      <c r="BT100" s="553">
        <f>IFERROR('Utility Admin'!$J$4*((1+'Utility Admin'!$G$4)/('Utility Admin'!$H$4-'Utility Admin'!$G$4))*(1-((1+'Utility Admin'!$G$4)/(1+'Utility Admin'!$H$4))^$AT100),0)</f>
        <v>0</v>
      </c>
      <c r="BU100" s="459">
        <f t="shared" si="66"/>
        <v>0</v>
      </c>
      <c r="BV100" s="462">
        <f t="shared" si="67"/>
        <v>0</v>
      </c>
      <c r="BW100" s="219" t="str">
        <f t="shared" si="54"/>
        <v/>
      </c>
      <c r="BX100" s="250" t="str">
        <f t="shared" si="68"/>
        <v/>
      </c>
      <c r="BY100" s="250" t="str">
        <f t="shared" si="55"/>
        <v/>
      </c>
      <c r="BZ100" s="184">
        <f t="shared" si="69"/>
        <v>0</v>
      </c>
      <c r="CA100" s="693">
        <f t="shared" si="70"/>
        <v>0</v>
      </c>
      <c r="CB100" s="836">
        <f t="shared" si="71"/>
        <v>0</v>
      </c>
      <c r="CC100" s="693">
        <f>IF(AND($C100="Early Retirement",$H100&lt;&gt;"",$R100&lt;&gt;"",$T100&lt;&gt;""),$BZ100,Baselines!$CJ93)</f>
        <v>0</v>
      </c>
      <c r="CD100" s="693">
        <f>IF(AND($C100="Early Retirement",$H100&lt;&gt;"",$R100&lt;&gt;"",$T100&lt;&gt;""),$CA100,Baselines!$CK93)</f>
        <v>0</v>
      </c>
      <c r="CE100" s="182" t="str">
        <f>Baselines!$CL93</f>
        <v>kW/ton</v>
      </c>
      <c r="CF100" s="850" t="str">
        <f t="shared" si="56"/>
        <v/>
      </c>
      <c r="CG100" s="833">
        <f>IF(AND($C100="Early Retirement",$H100&lt;&gt;"",$R100&lt;&gt;"",$T100&lt;&gt;""),$CB100,IF(AND(Baselines!$CM93=0,OR($CL100="DX HP",$CL100="PTHP")),$BB100,Baselines!$CM93))</f>
        <v>0</v>
      </c>
      <c r="CH100" s="830" t="s">
        <v>567</v>
      </c>
      <c r="CI100" s="185" t="str">
        <f>IF(OR($C100="Replace-on-Burnout",$C100="New Construction"),$CT100,IF($BW100="","",VLOOKUP($D100,'Factor Tables'!$B$165:$H$192,MATCH($BW100,'Factor Tables'!$B$164:$H$164,0),FALSE)))</f>
        <v/>
      </c>
      <c r="CJ100" s="842" t="str">
        <f>IF(OR($C100="Replace-on-Burnout",$C100="New Construction"),$CU100,IF($BW100="","",IF($BW100="DX HP",VLOOKUP($D100,'Factor Tables'!$I$165:$Q$192,MATCH("DX HP Clg",'Factor Tables'!$I$164:$Q$164,0),FALSE),IF($BW100="PTHP",VLOOKUP($D100,'Factor Tables'!$I$165:$Q$192,MATCH("PTHP Clg",'Factor Tables'!$I$164:$Q$164,0),FALSE),IF(AND($BW100&lt;&gt;"DX HP",$BW100&lt;&gt;"PTHP"),VLOOKUP($D100,'Factor Tables'!$I$165:$Q$192,MATCH($BW100,'Factor Tables'!$I$164:$Q$164,0),FALSE),"")))))</f>
        <v/>
      </c>
      <c r="CK100" s="186" t="str">
        <f>IF(OR($C100="Replace-on-Burnout",$C100="New Construction",$CL100="DX HP",$CL100="PTHP"),$CV100,IF($BW100="","",IF($BW100="DX HP",VLOOKUP($D100,'Factor Tables'!$I$165:$Q$192,MATCH("DX HP Htg",'Factor Tables'!$I$164:$Q$164,0),FALSE),IF($BW100="PTHP",VLOOKUP($D100,'Factor Tables'!$I$165:$Q$192,MATCH("PTHP Htg",'Factor Tables'!$I$164:$Q$164,0),FALSE),0))))</f>
        <v/>
      </c>
      <c r="CL100" s="187" t="str">
        <f t="shared" si="57"/>
        <v/>
      </c>
      <c r="CM100" s="251" t="str">
        <f t="shared" si="58"/>
        <v/>
      </c>
      <c r="CN100" s="184">
        <f t="shared" si="72"/>
        <v>0</v>
      </c>
      <c r="CO100" s="693">
        <f t="shared" si="73"/>
        <v>0</v>
      </c>
      <c r="CP100" s="182" t="s">
        <v>46</v>
      </c>
      <c r="CQ100" s="852" t="str">
        <f t="shared" si="74"/>
        <v/>
      </c>
      <c r="CR100" s="833">
        <f t="shared" si="75"/>
        <v>0</v>
      </c>
      <c r="CS100" s="830" t="s">
        <v>567</v>
      </c>
      <c r="CT100" s="185" t="str">
        <f>IF($CL100="","",VLOOKUP($D100,'Factor Tables'!$B$165:$H$192,MATCH($CL100,'Factor Tables'!$B$164:$H$164,0),FALSE))</f>
        <v/>
      </c>
      <c r="CU100" s="842" t="str">
        <f>IF($CL100="","",IF(AND($CL100&lt;&gt;"DX HP",$CL100&lt;&gt;"PTHP"),VLOOKUP($D100,'Factor Tables'!$I$165:$Q$192,MATCH($CL100,'Factor Tables'!$I$164:$Q$164,0),FALSE),IF($CL100="DX HP",VLOOKUP($D100,'Factor Tables'!$I$165:$Q$192,MATCH("DX HP Clg",'Factor Tables'!$I$164:$Q$164,0),FALSE),IF($CL100="PTHP",VLOOKUP($D100,'Factor Tables'!$I$165:$Q$192,MATCH("PTHP Clg",'Factor Tables'!$I$164:$Q$164,0),FALSE),""))))</f>
        <v/>
      </c>
      <c r="CV100" s="186" t="str">
        <f>IF($CL100="","",IF(AND($CL100&lt;&gt;"DX HP",$CL100&lt;&gt;"PTHP"),0,IF($CL100="DX HP",VLOOKUP($D100,'Factor Tables'!$I$165:$Q$192,MATCH("DX HP Htg",'Factor Tables'!$I$164:$Q$164,0),FALSE),IF($CL100="PTHP",VLOOKUP($D100,'Factor Tables'!$I$165:$Q$192,MATCH("PTHP Htg",'Factor Tables'!$I$164:$Q$164,0),FALSE),""))))</f>
        <v/>
      </c>
      <c r="DD100" s="845"/>
      <c r="DE100" s="426"/>
      <c r="DI100" s="425"/>
      <c r="DJ100" s="425"/>
      <c r="DK100" s="425"/>
      <c r="DL100" s="425"/>
      <c r="DM100" s="493" t="s">
        <v>478</v>
      </c>
    </row>
    <row r="101" spans="2:117" s="427" customFormat="1" ht="21.95" customHeight="1" x14ac:dyDescent="0.25">
      <c r="B101" s="432">
        <v>92</v>
      </c>
      <c r="C101" s="499" t="str">
        <f t="shared" si="59"/>
        <v/>
      </c>
      <c r="D101" s="403" t="str">
        <f t="shared" si="60"/>
        <v/>
      </c>
      <c r="E101" s="541"/>
      <c r="F101" s="785"/>
      <c r="G101" s="728"/>
      <c r="H101" s="728"/>
      <c r="I101" s="728"/>
      <c r="J101" s="728"/>
      <c r="K101" s="728"/>
      <c r="L101" s="728"/>
      <c r="M101" s="764"/>
      <c r="N101" s="728"/>
      <c r="O101" s="764"/>
      <c r="P101" s="728"/>
      <c r="Q101" s="1142"/>
      <c r="R101" s="1133"/>
      <c r="S101" s="778"/>
      <c r="T101" s="767"/>
      <c r="U101" s="778"/>
      <c r="V101" s="751"/>
      <c r="W101" s="556"/>
      <c r="X101" s="785"/>
      <c r="Y101" s="542"/>
      <c r="Z101" s="500"/>
      <c r="AA101" s="500"/>
      <c r="AB101" s="500"/>
      <c r="AC101" s="500"/>
      <c r="AD101" s="529"/>
      <c r="AE101" s="527">
        <f t="shared" si="39"/>
        <v>0</v>
      </c>
      <c r="AF101" s="527">
        <f t="shared" si="61"/>
        <v>0</v>
      </c>
      <c r="AG101" s="527">
        <f t="shared" si="41"/>
        <v>0</v>
      </c>
      <c r="AH101" s="527">
        <f t="shared" si="42"/>
        <v>0</v>
      </c>
      <c r="AI101" s="527">
        <f t="shared" si="43"/>
        <v>0</v>
      </c>
      <c r="AJ101" s="527">
        <f t="shared" si="44"/>
        <v>999999999</v>
      </c>
      <c r="AK101" s="530"/>
      <c r="AL101" s="776"/>
      <c r="AM101" s="777"/>
      <c r="AN101" s="500"/>
      <c r="AO101" s="778"/>
      <c r="AP101" s="778"/>
      <c r="AQ101" s="500"/>
      <c r="AR101" s="531"/>
      <c r="AS101" s="403"/>
      <c r="AT101" s="524" t="str">
        <f t="shared" si="45"/>
        <v/>
      </c>
      <c r="AU101" s="311">
        <f t="shared" si="46"/>
        <v>0</v>
      </c>
      <c r="AV101" s="288">
        <f t="shared" si="62"/>
        <v>0</v>
      </c>
      <c r="AW101" s="290">
        <f>IF(ISERROR($AU101*'Utility Admin'!$E$4+$AV101*'Utility Admin'!$F$4),0,$AU101*'Utility Admin'!$E$4+$AV101*'Utility Admin'!$F$4)</f>
        <v>0</v>
      </c>
      <c r="AX101" s="323" t="str">
        <f t="shared" si="47"/>
        <v/>
      </c>
      <c r="AY101" s="322" t="str">
        <f t="shared" si="23"/>
        <v/>
      </c>
      <c r="AZ101" s="319">
        <f>Baselines!$CJ345</f>
        <v>0</v>
      </c>
      <c r="BA101" s="735">
        <f>Baselines!$CK345</f>
        <v>0</v>
      </c>
      <c r="BB101" s="839">
        <f>Baselines!$CM345</f>
        <v>0</v>
      </c>
      <c r="BC101" s="466">
        <f t="shared" si="48"/>
        <v>0</v>
      </c>
      <c r="BD101" s="464">
        <f t="shared" si="63"/>
        <v>0</v>
      </c>
      <c r="BE101" s="755">
        <f t="shared" si="49"/>
        <v>0</v>
      </c>
      <c r="BF101" s="755">
        <f t="shared" si="64"/>
        <v>0</v>
      </c>
      <c r="BG101" s="466">
        <f t="shared" si="50"/>
        <v>0</v>
      </c>
      <c r="BH101" s="464">
        <f t="shared" si="51"/>
        <v>0</v>
      </c>
      <c r="BI101" s="755">
        <f t="shared" si="52"/>
        <v>0</v>
      </c>
      <c r="BJ101" s="755">
        <f t="shared" si="65"/>
        <v>0</v>
      </c>
      <c r="BK101" s="333">
        <f>IF(OR($C101&lt;&gt;"Early Retirement",$H101=""),0,IF(AND($G101&lt;&gt;"Air Cooled Chiller",$G101&lt;&gt;"Water Cooled Chiller"),VLOOKUP($H101,'Early Retirement'!$CI$6:$CL$33,2,FALSE),IF($J101&lt;&gt;"Centrifugal",VLOOKUP($H101,'Early Retirement'!$CI$6:$CL$33,3,FALSE),IF($J101="Centrifugal",VLOOKUP($H101,'Early Retirement'!$CI$6:$CL$33,4,FALSE),""))))</f>
        <v>0</v>
      </c>
      <c r="BL101" s="450">
        <f t="shared" si="53"/>
        <v>0</v>
      </c>
      <c r="BM101" s="553">
        <f>IFERROR('Utility Admin'!$I$4*((1+'Utility Admin'!$G$4)/('Utility Admin'!$H$4-'Utility Admin'!$G$4))*(1-((1+'Utility Admin'!$G$4)/(1+'Utility Admin'!$H$4))^$BK101)*$BG101,0)</f>
        <v>0</v>
      </c>
      <c r="BN101" s="553">
        <f>IFERROR('Utility Admin'!$I$4*((1+'Utility Admin'!$G$4)/('Utility Admin'!$H$4-'Utility Admin'!$G$4))*(1-((1+'Utility Admin'!$G$4)/(1+'Utility Admin'!$H$4))^$BL101)*((1+'Utility Admin'!$G$4)^$BK101/(1+'Utility Admin'!$H$4)^$BK101)*$BC101,0)</f>
        <v>0</v>
      </c>
      <c r="BO101" s="553">
        <f t="shared" si="27"/>
        <v>0</v>
      </c>
      <c r="BP101" s="553">
        <f>IFERROR('Utility Admin'!$J$4*((1+'Utility Admin'!$G$4)/('Utility Admin'!$H$4-'Utility Admin'!$G$4))*(1-((1+'Utility Admin'!$G$4)/(1+'Utility Admin'!$H$4))^$BK101)*$BJ101,0)</f>
        <v>0</v>
      </c>
      <c r="BQ101" s="553">
        <f>IFERROR('Utility Admin'!$J$4*((1+'Utility Admin'!$G$4)/('Utility Admin'!$H$4-'Utility Admin'!$G$4))*(1-((1+'Utility Admin'!$G$4)/(1+'Utility Admin'!$H$4))^$BL101)*((1+'Utility Admin'!$G$4)^$BK101/(1+'Utility Admin'!$H$4)^$BK101)*$BF101,0)</f>
        <v>0</v>
      </c>
      <c r="BR101" s="553">
        <f t="shared" si="28"/>
        <v>0</v>
      </c>
      <c r="BS101" s="553">
        <f>IFERROR('Utility Admin'!$I$4*((1+'Utility Admin'!$G$4)/('Utility Admin'!$H$4-'Utility Admin'!$G$4))*(1-((1+'Utility Admin'!$G$4)/(1+'Utility Admin'!$H$4))^$AT101),0)</f>
        <v>0</v>
      </c>
      <c r="BT101" s="553">
        <f>IFERROR('Utility Admin'!$J$4*((1+'Utility Admin'!$G$4)/('Utility Admin'!$H$4-'Utility Admin'!$G$4))*(1-((1+'Utility Admin'!$G$4)/(1+'Utility Admin'!$H$4))^$AT101),0)</f>
        <v>0</v>
      </c>
      <c r="BU101" s="459">
        <f t="shared" si="66"/>
        <v>0</v>
      </c>
      <c r="BV101" s="462">
        <f t="shared" si="67"/>
        <v>0</v>
      </c>
      <c r="BW101" s="219" t="str">
        <f t="shared" si="54"/>
        <v/>
      </c>
      <c r="BX101" s="250" t="str">
        <f t="shared" si="68"/>
        <v/>
      </c>
      <c r="BY101" s="250" t="str">
        <f t="shared" si="55"/>
        <v/>
      </c>
      <c r="BZ101" s="184">
        <f t="shared" si="69"/>
        <v>0</v>
      </c>
      <c r="CA101" s="693">
        <f t="shared" si="70"/>
        <v>0</v>
      </c>
      <c r="CB101" s="836">
        <f t="shared" si="71"/>
        <v>0</v>
      </c>
      <c r="CC101" s="693">
        <f>IF(AND($C101="Early Retirement",$H101&lt;&gt;"",$R101&lt;&gt;"",$T101&lt;&gt;""),$BZ101,Baselines!$CJ94)</f>
        <v>0</v>
      </c>
      <c r="CD101" s="693">
        <f>IF(AND($C101="Early Retirement",$H101&lt;&gt;"",$R101&lt;&gt;"",$T101&lt;&gt;""),$CA101,Baselines!$CK94)</f>
        <v>0</v>
      </c>
      <c r="CE101" s="182" t="str">
        <f>Baselines!$CL94</f>
        <v>kW/ton</v>
      </c>
      <c r="CF101" s="850" t="str">
        <f t="shared" si="56"/>
        <v/>
      </c>
      <c r="CG101" s="833">
        <f>IF(AND($C101="Early Retirement",$H101&lt;&gt;"",$R101&lt;&gt;"",$T101&lt;&gt;""),$CB101,IF(AND(Baselines!$CM94=0,OR($CL101="DX HP",$CL101="PTHP")),$BB101,Baselines!$CM94))</f>
        <v>0</v>
      </c>
      <c r="CH101" s="830" t="s">
        <v>567</v>
      </c>
      <c r="CI101" s="185" t="str">
        <f>IF(OR($C101="Replace-on-Burnout",$C101="New Construction"),$CT101,IF($BW101="","",VLOOKUP($D101,'Factor Tables'!$B$165:$H$192,MATCH($BW101,'Factor Tables'!$B$164:$H$164,0),FALSE)))</f>
        <v/>
      </c>
      <c r="CJ101" s="842" t="str">
        <f>IF(OR($C101="Replace-on-Burnout",$C101="New Construction"),$CU101,IF($BW101="","",IF($BW101="DX HP",VLOOKUP($D101,'Factor Tables'!$I$165:$Q$192,MATCH("DX HP Clg",'Factor Tables'!$I$164:$Q$164,0),FALSE),IF($BW101="PTHP",VLOOKUP($D101,'Factor Tables'!$I$165:$Q$192,MATCH("PTHP Clg",'Factor Tables'!$I$164:$Q$164,0),FALSE),IF(AND($BW101&lt;&gt;"DX HP",$BW101&lt;&gt;"PTHP"),VLOOKUP($D101,'Factor Tables'!$I$165:$Q$192,MATCH($BW101,'Factor Tables'!$I$164:$Q$164,0),FALSE),"")))))</f>
        <v/>
      </c>
      <c r="CK101" s="186" t="str">
        <f>IF(OR($C101="Replace-on-Burnout",$C101="New Construction",$CL101="DX HP",$CL101="PTHP"),$CV101,IF($BW101="","",IF($BW101="DX HP",VLOOKUP($D101,'Factor Tables'!$I$165:$Q$192,MATCH("DX HP Htg",'Factor Tables'!$I$164:$Q$164,0),FALSE),IF($BW101="PTHP",VLOOKUP($D101,'Factor Tables'!$I$165:$Q$192,MATCH("PTHP Htg",'Factor Tables'!$I$164:$Q$164,0),FALSE),0))))</f>
        <v/>
      </c>
      <c r="CL101" s="187" t="str">
        <f t="shared" si="57"/>
        <v/>
      </c>
      <c r="CM101" s="251" t="str">
        <f t="shared" si="58"/>
        <v/>
      </c>
      <c r="CN101" s="184">
        <f t="shared" si="72"/>
        <v>0</v>
      </c>
      <c r="CO101" s="693">
        <f t="shared" si="73"/>
        <v>0</v>
      </c>
      <c r="CP101" s="182" t="s">
        <v>46</v>
      </c>
      <c r="CQ101" s="852" t="str">
        <f t="shared" si="74"/>
        <v/>
      </c>
      <c r="CR101" s="833">
        <f t="shared" si="75"/>
        <v>0</v>
      </c>
      <c r="CS101" s="830" t="s">
        <v>567</v>
      </c>
      <c r="CT101" s="185" t="str">
        <f>IF($CL101="","",VLOOKUP($D101,'Factor Tables'!$B$165:$H$192,MATCH($CL101,'Factor Tables'!$B$164:$H$164,0),FALSE))</f>
        <v/>
      </c>
      <c r="CU101" s="842" t="str">
        <f>IF($CL101="","",IF(AND($CL101&lt;&gt;"DX HP",$CL101&lt;&gt;"PTHP"),VLOOKUP($D101,'Factor Tables'!$I$165:$Q$192,MATCH($CL101,'Factor Tables'!$I$164:$Q$164,0),FALSE),IF($CL101="DX HP",VLOOKUP($D101,'Factor Tables'!$I$165:$Q$192,MATCH("DX HP Clg",'Factor Tables'!$I$164:$Q$164,0),FALSE),IF($CL101="PTHP",VLOOKUP($D101,'Factor Tables'!$I$165:$Q$192,MATCH("PTHP Clg",'Factor Tables'!$I$164:$Q$164,0),FALSE),""))))</f>
        <v/>
      </c>
      <c r="CV101" s="186" t="str">
        <f>IF($CL101="","",IF(AND($CL101&lt;&gt;"DX HP",$CL101&lt;&gt;"PTHP"),0,IF($CL101="DX HP",VLOOKUP($D101,'Factor Tables'!$I$165:$Q$192,MATCH("DX HP Htg",'Factor Tables'!$I$164:$Q$164,0),FALSE),IF($CL101="PTHP",VLOOKUP($D101,'Factor Tables'!$I$165:$Q$192,MATCH("PTHP Htg",'Factor Tables'!$I$164:$Q$164,0),FALSE),""))))</f>
        <v/>
      </c>
      <c r="DD101" s="193" t="s">
        <v>26</v>
      </c>
      <c r="DE101" s="426"/>
      <c r="DI101" s="425"/>
      <c r="DJ101" s="425"/>
      <c r="DK101" s="425"/>
      <c r="DL101" s="425"/>
      <c r="DM101" s="493" t="s">
        <v>478</v>
      </c>
    </row>
    <row r="102" spans="2:117" s="427" customFormat="1" ht="21.95" customHeight="1" x14ac:dyDescent="0.25">
      <c r="B102" s="431">
        <v>93</v>
      </c>
      <c r="C102" s="501" t="str">
        <f t="shared" si="59"/>
        <v/>
      </c>
      <c r="D102" s="502" t="str">
        <f t="shared" si="60"/>
        <v/>
      </c>
      <c r="E102" s="546"/>
      <c r="F102" s="547"/>
      <c r="G102" s="729"/>
      <c r="H102" s="729"/>
      <c r="I102" s="729"/>
      <c r="J102" s="729"/>
      <c r="K102" s="729"/>
      <c r="L102" s="729"/>
      <c r="M102" s="765"/>
      <c r="N102" s="758"/>
      <c r="O102" s="765"/>
      <c r="P102" s="758"/>
      <c r="Q102" s="1143"/>
      <c r="R102" s="1134"/>
      <c r="S102" s="775"/>
      <c r="T102" s="729"/>
      <c r="U102" s="775"/>
      <c r="V102" s="779"/>
      <c r="W102" s="557"/>
      <c r="X102" s="788"/>
      <c r="Y102" s="543"/>
      <c r="Z102" s="281"/>
      <c r="AA102" s="281"/>
      <c r="AB102" s="281"/>
      <c r="AC102" s="281"/>
      <c r="AD102" s="492"/>
      <c r="AE102" s="527">
        <f t="shared" si="39"/>
        <v>0</v>
      </c>
      <c r="AF102" s="527">
        <f t="shared" si="61"/>
        <v>0</v>
      </c>
      <c r="AG102" s="527">
        <f t="shared" si="41"/>
        <v>0</v>
      </c>
      <c r="AH102" s="527">
        <f t="shared" si="42"/>
        <v>0</v>
      </c>
      <c r="AI102" s="527">
        <f t="shared" si="43"/>
        <v>0</v>
      </c>
      <c r="AJ102" s="527">
        <f t="shared" si="44"/>
        <v>999999999</v>
      </c>
      <c r="AK102" s="471"/>
      <c r="AL102" s="765"/>
      <c r="AM102" s="758"/>
      <c r="AN102" s="281"/>
      <c r="AO102" s="775"/>
      <c r="AP102" s="775"/>
      <c r="AQ102" s="281"/>
      <c r="AR102" s="528"/>
      <c r="AS102" s="532"/>
      <c r="AT102" s="524" t="str">
        <f t="shared" si="45"/>
        <v/>
      </c>
      <c r="AU102" s="311">
        <f t="shared" si="46"/>
        <v>0</v>
      </c>
      <c r="AV102" s="288">
        <f t="shared" si="62"/>
        <v>0</v>
      </c>
      <c r="AW102" s="290">
        <f>IF(ISERROR($AU102*'Utility Admin'!$E$4+$AV102*'Utility Admin'!$F$4),0,$AU102*'Utility Admin'!$E$4+$AV102*'Utility Admin'!$F$4)</f>
        <v>0</v>
      </c>
      <c r="AX102" s="323" t="str">
        <f t="shared" si="47"/>
        <v/>
      </c>
      <c r="AY102" s="322" t="str">
        <f t="shared" si="23"/>
        <v/>
      </c>
      <c r="AZ102" s="319">
        <f>Baselines!$CJ346</f>
        <v>0</v>
      </c>
      <c r="BA102" s="735">
        <f>Baselines!$CK346</f>
        <v>0</v>
      </c>
      <c r="BB102" s="839">
        <f>Baselines!$CM346</f>
        <v>0</v>
      </c>
      <c r="BC102" s="466">
        <f t="shared" si="48"/>
        <v>0</v>
      </c>
      <c r="BD102" s="464">
        <f t="shared" si="63"/>
        <v>0</v>
      </c>
      <c r="BE102" s="755">
        <f t="shared" si="49"/>
        <v>0</v>
      </c>
      <c r="BF102" s="755">
        <f t="shared" si="64"/>
        <v>0</v>
      </c>
      <c r="BG102" s="466">
        <f t="shared" si="50"/>
        <v>0</v>
      </c>
      <c r="BH102" s="464">
        <f t="shared" si="51"/>
        <v>0</v>
      </c>
      <c r="BI102" s="755">
        <f t="shared" si="52"/>
        <v>0</v>
      </c>
      <c r="BJ102" s="755">
        <f t="shared" si="65"/>
        <v>0</v>
      </c>
      <c r="BK102" s="333">
        <f>IF(OR($C102&lt;&gt;"Early Retirement",$H102=""),0,IF(AND($G102&lt;&gt;"Air Cooled Chiller",$G102&lt;&gt;"Water Cooled Chiller"),VLOOKUP($H102,'Early Retirement'!$CI$6:$CL$33,2,FALSE),IF($J102&lt;&gt;"Centrifugal",VLOOKUP($H102,'Early Retirement'!$CI$6:$CL$33,3,FALSE),IF($J102="Centrifugal",VLOOKUP($H102,'Early Retirement'!$CI$6:$CL$33,4,FALSE),""))))</f>
        <v>0</v>
      </c>
      <c r="BL102" s="450">
        <f t="shared" si="53"/>
        <v>0</v>
      </c>
      <c r="BM102" s="553">
        <f>IFERROR('Utility Admin'!$I$4*((1+'Utility Admin'!$G$4)/('Utility Admin'!$H$4-'Utility Admin'!$G$4))*(1-((1+'Utility Admin'!$G$4)/(1+'Utility Admin'!$H$4))^$BK102)*$BG102,0)</f>
        <v>0</v>
      </c>
      <c r="BN102" s="553">
        <f>IFERROR('Utility Admin'!$I$4*((1+'Utility Admin'!$G$4)/('Utility Admin'!$H$4-'Utility Admin'!$G$4))*(1-((1+'Utility Admin'!$G$4)/(1+'Utility Admin'!$H$4))^$BL102)*((1+'Utility Admin'!$G$4)^$BK102/(1+'Utility Admin'!$H$4)^$BK102)*$BC102,0)</f>
        <v>0</v>
      </c>
      <c r="BO102" s="553">
        <f t="shared" si="27"/>
        <v>0</v>
      </c>
      <c r="BP102" s="553">
        <f>IFERROR('Utility Admin'!$J$4*((1+'Utility Admin'!$G$4)/('Utility Admin'!$H$4-'Utility Admin'!$G$4))*(1-((1+'Utility Admin'!$G$4)/(1+'Utility Admin'!$H$4))^$BK102)*$BJ102,0)</f>
        <v>0</v>
      </c>
      <c r="BQ102" s="553">
        <f>IFERROR('Utility Admin'!$J$4*((1+'Utility Admin'!$G$4)/('Utility Admin'!$H$4-'Utility Admin'!$G$4))*(1-((1+'Utility Admin'!$G$4)/(1+'Utility Admin'!$H$4))^$BL102)*((1+'Utility Admin'!$G$4)^$BK102/(1+'Utility Admin'!$H$4)^$BK102)*$BF102,0)</f>
        <v>0</v>
      </c>
      <c r="BR102" s="553">
        <f t="shared" si="28"/>
        <v>0</v>
      </c>
      <c r="BS102" s="553">
        <f>IFERROR('Utility Admin'!$I$4*((1+'Utility Admin'!$G$4)/('Utility Admin'!$H$4-'Utility Admin'!$G$4))*(1-((1+'Utility Admin'!$G$4)/(1+'Utility Admin'!$H$4))^$AT102),0)</f>
        <v>0</v>
      </c>
      <c r="BT102" s="553">
        <f>IFERROR('Utility Admin'!$J$4*((1+'Utility Admin'!$G$4)/('Utility Admin'!$H$4-'Utility Admin'!$G$4))*(1-((1+'Utility Admin'!$G$4)/(1+'Utility Admin'!$H$4))^$AT102),0)</f>
        <v>0</v>
      </c>
      <c r="BU102" s="459">
        <f t="shared" si="66"/>
        <v>0</v>
      </c>
      <c r="BV102" s="462">
        <f t="shared" si="67"/>
        <v>0</v>
      </c>
      <c r="BW102" s="219" t="str">
        <f t="shared" si="54"/>
        <v/>
      </c>
      <c r="BX102" s="250" t="str">
        <f t="shared" si="68"/>
        <v/>
      </c>
      <c r="BY102" s="250" t="str">
        <f t="shared" si="55"/>
        <v/>
      </c>
      <c r="BZ102" s="184">
        <f t="shared" si="69"/>
        <v>0</v>
      </c>
      <c r="CA102" s="693">
        <f t="shared" si="70"/>
        <v>0</v>
      </c>
      <c r="CB102" s="836">
        <f t="shared" si="71"/>
        <v>0</v>
      </c>
      <c r="CC102" s="693">
        <f>IF(AND($C102="Early Retirement",$H102&lt;&gt;"",$R102&lt;&gt;"",$T102&lt;&gt;""),$BZ102,Baselines!$CJ95)</f>
        <v>0</v>
      </c>
      <c r="CD102" s="693">
        <f>IF(AND($C102="Early Retirement",$H102&lt;&gt;"",$R102&lt;&gt;"",$T102&lt;&gt;""),$CA102,Baselines!$CK95)</f>
        <v>0</v>
      </c>
      <c r="CE102" s="182" t="str">
        <f>Baselines!$CL95</f>
        <v>kW/ton</v>
      </c>
      <c r="CF102" s="850" t="str">
        <f t="shared" si="56"/>
        <v/>
      </c>
      <c r="CG102" s="833">
        <f>IF(AND($C102="Early Retirement",$H102&lt;&gt;"",$R102&lt;&gt;"",$T102&lt;&gt;""),$CB102,IF(AND(Baselines!$CM95=0,OR($CL102="DX HP",$CL102="PTHP")),$BB102,Baselines!$CM95))</f>
        <v>0</v>
      </c>
      <c r="CH102" s="830" t="s">
        <v>567</v>
      </c>
      <c r="CI102" s="185" t="str">
        <f>IF(OR($C102="Replace-on-Burnout",$C102="New Construction"),$CT102,IF($BW102="","",VLOOKUP($D102,'Factor Tables'!$B$165:$H$192,MATCH($BW102,'Factor Tables'!$B$164:$H$164,0),FALSE)))</f>
        <v/>
      </c>
      <c r="CJ102" s="842" t="str">
        <f>IF(OR($C102="Replace-on-Burnout",$C102="New Construction"),$CU102,IF($BW102="","",IF($BW102="DX HP",VLOOKUP($D102,'Factor Tables'!$I$165:$Q$192,MATCH("DX HP Clg",'Factor Tables'!$I$164:$Q$164,0),FALSE),IF($BW102="PTHP",VLOOKUP($D102,'Factor Tables'!$I$165:$Q$192,MATCH("PTHP Clg",'Factor Tables'!$I$164:$Q$164,0),FALSE),IF(AND($BW102&lt;&gt;"DX HP",$BW102&lt;&gt;"PTHP"),VLOOKUP($D102,'Factor Tables'!$I$165:$Q$192,MATCH($BW102,'Factor Tables'!$I$164:$Q$164,0),FALSE),"")))))</f>
        <v/>
      </c>
      <c r="CK102" s="186" t="str">
        <f>IF(OR($C102="Replace-on-Burnout",$C102="New Construction",$CL102="DX HP",$CL102="PTHP"),$CV102,IF($BW102="","",IF($BW102="DX HP",VLOOKUP($D102,'Factor Tables'!$I$165:$Q$192,MATCH("DX HP Htg",'Factor Tables'!$I$164:$Q$164,0),FALSE),IF($BW102="PTHP",VLOOKUP($D102,'Factor Tables'!$I$165:$Q$192,MATCH("PTHP Htg",'Factor Tables'!$I$164:$Q$164,0),FALSE),0))))</f>
        <v/>
      </c>
      <c r="CL102" s="187" t="str">
        <f t="shared" si="57"/>
        <v/>
      </c>
      <c r="CM102" s="251" t="str">
        <f t="shared" si="58"/>
        <v/>
      </c>
      <c r="CN102" s="184">
        <f t="shared" si="72"/>
        <v>0</v>
      </c>
      <c r="CO102" s="693">
        <f t="shared" si="73"/>
        <v>0</v>
      </c>
      <c r="CP102" s="182" t="s">
        <v>46</v>
      </c>
      <c r="CQ102" s="852" t="str">
        <f t="shared" si="74"/>
        <v/>
      </c>
      <c r="CR102" s="833">
        <f t="shared" si="75"/>
        <v>0</v>
      </c>
      <c r="CS102" s="830" t="s">
        <v>567</v>
      </c>
      <c r="CT102" s="185" t="str">
        <f>IF($CL102="","",VLOOKUP($D102,'Factor Tables'!$B$165:$H$192,MATCH($CL102,'Factor Tables'!$B$164:$H$164,0),FALSE))</f>
        <v/>
      </c>
      <c r="CU102" s="842" t="str">
        <f>IF($CL102="","",IF(AND($CL102&lt;&gt;"DX HP",$CL102&lt;&gt;"PTHP"),VLOOKUP($D102,'Factor Tables'!$I$165:$Q$192,MATCH($CL102,'Factor Tables'!$I$164:$Q$164,0),FALSE),IF($CL102="DX HP",VLOOKUP($D102,'Factor Tables'!$I$165:$Q$192,MATCH("DX HP Clg",'Factor Tables'!$I$164:$Q$164,0),FALSE),IF($CL102="PTHP",VLOOKUP($D102,'Factor Tables'!$I$165:$Q$192,MATCH("PTHP Clg",'Factor Tables'!$I$164:$Q$164,0),FALSE),""))))</f>
        <v/>
      </c>
      <c r="CV102" s="186" t="str">
        <f>IF($CL102="","",IF(AND($CL102&lt;&gt;"DX HP",$CL102&lt;&gt;"PTHP"),0,IF($CL102="DX HP",VLOOKUP($D102,'Factor Tables'!$I$165:$Q$192,MATCH("DX HP Htg",'Factor Tables'!$I$164:$Q$164,0),FALSE),IF($CL102="PTHP",VLOOKUP($D102,'Factor Tables'!$I$165:$Q$192,MATCH("PTHP Htg",'Factor Tables'!$I$164:$Q$164,0),FALSE),""))))</f>
        <v/>
      </c>
      <c r="DD102" s="194" t="s">
        <v>53</v>
      </c>
      <c r="DE102" s="426"/>
      <c r="DI102" s="425"/>
      <c r="DJ102" s="425"/>
      <c r="DK102" s="425"/>
      <c r="DL102" s="425"/>
      <c r="DM102" s="493" t="s">
        <v>478</v>
      </c>
    </row>
    <row r="103" spans="2:117" s="427" customFormat="1" ht="21.95" customHeight="1" x14ac:dyDescent="0.25">
      <c r="B103" s="432">
        <v>94</v>
      </c>
      <c r="C103" s="499" t="str">
        <f t="shared" si="59"/>
        <v/>
      </c>
      <c r="D103" s="403" t="str">
        <f t="shared" si="60"/>
        <v/>
      </c>
      <c r="E103" s="541"/>
      <c r="F103" s="785"/>
      <c r="G103" s="728"/>
      <c r="H103" s="728"/>
      <c r="I103" s="728"/>
      <c r="J103" s="728"/>
      <c r="K103" s="728"/>
      <c r="L103" s="728"/>
      <c r="M103" s="764"/>
      <c r="N103" s="728"/>
      <c r="O103" s="764"/>
      <c r="P103" s="728"/>
      <c r="Q103" s="1142"/>
      <c r="R103" s="1133"/>
      <c r="S103" s="778"/>
      <c r="T103" s="767"/>
      <c r="U103" s="778"/>
      <c r="V103" s="751"/>
      <c r="W103" s="556"/>
      <c r="X103" s="785"/>
      <c r="Y103" s="542"/>
      <c r="Z103" s="500"/>
      <c r="AA103" s="500"/>
      <c r="AB103" s="500"/>
      <c r="AC103" s="500"/>
      <c r="AD103" s="529"/>
      <c r="AE103" s="527">
        <f t="shared" si="39"/>
        <v>0</v>
      </c>
      <c r="AF103" s="527">
        <f t="shared" si="61"/>
        <v>0</v>
      </c>
      <c r="AG103" s="527">
        <f t="shared" si="41"/>
        <v>0</v>
      </c>
      <c r="AH103" s="527">
        <f t="shared" si="42"/>
        <v>0</v>
      </c>
      <c r="AI103" s="527">
        <f t="shared" si="43"/>
        <v>0</v>
      </c>
      <c r="AJ103" s="527">
        <f t="shared" si="44"/>
        <v>999999999</v>
      </c>
      <c r="AK103" s="530"/>
      <c r="AL103" s="776"/>
      <c r="AM103" s="777"/>
      <c r="AN103" s="500"/>
      <c r="AO103" s="778"/>
      <c r="AP103" s="778"/>
      <c r="AQ103" s="500"/>
      <c r="AR103" s="531"/>
      <c r="AS103" s="403"/>
      <c r="AT103" s="524" t="str">
        <f t="shared" si="45"/>
        <v/>
      </c>
      <c r="AU103" s="311">
        <f t="shared" si="46"/>
        <v>0</v>
      </c>
      <c r="AV103" s="288">
        <f t="shared" si="62"/>
        <v>0</v>
      </c>
      <c r="AW103" s="290">
        <f>IF(ISERROR($AU103*'Utility Admin'!$E$4+$AV103*'Utility Admin'!$F$4),0,$AU103*'Utility Admin'!$E$4+$AV103*'Utility Admin'!$F$4)</f>
        <v>0</v>
      </c>
      <c r="AX103" s="323" t="str">
        <f t="shared" si="47"/>
        <v/>
      </c>
      <c r="AY103" s="322" t="str">
        <f t="shared" si="23"/>
        <v/>
      </c>
      <c r="AZ103" s="319">
        <f>Baselines!$CJ347</f>
        <v>0</v>
      </c>
      <c r="BA103" s="735">
        <f>Baselines!$CK347</f>
        <v>0</v>
      </c>
      <c r="BB103" s="839">
        <f>Baselines!$CM347</f>
        <v>0</v>
      </c>
      <c r="BC103" s="466">
        <f t="shared" si="48"/>
        <v>0</v>
      </c>
      <c r="BD103" s="464">
        <f t="shared" si="63"/>
        <v>0</v>
      </c>
      <c r="BE103" s="755">
        <f t="shared" si="49"/>
        <v>0</v>
      </c>
      <c r="BF103" s="755">
        <f t="shared" si="64"/>
        <v>0</v>
      </c>
      <c r="BG103" s="466">
        <f t="shared" si="50"/>
        <v>0</v>
      </c>
      <c r="BH103" s="464">
        <f t="shared" si="51"/>
        <v>0</v>
      </c>
      <c r="BI103" s="755">
        <f t="shared" si="52"/>
        <v>0</v>
      </c>
      <c r="BJ103" s="755">
        <f t="shared" si="65"/>
        <v>0</v>
      </c>
      <c r="BK103" s="333">
        <f>IF(OR($C103&lt;&gt;"Early Retirement",$H103=""),0,IF(AND($G103&lt;&gt;"Air Cooled Chiller",$G103&lt;&gt;"Water Cooled Chiller"),VLOOKUP($H103,'Early Retirement'!$CI$6:$CL$33,2,FALSE),IF($J103&lt;&gt;"Centrifugal",VLOOKUP($H103,'Early Retirement'!$CI$6:$CL$33,3,FALSE),IF($J103="Centrifugal",VLOOKUP($H103,'Early Retirement'!$CI$6:$CL$33,4,FALSE),""))))</f>
        <v>0</v>
      </c>
      <c r="BL103" s="450">
        <f t="shared" si="53"/>
        <v>0</v>
      </c>
      <c r="BM103" s="553">
        <f>IFERROR('Utility Admin'!$I$4*((1+'Utility Admin'!$G$4)/('Utility Admin'!$H$4-'Utility Admin'!$G$4))*(1-((1+'Utility Admin'!$G$4)/(1+'Utility Admin'!$H$4))^$BK103)*$BG103,0)</f>
        <v>0</v>
      </c>
      <c r="BN103" s="553">
        <f>IFERROR('Utility Admin'!$I$4*((1+'Utility Admin'!$G$4)/('Utility Admin'!$H$4-'Utility Admin'!$G$4))*(1-((1+'Utility Admin'!$G$4)/(1+'Utility Admin'!$H$4))^$BL103)*((1+'Utility Admin'!$G$4)^$BK103/(1+'Utility Admin'!$H$4)^$BK103)*$BC103,0)</f>
        <v>0</v>
      </c>
      <c r="BO103" s="553">
        <f t="shared" si="27"/>
        <v>0</v>
      </c>
      <c r="BP103" s="553">
        <f>IFERROR('Utility Admin'!$J$4*((1+'Utility Admin'!$G$4)/('Utility Admin'!$H$4-'Utility Admin'!$G$4))*(1-((1+'Utility Admin'!$G$4)/(1+'Utility Admin'!$H$4))^$BK103)*$BJ103,0)</f>
        <v>0</v>
      </c>
      <c r="BQ103" s="553">
        <f>IFERROR('Utility Admin'!$J$4*((1+'Utility Admin'!$G$4)/('Utility Admin'!$H$4-'Utility Admin'!$G$4))*(1-((1+'Utility Admin'!$G$4)/(1+'Utility Admin'!$H$4))^$BL103)*((1+'Utility Admin'!$G$4)^$BK103/(1+'Utility Admin'!$H$4)^$BK103)*$BF103,0)</f>
        <v>0</v>
      </c>
      <c r="BR103" s="553">
        <f t="shared" si="28"/>
        <v>0</v>
      </c>
      <c r="BS103" s="553">
        <f>IFERROR('Utility Admin'!$I$4*((1+'Utility Admin'!$G$4)/('Utility Admin'!$H$4-'Utility Admin'!$G$4))*(1-((1+'Utility Admin'!$G$4)/(1+'Utility Admin'!$H$4))^$AT103),0)</f>
        <v>0</v>
      </c>
      <c r="BT103" s="553">
        <f>IFERROR('Utility Admin'!$J$4*((1+'Utility Admin'!$G$4)/('Utility Admin'!$H$4-'Utility Admin'!$G$4))*(1-((1+'Utility Admin'!$G$4)/(1+'Utility Admin'!$H$4))^$AT103),0)</f>
        <v>0</v>
      </c>
      <c r="BU103" s="459">
        <f t="shared" si="66"/>
        <v>0</v>
      </c>
      <c r="BV103" s="462">
        <f t="shared" si="67"/>
        <v>0</v>
      </c>
      <c r="BW103" s="219" t="str">
        <f t="shared" si="54"/>
        <v/>
      </c>
      <c r="BX103" s="250" t="str">
        <f t="shared" si="68"/>
        <v/>
      </c>
      <c r="BY103" s="250" t="str">
        <f t="shared" si="55"/>
        <v/>
      </c>
      <c r="BZ103" s="184">
        <f t="shared" si="69"/>
        <v>0</v>
      </c>
      <c r="CA103" s="693">
        <f t="shared" si="70"/>
        <v>0</v>
      </c>
      <c r="CB103" s="836">
        <f t="shared" si="71"/>
        <v>0</v>
      </c>
      <c r="CC103" s="693">
        <f>IF(AND($C103="Early Retirement",$H103&lt;&gt;"",$R103&lt;&gt;"",$T103&lt;&gt;""),$BZ103,Baselines!$CJ96)</f>
        <v>0</v>
      </c>
      <c r="CD103" s="693">
        <f>IF(AND($C103="Early Retirement",$H103&lt;&gt;"",$R103&lt;&gt;"",$T103&lt;&gt;""),$CA103,Baselines!$CK96)</f>
        <v>0</v>
      </c>
      <c r="CE103" s="182" t="str">
        <f>Baselines!$CL96</f>
        <v>kW/ton</v>
      </c>
      <c r="CF103" s="850" t="str">
        <f t="shared" si="56"/>
        <v/>
      </c>
      <c r="CG103" s="833">
        <f>IF(AND($C103="Early Retirement",$H103&lt;&gt;"",$R103&lt;&gt;"",$T103&lt;&gt;""),$CB103,IF(AND(Baselines!$CM96=0,OR($CL103="DX HP",$CL103="PTHP")),$BB103,Baselines!$CM96))</f>
        <v>0</v>
      </c>
      <c r="CH103" s="830" t="s">
        <v>567</v>
      </c>
      <c r="CI103" s="185" t="str">
        <f>IF(OR($C103="Replace-on-Burnout",$C103="New Construction"),$CT103,IF($BW103="","",VLOOKUP($D103,'Factor Tables'!$B$165:$H$192,MATCH($BW103,'Factor Tables'!$B$164:$H$164,0),FALSE)))</f>
        <v/>
      </c>
      <c r="CJ103" s="842" t="str">
        <f>IF(OR($C103="Replace-on-Burnout",$C103="New Construction"),$CU103,IF($BW103="","",IF($BW103="DX HP",VLOOKUP($D103,'Factor Tables'!$I$165:$Q$192,MATCH("DX HP Clg",'Factor Tables'!$I$164:$Q$164,0),FALSE),IF($BW103="PTHP",VLOOKUP($D103,'Factor Tables'!$I$165:$Q$192,MATCH("PTHP Clg",'Factor Tables'!$I$164:$Q$164,0),FALSE),IF(AND($BW103&lt;&gt;"DX HP",$BW103&lt;&gt;"PTHP"),VLOOKUP($D103,'Factor Tables'!$I$165:$Q$192,MATCH($BW103,'Factor Tables'!$I$164:$Q$164,0),FALSE),"")))))</f>
        <v/>
      </c>
      <c r="CK103" s="186" t="str">
        <f>IF(OR($C103="Replace-on-Burnout",$C103="New Construction",$CL103="DX HP",$CL103="PTHP"),$CV103,IF($BW103="","",IF($BW103="DX HP",VLOOKUP($D103,'Factor Tables'!$I$165:$Q$192,MATCH("DX HP Htg",'Factor Tables'!$I$164:$Q$164,0),FALSE),IF($BW103="PTHP",VLOOKUP($D103,'Factor Tables'!$I$165:$Q$192,MATCH("PTHP Htg",'Factor Tables'!$I$164:$Q$164,0),FALSE),0))))</f>
        <v/>
      </c>
      <c r="CL103" s="187" t="str">
        <f t="shared" si="57"/>
        <v/>
      </c>
      <c r="CM103" s="251" t="str">
        <f t="shared" si="58"/>
        <v/>
      </c>
      <c r="CN103" s="184">
        <f t="shared" si="72"/>
        <v>0</v>
      </c>
      <c r="CO103" s="693">
        <f t="shared" si="73"/>
        <v>0</v>
      </c>
      <c r="CP103" s="182" t="s">
        <v>46</v>
      </c>
      <c r="CQ103" s="852" t="str">
        <f t="shared" si="74"/>
        <v/>
      </c>
      <c r="CR103" s="833">
        <f t="shared" si="75"/>
        <v>0</v>
      </c>
      <c r="CS103" s="830" t="s">
        <v>567</v>
      </c>
      <c r="CT103" s="185" t="str">
        <f>IF($CL103="","",VLOOKUP($D103,'Factor Tables'!$B$165:$H$192,MATCH($CL103,'Factor Tables'!$B$164:$H$164,0),FALSE))</f>
        <v/>
      </c>
      <c r="CU103" s="842" t="str">
        <f>IF($CL103="","",IF(AND($CL103&lt;&gt;"DX HP",$CL103&lt;&gt;"PTHP"),VLOOKUP($D103,'Factor Tables'!$I$165:$Q$192,MATCH($CL103,'Factor Tables'!$I$164:$Q$164,0),FALSE),IF($CL103="DX HP",VLOOKUP($D103,'Factor Tables'!$I$165:$Q$192,MATCH("DX HP Clg",'Factor Tables'!$I$164:$Q$164,0),FALSE),IF($CL103="PTHP",VLOOKUP($D103,'Factor Tables'!$I$165:$Q$192,MATCH("PTHP Clg",'Factor Tables'!$I$164:$Q$164,0),FALSE),""))))</f>
        <v/>
      </c>
      <c r="CV103" s="186" t="str">
        <f>IF($CL103="","",IF(AND($CL103&lt;&gt;"DX HP",$CL103&lt;&gt;"PTHP"),0,IF($CL103="DX HP",VLOOKUP($D103,'Factor Tables'!$I$165:$Q$192,MATCH("DX HP Htg",'Factor Tables'!$I$164:$Q$164,0),FALSE),IF($CL103="PTHP",VLOOKUP($D103,'Factor Tables'!$I$165:$Q$192,MATCH("PTHP Htg",'Factor Tables'!$I$164:$Q$164,0),FALSE),""))))</f>
        <v/>
      </c>
      <c r="DD103" s="77" t="s">
        <v>54</v>
      </c>
      <c r="DE103" s="426"/>
      <c r="DI103" s="425"/>
      <c r="DJ103" s="425"/>
      <c r="DK103" s="425"/>
      <c r="DL103" s="425"/>
      <c r="DM103" s="493" t="s">
        <v>478</v>
      </c>
    </row>
    <row r="104" spans="2:117" s="427" customFormat="1" ht="21.95" customHeight="1" x14ac:dyDescent="0.25">
      <c r="B104" s="431">
        <v>95</v>
      </c>
      <c r="C104" s="501" t="str">
        <f t="shared" si="59"/>
        <v/>
      </c>
      <c r="D104" s="502" t="str">
        <f t="shared" si="60"/>
        <v/>
      </c>
      <c r="E104" s="546"/>
      <c r="F104" s="547"/>
      <c r="G104" s="729"/>
      <c r="H104" s="729"/>
      <c r="I104" s="729"/>
      <c r="J104" s="729"/>
      <c r="K104" s="729"/>
      <c r="L104" s="729"/>
      <c r="M104" s="765"/>
      <c r="N104" s="758"/>
      <c r="O104" s="765"/>
      <c r="P104" s="758"/>
      <c r="Q104" s="1143"/>
      <c r="R104" s="1134"/>
      <c r="S104" s="775"/>
      <c r="T104" s="729"/>
      <c r="U104" s="775"/>
      <c r="V104" s="779"/>
      <c r="W104" s="557"/>
      <c r="X104" s="788"/>
      <c r="Y104" s="543"/>
      <c r="Z104" s="281"/>
      <c r="AA104" s="281"/>
      <c r="AB104" s="281"/>
      <c r="AC104" s="281"/>
      <c r="AD104" s="492"/>
      <c r="AE104" s="527">
        <f t="shared" si="39"/>
        <v>0</v>
      </c>
      <c r="AF104" s="527">
        <f t="shared" si="61"/>
        <v>0</v>
      </c>
      <c r="AG104" s="527">
        <f t="shared" si="41"/>
        <v>0</v>
      </c>
      <c r="AH104" s="527">
        <f t="shared" si="42"/>
        <v>0</v>
      </c>
      <c r="AI104" s="527">
        <f t="shared" si="43"/>
        <v>0</v>
      </c>
      <c r="AJ104" s="527">
        <f t="shared" si="44"/>
        <v>999999999</v>
      </c>
      <c r="AK104" s="471"/>
      <c r="AL104" s="765"/>
      <c r="AM104" s="758"/>
      <c r="AN104" s="281"/>
      <c r="AO104" s="775"/>
      <c r="AP104" s="775"/>
      <c r="AQ104" s="281"/>
      <c r="AR104" s="528"/>
      <c r="AS104" s="532"/>
      <c r="AT104" s="524" t="str">
        <f t="shared" si="45"/>
        <v/>
      </c>
      <c r="AU104" s="311">
        <f t="shared" si="46"/>
        <v>0</v>
      </c>
      <c r="AV104" s="288">
        <f t="shared" si="62"/>
        <v>0</v>
      </c>
      <c r="AW104" s="290">
        <f>IF(ISERROR($AU104*'Utility Admin'!$E$4+$AV104*'Utility Admin'!$F$4),0,$AU104*'Utility Admin'!$E$4+$AV104*'Utility Admin'!$F$4)</f>
        <v>0</v>
      </c>
      <c r="AX104" s="323" t="str">
        <f t="shared" si="47"/>
        <v/>
      </c>
      <c r="AY104" s="322" t="str">
        <f t="shared" si="23"/>
        <v/>
      </c>
      <c r="AZ104" s="319">
        <f>Baselines!$CJ348</f>
        <v>0</v>
      </c>
      <c r="BA104" s="735">
        <f>Baselines!$CK348</f>
        <v>0</v>
      </c>
      <c r="BB104" s="839">
        <f>Baselines!$CM348</f>
        <v>0</v>
      </c>
      <c r="BC104" s="466">
        <f t="shared" si="48"/>
        <v>0</v>
      </c>
      <c r="BD104" s="464">
        <f t="shared" si="63"/>
        <v>0</v>
      </c>
      <c r="BE104" s="755">
        <f t="shared" si="49"/>
        <v>0</v>
      </c>
      <c r="BF104" s="755">
        <f t="shared" si="64"/>
        <v>0</v>
      </c>
      <c r="BG104" s="466">
        <f t="shared" si="50"/>
        <v>0</v>
      </c>
      <c r="BH104" s="464">
        <f t="shared" si="51"/>
        <v>0</v>
      </c>
      <c r="BI104" s="755">
        <f t="shared" si="52"/>
        <v>0</v>
      </c>
      <c r="BJ104" s="755">
        <f t="shared" si="65"/>
        <v>0</v>
      </c>
      <c r="BK104" s="333">
        <f>IF(OR($C104&lt;&gt;"Early Retirement",$H104=""),0,IF(AND($G104&lt;&gt;"Air Cooled Chiller",$G104&lt;&gt;"Water Cooled Chiller"),VLOOKUP($H104,'Early Retirement'!$CI$6:$CL$33,2,FALSE),IF($J104&lt;&gt;"Centrifugal",VLOOKUP($H104,'Early Retirement'!$CI$6:$CL$33,3,FALSE),IF($J104="Centrifugal",VLOOKUP($H104,'Early Retirement'!$CI$6:$CL$33,4,FALSE),""))))</f>
        <v>0</v>
      </c>
      <c r="BL104" s="450">
        <f t="shared" si="53"/>
        <v>0</v>
      </c>
      <c r="BM104" s="553">
        <f>IFERROR('Utility Admin'!$I$4*((1+'Utility Admin'!$G$4)/('Utility Admin'!$H$4-'Utility Admin'!$G$4))*(1-((1+'Utility Admin'!$G$4)/(1+'Utility Admin'!$H$4))^$BK104)*$BG104,0)</f>
        <v>0</v>
      </c>
      <c r="BN104" s="553">
        <f>IFERROR('Utility Admin'!$I$4*((1+'Utility Admin'!$G$4)/('Utility Admin'!$H$4-'Utility Admin'!$G$4))*(1-((1+'Utility Admin'!$G$4)/(1+'Utility Admin'!$H$4))^$BL104)*((1+'Utility Admin'!$G$4)^$BK104/(1+'Utility Admin'!$H$4)^$BK104)*$BC104,0)</f>
        <v>0</v>
      </c>
      <c r="BO104" s="553">
        <f t="shared" si="27"/>
        <v>0</v>
      </c>
      <c r="BP104" s="553">
        <f>IFERROR('Utility Admin'!$J$4*((1+'Utility Admin'!$G$4)/('Utility Admin'!$H$4-'Utility Admin'!$G$4))*(1-((1+'Utility Admin'!$G$4)/(1+'Utility Admin'!$H$4))^$BK104)*$BJ104,0)</f>
        <v>0</v>
      </c>
      <c r="BQ104" s="553">
        <f>IFERROR('Utility Admin'!$J$4*((1+'Utility Admin'!$G$4)/('Utility Admin'!$H$4-'Utility Admin'!$G$4))*(1-((1+'Utility Admin'!$G$4)/(1+'Utility Admin'!$H$4))^$BL104)*((1+'Utility Admin'!$G$4)^$BK104/(1+'Utility Admin'!$H$4)^$BK104)*$BF104,0)</f>
        <v>0</v>
      </c>
      <c r="BR104" s="553">
        <f t="shared" si="28"/>
        <v>0</v>
      </c>
      <c r="BS104" s="553">
        <f>IFERROR('Utility Admin'!$I$4*((1+'Utility Admin'!$G$4)/('Utility Admin'!$H$4-'Utility Admin'!$G$4))*(1-((1+'Utility Admin'!$G$4)/(1+'Utility Admin'!$H$4))^$AT104),0)</f>
        <v>0</v>
      </c>
      <c r="BT104" s="553">
        <f>IFERROR('Utility Admin'!$J$4*((1+'Utility Admin'!$G$4)/('Utility Admin'!$H$4-'Utility Admin'!$G$4))*(1-((1+'Utility Admin'!$G$4)/(1+'Utility Admin'!$H$4))^$AT104),0)</f>
        <v>0</v>
      </c>
      <c r="BU104" s="459">
        <f t="shared" si="66"/>
        <v>0</v>
      </c>
      <c r="BV104" s="462">
        <f t="shared" si="67"/>
        <v>0</v>
      </c>
      <c r="BW104" s="219" t="str">
        <f t="shared" si="54"/>
        <v/>
      </c>
      <c r="BX104" s="250" t="str">
        <f t="shared" si="68"/>
        <v/>
      </c>
      <c r="BY104" s="250" t="str">
        <f t="shared" si="55"/>
        <v/>
      </c>
      <c r="BZ104" s="184">
        <f t="shared" si="69"/>
        <v>0</v>
      </c>
      <c r="CA104" s="693">
        <f t="shared" si="70"/>
        <v>0</v>
      </c>
      <c r="CB104" s="836">
        <f t="shared" si="71"/>
        <v>0</v>
      </c>
      <c r="CC104" s="693">
        <f>IF(AND($C104="Early Retirement",$H104&lt;&gt;"",$R104&lt;&gt;"",$T104&lt;&gt;""),$BZ104,Baselines!$CJ97)</f>
        <v>0</v>
      </c>
      <c r="CD104" s="693">
        <f>IF(AND($C104="Early Retirement",$H104&lt;&gt;"",$R104&lt;&gt;"",$T104&lt;&gt;""),$CA104,Baselines!$CK97)</f>
        <v>0</v>
      </c>
      <c r="CE104" s="182" t="str">
        <f>Baselines!$CL97</f>
        <v>kW/ton</v>
      </c>
      <c r="CF104" s="850" t="str">
        <f t="shared" si="56"/>
        <v/>
      </c>
      <c r="CG104" s="833">
        <f>IF(AND($C104="Early Retirement",$H104&lt;&gt;"",$R104&lt;&gt;"",$T104&lt;&gt;""),$CB104,IF(AND(Baselines!$CM97=0,OR($CL104="DX HP",$CL104="PTHP")),$BB104,Baselines!$CM97))</f>
        <v>0</v>
      </c>
      <c r="CH104" s="830" t="s">
        <v>567</v>
      </c>
      <c r="CI104" s="185" t="str">
        <f>IF(OR($C104="Replace-on-Burnout",$C104="New Construction"),$CT104,IF($BW104="","",VLOOKUP($D104,'Factor Tables'!$B$165:$H$192,MATCH($BW104,'Factor Tables'!$B$164:$H$164,0),FALSE)))</f>
        <v/>
      </c>
      <c r="CJ104" s="842" t="str">
        <f>IF(OR($C104="Replace-on-Burnout",$C104="New Construction"),$CU104,IF($BW104="","",IF($BW104="DX HP",VLOOKUP($D104,'Factor Tables'!$I$165:$Q$192,MATCH("DX HP Clg",'Factor Tables'!$I$164:$Q$164,0),FALSE),IF($BW104="PTHP",VLOOKUP($D104,'Factor Tables'!$I$165:$Q$192,MATCH("PTHP Clg",'Factor Tables'!$I$164:$Q$164,0),FALSE),IF(AND($BW104&lt;&gt;"DX HP",$BW104&lt;&gt;"PTHP"),VLOOKUP($D104,'Factor Tables'!$I$165:$Q$192,MATCH($BW104,'Factor Tables'!$I$164:$Q$164,0),FALSE),"")))))</f>
        <v/>
      </c>
      <c r="CK104" s="186" t="str">
        <f>IF(OR($C104="Replace-on-Burnout",$C104="New Construction",$CL104="DX HP",$CL104="PTHP"),$CV104,IF($BW104="","",IF($BW104="DX HP",VLOOKUP($D104,'Factor Tables'!$I$165:$Q$192,MATCH("DX HP Htg",'Factor Tables'!$I$164:$Q$164,0),FALSE),IF($BW104="PTHP",VLOOKUP($D104,'Factor Tables'!$I$165:$Q$192,MATCH("PTHP Htg",'Factor Tables'!$I$164:$Q$164,0),FALSE),0))))</f>
        <v/>
      </c>
      <c r="CL104" s="187" t="str">
        <f t="shared" si="57"/>
        <v/>
      </c>
      <c r="CM104" s="251" t="str">
        <f t="shared" si="58"/>
        <v/>
      </c>
      <c r="CN104" s="184">
        <f t="shared" si="72"/>
        <v>0</v>
      </c>
      <c r="CO104" s="693">
        <f t="shared" si="73"/>
        <v>0</v>
      </c>
      <c r="CP104" s="182" t="s">
        <v>46</v>
      </c>
      <c r="CQ104" s="852" t="str">
        <f t="shared" si="74"/>
        <v/>
      </c>
      <c r="CR104" s="833">
        <f t="shared" si="75"/>
        <v>0</v>
      </c>
      <c r="CS104" s="830" t="s">
        <v>567</v>
      </c>
      <c r="CT104" s="185" t="str">
        <f>IF($CL104="","",VLOOKUP($D104,'Factor Tables'!$B$165:$H$192,MATCH($CL104,'Factor Tables'!$B$164:$H$164,0),FALSE))</f>
        <v/>
      </c>
      <c r="CU104" s="842" t="str">
        <f>IF($CL104="","",IF(AND($CL104&lt;&gt;"DX HP",$CL104&lt;&gt;"PTHP"),VLOOKUP($D104,'Factor Tables'!$I$165:$Q$192,MATCH($CL104,'Factor Tables'!$I$164:$Q$164,0),FALSE),IF($CL104="DX HP",VLOOKUP($D104,'Factor Tables'!$I$165:$Q$192,MATCH("DX HP Clg",'Factor Tables'!$I$164:$Q$164,0),FALSE),IF($CL104="PTHP",VLOOKUP($D104,'Factor Tables'!$I$165:$Q$192,MATCH("PTHP Clg",'Factor Tables'!$I$164:$Q$164,0),FALSE),""))))</f>
        <v/>
      </c>
      <c r="CV104" s="186" t="str">
        <f>IF($CL104="","",IF(AND($CL104&lt;&gt;"DX HP",$CL104&lt;&gt;"PTHP"),0,IF($CL104="DX HP",VLOOKUP($D104,'Factor Tables'!$I$165:$Q$192,MATCH("DX HP Htg",'Factor Tables'!$I$164:$Q$164,0),FALSE),IF($CL104="PTHP",VLOOKUP($D104,'Factor Tables'!$I$165:$Q$192,MATCH("PTHP Htg",'Factor Tables'!$I$164:$Q$164,0),FALSE),""))))</f>
        <v/>
      </c>
      <c r="DD104" s="194"/>
      <c r="DE104" s="426"/>
      <c r="DI104" s="425"/>
      <c r="DJ104" s="425"/>
      <c r="DK104" s="425"/>
      <c r="DL104" s="425"/>
      <c r="DM104" s="493" t="s">
        <v>478</v>
      </c>
    </row>
    <row r="105" spans="2:117" s="427" customFormat="1" ht="21.95" customHeight="1" x14ac:dyDescent="0.25">
      <c r="B105" s="432">
        <v>96</v>
      </c>
      <c r="C105" s="499" t="str">
        <f t="shared" si="59"/>
        <v/>
      </c>
      <c r="D105" s="403" t="str">
        <f t="shared" si="60"/>
        <v/>
      </c>
      <c r="E105" s="541"/>
      <c r="F105" s="785"/>
      <c r="G105" s="728"/>
      <c r="H105" s="728"/>
      <c r="I105" s="728"/>
      <c r="J105" s="728"/>
      <c r="K105" s="728"/>
      <c r="L105" s="728"/>
      <c r="M105" s="764"/>
      <c r="N105" s="728"/>
      <c r="O105" s="764"/>
      <c r="P105" s="728"/>
      <c r="Q105" s="1142"/>
      <c r="R105" s="1133"/>
      <c r="S105" s="778"/>
      <c r="T105" s="767"/>
      <c r="U105" s="778"/>
      <c r="V105" s="751"/>
      <c r="W105" s="556"/>
      <c r="X105" s="785"/>
      <c r="Y105" s="542"/>
      <c r="Z105" s="500"/>
      <c r="AA105" s="500"/>
      <c r="AB105" s="500"/>
      <c r="AC105" s="500"/>
      <c r="AD105" s="529"/>
      <c r="AE105" s="527">
        <f t="shared" si="39"/>
        <v>0</v>
      </c>
      <c r="AF105" s="527">
        <f t="shared" si="61"/>
        <v>0</v>
      </c>
      <c r="AG105" s="527">
        <f t="shared" si="41"/>
        <v>0</v>
      </c>
      <c r="AH105" s="527">
        <f t="shared" si="42"/>
        <v>0</v>
      </c>
      <c r="AI105" s="527">
        <f t="shared" si="43"/>
        <v>0</v>
      </c>
      <c r="AJ105" s="527">
        <f t="shared" si="44"/>
        <v>999999999</v>
      </c>
      <c r="AK105" s="530"/>
      <c r="AL105" s="776"/>
      <c r="AM105" s="777"/>
      <c r="AN105" s="500"/>
      <c r="AO105" s="778"/>
      <c r="AP105" s="778"/>
      <c r="AQ105" s="500"/>
      <c r="AR105" s="531"/>
      <c r="AS105" s="403"/>
      <c r="AT105" s="524" t="str">
        <f t="shared" si="45"/>
        <v/>
      </c>
      <c r="AU105" s="311">
        <f t="shared" si="46"/>
        <v>0</v>
      </c>
      <c r="AV105" s="288">
        <f t="shared" si="62"/>
        <v>0</v>
      </c>
      <c r="AW105" s="290">
        <f>IF(ISERROR($AU105*'Utility Admin'!$E$4+$AV105*'Utility Admin'!$F$4),0,$AU105*'Utility Admin'!$E$4+$AV105*'Utility Admin'!$F$4)</f>
        <v>0</v>
      </c>
      <c r="AX105" s="323" t="str">
        <f t="shared" si="47"/>
        <v/>
      </c>
      <c r="AY105" s="322" t="str">
        <f t="shared" si="23"/>
        <v/>
      </c>
      <c r="AZ105" s="319">
        <f>Baselines!$CJ349</f>
        <v>0</v>
      </c>
      <c r="BA105" s="735">
        <f>Baselines!$CK349</f>
        <v>0</v>
      </c>
      <c r="BB105" s="839">
        <f>Baselines!$CM349</f>
        <v>0</v>
      </c>
      <c r="BC105" s="466">
        <f t="shared" si="48"/>
        <v>0</v>
      </c>
      <c r="BD105" s="464">
        <f t="shared" si="63"/>
        <v>0</v>
      </c>
      <c r="BE105" s="755">
        <f t="shared" si="49"/>
        <v>0</v>
      </c>
      <c r="BF105" s="755">
        <f t="shared" si="64"/>
        <v>0</v>
      </c>
      <c r="BG105" s="466">
        <f t="shared" si="50"/>
        <v>0</v>
      </c>
      <c r="BH105" s="464">
        <f t="shared" si="51"/>
        <v>0</v>
      </c>
      <c r="BI105" s="755">
        <f t="shared" si="52"/>
        <v>0</v>
      </c>
      <c r="BJ105" s="755">
        <f t="shared" si="65"/>
        <v>0</v>
      </c>
      <c r="BK105" s="333">
        <f>IF(OR($C105&lt;&gt;"Early Retirement",$H105=""),0,IF(AND($G105&lt;&gt;"Air Cooled Chiller",$G105&lt;&gt;"Water Cooled Chiller"),VLOOKUP($H105,'Early Retirement'!$CI$6:$CL$33,2,FALSE),IF($J105&lt;&gt;"Centrifugal",VLOOKUP($H105,'Early Retirement'!$CI$6:$CL$33,3,FALSE),IF($J105="Centrifugal",VLOOKUP($H105,'Early Retirement'!$CI$6:$CL$33,4,FALSE),""))))</f>
        <v>0</v>
      </c>
      <c r="BL105" s="450">
        <f t="shared" si="53"/>
        <v>0</v>
      </c>
      <c r="BM105" s="553">
        <f>IFERROR('Utility Admin'!$I$4*((1+'Utility Admin'!$G$4)/('Utility Admin'!$H$4-'Utility Admin'!$G$4))*(1-((1+'Utility Admin'!$G$4)/(1+'Utility Admin'!$H$4))^$BK105)*$BG105,0)</f>
        <v>0</v>
      </c>
      <c r="BN105" s="553">
        <f>IFERROR('Utility Admin'!$I$4*((1+'Utility Admin'!$G$4)/('Utility Admin'!$H$4-'Utility Admin'!$G$4))*(1-((1+'Utility Admin'!$G$4)/(1+'Utility Admin'!$H$4))^$BL105)*((1+'Utility Admin'!$G$4)^$BK105/(1+'Utility Admin'!$H$4)^$BK105)*$BC105,0)</f>
        <v>0</v>
      </c>
      <c r="BO105" s="553">
        <f t="shared" si="27"/>
        <v>0</v>
      </c>
      <c r="BP105" s="553">
        <f>IFERROR('Utility Admin'!$J$4*((1+'Utility Admin'!$G$4)/('Utility Admin'!$H$4-'Utility Admin'!$G$4))*(1-((1+'Utility Admin'!$G$4)/(1+'Utility Admin'!$H$4))^$BK105)*$BJ105,0)</f>
        <v>0</v>
      </c>
      <c r="BQ105" s="553">
        <f>IFERROR('Utility Admin'!$J$4*((1+'Utility Admin'!$G$4)/('Utility Admin'!$H$4-'Utility Admin'!$G$4))*(1-((1+'Utility Admin'!$G$4)/(1+'Utility Admin'!$H$4))^$BL105)*((1+'Utility Admin'!$G$4)^$BK105/(1+'Utility Admin'!$H$4)^$BK105)*$BF105,0)</f>
        <v>0</v>
      </c>
      <c r="BR105" s="553">
        <f t="shared" si="28"/>
        <v>0</v>
      </c>
      <c r="BS105" s="553">
        <f>IFERROR('Utility Admin'!$I$4*((1+'Utility Admin'!$G$4)/('Utility Admin'!$H$4-'Utility Admin'!$G$4))*(1-((1+'Utility Admin'!$G$4)/(1+'Utility Admin'!$H$4))^$AT105),0)</f>
        <v>0</v>
      </c>
      <c r="BT105" s="553">
        <f>IFERROR('Utility Admin'!$J$4*((1+'Utility Admin'!$G$4)/('Utility Admin'!$H$4-'Utility Admin'!$G$4))*(1-((1+'Utility Admin'!$G$4)/(1+'Utility Admin'!$H$4))^$AT105),0)</f>
        <v>0</v>
      </c>
      <c r="BU105" s="459">
        <f t="shared" si="66"/>
        <v>0</v>
      </c>
      <c r="BV105" s="462">
        <f t="shared" si="67"/>
        <v>0</v>
      </c>
      <c r="BW105" s="219" t="str">
        <f t="shared" si="54"/>
        <v/>
      </c>
      <c r="BX105" s="250" t="str">
        <f t="shared" si="68"/>
        <v/>
      </c>
      <c r="BY105" s="250" t="str">
        <f t="shared" si="55"/>
        <v/>
      </c>
      <c r="BZ105" s="184">
        <f t="shared" si="69"/>
        <v>0</v>
      </c>
      <c r="CA105" s="693">
        <f t="shared" si="70"/>
        <v>0</v>
      </c>
      <c r="CB105" s="836">
        <f t="shared" si="71"/>
        <v>0</v>
      </c>
      <c r="CC105" s="693">
        <f>IF(AND($C105="Early Retirement",$H105&lt;&gt;"",$R105&lt;&gt;"",$T105&lt;&gt;""),$BZ105,Baselines!$CJ98)</f>
        <v>0</v>
      </c>
      <c r="CD105" s="693">
        <f>IF(AND($C105="Early Retirement",$H105&lt;&gt;"",$R105&lt;&gt;"",$T105&lt;&gt;""),$CA105,Baselines!$CK98)</f>
        <v>0</v>
      </c>
      <c r="CE105" s="182" t="str">
        <f>Baselines!$CL98</f>
        <v>kW/ton</v>
      </c>
      <c r="CF105" s="850" t="str">
        <f t="shared" si="56"/>
        <v/>
      </c>
      <c r="CG105" s="833">
        <f>IF(AND($C105="Early Retirement",$H105&lt;&gt;"",$R105&lt;&gt;"",$T105&lt;&gt;""),$CB105,IF(AND(Baselines!$CM98=0,OR($CL105="DX HP",$CL105="PTHP")),$BB105,Baselines!$CM98))</f>
        <v>0</v>
      </c>
      <c r="CH105" s="830" t="s">
        <v>567</v>
      </c>
      <c r="CI105" s="185" t="str">
        <f>IF(OR($C105="Replace-on-Burnout",$C105="New Construction"),$CT105,IF($BW105="","",VLOOKUP($D105,'Factor Tables'!$B$165:$H$192,MATCH($BW105,'Factor Tables'!$B$164:$H$164,0),FALSE)))</f>
        <v/>
      </c>
      <c r="CJ105" s="842" t="str">
        <f>IF(OR($C105="Replace-on-Burnout",$C105="New Construction"),$CU105,IF($BW105="","",IF($BW105="DX HP",VLOOKUP($D105,'Factor Tables'!$I$165:$Q$192,MATCH("DX HP Clg",'Factor Tables'!$I$164:$Q$164,0),FALSE),IF($BW105="PTHP",VLOOKUP($D105,'Factor Tables'!$I$165:$Q$192,MATCH("PTHP Clg",'Factor Tables'!$I$164:$Q$164,0),FALSE),IF(AND($BW105&lt;&gt;"DX HP",$BW105&lt;&gt;"PTHP"),VLOOKUP($D105,'Factor Tables'!$I$165:$Q$192,MATCH($BW105,'Factor Tables'!$I$164:$Q$164,0),FALSE),"")))))</f>
        <v/>
      </c>
      <c r="CK105" s="186" t="str">
        <f>IF(OR($C105="Replace-on-Burnout",$C105="New Construction",$CL105="DX HP",$CL105="PTHP"),$CV105,IF($BW105="","",IF($BW105="DX HP",VLOOKUP($D105,'Factor Tables'!$I$165:$Q$192,MATCH("DX HP Htg",'Factor Tables'!$I$164:$Q$164,0),FALSE),IF($BW105="PTHP",VLOOKUP($D105,'Factor Tables'!$I$165:$Q$192,MATCH("PTHP Htg",'Factor Tables'!$I$164:$Q$164,0),FALSE),0))))</f>
        <v/>
      </c>
      <c r="CL105" s="187" t="str">
        <f t="shared" si="57"/>
        <v/>
      </c>
      <c r="CM105" s="251" t="str">
        <f t="shared" si="58"/>
        <v/>
      </c>
      <c r="CN105" s="184">
        <f t="shared" si="72"/>
        <v>0</v>
      </c>
      <c r="CO105" s="693">
        <f t="shared" si="73"/>
        <v>0</v>
      </c>
      <c r="CP105" s="182" t="s">
        <v>46</v>
      </c>
      <c r="CQ105" s="852" t="str">
        <f t="shared" si="74"/>
        <v/>
      </c>
      <c r="CR105" s="833">
        <f t="shared" si="75"/>
        <v>0</v>
      </c>
      <c r="CS105" s="830" t="s">
        <v>567</v>
      </c>
      <c r="CT105" s="185" t="str">
        <f>IF($CL105="","",VLOOKUP($D105,'Factor Tables'!$B$165:$H$192,MATCH($CL105,'Factor Tables'!$B$164:$H$164,0),FALSE))</f>
        <v/>
      </c>
      <c r="CU105" s="842" t="str">
        <f>IF($CL105="","",IF(AND($CL105&lt;&gt;"DX HP",$CL105&lt;&gt;"PTHP"),VLOOKUP($D105,'Factor Tables'!$I$165:$Q$192,MATCH($CL105,'Factor Tables'!$I$164:$Q$164,0),FALSE),IF($CL105="DX HP",VLOOKUP($D105,'Factor Tables'!$I$165:$Q$192,MATCH("DX HP Clg",'Factor Tables'!$I$164:$Q$164,0),FALSE),IF($CL105="PTHP",VLOOKUP($D105,'Factor Tables'!$I$165:$Q$192,MATCH("PTHP Clg",'Factor Tables'!$I$164:$Q$164,0),FALSE),""))))</f>
        <v/>
      </c>
      <c r="CV105" s="186" t="str">
        <f>IF($CL105="","",IF(AND($CL105&lt;&gt;"DX HP",$CL105&lt;&gt;"PTHP"),0,IF($CL105="DX HP",VLOOKUP($D105,'Factor Tables'!$I$165:$Q$192,MATCH("DX HP Htg",'Factor Tables'!$I$164:$Q$164,0),FALSE),IF($CL105="PTHP",VLOOKUP($D105,'Factor Tables'!$I$165:$Q$192,MATCH("PTHP Htg",'Factor Tables'!$I$164:$Q$164,0),FALSE),""))))</f>
        <v/>
      </c>
      <c r="DD105" s="193" t="s">
        <v>365</v>
      </c>
      <c r="DE105" s="426"/>
      <c r="DI105" s="425"/>
      <c r="DJ105" s="425"/>
      <c r="DK105" s="425"/>
      <c r="DL105" s="425"/>
      <c r="DM105" s="493" t="s">
        <v>478</v>
      </c>
    </row>
    <row r="106" spans="2:117" s="427" customFormat="1" ht="21.95" customHeight="1" x14ac:dyDescent="0.25">
      <c r="B106" s="431">
        <v>97</v>
      </c>
      <c r="C106" s="501" t="str">
        <f t="shared" si="59"/>
        <v/>
      </c>
      <c r="D106" s="502" t="str">
        <f t="shared" si="60"/>
        <v/>
      </c>
      <c r="E106" s="546"/>
      <c r="F106" s="547"/>
      <c r="G106" s="729"/>
      <c r="H106" s="729"/>
      <c r="I106" s="729"/>
      <c r="J106" s="729"/>
      <c r="K106" s="729"/>
      <c r="L106" s="729"/>
      <c r="M106" s="765"/>
      <c r="N106" s="758"/>
      <c r="O106" s="765"/>
      <c r="P106" s="758"/>
      <c r="Q106" s="1143"/>
      <c r="R106" s="1134"/>
      <c r="S106" s="775"/>
      <c r="T106" s="729"/>
      <c r="U106" s="775"/>
      <c r="V106" s="779"/>
      <c r="W106" s="557"/>
      <c r="X106" s="788"/>
      <c r="Y106" s="543"/>
      <c r="Z106" s="281"/>
      <c r="AA106" s="281"/>
      <c r="AB106" s="281"/>
      <c r="AC106" s="281"/>
      <c r="AD106" s="492"/>
      <c r="AE106" s="527">
        <f t="shared" si="39"/>
        <v>0</v>
      </c>
      <c r="AF106" s="527">
        <f t="shared" si="61"/>
        <v>0</v>
      </c>
      <c r="AG106" s="527">
        <f t="shared" si="41"/>
        <v>0</v>
      </c>
      <c r="AH106" s="527">
        <f t="shared" si="42"/>
        <v>0</v>
      </c>
      <c r="AI106" s="527">
        <f t="shared" si="43"/>
        <v>0</v>
      </c>
      <c r="AJ106" s="527">
        <f t="shared" si="44"/>
        <v>999999999</v>
      </c>
      <c r="AK106" s="471"/>
      <c r="AL106" s="765"/>
      <c r="AM106" s="758"/>
      <c r="AN106" s="281"/>
      <c r="AO106" s="775"/>
      <c r="AP106" s="775"/>
      <c r="AQ106" s="281"/>
      <c r="AR106" s="528"/>
      <c r="AS106" s="532"/>
      <c r="AT106" s="524" t="str">
        <f t="shared" si="45"/>
        <v/>
      </c>
      <c r="AU106" s="311">
        <f t="shared" si="46"/>
        <v>0</v>
      </c>
      <c r="AV106" s="288">
        <f t="shared" si="62"/>
        <v>0</v>
      </c>
      <c r="AW106" s="290">
        <f>IF(ISERROR($AU106*'Utility Admin'!$E$4+$AV106*'Utility Admin'!$F$4),0,$AU106*'Utility Admin'!$E$4+$AV106*'Utility Admin'!$F$4)</f>
        <v>0</v>
      </c>
      <c r="AX106" s="323" t="str">
        <f t="shared" si="47"/>
        <v/>
      </c>
      <c r="AY106" s="322" t="str">
        <f t="shared" si="23"/>
        <v/>
      </c>
      <c r="AZ106" s="319">
        <f>Baselines!$CJ350</f>
        <v>0</v>
      </c>
      <c r="BA106" s="735">
        <f>Baselines!$CK350</f>
        <v>0</v>
      </c>
      <c r="BB106" s="839">
        <f>Baselines!$CM350</f>
        <v>0</v>
      </c>
      <c r="BC106" s="466">
        <f t="shared" si="48"/>
        <v>0</v>
      </c>
      <c r="BD106" s="464">
        <f t="shared" si="63"/>
        <v>0</v>
      </c>
      <c r="BE106" s="755">
        <f t="shared" si="49"/>
        <v>0</v>
      </c>
      <c r="BF106" s="755">
        <f t="shared" si="64"/>
        <v>0</v>
      </c>
      <c r="BG106" s="466">
        <f t="shared" si="50"/>
        <v>0</v>
      </c>
      <c r="BH106" s="464">
        <f t="shared" si="51"/>
        <v>0</v>
      </c>
      <c r="BI106" s="755">
        <f t="shared" si="52"/>
        <v>0</v>
      </c>
      <c r="BJ106" s="755">
        <f t="shared" si="65"/>
        <v>0</v>
      </c>
      <c r="BK106" s="333">
        <f>IF(OR($C106&lt;&gt;"Early Retirement",$H106=""),0,IF(AND($G106&lt;&gt;"Air Cooled Chiller",$G106&lt;&gt;"Water Cooled Chiller"),VLOOKUP($H106,'Early Retirement'!$CI$6:$CL$33,2,FALSE),IF($J106&lt;&gt;"Centrifugal",VLOOKUP($H106,'Early Retirement'!$CI$6:$CL$33,3,FALSE),IF($J106="Centrifugal",VLOOKUP($H106,'Early Retirement'!$CI$6:$CL$33,4,FALSE),""))))</f>
        <v>0</v>
      </c>
      <c r="BL106" s="450">
        <f t="shared" si="53"/>
        <v>0</v>
      </c>
      <c r="BM106" s="553">
        <f>IFERROR('Utility Admin'!$I$4*((1+'Utility Admin'!$G$4)/('Utility Admin'!$H$4-'Utility Admin'!$G$4))*(1-((1+'Utility Admin'!$G$4)/(1+'Utility Admin'!$H$4))^$BK106)*$BG106,0)</f>
        <v>0</v>
      </c>
      <c r="BN106" s="553">
        <f>IFERROR('Utility Admin'!$I$4*((1+'Utility Admin'!$G$4)/('Utility Admin'!$H$4-'Utility Admin'!$G$4))*(1-((1+'Utility Admin'!$G$4)/(1+'Utility Admin'!$H$4))^$BL106)*((1+'Utility Admin'!$G$4)^$BK106/(1+'Utility Admin'!$H$4)^$BK106)*$BC106,0)</f>
        <v>0</v>
      </c>
      <c r="BO106" s="553">
        <f t="shared" si="27"/>
        <v>0</v>
      </c>
      <c r="BP106" s="553">
        <f>IFERROR('Utility Admin'!$J$4*((1+'Utility Admin'!$G$4)/('Utility Admin'!$H$4-'Utility Admin'!$G$4))*(1-((1+'Utility Admin'!$G$4)/(1+'Utility Admin'!$H$4))^$BK106)*$BJ106,0)</f>
        <v>0</v>
      </c>
      <c r="BQ106" s="553">
        <f>IFERROR('Utility Admin'!$J$4*((1+'Utility Admin'!$G$4)/('Utility Admin'!$H$4-'Utility Admin'!$G$4))*(1-((1+'Utility Admin'!$G$4)/(1+'Utility Admin'!$H$4))^$BL106)*((1+'Utility Admin'!$G$4)^$BK106/(1+'Utility Admin'!$H$4)^$BK106)*$BF106,0)</f>
        <v>0</v>
      </c>
      <c r="BR106" s="553">
        <f t="shared" si="28"/>
        <v>0</v>
      </c>
      <c r="BS106" s="553">
        <f>IFERROR('Utility Admin'!$I$4*((1+'Utility Admin'!$G$4)/('Utility Admin'!$H$4-'Utility Admin'!$G$4))*(1-((1+'Utility Admin'!$G$4)/(1+'Utility Admin'!$H$4))^$AT106),0)</f>
        <v>0</v>
      </c>
      <c r="BT106" s="553">
        <f>IFERROR('Utility Admin'!$J$4*((1+'Utility Admin'!$G$4)/('Utility Admin'!$H$4-'Utility Admin'!$G$4))*(1-((1+'Utility Admin'!$G$4)/(1+'Utility Admin'!$H$4))^$AT106),0)</f>
        <v>0</v>
      </c>
      <c r="BU106" s="459">
        <f t="shared" si="66"/>
        <v>0</v>
      </c>
      <c r="BV106" s="462">
        <f t="shared" si="67"/>
        <v>0</v>
      </c>
      <c r="BW106" s="219" t="str">
        <f t="shared" si="54"/>
        <v/>
      </c>
      <c r="BX106" s="250" t="str">
        <f t="shared" si="68"/>
        <v/>
      </c>
      <c r="BY106" s="250" t="str">
        <f t="shared" si="55"/>
        <v/>
      </c>
      <c r="BZ106" s="184">
        <f t="shared" si="69"/>
        <v>0</v>
      </c>
      <c r="CA106" s="693">
        <f t="shared" si="70"/>
        <v>0</v>
      </c>
      <c r="CB106" s="836">
        <f t="shared" si="71"/>
        <v>0</v>
      </c>
      <c r="CC106" s="693">
        <f>IF(AND($C106="Early Retirement",$H106&lt;&gt;"",$R106&lt;&gt;"",$T106&lt;&gt;""),$BZ106,Baselines!$CJ99)</f>
        <v>0</v>
      </c>
      <c r="CD106" s="693">
        <f>IF(AND($C106="Early Retirement",$H106&lt;&gt;"",$R106&lt;&gt;"",$T106&lt;&gt;""),$CA106,Baselines!$CK99)</f>
        <v>0</v>
      </c>
      <c r="CE106" s="182" t="str">
        <f>Baselines!$CL99</f>
        <v>kW/ton</v>
      </c>
      <c r="CF106" s="850" t="str">
        <f t="shared" si="56"/>
        <v/>
      </c>
      <c r="CG106" s="833">
        <f>IF(AND($C106="Early Retirement",$H106&lt;&gt;"",$R106&lt;&gt;"",$T106&lt;&gt;""),$CB106,IF(AND(Baselines!$CM99=0,OR($CL106="DX HP",$CL106="PTHP")),$BB106,Baselines!$CM99))</f>
        <v>0</v>
      </c>
      <c r="CH106" s="830" t="s">
        <v>567</v>
      </c>
      <c r="CI106" s="185" t="str">
        <f>IF(OR($C106="Replace-on-Burnout",$C106="New Construction"),$CT106,IF($BW106="","",VLOOKUP($D106,'Factor Tables'!$B$165:$H$192,MATCH($BW106,'Factor Tables'!$B$164:$H$164,0),FALSE)))</f>
        <v/>
      </c>
      <c r="CJ106" s="842" t="str">
        <f>IF(OR($C106="Replace-on-Burnout",$C106="New Construction"),$CU106,IF($BW106="","",IF($BW106="DX HP",VLOOKUP($D106,'Factor Tables'!$I$165:$Q$192,MATCH("DX HP Clg",'Factor Tables'!$I$164:$Q$164,0),FALSE),IF($BW106="PTHP",VLOOKUP($D106,'Factor Tables'!$I$165:$Q$192,MATCH("PTHP Clg",'Factor Tables'!$I$164:$Q$164,0),FALSE),IF(AND($BW106&lt;&gt;"DX HP",$BW106&lt;&gt;"PTHP"),VLOOKUP($D106,'Factor Tables'!$I$165:$Q$192,MATCH($BW106,'Factor Tables'!$I$164:$Q$164,0),FALSE),"")))))</f>
        <v/>
      </c>
      <c r="CK106" s="186" t="str">
        <f>IF(OR($C106="Replace-on-Burnout",$C106="New Construction",$CL106="DX HP",$CL106="PTHP"),$CV106,IF($BW106="","",IF($BW106="DX HP",VLOOKUP($D106,'Factor Tables'!$I$165:$Q$192,MATCH("DX HP Htg",'Factor Tables'!$I$164:$Q$164,0),FALSE),IF($BW106="PTHP",VLOOKUP($D106,'Factor Tables'!$I$165:$Q$192,MATCH("PTHP Htg",'Factor Tables'!$I$164:$Q$164,0),FALSE),0))))</f>
        <v/>
      </c>
      <c r="CL106" s="187" t="str">
        <f t="shared" si="57"/>
        <v/>
      </c>
      <c r="CM106" s="251" t="str">
        <f t="shared" si="58"/>
        <v/>
      </c>
      <c r="CN106" s="184">
        <f t="shared" si="72"/>
        <v>0</v>
      </c>
      <c r="CO106" s="693">
        <f t="shared" si="73"/>
        <v>0</v>
      </c>
      <c r="CP106" s="182" t="s">
        <v>46</v>
      </c>
      <c r="CQ106" s="852" t="str">
        <f t="shared" si="74"/>
        <v/>
      </c>
      <c r="CR106" s="833">
        <f t="shared" si="75"/>
        <v>0</v>
      </c>
      <c r="CS106" s="830" t="s">
        <v>567</v>
      </c>
      <c r="CT106" s="185" t="str">
        <f>IF($CL106="","",VLOOKUP($D106,'Factor Tables'!$B$165:$H$192,MATCH($CL106,'Factor Tables'!$B$164:$H$164,0),FALSE))</f>
        <v/>
      </c>
      <c r="CU106" s="842" t="str">
        <f>IF($CL106="","",IF(AND($CL106&lt;&gt;"DX HP",$CL106&lt;&gt;"PTHP"),VLOOKUP($D106,'Factor Tables'!$I$165:$Q$192,MATCH($CL106,'Factor Tables'!$I$164:$Q$164,0),FALSE),IF($CL106="DX HP",VLOOKUP($D106,'Factor Tables'!$I$165:$Q$192,MATCH("DX HP Clg",'Factor Tables'!$I$164:$Q$164,0),FALSE),IF($CL106="PTHP",VLOOKUP($D106,'Factor Tables'!$I$165:$Q$192,MATCH("PTHP Clg",'Factor Tables'!$I$164:$Q$164,0),FALSE),""))))</f>
        <v/>
      </c>
      <c r="CV106" s="186" t="str">
        <f>IF($CL106="","",IF(AND($CL106&lt;&gt;"DX HP",$CL106&lt;&gt;"PTHP"),0,IF($CL106="DX HP",VLOOKUP($D106,'Factor Tables'!$I$165:$Q$192,MATCH("DX HP Htg",'Factor Tables'!$I$164:$Q$164,0),FALSE),IF($CL106="PTHP",VLOOKUP($D106,'Factor Tables'!$I$165:$Q$192,MATCH("PTHP Htg",'Factor Tables'!$I$164:$Q$164,0),FALSE),""))))</f>
        <v/>
      </c>
      <c r="DD106" s="77" t="s">
        <v>44</v>
      </c>
      <c r="DE106" s="426"/>
      <c r="DI106" s="425"/>
      <c r="DJ106" s="425"/>
      <c r="DK106" s="425"/>
      <c r="DL106" s="425"/>
      <c r="DM106" s="493" t="s">
        <v>478</v>
      </c>
    </row>
    <row r="107" spans="2:117" s="427" customFormat="1" ht="21.95" customHeight="1" x14ac:dyDescent="0.25">
      <c r="B107" s="432">
        <v>98</v>
      </c>
      <c r="C107" s="499" t="str">
        <f t="shared" si="59"/>
        <v/>
      </c>
      <c r="D107" s="403" t="str">
        <f t="shared" si="60"/>
        <v/>
      </c>
      <c r="E107" s="541"/>
      <c r="F107" s="785"/>
      <c r="G107" s="728"/>
      <c r="H107" s="728"/>
      <c r="I107" s="728"/>
      <c r="J107" s="728"/>
      <c r="K107" s="728"/>
      <c r="L107" s="728"/>
      <c r="M107" s="764"/>
      <c r="N107" s="728"/>
      <c r="O107" s="764"/>
      <c r="P107" s="728"/>
      <c r="Q107" s="1142"/>
      <c r="R107" s="1133"/>
      <c r="S107" s="778"/>
      <c r="T107" s="767"/>
      <c r="U107" s="778"/>
      <c r="V107" s="751"/>
      <c r="W107" s="556"/>
      <c r="X107" s="785"/>
      <c r="Y107" s="542"/>
      <c r="Z107" s="500"/>
      <c r="AA107" s="500"/>
      <c r="AB107" s="500"/>
      <c r="AC107" s="500"/>
      <c r="AD107" s="529"/>
      <c r="AE107" s="527">
        <f t="shared" si="39"/>
        <v>0</v>
      </c>
      <c r="AF107" s="527">
        <f t="shared" si="61"/>
        <v>0</v>
      </c>
      <c r="AG107" s="527">
        <f t="shared" si="41"/>
        <v>0</v>
      </c>
      <c r="AH107" s="527">
        <f t="shared" si="42"/>
        <v>0</v>
      </c>
      <c r="AI107" s="527">
        <f t="shared" si="43"/>
        <v>0</v>
      </c>
      <c r="AJ107" s="527">
        <f t="shared" si="44"/>
        <v>999999999</v>
      </c>
      <c r="AK107" s="530"/>
      <c r="AL107" s="776"/>
      <c r="AM107" s="777"/>
      <c r="AN107" s="500"/>
      <c r="AO107" s="778"/>
      <c r="AP107" s="778"/>
      <c r="AQ107" s="500"/>
      <c r="AR107" s="531"/>
      <c r="AS107" s="403"/>
      <c r="AT107" s="524" t="str">
        <f t="shared" si="45"/>
        <v/>
      </c>
      <c r="AU107" s="311">
        <f t="shared" si="46"/>
        <v>0</v>
      </c>
      <c r="AV107" s="288">
        <f t="shared" si="62"/>
        <v>0</v>
      </c>
      <c r="AW107" s="290">
        <f>IF(ISERROR($AU107*'Utility Admin'!$E$4+$AV107*'Utility Admin'!$F$4),0,$AU107*'Utility Admin'!$E$4+$AV107*'Utility Admin'!$F$4)</f>
        <v>0</v>
      </c>
      <c r="AX107" s="323" t="str">
        <f t="shared" si="47"/>
        <v/>
      </c>
      <c r="AY107" s="322" t="str">
        <f t="shared" si="23"/>
        <v/>
      </c>
      <c r="AZ107" s="319">
        <f>Baselines!$CJ351</f>
        <v>0</v>
      </c>
      <c r="BA107" s="735">
        <f>Baselines!$CK351</f>
        <v>0</v>
      </c>
      <c r="BB107" s="839">
        <f>Baselines!$CM351</f>
        <v>0</v>
      </c>
      <c r="BC107" s="466">
        <f t="shared" si="48"/>
        <v>0</v>
      </c>
      <c r="BD107" s="464">
        <f t="shared" si="63"/>
        <v>0</v>
      </c>
      <c r="BE107" s="755">
        <f t="shared" si="49"/>
        <v>0</v>
      </c>
      <c r="BF107" s="755">
        <f t="shared" si="64"/>
        <v>0</v>
      </c>
      <c r="BG107" s="466">
        <f t="shared" si="50"/>
        <v>0</v>
      </c>
      <c r="BH107" s="464">
        <f t="shared" si="51"/>
        <v>0</v>
      </c>
      <c r="BI107" s="755">
        <f t="shared" si="52"/>
        <v>0</v>
      </c>
      <c r="BJ107" s="755">
        <f t="shared" si="65"/>
        <v>0</v>
      </c>
      <c r="BK107" s="333">
        <f>IF(OR($C107&lt;&gt;"Early Retirement",$H107=""),0,IF(AND($G107&lt;&gt;"Air Cooled Chiller",$G107&lt;&gt;"Water Cooled Chiller"),VLOOKUP($H107,'Early Retirement'!$CI$6:$CL$33,2,FALSE),IF($J107&lt;&gt;"Centrifugal",VLOOKUP($H107,'Early Retirement'!$CI$6:$CL$33,3,FALSE),IF($J107="Centrifugal",VLOOKUP($H107,'Early Retirement'!$CI$6:$CL$33,4,FALSE),""))))</f>
        <v>0</v>
      </c>
      <c r="BL107" s="450">
        <f t="shared" si="53"/>
        <v>0</v>
      </c>
      <c r="BM107" s="553">
        <f>IFERROR('Utility Admin'!$I$4*((1+'Utility Admin'!$G$4)/('Utility Admin'!$H$4-'Utility Admin'!$G$4))*(1-((1+'Utility Admin'!$G$4)/(1+'Utility Admin'!$H$4))^$BK107)*$BG107,0)</f>
        <v>0</v>
      </c>
      <c r="BN107" s="553">
        <f>IFERROR('Utility Admin'!$I$4*((1+'Utility Admin'!$G$4)/('Utility Admin'!$H$4-'Utility Admin'!$G$4))*(1-((1+'Utility Admin'!$G$4)/(1+'Utility Admin'!$H$4))^$BL107)*((1+'Utility Admin'!$G$4)^$BK107/(1+'Utility Admin'!$H$4)^$BK107)*$BC107,0)</f>
        <v>0</v>
      </c>
      <c r="BO107" s="553">
        <f t="shared" si="27"/>
        <v>0</v>
      </c>
      <c r="BP107" s="553">
        <f>IFERROR('Utility Admin'!$J$4*((1+'Utility Admin'!$G$4)/('Utility Admin'!$H$4-'Utility Admin'!$G$4))*(1-((1+'Utility Admin'!$G$4)/(1+'Utility Admin'!$H$4))^$BK107)*$BJ107,0)</f>
        <v>0</v>
      </c>
      <c r="BQ107" s="553">
        <f>IFERROR('Utility Admin'!$J$4*((1+'Utility Admin'!$G$4)/('Utility Admin'!$H$4-'Utility Admin'!$G$4))*(1-((1+'Utility Admin'!$G$4)/(1+'Utility Admin'!$H$4))^$BL107)*((1+'Utility Admin'!$G$4)^$BK107/(1+'Utility Admin'!$H$4)^$BK107)*$BF107,0)</f>
        <v>0</v>
      </c>
      <c r="BR107" s="553">
        <f t="shared" si="28"/>
        <v>0</v>
      </c>
      <c r="BS107" s="553">
        <f>IFERROR('Utility Admin'!$I$4*((1+'Utility Admin'!$G$4)/('Utility Admin'!$H$4-'Utility Admin'!$G$4))*(1-((1+'Utility Admin'!$G$4)/(1+'Utility Admin'!$H$4))^$AT107),0)</f>
        <v>0</v>
      </c>
      <c r="BT107" s="553">
        <f>IFERROR('Utility Admin'!$J$4*((1+'Utility Admin'!$G$4)/('Utility Admin'!$H$4-'Utility Admin'!$G$4))*(1-((1+'Utility Admin'!$G$4)/(1+'Utility Admin'!$H$4))^$AT107),0)</f>
        <v>0</v>
      </c>
      <c r="BU107" s="459">
        <f t="shared" si="66"/>
        <v>0</v>
      </c>
      <c r="BV107" s="462">
        <f t="shared" si="67"/>
        <v>0</v>
      </c>
      <c r="BW107" s="219" t="str">
        <f t="shared" si="54"/>
        <v/>
      </c>
      <c r="BX107" s="250" t="str">
        <f t="shared" si="68"/>
        <v/>
      </c>
      <c r="BY107" s="250" t="str">
        <f t="shared" si="55"/>
        <v/>
      </c>
      <c r="BZ107" s="184">
        <f t="shared" si="69"/>
        <v>0</v>
      </c>
      <c r="CA107" s="693">
        <f t="shared" si="70"/>
        <v>0</v>
      </c>
      <c r="CB107" s="836">
        <f t="shared" si="71"/>
        <v>0</v>
      </c>
      <c r="CC107" s="693">
        <f>IF(AND($C107="Early Retirement",$H107&lt;&gt;"",$R107&lt;&gt;"",$T107&lt;&gt;""),$BZ107,Baselines!$CJ100)</f>
        <v>0</v>
      </c>
      <c r="CD107" s="693">
        <f>IF(AND($C107="Early Retirement",$H107&lt;&gt;"",$R107&lt;&gt;"",$T107&lt;&gt;""),$CA107,Baselines!$CK100)</f>
        <v>0</v>
      </c>
      <c r="CE107" s="182" t="str">
        <f>Baselines!$CL100</f>
        <v>kW/ton</v>
      </c>
      <c r="CF107" s="850" t="str">
        <f t="shared" si="56"/>
        <v/>
      </c>
      <c r="CG107" s="833">
        <f>IF(AND($C107="Early Retirement",$H107&lt;&gt;"",$R107&lt;&gt;"",$T107&lt;&gt;""),$CB107,IF(AND(Baselines!$CM100=0,OR($CL107="DX HP",$CL107="PTHP")),$BB107,Baselines!$CM100))</f>
        <v>0</v>
      </c>
      <c r="CH107" s="830" t="s">
        <v>567</v>
      </c>
      <c r="CI107" s="185" t="str">
        <f>IF(OR($C107="Replace-on-Burnout",$C107="New Construction"),$CT107,IF($BW107="","",VLOOKUP($D107,'Factor Tables'!$B$165:$H$192,MATCH($BW107,'Factor Tables'!$B$164:$H$164,0),FALSE)))</f>
        <v/>
      </c>
      <c r="CJ107" s="842" t="str">
        <f>IF(OR($C107="Replace-on-Burnout",$C107="New Construction"),$CU107,IF($BW107="","",IF($BW107="DX HP",VLOOKUP($D107,'Factor Tables'!$I$165:$Q$192,MATCH("DX HP Clg",'Factor Tables'!$I$164:$Q$164,0),FALSE),IF($BW107="PTHP",VLOOKUP($D107,'Factor Tables'!$I$165:$Q$192,MATCH("PTHP Clg",'Factor Tables'!$I$164:$Q$164,0),FALSE),IF(AND($BW107&lt;&gt;"DX HP",$BW107&lt;&gt;"PTHP"),VLOOKUP($D107,'Factor Tables'!$I$165:$Q$192,MATCH($BW107,'Factor Tables'!$I$164:$Q$164,0),FALSE),"")))))</f>
        <v/>
      </c>
      <c r="CK107" s="186" t="str">
        <f>IF(OR($C107="Replace-on-Burnout",$C107="New Construction",$CL107="DX HP",$CL107="PTHP"),$CV107,IF($BW107="","",IF($BW107="DX HP",VLOOKUP($D107,'Factor Tables'!$I$165:$Q$192,MATCH("DX HP Htg",'Factor Tables'!$I$164:$Q$164,0),FALSE),IF($BW107="PTHP",VLOOKUP($D107,'Factor Tables'!$I$165:$Q$192,MATCH("PTHP Htg",'Factor Tables'!$I$164:$Q$164,0),FALSE),0))))</f>
        <v/>
      </c>
      <c r="CL107" s="187" t="str">
        <f t="shared" si="57"/>
        <v/>
      </c>
      <c r="CM107" s="251" t="str">
        <f t="shared" si="58"/>
        <v/>
      </c>
      <c r="CN107" s="184">
        <f t="shared" si="72"/>
        <v>0</v>
      </c>
      <c r="CO107" s="693">
        <f t="shared" si="73"/>
        <v>0</v>
      </c>
      <c r="CP107" s="182" t="s">
        <v>46</v>
      </c>
      <c r="CQ107" s="852" t="str">
        <f t="shared" si="74"/>
        <v/>
      </c>
      <c r="CR107" s="833">
        <f t="shared" si="75"/>
        <v>0</v>
      </c>
      <c r="CS107" s="830" t="s">
        <v>567</v>
      </c>
      <c r="CT107" s="185" t="str">
        <f>IF($CL107="","",VLOOKUP($D107,'Factor Tables'!$B$165:$H$192,MATCH($CL107,'Factor Tables'!$B$164:$H$164,0),FALSE))</f>
        <v/>
      </c>
      <c r="CU107" s="842" t="str">
        <f>IF($CL107="","",IF(AND($CL107&lt;&gt;"DX HP",$CL107&lt;&gt;"PTHP"),VLOOKUP($D107,'Factor Tables'!$I$165:$Q$192,MATCH($CL107,'Factor Tables'!$I$164:$Q$164,0),FALSE),IF($CL107="DX HP",VLOOKUP($D107,'Factor Tables'!$I$165:$Q$192,MATCH("DX HP Clg",'Factor Tables'!$I$164:$Q$164,0),FALSE),IF($CL107="PTHP",VLOOKUP($D107,'Factor Tables'!$I$165:$Q$192,MATCH("PTHP Clg",'Factor Tables'!$I$164:$Q$164,0),FALSE),""))))</f>
        <v/>
      </c>
      <c r="CV107" s="186" t="str">
        <f>IF($CL107="","",IF(AND($CL107&lt;&gt;"DX HP",$CL107&lt;&gt;"PTHP"),0,IF($CL107="DX HP",VLOOKUP($D107,'Factor Tables'!$I$165:$Q$192,MATCH("DX HP Htg",'Factor Tables'!$I$164:$Q$164,0),FALSE),IF($CL107="PTHP",VLOOKUP($D107,'Factor Tables'!$I$165:$Q$192,MATCH("PTHP Htg",'Factor Tables'!$I$164:$Q$164,0),FALSE),""))))</f>
        <v/>
      </c>
      <c r="DD107" s="77" t="s">
        <v>43</v>
      </c>
      <c r="DE107" s="426"/>
      <c r="DI107" s="425"/>
      <c r="DJ107" s="425"/>
      <c r="DK107" s="425"/>
      <c r="DL107" s="425"/>
      <c r="DM107" s="493" t="s">
        <v>478</v>
      </c>
    </row>
    <row r="108" spans="2:117" s="427" customFormat="1" ht="21.95" customHeight="1" x14ac:dyDescent="0.25">
      <c r="B108" s="431">
        <v>99</v>
      </c>
      <c r="C108" s="501" t="str">
        <f t="shared" si="59"/>
        <v/>
      </c>
      <c r="D108" s="502" t="str">
        <f t="shared" si="60"/>
        <v/>
      </c>
      <c r="E108" s="546"/>
      <c r="F108" s="547"/>
      <c r="G108" s="729"/>
      <c r="H108" s="729"/>
      <c r="I108" s="729"/>
      <c r="J108" s="729"/>
      <c r="K108" s="729"/>
      <c r="L108" s="729"/>
      <c r="M108" s="765"/>
      <c r="N108" s="758"/>
      <c r="O108" s="765"/>
      <c r="P108" s="758"/>
      <c r="Q108" s="1143"/>
      <c r="R108" s="1134"/>
      <c r="S108" s="775"/>
      <c r="T108" s="729"/>
      <c r="U108" s="775"/>
      <c r="V108" s="779"/>
      <c r="W108" s="557"/>
      <c r="X108" s="788"/>
      <c r="Y108" s="543"/>
      <c r="Z108" s="281"/>
      <c r="AA108" s="281"/>
      <c r="AB108" s="281"/>
      <c r="AC108" s="281"/>
      <c r="AD108" s="492"/>
      <c r="AE108" s="527">
        <f t="shared" si="39"/>
        <v>0</v>
      </c>
      <c r="AF108" s="527">
        <f t="shared" si="61"/>
        <v>0</v>
      </c>
      <c r="AG108" s="527">
        <f t="shared" si="41"/>
        <v>0</v>
      </c>
      <c r="AH108" s="527">
        <f t="shared" si="42"/>
        <v>0</v>
      </c>
      <c r="AI108" s="527">
        <f t="shared" si="43"/>
        <v>0</v>
      </c>
      <c r="AJ108" s="527">
        <f t="shared" si="44"/>
        <v>999999999</v>
      </c>
      <c r="AK108" s="471"/>
      <c r="AL108" s="765"/>
      <c r="AM108" s="758"/>
      <c r="AN108" s="281"/>
      <c r="AO108" s="775"/>
      <c r="AP108" s="775"/>
      <c r="AQ108" s="281"/>
      <c r="AR108" s="528"/>
      <c r="AS108" s="532"/>
      <c r="AT108" s="524" t="str">
        <f t="shared" si="45"/>
        <v/>
      </c>
      <c r="AU108" s="311">
        <f t="shared" si="46"/>
        <v>0</v>
      </c>
      <c r="AV108" s="288">
        <f t="shared" si="62"/>
        <v>0</v>
      </c>
      <c r="AW108" s="290">
        <f>IF(ISERROR($AU108*'Utility Admin'!$E$4+$AV108*'Utility Admin'!$F$4),0,$AU108*'Utility Admin'!$E$4+$AV108*'Utility Admin'!$F$4)</f>
        <v>0</v>
      </c>
      <c r="AX108" s="323" t="str">
        <f t="shared" si="47"/>
        <v/>
      </c>
      <c r="AY108" s="322" t="str">
        <f t="shared" si="23"/>
        <v/>
      </c>
      <c r="AZ108" s="319">
        <f>Baselines!$CJ352</f>
        <v>0</v>
      </c>
      <c r="BA108" s="735">
        <f>Baselines!$CK352</f>
        <v>0</v>
      </c>
      <c r="BB108" s="839">
        <f>Baselines!$CM352</f>
        <v>0</v>
      </c>
      <c r="BC108" s="466">
        <f t="shared" si="48"/>
        <v>0</v>
      </c>
      <c r="BD108" s="464">
        <f t="shared" si="63"/>
        <v>0</v>
      </c>
      <c r="BE108" s="755">
        <f t="shared" si="49"/>
        <v>0</v>
      </c>
      <c r="BF108" s="755">
        <f t="shared" si="64"/>
        <v>0</v>
      </c>
      <c r="BG108" s="466">
        <f t="shared" si="50"/>
        <v>0</v>
      </c>
      <c r="BH108" s="464">
        <f t="shared" si="51"/>
        <v>0</v>
      </c>
      <c r="BI108" s="755">
        <f t="shared" si="52"/>
        <v>0</v>
      </c>
      <c r="BJ108" s="755">
        <f t="shared" si="65"/>
        <v>0</v>
      </c>
      <c r="BK108" s="333">
        <f>IF(OR($C108&lt;&gt;"Early Retirement",$H108=""),0,IF(AND($G108&lt;&gt;"Air Cooled Chiller",$G108&lt;&gt;"Water Cooled Chiller"),VLOOKUP($H108,'Early Retirement'!$CI$6:$CL$33,2,FALSE),IF($J108&lt;&gt;"Centrifugal",VLOOKUP($H108,'Early Retirement'!$CI$6:$CL$33,3,FALSE),IF($J108="Centrifugal",VLOOKUP($H108,'Early Retirement'!$CI$6:$CL$33,4,FALSE),""))))</f>
        <v>0</v>
      </c>
      <c r="BL108" s="450">
        <f t="shared" si="53"/>
        <v>0</v>
      </c>
      <c r="BM108" s="553">
        <f>IFERROR('Utility Admin'!$I$4*((1+'Utility Admin'!$G$4)/('Utility Admin'!$H$4-'Utility Admin'!$G$4))*(1-((1+'Utility Admin'!$G$4)/(1+'Utility Admin'!$H$4))^$BK108)*$BG108,0)</f>
        <v>0</v>
      </c>
      <c r="BN108" s="553">
        <f>IFERROR('Utility Admin'!$I$4*((1+'Utility Admin'!$G$4)/('Utility Admin'!$H$4-'Utility Admin'!$G$4))*(1-((1+'Utility Admin'!$G$4)/(1+'Utility Admin'!$H$4))^$BL108)*((1+'Utility Admin'!$G$4)^$BK108/(1+'Utility Admin'!$H$4)^$BK108)*$BC108,0)</f>
        <v>0</v>
      </c>
      <c r="BO108" s="553">
        <f t="shared" si="27"/>
        <v>0</v>
      </c>
      <c r="BP108" s="553">
        <f>IFERROR('Utility Admin'!$J$4*((1+'Utility Admin'!$G$4)/('Utility Admin'!$H$4-'Utility Admin'!$G$4))*(1-((1+'Utility Admin'!$G$4)/(1+'Utility Admin'!$H$4))^$BK108)*$BJ108,0)</f>
        <v>0</v>
      </c>
      <c r="BQ108" s="553">
        <f>IFERROR('Utility Admin'!$J$4*((1+'Utility Admin'!$G$4)/('Utility Admin'!$H$4-'Utility Admin'!$G$4))*(1-((1+'Utility Admin'!$G$4)/(1+'Utility Admin'!$H$4))^$BL108)*((1+'Utility Admin'!$G$4)^$BK108/(1+'Utility Admin'!$H$4)^$BK108)*$BF108,0)</f>
        <v>0</v>
      </c>
      <c r="BR108" s="553">
        <f t="shared" si="28"/>
        <v>0</v>
      </c>
      <c r="BS108" s="553">
        <f>IFERROR('Utility Admin'!$I$4*((1+'Utility Admin'!$G$4)/('Utility Admin'!$H$4-'Utility Admin'!$G$4))*(1-((1+'Utility Admin'!$G$4)/(1+'Utility Admin'!$H$4))^$AT108),0)</f>
        <v>0</v>
      </c>
      <c r="BT108" s="553">
        <f>IFERROR('Utility Admin'!$J$4*((1+'Utility Admin'!$G$4)/('Utility Admin'!$H$4-'Utility Admin'!$G$4))*(1-((1+'Utility Admin'!$G$4)/(1+'Utility Admin'!$H$4))^$AT108),0)</f>
        <v>0</v>
      </c>
      <c r="BU108" s="459">
        <f t="shared" si="66"/>
        <v>0</v>
      </c>
      <c r="BV108" s="462">
        <f t="shared" si="67"/>
        <v>0</v>
      </c>
      <c r="BW108" s="219" t="str">
        <f t="shared" si="54"/>
        <v/>
      </c>
      <c r="BX108" s="250" t="str">
        <f t="shared" si="68"/>
        <v/>
      </c>
      <c r="BY108" s="250" t="str">
        <f t="shared" si="55"/>
        <v/>
      </c>
      <c r="BZ108" s="184">
        <f t="shared" si="69"/>
        <v>0</v>
      </c>
      <c r="CA108" s="693">
        <f t="shared" si="70"/>
        <v>0</v>
      </c>
      <c r="CB108" s="836">
        <f t="shared" si="71"/>
        <v>0</v>
      </c>
      <c r="CC108" s="693">
        <f>IF(AND($C108="Early Retirement",$H108&lt;&gt;"",$R108&lt;&gt;"",$T108&lt;&gt;""),$BZ108,Baselines!$CJ101)</f>
        <v>0</v>
      </c>
      <c r="CD108" s="693">
        <f>IF(AND($C108="Early Retirement",$H108&lt;&gt;"",$R108&lt;&gt;"",$T108&lt;&gt;""),$CA108,Baselines!$CK101)</f>
        <v>0</v>
      </c>
      <c r="CE108" s="182" t="str">
        <f>Baselines!$CL101</f>
        <v>kW/ton</v>
      </c>
      <c r="CF108" s="850" t="str">
        <f t="shared" si="56"/>
        <v/>
      </c>
      <c r="CG108" s="833">
        <f>IF(AND($C108="Early Retirement",$H108&lt;&gt;"",$R108&lt;&gt;"",$T108&lt;&gt;""),$CB108,IF(AND(Baselines!$CM101=0,OR($CL108="DX HP",$CL108="PTHP")),$BB108,Baselines!$CM101))</f>
        <v>0</v>
      </c>
      <c r="CH108" s="830" t="s">
        <v>567</v>
      </c>
      <c r="CI108" s="185" t="str">
        <f>IF(OR($C108="Replace-on-Burnout",$C108="New Construction"),$CT108,IF($BW108="","",VLOOKUP($D108,'Factor Tables'!$B$165:$H$192,MATCH($BW108,'Factor Tables'!$B$164:$H$164,0),FALSE)))</f>
        <v/>
      </c>
      <c r="CJ108" s="842" t="str">
        <f>IF(OR($C108="Replace-on-Burnout",$C108="New Construction"),$CU108,IF($BW108="","",IF($BW108="DX HP",VLOOKUP($D108,'Factor Tables'!$I$165:$Q$192,MATCH("DX HP Clg",'Factor Tables'!$I$164:$Q$164,0),FALSE),IF($BW108="PTHP",VLOOKUP($D108,'Factor Tables'!$I$165:$Q$192,MATCH("PTHP Clg",'Factor Tables'!$I$164:$Q$164,0),FALSE),IF(AND($BW108&lt;&gt;"DX HP",$BW108&lt;&gt;"PTHP"),VLOOKUP($D108,'Factor Tables'!$I$165:$Q$192,MATCH($BW108,'Factor Tables'!$I$164:$Q$164,0),FALSE),"")))))</f>
        <v/>
      </c>
      <c r="CK108" s="186" t="str">
        <f>IF(OR($C108="Replace-on-Burnout",$C108="New Construction",$CL108="DX HP",$CL108="PTHP"),$CV108,IF($BW108="","",IF($BW108="DX HP",VLOOKUP($D108,'Factor Tables'!$I$165:$Q$192,MATCH("DX HP Htg",'Factor Tables'!$I$164:$Q$164,0),FALSE),IF($BW108="PTHP",VLOOKUP($D108,'Factor Tables'!$I$165:$Q$192,MATCH("PTHP Htg",'Factor Tables'!$I$164:$Q$164,0),FALSE),0))))</f>
        <v/>
      </c>
      <c r="CL108" s="187" t="str">
        <f t="shared" si="57"/>
        <v/>
      </c>
      <c r="CM108" s="251" t="str">
        <f t="shared" si="58"/>
        <v/>
      </c>
      <c r="CN108" s="184">
        <f t="shared" si="72"/>
        <v>0</v>
      </c>
      <c r="CO108" s="693">
        <f t="shared" si="73"/>
        <v>0</v>
      </c>
      <c r="CP108" s="182" t="s">
        <v>46</v>
      </c>
      <c r="CQ108" s="852" t="str">
        <f t="shared" si="74"/>
        <v/>
      </c>
      <c r="CR108" s="833">
        <f t="shared" si="75"/>
        <v>0</v>
      </c>
      <c r="CS108" s="830" t="s">
        <v>567</v>
      </c>
      <c r="CT108" s="185" t="str">
        <f>IF($CL108="","",VLOOKUP($D108,'Factor Tables'!$B$165:$H$192,MATCH($CL108,'Factor Tables'!$B$164:$H$164,0),FALSE))</f>
        <v/>
      </c>
      <c r="CU108" s="842" t="str">
        <f>IF($CL108="","",IF(AND($CL108&lt;&gt;"DX HP",$CL108&lt;&gt;"PTHP"),VLOOKUP($D108,'Factor Tables'!$I$165:$Q$192,MATCH($CL108,'Factor Tables'!$I$164:$Q$164,0),FALSE),IF($CL108="DX HP",VLOOKUP($D108,'Factor Tables'!$I$165:$Q$192,MATCH("DX HP Clg",'Factor Tables'!$I$164:$Q$164,0),FALSE),IF($CL108="PTHP",VLOOKUP($D108,'Factor Tables'!$I$165:$Q$192,MATCH("PTHP Clg",'Factor Tables'!$I$164:$Q$164,0),FALSE),""))))</f>
        <v/>
      </c>
      <c r="CV108" s="186" t="str">
        <f>IF($CL108="","",IF(AND($CL108&lt;&gt;"DX HP",$CL108&lt;&gt;"PTHP"),0,IF($CL108="DX HP",VLOOKUP($D108,'Factor Tables'!$I$165:$Q$192,MATCH("DX HP Htg",'Factor Tables'!$I$164:$Q$164,0),FALSE),IF($CL108="PTHP",VLOOKUP($D108,'Factor Tables'!$I$165:$Q$192,MATCH("PTHP Htg",'Factor Tables'!$I$164:$Q$164,0),FALSE),""))))</f>
        <v/>
      </c>
      <c r="DD108" s="194" t="s">
        <v>53</v>
      </c>
      <c r="DE108" s="426"/>
      <c r="DI108" s="425"/>
      <c r="DJ108" s="425"/>
      <c r="DK108" s="425"/>
      <c r="DL108" s="425"/>
      <c r="DM108" s="493" t="s">
        <v>478</v>
      </c>
    </row>
    <row r="109" spans="2:117" s="427" customFormat="1" ht="21.95" customHeight="1" x14ac:dyDescent="0.25">
      <c r="B109" s="432">
        <v>100</v>
      </c>
      <c r="C109" s="499" t="str">
        <f t="shared" si="59"/>
        <v/>
      </c>
      <c r="D109" s="403" t="str">
        <f t="shared" si="60"/>
        <v/>
      </c>
      <c r="E109" s="541"/>
      <c r="F109" s="785"/>
      <c r="G109" s="728"/>
      <c r="H109" s="728"/>
      <c r="I109" s="728"/>
      <c r="J109" s="728"/>
      <c r="K109" s="728"/>
      <c r="L109" s="728"/>
      <c r="M109" s="764"/>
      <c r="N109" s="728"/>
      <c r="O109" s="764"/>
      <c r="P109" s="728"/>
      <c r="Q109" s="1142"/>
      <c r="R109" s="1133"/>
      <c r="S109" s="778"/>
      <c r="T109" s="767"/>
      <c r="U109" s="778"/>
      <c r="V109" s="751"/>
      <c r="W109" s="556"/>
      <c r="X109" s="785"/>
      <c r="Y109" s="542"/>
      <c r="Z109" s="500"/>
      <c r="AA109" s="500"/>
      <c r="AB109" s="500"/>
      <c r="AC109" s="500"/>
      <c r="AD109" s="529"/>
      <c r="AE109" s="527">
        <f t="shared" si="39"/>
        <v>0</v>
      </c>
      <c r="AF109" s="527">
        <f t="shared" si="61"/>
        <v>0</v>
      </c>
      <c r="AG109" s="527">
        <f t="shared" si="41"/>
        <v>0</v>
      </c>
      <c r="AH109" s="527">
        <f t="shared" si="42"/>
        <v>0</v>
      </c>
      <c r="AI109" s="527">
        <f t="shared" si="43"/>
        <v>0</v>
      </c>
      <c r="AJ109" s="527">
        <f t="shared" si="44"/>
        <v>999999999</v>
      </c>
      <c r="AK109" s="530"/>
      <c r="AL109" s="776"/>
      <c r="AM109" s="777"/>
      <c r="AN109" s="500"/>
      <c r="AO109" s="778"/>
      <c r="AP109" s="778"/>
      <c r="AQ109" s="500"/>
      <c r="AR109" s="531"/>
      <c r="AS109" s="403"/>
      <c r="AT109" s="524" t="str">
        <f t="shared" si="45"/>
        <v/>
      </c>
      <c r="AU109" s="311">
        <f t="shared" si="46"/>
        <v>0</v>
      </c>
      <c r="AV109" s="288">
        <f t="shared" si="62"/>
        <v>0</v>
      </c>
      <c r="AW109" s="290">
        <f>IF(ISERROR($AU109*'Utility Admin'!$E$4+$AV109*'Utility Admin'!$F$4),0,$AU109*'Utility Admin'!$E$4+$AV109*'Utility Admin'!$F$4)</f>
        <v>0</v>
      </c>
      <c r="AX109" s="323" t="str">
        <f t="shared" si="47"/>
        <v/>
      </c>
      <c r="AY109" s="322" t="str">
        <f t="shared" si="23"/>
        <v/>
      </c>
      <c r="AZ109" s="319">
        <f>Baselines!$CJ353</f>
        <v>0</v>
      </c>
      <c r="BA109" s="735">
        <f>Baselines!$CK353</f>
        <v>0</v>
      </c>
      <c r="BB109" s="839">
        <f>Baselines!$CM353</f>
        <v>0</v>
      </c>
      <c r="BC109" s="466">
        <f t="shared" si="48"/>
        <v>0</v>
      </c>
      <c r="BD109" s="464">
        <f t="shared" si="63"/>
        <v>0</v>
      </c>
      <c r="BE109" s="755">
        <f t="shared" si="49"/>
        <v>0</v>
      </c>
      <c r="BF109" s="755">
        <f t="shared" si="64"/>
        <v>0</v>
      </c>
      <c r="BG109" s="466">
        <f t="shared" si="50"/>
        <v>0</v>
      </c>
      <c r="BH109" s="464">
        <f t="shared" si="51"/>
        <v>0</v>
      </c>
      <c r="BI109" s="755">
        <f t="shared" si="52"/>
        <v>0</v>
      </c>
      <c r="BJ109" s="755">
        <f t="shared" si="65"/>
        <v>0</v>
      </c>
      <c r="BK109" s="333">
        <f>IF(OR($C109&lt;&gt;"Early Retirement",$H109=""),0,IF(AND($G109&lt;&gt;"Air Cooled Chiller",$G109&lt;&gt;"Water Cooled Chiller"),VLOOKUP($H109,'Early Retirement'!$CI$6:$CL$33,2,FALSE),IF($J109&lt;&gt;"Centrifugal",VLOOKUP($H109,'Early Retirement'!$CI$6:$CL$33,3,FALSE),IF($J109="Centrifugal",VLOOKUP($H109,'Early Retirement'!$CI$6:$CL$33,4,FALSE),""))))</f>
        <v>0</v>
      </c>
      <c r="BL109" s="450">
        <f t="shared" si="53"/>
        <v>0</v>
      </c>
      <c r="BM109" s="553">
        <f>IFERROR('Utility Admin'!$I$4*((1+'Utility Admin'!$G$4)/('Utility Admin'!$H$4-'Utility Admin'!$G$4))*(1-((1+'Utility Admin'!$G$4)/(1+'Utility Admin'!$H$4))^$BK109)*$BG109,0)</f>
        <v>0</v>
      </c>
      <c r="BN109" s="553">
        <f>IFERROR('Utility Admin'!$I$4*((1+'Utility Admin'!$G$4)/('Utility Admin'!$H$4-'Utility Admin'!$G$4))*(1-((1+'Utility Admin'!$G$4)/(1+'Utility Admin'!$H$4))^$BL109)*((1+'Utility Admin'!$G$4)^$BK109/(1+'Utility Admin'!$H$4)^$BK109)*$BC109,0)</f>
        <v>0</v>
      </c>
      <c r="BO109" s="553">
        <f t="shared" si="27"/>
        <v>0</v>
      </c>
      <c r="BP109" s="553">
        <f>IFERROR('Utility Admin'!$J$4*((1+'Utility Admin'!$G$4)/('Utility Admin'!$H$4-'Utility Admin'!$G$4))*(1-((1+'Utility Admin'!$G$4)/(1+'Utility Admin'!$H$4))^$BK109)*$BJ109,0)</f>
        <v>0</v>
      </c>
      <c r="BQ109" s="553">
        <f>IFERROR('Utility Admin'!$J$4*((1+'Utility Admin'!$G$4)/('Utility Admin'!$H$4-'Utility Admin'!$G$4))*(1-((1+'Utility Admin'!$G$4)/(1+'Utility Admin'!$H$4))^$BL109)*((1+'Utility Admin'!$G$4)^$BK109/(1+'Utility Admin'!$H$4)^$BK109)*$BF109,0)</f>
        <v>0</v>
      </c>
      <c r="BR109" s="553">
        <f t="shared" si="28"/>
        <v>0</v>
      </c>
      <c r="BS109" s="553">
        <f>IFERROR('Utility Admin'!$I$4*((1+'Utility Admin'!$G$4)/('Utility Admin'!$H$4-'Utility Admin'!$G$4))*(1-((1+'Utility Admin'!$G$4)/(1+'Utility Admin'!$H$4))^$AT109),0)</f>
        <v>0</v>
      </c>
      <c r="BT109" s="553">
        <f>IFERROR('Utility Admin'!$J$4*((1+'Utility Admin'!$G$4)/('Utility Admin'!$H$4-'Utility Admin'!$G$4))*(1-((1+'Utility Admin'!$G$4)/(1+'Utility Admin'!$H$4))^$AT109),0)</f>
        <v>0</v>
      </c>
      <c r="BU109" s="459">
        <f t="shared" si="66"/>
        <v>0</v>
      </c>
      <c r="BV109" s="462">
        <f t="shared" si="67"/>
        <v>0</v>
      </c>
      <c r="BW109" s="219" t="str">
        <f t="shared" si="54"/>
        <v/>
      </c>
      <c r="BX109" s="250" t="str">
        <f t="shared" si="68"/>
        <v/>
      </c>
      <c r="BY109" s="250" t="str">
        <f t="shared" si="55"/>
        <v/>
      </c>
      <c r="BZ109" s="184">
        <f t="shared" si="69"/>
        <v>0</v>
      </c>
      <c r="CA109" s="693">
        <f t="shared" si="70"/>
        <v>0</v>
      </c>
      <c r="CB109" s="836">
        <f t="shared" si="71"/>
        <v>0</v>
      </c>
      <c r="CC109" s="693">
        <f>IF(AND($C109="Early Retirement",$H109&lt;&gt;"",$R109&lt;&gt;"",$T109&lt;&gt;""),$BZ109,Baselines!$CJ102)</f>
        <v>0</v>
      </c>
      <c r="CD109" s="693">
        <f>IF(AND($C109="Early Retirement",$H109&lt;&gt;"",$R109&lt;&gt;"",$T109&lt;&gt;""),$CA109,Baselines!$CK102)</f>
        <v>0</v>
      </c>
      <c r="CE109" s="182" t="str">
        <f>Baselines!$CL102</f>
        <v>kW/ton</v>
      </c>
      <c r="CF109" s="850" t="str">
        <f t="shared" si="56"/>
        <v/>
      </c>
      <c r="CG109" s="833">
        <f>IF(AND($C109="Early Retirement",$H109&lt;&gt;"",$R109&lt;&gt;"",$T109&lt;&gt;""),$CB109,IF(AND(Baselines!$CM102=0,OR($CL109="DX HP",$CL109="PTHP")),$BB109,Baselines!$CM102))</f>
        <v>0</v>
      </c>
      <c r="CH109" s="830" t="s">
        <v>567</v>
      </c>
      <c r="CI109" s="185" t="str">
        <f>IF(OR($C109="Replace-on-Burnout",$C109="New Construction"),$CT109,IF($BW109="","",VLOOKUP($D109,'Factor Tables'!$B$165:$H$192,MATCH($BW109,'Factor Tables'!$B$164:$H$164,0),FALSE)))</f>
        <v/>
      </c>
      <c r="CJ109" s="842" t="str">
        <f>IF(OR($C109="Replace-on-Burnout",$C109="New Construction"),$CU109,IF($BW109="","",IF($BW109="DX HP",VLOOKUP($D109,'Factor Tables'!$I$165:$Q$192,MATCH("DX HP Clg",'Factor Tables'!$I$164:$Q$164,0),FALSE),IF($BW109="PTHP",VLOOKUP($D109,'Factor Tables'!$I$165:$Q$192,MATCH("PTHP Clg",'Factor Tables'!$I$164:$Q$164,0),FALSE),IF(AND($BW109&lt;&gt;"DX HP",$BW109&lt;&gt;"PTHP"),VLOOKUP($D109,'Factor Tables'!$I$165:$Q$192,MATCH($BW109,'Factor Tables'!$I$164:$Q$164,0),FALSE),"")))))</f>
        <v/>
      </c>
      <c r="CK109" s="186" t="str">
        <f>IF(OR($C109="Replace-on-Burnout",$C109="New Construction",$CL109="DX HP",$CL109="PTHP"),$CV109,IF($BW109="","",IF($BW109="DX HP",VLOOKUP($D109,'Factor Tables'!$I$165:$Q$192,MATCH("DX HP Htg",'Factor Tables'!$I$164:$Q$164,0),FALSE),IF($BW109="PTHP",VLOOKUP($D109,'Factor Tables'!$I$165:$Q$192,MATCH("PTHP Htg",'Factor Tables'!$I$164:$Q$164,0),FALSE),0))))</f>
        <v/>
      </c>
      <c r="CL109" s="187" t="str">
        <f t="shared" si="57"/>
        <v/>
      </c>
      <c r="CM109" s="251" t="str">
        <f t="shared" si="58"/>
        <v/>
      </c>
      <c r="CN109" s="184">
        <f t="shared" si="72"/>
        <v>0</v>
      </c>
      <c r="CO109" s="693">
        <f t="shared" si="73"/>
        <v>0</v>
      </c>
      <c r="CP109" s="182" t="s">
        <v>46</v>
      </c>
      <c r="CQ109" s="852" t="str">
        <f t="shared" si="74"/>
        <v/>
      </c>
      <c r="CR109" s="833">
        <f t="shared" si="75"/>
        <v>0</v>
      </c>
      <c r="CS109" s="830" t="s">
        <v>567</v>
      </c>
      <c r="CT109" s="185" t="str">
        <f>IF($CL109="","",VLOOKUP($D109,'Factor Tables'!$B$165:$H$192,MATCH($CL109,'Factor Tables'!$B$164:$H$164,0),FALSE))</f>
        <v/>
      </c>
      <c r="CU109" s="842" t="str">
        <f>IF($CL109="","",IF(AND($CL109&lt;&gt;"DX HP",$CL109&lt;&gt;"PTHP"),VLOOKUP($D109,'Factor Tables'!$I$165:$Q$192,MATCH($CL109,'Factor Tables'!$I$164:$Q$164,0),FALSE),IF($CL109="DX HP",VLOOKUP($D109,'Factor Tables'!$I$165:$Q$192,MATCH("DX HP Clg",'Factor Tables'!$I$164:$Q$164,0),FALSE),IF($CL109="PTHP",VLOOKUP($D109,'Factor Tables'!$I$165:$Q$192,MATCH("PTHP Clg",'Factor Tables'!$I$164:$Q$164,0),FALSE),""))))</f>
        <v/>
      </c>
      <c r="CV109" s="186" t="str">
        <f>IF($CL109="","",IF(AND($CL109&lt;&gt;"DX HP",$CL109&lt;&gt;"PTHP"),0,IF($CL109="DX HP",VLOOKUP($D109,'Factor Tables'!$I$165:$Q$192,MATCH("DX HP Htg",'Factor Tables'!$I$164:$Q$164,0),FALSE),IF($CL109="PTHP",VLOOKUP($D109,'Factor Tables'!$I$165:$Q$192,MATCH("PTHP Htg",'Factor Tables'!$I$164:$Q$164,0),FALSE),""))))</f>
        <v/>
      </c>
      <c r="DD109" s="77" t="s">
        <v>54</v>
      </c>
      <c r="DE109" s="426"/>
      <c r="DI109" s="425"/>
      <c r="DJ109" s="425"/>
      <c r="DK109" s="425"/>
      <c r="DL109" s="425"/>
      <c r="DM109" s="493" t="s">
        <v>478</v>
      </c>
    </row>
    <row r="110" spans="2:117" s="427" customFormat="1" ht="21.95" customHeight="1" x14ac:dyDescent="0.25">
      <c r="B110" s="431">
        <v>101</v>
      </c>
      <c r="C110" s="501" t="str">
        <f t="shared" si="59"/>
        <v/>
      </c>
      <c r="D110" s="502" t="str">
        <f t="shared" si="60"/>
        <v/>
      </c>
      <c r="E110" s="546"/>
      <c r="F110" s="547"/>
      <c r="G110" s="729"/>
      <c r="H110" s="729"/>
      <c r="I110" s="729"/>
      <c r="J110" s="729"/>
      <c r="K110" s="729"/>
      <c r="L110" s="729"/>
      <c r="M110" s="765"/>
      <c r="N110" s="758"/>
      <c r="O110" s="765"/>
      <c r="P110" s="758"/>
      <c r="Q110" s="1143"/>
      <c r="R110" s="1134"/>
      <c r="S110" s="775"/>
      <c r="T110" s="729"/>
      <c r="U110" s="775"/>
      <c r="V110" s="779"/>
      <c r="W110" s="557"/>
      <c r="X110" s="788"/>
      <c r="Y110" s="543"/>
      <c r="Z110" s="281"/>
      <c r="AA110" s="281"/>
      <c r="AB110" s="281"/>
      <c r="AC110" s="281"/>
      <c r="AD110" s="492"/>
      <c r="AE110" s="527">
        <f t="shared" si="39"/>
        <v>0</v>
      </c>
      <c r="AF110" s="527">
        <f t="shared" si="61"/>
        <v>0</v>
      </c>
      <c r="AG110" s="527">
        <f t="shared" si="41"/>
        <v>0</v>
      </c>
      <c r="AH110" s="527">
        <f t="shared" si="42"/>
        <v>0</v>
      </c>
      <c r="AI110" s="527">
        <f t="shared" si="43"/>
        <v>0</v>
      </c>
      <c r="AJ110" s="527">
        <f t="shared" si="44"/>
        <v>999999999</v>
      </c>
      <c r="AK110" s="471"/>
      <c r="AL110" s="765"/>
      <c r="AM110" s="758"/>
      <c r="AN110" s="281"/>
      <c r="AO110" s="775"/>
      <c r="AP110" s="775"/>
      <c r="AQ110" s="281"/>
      <c r="AR110" s="528"/>
      <c r="AS110" s="532"/>
      <c r="AT110" s="524" t="str">
        <f t="shared" si="45"/>
        <v/>
      </c>
      <c r="AU110" s="311">
        <f t="shared" si="46"/>
        <v>0</v>
      </c>
      <c r="AV110" s="288">
        <f t="shared" si="62"/>
        <v>0</v>
      </c>
      <c r="AW110" s="290">
        <f>IF(ISERROR($AU110*'Utility Admin'!$E$4+$AV110*'Utility Admin'!$F$4),0,$AU110*'Utility Admin'!$E$4+$AV110*'Utility Admin'!$F$4)</f>
        <v>0</v>
      </c>
      <c r="AX110" s="323" t="str">
        <f t="shared" si="47"/>
        <v/>
      </c>
      <c r="AY110" s="322" t="str">
        <f t="shared" si="23"/>
        <v/>
      </c>
      <c r="AZ110" s="319">
        <f>Baselines!$CJ354</f>
        <v>0</v>
      </c>
      <c r="BA110" s="735">
        <f>Baselines!$CK354</f>
        <v>0</v>
      </c>
      <c r="BB110" s="839">
        <f>Baselines!$CM354</f>
        <v>0</v>
      </c>
      <c r="BC110" s="466">
        <f t="shared" si="48"/>
        <v>0</v>
      </c>
      <c r="BD110" s="464">
        <f t="shared" si="63"/>
        <v>0</v>
      </c>
      <c r="BE110" s="755">
        <f t="shared" si="49"/>
        <v>0</v>
      </c>
      <c r="BF110" s="755">
        <f t="shared" si="64"/>
        <v>0</v>
      </c>
      <c r="BG110" s="466">
        <f t="shared" si="50"/>
        <v>0</v>
      </c>
      <c r="BH110" s="464">
        <f t="shared" si="51"/>
        <v>0</v>
      </c>
      <c r="BI110" s="755">
        <f t="shared" si="52"/>
        <v>0</v>
      </c>
      <c r="BJ110" s="755">
        <f t="shared" si="65"/>
        <v>0</v>
      </c>
      <c r="BK110" s="333">
        <f>IF(OR($C110&lt;&gt;"Early Retirement",$H110=""),0,IF(AND($G110&lt;&gt;"Air Cooled Chiller",$G110&lt;&gt;"Water Cooled Chiller"),VLOOKUP($H110,'Early Retirement'!$CI$6:$CL$33,2,FALSE),IF($J110&lt;&gt;"Centrifugal",VLOOKUP($H110,'Early Retirement'!$CI$6:$CL$33,3,FALSE),IF($J110="Centrifugal",VLOOKUP($H110,'Early Retirement'!$CI$6:$CL$33,4,FALSE),""))))</f>
        <v>0</v>
      </c>
      <c r="BL110" s="450">
        <f t="shared" si="53"/>
        <v>0</v>
      </c>
      <c r="BM110" s="553">
        <f>IFERROR('Utility Admin'!$I$4*((1+'Utility Admin'!$G$4)/('Utility Admin'!$H$4-'Utility Admin'!$G$4))*(1-((1+'Utility Admin'!$G$4)/(1+'Utility Admin'!$H$4))^$BK110)*$BG110,0)</f>
        <v>0</v>
      </c>
      <c r="BN110" s="553">
        <f>IFERROR('Utility Admin'!$I$4*((1+'Utility Admin'!$G$4)/('Utility Admin'!$H$4-'Utility Admin'!$G$4))*(1-((1+'Utility Admin'!$G$4)/(1+'Utility Admin'!$H$4))^$BL110)*((1+'Utility Admin'!$G$4)^$BK110/(1+'Utility Admin'!$H$4)^$BK110)*$BC110,0)</f>
        <v>0</v>
      </c>
      <c r="BO110" s="553">
        <f t="shared" si="27"/>
        <v>0</v>
      </c>
      <c r="BP110" s="553">
        <f>IFERROR('Utility Admin'!$J$4*((1+'Utility Admin'!$G$4)/('Utility Admin'!$H$4-'Utility Admin'!$G$4))*(1-((1+'Utility Admin'!$G$4)/(1+'Utility Admin'!$H$4))^$BK110)*$BJ110,0)</f>
        <v>0</v>
      </c>
      <c r="BQ110" s="553">
        <f>IFERROR('Utility Admin'!$J$4*((1+'Utility Admin'!$G$4)/('Utility Admin'!$H$4-'Utility Admin'!$G$4))*(1-((1+'Utility Admin'!$G$4)/(1+'Utility Admin'!$H$4))^$BL110)*((1+'Utility Admin'!$G$4)^$BK110/(1+'Utility Admin'!$H$4)^$BK110)*$BF110,0)</f>
        <v>0</v>
      </c>
      <c r="BR110" s="553">
        <f t="shared" si="28"/>
        <v>0</v>
      </c>
      <c r="BS110" s="553">
        <f>IFERROR('Utility Admin'!$I$4*((1+'Utility Admin'!$G$4)/('Utility Admin'!$H$4-'Utility Admin'!$G$4))*(1-((1+'Utility Admin'!$G$4)/(1+'Utility Admin'!$H$4))^$AT110),0)</f>
        <v>0</v>
      </c>
      <c r="BT110" s="553">
        <f>IFERROR('Utility Admin'!$J$4*((1+'Utility Admin'!$G$4)/('Utility Admin'!$H$4-'Utility Admin'!$G$4))*(1-((1+'Utility Admin'!$G$4)/(1+'Utility Admin'!$H$4))^$AT110),0)</f>
        <v>0</v>
      </c>
      <c r="BU110" s="459">
        <f t="shared" si="66"/>
        <v>0</v>
      </c>
      <c r="BV110" s="462">
        <f t="shared" si="67"/>
        <v>0</v>
      </c>
      <c r="BW110" s="219" t="str">
        <f t="shared" si="54"/>
        <v/>
      </c>
      <c r="BX110" s="250" t="str">
        <f t="shared" si="68"/>
        <v/>
      </c>
      <c r="BY110" s="250" t="str">
        <f t="shared" si="55"/>
        <v/>
      </c>
      <c r="BZ110" s="184">
        <f t="shared" si="69"/>
        <v>0</v>
      </c>
      <c r="CA110" s="693">
        <f t="shared" si="70"/>
        <v>0</v>
      </c>
      <c r="CB110" s="836">
        <f t="shared" si="71"/>
        <v>0</v>
      </c>
      <c r="CC110" s="693">
        <f>IF(AND($C110="Early Retirement",$H110&lt;&gt;"",$R110&lt;&gt;"",$T110&lt;&gt;""),$BZ110,Baselines!$CJ103)</f>
        <v>0</v>
      </c>
      <c r="CD110" s="693">
        <f>IF(AND($C110="Early Retirement",$H110&lt;&gt;"",$R110&lt;&gt;"",$T110&lt;&gt;""),$CA110,Baselines!$CK103)</f>
        <v>0</v>
      </c>
      <c r="CE110" s="182" t="str">
        <f>Baselines!$CL103</f>
        <v>kW/ton</v>
      </c>
      <c r="CF110" s="850" t="str">
        <f t="shared" si="56"/>
        <v/>
      </c>
      <c r="CG110" s="833">
        <f>IF(AND($C110="Early Retirement",$H110&lt;&gt;"",$R110&lt;&gt;"",$T110&lt;&gt;""),$CB110,IF(AND(Baselines!$CM103=0,OR($CL110="DX HP",$CL110="PTHP")),$BB110,Baselines!$CM103))</f>
        <v>0</v>
      </c>
      <c r="CH110" s="830" t="s">
        <v>567</v>
      </c>
      <c r="CI110" s="185" t="str">
        <f>IF(OR($C110="Replace-on-Burnout",$C110="New Construction"),$CT110,IF($BW110="","",VLOOKUP($D110,'Factor Tables'!$B$165:$H$192,MATCH($BW110,'Factor Tables'!$B$164:$H$164,0),FALSE)))</f>
        <v/>
      </c>
      <c r="CJ110" s="842" t="str">
        <f>IF(OR($C110="Replace-on-Burnout",$C110="New Construction"),$CU110,IF($BW110="","",IF($BW110="DX HP",VLOOKUP($D110,'Factor Tables'!$I$165:$Q$192,MATCH("DX HP Clg",'Factor Tables'!$I$164:$Q$164,0),FALSE),IF($BW110="PTHP",VLOOKUP($D110,'Factor Tables'!$I$165:$Q$192,MATCH("PTHP Clg",'Factor Tables'!$I$164:$Q$164,0),FALSE),IF(AND($BW110&lt;&gt;"DX HP",$BW110&lt;&gt;"PTHP"),VLOOKUP($D110,'Factor Tables'!$I$165:$Q$192,MATCH($BW110,'Factor Tables'!$I$164:$Q$164,0),FALSE),"")))))</f>
        <v/>
      </c>
      <c r="CK110" s="186" t="str">
        <f>IF(OR($C110="Replace-on-Burnout",$C110="New Construction",$CL110="DX HP",$CL110="PTHP"),$CV110,IF($BW110="","",IF($BW110="DX HP",VLOOKUP($D110,'Factor Tables'!$I$165:$Q$192,MATCH("DX HP Htg",'Factor Tables'!$I$164:$Q$164,0),FALSE),IF($BW110="PTHP",VLOOKUP($D110,'Factor Tables'!$I$165:$Q$192,MATCH("PTHP Htg",'Factor Tables'!$I$164:$Q$164,0),FALSE),0))))</f>
        <v/>
      </c>
      <c r="CL110" s="187" t="str">
        <f t="shared" si="57"/>
        <v/>
      </c>
      <c r="CM110" s="251" t="str">
        <f t="shared" si="58"/>
        <v/>
      </c>
      <c r="CN110" s="184">
        <f t="shared" si="72"/>
        <v>0</v>
      </c>
      <c r="CO110" s="693">
        <f t="shared" si="73"/>
        <v>0</v>
      </c>
      <c r="CP110" s="182" t="s">
        <v>46</v>
      </c>
      <c r="CQ110" s="852" t="str">
        <f t="shared" si="74"/>
        <v/>
      </c>
      <c r="CR110" s="833">
        <f t="shared" si="75"/>
        <v>0</v>
      </c>
      <c r="CS110" s="830" t="s">
        <v>567</v>
      </c>
      <c r="CT110" s="185" t="str">
        <f>IF($CL110="","",VLOOKUP($D110,'Factor Tables'!$B$165:$H$192,MATCH($CL110,'Factor Tables'!$B$164:$H$164,0),FALSE))</f>
        <v/>
      </c>
      <c r="CU110" s="842" t="str">
        <f>IF($CL110="","",IF(AND($CL110&lt;&gt;"DX HP",$CL110&lt;&gt;"PTHP"),VLOOKUP($D110,'Factor Tables'!$I$165:$Q$192,MATCH($CL110,'Factor Tables'!$I$164:$Q$164,0),FALSE),IF($CL110="DX HP",VLOOKUP($D110,'Factor Tables'!$I$165:$Q$192,MATCH("DX HP Clg",'Factor Tables'!$I$164:$Q$164,0),FALSE),IF($CL110="PTHP",VLOOKUP($D110,'Factor Tables'!$I$165:$Q$192,MATCH("PTHP Clg",'Factor Tables'!$I$164:$Q$164,0),FALSE),""))))</f>
        <v/>
      </c>
      <c r="CV110" s="186" t="str">
        <f>IF($CL110="","",IF(AND($CL110&lt;&gt;"DX HP",$CL110&lt;&gt;"PTHP"),0,IF($CL110="DX HP",VLOOKUP($D110,'Factor Tables'!$I$165:$Q$192,MATCH("DX HP Htg",'Factor Tables'!$I$164:$Q$164,0),FALSE),IF($CL110="PTHP",VLOOKUP($D110,'Factor Tables'!$I$165:$Q$192,MATCH("PTHP Htg",'Factor Tables'!$I$164:$Q$164,0),FALSE),""))))</f>
        <v/>
      </c>
      <c r="DD110" s="845"/>
      <c r="DE110" s="426"/>
      <c r="DI110" s="425"/>
      <c r="DJ110" s="425"/>
      <c r="DK110" s="425"/>
      <c r="DL110" s="425"/>
      <c r="DM110" s="493" t="s">
        <v>478</v>
      </c>
    </row>
    <row r="111" spans="2:117" s="427" customFormat="1" ht="21.95" customHeight="1" x14ac:dyDescent="0.25">
      <c r="B111" s="432">
        <v>102</v>
      </c>
      <c r="C111" s="499" t="str">
        <f t="shared" si="59"/>
        <v/>
      </c>
      <c r="D111" s="403" t="str">
        <f t="shared" si="60"/>
        <v/>
      </c>
      <c r="E111" s="541"/>
      <c r="F111" s="785"/>
      <c r="G111" s="728"/>
      <c r="H111" s="728"/>
      <c r="I111" s="728"/>
      <c r="J111" s="728"/>
      <c r="K111" s="728"/>
      <c r="L111" s="728"/>
      <c r="M111" s="764"/>
      <c r="N111" s="728"/>
      <c r="O111" s="764"/>
      <c r="P111" s="728"/>
      <c r="Q111" s="1142"/>
      <c r="R111" s="1133"/>
      <c r="S111" s="778"/>
      <c r="T111" s="767"/>
      <c r="U111" s="778"/>
      <c r="V111" s="751"/>
      <c r="W111" s="556"/>
      <c r="X111" s="785"/>
      <c r="Y111" s="542"/>
      <c r="Z111" s="500"/>
      <c r="AA111" s="500"/>
      <c r="AB111" s="500"/>
      <c r="AC111" s="500"/>
      <c r="AD111" s="529"/>
      <c r="AE111" s="527">
        <f t="shared" si="39"/>
        <v>0</v>
      </c>
      <c r="AF111" s="527">
        <f t="shared" si="61"/>
        <v>0</v>
      </c>
      <c r="AG111" s="527">
        <f t="shared" si="41"/>
        <v>0</v>
      </c>
      <c r="AH111" s="527">
        <f t="shared" si="42"/>
        <v>0</v>
      </c>
      <c r="AI111" s="527">
        <f t="shared" si="43"/>
        <v>0</v>
      </c>
      <c r="AJ111" s="527">
        <f t="shared" si="44"/>
        <v>999999999</v>
      </c>
      <c r="AK111" s="530"/>
      <c r="AL111" s="776"/>
      <c r="AM111" s="777"/>
      <c r="AN111" s="500"/>
      <c r="AO111" s="778"/>
      <c r="AP111" s="778"/>
      <c r="AQ111" s="500"/>
      <c r="AR111" s="531"/>
      <c r="AS111" s="403"/>
      <c r="AT111" s="524" t="str">
        <f t="shared" si="45"/>
        <v/>
      </c>
      <c r="AU111" s="311">
        <f t="shared" si="46"/>
        <v>0</v>
      </c>
      <c r="AV111" s="288">
        <f t="shared" si="62"/>
        <v>0</v>
      </c>
      <c r="AW111" s="290">
        <f>IF(ISERROR($AU111*'Utility Admin'!$E$4+$AV111*'Utility Admin'!$F$4),0,$AU111*'Utility Admin'!$E$4+$AV111*'Utility Admin'!$F$4)</f>
        <v>0</v>
      </c>
      <c r="AX111" s="323" t="str">
        <f t="shared" si="47"/>
        <v/>
      </c>
      <c r="AY111" s="322" t="str">
        <f t="shared" si="23"/>
        <v/>
      </c>
      <c r="AZ111" s="319">
        <f>Baselines!$CJ355</f>
        <v>0</v>
      </c>
      <c r="BA111" s="735">
        <f>Baselines!$CK355</f>
        <v>0</v>
      </c>
      <c r="BB111" s="839">
        <f>Baselines!$CM355</f>
        <v>0</v>
      </c>
      <c r="BC111" s="466">
        <f t="shared" si="48"/>
        <v>0</v>
      </c>
      <c r="BD111" s="464">
        <f t="shared" si="63"/>
        <v>0</v>
      </c>
      <c r="BE111" s="755">
        <f t="shared" si="49"/>
        <v>0</v>
      </c>
      <c r="BF111" s="755">
        <f t="shared" si="64"/>
        <v>0</v>
      </c>
      <c r="BG111" s="466">
        <f t="shared" si="50"/>
        <v>0</v>
      </c>
      <c r="BH111" s="464">
        <f t="shared" si="51"/>
        <v>0</v>
      </c>
      <c r="BI111" s="755">
        <f t="shared" si="52"/>
        <v>0</v>
      </c>
      <c r="BJ111" s="755">
        <f t="shared" si="65"/>
        <v>0</v>
      </c>
      <c r="BK111" s="333">
        <f>IF(OR($C111&lt;&gt;"Early Retirement",$H111=""),0,IF(AND($G111&lt;&gt;"Air Cooled Chiller",$G111&lt;&gt;"Water Cooled Chiller"),VLOOKUP($H111,'Early Retirement'!$CI$6:$CL$33,2,FALSE),IF($J111&lt;&gt;"Centrifugal",VLOOKUP($H111,'Early Retirement'!$CI$6:$CL$33,3,FALSE),IF($J111="Centrifugal",VLOOKUP($H111,'Early Retirement'!$CI$6:$CL$33,4,FALSE),""))))</f>
        <v>0</v>
      </c>
      <c r="BL111" s="450">
        <f t="shared" si="53"/>
        <v>0</v>
      </c>
      <c r="BM111" s="553">
        <f>IFERROR('Utility Admin'!$I$4*((1+'Utility Admin'!$G$4)/('Utility Admin'!$H$4-'Utility Admin'!$G$4))*(1-((1+'Utility Admin'!$G$4)/(1+'Utility Admin'!$H$4))^$BK111)*$BG111,0)</f>
        <v>0</v>
      </c>
      <c r="BN111" s="553">
        <f>IFERROR('Utility Admin'!$I$4*((1+'Utility Admin'!$G$4)/('Utility Admin'!$H$4-'Utility Admin'!$G$4))*(1-((1+'Utility Admin'!$G$4)/(1+'Utility Admin'!$H$4))^$BL111)*((1+'Utility Admin'!$G$4)^$BK111/(1+'Utility Admin'!$H$4)^$BK111)*$BC111,0)</f>
        <v>0</v>
      </c>
      <c r="BO111" s="553">
        <f t="shared" si="27"/>
        <v>0</v>
      </c>
      <c r="BP111" s="553">
        <f>IFERROR('Utility Admin'!$J$4*((1+'Utility Admin'!$G$4)/('Utility Admin'!$H$4-'Utility Admin'!$G$4))*(1-((1+'Utility Admin'!$G$4)/(1+'Utility Admin'!$H$4))^$BK111)*$BJ111,0)</f>
        <v>0</v>
      </c>
      <c r="BQ111" s="553">
        <f>IFERROR('Utility Admin'!$J$4*((1+'Utility Admin'!$G$4)/('Utility Admin'!$H$4-'Utility Admin'!$G$4))*(1-((1+'Utility Admin'!$G$4)/(1+'Utility Admin'!$H$4))^$BL111)*((1+'Utility Admin'!$G$4)^$BK111/(1+'Utility Admin'!$H$4)^$BK111)*$BF111,0)</f>
        <v>0</v>
      </c>
      <c r="BR111" s="553">
        <f t="shared" si="28"/>
        <v>0</v>
      </c>
      <c r="BS111" s="553">
        <f>IFERROR('Utility Admin'!$I$4*((1+'Utility Admin'!$G$4)/('Utility Admin'!$H$4-'Utility Admin'!$G$4))*(1-((1+'Utility Admin'!$G$4)/(1+'Utility Admin'!$H$4))^$AT111),0)</f>
        <v>0</v>
      </c>
      <c r="BT111" s="553">
        <f>IFERROR('Utility Admin'!$J$4*((1+'Utility Admin'!$G$4)/('Utility Admin'!$H$4-'Utility Admin'!$G$4))*(1-((1+'Utility Admin'!$G$4)/(1+'Utility Admin'!$H$4))^$AT111),0)</f>
        <v>0</v>
      </c>
      <c r="BU111" s="459">
        <f t="shared" si="66"/>
        <v>0</v>
      </c>
      <c r="BV111" s="462">
        <f t="shared" si="67"/>
        <v>0</v>
      </c>
      <c r="BW111" s="219" t="str">
        <f t="shared" si="54"/>
        <v/>
      </c>
      <c r="BX111" s="250" t="str">
        <f t="shared" si="68"/>
        <v/>
      </c>
      <c r="BY111" s="250" t="str">
        <f t="shared" si="55"/>
        <v/>
      </c>
      <c r="BZ111" s="184">
        <f t="shared" si="69"/>
        <v>0</v>
      </c>
      <c r="CA111" s="693">
        <f t="shared" si="70"/>
        <v>0</v>
      </c>
      <c r="CB111" s="836">
        <f t="shared" si="71"/>
        <v>0</v>
      </c>
      <c r="CC111" s="693">
        <f>IF(AND($C111="Early Retirement",$H111&lt;&gt;"",$R111&lt;&gt;"",$T111&lt;&gt;""),$BZ111,Baselines!$CJ104)</f>
        <v>0</v>
      </c>
      <c r="CD111" s="693">
        <f>IF(AND($C111="Early Retirement",$H111&lt;&gt;"",$R111&lt;&gt;"",$T111&lt;&gt;""),$CA111,Baselines!$CK104)</f>
        <v>0</v>
      </c>
      <c r="CE111" s="182" t="str">
        <f>Baselines!$CL104</f>
        <v>kW/ton</v>
      </c>
      <c r="CF111" s="850" t="str">
        <f t="shared" si="56"/>
        <v/>
      </c>
      <c r="CG111" s="833">
        <f>IF(AND($C111="Early Retirement",$H111&lt;&gt;"",$R111&lt;&gt;"",$T111&lt;&gt;""),$CB111,IF(AND(Baselines!$CM104=0,OR($CL111="DX HP",$CL111="PTHP")),$BB111,Baselines!$CM104))</f>
        <v>0</v>
      </c>
      <c r="CH111" s="830" t="s">
        <v>567</v>
      </c>
      <c r="CI111" s="185" t="str">
        <f>IF(OR($C111="Replace-on-Burnout",$C111="New Construction"),$CT111,IF($BW111="","",VLOOKUP($D111,'Factor Tables'!$B$165:$H$192,MATCH($BW111,'Factor Tables'!$B$164:$H$164,0),FALSE)))</f>
        <v/>
      </c>
      <c r="CJ111" s="842" t="str">
        <f>IF(OR($C111="Replace-on-Burnout",$C111="New Construction"),$CU111,IF($BW111="","",IF($BW111="DX HP",VLOOKUP($D111,'Factor Tables'!$I$165:$Q$192,MATCH("DX HP Clg",'Factor Tables'!$I$164:$Q$164,0),FALSE),IF($BW111="PTHP",VLOOKUP($D111,'Factor Tables'!$I$165:$Q$192,MATCH("PTHP Clg",'Factor Tables'!$I$164:$Q$164,0),FALSE),IF(AND($BW111&lt;&gt;"DX HP",$BW111&lt;&gt;"PTHP"),VLOOKUP($D111,'Factor Tables'!$I$165:$Q$192,MATCH($BW111,'Factor Tables'!$I$164:$Q$164,0),FALSE),"")))))</f>
        <v/>
      </c>
      <c r="CK111" s="186" t="str">
        <f>IF(OR($C111="Replace-on-Burnout",$C111="New Construction",$CL111="DX HP",$CL111="PTHP"),$CV111,IF($BW111="","",IF($BW111="DX HP",VLOOKUP($D111,'Factor Tables'!$I$165:$Q$192,MATCH("DX HP Htg",'Factor Tables'!$I$164:$Q$164,0),FALSE),IF($BW111="PTHP",VLOOKUP($D111,'Factor Tables'!$I$165:$Q$192,MATCH("PTHP Htg",'Factor Tables'!$I$164:$Q$164,0),FALSE),0))))</f>
        <v/>
      </c>
      <c r="CL111" s="187" t="str">
        <f t="shared" si="57"/>
        <v/>
      </c>
      <c r="CM111" s="251" t="str">
        <f t="shared" si="58"/>
        <v/>
      </c>
      <c r="CN111" s="184">
        <f t="shared" si="72"/>
        <v>0</v>
      </c>
      <c r="CO111" s="693">
        <f t="shared" si="73"/>
        <v>0</v>
      </c>
      <c r="CP111" s="182" t="s">
        <v>46</v>
      </c>
      <c r="CQ111" s="852" t="str">
        <f t="shared" si="74"/>
        <v/>
      </c>
      <c r="CR111" s="833">
        <f t="shared" si="75"/>
        <v>0</v>
      </c>
      <c r="CS111" s="830" t="s">
        <v>567</v>
      </c>
      <c r="CT111" s="185" t="str">
        <f>IF($CL111="","",VLOOKUP($D111,'Factor Tables'!$B$165:$H$192,MATCH($CL111,'Factor Tables'!$B$164:$H$164,0),FALSE))</f>
        <v/>
      </c>
      <c r="CU111" s="842" t="str">
        <f>IF($CL111="","",IF(AND($CL111&lt;&gt;"DX HP",$CL111&lt;&gt;"PTHP"),VLOOKUP($D111,'Factor Tables'!$I$165:$Q$192,MATCH($CL111,'Factor Tables'!$I$164:$Q$164,0),FALSE),IF($CL111="DX HP",VLOOKUP($D111,'Factor Tables'!$I$165:$Q$192,MATCH("DX HP Clg",'Factor Tables'!$I$164:$Q$164,0),FALSE),IF($CL111="PTHP",VLOOKUP($D111,'Factor Tables'!$I$165:$Q$192,MATCH("PTHP Clg",'Factor Tables'!$I$164:$Q$164,0),FALSE),""))))</f>
        <v/>
      </c>
      <c r="CV111" s="186" t="str">
        <f>IF($CL111="","",IF(AND($CL111&lt;&gt;"DX HP",$CL111&lt;&gt;"PTHP"),0,IF($CL111="DX HP",VLOOKUP($D111,'Factor Tables'!$I$165:$Q$192,MATCH("DX HP Htg",'Factor Tables'!$I$164:$Q$164,0),FALSE),IF($CL111="PTHP",VLOOKUP($D111,'Factor Tables'!$I$165:$Q$192,MATCH("PTHP Htg",'Factor Tables'!$I$164:$Q$164,0),FALSE),""))))</f>
        <v/>
      </c>
      <c r="DD111" s="193" t="s">
        <v>357</v>
      </c>
      <c r="DE111" s="426"/>
      <c r="DI111" s="425"/>
      <c r="DJ111" s="425"/>
      <c r="DK111" s="425"/>
      <c r="DL111" s="425"/>
      <c r="DM111" s="493" t="s">
        <v>478</v>
      </c>
    </row>
    <row r="112" spans="2:117" s="427" customFormat="1" ht="21.95" customHeight="1" x14ac:dyDescent="0.25">
      <c r="B112" s="431">
        <v>103</v>
      </c>
      <c r="C112" s="501" t="str">
        <f t="shared" si="59"/>
        <v/>
      </c>
      <c r="D112" s="502" t="str">
        <f t="shared" si="60"/>
        <v/>
      </c>
      <c r="E112" s="546"/>
      <c r="F112" s="547"/>
      <c r="G112" s="729"/>
      <c r="H112" s="729"/>
      <c r="I112" s="729"/>
      <c r="J112" s="729"/>
      <c r="K112" s="729"/>
      <c r="L112" s="729"/>
      <c r="M112" s="765"/>
      <c r="N112" s="758"/>
      <c r="O112" s="765"/>
      <c r="P112" s="758"/>
      <c r="Q112" s="1143"/>
      <c r="R112" s="1134"/>
      <c r="S112" s="775"/>
      <c r="T112" s="729"/>
      <c r="U112" s="775"/>
      <c r="V112" s="779"/>
      <c r="W112" s="557"/>
      <c r="X112" s="788"/>
      <c r="Y112" s="543"/>
      <c r="Z112" s="281"/>
      <c r="AA112" s="281"/>
      <c r="AB112" s="281"/>
      <c r="AC112" s="281"/>
      <c r="AD112" s="492"/>
      <c r="AE112" s="527">
        <f t="shared" si="39"/>
        <v>0</v>
      </c>
      <c r="AF112" s="527">
        <f t="shared" si="61"/>
        <v>0</v>
      </c>
      <c r="AG112" s="527">
        <f t="shared" si="41"/>
        <v>0</v>
      </c>
      <c r="AH112" s="527">
        <f t="shared" si="42"/>
        <v>0</v>
      </c>
      <c r="AI112" s="527">
        <f t="shared" si="43"/>
        <v>0</v>
      </c>
      <c r="AJ112" s="527">
        <f t="shared" si="44"/>
        <v>999999999</v>
      </c>
      <c r="AK112" s="471"/>
      <c r="AL112" s="765"/>
      <c r="AM112" s="758"/>
      <c r="AN112" s="281"/>
      <c r="AO112" s="775"/>
      <c r="AP112" s="775"/>
      <c r="AQ112" s="281"/>
      <c r="AR112" s="528"/>
      <c r="AS112" s="532"/>
      <c r="AT112" s="524" t="str">
        <f t="shared" si="45"/>
        <v/>
      </c>
      <c r="AU112" s="311">
        <f t="shared" si="46"/>
        <v>0</v>
      </c>
      <c r="AV112" s="288">
        <f t="shared" si="62"/>
        <v>0</v>
      </c>
      <c r="AW112" s="290">
        <f>IF(ISERROR($AU112*'Utility Admin'!$E$4+$AV112*'Utility Admin'!$F$4),0,$AU112*'Utility Admin'!$E$4+$AV112*'Utility Admin'!$F$4)</f>
        <v>0</v>
      </c>
      <c r="AX112" s="323" t="str">
        <f t="shared" si="47"/>
        <v/>
      </c>
      <c r="AY112" s="322" t="str">
        <f t="shared" si="23"/>
        <v/>
      </c>
      <c r="AZ112" s="319">
        <f>Baselines!$CJ356</f>
        <v>0</v>
      </c>
      <c r="BA112" s="735">
        <f>Baselines!$CK356</f>
        <v>0</v>
      </c>
      <c r="BB112" s="839">
        <f>Baselines!$CM356</f>
        <v>0</v>
      </c>
      <c r="BC112" s="466">
        <f t="shared" si="48"/>
        <v>0</v>
      </c>
      <c r="BD112" s="464">
        <f t="shared" si="63"/>
        <v>0</v>
      </c>
      <c r="BE112" s="755">
        <f t="shared" si="49"/>
        <v>0</v>
      </c>
      <c r="BF112" s="755">
        <f t="shared" si="64"/>
        <v>0</v>
      </c>
      <c r="BG112" s="466">
        <f t="shared" si="50"/>
        <v>0</v>
      </c>
      <c r="BH112" s="464">
        <f t="shared" si="51"/>
        <v>0</v>
      </c>
      <c r="BI112" s="755">
        <f t="shared" si="52"/>
        <v>0</v>
      </c>
      <c r="BJ112" s="755">
        <f t="shared" si="65"/>
        <v>0</v>
      </c>
      <c r="BK112" s="333">
        <f>IF(OR($C112&lt;&gt;"Early Retirement",$H112=""),0,IF(AND($G112&lt;&gt;"Air Cooled Chiller",$G112&lt;&gt;"Water Cooled Chiller"),VLOOKUP($H112,'Early Retirement'!$CI$6:$CL$33,2,FALSE),IF($J112&lt;&gt;"Centrifugal",VLOOKUP($H112,'Early Retirement'!$CI$6:$CL$33,3,FALSE),IF($J112="Centrifugal",VLOOKUP($H112,'Early Retirement'!$CI$6:$CL$33,4,FALSE),""))))</f>
        <v>0</v>
      </c>
      <c r="BL112" s="450">
        <f t="shared" si="53"/>
        <v>0</v>
      </c>
      <c r="BM112" s="553">
        <f>IFERROR('Utility Admin'!$I$4*((1+'Utility Admin'!$G$4)/('Utility Admin'!$H$4-'Utility Admin'!$G$4))*(1-((1+'Utility Admin'!$G$4)/(1+'Utility Admin'!$H$4))^$BK112)*$BG112,0)</f>
        <v>0</v>
      </c>
      <c r="BN112" s="553">
        <f>IFERROR('Utility Admin'!$I$4*((1+'Utility Admin'!$G$4)/('Utility Admin'!$H$4-'Utility Admin'!$G$4))*(1-((1+'Utility Admin'!$G$4)/(1+'Utility Admin'!$H$4))^$BL112)*((1+'Utility Admin'!$G$4)^$BK112/(1+'Utility Admin'!$H$4)^$BK112)*$BC112,0)</f>
        <v>0</v>
      </c>
      <c r="BO112" s="553">
        <f t="shared" si="27"/>
        <v>0</v>
      </c>
      <c r="BP112" s="553">
        <f>IFERROR('Utility Admin'!$J$4*((1+'Utility Admin'!$G$4)/('Utility Admin'!$H$4-'Utility Admin'!$G$4))*(1-((1+'Utility Admin'!$G$4)/(1+'Utility Admin'!$H$4))^$BK112)*$BJ112,0)</f>
        <v>0</v>
      </c>
      <c r="BQ112" s="553">
        <f>IFERROR('Utility Admin'!$J$4*((1+'Utility Admin'!$G$4)/('Utility Admin'!$H$4-'Utility Admin'!$G$4))*(1-((1+'Utility Admin'!$G$4)/(1+'Utility Admin'!$H$4))^$BL112)*((1+'Utility Admin'!$G$4)^$BK112/(1+'Utility Admin'!$H$4)^$BK112)*$BF112,0)</f>
        <v>0</v>
      </c>
      <c r="BR112" s="553">
        <f t="shared" si="28"/>
        <v>0</v>
      </c>
      <c r="BS112" s="553">
        <f>IFERROR('Utility Admin'!$I$4*((1+'Utility Admin'!$G$4)/('Utility Admin'!$H$4-'Utility Admin'!$G$4))*(1-((1+'Utility Admin'!$G$4)/(1+'Utility Admin'!$H$4))^$AT112),0)</f>
        <v>0</v>
      </c>
      <c r="BT112" s="553">
        <f>IFERROR('Utility Admin'!$J$4*((1+'Utility Admin'!$G$4)/('Utility Admin'!$H$4-'Utility Admin'!$G$4))*(1-((1+'Utility Admin'!$G$4)/(1+'Utility Admin'!$H$4))^$AT112),0)</f>
        <v>0</v>
      </c>
      <c r="BU112" s="459">
        <f t="shared" si="66"/>
        <v>0</v>
      </c>
      <c r="BV112" s="462">
        <f t="shared" si="67"/>
        <v>0</v>
      </c>
      <c r="BW112" s="219" t="str">
        <f t="shared" si="54"/>
        <v/>
      </c>
      <c r="BX112" s="250" t="str">
        <f t="shared" si="68"/>
        <v/>
      </c>
      <c r="BY112" s="250" t="str">
        <f t="shared" si="55"/>
        <v/>
      </c>
      <c r="BZ112" s="184">
        <f t="shared" si="69"/>
        <v>0</v>
      </c>
      <c r="CA112" s="693">
        <f t="shared" si="70"/>
        <v>0</v>
      </c>
      <c r="CB112" s="836">
        <f t="shared" si="71"/>
        <v>0</v>
      </c>
      <c r="CC112" s="693">
        <f>IF(AND($C112="Early Retirement",$H112&lt;&gt;"",$R112&lt;&gt;"",$T112&lt;&gt;""),$BZ112,Baselines!$CJ105)</f>
        <v>0</v>
      </c>
      <c r="CD112" s="693">
        <f>IF(AND($C112="Early Retirement",$H112&lt;&gt;"",$R112&lt;&gt;"",$T112&lt;&gt;""),$CA112,Baselines!$CK105)</f>
        <v>0</v>
      </c>
      <c r="CE112" s="182" t="str">
        <f>Baselines!$CL105</f>
        <v>kW/ton</v>
      </c>
      <c r="CF112" s="850" t="str">
        <f t="shared" si="56"/>
        <v/>
      </c>
      <c r="CG112" s="833">
        <f>IF(AND($C112="Early Retirement",$H112&lt;&gt;"",$R112&lt;&gt;"",$T112&lt;&gt;""),$CB112,IF(AND(Baselines!$CM105=0,OR($CL112="DX HP",$CL112="PTHP")),$BB112,Baselines!$CM105))</f>
        <v>0</v>
      </c>
      <c r="CH112" s="830" t="s">
        <v>567</v>
      </c>
      <c r="CI112" s="185" t="str">
        <f>IF(OR($C112="Replace-on-Burnout",$C112="New Construction"),$CT112,IF($BW112="","",VLOOKUP($D112,'Factor Tables'!$B$165:$H$192,MATCH($BW112,'Factor Tables'!$B$164:$H$164,0),FALSE)))</f>
        <v/>
      </c>
      <c r="CJ112" s="842" t="str">
        <f>IF(OR($C112="Replace-on-Burnout",$C112="New Construction"),$CU112,IF($BW112="","",IF($BW112="DX HP",VLOOKUP($D112,'Factor Tables'!$I$165:$Q$192,MATCH("DX HP Clg",'Factor Tables'!$I$164:$Q$164,0),FALSE),IF($BW112="PTHP",VLOOKUP($D112,'Factor Tables'!$I$165:$Q$192,MATCH("PTHP Clg",'Factor Tables'!$I$164:$Q$164,0),FALSE),IF(AND($BW112&lt;&gt;"DX HP",$BW112&lt;&gt;"PTHP"),VLOOKUP($D112,'Factor Tables'!$I$165:$Q$192,MATCH($BW112,'Factor Tables'!$I$164:$Q$164,0),FALSE),"")))))</f>
        <v/>
      </c>
      <c r="CK112" s="186" t="str">
        <f>IF(OR($C112="Replace-on-Burnout",$C112="New Construction",$CL112="DX HP",$CL112="PTHP"),$CV112,IF($BW112="","",IF($BW112="DX HP",VLOOKUP($D112,'Factor Tables'!$I$165:$Q$192,MATCH("DX HP Htg",'Factor Tables'!$I$164:$Q$164,0),FALSE),IF($BW112="PTHP",VLOOKUP($D112,'Factor Tables'!$I$165:$Q$192,MATCH("PTHP Htg",'Factor Tables'!$I$164:$Q$164,0),FALSE),0))))</f>
        <v/>
      </c>
      <c r="CL112" s="187" t="str">
        <f t="shared" si="57"/>
        <v/>
      </c>
      <c r="CM112" s="251" t="str">
        <f t="shared" si="58"/>
        <v/>
      </c>
      <c r="CN112" s="184">
        <f t="shared" si="72"/>
        <v>0</v>
      </c>
      <c r="CO112" s="693">
        <f t="shared" si="73"/>
        <v>0</v>
      </c>
      <c r="CP112" s="182" t="s">
        <v>46</v>
      </c>
      <c r="CQ112" s="852" t="str">
        <f t="shared" si="74"/>
        <v/>
      </c>
      <c r="CR112" s="833">
        <f t="shared" si="75"/>
        <v>0</v>
      </c>
      <c r="CS112" s="830" t="s">
        <v>567</v>
      </c>
      <c r="CT112" s="185" t="str">
        <f>IF($CL112="","",VLOOKUP($D112,'Factor Tables'!$B$165:$H$192,MATCH($CL112,'Factor Tables'!$B$164:$H$164,0),FALSE))</f>
        <v/>
      </c>
      <c r="CU112" s="842" t="str">
        <f>IF($CL112="","",IF(AND($CL112&lt;&gt;"DX HP",$CL112&lt;&gt;"PTHP"),VLOOKUP($D112,'Factor Tables'!$I$165:$Q$192,MATCH($CL112,'Factor Tables'!$I$164:$Q$164,0),FALSE),IF($CL112="DX HP",VLOOKUP($D112,'Factor Tables'!$I$165:$Q$192,MATCH("DX HP Clg",'Factor Tables'!$I$164:$Q$164,0),FALSE),IF($CL112="PTHP",VLOOKUP($D112,'Factor Tables'!$I$165:$Q$192,MATCH("PTHP Clg",'Factor Tables'!$I$164:$Q$164,0),FALSE),""))))</f>
        <v/>
      </c>
      <c r="CV112" s="186" t="str">
        <f>IF($CL112="","",IF(AND($CL112&lt;&gt;"DX HP",$CL112&lt;&gt;"PTHP"),0,IF($CL112="DX HP",VLOOKUP($D112,'Factor Tables'!$I$165:$Q$192,MATCH("DX HP Htg",'Factor Tables'!$I$164:$Q$164,0),FALSE),IF($CL112="PTHP",VLOOKUP($D112,'Factor Tables'!$I$165:$Q$192,MATCH("PTHP Htg",'Factor Tables'!$I$164:$Q$164,0),FALSE),""))))</f>
        <v/>
      </c>
      <c r="DD112" s="194" t="s">
        <v>53</v>
      </c>
      <c r="DE112" s="426"/>
      <c r="DI112" s="425"/>
      <c r="DJ112" s="425"/>
      <c r="DK112" s="425"/>
      <c r="DL112" s="425"/>
      <c r="DM112" s="493" t="s">
        <v>478</v>
      </c>
    </row>
    <row r="113" spans="2:117" s="427" customFormat="1" ht="21.95" customHeight="1" x14ac:dyDescent="0.25">
      <c r="B113" s="432">
        <v>104</v>
      </c>
      <c r="C113" s="499" t="str">
        <f t="shared" si="59"/>
        <v/>
      </c>
      <c r="D113" s="403" t="str">
        <f t="shared" si="60"/>
        <v/>
      </c>
      <c r="E113" s="541"/>
      <c r="F113" s="785"/>
      <c r="G113" s="728"/>
      <c r="H113" s="728"/>
      <c r="I113" s="728"/>
      <c r="J113" s="728"/>
      <c r="K113" s="728"/>
      <c r="L113" s="728"/>
      <c r="M113" s="764"/>
      <c r="N113" s="728"/>
      <c r="O113" s="764"/>
      <c r="P113" s="728"/>
      <c r="Q113" s="1142"/>
      <c r="R113" s="1133"/>
      <c r="S113" s="778"/>
      <c r="T113" s="767"/>
      <c r="U113" s="778"/>
      <c r="V113" s="751"/>
      <c r="W113" s="556"/>
      <c r="X113" s="785"/>
      <c r="Y113" s="542"/>
      <c r="Z113" s="500"/>
      <c r="AA113" s="500"/>
      <c r="AB113" s="500"/>
      <c r="AC113" s="500"/>
      <c r="AD113" s="529"/>
      <c r="AE113" s="527">
        <f t="shared" si="39"/>
        <v>0</v>
      </c>
      <c r="AF113" s="527">
        <f t="shared" si="61"/>
        <v>0</v>
      </c>
      <c r="AG113" s="527">
        <f t="shared" si="41"/>
        <v>0</v>
      </c>
      <c r="AH113" s="527">
        <f t="shared" si="42"/>
        <v>0</v>
      </c>
      <c r="AI113" s="527">
        <f t="shared" si="43"/>
        <v>0</v>
      </c>
      <c r="AJ113" s="527">
        <f t="shared" si="44"/>
        <v>999999999</v>
      </c>
      <c r="AK113" s="530"/>
      <c r="AL113" s="776"/>
      <c r="AM113" s="777"/>
      <c r="AN113" s="500"/>
      <c r="AO113" s="778"/>
      <c r="AP113" s="778"/>
      <c r="AQ113" s="500"/>
      <c r="AR113" s="531"/>
      <c r="AS113" s="403"/>
      <c r="AT113" s="524" t="str">
        <f t="shared" si="45"/>
        <v/>
      </c>
      <c r="AU113" s="311">
        <f t="shared" si="46"/>
        <v>0</v>
      </c>
      <c r="AV113" s="288">
        <f t="shared" si="62"/>
        <v>0</v>
      </c>
      <c r="AW113" s="290">
        <f>IF(ISERROR($AU113*'Utility Admin'!$E$4+$AV113*'Utility Admin'!$F$4),0,$AU113*'Utility Admin'!$E$4+$AV113*'Utility Admin'!$F$4)</f>
        <v>0</v>
      </c>
      <c r="AX113" s="323" t="str">
        <f t="shared" si="47"/>
        <v/>
      </c>
      <c r="AY113" s="322" t="str">
        <f t="shared" si="23"/>
        <v/>
      </c>
      <c r="AZ113" s="319">
        <f>Baselines!$CJ357</f>
        <v>0</v>
      </c>
      <c r="BA113" s="735">
        <f>Baselines!$CK357</f>
        <v>0</v>
      </c>
      <c r="BB113" s="839">
        <f>Baselines!$CM357</f>
        <v>0</v>
      </c>
      <c r="BC113" s="466">
        <f t="shared" si="48"/>
        <v>0</v>
      </c>
      <c r="BD113" s="464">
        <f t="shared" si="63"/>
        <v>0</v>
      </c>
      <c r="BE113" s="755">
        <f t="shared" si="49"/>
        <v>0</v>
      </c>
      <c r="BF113" s="755">
        <f t="shared" si="64"/>
        <v>0</v>
      </c>
      <c r="BG113" s="466">
        <f t="shared" si="50"/>
        <v>0</v>
      </c>
      <c r="BH113" s="464">
        <f t="shared" si="51"/>
        <v>0</v>
      </c>
      <c r="BI113" s="755">
        <f t="shared" si="52"/>
        <v>0</v>
      </c>
      <c r="BJ113" s="755">
        <f t="shared" si="65"/>
        <v>0</v>
      </c>
      <c r="BK113" s="333">
        <f>IF(OR($C113&lt;&gt;"Early Retirement",$H113=""),0,IF(AND($G113&lt;&gt;"Air Cooled Chiller",$G113&lt;&gt;"Water Cooled Chiller"),VLOOKUP($H113,'Early Retirement'!$CI$6:$CL$33,2,FALSE),IF($J113&lt;&gt;"Centrifugal",VLOOKUP($H113,'Early Retirement'!$CI$6:$CL$33,3,FALSE),IF($J113="Centrifugal",VLOOKUP($H113,'Early Retirement'!$CI$6:$CL$33,4,FALSE),""))))</f>
        <v>0</v>
      </c>
      <c r="BL113" s="450">
        <f t="shared" si="53"/>
        <v>0</v>
      </c>
      <c r="BM113" s="553">
        <f>IFERROR('Utility Admin'!$I$4*((1+'Utility Admin'!$G$4)/('Utility Admin'!$H$4-'Utility Admin'!$G$4))*(1-((1+'Utility Admin'!$G$4)/(1+'Utility Admin'!$H$4))^$BK113)*$BG113,0)</f>
        <v>0</v>
      </c>
      <c r="BN113" s="553">
        <f>IFERROR('Utility Admin'!$I$4*((1+'Utility Admin'!$G$4)/('Utility Admin'!$H$4-'Utility Admin'!$G$4))*(1-((1+'Utility Admin'!$G$4)/(1+'Utility Admin'!$H$4))^$BL113)*((1+'Utility Admin'!$G$4)^$BK113/(1+'Utility Admin'!$H$4)^$BK113)*$BC113,0)</f>
        <v>0</v>
      </c>
      <c r="BO113" s="553">
        <f t="shared" si="27"/>
        <v>0</v>
      </c>
      <c r="BP113" s="553">
        <f>IFERROR('Utility Admin'!$J$4*((1+'Utility Admin'!$G$4)/('Utility Admin'!$H$4-'Utility Admin'!$G$4))*(1-((1+'Utility Admin'!$G$4)/(1+'Utility Admin'!$H$4))^$BK113)*$BJ113,0)</f>
        <v>0</v>
      </c>
      <c r="BQ113" s="553">
        <f>IFERROR('Utility Admin'!$J$4*((1+'Utility Admin'!$G$4)/('Utility Admin'!$H$4-'Utility Admin'!$G$4))*(1-((1+'Utility Admin'!$G$4)/(1+'Utility Admin'!$H$4))^$BL113)*((1+'Utility Admin'!$G$4)^$BK113/(1+'Utility Admin'!$H$4)^$BK113)*$BF113,0)</f>
        <v>0</v>
      </c>
      <c r="BR113" s="553">
        <f t="shared" si="28"/>
        <v>0</v>
      </c>
      <c r="BS113" s="553">
        <f>IFERROR('Utility Admin'!$I$4*((1+'Utility Admin'!$G$4)/('Utility Admin'!$H$4-'Utility Admin'!$G$4))*(1-((1+'Utility Admin'!$G$4)/(1+'Utility Admin'!$H$4))^$AT113),0)</f>
        <v>0</v>
      </c>
      <c r="BT113" s="553">
        <f>IFERROR('Utility Admin'!$J$4*((1+'Utility Admin'!$G$4)/('Utility Admin'!$H$4-'Utility Admin'!$G$4))*(1-((1+'Utility Admin'!$G$4)/(1+'Utility Admin'!$H$4))^$AT113),0)</f>
        <v>0</v>
      </c>
      <c r="BU113" s="459">
        <f t="shared" si="66"/>
        <v>0</v>
      </c>
      <c r="BV113" s="462">
        <f t="shared" si="67"/>
        <v>0</v>
      </c>
      <c r="BW113" s="219" t="str">
        <f t="shared" si="54"/>
        <v/>
      </c>
      <c r="BX113" s="250" t="str">
        <f t="shared" si="68"/>
        <v/>
      </c>
      <c r="BY113" s="250" t="str">
        <f t="shared" si="55"/>
        <v/>
      </c>
      <c r="BZ113" s="184">
        <f t="shared" si="69"/>
        <v>0</v>
      </c>
      <c r="CA113" s="693">
        <f t="shared" si="70"/>
        <v>0</v>
      </c>
      <c r="CB113" s="836">
        <f t="shared" si="71"/>
        <v>0</v>
      </c>
      <c r="CC113" s="693">
        <f>IF(AND($C113="Early Retirement",$H113&lt;&gt;"",$R113&lt;&gt;"",$T113&lt;&gt;""),$BZ113,Baselines!$CJ106)</f>
        <v>0</v>
      </c>
      <c r="CD113" s="693">
        <f>IF(AND($C113="Early Retirement",$H113&lt;&gt;"",$R113&lt;&gt;"",$T113&lt;&gt;""),$CA113,Baselines!$CK106)</f>
        <v>0</v>
      </c>
      <c r="CE113" s="182" t="str">
        <f>Baselines!$CL106</f>
        <v>kW/ton</v>
      </c>
      <c r="CF113" s="850" t="str">
        <f t="shared" si="56"/>
        <v/>
      </c>
      <c r="CG113" s="833">
        <f>IF(AND($C113="Early Retirement",$H113&lt;&gt;"",$R113&lt;&gt;"",$T113&lt;&gt;""),$CB113,IF(AND(Baselines!$CM106=0,OR($CL113="DX HP",$CL113="PTHP")),$BB113,Baselines!$CM106))</f>
        <v>0</v>
      </c>
      <c r="CH113" s="830" t="s">
        <v>567</v>
      </c>
      <c r="CI113" s="185" t="str">
        <f>IF(OR($C113="Replace-on-Burnout",$C113="New Construction"),$CT113,IF($BW113="","",VLOOKUP($D113,'Factor Tables'!$B$165:$H$192,MATCH($BW113,'Factor Tables'!$B$164:$H$164,0),FALSE)))</f>
        <v/>
      </c>
      <c r="CJ113" s="842" t="str">
        <f>IF(OR($C113="Replace-on-Burnout",$C113="New Construction"),$CU113,IF($BW113="","",IF($BW113="DX HP",VLOOKUP($D113,'Factor Tables'!$I$165:$Q$192,MATCH("DX HP Clg",'Factor Tables'!$I$164:$Q$164,0),FALSE),IF($BW113="PTHP",VLOOKUP($D113,'Factor Tables'!$I$165:$Q$192,MATCH("PTHP Clg",'Factor Tables'!$I$164:$Q$164,0),FALSE),IF(AND($BW113&lt;&gt;"DX HP",$BW113&lt;&gt;"PTHP"),VLOOKUP($D113,'Factor Tables'!$I$165:$Q$192,MATCH($BW113,'Factor Tables'!$I$164:$Q$164,0),FALSE),"")))))</f>
        <v/>
      </c>
      <c r="CK113" s="186" t="str">
        <f>IF(OR($C113="Replace-on-Burnout",$C113="New Construction",$CL113="DX HP",$CL113="PTHP"),$CV113,IF($BW113="","",IF($BW113="DX HP",VLOOKUP($D113,'Factor Tables'!$I$165:$Q$192,MATCH("DX HP Htg",'Factor Tables'!$I$164:$Q$164,0),FALSE),IF($BW113="PTHP",VLOOKUP($D113,'Factor Tables'!$I$165:$Q$192,MATCH("PTHP Htg",'Factor Tables'!$I$164:$Q$164,0),FALSE),0))))</f>
        <v/>
      </c>
      <c r="CL113" s="187" t="str">
        <f t="shared" si="57"/>
        <v/>
      </c>
      <c r="CM113" s="251" t="str">
        <f t="shared" si="58"/>
        <v/>
      </c>
      <c r="CN113" s="184">
        <f t="shared" si="72"/>
        <v>0</v>
      </c>
      <c r="CO113" s="693">
        <f t="shared" si="73"/>
        <v>0</v>
      </c>
      <c r="CP113" s="182" t="s">
        <v>46</v>
      </c>
      <c r="CQ113" s="852" t="str">
        <f t="shared" si="74"/>
        <v/>
      </c>
      <c r="CR113" s="833">
        <f t="shared" si="75"/>
        <v>0</v>
      </c>
      <c r="CS113" s="830" t="s">
        <v>567</v>
      </c>
      <c r="CT113" s="185" t="str">
        <f>IF($CL113="","",VLOOKUP($D113,'Factor Tables'!$B$165:$H$192,MATCH($CL113,'Factor Tables'!$B$164:$H$164,0),FALSE))</f>
        <v/>
      </c>
      <c r="CU113" s="842" t="str">
        <f>IF($CL113="","",IF(AND($CL113&lt;&gt;"DX HP",$CL113&lt;&gt;"PTHP"),VLOOKUP($D113,'Factor Tables'!$I$165:$Q$192,MATCH($CL113,'Factor Tables'!$I$164:$Q$164,0),FALSE),IF($CL113="DX HP",VLOOKUP($D113,'Factor Tables'!$I$165:$Q$192,MATCH("DX HP Clg",'Factor Tables'!$I$164:$Q$164,0),FALSE),IF($CL113="PTHP",VLOOKUP($D113,'Factor Tables'!$I$165:$Q$192,MATCH("PTHP Clg",'Factor Tables'!$I$164:$Q$164,0),FALSE),""))))</f>
        <v/>
      </c>
      <c r="CV113" s="186" t="str">
        <f>IF($CL113="","",IF(AND($CL113&lt;&gt;"DX HP",$CL113&lt;&gt;"PTHP"),0,IF($CL113="DX HP",VLOOKUP($D113,'Factor Tables'!$I$165:$Q$192,MATCH("DX HP Htg",'Factor Tables'!$I$164:$Q$164,0),FALSE),IF($CL113="PTHP",VLOOKUP($D113,'Factor Tables'!$I$165:$Q$192,MATCH("PTHP Htg",'Factor Tables'!$I$164:$Q$164,0),FALSE),""))))</f>
        <v/>
      </c>
      <c r="DD113" s="77" t="s">
        <v>54</v>
      </c>
      <c r="DE113" s="426"/>
      <c r="DI113" s="425"/>
      <c r="DJ113" s="425"/>
      <c r="DK113" s="425"/>
      <c r="DL113" s="425"/>
      <c r="DM113" s="493" t="s">
        <v>478</v>
      </c>
    </row>
    <row r="114" spans="2:117" s="427" customFormat="1" ht="21.95" customHeight="1" x14ac:dyDescent="0.25">
      <c r="B114" s="431">
        <v>105</v>
      </c>
      <c r="C114" s="501" t="str">
        <f t="shared" si="59"/>
        <v/>
      </c>
      <c r="D114" s="502" t="str">
        <f t="shared" si="60"/>
        <v/>
      </c>
      <c r="E114" s="546"/>
      <c r="F114" s="547"/>
      <c r="G114" s="729"/>
      <c r="H114" s="729"/>
      <c r="I114" s="729"/>
      <c r="J114" s="729"/>
      <c r="K114" s="729"/>
      <c r="L114" s="729"/>
      <c r="M114" s="765"/>
      <c r="N114" s="758"/>
      <c r="O114" s="765"/>
      <c r="P114" s="758"/>
      <c r="Q114" s="1143"/>
      <c r="R114" s="1134"/>
      <c r="S114" s="775"/>
      <c r="T114" s="729"/>
      <c r="U114" s="775"/>
      <c r="V114" s="779"/>
      <c r="W114" s="557"/>
      <c r="X114" s="788"/>
      <c r="Y114" s="543"/>
      <c r="Z114" s="281"/>
      <c r="AA114" s="281"/>
      <c r="AB114" s="281"/>
      <c r="AC114" s="281"/>
      <c r="AD114" s="492"/>
      <c r="AE114" s="527">
        <f t="shared" si="39"/>
        <v>0</v>
      </c>
      <c r="AF114" s="527">
        <f t="shared" si="61"/>
        <v>0</v>
      </c>
      <c r="AG114" s="527">
        <f t="shared" si="41"/>
        <v>0</v>
      </c>
      <c r="AH114" s="527">
        <f t="shared" si="42"/>
        <v>0</v>
      </c>
      <c r="AI114" s="527">
        <f t="shared" si="43"/>
        <v>0</v>
      </c>
      <c r="AJ114" s="527">
        <f t="shared" si="44"/>
        <v>999999999</v>
      </c>
      <c r="AK114" s="471"/>
      <c r="AL114" s="765"/>
      <c r="AM114" s="758"/>
      <c r="AN114" s="281"/>
      <c r="AO114" s="775"/>
      <c r="AP114" s="775"/>
      <c r="AQ114" s="281"/>
      <c r="AR114" s="528"/>
      <c r="AS114" s="532"/>
      <c r="AT114" s="524" t="str">
        <f t="shared" si="45"/>
        <v/>
      </c>
      <c r="AU114" s="311">
        <f t="shared" si="46"/>
        <v>0</v>
      </c>
      <c r="AV114" s="288">
        <f t="shared" si="62"/>
        <v>0</v>
      </c>
      <c r="AW114" s="290">
        <f>IF(ISERROR($AU114*'Utility Admin'!$E$4+$AV114*'Utility Admin'!$F$4),0,$AU114*'Utility Admin'!$E$4+$AV114*'Utility Admin'!$F$4)</f>
        <v>0</v>
      </c>
      <c r="AX114" s="323" t="str">
        <f t="shared" si="47"/>
        <v/>
      </c>
      <c r="AY114" s="322" t="str">
        <f t="shared" si="23"/>
        <v/>
      </c>
      <c r="AZ114" s="319">
        <f>Baselines!$CJ358</f>
        <v>0</v>
      </c>
      <c r="BA114" s="735">
        <f>Baselines!$CK358</f>
        <v>0</v>
      </c>
      <c r="BB114" s="839">
        <f>Baselines!$CM358</f>
        <v>0</v>
      </c>
      <c r="BC114" s="466">
        <f t="shared" si="48"/>
        <v>0</v>
      </c>
      <c r="BD114" s="464">
        <f t="shared" si="63"/>
        <v>0</v>
      </c>
      <c r="BE114" s="755">
        <f t="shared" si="49"/>
        <v>0</v>
      </c>
      <c r="BF114" s="755">
        <f t="shared" si="64"/>
        <v>0</v>
      </c>
      <c r="BG114" s="466">
        <f t="shared" si="50"/>
        <v>0</v>
      </c>
      <c r="BH114" s="464">
        <f t="shared" si="51"/>
        <v>0</v>
      </c>
      <c r="BI114" s="755">
        <f t="shared" si="52"/>
        <v>0</v>
      </c>
      <c r="BJ114" s="755">
        <f t="shared" si="65"/>
        <v>0</v>
      </c>
      <c r="BK114" s="333">
        <f>IF(OR($C114&lt;&gt;"Early Retirement",$H114=""),0,IF(AND($G114&lt;&gt;"Air Cooled Chiller",$G114&lt;&gt;"Water Cooled Chiller"),VLOOKUP($H114,'Early Retirement'!$CI$6:$CL$33,2,FALSE),IF($J114&lt;&gt;"Centrifugal",VLOOKUP($H114,'Early Retirement'!$CI$6:$CL$33,3,FALSE),IF($J114="Centrifugal",VLOOKUP($H114,'Early Retirement'!$CI$6:$CL$33,4,FALSE),""))))</f>
        <v>0</v>
      </c>
      <c r="BL114" s="450">
        <f t="shared" si="53"/>
        <v>0</v>
      </c>
      <c r="BM114" s="553">
        <f>IFERROR('Utility Admin'!$I$4*((1+'Utility Admin'!$G$4)/('Utility Admin'!$H$4-'Utility Admin'!$G$4))*(1-((1+'Utility Admin'!$G$4)/(1+'Utility Admin'!$H$4))^$BK114)*$BG114,0)</f>
        <v>0</v>
      </c>
      <c r="BN114" s="553">
        <f>IFERROR('Utility Admin'!$I$4*((1+'Utility Admin'!$G$4)/('Utility Admin'!$H$4-'Utility Admin'!$G$4))*(1-((1+'Utility Admin'!$G$4)/(1+'Utility Admin'!$H$4))^$BL114)*((1+'Utility Admin'!$G$4)^$BK114/(1+'Utility Admin'!$H$4)^$BK114)*$BC114,0)</f>
        <v>0</v>
      </c>
      <c r="BO114" s="553">
        <f t="shared" si="27"/>
        <v>0</v>
      </c>
      <c r="BP114" s="553">
        <f>IFERROR('Utility Admin'!$J$4*((1+'Utility Admin'!$G$4)/('Utility Admin'!$H$4-'Utility Admin'!$G$4))*(1-((1+'Utility Admin'!$G$4)/(1+'Utility Admin'!$H$4))^$BK114)*$BJ114,0)</f>
        <v>0</v>
      </c>
      <c r="BQ114" s="553">
        <f>IFERROR('Utility Admin'!$J$4*((1+'Utility Admin'!$G$4)/('Utility Admin'!$H$4-'Utility Admin'!$G$4))*(1-((1+'Utility Admin'!$G$4)/(1+'Utility Admin'!$H$4))^$BL114)*((1+'Utility Admin'!$G$4)^$BK114/(1+'Utility Admin'!$H$4)^$BK114)*$BF114,0)</f>
        <v>0</v>
      </c>
      <c r="BR114" s="553">
        <f t="shared" si="28"/>
        <v>0</v>
      </c>
      <c r="BS114" s="553">
        <f>IFERROR('Utility Admin'!$I$4*((1+'Utility Admin'!$G$4)/('Utility Admin'!$H$4-'Utility Admin'!$G$4))*(1-((1+'Utility Admin'!$G$4)/(1+'Utility Admin'!$H$4))^$AT114),0)</f>
        <v>0</v>
      </c>
      <c r="BT114" s="553">
        <f>IFERROR('Utility Admin'!$J$4*((1+'Utility Admin'!$G$4)/('Utility Admin'!$H$4-'Utility Admin'!$G$4))*(1-((1+'Utility Admin'!$G$4)/(1+'Utility Admin'!$H$4))^$AT114),0)</f>
        <v>0</v>
      </c>
      <c r="BU114" s="459">
        <f t="shared" si="66"/>
        <v>0</v>
      </c>
      <c r="BV114" s="462">
        <f t="shared" si="67"/>
        <v>0</v>
      </c>
      <c r="BW114" s="219" t="str">
        <f t="shared" si="54"/>
        <v/>
      </c>
      <c r="BX114" s="250" t="str">
        <f t="shared" si="68"/>
        <v/>
      </c>
      <c r="BY114" s="250" t="str">
        <f t="shared" si="55"/>
        <v/>
      </c>
      <c r="BZ114" s="184">
        <f t="shared" si="69"/>
        <v>0</v>
      </c>
      <c r="CA114" s="693">
        <f t="shared" si="70"/>
        <v>0</v>
      </c>
      <c r="CB114" s="836">
        <f t="shared" si="71"/>
        <v>0</v>
      </c>
      <c r="CC114" s="693">
        <f>IF(AND($C114="Early Retirement",$H114&lt;&gt;"",$R114&lt;&gt;"",$T114&lt;&gt;""),$BZ114,Baselines!$CJ107)</f>
        <v>0</v>
      </c>
      <c r="CD114" s="693">
        <f>IF(AND($C114="Early Retirement",$H114&lt;&gt;"",$R114&lt;&gt;"",$T114&lt;&gt;""),$CA114,Baselines!$CK107)</f>
        <v>0</v>
      </c>
      <c r="CE114" s="182" t="str">
        <f>Baselines!$CL107</f>
        <v>kW/ton</v>
      </c>
      <c r="CF114" s="850" t="str">
        <f t="shared" si="56"/>
        <v/>
      </c>
      <c r="CG114" s="833">
        <f>IF(AND($C114="Early Retirement",$H114&lt;&gt;"",$R114&lt;&gt;"",$T114&lt;&gt;""),$CB114,IF(AND(Baselines!$CM107=0,OR($CL114="DX HP",$CL114="PTHP")),$BB114,Baselines!$CM107))</f>
        <v>0</v>
      </c>
      <c r="CH114" s="830" t="s">
        <v>567</v>
      </c>
      <c r="CI114" s="185" t="str">
        <f>IF(OR($C114="Replace-on-Burnout",$C114="New Construction"),$CT114,IF($BW114="","",VLOOKUP($D114,'Factor Tables'!$B$165:$H$192,MATCH($BW114,'Factor Tables'!$B$164:$H$164,0),FALSE)))</f>
        <v/>
      </c>
      <c r="CJ114" s="842" t="str">
        <f>IF(OR($C114="Replace-on-Burnout",$C114="New Construction"),$CU114,IF($BW114="","",IF($BW114="DX HP",VLOOKUP($D114,'Factor Tables'!$I$165:$Q$192,MATCH("DX HP Clg",'Factor Tables'!$I$164:$Q$164,0),FALSE),IF($BW114="PTHP",VLOOKUP($D114,'Factor Tables'!$I$165:$Q$192,MATCH("PTHP Clg",'Factor Tables'!$I$164:$Q$164,0),FALSE),IF(AND($BW114&lt;&gt;"DX HP",$BW114&lt;&gt;"PTHP"),VLOOKUP($D114,'Factor Tables'!$I$165:$Q$192,MATCH($BW114,'Factor Tables'!$I$164:$Q$164,0),FALSE),"")))))</f>
        <v/>
      </c>
      <c r="CK114" s="186" t="str">
        <f>IF(OR($C114="Replace-on-Burnout",$C114="New Construction",$CL114="DX HP",$CL114="PTHP"),$CV114,IF($BW114="","",IF($BW114="DX HP",VLOOKUP($D114,'Factor Tables'!$I$165:$Q$192,MATCH("DX HP Htg",'Factor Tables'!$I$164:$Q$164,0),FALSE),IF($BW114="PTHP",VLOOKUP($D114,'Factor Tables'!$I$165:$Q$192,MATCH("PTHP Htg",'Factor Tables'!$I$164:$Q$164,0),FALSE),0))))</f>
        <v/>
      </c>
      <c r="CL114" s="187" t="str">
        <f t="shared" si="57"/>
        <v/>
      </c>
      <c r="CM114" s="251" t="str">
        <f t="shared" si="58"/>
        <v/>
      </c>
      <c r="CN114" s="184">
        <f t="shared" si="72"/>
        <v>0</v>
      </c>
      <c r="CO114" s="693">
        <f t="shared" si="73"/>
        <v>0</v>
      </c>
      <c r="CP114" s="182" t="s">
        <v>46</v>
      </c>
      <c r="CQ114" s="852" t="str">
        <f t="shared" si="74"/>
        <v/>
      </c>
      <c r="CR114" s="833">
        <f t="shared" si="75"/>
        <v>0</v>
      </c>
      <c r="CS114" s="830" t="s">
        <v>567</v>
      </c>
      <c r="CT114" s="185" t="str">
        <f>IF($CL114="","",VLOOKUP($D114,'Factor Tables'!$B$165:$H$192,MATCH($CL114,'Factor Tables'!$B$164:$H$164,0),FALSE))</f>
        <v/>
      </c>
      <c r="CU114" s="842" t="str">
        <f>IF($CL114="","",IF(AND($CL114&lt;&gt;"DX HP",$CL114&lt;&gt;"PTHP"),VLOOKUP($D114,'Factor Tables'!$I$165:$Q$192,MATCH($CL114,'Factor Tables'!$I$164:$Q$164,0),FALSE),IF($CL114="DX HP",VLOOKUP($D114,'Factor Tables'!$I$165:$Q$192,MATCH("DX HP Clg",'Factor Tables'!$I$164:$Q$164,0),FALSE),IF($CL114="PTHP",VLOOKUP($D114,'Factor Tables'!$I$165:$Q$192,MATCH("PTHP Clg",'Factor Tables'!$I$164:$Q$164,0),FALSE),""))))</f>
        <v/>
      </c>
      <c r="CV114" s="186" t="str">
        <f>IF($CL114="","",IF(AND($CL114&lt;&gt;"DX HP",$CL114&lt;&gt;"PTHP"),0,IF($CL114="DX HP",VLOOKUP($D114,'Factor Tables'!$I$165:$Q$192,MATCH("DX HP Htg",'Factor Tables'!$I$164:$Q$164,0),FALSE),IF($CL114="PTHP",VLOOKUP($D114,'Factor Tables'!$I$165:$Q$192,MATCH("PTHP Htg",'Factor Tables'!$I$164:$Q$164,0),FALSE),""))))</f>
        <v/>
      </c>
      <c r="DD114" s="77"/>
      <c r="DE114" s="426"/>
      <c r="DI114" s="425"/>
      <c r="DJ114" s="425"/>
      <c r="DK114" s="425"/>
      <c r="DL114" s="425"/>
      <c r="DM114" s="493" t="s">
        <v>478</v>
      </c>
    </row>
    <row r="115" spans="2:117" s="427" customFormat="1" ht="21.95" customHeight="1" x14ac:dyDescent="0.25">
      <c r="B115" s="432">
        <v>106</v>
      </c>
      <c r="C115" s="499" t="str">
        <f t="shared" si="59"/>
        <v/>
      </c>
      <c r="D115" s="403" t="str">
        <f t="shared" si="60"/>
        <v/>
      </c>
      <c r="E115" s="541"/>
      <c r="F115" s="785"/>
      <c r="G115" s="728"/>
      <c r="H115" s="728"/>
      <c r="I115" s="728"/>
      <c r="J115" s="728"/>
      <c r="K115" s="728"/>
      <c r="L115" s="728"/>
      <c r="M115" s="764"/>
      <c r="N115" s="728"/>
      <c r="O115" s="764"/>
      <c r="P115" s="728"/>
      <c r="Q115" s="1142"/>
      <c r="R115" s="1133"/>
      <c r="S115" s="778"/>
      <c r="T115" s="767"/>
      <c r="U115" s="778"/>
      <c r="V115" s="751"/>
      <c r="W115" s="556"/>
      <c r="X115" s="785"/>
      <c r="Y115" s="542"/>
      <c r="Z115" s="500"/>
      <c r="AA115" s="500"/>
      <c r="AB115" s="500"/>
      <c r="AC115" s="500"/>
      <c r="AD115" s="529"/>
      <c r="AE115" s="527">
        <f t="shared" si="39"/>
        <v>0</v>
      </c>
      <c r="AF115" s="527">
        <f t="shared" si="61"/>
        <v>0</v>
      </c>
      <c r="AG115" s="527">
        <f t="shared" si="41"/>
        <v>0</v>
      </c>
      <c r="AH115" s="527">
        <f t="shared" si="42"/>
        <v>0</v>
      </c>
      <c r="AI115" s="527">
        <f t="shared" si="43"/>
        <v>0</v>
      </c>
      <c r="AJ115" s="527">
        <f t="shared" si="44"/>
        <v>999999999</v>
      </c>
      <c r="AK115" s="530"/>
      <c r="AL115" s="776"/>
      <c r="AM115" s="777"/>
      <c r="AN115" s="500"/>
      <c r="AO115" s="778"/>
      <c r="AP115" s="778"/>
      <c r="AQ115" s="500"/>
      <c r="AR115" s="531"/>
      <c r="AS115" s="403"/>
      <c r="AT115" s="524" t="str">
        <f t="shared" si="45"/>
        <v/>
      </c>
      <c r="AU115" s="311">
        <f t="shared" si="46"/>
        <v>0</v>
      </c>
      <c r="AV115" s="288">
        <f t="shared" si="62"/>
        <v>0</v>
      </c>
      <c r="AW115" s="290">
        <f>IF(ISERROR($AU115*'Utility Admin'!$E$4+$AV115*'Utility Admin'!$F$4),0,$AU115*'Utility Admin'!$E$4+$AV115*'Utility Admin'!$F$4)</f>
        <v>0</v>
      </c>
      <c r="AX115" s="323" t="str">
        <f t="shared" si="47"/>
        <v/>
      </c>
      <c r="AY115" s="322" t="str">
        <f t="shared" si="23"/>
        <v/>
      </c>
      <c r="AZ115" s="319">
        <f>Baselines!$CJ359</f>
        <v>0</v>
      </c>
      <c r="BA115" s="735">
        <f>Baselines!$CK359</f>
        <v>0</v>
      </c>
      <c r="BB115" s="839">
        <f>Baselines!$CM359</f>
        <v>0</v>
      </c>
      <c r="BC115" s="466">
        <f t="shared" si="48"/>
        <v>0</v>
      </c>
      <c r="BD115" s="464">
        <f t="shared" si="63"/>
        <v>0</v>
      </c>
      <c r="BE115" s="755">
        <f t="shared" si="49"/>
        <v>0</v>
      </c>
      <c r="BF115" s="755">
        <f t="shared" si="64"/>
        <v>0</v>
      </c>
      <c r="BG115" s="466">
        <f t="shared" si="50"/>
        <v>0</v>
      </c>
      <c r="BH115" s="464">
        <f t="shared" si="51"/>
        <v>0</v>
      </c>
      <c r="BI115" s="755">
        <f t="shared" si="52"/>
        <v>0</v>
      </c>
      <c r="BJ115" s="755">
        <f t="shared" si="65"/>
        <v>0</v>
      </c>
      <c r="BK115" s="333">
        <f>IF(OR($C115&lt;&gt;"Early Retirement",$H115=""),0,IF(AND($G115&lt;&gt;"Air Cooled Chiller",$G115&lt;&gt;"Water Cooled Chiller"),VLOOKUP($H115,'Early Retirement'!$CI$6:$CL$33,2,FALSE),IF($J115&lt;&gt;"Centrifugal",VLOOKUP($H115,'Early Retirement'!$CI$6:$CL$33,3,FALSE),IF($J115="Centrifugal",VLOOKUP($H115,'Early Retirement'!$CI$6:$CL$33,4,FALSE),""))))</f>
        <v>0</v>
      </c>
      <c r="BL115" s="450">
        <f t="shared" si="53"/>
        <v>0</v>
      </c>
      <c r="BM115" s="553">
        <f>IFERROR('Utility Admin'!$I$4*((1+'Utility Admin'!$G$4)/('Utility Admin'!$H$4-'Utility Admin'!$G$4))*(1-((1+'Utility Admin'!$G$4)/(1+'Utility Admin'!$H$4))^$BK115)*$BG115,0)</f>
        <v>0</v>
      </c>
      <c r="BN115" s="553">
        <f>IFERROR('Utility Admin'!$I$4*((1+'Utility Admin'!$G$4)/('Utility Admin'!$H$4-'Utility Admin'!$G$4))*(1-((1+'Utility Admin'!$G$4)/(1+'Utility Admin'!$H$4))^$BL115)*((1+'Utility Admin'!$G$4)^$BK115/(1+'Utility Admin'!$H$4)^$BK115)*$BC115,0)</f>
        <v>0</v>
      </c>
      <c r="BO115" s="553">
        <f t="shared" si="27"/>
        <v>0</v>
      </c>
      <c r="BP115" s="553">
        <f>IFERROR('Utility Admin'!$J$4*((1+'Utility Admin'!$G$4)/('Utility Admin'!$H$4-'Utility Admin'!$G$4))*(1-((1+'Utility Admin'!$G$4)/(1+'Utility Admin'!$H$4))^$BK115)*$BJ115,0)</f>
        <v>0</v>
      </c>
      <c r="BQ115" s="553">
        <f>IFERROR('Utility Admin'!$J$4*((1+'Utility Admin'!$G$4)/('Utility Admin'!$H$4-'Utility Admin'!$G$4))*(1-((1+'Utility Admin'!$G$4)/(1+'Utility Admin'!$H$4))^$BL115)*((1+'Utility Admin'!$G$4)^$BK115/(1+'Utility Admin'!$H$4)^$BK115)*$BF115,0)</f>
        <v>0</v>
      </c>
      <c r="BR115" s="553">
        <f t="shared" si="28"/>
        <v>0</v>
      </c>
      <c r="BS115" s="553">
        <f>IFERROR('Utility Admin'!$I$4*((1+'Utility Admin'!$G$4)/('Utility Admin'!$H$4-'Utility Admin'!$G$4))*(1-((1+'Utility Admin'!$G$4)/(1+'Utility Admin'!$H$4))^$AT115),0)</f>
        <v>0</v>
      </c>
      <c r="BT115" s="553">
        <f>IFERROR('Utility Admin'!$J$4*((1+'Utility Admin'!$G$4)/('Utility Admin'!$H$4-'Utility Admin'!$G$4))*(1-((1+'Utility Admin'!$G$4)/(1+'Utility Admin'!$H$4))^$AT115),0)</f>
        <v>0</v>
      </c>
      <c r="BU115" s="459">
        <f t="shared" si="66"/>
        <v>0</v>
      </c>
      <c r="BV115" s="462">
        <f t="shared" si="67"/>
        <v>0</v>
      </c>
      <c r="BW115" s="219" t="str">
        <f t="shared" si="54"/>
        <v/>
      </c>
      <c r="BX115" s="250" t="str">
        <f t="shared" si="68"/>
        <v/>
      </c>
      <c r="BY115" s="250" t="str">
        <f t="shared" si="55"/>
        <v/>
      </c>
      <c r="BZ115" s="184">
        <f t="shared" si="69"/>
        <v>0</v>
      </c>
      <c r="CA115" s="693">
        <f t="shared" si="70"/>
        <v>0</v>
      </c>
      <c r="CB115" s="836">
        <f t="shared" si="71"/>
        <v>0</v>
      </c>
      <c r="CC115" s="693">
        <f>IF(AND($C115="Early Retirement",$H115&lt;&gt;"",$R115&lt;&gt;"",$T115&lt;&gt;""),$BZ115,Baselines!$CJ108)</f>
        <v>0</v>
      </c>
      <c r="CD115" s="693">
        <f>IF(AND($C115="Early Retirement",$H115&lt;&gt;"",$R115&lt;&gt;"",$T115&lt;&gt;""),$CA115,Baselines!$CK108)</f>
        <v>0</v>
      </c>
      <c r="CE115" s="182" t="str">
        <f>Baselines!$CL108</f>
        <v>kW/ton</v>
      </c>
      <c r="CF115" s="850" t="str">
        <f t="shared" si="56"/>
        <v/>
      </c>
      <c r="CG115" s="833">
        <f>IF(AND($C115="Early Retirement",$H115&lt;&gt;"",$R115&lt;&gt;"",$T115&lt;&gt;""),$CB115,IF(AND(Baselines!$CM108=0,OR($CL115="DX HP",$CL115="PTHP")),$BB115,Baselines!$CM108))</f>
        <v>0</v>
      </c>
      <c r="CH115" s="830" t="s">
        <v>567</v>
      </c>
      <c r="CI115" s="185" t="str">
        <f>IF(OR($C115="Replace-on-Burnout",$C115="New Construction"),$CT115,IF($BW115="","",VLOOKUP($D115,'Factor Tables'!$B$165:$H$192,MATCH($BW115,'Factor Tables'!$B$164:$H$164,0),FALSE)))</f>
        <v/>
      </c>
      <c r="CJ115" s="842" t="str">
        <f>IF(OR($C115="Replace-on-Burnout",$C115="New Construction"),$CU115,IF($BW115="","",IF($BW115="DX HP",VLOOKUP($D115,'Factor Tables'!$I$165:$Q$192,MATCH("DX HP Clg",'Factor Tables'!$I$164:$Q$164,0),FALSE),IF($BW115="PTHP",VLOOKUP($D115,'Factor Tables'!$I$165:$Q$192,MATCH("PTHP Clg",'Factor Tables'!$I$164:$Q$164,0),FALSE),IF(AND($BW115&lt;&gt;"DX HP",$BW115&lt;&gt;"PTHP"),VLOOKUP($D115,'Factor Tables'!$I$165:$Q$192,MATCH($BW115,'Factor Tables'!$I$164:$Q$164,0),FALSE),"")))))</f>
        <v/>
      </c>
      <c r="CK115" s="186" t="str">
        <f>IF(OR($C115="Replace-on-Burnout",$C115="New Construction",$CL115="DX HP",$CL115="PTHP"),$CV115,IF($BW115="","",IF($BW115="DX HP",VLOOKUP($D115,'Factor Tables'!$I$165:$Q$192,MATCH("DX HP Htg",'Factor Tables'!$I$164:$Q$164,0),FALSE),IF($BW115="PTHP",VLOOKUP($D115,'Factor Tables'!$I$165:$Q$192,MATCH("PTHP Htg",'Factor Tables'!$I$164:$Q$164,0),FALSE),0))))</f>
        <v/>
      </c>
      <c r="CL115" s="187" t="str">
        <f t="shared" si="57"/>
        <v/>
      </c>
      <c r="CM115" s="251" t="str">
        <f t="shared" si="58"/>
        <v/>
      </c>
      <c r="CN115" s="184">
        <f t="shared" si="72"/>
        <v>0</v>
      </c>
      <c r="CO115" s="693">
        <f t="shared" si="73"/>
        <v>0</v>
      </c>
      <c r="CP115" s="182" t="s">
        <v>46</v>
      </c>
      <c r="CQ115" s="852" t="str">
        <f t="shared" si="74"/>
        <v/>
      </c>
      <c r="CR115" s="833">
        <f t="shared" si="75"/>
        <v>0</v>
      </c>
      <c r="CS115" s="830" t="s">
        <v>567</v>
      </c>
      <c r="CT115" s="185" t="str">
        <f>IF($CL115="","",VLOOKUP($D115,'Factor Tables'!$B$165:$H$192,MATCH($CL115,'Factor Tables'!$B$164:$H$164,0),FALSE))</f>
        <v/>
      </c>
      <c r="CU115" s="842" t="str">
        <f>IF($CL115="","",IF(AND($CL115&lt;&gt;"DX HP",$CL115&lt;&gt;"PTHP"),VLOOKUP($D115,'Factor Tables'!$I$165:$Q$192,MATCH($CL115,'Factor Tables'!$I$164:$Q$164,0),FALSE),IF($CL115="DX HP",VLOOKUP($D115,'Factor Tables'!$I$165:$Q$192,MATCH("DX HP Clg",'Factor Tables'!$I$164:$Q$164,0),FALSE),IF($CL115="PTHP",VLOOKUP($D115,'Factor Tables'!$I$165:$Q$192,MATCH("PTHP Clg",'Factor Tables'!$I$164:$Q$164,0),FALSE),""))))</f>
        <v/>
      </c>
      <c r="CV115" s="186" t="str">
        <f>IF($CL115="","",IF(AND($CL115&lt;&gt;"DX HP",$CL115&lt;&gt;"PTHP"),0,IF($CL115="DX HP",VLOOKUP($D115,'Factor Tables'!$I$165:$Q$192,MATCH("DX HP Htg",'Factor Tables'!$I$164:$Q$164,0),FALSE),IF($CL115="PTHP",VLOOKUP($D115,'Factor Tables'!$I$165:$Q$192,MATCH("PTHP Htg",'Factor Tables'!$I$164:$Q$164,0),FALSE),""))))</f>
        <v/>
      </c>
      <c r="DD115" s="193" t="s">
        <v>358</v>
      </c>
      <c r="DE115" s="426"/>
      <c r="DI115" s="425"/>
      <c r="DJ115" s="425"/>
      <c r="DK115" s="425"/>
      <c r="DL115" s="425"/>
      <c r="DM115" s="493" t="s">
        <v>478</v>
      </c>
    </row>
    <row r="116" spans="2:117" s="427" customFormat="1" ht="21.95" customHeight="1" x14ac:dyDescent="0.25">
      <c r="B116" s="431">
        <v>107</v>
      </c>
      <c r="C116" s="501" t="str">
        <f t="shared" si="59"/>
        <v/>
      </c>
      <c r="D116" s="502" t="str">
        <f t="shared" si="60"/>
        <v/>
      </c>
      <c r="E116" s="546"/>
      <c r="F116" s="547"/>
      <c r="G116" s="729"/>
      <c r="H116" s="729"/>
      <c r="I116" s="729"/>
      <c r="J116" s="729"/>
      <c r="K116" s="729"/>
      <c r="L116" s="729"/>
      <c r="M116" s="765"/>
      <c r="N116" s="758"/>
      <c r="O116" s="765"/>
      <c r="P116" s="758"/>
      <c r="Q116" s="1143"/>
      <c r="R116" s="1134"/>
      <c r="S116" s="775"/>
      <c r="T116" s="729"/>
      <c r="U116" s="775"/>
      <c r="V116" s="779"/>
      <c r="W116" s="557"/>
      <c r="X116" s="788"/>
      <c r="Y116" s="543"/>
      <c r="Z116" s="281"/>
      <c r="AA116" s="281"/>
      <c r="AB116" s="281"/>
      <c r="AC116" s="281"/>
      <c r="AD116" s="492"/>
      <c r="AE116" s="527">
        <f t="shared" si="39"/>
        <v>0</v>
      </c>
      <c r="AF116" s="527">
        <f t="shared" si="61"/>
        <v>0</v>
      </c>
      <c r="AG116" s="527">
        <f t="shared" si="41"/>
        <v>0</v>
      </c>
      <c r="AH116" s="527">
        <f t="shared" si="42"/>
        <v>0</v>
      </c>
      <c r="AI116" s="527">
        <f t="shared" si="43"/>
        <v>0</v>
      </c>
      <c r="AJ116" s="527">
        <f t="shared" si="44"/>
        <v>999999999</v>
      </c>
      <c r="AK116" s="471"/>
      <c r="AL116" s="765"/>
      <c r="AM116" s="758"/>
      <c r="AN116" s="281"/>
      <c r="AO116" s="775"/>
      <c r="AP116" s="775"/>
      <c r="AQ116" s="281"/>
      <c r="AR116" s="528"/>
      <c r="AS116" s="532"/>
      <c r="AT116" s="524" t="str">
        <f t="shared" si="45"/>
        <v/>
      </c>
      <c r="AU116" s="311">
        <f t="shared" si="46"/>
        <v>0</v>
      </c>
      <c r="AV116" s="288">
        <f t="shared" si="62"/>
        <v>0</v>
      </c>
      <c r="AW116" s="290">
        <f>IF(ISERROR($AU116*'Utility Admin'!$E$4+$AV116*'Utility Admin'!$F$4),0,$AU116*'Utility Admin'!$E$4+$AV116*'Utility Admin'!$F$4)</f>
        <v>0</v>
      </c>
      <c r="AX116" s="323" t="str">
        <f t="shared" si="47"/>
        <v/>
      </c>
      <c r="AY116" s="322" t="str">
        <f t="shared" si="23"/>
        <v/>
      </c>
      <c r="AZ116" s="319">
        <f>Baselines!$CJ360</f>
        <v>0</v>
      </c>
      <c r="BA116" s="735">
        <f>Baselines!$CK360</f>
        <v>0</v>
      </c>
      <c r="BB116" s="839">
        <f>Baselines!$CM360</f>
        <v>0</v>
      </c>
      <c r="BC116" s="466">
        <f t="shared" si="48"/>
        <v>0</v>
      </c>
      <c r="BD116" s="464">
        <f t="shared" si="63"/>
        <v>0</v>
      </c>
      <c r="BE116" s="755">
        <f t="shared" si="49"/>
        <v>0</v>
      </c>
      <c r="BF116" s="755">
        <f t="shared" si="64"/>
        <v>0</v>
      </c>
      <c r="BG116" s="466">
        <f t="shared" si="50"/>
        <v>0</v>
      </c>
      <c r="BH116" s="464">
        <f t="shared" si="51"/>
        <v>0</v>
      </c>
      <c r="BI116" s="755">
        <f t="shared" si="52"/>
        <v>0</v>
      </c>
      <c r="BJ116" s="755">
        <f t="shared" si="65"/>
        <v>0</v>
      </c>
      <c r="BK116" s="333">
        <f>IF(OR($C116&lt;&gt;"Early Retirement",$H116=""),0,IF(AND($G116&lt;&gt;"Air Cooled Chiller",$G116&lt;&gt;"Water Cooled Chiller"),VLOOKUP($H116,'Early Retirement'!$CI$6:$CL$33,2,FALSE),IF($J116&lt;&gt;"Centrifugal",VLOOKUP($H116,'Early Retirement'!$CI$6:$CL$33,3,FALSE),IF($J116="Centrifugal",VLOOKUP($H116,'Early Retirement'!$CI$6:$CL$33,4,FALSE),""))))</f>
        <v>0</v>
      </c>
      <c r="BL116" s="450">
        <f t="shared" si="53"/>
        <v>0</v>
      </c>
      <c r="BM116" s="553">
        <f>IFERROR('Utility Admin'!$I$4*((1+'Utility Admin'!$G$4)/('Utility Admin'!$H$4-'Utility Admin'!$G$4))*(1-((1+'Utility Admin'!$G$4)/(1+'Utility Admin'!$H$4))^$BK116)*$BG116,0)</f>
        <v>0</v>
      </c>
      <c r="BN116" s="553">
        <f>IFERROR('Utility Admin'!$I$4*((1+'Utility Admin'!$G$4)/('Utility Admin'!$H$4-'Utility Admin'!$G$4))*(1-((1+'Utility Admin'!$G$4)/(1+'Utility Admin'!$H$4))^$BL116)*((1+'Utility Admin'!$G$4)^$BK116/(1+'Utility Admin'!$H$4)^$BK116)*$BC116,0)</f>
        <v>0</v>
      </c>
      <c r="BO116" s="553">
        <f t="shared" si="27"/>
        <v>0</v>
      </c>
      <c r="BP116" s="553">
        <f>IFERROR('Utility Admin'!$J$4*((1+'Utility Admin'!$G$4)/('Utility Admin'!$H$4-'Utility Admin'!$G$4))*(1-((1+'Utility Admin'!$G$4)/(1+'Utility Admin'!$H$4))^$BK116)*$BJ116,0)</f>
        <v>0</v>
      </c>
      <c r="BQ116" s="553">
        <f>IFERROR('Utility Admin'!$J$4*((1+'Utility Admin'!$G$4)/('Utility Admin'!$H$4-'Utility Admin'!$G$4))*(1-((1+'Utility Admin'!$G$4)/(1+'Utility Admin'!$H$4))^$BL116)*((1+'Utility Admin'!$G$4)^$BK116/(1+'Utility Admin'!$H$4)^$BK116)*$BF116,0)</f>
        <v>0</v>
      </c>
      <c r="BR116" s="553">
        <f t="shared" si="28"/>
        <v>0</v>
      </c>
      <c r="BS116" s="553">
        <f>IFERROR('Utility Admin'!$I$4*((1+'Utility Admin'!$G$4)/('Utility Admin'!$H$4-'Utility Admin'!$G$4))*(1-((1+'Utility Admin'!$G$4)/(1+'Utility Admin'!$H$4))^$AT116),0)</f>
        <v>0</v>
      </c>
      <c r="BT116" s="553">
        <f>IFERROR('Utility Admin'!$J$4*((1+'Utility Admin'!$G$4)/('Utility Admin'!$H$4-'Utility Admin'!$G$4))*(1-((1+'Utility Admin'!$G$4)/(1+'Utility Admin'!$H$4))^$AT116),0)</f>
        <v>0</v>
      </c>
      <c r="BU116" s="459">
        <f t="shared" si="66"/>
        <v>0</v>
      </c>
      <c r="BV116" s="462">
        <f t="shared" si="67"/>
        <v>0</v>
      </c>
      <c r="BW116" s="219" t="str">
        <f t="shared" si="54"/>
        <v/>
      </c>
      <c r="BX116" s="250" t="str">
        <f t="shared" si="68"/>
        <v/>
      </c>
      <c r="BY116" s="250" t="str">
        <f t="shared" si="55"/>
        <v/>
      </c>
      <c r="BZ116" s="184">
        <f t="shared" si="69"/>
        <v>0</v>
      </c>
      <c r="CA116" s="693">
        <f t="shared" si="70"/>
        <v>0</v>
      </c>
      <c r="CB116" s="836">
        <f t="shared" si="71"/>
        <v>0</v>
      </c>
      <c r="CC116" s="693">
        <f>IF(AND($C116="Early Retirement",$H116&lt;&gt;"",$R116&lt;&gt;"",$T116&lt;&gt;""),$BZ116,Baselines!$CJ109)</f>
        <v>0</v>
      </c>
      <c r="CD116" s="693">
        <f>IF(AND($C116="Early Retirement",$H116&lt;&gt;"",$R116&lt;&gt;"",$T116&lt;&gt;""),$CA116,Baselines!$CK109)</f>
        <v>0</v>
      </c>
      <c r="CE116" s="182" t="str">
        <f>Baselines!$CL109</f>
        <v>kW/ton</v>
      </c>
      <c r="CF116" s="850" t="str">
        <f t="shared" si="56"/>
        <v/>
      </c>
      <c r="CG116" s="833">
        <f>IF(AND($C116="Early Retirement",$H116&lt;&gt;"",$R116&lt;&gt;"",$T116&lt;&gt;""),$CB116,IF(AND(Baselines!$CM109=0,OR($CL116="DX HP",$CL116="PTHP")),$BB116,Baselines!$CM109))</f>
        <v>0</v>
      </c>
      <c r="CH116" s="830" t="s">
        <v>567</v>
      </c>
      <c r="CI116" s="185" t="str">
        <f>IF(OR($C116="Replace-on-Burnout",$C116="New Construction"),$CT116,IF($BW116="","",VLOOKUP($D116,'Factor Tables'!$B$165:$H$192,MATCH($BW116,'Factor Tables'!$B$164:$H$164,0),FALSE)))</f>
        <v/>
      </c>
      <c r="CJ116" s="842" t="str">
        <f>IF(OR($C116="Replace-on-Burnout",$C116="New Construction"),$CU116,IF($BW116="","",IF($BW116="DX HP",VLOOKUP($D116,'Factor Tables'!$I$165:$Q$192,MATCH("DX HP Clg",'Factor Tables'!$I$164:$Q$164,0),FALSE),IF($BW116="PTHP",VLOOKUP($D116,'Factor Tables'!$I$165:$Q$192,MATCH("PTHP Clg",'Factor Tables'!$I$164:$Q$164,0),FALSE),IF(AND($BW116&lt;&gt;"DX HP",$BW116&lt;&gt;"PTHP"),VLOOKUP($D116,'Factor Tables'!$I$165:$Q$192,MATCH($BW116,'Factor Tables'!$I$164:$Q$164,0),FALSE),"")))))</f>
        <v/>
      </c>
      <c r="CK116" s="186" t="str">
        <f>IF(OR($C116="Replace-on-Burnout",$C116="New Construction",$CL116="DX HP",$CL116="PTHP"),$CV116,IF($BW116="","",IF($BW116="DX HP",VLOOKUP($D116,'Factor Tables'!$I$165:$Q$192,MATCH("DX HP Htg",'Factor Tables'!$I$164:$Q$164,0),FALSE),IF($BW116="PTHP",VLOOKUP($D116,'Factor Tables'!$I$165:$Q$192,MATCH("PTHP Htg",'Factor Tables'!$I$164:$Q$164,0),FALSE),0))))</f>
        <v/>
      </c>
      <c r="CL116" s="187" t="str">
        <f t="shared" si="57"/>
        <v/>
      </c>
      <c r="CM116" s="251" t="str">
        <f t="shared" si="58"/>
        <v/>
      </c>
      <c r="CN116" s="184">
        <f t="shared" si="72"/>
        <v>0</v>
      </c>
      <c r="CO116" s="693">
        <f t="shared" si="73"/>
        <v>0</v>
      </c>
      <c r="CP116" s="182" t="s">
        <v>46</v>
      </c>
      <c r="CQ116" s="852" t="str">
        <f t="shared" si="74"/>
        <v/>
      </c>
      <c r="CR116" s="833">
        <f t="shared" si="75"/>
        <v>0</v>
      </c>
      <c r="CS116" s="830" t="s">
        <v>567</v>
      </c>
      <c r="CT116" s="185" t="str">
        <f>IF($CL116="","",VLOOKUP($D116,'Factor Tables'!$B$165:$H$192,MATCH($CL116,'Factor Tables'!$B$164:$H$164,0),FALSE))</f>
        <v/>
      </c>
      <c r="CU116" s="842" t="str">
        <f>IF($CL116="","",IF(AND($CL116&lt;&gt;"DX HP",$CL116&lt;&gt;"PTHP"),VLOOKUP($D116,'Factor Tables'!$I$165:$Q$192,MATCH($CL116,'Factor Tables'!$I$164:$Q$164,0),FALSE),IF($CL116="DX HP",VLOOKUP($D116,'Factor Tables'!$I$165:$Q$192,MATCH("DX HP Clg",'Factor Tables'!$I$164:$Q$164,0),FALSE),IF($CL116="PTHP",VLOOKUP($D116,'Factor Tables'!$I$165:$Q$192,MATCH("PTHP Clg",'Factor Tables'!$I$164:$Q$164,0),FALSE),""))))</f>
        <v/>
      </c>
      <c r="CV116" s="186" t="str">
        <f>IF($CL116="","",IF(AND($CL116&lt;&gt;"DX HP",$CL116&lt;&gt;"PTHP"),0,IF($CL116="DX HP",VLOOKUP($D116,'Factor Tables'!$I$165:$Q$192,MATCH("DX HP Htg",'Factor Tables'!$I$164:$Q$164,0),FALSE),IF($CL116="PTHP",VLOOKUP($D116,'Factor Tables'!$I$165:$Q$192,MATCH("PTHP Htg",'Factor Tables'!$I$164:$Q$164,0),FALSE),""))))</f>
        <v/>
      </c>
      <c r="DD116" s="77" t="s">
        <v>43</v>
      </c>
      <c r="DE116" s="426"/>
      <c r="DI116" s="425"/>
      <c r="DJ116" s="425"/>
      <c r="DK116" s="425"/>
      <c r="DL116" s="425"/>
      <c r="DM116" s="493" t="s">
        <v>478</v>
      </c>
    </row>
    <row r="117" spans="2:117" s="427" customFormat="1" ht="21.95" customHeight="1" x14ac:dyDescent="0.25">
      <c r="B117" s="432">
        <v>108</v>
      </c>
      <c r="C117" s="499" t="str">
        <f t="shared" si="59"/>
        <v/>
      </c>
      <c r="D117" s="403" t="str">
        <f t="shared" si="60"/>
        <v/>
      </c>
      <c r="E117" s="541"/>
      <c r="F117" s="785"/>
      <c r="G117" s="728"/>
      <c r="H117" s="728"/>
      <c r="I117" s="728"/>
      <c r="J117" s="728"/>
      <c r="K117" s="728"/>
      <c r="L117" s="728"/>
      <c r="M117" s="764"/>
      <c r="N117" s="728"/>
      <c r="O117" s="764"/>
      <c r="P117" s="728"/>
      <c r="Q117" s="1142"/>
      <c r="R117" s="1133"/>
      <c r="S117" s="778"/>
      <c r="T117" s="767"/>
      <c r="U117" s="778"/>
      <c r="V117" s="751"/>
      <c r="W117" s="556"/>
      <c r="X117" s="785"/>
      <c r="Y117" s="542"/>
      <c r="Z117" s="500"/>
      <c r="AA117" s="500"/>
      <c r="AB117" s="500"/>
      <c r="AC117" s="500"/>
      <c r="AD117" s="529"/>
      <c r="AE117" s="527">
        <f t="shared" si="39"/>
        <v>0</v>
      </c>
      <c r="AF117" s="527">
        <f t="shared" si="61"/>
        <v>0</v>
      </c>
      <c r="AG117" s="527">
        <f t="shared" si="41"/>
        <v>0</v>
      </c>
      <c r="AH117" s="527">
        <f t="shared" si="42"/>
        <v>0</v>
      </c>
      <c r="AI117" s="527">
        <f t="shared" si="43"/>
        <v>0</v>
      </c>
      <c r="AJ117" s="527">
        <f t="shared" si="44"/>
        <v>999999999</v>
      </c>
      <c r="AK117" s="530"/>
      <c r="AL117" s="776"/>
      <c r="AM117" s="777"/>
      <c r="AN117" s="500"/>
      <c r="AO117" s="778"/>
      <c r="AP117" s="778"/>
      <c r="AQ117" s="500"/>
      <c r="AR117" s="531"/>
      <c r="AS117" s="403"/>
      <c r="AT117" s="524" t="str">
        <f t="shared" si="45"/>
        <v/>
      </c>
      <c r="AU117" s="311">
        <f t="shared" si="46"/>
        <v>0</v>
      </c>
      <c r="AV117" s="288">
        <f t="shared" si="62"/>
        <v>0</v>
      </c>
      <c r="AW117" s="290">
        <f>IF(ISERROR($AU117*'Utility Admin'!$E$4+$AV117*'Utility Admin'!$F$4),0,$AU117*'Utility Admin'!$E$4+$AV117*'Utility Admin'!$F$4)</f>
        <v>0</v>
      </c>
      <c r="AX117" s="323" t="str">
        <f t="shared" si="47"/>
        <v/>
      </c>
      <c r="AY117" s="322" t="str">
        <f t="shared" si="23"/>
        <v/>
      </c>
      <c r="AZ117" s="319">
        <f>Baselines!$CJ361</f>
        <v>0</v>
      </c>
      <c r="BA117" s="735">
        <f>Baselines!$CK361</f>
        <v>0</v>
      </c>
      <c r="BB117" s="839">
        <f>Baselines!$CM361</f>
        <v>0</v>
      </c>
      <c r="BC117" s="466">
        <f t="shared" si="48"/>
        <v>0</v>
      </c>
      <c r="BD117" s="464">
        <f t="shared" si="63"/>
        <v>0</v>
      </c>
      <c r="BE117" s="755">
        <f t="shared" si="49"/>
        <v>0</v>
      </c>
      <c r="BF117" s="755">
        <f t="shared" si="64"/>
        <v>0</v>
      </c>
      <c r="BG117" s="466">
        <f t="shared" si="50"/>
        <v>0</v>
      </c>
      <c r="BH117" s="464">
        <f t="shared" si="51"/>
        <v>0</v>
      </c>
      <c r="BI117" s="755">
        <f t="shared" si="52"/>
        <v>0</v>
      </c>
      <c r="BJ117" s="755">
        <f t="shared" si="65"/>
        <v>0</v>
      </c>
      <c r="BK117" s="333">
        <f>IF(OR($C117&lt;&gt;"Early Retirement",$H117=""),0,IF(AND($G117&lt;&gt;"Air Cooled Chiller",$G117&lt;&gt;"Water Cooled Chiller"),VLOOKUP($H117,'Early Retirement'!$CI$6:$CL$33,2,FALSE),IF($J117&lt;&gt;"Centrifugal",VLOOKUP($H117,'Early Retirement'!$CI$6:$CL$33,3,FALSE),IF($J117="Centrifugal",VLOOKUP($H117,'Early Retirement'!$CI$6:$CL$33,4,FALSE),""))))</f>
        <v>0</v>
      </c>
      <c r="BL117" s="450">
        <f t="shared" si="53"/>
        <v>0</v>
      </c>
      <c r="BM117" s="553">
        <f>IFERROR('Utility Admin'!$I$4*((1+'Utility Admin'!$G$4)/('Utility Admin'!$H$4-'Utility Admin'!$G$4))*(1-((1+'Utility Admin'!$G$4)/(1+'Utility Admin'!$H$4))^$BK117)*$BG117,0)</f>
        <v>0</v>
      </c>
      <c r="BN117" s="553">
        <f>IFERROR('Utility Admin'!$I$4*((1+'Utility Admin'!$G$4)/('Utility Admin'!$H$4-'Utility Admin'!$G$4))*(1-((1+'Utility Admin'!$G$4)/(1+'Utility Admin'!$H$4))^$BL117)*((1+'Utility Admin'!$G$4)^$BK117/(1+'Utility Admin'!$H$4)^$BK117)*$BC117,0)</f>
        <v>0</v>
      </c>
      <c r="BO117" s="553">
        <f t="shared" si="27"/>
        <v>0</v>
      </c>
      <c r="BP117" s="553">
        <f>IFERROR('Utility Admin'!$J$4*((1+'Utility Admin'!$G$4)/('Utility Admin'!$H$4-'Utility Admin'!$G$4))*(1-((1+'Utility Admin'!$G$4)/(1+'Utility Admin'!$H$4))^$BK117)*$BJ117,0)</f>
        <v>0</v>
      </c>
      <c r="BQ117" s="553">
        <f>IFERROR('Utility Admin'!$J$4*((1+'Utility Admin'!$G$4)/('Utility Admin'!$H$4-'Utility Admin'!$G$4))*(1-((1+'Utility Admin'!$G$4)/(1+'Utility Admin'!$H$4))^$BL117)*((1+'Utility Admin'!$G$4)^$BK117/(1+'Utility Admin'!$H$4)^$BK117)*$BF117,0)</f>
        <v>0</v>
      </c>
      <c r="BR117" s="553">
        <f t="shared" si="28"/>
        <v>0</v>
      </c>
      <c r="BS117" s="553">
        <f>IFERROR('Utility Admin'!$I$4*((1+'Utility Admin'!$G$4)/('Utility Admin'!$H$4-'Utility Admin'!$G$4))*(1-((1+'Utility Admin'!$G$4)/(1+'Utility Admin'!$H$4))^$AT117),0)</f>
        <v>0</v>
      </c>
      <c r="BT117" s="553">
        <f>IFERROR('Utility Admin'!$J$4*((1+'Utility Admin'!$G$4)/('Utility Admin'!$H$4-'Utility Admin'!$G$4))*(1-((1+'Utility Admin'!$G$4)/(1+'Utility Admin'!$H$4))^$AT117),0)</f>
        <v>0</v>
      </c>
      <c r="BU117" s="459">
        <f t="shared" si="66"/>
        <v>0</v>
      </c>
      <c r="BV117" s="462">
        <f t="shared" si="67"/>
        <v>0</v>
      </c>
      <c r="BW117" s="219" t="str">
        <f t="shared" si="54"/>
        <v/>
      </c>
      <c r="BX117" s="250" t="str">
        <f t="shared" si="68"/>
        <v/>
      </c>
      <c r="BY117" s="250" t="str">
        <f t="shared" si="55"/>
        <v/>
      </c>
      <c r="BZ117" s="184">
        <f t="shared" si="69"/>
        <v>0</v>
      </c>
      <c r="CA117" s="693">
        <f t="shared" si="70"/>
        <v>0</v>
      </c>
      <c r="CB117" s="836">
        <f t="shared" si="71"/>
        <v>0</v>
      </c>
      <c r="CC117" s="693">
        <f>IF(AND($C117="Early Retirement",$H117&lt;&gt;"",$R117&lt;&gt;"",$T117&lt;&gt;""),$BZ117,Baselines!$CJ110)</f>
        <v>0</v>
      </c>
      <c r="CD117" s="693">
        <f>IF(AND($C117="Early Retirement",$H117&lt;&gt;"",$R117&lt;&gt;"",$T117&lt;&gt;""),$CA117,Baselines!$CK110)</f>
        <v>0</v>
      </c>
      <c r="CE117" s="182" t="str">
        <f>Baselines!$CL110</f>
        <v>kW/ton</v>
      </c>
      <c r="CF117" s="850" t="str">
        <f t="shared" si="56"/>
        <v/>
      </c>
      <c r="CG117" s="833">
        <f>IF(AND($C117="Early Retirement",$H117&lt;&gt;"",$R117&lt;&gt;"",$T117&lt;&gt;""),$CB117,IF(AND(Baselines!$CM110=0,OR($CL117="DX HP",$CL117="PTHP")),$BB117,Baselines!$CM110))</f>
        <v>0</v>
      </c>
      <c r="CH117" s="830" t="s">
        <v>567</v>
      </c>
      <c r="CI117" s="185" t="str">
        <f>IF(OR($C117="Replace-on-Burnout",$C117="New Construction"),$CT117,IF($BW117="","",VLOOKUP($D117,'Factor Tables'!$B$165:$H$192,MATCH($BW117,'Factor Tables'!$B$164:$H$164,0),FALSE)))</f>
        <v/>
      </c>
      <c r="CJ117" s="842" t="str">
        <f>IF(OR($C117="Replace-on-Burnout",$C117="New Construction"),$CU117,IF($BW117="","",IF($BW117="DX HP",VLOOKUP($D117,'Factor Tables'!$I$165:$Q$192,MATCH("DX HP Clg",'Factor Tables'!$I$164:$Q$164,0),FALSE),IF($BW117="PTHP",VLOOKUP($D117,'Factor Tables'!$I$165:$Q$192,MATCH("PTHP Clg",'Factor Tables'!$I$164:$Q$164,0),FALSE),IF(AND($BW117&lt;&gt;"DX HP",$BW117&lt;&gt;"PTHP"),VLOOKUP($D117,'Factor Tables'!$I$165:$Q$192,MATCH($BW117,'Factor Tables'!$I$164:$Q$164,0),FALSE),"")))))</f>
        <v/>
      </c>
      <c r="CK117" s="186" t="str">
        <f>IF(OR($C117="Replace-on-Burnout",$C117="New Construction",$CL117="DX HP",$CL117="PTHP"),$CV117,IF($BW117="","",IF($BW117="DX HP",VLOOKUP($D117,'Factor Tables'!$I$165:$Q$192,MATCH("DX HP Htg",'Factor Tables'!$I$164:$Q$164,0),FALSE),IF($BW117="PTHP",VLOOKUP($D117,'Factor Tables'!$I$165:$Q$192,MATCH("PTHP Htg",'Factor Tables'!$I$164:$Q$164,0),FALSE),0))))</f>
        <v/>
      </c>
      <c r="CL117" s="187" t="str">
        <f t="shared" si="57"/>
        <v/>
      </c>
      <c r="CM117" s="251" t="str">
        <f t="shared" si="58"/>
        <v/>
      </c>
      <c r="CN117" s="184">
        <f t="shared" si="72"/>
        <v>0</v>
      </c>
      <c r="CO117" s="693">
        <f t="shared" si="73"/>
        <v>0</v>
      </c>
      <c r="CP117" s="182" t="s">
        <v>46</v>
      </c>
      <c r="CQ117" s="852" t="str">
        <f t="shared" si="74"/>
        <v/>
      </c>
      <c r="CR117" s="833">
        <f t="shared" si="75"/>
        <v>0</v>
      </c>
      <c r="CS117" s="830" t="s">
        <v>567</v>
      </c>
      <c r="CT117" s="185" t="str">
        <f>IF($CL117="","",VLOOKUP($D117,'Factor Tables'!$B$165:$H$192,MATCH($CL117,'Factor Tables'!$B$164:$H$164,0),FALSE))</f>
        <v/>
      </c>
      <c r="CU117" s="842" t="str">
        <f>IF($CL117="","",IF(AND($CL117&lt;&gt;"DX HP",$CL117&lt;&gt;"PTHP"),VLOOKUP($D117,'Factor Tables'!$I$165:$Q$192,MATCH($CL117,'Factor Tables'!$I$164:$Q$164,0),FALSE),IF($CL117="DX HP",VLOOKUP($D117,'Factor Tables'!$I$165:$Q$192,MATCH("DX HP Clg",'Factor Tables'!$I$164:$Q$164,0),FALSE),IF($CL117="PTHP",VLOOKUP($D117,'Factor Tables'!$I$165:$Q$192,MATCH("PTHP Clg",'Factor Tables'!$I$164:$Q$164,0),FALSE),""))))</f>
        <v/>
      </c>
      <c r="CV117" s="186" t="str">
        <f>IF($CL117="","",IF(AND($CL117&lt;&gt;"DX HP",$CL117&lt;&gt;"PTHP"),0,IF($CL117="DX HP",VLOOKUP($D117,'Factor Tables'!$I$165:$Q$192,MATCH("DX HP Htg",'Factor Tables'!$I$164:$Q$164,0),FALSE),IF($CL117="PTHP",VLOOKUP($D117,'Factor Tables'!$I$165:$Q$192,MATCH("PTHP Htg",'Factor Tables'!$I$164:$Q$164,0),FALSE),""))))</f>
        <v/>
      </c>
      <c r="DD117" s="194" t="s">
        <v>53</v>
      </c>
      <c r="DE117" s="426"/>
      <c r="DI117" s="425"/>
      <c r="DJ117" s="425"/>
      <c r="DK117" s="425"/>
      <c r="DL117" s="425"/>
      <c r="DM117" s="493" t="s">
        <v>478</v>
      </c>
    </row>
    <row r="118" spans="2:117" s="427" customFormat="1" ht="21.95" customHeight="1" x14ac:dyDescent="0.25">
      <c r="B118" s="431">
        <v>109</v>
      </c>
      <c r="C118" s="501" t="str">
        <f t="shared" si="59"/>
        <v/>
      </c>
      <c r="D118" s="502" t="str">
        <f t="shared" si="60"/>
        <v/>
      </c>
      <c r="E118" s="546"/>
      <c r="F118" s="547"/>
      <c r="G118" s="729"/>
      <c r="H118" s="729"/>
      <c r="I118" s="729"/>
      <c r="J118" s="729"/>
      <c r="K118" s="729"/>
      <c r="L118" s="729"/>
      <c r="M118" s="765"/>
      <c r="N118" s="758"/>
      <c r="O118" s="765"/>
      <c r="P118" s="758"/>
      <c r="Q118" s="1143"/>
      <c r="R118" s="1134"/>
      <c r="S118" s="775"/>
      <c r="T118" s="729"/>
      <c r="U118" s="775"/>
      <c r="V118" s="779"/>
      <c r="W118" s="557"/>
      <c r="X118" s="788"/>
      <c r="Y118" s="543"/>
      <c r="Z118" s="281"/>
      <c r="AA118" s="281"/>
      <c r="AB118" s="281"/>
      <c r="AC118" s="281"/>
      <c r="AD118" s="492"/>
      <c r="AE118" s="527">
        <f t="shared" si="39"/>
        <v>0</v>
      </c>
      <c r="AF118" s="527">
        <f t="shared" si="61"/>
        <v>0</v>
      </c>
      <c r="AG118" s="527">
        <f t="shared" si="41"/>
        <v>0</v>
      </c>
      <c r="AH118" s="527">
        <f t="shared" si="42"/>
        <v>0</v>
      </c>
      <c r="AI118" s="527">
        <f t="shared" si="43"/>
        <v>0</v>
      </c>
      <c r="AJ118" s="527">
        <f t="shared" si="44"/>
        <v>999999999</v>
      </c>
      <c r="AK118" s="471"/>
      <c r="AL118" s="765"/>
      <c r="AM118" s="758"/>
      <c r="AN118" s="281"/>
      <c r="AO118" s="775"/>
      <c r="AP118" s="775"/>
      <c r="AQ118" s="281"/>
      <c r="AR118" s="528"/>
      <c r="AS118" s="532"/>
      <c r="AT118" s="524" t="str">
        <f t="shared" si="45"/>
        <v/>
      </c>
      <c r="AU118" s="311">
        <f t="shared" si="46"/>
        <v>0</v>
      </c>
      <c r="AV118" s="288">
        <f t="shared" si="62"/>
        <v>0</v>
      </c>
      <c r="AW118" s="290">
        <f>IF(ISERROR($AU118*'Utility Admin'!$E$4+$AV118*'Utility Admin'!$F$4),0,$AU118*'Utility Admin'!$E$4+$AV118*'Utility Admin'!$F$4)</f>
        <v>0</v>
      </c>
      <c r="AX118" s="323" t="str">
        <f t="shared" si="47"/>
        <v/>
      </c>
      <c r="AY118" s="322" t="str">
        <f t="shared" si="23"/>
        <v/>
      </c>
      <c r="AZ118" s="319">
        <f>Baselines!$CJ362</f>
        <v>0</v>
      </c>
      <c r="BA118" s="735">
        <f>Baselines!$CK362</f>
        <v>0</v>
      </c>
      <c r="BB118" s="839">
        <f>Baselines!$CM362</f>
        <v>0</v>
      </c>
      <c r="BC118" s="466">
        <f t="shared" si="48"/>
        <v>0</v>
      </c>
      <c r="BD118" s="464">
        <f t="shared" si="63"/>
        <v>0</v>
      </c>
      <c r="BE118" s="755">
        <f t="shared" si="49"/>
        <v>0</v>
      </c>
      <c r="BF118" s="755">
        <f t="shared" si="64"/>
        <v>0</v>
      </c>
      <c r="BG118" s="466">
        <f t="shared" si="50"/>
        <v>0</v>
      </c>
      <c r="BH118" s="464">
        <f t="shared" si="51"/>
        <v>0</v>
      </c>
      <c r="BI118" s="755">
        <f t="shared" si="52"/>
        <v>0</v>
      </c>
      <c r="BJ118" s="755">
        <f t="shared" si="65"/>
        <v>0</v>
      </c>
      <c r="BK118" s="333">
        <f>IF(OR($C118&lt;&gt;"Early Retirement",$H118=""),0,IF(AND($G118&lt;&gt;"Air Cooled Chiller",$G118&lt;&gt;"Water Cooled Chiller"),VLOOKUP($H118,'Early Retirement'!$CI$6:$CL$33,2,FALSE),IF($J118&lt;&gt;"Centrifugal",VLOOKUP($H118,'Early Retirement'!$CI$6:$CL$33,3,FALSE),IF($J118="Centrifugal",VLOOKUP($H118,'Early Retirement'!$CI$6:$CL$33,4,FALSE),""))))</f>
        <v>0</v>
      </c>
      <c r="BL118" s="450">
        <f t="shared" si="53"/>
        <v>0</v>
      </c>
      <c r="BM118" s="553">
        <f>IFERROR('Utility Admin'!$I$4*((1+'Utility Admin'!$G$4)/('Utility Admin'!$H$4-'Utility Admin'!$G$4))*(1-((1+'Utility Admin'!$G$4)/(1+'Utility Admin'!$H$4))^$BK118)*$BG118,0)</f>
        <v>0</v>
      </c>
      <c r="BN118" s="553">
        <f>IFERROR('Utility Admin'!$I$4*((1+'Utility Admin'!$G$4)/('Utility Admin'!$H$4-'Utility Admin'!$G$4))*(1-((1+'Utility Admin'!$G$4)/(1+'Utility Admin'!$H$4))^$BL118)*((1+'Utility Admin'!$G$4)^$BK118/(1+'Utility Admin'!$H$4)^$BK118)*$BC118,0)</f>
        <v>0</v>
      </c>
      <c r="BO118" s="553">
        <f t="shared" si="27"/>
        <v>0</v>
      </c>
      <c r="BP118" s="553">
        <f>IFERROR('Utility Admin'!$J$4*((1+'Utility Admin'!$G$4)/('Utility Admin'!$H$4-'Utility Admin'!$G$4))*(1-((1+'Utility Admin'!$G$4)/(1+'Utility Admin'!$H$4))^$BK118)*$BJ118,0)</f>
        <v>0</v>
      </c>
      <c r="BQ118" s="553">
        <f>IFERROR('Utility Admin'!$J$4*((1+'Utility Admin'!$G$4)/('Utility Admin'!$H$4-'Utility Admin'!$G$4))*(1-((1+'Utility Admin'!$G$4)/(1+'Utility Admin'!$H$4))^$BL118)*((1+'Utility Admin'!$G$4)^$BK118/(1+'Utility Admin'!$H$4)^$BK118)*$BF118,0)</f>
        <v>0</v>
      </c>
      <c r="BR118" s="553">
        <f t="shared" si="28"/>
        <v>0</v>
      </c>
      <c r="BS118" s="553">
        <f>IFERROR('Utility Admin'!$I$4*((1+'Utility Admin'!$G$4)/('Utility Admin'!$H$4-'Utility Admin'!$G$4))*(1-((1+'Utility Admin'!$G$4)/(1+'Utility Admin'!$H$4))^$AT118),0)</f>
        <v>0</v>
      </c>
      <c r="BT118" s="553">
        <f>IFERROR('Utility Admin'!$J$4*((1+'Utility Admin'!$G$4)/('Utility Admin'!$H$4-'Utility Admin'!$G$4))*(1-((1+'Utility Admin'!$G$4)/(1+'Utility Admin'!$H$4))^$AT118),0)</f>
        <v>0</v>
      </c>
      <c r="BU118" s="459">
        <f t="shared" si="66"/>
        <v>0</v>
      </c>
      <c r="BV118" s="462">
        <f t="shared" si="67"/>
        <v>0</v>
      </c>
      <c r="BW118" s="219" t="str">
        <f t="shared" si="54"/>
        <v/>
      </c>
      <c r="BX118" s="250" t="str">
        <f t="shared" si="68"/>
        <v/>
      </c>
      <c r="BY118" s="250" t="str">
        <f t="shared" si="55"/>
        <v/>
      </c>
      <c r="BZ118" s="184">
        <f t="shared" si="69"/>
        <v>0</v>
      </c>
      <c r="CA118" s="693">
        <f t="shared" si="70"/>
        <v>0</v>
      </c>
      <c r="CB118" s="836">
        <f t="shared" si="71"/>
        <v>0</v>
      </c>
      <c r="CC118" s="693">
        <f>IF(AND($C118="Early Retirement",$H118&lt;&gt;"",$R118&lt;&gt;"",$T118&lt;&gt;""),$BZ118,Baselines!$CJ111)</f>
        <v>0</v>
      </c>
      <c r="CD118" s="693">
        <f>IF(AND($C118="Early Retirement",$H118&lt;&gt;"",$R118&lt;&gt;"",$T118&lt;&gt;""),$CA118,Baselines!$CK111)</f>
        <v>0</v>
      </c>
      <c r="CE118" s="182" t="str">
        <f>Baselines!$CL111</f>
        <v>kW/ton</v>
      </c>
      <c r="CF118" s="850" t="str">
        <f t="shared" si="56"/>
        <v/>
      </c>
      <c r="CG118" s="833">
        <f>IF(AND($C118="Early Retirement",$H118&lt;&gt;"",$R118&lt;&gt;"",$T118&lt;&gt;""),$CB118,IF(AND(Baselines!$CM111=0,OR($CL118="DX HP",$CL118="PTHP")),$BB118,Baselines!$CM111))</f>
        <v>0</v>
      </c>
      <c r="CH118" s="830" t="s">
        <v>567</v>
      </c>
      <c r="CI118" s="185" t="str">
        <f>IF(OR($C118="Replace-on-Burnout",$C118="New Construction"),$CT118,IF($BW118="","",VLOOKUP($D118,'Factor Tables'!$B$165:$H$192,MATCH($BW118,'Factor Tables'!$B$164:$H$164,0),FALSE)))</f>
        <v/>
      </c>
      <c r="CJ118" s="842" t="str">
        <f>IF(OR($C118="Replace-on-Burnout",$C118="New Construction"),$CU118,IF($BW118="","",IF($BW118="DX HP",VLOOKUP($D118,'Factor Tables'!$I$165:$Q$192,MATCH("DX HP Clg",'Factor Tables'!$I$164:$Q$164,0),FALSE),IF($BW118="PTHP",VLOOKUP($D118,'Factor Tables'!$I$165:$Q$192,MATCH("PTHP Clg",'Factor Tables'!$I$164:$Q$164,0),FALSE),IF(AND($BW118&lt;&gt;"DX HP",$BW118&lt;&gt;"PTHP"),VLOOKUP($D118,'Factor Tables'!$I$165:$Q$192,MATCH($BW118,'Factor Tables'!$I$164:$Q$164,0),FALSE),"")))))</f>
        <v/>
      </c>
      <c r="CK118" s="186" t="str">
        <f>IF(OR($C118="Replace-on-Burnout",$C118="New Construction",$CL118="DX HP",$CL118="PTHP"),$CV118,IF($BW118="","",IF($BW118="DX HP",VLOOKUP($D118,'Factor Tables'!$I$165:$Q$192,MATCH("DX HP Htg",'Factor Tables'!$I$164:$Q$164,0),FALSE),IF($BW118="PTHP",VLOOKUP($D118,'Factor Tables'!$I$165:$Q$192,MATCH("PTHP Htg",'Factor Tables'!$I$164:$Q$164,0),FALSE),0))))</f>
        <v/>
      </c>
      <c r="CL118" s="187" t="str">
        <f t="shared" si="57"/>
        <v/>
      </c>
      <c r="CM118" s="251" t="str">
        <f t="shared" si="58"/>
        <v/>
      </c>
      <c r="CN118" s="184">
        <f t="shared" si="72"/>
        <v>0</v>
      </c>
      <c r="CO118" s="693">
        <f t="shared" si="73"/>
        <v>0</v>
      </c>
      <c r="CP118" s="182" t="s">
        <v>46</v>
      </c>
      <c r="CQ118" s="852" t="str">
        <f t="shared" si="74"/>
        <v/>
      </c>
      <c r="CR118" s="833">
        <f t="shared" si="75"/>
        <v>0</v>
      </c>
      <c r="CS118" s="830" t="s">
        <v>567</v>
      </c>
      <c r="CT118" s="185" t="str">
        <f>IF($CL118="","",VLOOKUP($D118,'Factor Tables'!$B$165:$H$192,MATCH($CL118,'Factor Tables'!$B$164:$H$164,0),FALSE))</f>
        <v/>
      </c>
      <c r="CU118" s="842" t="str">
        <f>IF($CL118="","",IF(AND($CL118&lt;&gt;"DX HP",$CL118&lt;&gt;"PTHP"),VLOOKUP($D118,'Factor Tables'!$I$165:$Q$192,MATCH($CL118,'Factor Tables'!$I$164:$Q$164,0),FALSE),IF($CL118="DX HP",VLOOKUP($D118,'Factor Tables'!$I$165:$Q$192,MATCH("DX HP Clg",'Factor Tables'!$I$164:$Q$164,0),FALSE),IF($CL118="PTHP",VLOOKUP($D118,'Factor Tables'!$I$165:$Q$192,MATCH("PTHP Clg",'Factor Tables'!$I$164:$Q$164,0),FALSE),""))))</f>
        <v/>
      </c>
      <c r="CV118" s="186" t="str">
        <f>IF($CL118="","",IF(AND($CL118&lt;&gt;"DX HP",$CL118&lt;&gt;"PTHP"),0,IF($CL118="DX HP",VLOOKUP($D118,'Factor Tables'!$I$165:$Q$192,MATCH("DX HP Htg",'Factor Tables'!$I$164:$Q$164,0),FALSE),IF($CL118="PTHP",VLOOKUP($D118,'Factor Tables'!$I$165:$Q$192,MATCH("PTHP Htg",'Factor Tables'!$I$164:$Q$164,0),FALSE),""))))</f>
        <v/>
      </c>
      <c r="DD118" s="77" t="s">
        <v>54</v>
      </c>
      <c r="DE118" s="426"/>
      <c r="DI118" s="425"/>
      <c r="DJ118" s="425"/>
      <c r="DK118" s="425"/>
      <c r="DL118" s="425"/>
      <c r="DM118" s="493" t="s">
        <v>478</v>
      </c>
    </row>
    <row r="119" spans="2:117" s="427" customFormat="1" ht="21.95" customHeight="1" x14ac:dyDescent="0.25">
      <c r="B119" s="432">
        <v>110</v>
      </c>
      <c r="C119" s="499" t="str">
        <f t="shared" si="59"/>
        <v/>
      </c>
      <c r="D119" s="403" t="str">
        <f t="shared" si="60"/>
        <v/>
      </c>
      <c r="E119" s="541"/>
      <c r="F119" s="785"/>
      <c r="G119" s="728"/>
      <c r="H119" s="728"/>
      <c r="I119" s="728"/>
      <c r="J119" s="728"/>
      <c r="K119" s="728"/>
      <c r="L119" s="728"/>
      <c r="M119" s="764"/>
      <c r="N119" s="728"/>
      <c r="O119" s="764"/>
      <c r="P119" s="728"/>
      <c r="Q119" s="1142"/>
      <c r="R119" s="1133"/>
      <c r="S119" s="778"/>
      <c r="T119" s="767"/>
      <c r="U119" s="778"/>
      <c r="V119" s="751"/>
      <c r="W119" s="556"/>
      <c r="X119" s="785"/>
      <c r="Y119" s="542"/>
      <c r="Z119" s="500"/>
      <c r="AA119" s="500"/>
      <c r="AB119" s="500"/>
      <c r="AC119" s="500"/>
      <c r="AD119" s="529"/>
      <c r="AE119" s="527">
        <f t="shared" si="39"/>
        <v>0</v>
      </c>
      <c r="AF119" s="527">
        <f t="shared" si="61"/>
        <v>0</v>
      </c>
      <c r="AG119" s="527">
        <f t="shared" si="41"/>
        <v>0</v>
      </c>
      <c r="AH119" s="527">
        <f t="shared" si="42"/>
        <v>0</v>
      </c>
      <c r="AI119" s="527">
        <f t="shared" si="43"/>
        <v>0</v>
      </c>
      <c r="AJ119" s="527">
        <f t="shared" si="44"/>
        <v>999999999</v>
      </c>
      <c r="AK119" s="530"/>
      <c r="AL119" s="776"/>
      <c r="AM119" s="777"/>
      <c r="AN119" s="500"/>
      <c r="AO119" s="778"/>
      <c r="AP119" s="778"/>
      <c r="AQ119" s="500"/>
      <c r="AR119" s="531"/>
      <c r="AS119" s="403"/>
      <c r="AT119" s="524" t="str">
        <f t="shared" si="45"/>
        <v/>
      </c>
      <c r="AU119" s="311">
        <f t="shared" si="46"/>
        <v>0</v>
      </c>
      <c r="AV119" s="288">
        <f t="shared" si="62"/>
        <v>0</v>
      </c>
      <c r="AW119" s="290">
        <f>IF(ISERROR($AU119*'Utility Admin'!$E$4+$AV119*'Utility Admin'!$F$4),0,$AU119*'Utility Admin'!$E$4+$AV119*'Utility Admin'!$F$4)</f>
        <v>0</v>
      </c>
      <c r="AX119" s="323" t="str">
        <f t="shared" si="47"/>
        <v/>
      </c>
      <c r="AY119" s="322" t="str">
        <f t="shared" si="23"/>
        <v/>
      </c>
      <c r="AZ119" s="319">
        <f>Baselines!$CJ363</f>
        <v>0</v>
      </c>
      <c r="BA119" s="735">
        <f>Baselines!$CK363</f>
        <v>0</v>
      </c>
      <c r="BB119" s="839">
        <f>Baselines!$CM363</f>
        <v>0</v>
      </c>
      <c r="BC119" s="466">
        <f t="shared" si="48"/>
        <v>0</v>
      </c>
      <c r="BD119" s="464">
        <f t="shared" si="63"/>
        <v>0</v>
      </c>
      <c r="BE119" s="755">
        <f t="shared" si="49"/>
        <v>0</v>
      </c>
      <c r="BF119" s="755">
        <f t="shared" si="64"/>
        <v>0</v>
      </c>
      <c r="BG119" s="466">
        <f t="shared" si="50"/>
        <v>0</v>
      </c>
      <c r="BH119" s="464">
        <f t="shared" si="51"/>
        <v>0</v>
      </c>
      <c r="BI119" s="755">
        <f t="shared" si="52"/>
        <v>0</v>
      </c>
      <c r="BJ119" s="755">
        <f t="shared" si="65"/>
        <v>0</v>
      </c>
      <c r="BK119" s="333">
        <f>IF(OR($C119&lt;&gt;"Early Retirement",$H119=""),0,IF(AND($G119&lt;&gt;"Air Cooled Chiller",$G119&lt;&gt;"Water Cooled Chiller"),VLOOKUP($H119,'Early Retirement'!$CI$6:$CL$33,2,FALSE),IF($J119&lt;&gt;"Centrifugal",VLOOKUP($H119,'Early Retirement'!$CI$6:$CL$33,3,FALSE),IF($J119="Centrifugal",VLOOKUP($H119,'Early Retirement'!$CI$6:$CL$33,4,FALSE),""))))</f>
        <v>0</v>
      </c>
      <c r="BL119" s="450">
        <f t="shared" si="53"/>
        <v>0</v>
      </c>
      <c r="BM119" s="553">
        <f>IFERROR('Utility Admin'!$I$4*((1+'Utility Admin'!$G$4)/('Utility Admin'!$H$4-'Utility Admin'!$G$4))*(1-((1+'Utility Admin'!$G$4)/(1+'Utility Admin'!$H$4))^$BK119)*$BG119,0)</f>
        <v>0</v>
      </c>
      <c r="BN119" s="553">
        <f>IFERROR('Utility Admin'!$I$4*((1+'Utility Admin'!$G$4)/('Utility Admin'!$H$4-'Utility Admin'!$G$4))*(1-((1+'Utility Admin'!$G$4)/(1+'Utility Admin'!$H$4))^$BL119)*((1+'Utility Admin'!$G$4)^$BK119/(1+'Utility Admin'!$H$4)^$BK119)*$BC119,0)</f>
        <v>0</v>
      </c>
      <c r="BO119" s="553">
        <f t="shared" si="27"/>
        <v>0</v>
      </c>
      <c r="BP119" s="553">
        <f>IFERROR('Utility Admin'!$J$4*((1+'Utility Admin'!$G$4)/('Utility Admin'!$H$4-'Utility Admin'!$G$4))*(1-((1+'Utility Admin'!$G$4)/(1+'Utility Admin'!$H$4))^$BK119)*$BJ119,0)</f>
        <v>0</v>
      </c>
      <c r="BQ119" s="553">
        <f>IFERROR('Utility Admin'!$J$4*((1+'Utility Admin'!$G$4)/('Utility Admin'!$H$4-'Utility Admin'!$G$4))*(1-((1+'Utility Admin'!$G$4)/(1+'Utility Admin'!$H$4))^$BL119)*((1+'Utility Admin'!$G$4)^$BK119/(1+'Utility Admin'!$H$4)^$BK119)*$BF119,0)</f>
        <v>0</v>
      </c>
      <c r="BR119" s="553">
        <f t="shared" si="28"/>
        <v>0</v>
      </c>
      <c r="BS119" s="553">
        <f>IFERROR('Utility Admin'!$I$4*((1+'Utility Admin'!$G$4)/('Utility Admin'!$H$4-'Utility Admin'!$G$4))*(1-((1+'Utility Admin'!$G$4)/(1+'Utility Admin'!$H$4))^$AT119),0)</f>
        <v>0</v>
      </c>
      <c r="BT119" s="553">
        <f>IFERROR('Utility Admin'!$J$4*((1+'Utility Admin'!$G$4)/('Utility Admin'!$H$4-'Utility Admin'!$G$4))*(1-((1+'Utility Admin'!$G$4)/(1+'Utility Admin'!$H$4))^$AT119),0)</f>
        <v>0</v>
      </c>
      <c r="BU119" s="459">
        <f t="shared" si="66"/>
        <v>0</v>
      </c>
      <c r="BV119" s="462">
        <f t="shared" si="67"/>
        <v>0</v>
      </c>
      <c r="BW119" s="219" t="str">
        <f t="shared" si="54"/>
        <v/>
      </c>
      <c r="BX119" s="250" t="str">
        <f t="shared" si="68"/>
        <v/>
      </c>
      <c r="BY119" s="250" t="str">
        <f t="shared" si="55"/>
        <v/>
      </c>
      <c r="BZ119" s="184">
        <f t="shared" si="69"/>
        <v>0</v>
      </c>
      <c r="CA119" s="693">
        <f t="shared" si="70"/>
        <v>0</v>
      </c>
      <c r="CB119" s="836">
        <f t="shared" si="71"/>
        <v>0</v>
      </c>
      <c r="CC119" s="693">
        <f>IF(AND($C119="Early Retirement",$H119&lt;&gt;"",$R119&lt;&gt;"",$T119&lt;&gt;""),$BZ119,Baselines!$CJ112)</f>
        <v>0</v>
      </c>
      <c r="CD119" s="693">
        <f>IF(AND($C119="Early Retirement",$H119&lt;&gt;"",$R119&lt;&gt;"",$T119&lt;&gt;""),$CA119,Baselines!$CK112)</f>
        <v>0</v>
      </c>
      <c r="CE119" s="182" t="str">
        <f>Baselines!$CL112</f>
        <v>kW/ton</v>
      </c>
      <c r="CF119" s="850" t="str">
        <f t="shared" si="56"/>
        <v/>
      </c>
      <c r="CG119" s="833">
        <f>IF(AND($C119="Early Retirement",$H119&lt;&gt;"",$R119&lt;&gt;"",$T119&lt;&gt;""),$CB119,IF(AND(Baselines!$CM112=0,OR($CL119="DX HP",$CL119="PTHP")),$BB119,Baselines!$CM112))</f>
        <v>0</v>
      </c>
      <c r="CH119" s="830" t="s">
        <v>567</v>
      </c>
      <c r="CI119" s="185" t="str">
        <f>IF(OR($C119="Replace-on-Burnout",$C119="New Construction"),$CT119,IF($BW119="","",VLOOKUP($D119,'Factor Tables'!$B$165:$H$192,MATCH($BW119,'Factor Tables'!$B$164:$H$164,0),FALSE)))</f>
        <v/>
      </c>
      <c r="CJ119" s="842" t="str">
        <f>IF(OR($C119="Replace-on-Burnout",$C119="New Construction"),$CU119,IF($BW119="","",IF($BW119="DX HP",VLOOKUP($D119,'Factor Tables'!$I$165:$Q$192,MATCH("DX HP Clg",'Factor Tables'!$I$164:$Q$164,0),FALSE),IF($BW119="PTHP",VLOOKUP($D119,'Factor Tables'!$I$165:$Q$192,MATCH("PTHP Clg",'Factor Tables'!$I$164:$Q$164,0),FALSE),IF(AND($BW119&lt;&gt;"DX HP",$BW119&lt;&gt;"PTHP"),VLOOKUP($D119,'Factor Tables'!$I$165:$Q$192,MATCH($BW119,'Factor Tables'!$I$164:$Q$164,0),FALSE),"")))))</f>
        <v/>
      </c>
      <c r="CK119" s="186" t="str">
        <f>IF(OR($C119="Replace-on-Burnout",$C119="New Construction",$CL119="DX HP",$CL119="PTHP"),$CV119,IF($BW119="","",IF($BW119="DX HP",VLOOKUP($D119,'Factor Tables'!$I$165:$Q$192,MATCH("DX HP Htg",'Factor Tables'!$I$164:$Q$164,0),FALSE),IF($BW119="PTHP",VLOOKUP($D119,'Factor Tables'!$I$165:$Q$192,MATCH("PTHP Htg",'Factor Tables'!$I$164:$Q$164,0),FALSE),0))))</f>
        <v/>
      </c>
      <c r="CL119" s="187" t="str">
        <f t="shared" si="57"/>
        <v/>
      </c>
      <c r="CM119" s="251" t="str">
        <f t="shared" si="58"/>
        <v/>
      </c>
      <c r="CN119" s="184">
        <f t="shared" si="72"/>
        <v>0</v>
      </c>
      <c r="CO119" s="693">
        <f t="shared" si="73"/>
        <v>0</v>
      </c>
      <c r="CP119" s="182" t="s">
        <v>46</v>
      </c>
      <c r="CQ119" s="852" t="str">
        <f t="shared" si="74"/>
        <v/>
      </c>
      <c r="CR119" s="833">
        <f t="shared" si="75"/>
        <v>0</v>
      </c>
      <c r="CS119" s="830" t="s">
        <v>567</v>
      </c>
      <c r="CT119" s="185" t="str">
        <f>IF($CL119="","",VLOOKUP($D119,'Factor Tables'!$B$165:$H$192,MATCH($CL119,'Factor Tables'!$B$164:$H$164,0),FALSE))</f>
        <v/>
      </c>
      <c r="CU119" s="842" t="str">
        <f>IF($CL119="","",IF(AND($CL119&lt;&gt;"DX HP",$CL119&lt;&gt;"PTHP"),VLOOKUP($D119,'Factor Tables'!$I$165:$Q$192,MATCH($CL119,'Factor Tables'!$I$164:$Q$164,0),FALSE),IF($CL119="DX HP",VLOOKUP($D119,'Factor Tables'!$I$165:$Q$192,MATCH("DX HP Clg",'Factor Tables'!$I$164:$Q$164,0),FALSE),IF($CL119="PTHP",VLOOKUP($D119,'Factor Tables'!$I$165:$Q$192,MATCH("PTHP Clg",'Factor Tables'!$I$164:$Q$164,0),FALSE),""))))</f>
        <v/>
      </c>
      <c r="CV119" s="186" t="str">
        <f>IF($CL119="","",IF(AND($CL119&lt;&gt;"DX HP",$CL119&lt;&gt;"PTHP"),0,IF($CL119="DX HP",VLOOKUP($D119,'Factor Tables'!$I$165:$Q$192,MATCH("DX HP Htg",'Factor Tables'!$I$164:$Q$164,0),FALSE),IF($CL119="PTHP",VLOOKUP($D119,'Factor Tables'!$I$165:$Q$192,MATCH("PTHP Htg",'Factor Tables'!$I$164:$Q$164,0),FALSE),""))))</f>
        <v/>
      </c>
      <c r="DD119" s="845"/>
      <c r="DE119" s="426"/>
      <c r="DI119" s="425"/>
      <c r="DJ119" s="425"/>
      <c r="DK119" s="425"/>
      <c r="DL119" s="425"/>
      <c r="DM119" s="493" t="s">
        <v>478</v>
      </c>
    </row>
    <row r="120" spans="2:117" s="427" customFormat="1" ht="21.95" customHeight="1" x14ac:dyDescent="0.25">
      <c r="B120" s="431">
        <v>111</v>
      </c>
      <c r="C120" s="501" t="str">
        <f t="shared" si="59"/>
        <v/>
      </c>
      <c r="D120" s="502" t="str">
        <f t="shared" si="60"/>
        <v/>
      </c>
      <c r="E120" s="546"/>
      <c r="F120" s="547"/>
      <c r="G120" s="729"/>
      <c r="H120" s="729"/>
      <c r="I120" s="729"/>
      <c r="J120" s="729"/>
      <c r="K120" s="729"/>
      <c r="L120" s="729"/>
      <c r="M120" s="765"/>
      <c r="N120" s="758"/>
      <c r="O120" s="765"/>
      <c r="P120" s="758"/>
      <c r="Q120" s="1143"/>
      <c r="R120" s="1134"/>
      <c r="S120" s="775"/>
      <c r="T120" s="729"/>
      <c r="U120" s="775"/>
      <c r="V120" s="779"/>
      <c r="W120" s="557"/>
      <c r="X120" s="788"/>
      <c r="Y120" s="543"/>
      <c r="Z120" s="281"/>
      <c r="AA120" s="281"/>
      <c r="AB120" s="281"/>
      <c r="AC120" s="281"/>
      <c r="AD120" s="492"/>
      <c r="AE120" s="527">
        <f t="shared" si="39"/>
        <v>0</v>
      </c>
      <c r="AF120" s="527">
        <f t="shared" si="61"/>
        <v>0</v>
      </c>
      <c r="AG120" s="527">
        <f t="shared" si="41"/>
        <v>0</v>
      </c>
      <c r="AH120" s="527">
        <f t="shared" si="42"/>
        <v>0</v>
      </c>
      <c r="AI120" s="527">
        <f t="shared" si="43"/>
        <v>0</v>
      </c>
      <c r="AJ120" s="527">
        <f t="shared" si="44"/>
        <v>999999999</v>
      </c>
      <c r="AK120" s="471"/>
      <c r="AL120" s="765"/>
      <c r="AM120" s="758"/>
      <c r="AN120" s="281"/>
      <c r="AO120" s="775"/>
      <c r="AP120" s="775"/>
      <c r="AQ120" s="281"/>
      <c r="AR120" s="528"/>
      <c r="AS120" s="532"/>
      <c r="AT120" s="524" t="str">
        <f t="shared" si="45"/>
        <v/>
      </c>
      <c r="AU120" s="311">
        <f t="shared" si="46"/>
        <v>0</v>
      </c>
      <c r="AV120" s="288">
        <f t="shared" si="62"/>
        <v>0</v>
      </c>
      <c r="AW120" s="290">
        <f>IF(ISERROR($AU120*'Utility Admin'!$E$4+$AV120*'Utility Admin'!$F$4),0,$AU120*'Utility Admin'!$E$4+$AV120*'Utility Admin'!$F$4)</f>
        <v>0</v>
      </c>
      <c r="AX120" s="323" t="str">
        <f t="shared" si="47"/>
        <v/>
      </c>
      <c r="AY120" s="322" t="str">
        <f t="shared" si="23"/>
        <v/>
      </c>
      <c r="AZ120" s="319">
        <f>Baselines!$CJ364</f>
        <v>0</v>
      </c>
      <c r="BA120" s="735">
        <f>Baselines!$CK364</f>
        <v>0</v>
      </c>
      <c r="BB120" s="839">
        <f>Baselines!$CM364</f>
        <v>0</v>
      </c>
      <c r="BC120" s="466">
        <f t="shared" si="48"/>
        <v>0</v>
      </c>
      <c r="BD120" s="464">
        <f t="shared" si="63"/>
        <v>0</v>
      </c>
      <c r="BE120" s="755">
        <f t="shared" si="49"/>
        <v>0</v>
      </c>
      <c r="BF120" s="755">
        <f t="shared" si="64"/>
        <v>0</v>
      </c>
      <c r="BG120" s="466">
        <f t="shared" si="50"/>
        <v>0</v>
      </c>
      <c r="BH120" s="464">
        <f t="shared" si="51"/>
        <v>0</v>
      </c>
      <c r="BI120" s="755">
        <f t="shared" si="52"/>
        <v>0</v>
      </c>
      <c r="BJ120" s="755">
        <f t="shared" si="65"/>
        <v>0</v>
      </c>
      <c r="BK120" s="333">
        <f>IF(OR($C120&lt;&gt;"Early Retirement",$H120=""),0,IF(AND($G120&lt;&gt;"Air Cooled Chiller",$G120&lt;&gt;"Water Cooled Chiller"),VLOOKUP($H120,'Early Retirement'!$CI$6:$CL$33,2,FALSE),IF($J120&lt;&gt;"Centrifugal",VLOOKUP($H120,'Early Retirement'!$CI$6:$CL$33,3,FALSE),IF($J120="Centrifugal",VLOOKUP($H120,'Early Retirement'!$CI$6:$CL$33,4,FALSE),""))))</f>
        <v>0</v>
      </c>
      <c r="BL120" s="450">
        <f t="shared" si="53"/>
        <v>0</v>
      </c>
      <c r="BM120" s="553">
        <f>IFERROR('Utility Admin'!$I$4*((1+'Utility Admin'!$G$4)/('Utility Admin'!$H$4-'Utility Admin'!$G$4))*(1-((1+'Utility Admin'!$G$4)/(1+'Utility Admin'!$H$4))^$BK120)*$BG120,0)</f>
        <v>0</v>
      </c>
      <c r="BN120" s="553">
        <f>IFERROR('Utility Admin'!$I$4*((1+'Utility Admin'!$G$4)/('Utility Admin'!$H$4-'Utility Admin'!$G$4))*(1-((1+'Utility Admin'!$G$4)/(1+'Utility Admin'!$H$4))^$BL120)*((1+'Utility Admin'!$G$4)^$BK120/(1+'Utility Admin'!$H$4)^$BK120)*$BC120,0)</f>
        <v>0</v>
      </c>
      <c r="BO120" s="553">
        <f t="shared" si="27"/>
        <v>0</v>
      </c>
      <c r="BP120" s="553">
        <f>IFERROR('Utility Admin'!$J$4*((1+'Utility Admin'!$G$4)/('Utility Admin'!$H$4-'Utility Admin'!$G$4))*(1-((1+'Utility Admin'!$G$4)/(1+'Utility Admin'!$H$4))^$BK120)*$BJ120,0)</f>
        <v>0</v>
      </c>
      <c r="BQ120" s="553">
        <f>IFERROR('Utility Admin'!$J$4*((1+'Utility Admin'!$G$4)/('Utility Admin'!$H$4-'Utility Admin'!$G$4))*(1-((1+'Utility Admin'!$G$4)/(1+'Utility Admin'!$H$4))^$BL120)*((1+'Utility Admin'!$G$4)^$BK120/(1+'Utility Admin'!$H$4)^$BK120)*$BF120,0)</f>
        <v>0</v>
      </c>
      <c r="BR120" s="553">
        <f t="shared" si="28"/>
        <v>0</v>
      </c>
      <c r="BS120" s="553">
        <f>IFERROR('Utility Admin'!$I$4*((1+'Utility Admin'!$G$4)/('Utility Admin'!$H$4-'Utility Admin'!$G$4))*(1-((1+'Utility Admin'!$G$4)/(1+'Utility Admin'!$H$4))^$AT120),0)</f>
        <v>0</v>
      </c>
      <c r="BT120" s="553">
        <f>IFERROR('Utility Admin'!$J$4*((1+'Utility Admin'!$G$4)/('Utility Admin'!$H$4-'Utility Admin'!$G$4))*(1-((1+'Utility Admin'!$G$4)/(1+'Utility Admin'!$H$4))^$AT120),0)</f>
        <v>0</v>
      </c>
      <c r="BU120" s="459">
        <f t="shared" si="66"/>
        <v>0</v>
      </c>
      <c r="BV120" s="462">
        <f t="shared" si="67"/>
        <v>0</v>
      </c>
      <c r="BW120" s="219" t="str">
        <f t="shared" si="54"/>
        <v/>
      </c>
      <c r="BX120" s="250" t="str">
        <f t="shared" si="68"/>
        <v/>
      </c>
      <c r="BY120" s="250" t="str">
        <f t="shared" si="55"/>
        <v/>
      </c>
      <c r="BZ120" s="184">
        <f t="shared" si="69"/>
        <v>0</v>
      </c>
      <c r="CA120" s="693">
        <f t="shared" si="70"/>
        <v>0</v>
      </c>
      <c r="CB120" s="836">
        <f t="shared" si="71"/>
        <v>0</v>
      </c>
      <c r="CC120" s="693">
        <f>IF(AND($C120="Early Retirement",$H120&lt;&gt;"",$R120&lt;&gt;"",$T120&lt;&gt;""),$BZ120,Baselines!$CJ113)</f>
        <v>0</v>
      </c>
      <c r="CD120" s="693">
        <f>IF(AND($C120="Early Retirement",$H120&lt;&gt;"",$R120&lt;&gt;"",$T120&lt;&gt;""),$CA120,Baselines!$CK113)</f>
        <v>0</v>
      </c>
      <c r="CE120" s="182" t="str">
        <f>Baselines!$CL113</f>
        <v>kW/ton</v>
      </c>
      <c r="CF120" s="850" t="str">
        <f t="shared" si="56"/>
        <v/>
      </c>
      <c r="CG120" s="833">
        <f>IF(AND($C120="Early Retirement",$H120&lt;&gt;"",$R120&lt;&gt;"",$T120&lt;&gt;""),$CB120,IF(AND(Baselines!$CM113=0,OR($CL120="DX HP",$CL120="PTHP")),$BB120,Baselines!$CM113))</f>
        <v>0</v>
      </c>
      <c r="CH120" s="830" t="s">
        <v>567</v>
      </c>
      <c r="CI120" s="185" t="str">
        <f>IF(OR($C120="Replace-on-Burnout",$C120="New Construction"),$CT120,IF($BW120="","",VLOOKUP($D120,'Factor Tables'!$B$165:$H$192,MATCH($BW120,'Factor Tables'!$B$164:$H$164,0),FALSE)))</f>
        <v/>
      </c>
      <c r="CJ120" s="842" t="str">
        <f>IF(OR($C120="Replace-on-Burnout",$C120="New Construction"),$CU120,IF($BW120="","",IF($BW120="DX HP",VLOOKUP($D120,'Factor Tables'!$I$165:$Q$192,MATCH("DX HP Clg",'Factor Tables'!$I$164:$Q$164,0),FALSE),IF($BW120="PTHP",VLOOKUP($D120,'Factor Tables'!$I$165:$Q$192,MATCH("PTHP Clg",'Factor Tables'!$I$164:$Q$164,0),FALSE),IF(AND($BW120&lt;&gt;"DX HP",$BW120&lt;&gt;"PTHP"),VLOOKUP($D120,'Factor Tables'!$I$165:$Q$192,MATCH($BW120,'Factor Tables'!$I$164:$Q$164,0),FALSE),"")))))</f>
        <v/>
      </c>
      <c r="CK120" s="186" t="str">
        <f>IF(OR($C120="Replace-on-Burnout",$C120="New Construction",$CL120="DX HP",$CL120="PTHP"),$CV120,IF($BW120="","",IF($BW120="DX HP",VLOOKUP($D120,'Factor Tables'!$I$165:$Q$192,MATCH("DX HP Htg",'Factor Tables'!$I$164:$Q$164,0),FALSE),IF($BW120="PTHP",VLOOKUP($D120,'Factor Tables'!$I$165:$Q$192,MATCH("PTHP Htg",'Factor Tables'!$I$164:$Q$164,0),FALSE),0))))</f>
        <v/>
      </c>
      <c r="CL120" s="187" t="str">
        <f t="shared" si="57"/>
        <v/>
      </c>
      <c r="CM120" s="251" t="str">
        <f t="shared" si="58"/>
        <v/>
      </c>
      <c r="CN120" s="184">
        <f t="shared" si="72"/>
        <v>0</v>
      </c>
      <c r="CO120" s="693">
        <f t="shared" si="73"/>
        <v>0</v>
      </c>
      <c r="CP120" s="182" t="s">
        <v>46</v>
      </c>
      <c r="CQ120" s="852" t="str">
        <f t="shared" si="74"/>
        <v/>
      </c>
      <c r="CR120" s="833">
        <f t="shared" si="75"/>
        <v>0</v>
      </c>
      <c r="CS120" s="830" t="s">
        <v>567</v>
      </c>
      <c r="CT120" s="185" t="str">
        <f>IF($CL120="","",VLOOKUP($D120,'Factor Tables'!$B$165:$H$192,MATCH($CL120,'Factor Tables'!$B$164:$H$164,0),FALSE))</f>
        <v/>
      </c>
      <c r="CU120" s="842" t="str">
        <f>IF($CL120="","",IF(AND($CL120&lt;&gt;"DX HP",$CL120&lt;&gt;"PTHP"),VLOOKUP($D120,'Factor Tables'!$I$165:$Q$192,MATCH($CL120,'Factor Tables'!$I$164:$Q$164,0),FALSE),IF($CL120="DX HP",VLOOKUP($D120,'Factor Tables'!$I$165:$Q$192,MATCH("DX HP Clg",'Factor Tables'!$I$164:$Q$164,0),FALSE),IF($CL120="PTHP",VLOOKUP($D120,'Factor Tables'!$I$165:$Q$192,MATCH("PTHP Clg",'Factor Tables'!$I$164:$Q$164,0),FALSE),""))))</f>
        <v/>
      </c>
      <c r="CV120" s="186" t="str">
        <f>IF($CL120="","",IF(AND($CL120&lt;&gt;"DX HP",$CL120&lt;&gt;"PTHP"),0,IF($CL120="DX HP",VLOOKUP($D120,'Factor Tables'!$I$165:$Q$192,MATCH("DX HP Htg",'Factor Tables'!$I$164:$Q$164,0),FALSE),IF($CL120="PTHP",VLOOKUP($D120,'Factor Tables'!$I$165:$Q$192,MATCH("PTHP Htg",'Factor Tables'!$I$164:$Q$164,0),FALSE),""))))</f>
        <v/>
      </c>
      <c r="DD120" s="193" t="s">
        <v>359</v>
      </c>
      <c r="DE120" s="426"/>
      <c r="DI120" s="425"/>
      <c r="DJ120" s="425"/>
      <c r="DK120" s="425"/>
      <c r="DL120" s="425"/>
      <c r="DM120" s="493" t="s">
        <v>478</v>
      </c>
    </row>
    <row r="121" spans="2:117" s="427" customFormat="1" ht="21.95" customHeight="1" x14ac:dyDescent="0.25">
      <c r="B121" s="432">
        <v>112</v>
      </c>
      <c r="C121" s="499" t="str">
        <f t="shared" si="59"/>
        <v/>
      </c>
      <c r="D121" s="403" t="str">
        <f t="shared" si="60"/>
        <v/>
      </c>
      <c r="E121" s="541"/>
      <c r="F121" s="785"/>
      <c r="G121" s="728"/>
      <c r="H121" s="728"/>
      <c r="I121" s="728"/>
      <c r="J121" s="728"/>
      <c r="K121" s="728"/>
      <c r="L121" s="728"/>
      <c r="M121" s="764"/>
      <c r="N121" s="728"/>
      <c r="O121" s="764"/>
      <c r="P121" s="728"/>
      <c r="Q121" s="1142"/>
      <c r="R121" s="1133"/>
      <c r="S121" s="778"/>
      <c r="T121" s="767"/>
      <c r="U121" s="778"/>
      <c r="V121" s="751"/>
      <c r="W121" s="556"/>
      <c r="X121" s="785"/>
      <c r="Y121" s="542"/>
      <c r="Z121" s="500"/>
      <c r="AA121" s="500"/>
      <c r="AB121" s="500"/>
      <c r="AC121" s="500"/>
      <c r="AD121" s="529"/>
      <c r="AE121" s="527">
        <f t="shared" si="39"/>
        <v>0</v>
      </c>
      <c r="AF121" s="527">
        <f t="shared" si="61"/>
        <v>0</v>
      </c>
      <c r="AG121" s="527">
        <f t="shared" si="41"/>
        <v>0</v>
      </c>
      <c r="AH121" s="527">
        <f t="shared" si="42"/>
        <v>0</v>
      </c>
      <c r="AI121" s="527">
        <f t="shared" si="43"/>
        <v>0</v>
      </c>
      <c r="AJ121" s="527">
        <f t="shared" si="44"/>
        <v>999999999</v>
      </c>
      <c r="AK121" s="530"/>
      <c r="AL121" s="776"/>
      <c r="AM121" s="777"/>
      <c r="AN121" s="500"/>
      <c r="AO121" s="778"/>
      <c r="AP121" s="778"/>
      <c r="AQ121" s="500"/>
      <c r="AR121" s="531"/>
      <c r="AS121" s="403"/>
      <c r="AT121" s="524" t="str">
        <f t="shared" si="45"/>
        <v/>
      </c>
      <c r="AU121" s="311">
        <f t="shared" si="46"/>
        <v>0</v>
      </c>
      <c r="AV121" s="288">
        <f t="shared" si="62"/>
        <v>0</v>
      </c>
      <c r="AW121" s="290">
        <f>IF(ISERROR($AU121*'Utility Admin'!$E$4+$AV121*'Utility Admin'!$F$4),0,$AU121*'Utility Admin'!$E$4+$AV121*'Utility Admin'!$F$4)</f>
        <v>0</v>
      </c>
      <c r="AX121" s="323" t="str">
        <f t="shared" si="47"/>
        <v/>
      </c>
      <c r="AY121" s="322" t="str">
        <f t="shared" si="23"/>
        <v/>
      </c>
      <c r="AZ121" s="319">
        <f>Baselines!$CJ365</f>
        <v>0</v>
      </c>
      <c r="BA121" s="735">
        <f>Baselines!$CK365</f>
        <v>0</v>
      </c>
      <c r="BB121" s="839">
        <f>Baselines!$CM365</f>
        <v>0</v>
      </c>
      <c r="BC121" s="466">
        <f t="shared" si="48"/>
        <v>0</v>
      </c>
      <c r="BD121" s="464">
        <f t="shared" si="63"/>
        <v>0</v>
      </c>
      <c r="BE121" s="755">
        <f t="shared" si="49"/>
        <v>0</v>
      </c>
      <c r="BF121" s="755">
        <f t="shared" si="64"/>
        <v>0</v>
      </c>
      <c r="BG121" s="466">
        <f t="shared" si="50"/>
        <v>0</v>
      </c>
      <c r="BH121" s="464">
        <f t="shared" si="51"/>
        <v>0</v>
      </c>
      <c r="BI121" s="755">
        <f t="shared" si="52"/>
        <v>0</v>
      </c>
      <c r="BJ121" s="755">
        <f t="shared" si="65"/>
        <v>0</v>
      </c>
      <c r="BK121" s="333">
        <f>IF(OR($C121&lt;&gt;"Early Retirement",$H121=""),0,IF(AND($G121&lt;&gt;"Air Cooled Chiller",$G121&lt;&gt;"Water Cooled Chiller"),VLOOKUP($H121,'Early Retirement'!$CI$6:$CL$33,2,FALSE),IF($J121&lt;&gt;"Centrifugal",VLOOKUP($H121,'Early Retirement'!$CI$6:$CL$33,3,FALSE),IF($J121="Centrifugal",VLOOKUP($H121,'Early Retirement'!$CI$6:$CL$33,4,FALSE),""))))</f>
        <v>0</v>
      </c>
      <c r="BL121" s="450">
        <f t="shared" si="53"/>
        <v>0</v>
      </c>
      <c r="BM121" s="553">
        <f>IFERROR('Utility Admin'!$I$4*((1+'Utility Admin'!$G$4)/('Utility Admin'!$H$4-'Utility Admin'!$G$4))*(1-((1+'Utility Admin'!$G$4)/(1+'Utility Admin'!$H$4))^$BK121)*$BG121,0)</f>
        <v>0</v>
      </c>
      <c r="BN121" s="553">
        <f>IFERROR('Utility Admin'!$I$4*((1+'Utility Admin'!$G$4)/('Utility Admin'!$H$4-'Utility Admin'!$G$4))*(1-((1+'Utility Admin'!$G$4)/(1+'Utility Admin'!$H$4))^$BL121)*((1+'Utility Admin'!$G$4)^$BK121/(1+'Utility Admin'!$H$4)^$BK121)*$BC121,0)</f>
        <v>0</v>
      </c>
      <c r="BO121" s="553">
        <f t="shared" si="27"/>
        <v>0</v>
      </c>
      <c r="BP121" s="553">
        <f>IFERROR('Utility Admin'!$J$4*((1+'Utility Admin'!$G$4)/('Utility Admin'!$H$4-'Utility Admin'!$G$4))*(1-((1+'Utility Admin'!$G$4)/(1+'Utility Admin'!$H$4))^$BK121)*$BJ121,0)</f>
        <v>0</v>
      </c>
      <c r="BQ121" s="553">
        <f>IFERROR('Utility Admin'!$J$4*((1+'Utility Admin'!$G$4)/('Utility Admin'!$H$4-'Utility Admin'!$G$4))*(1-((1+'Utility Admin'!$G$4)/(1+'Utility Admin'!$H$4))^$BL121)*((1+'Utility Admin'!$G$4)^$BK121/(1+'Utility Admin'!$H$4)^$BK121)*$BF121,0)</f>
        <v>0</v>
      </c>
      <c r="BR121" s="553">
        <f t="shared" si="28"/>
        <v>0</v>
      </c>
      <c r="BS121" s="553">
        <f>IFERROR('Utility Admin'!$I$4*((1+'Utility Admin'!$G$4)/('Utility Admin'!$H$4-'Utility Admin'!$G$4))*(1-((1+'Utility Admin'!$G$4)/(1+'Utility Admin'!$H$4))^$AT121),0)</f>
        <v>0</v>
      </c>
      <c r="BT121" s="553">
        <f>IFERROR('Utility Admin'!$J$4*((1+'Utility Admin'!$G$4)/('Utility Admin'!$H$4-'Utility Admin'!$G$4))*(1-((1+'Utility Admin'!$G$4)/(1+'Utility Admin'!$H$4))^$AT121),0)</f>
        <v>0</v>
      </c>
      <c r="BU121" s="459">
        <f t="shared" si="66"/>
        <v>0</v>
      </c>
      <c r="BV121" s="462">
        <f t="shared" si="67"/>
        <v>0</v>
      </c>
      <c r="BW121" s="219" t="str">
        <f t="shared" si="54"/>
        <v/>
      </c>
      <c r="BX121" s="250" t="str">
        <f t="shared" si="68"/>
        <v/>
      </c>
      <c r="BY121" s="250" t="str">
        <f t="shared" si="55"/>
        <v/>
      </c>
      <c r="BZ121" s="184">
        <f t="shared" si="69"/>
        <v>0</v>
      </c>
      <c r="CA121" s="693">
        <f t="shared" si="70"/>
        <v>0</v>
      </c>
      <c r="CB121" s="836">
        <f t="shared" si="71"/>
        <v>0</v>
      </c>
      <c r="CC121" s="693">
        <f>IF(AND($C121="Early Retirement",$H121&lt;&gt;"",$R121&lt;&gt;"",$T121&lt;&gt;""),$BZ121,Baselines!$CJ114)</f>
        <v>0</v>
      </c>
      <c r="CD121" s="693">
        <f>IF(AND($C121="Early Retirement",$H121&lt;&gt;"",$R121&lt;&gt;"",$T121&lt;&gt;""),$CA121,Baselines!$CK114)</f>
        <v>0</v>
      </c>
      <c r="CE121" s="182" t="str">
        <f>Baselines!$CL114</f>
        <v>kW/ton</v>
      </c>
      <c r="CF121" s="850" t="str">
        <f t="shared" si="56"/>
        <v/>
      </c>
      <c r="CG121" s="833">
        <f>IF(AND($C121="Early Retirement",$H121&lt;&gt;"",$R121&lt;&gt;"",$T121&lt;&gt;""),$CB121,IF(AND(Baselines!$CM114=0,OR($CL121="DX HP",$CL121="PTHP")),$BB121,Baselines!$CM114))</f>
        <v>0</v>
      </c>
      <c r="CH121" s="830" t="s">
        <v>567</v>
      </c>
      <c r="CI121" s="185" t="str">
        <f>IF(OR($C121="Replace-on-Burnout",$C121="New Construction"),$CT121,IF($BW121="","",VLOOKUP($D121,'Factor Tables'!$B$165:$H$192,MATCH($BW121,'Factor Tables'!$B$164:$H$164,0),FALSE)))</f>
        <v/>
      </c>
      <c r="CJ121" s="842" t="str">
        <f>IF(OR($C121="Replace-on-Burnout",$C121="New Construction"),$CU121,IF($BW121="","",IF($BW121="DX HP",VLOOKUP($D121,'Factor Tables'!$I$165:$Q$192,MATCH("DX HP Clg",'Factor Tables'!$I$164:$Q$164,0),FALSE),IF($BW121="PTHP",VLOOKUP($D121,'Factor Tables'!$I$165:$Q$192,MATCH("PTHP Clg",'Factor Tables'!$I$164:$Q$164,0),FALSE),IF(AND($BW121&lt;&gt;"DX HP",$BW121&lt;&gt;"PTHP"),VLOOKUP($D121,'Factor Tables'!$I$165:$Q$192,MATCH($BW121,'Factor Tables'!$I$164:$Q$164,0),FALSE),"")))))</f>
        <v/>
      </c>
      <c r="CK121" s="186" t="str">
        <f>IF(OR($C121="Replace-on-Burnout",$C121="New Construction",$CL121="DX HP",$CL121="PTHP"),$CV121,IF($BW121="","",IF($BW121="DX HP",VLOOKUP($D121,'Factor Tables'!$I$165:$Q$192,MATCH("DX HP Htg",'Factor Tables'!$I$164:$Q$164,0),FALSE),IF($BW121="PTHP",VLOOKUP($D121,'Factor Tables'!$I$165:$Q$192,MATCH("PTHP Htg",'Factor Tables'!$I$164:$Q$164,0),FALSE),0))))</f>
        <v/>
      </c>
      <c r="CL121" s="187" t="str">
        <f t="shared" si="57"/>
        <v/>
      </c>
      <c r="CM121" s="251" t="str">
        <f t="shared" si="58"/>
        <v/>
      </c>
      <c r="CN121" s="184">
        <f t="shared" si="72"/>
        <v>0</v>
      </c>
      <c r="CO121" s="693">
        <f t="shared" si="73"/>
        <v>0</v>
      </c>
      <c r="CP121" s="182" t="s">
        <v>46</v>
      </c>
      <c r="CQ121" s="852" t="str">
        <f t="shared" si="74"/>
        <v/>
      </c>
      <c r="CR121" s="833">
        <f t="shared" si="75"/>
        <v>0</v>
      </c>
      <c r="CS121" s="830" t="s">
        <v>567</v>
      </c>
      <c r="CT121" s="185" t="str">
        <f>IF($CL121="","",VLOOKUP($D121,'Factor Tables'!$B$165:$H$192,MATCH($CL121,'Factor Tables'!$B$164:$H$164,0),FALSE))</f>
        <v/>
      </c>
      <c r="CU121" s="842" t="str">
        <f>IF($CL121="","",IF(AND($CL121&lt;&gt;"DX HP",$CL121&lt;&gt;"PTHP"),VLOOKUP($D121,'Factor Tables'!$I$165:$Q$192,MATCH($CL121,'Factor Tables'!$I$164:$Q$164,0),FALSE),IF($CL121="DX HP",VLOOKUP($D121,'Factor Tables'!$I$165:$Q$192,MATCH("DX HP Clg",'Factor Tables'!$I$164:$Q$164,0),FALSE),IF($CL121="PTHP",VLOOKUP($D121,'Factor Tables'!$I$165:$Q$192,MATCH("PTHP Clg",'Factor Tables'!$I$164:$Q$164,0),FALSE),""))))</f>
        <v/>
      </c>
      <c r="CV121" s="186" t="str">
        <f>IF($CL121="","",IF(AND($CL121&lt;&gt;"DX HP",$CL121&lt;&gt;"PTHP"),0,IF($CL121="DX HP",VLOOKUP($D121,'Factor Tables'!$I$165:$Q$192,MATCH("DX HP Htg",'Factor Tables'!$I$164:$Q$164,0),FALSE),IF($CL121="PTHP",VLOOKUP($D121,'Factor Tables'!$I$165:$Q$192,MATCH("PTHP Htg",'Factor Tables'!$I$164:$Q$164,0),FALSE),""))))</f>
        <v/>
      </c>
      <c r="DD121" s="194" t="s">
        <v>53</v>
      </c>
      <c r="DE121" s="426"/>
      <c r="DI121" s="425"/>
      <c r="DJ121" s="425"/>
      <c r="DK121" s="425"/>
      <c r="DL121" s="425"/>
      <c r="DM121" s="493" t="s">
        <v>478</v>
      </c>
    </row>
    <row r="122" spans="2:117" s="427" customFormat="1" ht="21.95" customHeight="1" x14ac:dyDescent="0.25">
      <c r="B122" s="431">
        <v>113</v>
      </c>
      <c r="C122" s="501" t="str">
        <f t="shared" si="59"/>
        <v/>
      </c>
      <c r="D122" s="502" t="str">
        <f t="shared" si="60"/>
        <v/>
      </c>
      <c r="E122" s="546"/>
      <c r="F122" s="547"/>
      <c r="G122" s="729"/>
      <c r="H122" s="729"/>
      <c r="I122" s="729"/>
      <c r="J122" s="729"/>
      <c r="K122" s="729"/>
      <c r="L122" s="729"/>
      <c r="M122" s="765"/>
      <c r="N122" s="758"/>
      <c r="O122" s="765"/>
      <c r="P122" s="758"/>
      <c r="Q122" s="1143"/>
      <c r="R122" s="1134"/>
      <c r="S122" s="775"/>
      <c r="T122" s="729"/>
      <c r="U122" s="775"/>
      <c r="V122" s="779"/>
      <c r="W122" s="557"/>
      <c r="X122" s="788"/>
      <c r="Y122" s="543"/>
      <c r="Z122" s="281"/>
      <c r="AA122" s="281"/>
      <c r="AB122" s="281"/>
      <c r="AC122" s="281"/>
      <c r="AD122" s="492"/>
      <c r="AE122" s="527">
        <f t="shared" si="39"/>
        <v>0</v>
      </c>
      <c r="AF122" s="527">
        <f t="shared" si="61"/>
        <v>0</v>
      </c>
      <c r="AG122" s="527">
        <f t="shared" si="41"/>
        <v>0</v>
      </c>
      <c r="AH122" s="527">
        <f t="shared" si="42"/>
        <v>0</v>
      </c>
      <c r="AI122" s="527">
        <f t="shared" si="43"/>
        <v>0</v>
      </c>
      <c r="AJ122" s="527">
        <f t="shared" si="44"/>
        <v>999999999</v>
      </c>
      <c r="AK122" s="471"/>
      <c r="AL122" s="765"/>
      <c r="AM122" s="758"/>
      <c r="AN122" s="281"/>
      <c r="AO122" s="775"/>
      <c r="AP122" s="775"/>
      <c r="AQ122" s="281"/>
      <c r="AR122" s="528"/>
      <c r="AS122" s="532"/>
      <c r="AT122" s="524" t="str">
        <f t="shared" si="45"/>
        <v/>
      </c>
      <c r="AU122" s="311">
        <f t="shared" si="46"/>
        <v>0</v>
      </c>
      <c r="AV122" s="288">
        <f t="shared" si="62"/>
        <v>0</v>
      </c>
      <c r="AW122" s="290">
        <f>IF(ISERROR($AU122*'Utility Admin'!$E$4+$AV122*'Utility Admin'!$F$4),0,$AU122*'Utility Admin'!$E$4+$AV122*'Utility Admin'!$F$4)</f>
        <v>0</v>
      </c>
      <c r="AX122" s="323" t="str">
        <f t="shared" si="47"/>
        <v/>
      </c>
      <c r="AY122" s="322" t="str">
        <f t="shared" si="23"/>
        <v/>
      </c>
      <c r="AZ122" s="319">
        <f>Baselines!$CJ366</f>
        <v>0</v>
      </c>
      <c r="BA122" s="735">
        <f>Baselines!$CK366</f>
        <v>0</v>
      </c>
      <c r="BB122" s="839">
        <f>Baselines!$CM366</f>
        <v>0</v>
      </c>
      <c r="BC122" s="466">
        <f t="shared" si="48"/>
        <v>0</v>
      </c>
      <c r="BD122" s="464">
        <f t="shared" si="63"/>
        <v>0</v>
      </c>
      <c r="BE122" s="755">
        <f t="shared" si="49"/>
        <v>0</v>
      </c>
      <c r="BF122" s="755">
        <f t="shared" si="64"/>
        <v>0</v>
      </c>
      <c r="BG122" s="466">
        <f t="shared" si="50"/>
        <v>0</v>
      </c>
      <c r="BH122" s="464">
        <f t="shared" si="51"/>
        <v>0</v>
      </c>
      <c r="BI122" s="755">
        <f t="shared" si="52"/>
        <v>0</v>
      </c>
      <c r="BJ122" s="755">
        <f t="shared" si="65"/>
        <v>0</v>
      </c>
      <c r="BK122" s="333">
        <f>IF(OR($C122&lt;&gt;"Early Retirement",$H122=""),0,IF(AND($G122&lt;&gt;"Air Cooled Chiller",$G122&lt;&gt;"Water Cooled Chiller"),VLOOKUP($H122,'Early Retirement'!$CI$6:$CL$33,2,FALSE),IF($J122&lt;&gt;"Centrifugal",VLOOKUP($H122,'Early Retirement'!$CI$6:$CL$33,3,FALSE),IF($J122="Centrifugal",VLOOKUP($H122,'Early Retirement'!$CI$6:$CL$33,4,FALSE),""))))</f>
        <v>0</v>
      </c>
      <c r="BL122" s="450">
        <f t="shared" si="53"/>
        <v>0</v>
      </c>
      <c r="BM122" s="553">
        <f>IFERROR('Utility Admin'!$I$4*((1+'Utility Admin'!$G$4)/('Utility Admin'!$H$4-'Utility Admin'!$G$4))*(1-((1+'Utility Admin'!$G$4)/(1+'Utility Admin'!$H$4))^$BK122)*$BG122,0)</f>
        <v>0</v>
      </c>
      <c r="BN122" s="553">
        <f>IFERROR('Utility Admin'!$I$4*((1+'Utility Admin'!$G$4)/('Utility Admin'!$H$4-'Utility Admin'!$G$4))*(1-((1+'Utility Admin'!$G$4)/(1+'Utility Admin'!$H$4))^$BL122)*((1+'Utility Admin'!$G$4)^$BK122/(1+'Utility Admin'!$H$4)^$BK122)*$BC122,0)</f>
        <v>0</v>
      </c>
      <c r="BO122" s="553">
        <f t="shared" si="27"/>
        <v>0</v>
      </c>
      <c r="BP122" s="553">
        <f>IFERROR('Utility Admin'!$J$4*((1+'Utility Admin'!$G$4)/('Utility Admin'!$H$4-'Utility Admin'!$G$4))*(1-((1+'Utility Admin'!$G$4)/(1+'Utility Admin'!$H$4))^$BK122)*$BJ122,0)</f>
        <v>0</v>
      </c>
      <c r="BQ122" s="553">
        <f>IFERROR('Utility Admin'!$J$4*((1+'Utility Admin'!$G$4)/('Utility Admin'!$H$4-'Utility Admin'!$G$4))*(1-((1+'Utility Admin'!$G$4)/(1+'Utility Admin'!$H$4))^$BL122)*((1+'Utility Admin'!$G$4)^$BK122/(1+'Utility Admin'!$H$4)^$BK122)*$BF122,0)</f>
        <v>0</v>
      </c>
      <c r="BR122" s="553">
        <f t="shared" si="28"/>
        <v>0</v>
      </c>
      <c r="BS122" s="553">
        <f>IFERROR('Utility Admin'!$I$4*((1+'Utility Admin'!$G$4)/('Utility Admin'!$H$4-'Utility Admin'!$G$4))*(1-((1+'Utility Admin'!$G$4)/(1+'Utility Admin'!$H$4))^$AT122),0)</f>
        <v>0</v>
      </c>
      <c r="BT122" s="553">
        <f>IFERROR('Utility Admin'!$J$4*((1+'Utility Admin'!$G$4)/('Utility Admin'!$H$4-'Utility Admin'!$G$4))*(1-((1+'Utility Admin'!$G$4)/(1+'Utility Admin'!$H$4))^$AT122),0)</f>
        <v>0</v>
      </c>
      <c r="BU122" s="459">
        <f t="shared" si="66"/>
        <v>0</v>
      </c>
      <c r="BV122" s="462">
        <f t="shared" si="67"/>
        <v>0</v>
      </c>
      <c r="BW122" s="219" t="str">
        <f t="shared" si="54"/>
        <v/>
      </c>
      <c r="BX122" s="250" t="str">
        <f t="shared" si="68"/>
        <v/>
      </c>
      <c r="BY122" s="250" t="str">
        <f t="shared" si="55"/>
        <v/>
      </c>
      <c r="BZ122" s="184">
        <f t="shared" si="69"/>
        <v>0</v>
      </c>
      <c r="CA122" s="693">
        <f t="shared" si="70"/>
        <v>0</v>
      </c>
      <c r="CB122" s="836">
        <f t="shared" si="71"/>
        <v>0</v>
      </c>
      <c r="CC122" s="693">
        <f>IF(AND($C122="Early Retirement",$H122&lt;&gt;"",$R122&lt;&gt;"",$T122&lt;&gt;""),$BZ122,Baselines!$CJ115)</f>
        <v>0</v>
      </c>
      <c r="CD122" s="693">
        <f>IF(AND($C122="Early Retirement",$H122&lt;&gt;"",$R122&lt;&gt;"",$T122&lt;&gt;""),$CA122,Baselines!$CK115)</f>
        <v>0</v>
      </c>
      <c r="CE122" s="182" t="str">
        <f>Baselines!$CL115</f>
        <v>kW/ton</v>
      </c>
      <c r="CF122" s="850" t="str">
        <f t="shared" si="56"/>
        <v/>
      </c>
      <c r="CG122" s="833">
        <f>IF(AND($C122="Early Retirement",$H122&lt;&gt;"",$R122&lt;&gt;"",$T122&lt;&gt;""),$CB122,IF(AND(Baselines!$CM115=0,OR($CL122="DX HP",$CL122="PTHP")),$BB122,Baselines!$CM115))</f>
        <v>0</v>
      </c>
      <c r="CH122" s="830" t="s">
        <v>567</v>
      </c>
      <c r="CI122" s="185" t="str">
        <f>IF(OR($C122="Replace-on-Burnout",$C122="New Construction"),$CT122,IF($BW122="","",VLOOKUP($D122,'Factor Tables'!$B$165:$H$192,MATCH($BW122,'Factor Tables'!$B$164:$H$164,0),FALSE)))</f>
        <v/>
      </c>
      <c r="CJ122" s="842" t="str">
        <f>IF(OR($C122="Replace-on-Burnout",$C122="New Construction"),$CU122,IF($BW122="","",IF($BW122="DX HP",VLOOKUP($D122,'Factor Tables'!$I$165:$Q$192,MATCH("DX HP Clg",'Factor Tables'!$I$164:$Q$164,0),FALSE),IF($BW122="PTHP",VLOOKUP($D122,'Factor Tables'!$I$165:$Q$192,MATCH("PTHP Clg",'Factor Tables'!$I$164:$Q$164,0),FALSE),IF(AND($BW122&lt;&gt;"DX HP",$BW122&lt;&gt;"PTHP"),VLOOKUP($D122,'Factor Tables'!$I$165:$Q$192,MATCH($BW122,'Factor Tables'!$I$164:$Q$164,0),FALSE),"")))))</f>
        <v/>
      </c>
      <c r="CK122" s="186" t="str">
        <f>IF(OR($C122="Replace-on-Burnout",$C122="New Construction",$CL122="DX HP",$CL122="PTHP"),$CV122,IF($BW122="","",IF($BW122="DX HP",VLOOKUP($D122,'Factor Tables'!$I$165:$Q$192,MATCH("DX HP Htg",'Factor Tables'!$I$164:$Q$164,0),FALSE),IF($BW122="PTHP",VLOOKUP($D122,'Factor Tables'!$I$165:$Q$192,MATCH("PTHP Htg",'Factor Tables'!$I$164:$Q$164,0),FALSE),0))))</f>
        <v/>
      </c>
      <c r="CL122" s="187" t="str">
        <f t="shared" si="57"/>
        <v/>
      </c>
      <c r="CM122" s="251" t="str">
        <f t="shared" si="58"/>
        <v/>
      </c>
      <c r="CN122" s="184">
        <f t="shared" si="72"/>
        <v>0</v>
      </c>
      <c r="CO122" s="693">
        <f t="shared" si="73"/>
        <v>0</v>
      </c>
      <c r="CP122" s="182" t="s">
        <v>46</v>
      </c>
      <c r="CQ122" s="852" t="str">
        <f t="shared" si="74"/>
        <v/>
      </c>
      <c r="CR122" s="833">
        <f t="shared" si="75"/>
        <v>0</v>
      </c>
      <c r="CS122" s="830" t="s">
        <v>567</v>
      </c>
      <c r="CT122" s="185" t="str">
        <f>IF($CL122="","",VLOOKUP($D122,'Factor Tables'!$B$165:$H$192,MATCH($CL122,'Factor Tables'!$B$164:$H$164,0),FALSE))</f>
        <v/>
      </c>
      <c r="CU122" s="842" t="str">
        <f>IF($CL122="","",IF(AND($CL122&lt;&gt;"DX HP",$CL122&lt;&gt;"PTHP"),VLOOKUP($D122,'Factor Tables'!$I$165:$Q$192,MATCH($CL122,'Factor Tables'!$I$164:$Q$164,0),FALSE),IF($CL122="DX HP",VLOOKUP($D122,'Factor Tables'!$I$165:$Q$192,MATCH("DX HP Clg",'Factor Tables'!$I$164:$Q$164,0),FALSE),IF($CL122="PTHP",VLOOKUP($D122,'Factor Tables'!$I$165:$Q$192,MATCH("PTHP Clg",'Factor Tables'!$I$164:$Q$164,0),FALSE),""))))</f>
        <v/>
      </c>
      <c r="CV122" s="186" t="str">
        <f>IF($CL122="","",IF(AND($CL122&lt;&gt;"DX HP",$CL122&lt;&gt;"PTHP"),0,IF($CL122="DX HP",VLOOKUP($D122,'Factor Tables'!$I$165:$Q$192,MATCH("DX HP Htg",'Factor Tables'!$I$164:$Q$164,0),FALSE),IF($CL122="PTHP",VLOOKUP($D122,'Factor Tables'!$I$165:$Q$192,MATCH("PTHP Htg",'Factor Tables'!$I$164:$Q$164,0),FALSE),""))))</f>
        <v/>
      </c>
      <c r="DD122" s="77" t="s">
        <v>54</v>
      </c>
      <c r="DE122" s="426"/>
      <c r="DI122" s="425"/>
      <c r="DJ122" s="425"/>
      <c r="DK122" s="425"/>
      <c r="DL122" s="425"/>
      <c r="DM122" s="493" t="s">
        <v>478</v>
      </c>
    </row>
    <row r="123" spans="2:117" s="427" customFormat="1" ht="21.95" customHeight="1" x14ac:dyDescent="0.25">
      <c r="B123" s="432">
        <v>114</v>
      </c>
      <c r="C123" s="499" t="str">
        <f t="shared" si="59"/>
        <v/>
      </c>
      <c r="D123" s="403" t="str">
        <f t="shared" si="60"/>
        <v/>
      </c>
      <c r="E123" s="541"/>
      <c r="F123" s="785"/>
      <c r="G123" s="728"/>
      <c r="H123" s="728"/>
      <c r="I123" s="728"/>
      <c r="J123" s="728"/>
      <c r="K123" s="728"/>
      <c r="L123" s="728"/>
      <c r="M123" s="764"/>
      <c r="N123" s="728"/>
      <c r="O123" s="764"/>
      <c r="P123" s="728"/>
      <c r="Q123" s="1142"/>
      <c r="R123" s="1133"/>
      <c r="S123" s="778"/>
      <c r="T123" s="767"/>
      <c r="U123" s="778"/>
      <c r="V123" s="751"/>
      <c r="W123" s="556"/>
      <c r="X123" s="785"/>
      <c r="Y123" s="542"/>
      <c r="Z123" s="500"/>
      <c r="AA123" s="500"/>
      <c r="AB123" s="500"/>
      <c r="AC123" s="500"/>
      <c r="AD123" s="529"/>
      <c r="AE123" s="527">
        <f t="shared" si="39"/>
        <v>0</v>
      </c>
      <c r="AF123" s="527">
        <f t="shared" si="61"/>
        <v>0</v>
      </c>
      <c r="AG123" s="527">
        <f t="shared" si="41"/>
        <v>0</v>
      </c>
      <c r="AH123" s="527">
        <f t="shared" si="42"/>
        <v>0</v>
      </c>
      <c r="AI123" s="527">
        <f t="shared" si="43"/>
        <v>0</v>
      </c>
      <c r="AJ123" s="527">
        <f t="shared" si="44"/>
        <v>999999999</v>
      </c>
      <c r="AK123" s="530"/>
      <c r="AL123" s="776"/>
      <c r="AM123" s="777"/>
      <c r="AN123" s="500"/>
      <c r="AO123" s="778"/>
      <c r="AP123" s="778"/>
      <c r="AQ123" s="500"/>
      <c r="AR123" s="531"/>
      <c r="AS123" s="403"/>
      <c r="AT123" s="524" t="str">
        <f t="shared" si="45"/>
        <v/>
      </c>
      <c r="AU123" s="311">
        <f t="shared" si="46"/>
        <v>0</v>
      </c>
      <c r="AV123" s="288">
        <f t="shared" si="62"/>
        <v>0</v>
      </c>
      <c r="AW123" s="290">
        <f>IF(ISERROR($AU123*'Utility Admin'!$E$4+$AV123*'Utility Admin'!$F$4),0,$AU123*'Utility Admin'!$E$4+$AV123*'Utility Admin'!$F$4)</f>
        <v>0</v>
      </c>
      <c r="AX123" s="323" t="str">
        <f t="shared" si="47"/>
        <v/>
      </c>
      <c r="AY123" s="322" t="str">
        <f t="shared" si="23"/>
        <v/>
      </c>
      <c r="AZ123" s="319">
        <f>Baselines!$CJ367</f>
        <v>0</v>
      </c>
      <c r="BA123" s="735">
        <f>Baselines!$CK367</f>
        <v>0</v>
      </c>
      <c r="BB123" s="839">
        <f>Baselines!$CM367</f>
        <v>0</v>
      </c>
      <c r="BC123" s="466">
        <f t="shared" si="48"/>
        <v>0</v>
      </c>
      <c r="BD123" s="464">
        <f t="shared" si="63"/>
        <v>0</v>
      </c>
      <c r="BE123" s="755">
        <f t="shared" si="49"/>
        <v>0</v>
      </c>
      <c r="BF123" s="755">
        <f t="shared" si="64"/>
        <v>0</v>
      </c>
      <c r="BG123" s="466">
        <f t="shared" si="50"/>
        <v>0</v>
      </c>
      <c r="BH123" s="464">
        <f t="shared" si="51"/>
        <v>0</v>
      </c>
      <c r="BI123" s="755">
        <f t="shared" si="52"/>
        <v>0</v>
      </c>
      <c r="BJ123" s="755">
        <f t="shared" si="65"/>
        <v>0</v>
      </c>
      <c r="BK123" s="333">
        <f>IF(OR($C123&lt;&gt;"Early Retirement",$H123=""),0,IF(AND($G123&lt;&gt;"Air Cooled Chiller",$G123&lt;&gt;"Water Cooled Chiller"),VLOOKUP($H123,'Early Retirement'!$CI$6:$CL$33,2,FALSE),IF($J123&lt;&gt;"Centrifugal",VLOOKUP($H123,'Early Retirement'!$CI$6:$CL$33,3,FALSE),IF($J123="Centrifugal",VLOOKUP($H123,'Early Retirement'!$CI$6:$CL$33,4,FALSE),""))))</f>
        <v>0</v>
      </c>
      <c r="BL123" s="450">
        <f t="shared" si="53"/>
        <v>0</v>
      </c>
      <c r="BM123" s="553">
        <f>IFERROR('Utility Admin'!$I$4*((1+'Utility Admin'!$G$4)/('Utility Admin'!$H$4-'Utility Admin'!$G$4))*(1-((1+'Utility Admin'!$G$4)/(1+'Utility Admin'!$H$4))^$BK123)*$BG123,0)</f>
        <v>0</v>
      </c>
      <c r="BN123" s="553">
        <f>IFERROR('Utility Admin'!$I$4*((1+'Utility Admin'!$G$4)/('Utility Admin'!$H$4-'Utility Admin'!$G$4))*(1-((1+'Utility Admin'!$G$4)/(1+'Utility Admin'!$H$4))^$BL123)*((1+'Utility Admin'!$G$4)^$BK123/(1+'Utility Admin'!$H$4)^$BK123)*$BC123,0)</f>
        <v>0</v>
      </c>
      <c r="BO123" s="553">
        <f t="shared" si="27"/>
        <v>0</v>
      </c>
      <c r="BP123" s="553">
        <f>IFERROR('Utility Admin'!$J$4*((1+'Utility Admin'!$G$4)/('Utility Admin'!$H$4-'Utility Admin'!$G$4))*(1-((1+'Utility Admin'!$G$4)/(1+'Utility Admin'!$H$4))^$BK123)*$BJ123,0)</f>
        <v>0</v>
      </c>
      <c r="BQ123" s="553">
        <f>IFERROR('Utility Admin'!$J$4*((1+'Utility Admin'!$G$4)/('Utility Admin'!$H$4-'Utility Admin'!$G$4))*(1-((1+'Utility Admin'!$G$4)/(1+'Utility Admin'!$H$4))^$BL123)*((1+'Utility Admin'!$G$4)^$BK123/(1+'Utility Admin'!$H$4)^$BK123)*$BF123,0)</f>
        <v>0</v>
      </c>
      <c r="BR123" s="553">
        <f t="shared" si="28"/>
        <v>0</v>
      </c>
      <c r="BS123" s="553">
        <f>IFERROR('Utility Admin'!$I$4*((1+'Utility Admin'!$G$4)/('Utility Admin'!$H$4-'Utility Admin'!$G$4))*(1-((1+'Utility Admin'!$G$4)/(1+'Utility Admin'!$H$4))^$AT123),0)</f>
        <v>0</v>
      </c>
      <c r="BT123" s="553">
        <f>IFERROR('Utility Admin'!$J$4*((1+'Utility Admin'!$G$4)/('Utility Admin'!$H$4-'Utility Admin'!$G$4))*(1-((1+'Utility Admin'!$G$4)/(1+'Utility Admin'!$H$4))^$AT123),0)</f>
        <v>0</v>
      </c>
      <c r="BU123" s="459">
        <f t="shared" si="66"/>
        <v>0</v>
      </c>
      <c r="BV123" s="462">
        <f t="shared" si="67"/>
        <v>0</v>
      </c>
      <c r="BW123" s="219" t="str">
        <f t="shared" si="54"/>
        <v/>
      </c>
      <c r="BX123" s="250" t="str">
        <f t="shared" si="68"/>
        <v/>
      </c>
      <c r="BY123" s="250" t="str">
        <f t="shared" si="55"/>
        <v/>
      </c>
      <c r="BZ123" s="184">
        <f t="shared" si="69"/>
        <v>0</v>
      </c>
      <c r="CA123" s="693">
        <f t="shared" si="70"/>
        <v>0</v>
      </c>
      <c r="CB123" s="836">
        <f t="shared" si="71"/>
        <v>0</v>
      </c>
      <c r="CC123" s="693">
        <f>IF(AND($C123="Early Retirement",$H123&lt;&gt;"",$R123&lt;&gt;"",$T123&lt;&gt;""),$BZ123,Baselines!$CJ116)</f>
        <v>0</v>
      </c>
      <c r="CD123" s="693">
        <f>IF(AND($C123="Early Retirement",$H123&lt;&gt;"",$R123&lt;&gt;"",$T123&lt;&gt;""),$CA123,Baselines!$CK116)</f>
        <v>0</v>
      </c>
      <c r="CE123" s="182" t="str">
        <f>Baselines!$CL116</f>
        <v>kW/ton</v>
      </c>
      <c r="CF123" s="850" t="str">
        <f t="shared" si="56"/>
        <v/>
      </c>
      <c r="CG123" s="833">
        <f>IF(AND($C123="Early Retirement",$H123&lt;&gt;"",$R123&lt;&gt;"",$T123&lt;&gt;""),$CB123,IF(AND(Baselines!$CM116=0,OR($CL123="DX HP",$CL123="PTHP")),$BB123,Baselines!$CM116))</f>
        <v>0</v>
      </c>
      <c r="CH123" s="830" t="s">
        <v>567</v>
      </c>
      <c r="CI123" s="185" t="str">
        <f>IF(OR($C123="Replace-on-Burnout",$C123="New Construction"),$CT123,IF($BW123="","",VLOOKUP($D123,'Factor Tables'!$B$165:$H$192,MATCH($BW123,'Factor Tables'!$B$164:$H$164,0),FALSE)))</f>
        <v/>
      </c>
      <c r="CJ123" s="842" t="str">
        <f>IF(OR($C123="Replace-on-Burnout",$C123="New Construction"),$CU123,IF($BW123="","",IF($BW123="DX HP",VLOOKUP($D123,'Factor Tables'!$I$165:$Q$192,MATCH("DX HP Clg",'Factor Tables'!$I$164:$Q$164,0),FALSE),IF($BW123="PTHP",VLOOKUP($D123,'Factor Tables'!$I$165:$Q$192,MATCH("PTHP Clg",'Factor Tables'!$I$164:$Q$164,0),FALSE),IF(AND($BW123&lt;&gt;"DX HP",$BW123&lt;&gt;"PTHP"),VLOOKUP($D123,'Factor Tables'!$I$165:$Q$192,MATCH($BW123,'Factor Tables'!$I$164:$Q$164,0),FALSE),"")))))</f>
        <v/>
      </c>
      <c r="CK123" s="186" t="str">
        <f>IF(OR($C123="Replace-on-Burnout",$C123="New Construction",$CL123="DX HP",$CL123="PTHP"),$CV123,IF($BW123="","",IF($BW123="DX HP",VLOOKUP($D123,'Factor Tables'!$I$165:$Q$192,MATCH("DX HP Htg",'Factor Tables'!$I$164:$Q$164,0),FALSE),IF($BW123="PTHP",VLOOKUP($D123,'Factor Tables'!$I$165:$Q$192,MATCH("PTHP Htg",'Factor Tables'!$I$164:$Q$164,0),FALSE),0))))</f>
        <v/>
      </c>
      <c r="CL123" s="187" t="str">
        <f t="shared" si="57"/>
        <v/>
      </c>
      <c r="CM123" s="251" t="str">
        <f t="shared" si="58"/>
        <v/>
      </c>
      <c r="CN123" s="184">
        <f t="shared" si="72"/>
        <v>0</v>
      </c>
      <c r="CO123" s="693">
        <f t="shared" si="73"/>
        <v>0</v>
      </c>
      <c r="CP123" s="182" t="s">
        <v>46</v>
      </c>
      <c r="CQ123" s="852" t="str">
        <f t="shared" si="74"/>
        <v/>
      </c>
      <c r="CR123" s="833">
        <f t="shared" si="75"/>
        <v>0</v>
      </c>
      <c r="CS123" s="830" t="s">
        <v>567</v>
      </c>
      <c r="CT123" s="185" t="str">
        <f>IF($CL123="","",VLOOKUP($D123,'Factor Tables'!$B$165:$H$192,MATCH($CL123,'Factor Tables'!$B$164:$H$164,0),FALSE))</f>
        <v/>
      </c>
      <c r="CU123" s="842" t="str">
        <f>IF($CL123="","",IF(AND($CL123&lt;&gt;"DX HP",$CL123&lt;&gt;"PTHP"),VLOOKUP($D123,'Factor Tables'!$I$165:$Q$192,MATCH($CL123,'Factor Tables'!$I$164:$Q$164,0),FALSE),IF($CL123="DX HP",VLOOKUP($D123,'Factor Tables'!$I$165:$Q$192,MATCH("DX HP Clg",'Factor Tables'!$I$164:$Q$164,0),FALSE),IF($CL123="PTHP",VLOOKUP($D123,'Factor Tables'!$I$165:$Q$192,MATCH("PTHP Clg",'Factor Tables'!$I$164:$Q$164,0),FALSE),""))))</f>
        <v/>
      </c>
      <c r="CV123" s="186" t="str">
        <f>IF($CL123="","",IF(AND($CL123&lt;&gt;"DX HP",$CL123&lt;&gt;"PTHP"),0,IF($CL123="DX HP",VLOOKUP($D123,'Factor Tables'!$I$165:$Q$192,MATCH("DX HP Htg",'Factor Tables'!$I$164:$Q$164,0),FALSE),IF($CL123="PTHP",VLOOKUP($D123,'Factor Tables'!$I$165:$Q$192,MATCH("PTHP Htg",'Factor Tables'!$I$164:$Q$164,0),FALSE),""))))</f>
        <v/>
      </c>
      <c r="DD123" s="77"/>
      <c r="DE123" s="426"/>
      <c r="DI123" s="425"/>
      <c r="DJ123" s="425"/>
      <c r="DK123" s="425"/>
      <c r="DL123" s="425"/>
      <c r="DM123" s="493" t="s">
        <v>478</v>
      </c>
    </row>
    <row r="124" spans="2:117" s="427" customFormat="1" ht="21.95" customHeight="1" x14ac:dyDescent="0.25">
      <c r="B124" s="431">
        <v>115</v>
      </c>
      <c r="C124" s="501" t="str">
        <f t="shared" si="59"/>
        <v/>
      </c>
      <c r="D124" s="502" t="str">
        <f t="shared" si="60"/>
        <v/>
      </c>
      <c r="E124" s="546"/>
      <c r="F124" s="547"/>
      <c r="G124" s="729"/>
      <c r="H124" s="729"/>
      <c r="I124" s="729"/>
      <c r="J124" s="729"/>
      <c r="K124" s="729"/>
      <c r="L124" s="729"/>
      <c r="M124" s="765"/>
      <c r="N124" s="758"/>
      <c r="O124" s="765"/>
      <c r="P124" s="758"/>
      <c r="Q124" s="1143"/>
      <c r="R124" s="1134"/>
      <c r="S124" s="775"/>
      <c r="T124" s="729"/>
      <c r="U124" s="775"/>
      <c r="V124" s="779"/>
      <c r="W124" s="557"/>
      <c r="X124" s="788"/>
      <c r="Y124" s="543"/>
      <c r="Z124" s="281"/>
      <c r="AA124" s="281"/>
      <c r="AB124" s="281"/>
      <c r="AC124" s="281"/>
      <c r="AD124" s="492"/>
      <c r="AE124" s="527">
        <f t="shared" si="39"/>
        <v>0</v>
      </c>
      <c r="AF124" s="527">
        <f t="shared" si="61"/>
        <v>0</v>
      </c>
      <c r="AG124" s="527">
        <f t="shared" si="41"/>
        <v>0</v>
      </c>
      <c r="AH124" s="527">
        <f t="shared" si="42"/>
        <v>0</v>
      </c>
      <c r="AI124" s="527">
        <f t="shared" si="43"/>
        <v>0</v>
      </c>
      <c r="AJ124" s="527">
        <f t="shared" si="44"/>
        <v>999999999</v>
      </c>
      <c r="AK124" s="471"/>
      <c r="AL124" s="765"/>
      <c r="AM124" s="758"/>
      <c r="AN124" s="281"/>
      <c r="AO124" s="775"/>
      <c r="AP124" s="775"/>
      <c r="AQ124" s="281"/>
      <c r="AR124" s="528"/>
      <c r="AS124" s="532"/>
      <c r="AT124" s="524" t="str">
        <f t="shared" si="45"/>
        <v/>
      </c>
      <c r="AU124" s="311">
        <f t="shared" si="46"/>
        <v>0</v>
      </c>
      <c r="AV124" s="288">
        <f t="shared" si="62"/>
        <v>0</v>
      </c>
      <c r="AW124" s="290">
        <f>IF(ISERROR($AU124*'Utility Admin'!$E$4+$AV124*'Utility Admin'!$F$4),0,$AU124*'Utility Admin'!$E$4+$AV124*'Utility Admin'!$F$4)</f>
        <v>0</v>
      </c>
      <c r="AX124" s="323" t="str">
        <f t="shared" si="47"/>
        <v/>
      </c>
      <c r="AY124" s="322" t="str">
        <f t="shared" si="23"/>
        <v/>
      </c>
      <c r="AZ124" s="319">
        <f>Baselines!$CJ368</f>
        <v>0</v>
      </c>
      <c r="BA124" s="735">
        <f>Baselines!$CK368</f>
        <v>0</v>
      </c>
      <c r="BB124" s="839">
        <f>Baselines!$CM368</f>
        <v>0</v>
      </c>
      <c r="BC124" s="466">
        <f t="shared" si="48"/>
        <v>0</v>
      </c>
      <c r="BD124" s="464">
        <f t="shared" si="63"/>
        <v>0</v>
      </c>
      <c r="BE124" s="755">
        <f t="shared" si="49"/>
        <v>0</v>
      </c>
      <c r="BF124" s="755">
        <f t="shared" si="64"/>
        <v>0</v>
      </c>
      <c r="BG124" s="466">
        <f t="shared" si="50"/>
        <v>0</v>
      </c>
      <c r="BH124" s="464">
        <f t="shared" si="51"/>
        <v>0</v>
      </c>
      <c r="BI124" s="755">
        <f t="shared" si="52"/>
        <v>0</v>
      </c>
      <c r="BJ124" s="755">
        <f t="shared" si="65"/>
        <v>0</v>
      </c>
      <c r="BK124" s="333">
        <f>IF(OR($C124&lt;&gt;"Early Retirement",$H124=""),0,IF(AND($G124&lt;&gt;"Air Cooled Chiller",$G124&lt;&gt;"Water Cooled Chiller"),VLOOKUP($H124,'Early Retirement'!$CI$6:$CL$33,2,FALSE),IF($J124&lt;&gt;"Centrifugal",VLOOKUP($H124,'Early Retirement'!$CI$6:$CL$33,3,FALSE),IF($J124="Centrifugal",VLOOKUP($H124,'Early Retirement'!$CI$6:$CL$33,4,FALSE),""))))</f>
        <v>0</v>
      </c>
      <c r="BL124" s="450">
        <f t="shared" si="53"/>
        <v>0</v>
      </c>
      <c r="BM124" s="553">
        <f>IFERROR('Utility Admin'!$I$4*((1+'Utility Admin'!$G$4)/('Utility Admin'!$H$4-'Utility Admin'!$G$4))*(1-((1+'Utility Admin'!$G$4)/(1+'Utility Admin'!$H$4))^$BK124)*$BG124,0)</f>
        <v>0</v>
      </c>
      <c r="BN124" s="553">
        <f>IFERROR('Utility Admin'!$I$4*((1+'Utility Admin'!$G$4)/('Utility Admin'!$H$4-'Utility Admin'!$G$4))*(1-((1+'Utility Admin'!$G$4)/(1+'Utility Admin'!$H$4))^$BL124)*((1+'Utility Admin'!$G$4)^$BK124/(1+'Utility Admin'!$H$4)^$BK124)*$BC124,0)</f>
        <v>0</v>
      </c>
      <c r="BO124" s="553">
        <f t="shared" si="27"/>
        <v>0</v>
      </c>
      <c r="BP124" s="553">
        <f>IFERROR('Utility Admin'!$J$4*((1+'Utility Admin'!$G$4)/('Utility Admin'!$H$4-'Utility Admin'!$G$4))*(1-((1+'Utility Admin'!$G$4)/(1+'Utility Admin'!$H$4))^$BK124)*$BJ124,0)</f>
        <v>0</v>
      </c>
      <c r="BQ124" s="553">
        <f>IFERROR('Utility Admin'!$J$4*((1+'Utility Admin'!$G$4)/('Utility Admin'!$H$4-'Utility Admin'!$G$4))*(1-((1+'Utility Admin'!$G$4)/(1+'Utility Admin'!$H$4))^$BL124)*((1+'Utility Admin'!$G$4)^$BK124/(1+'Utility Admin'!$H$4)^$BK124)*$BF124,0)</f>
        <v>0</v>
      </c>
      <c r="BR124" s="553">
        <f t="shared" si="28"/>
        <v>0</v>
      </c>
      <c r="BS124" s="553">
        <f>IFERROR('Utility Admin'!$I$4*((1+'Utility Admin'!$G$4)/('Utility Admin'!$H$4-'Utility Admin'!$G$4))*(1-((1+'Utility Admin'!$G$4)/(1+'Utility Admin'!$H$4))^$AT124),0)</f>
        <v>0</v>
      </c>
      <c r="BT124" s="553">
        <f>IFERROR('Utility Admin'!$J$4*((1+'Utility Admin'!$G$4)/('Utility Admin'!$H$4-'Utility Admin'!$G$4))*(1-((1+'Utility Admin'!$G$4)/(1+'Utility Admin'!$H$4))^$AT124),0)</f>
        <v>0</v>
      </c>
      <c r="BU124" s="459">
        <f t="shared" si="66"/>
        <v>0</v>
      </c>
      <c r="BV124" s="462">
        <f t="shared" si="67"/>
        <v>0</v>
      </c>
      <c r="BW124" s="219" t="str">
        <f t="shared" si="54"/>
        <v/>
      </c>
      <c r="BX124" s="250" t="str">
        <f t="shared" si="68"/>
        <v/>
      </c>
      <c r="BY124" s="250" t="str">
        <f t="shared" si="55"/>
        <v/>
      </c>
      <c r="BZ124" s="184">
        <f t="shared" si="69"/>
        <v>0</v>
      </c>
      <c r="CA124" s="693">
        <f t="shared" si="70"/>
        <v>0</v>
      </c>
      <c r="CB124" s="836">
        <f t="shared" si="71"/>
        <v>0</v>
      </c>
      <c r="CC124" s="693">
        <f>IF(AND($C124="Early Retirement",$H124&lt;&gt;"",$R124&lt;&gt;"",$T124&lt;&gt;""),$BZ124,Baselines!$CJ117)</f>
        <v>0</v>
      </c>
      <c r="CD124" s="693">
        <f>IF(AND($C124="Early Retirement",$H124&lt;&gt;"",$R124&lt;&gt;"",$T124&lt;&gt;""),$CA124,Baselines!$CK117)</f>
        <v>0</v>
      </c>
      <c r="CE124" s="182" t="str">
        <f>Baselines!$CL117</f>
        <v>kW/ton</v>
      </c>
      <c r="CF124" s="850" t="str">
        <f t="shared" si="56"/>
        <v/>
      </c>
      <c r="CG124" s="833">
        <f>IF(AND($C124="Early Retirement",$H124&lt;&gt;"",$R124&lt;&gt;"",$T124&lt;&gt;""),$CB124,IF(AND(Baselines!$CM117=0,OR($CL124="DX HP",$CL124="PTHP")),$BB124,Baselines!$CM117))</f>
        <v>0</v>
      </c>
      <c r="CH124" s="830" t="s">
        <v>567</v>
      </c>
      <c r="CI124" s="185" t="str">
        <f>IF(OR($C124="Replace-on-Burnout",$C124="New Construction"),$CT124,IF($BW124="","",VLOOKUP($D124,'Factor Tables'!$B$165:$H$192,MATCH($BW124,'Factor Tables'!$B$164:$H$164,0),FALSE)))</f>
        <v/>
      </c>
      <c r="CJ124" s="842" t="str">
        <f>IF(OR($C124="Replace-on-Burnout",$C124="New Construction"),$CU124,IF($BW124="","",IF($BW124="DX HP",VLOOKUP($D124,'Factor Tables'!$I$165:$Q$192,MATCH("DX HP Clg",'Factor Tables'!$I$164:$Q$164,0),FALSE),IF($BW124="PTHP",VLOOKUP($D124,'Factor Tables'!$I$165:$Q$192,MATCH("PTHP Clg",'Factor Tables'!$I$164:$Q$164,0),FALSE),IF(AND($BW124&lt;&gt;"DX HP",$BW124&lt;&gt;"PTHP"),VLOOKUP($D124,'Factor Tables'!$I$165:$Q$192,MATCH($BW124,'Factor Tables'!$I$164:$Q$164,0),FALSE),"")))))</f>
        <v/>
      </c>
      <c r="CK124" s="186" t="str">
        <f>IF(OR($C124="Replace-on-Burnout",$C124="New Construction",$CL124="DX HP",$CL124="PTHP"),$CV124,IF($BW124="","",IF($BW124="DX HP",VLOOKUP($D124,'Factor Tables'!$I$165:$Q$192,MATCH("DX HP Htg",'Factor Tables'!$I$164:$Q$164,0),FALSE),IF($BW124="PTHP",VLOOKUP($D124,'Factor Tables'!$I$165:$Q$192,MATCH("PTHP Htg",'Factor Tables'!$I$164:$Q$164,0),FALSE),0))))</f>
        <v/>
      </c>
      <c r="CL124" s="187" t="str">
        <f t="shared" si="57"/>
        <v/>
      </c>
      <c r="CM124" s="251" t="str">
        <f t="shared" si="58"/>
        <v/>
      </c>
      <c r="CN124" s="184">
        <f t="shared" si="72"/>
        <v>0</v>
      </c>
      <c r="CO124" s="693">
        <f t="shared" si="73"/>
        <v>0</v>
      </c>
      <c r="CP124" s="182" t="s">
        <v>46</v>
      </c>
      <c r="CQ124" s="852" t="str">
        <f t="shared" si="74"/>
        <v/>
      </c>
      <c r="CR124" s="833">
        <f t="shared" si="75"/>
        <v>0</v>
      </c>
      <c r="CS124" s="830" t="s">
        <v>567</v>
      </c>
      <c r="CT124" s="185" t="str">
        <f>IF($CL124="","",VLOOKUP($D124,'Factor Tables'!$B$165:$H$192,MATCH($CL124,'Factor Tables'!$B$164:$H$164,0),FALSE))</f>
        <v/>
      </c>
      <c r="CU124" s="842" t="str">
        <f>IF($CL124="","",IF(AND($CL124&lt;&gt;"DX HP",$CL124&lt;&gt;"PTHP"),VLOOKUP($D124,'Factor Tables'!$I$165:$Q$192,MATCH($CL124,'Factor Tables'!$I$164:$Q$164,0),FALSE),IF($CL124="DX HP",VLOOKUP($D124,'Factor Tables'!$I$165:$Q$192,MATCH("DX HP Clg",'Factor Tables'!$I$164:$Q$164,0),FALSE),IF($CL124="PTHP",VLOOKUP($D124,'Factor Tables'!$I$165:$Q$192,MATCH("PTHP Clg",'Factor Tables'!$I$164:$Q$164,0),FALSE),""))))</f>
        <v/>
      </c>
      <c r="CV124" s="186" t="str">
        <f>IF($CL124="","",IF(AND($CL124&lt;&gt;"DX HP",$CL124&lt;&gt;"PTHP"),0,IF($CL124="DX HP",VLOOKUP($D124,'Factor Tables'!$I$165:$Q$192,MATCH("DX HP Htg",'Factor Tables'!$I$164:$Q$164,0),FALSE),IF($CL124="PTHP",VLOOKUP($D124,'Factor Tables'!$I$165:$Q$192,MATCH("PTHP Htg",'Factor Tables'!$I$164:$Q$164,0),FALSE),""))))</f>
        <v/>
      </c>
      <c r="DD124" s="193" t="s">
        <v>364</v>
      </c>
      <c r="DE124" s="426"/>
      <c r="DI124" s="425"/>
      <c r="DJ124" s="425"/>
      <c r="DK124" s="425"/>
      <c r="DL124" s="425"/>
      <c r="DM124" s="493" t="s">
        <v>478</v>
      </c>
    </row>
    <row r="125" spans="2:117" s="427" customFormat="1" ht="21.95" customHeight="1" x14ac:dyDescent="0.25">
      <c r="B125" s="432">
        <v>116</v>
      </c>
      <c r="C125" s="499" t="str">
        <f t="shared" si="59"/>
        <v/>
      </c>
      <c r="D125" s="403" t="str">
        <f t="shared" si="60"/>
        <v/>
      </c>
      <c r="E125" s="541"/>
      <c r="F125" s="785"/>
      <c r="G125" s="728"/>
      <c r="H125" s="728"/>
      <c r="I125" s="728"/>
      <c r="J125" s="728"/>
      <c r="K125" s="728"/>
      <c r="L125" s="728"/>
      <c r="M125" s="764"/>
      <c r="N125" s="728"/>
      <c r="O125" s="764"/>
      <c r="P125" s="728"/>
      <c r="Q125" s="1142"/>
      <c r="R125" s="1133"/>
      <c r="S125" s="778"/>
      <c r="T125" s="767"/>
      <c r="U125" s="778"/>
      <c r="V125" s="751"/>
      <c r="W125" s="556"/>
      <c r="X125" s="785"/>
      <c r="Y125" s="542"/>
      <c r="Z125" s="500"/>
      <c r="AA125" s="500"/>
      <c r="AB125" s="500"/>
      <c r="AC125" s="500"/>
      <c r="AD125" s="529"/>
      <c r="AE125" s="527">
        <f t="shared" si="39"/>
        <v>0</v>
      </c>
      <c r="AF125" s="527">
        <f t="shared" si="61"/>
        <v>0</v>
      </c>
      <c r="AG125" s="527">
        <f t="shared" si="41"/>
        <v>0</v>
      </c>
      <c r="AH125" s="527">
        <f t="shared" si="42"/>
        <v>0</v>
      </c>
      <c r="AI125" s="527">
        <f t="shared" si="43"/>
        <v>0</v>
      </c>
      <c r="AJ125" s="527">
        <f t="shared" si="44"/>
        <v>999999999</v>
      </c>
      <c r="AK125" s="530"/>
      <c r="AL125" s="776"/>
      <c r="AM125" s="777"/>
      <c r="AN125" s="500"/>
      <c r="AO125" s="778"/>
      <c r="AP125" s="778"/>
      <c r="AQ125" s="500"/>
      <c r="AR125" s="531"/>
      <c r="AS125" s="403"/>
      <c r="AT125" s="524" t="str">
        <f t="shared" si="45"/>
        <v/>
      </c>
      <c r="AU125" s="311">
        <f t="shared" si="46"/>
        <v>0</v>
      </c>
      <c r="AV125" s="288">
        <f t="shared" si="62"/>
        <v>0</v>
      </c>
      <c r="AW125" s="290">
        <f>IF(ISERROR($AU125*'Utility Admin'!$E$4+$AV125*'Utility Admin'!$F$4),0,$AU125*'Utility Admin'!$E$4+$AV125*'Utility Admin'!$F$4)</f>
        <v>0</v>
      </c>
      <c r="AX125" s="323" t="str">
        <f t="shared" si="47"/>
        <v/>
      </c>
      <c r="AY125" s="322" t="str">
        <f t="shared" si="23"/>
        <v/>
      </c>
      <c r="AZ125" s="319">
        <f>Baselines!$CJ369</f>
        <v>0</v>
      </c>
      <c r="BA125" s="735">
        <f>Baselines!$CK369</f>
        <v>0</v>
      </c>
      <c r="BB125" s="839">
        <f>Baselines!$CM369</f>
        <v>0</v>
      </c>
      <c r="BC125" s="466">
        <f t="shared" si="48"/>
        <v>0</v>
      </c>
      <c r="BD125" s="464">
        <f t="shared" si="63"/>
        <v>0</v>
      </c>
      <c r="BE125" s="755">
        <f t="shared" si="49"/>
        <v>0</v>
      </c>
      <c r="BF125" s="755">
        <f t="shared" si="64"/>
        <v>0</v>
      </c>
      <c r="BG125" s="466">
        <f t="shared" si="50"/>
        <v>0</v>
      </c>
      <c r="BH125" s="464">
        <f t="shared" si="51"/>
        <v>0</v>
      </c>
      <c r="BI125" s="755">
        <f t="shared" si="52"/>
        <v>0</v>
      </c>
      <c r="BJ125" s="755">
        <f t="shared" si="65"/>
        <v>0</v>
      </c>
      <c r="BK125" s="333">
        <f>IF(OR($C125&lt;&gt;"Early Retirement",$H125=""),0,IF(AND($G125&lt;&gt;"Air Cooled Chiller",$G125&lt;&gt;"Water Cooled Chiller"),VLOOKUP($H125,'Early Retirement'!$CI$6:$CL$33,2,FALSE),IF($J125&lt;&gt;"Centrifugal",VLOOKUP($H125,'Early Retirement'!$CI$6:$CL$33,3,FALSE),IF($J125="Centrifugal",VLOOKUP($H125,'Early Retirement'!$CI$6:$CL$33,4,FALSE),""))))</f>
        <v>0</v>
      </c>
      <c r="BL125" s="450">
        <f t="shared" si="53"/>
        <v>0</v>
      </c>
      <c r="BM125" s="553">
        <f>IFERROR('Utility Admin'!$I$4*((1+'Utility Admin'!$G$4)/('Utility Admin'!$H$4-'Utility Admin'!$G$4))*(1-((1+'Utility Admin'!$G$4)/(1+'Utility Admin'!$H$4))^$BK125)*$BG125,0)</f>
        <v>0</v>
      </c>
      <c r="BN125" s="553">
        <f>IFERROR('Utility Admin'!$I$4*((1+'Utility Admin'!$G$4)/('Utility Admin'!$H$4-'Utility Admin'!$G$4))*(1-((1+'Utility Admin'!$G$4)/(1+'Utility Admin'!$H$4))^$BL125)*((1+'Utility Admin'!$G$4)^$BK125/(1+'Utility Admin'!$H$4)^$BK125)*$BC125,0)</f>
        <v>0</v>
      </c>
      <c r="BO125" s="553">
        <f t="shared" si="27"/>
        <v>0</v>
      </c>
      <c r="BP125" s="553">
        <f>IFERROR('Utility Admin'!$J$4*((1+'Utility Admin'!$G$4)/('Utility Admin'!$H$4-'Utility Admin'!$G$4))*(1-((1+'Utility Admin'!$G$4)/(1+'Utility Admin'!$H$4))^$BK125)*$BJ125,0)</f>
        <v>0</v>
      </c>
      <c r="BQ125" s="553">
        <f>IFERROR('Utility Admin'!$J$4*((1+'Utility Admin'!$G$4)/('Utility Admin'!$H$4-'Utility Admin'!$G$4))*(1-((1+'Utility Admin'!$G$4)/(1+'Utility Admin'!$H$4))^$BL125)*((1+'Utility Admin'!$G$4)^$BK125/(1+'Utility Admin'!$H$4)^$BK125)*$BF125,0)</f>
        <v>0</v>
      </c>
      <c r="BR125" s="553">
        <f t="shared" si="28"/>
        <v>0</v>
      </c>
      <c r="BS125" s="553">
        <f>IFERROR('Utility Admin'!$I$4*((1+'Utility Admin'!$G$4)/('Utility Admin'!$H$4-'Utility Admin'!$G$4))*(1-((1+'Utility Admin'!$G$4)/(1+'Utility Admin'!$H$4))^$AT125),0)</f>
        <v>0</v>
      </c>
      <c r="BT125" s="553">
        <f>IFERROR('Utility Admin'!$J$4*((1+'Utility Admin'!$G$4)/('Utility Admin'!$H$4-'Utility Admin'!$G$4))*(1-((1+'Utility Admin'!$G$4)/(1+'Utility Admin'!$H$4))^$AT125),0)</f>
        <v>0</v>
      </c>
      <c r="BU125" s="459">
        <f t="shared" si="66"/>
        <v>0</v>
      </c>
      <c r="BV125" s="462">
        <f t="shared" si="67"/>
        <v>0</v>
      </c>
      <c r="BW125" s="219" t="str">
        <f t="shared" si="54"/>
        <v/>
      </c>
      <c r="BX125" s="250" t="str">
        <f t="shared" si="68"/>
        <v/>
      </c>
      <c r="BY125" s="250" t="str">
        <f t="shared" si="55"/>
        <v/>
      </c>
      <c r="BZ125" s="184">
        <f t="shared" si="69"/>
        <v>0</v>
      </c>
      <c r="CA125" s="693">
        <f t="shared" si="70"/>
        <v>0</v>
      </c>
      <c r="CB125" s="836">
        <f t="shared" si="71"/>
        <v>0</v>
      </c>
      <c r="CC125" s="693">
        <f>IF(AND($C125="Early Retirement",$H125&lt;&gt;"",$R125&lt;&gt;"",$T125&lt;&gt;""),$BZ125,Baselines!$CJ118)</f>
        <v>0</v>
      </c>
      <c r="CD125" s="693">
        <f>IF(AND($C125="Early Retirement",$H125&lt;&gt;"",$R125&lt;&gt;"",$T125&lt;&gt;""),$CA125,Baselines!$CK118)</f>
        <v>0</v>
      </c>
      <c r="CE125" s="182" t="str">
        <f>Baselines!$CL118</f>
        <v>kW/ton</v>
      </c>
      <c r="CF125" s="850" t="str">
        <f t="shared" si="56"/>
        <v/>
      </c>
      <c r="CG125" s="833">
        <f>IF(AND($C125="Early Retirement",$H125&lt;&gt;"",$R125&lt;&gt;"",$T125&lt;&gt;""),$CB125,IF(AND(Baselines!$CM118=0,OR($CL125="DX HP",$CL125="PTHP")),$BB125,Baselines!$CM118))</f>
        <v>0</v>
      </c>
      <c r="CH125" s="830" t="s">
        <v>567</v>
      </c>
      <c r="CI125" s="185" t="str">
        <f>IF(OR($C125="Replace-on-Burnout",$C125="New Construction"),$CT125,IF($BW125="","",VLOOKUP($D125,'Factor Tables'!$B$165:$H$192,MATCH($BW125,'Factor Tables'!$B$164:$H$164,0),FALSE)))</f>
        <v/>
      </c>
      <c r="CJ125" s="842" t="str">
        <f>IF(OR($C125="Replace-on-Burnout",$C125="New Construction"),$CU125,IF($BW125="","",IF($BW125="DX HP",VLOOKUP($D125,'Factor Tables'!$I$165:$Q$192,MATCH("DX HP Clg",'Factor Tables'!$I$164:$Q$164,0),FALSE),IF($BW125="PTHP",VLOOKUP($D125,'Factor Tables'!$I$165:$Q$192,MATCH("PTHP Clg",'Factor Tables'!$I$164:$Q$164,0),FALSE),IF(AND($BW125&lt;&gt;"DX HP",$BW125&lt;&gt;"PTHP"),VLOOKUP($D125,'Factor Tables'!$I$165:$Q$192,MATCH($BW125,'Factor Tables'!$I$164:$Q$164,0),FALSE),"")))))</f>
        <v/>
      </c>
      <c r="CK125" s="186" t="str">
        <f>IF(OR($C125="Replace-on-Burnout",$C125="New Construction",$CL125="DX HP",$CL125="PTHP"),$CV125,IF($BW125="","",IF($BW125="DX HP",VLOOKUP($D125,'Factor Tables'!$I$165:$Q$192,MATCH("DX HP Htg",'Factor Tables'!$I$164:$Q$164,0),FALSE),IF($BW125="PTHP",VLOOKUP($D125,'Factor Tables'!$I$165:$Q$192,MATCH("PTHP Htg",'Factor Tables'!$I$164:$Q$164,0),FALSE),0))))</f>
        <v/>
      </c>
      <c r="CL125" s="187" t="str">
        <f t="shared" si="57"/>
        <v/>
      </c>
      <c r="CM125" s="251" t="str">
        <f t="shared" si="58"/>
        <v/>
      </c>
      <c r="CN125" s="184">
        <f t="shared" si="72"/>
        <v>0</v>
      </c>
      <c r="CO125" s="693">
        <f t="shared" si="73"/>
        <v>0</v>
      </c>
      <c r="CP125" s="182" t="s">
        <v>46</v>
      </c>
      <c r="CQ125" s="852" t="str">
        <f t="shared" si="74"/>
        <v/>
      </c>
      <c r="CR125" s="833">
        <f t="shared" si="75"/>
        <v>0</v>
      </c>
      <c r="CS125" s="830" t="s">
        <v>567</v>
      </c>
      <c r="CT125" s="185" t="str">
        <f>IF($CL125="","",VLOOKUP($D125,'Factor Tables'!$B$165:$H$192,MATCH($CL125,'Factor Tables'!$B$164:$H$164,0),FALSE))</f>
        <v/>
      </c>
      <c r="CU125" s="842" t="str">
        <f>IF($CL125="","",IF(AND($CL125&lt;&gt;"DX HP",$CL125&lt;&gt;"PTHP"),VLOOKUP($D125,'Factor Tables'!$I$165:$Q$192,MATCH($CL125,'Factor Tables'!$I$164:$Q$164,0),FALSE),IF($CL125="DX HP",VLOOKUP($D125,'Factor Tables'!$I$165:$Q$192,MATCH("DX HP Clg",'Factor Tables'!$I$164:$Q$164,0),FALSE),IF($CL125="PTHP",VLOOKUP($D125,'Factor Tables'!$I$165:$Q$192,MATCH("PTHP Clg",'Factor Tables'!$I$164:$Q$164,0),FALSE),""))))</f>
        <v/>
      </c>
      <c r="CV125" s="186" t="str">
        <f>IF($CL125="","",IF(AND($CL125&lt;&gt;"DX HP",$CL125&lt;&gt;"PTHP"),0,IF($CL125="DX HP",VLOOKUP($D125,'Factor Tables'!$I$165:$Q$192,MATCH("DX HP Htg",'Factor Tables'!$I$164:$Q$164,0),FALSE),IF($CL125="PTHP",VLOOKUP($D125,'Factor Tables'!$I$165:$Q$192,MATCH("PTHP Htg",'Factor Tables'!$I$164:$Q$164,0),FALSE),""))))</f>
        <v/>
      </c>
      <c r="DD125" s="77" t="s">
        <v>44</v>
      </c>
      <c r="DE125" s="426"/>
      <c r="DI125" s="425"/>
      <c r="DJ125" s="425"/>
      <c r="DK125" s="425"/>
      <c r="DL125" s="425"/>
      <c r="DM125" s="493" t="s">
        <v>478</v>
      </c>
    </row>
    <row r="126" spans="2:117" s="427" customFormat="1" ht="21.95" customHeight="1" x14ac:dyDescent="0.25">
      <c r="B126" s="431">
        <v>117</v>
      </c>
      <c r="C126" s="501" t="str">
        <f t="shared" si="59"/>
        <v/>
      </c>
      <c r="D126" s="502" t="str">
        <f t="shared" si="60"/>
        <v/>
      </c>
      <c r="E126" s="546"/>
      <c r="F126" s="547"/>
      <c r="G126" s="729"/>
      <c r="H126" s="729"/>
      <c r="I126" s="729"/>
      <c r="J126" s="729"/>
      <c r="K126" s="729"/>
      <c r="L126" s="729"/>
      <c r="M126" s="765"/>
      <c r="N126" s="758"/>
      <c r="O126" s="765"/>
      <c r="P126" s="758"/>
      <c r="Q126" s="1143"/>
      <c r="R126" s="1134"/>
      <c r="S126" s="775"/>
      <c r="T126" s="729"/>
      <c r="U126" s="775"/>
      <c r="V126" s="779"/>
      <c r="W126" s="557"/>
      <c r="X126" s="788"/>
      <c r="Y126" s="543"/>
      <c r="Z126" s="281"/>
      <c r="AA126" s="281"/>
      <c r="AB126" s="281"/>
      <c r="AC126" s="281"/>
      <c r="AD126" s="492"/>
      <c r="AE126" s="527">
        <f t="shared" si="39"/>
        <v>0</v>
      </c>
      <c r="AF126" s="527">
        <f t="shared" si="61"/>
        <v>0</v>
      </c>
      <c r="AG126" s="527">
        <f t="shared" si="41"/>
        <v>0</v>
      </c>
      <c r="AH126" s="527">
        <f t="shared" si="42"/>
        <v>0</v>
      </c>
      <c r="AI126" s="527">
        <f t="shared" si="43"/>
        <v>0</v>
      </c>
      <c r="AJ126" s="527">
        <f t="shared" si="44"/>
        <v>999999999</v>
      </c>
      <c r="AK126" s="471"/>
      <c r="AL126" s="765"/>
      <c r="AM126" s="758"/>
      <c r="AN126" s="281"/>
      <c r="AO126" s="775"/>
      <c r="AP126" s="775"/>
      <c r="AQ126" s="281"/>
      <c r="AR126" s="528"/>
      <c r="AS126" s="532"/>
      <c r="AT126" s="524" t="str">
        <f t="shared" si="45"/>
        <v/>
      </c>
      <c r="AU126" s="311">
        <f t="shared" si="46"/>
        <v>0</v>
      </c>
      <c r="AV126" s="288">
        <f t="shared" si="62"/>
        <v>0</v>
      </c>
      <c r="AW126" s="290">
        <f>IF(ISERROR($AU126*'Utility Admin'!$E$4+$AV126*'Utility Admin'!$F$4),0,$AU126*'Utility Admin'!$E$4+$AV126*'Utility Admin'!$F$4)</f>
        <v>0</v>
      </c>
      <c r="AX126" s="323" t="str">
        <f t="shared" si="47"/>
        <v/>
      </c>
      <c r="AY126" s="322" t="str">
        <f t="shared" si="23"/>
        <v/>
      </c>
      <c r="AZ126" s="319">
        <f>Baselines!$CJ370</f>
        <v>0</v>
      </c>
      <c r="BA126" s="735">
        <f>Baselines!$CK370</f>
        <v>0</v>
      </c>
      <c r="BB126" s="839">
        <f>Baselines!$CM370</f>
        <v>0</v>
      </c>
      <c r="BC126" s="466">
        <f t="shared" si="48"/>
        <v>0</v>
      </c>
      <c r="BD126" s="464">
        <f t="shared" si="63"/>
        <v>0</v>
      </c>
      <c r="BE126" s="755">
        <f t="shared" si="49"/>
        <v>0</v>
      </c>
      <c r="BF126" s="755">
        <f t="shared" si="64"/>
        <v>0</v>
      </c>
      <c r="BG126" s="466">
        <f t="shared" si="50"/>
        <v>0</v>
      </c>
      <c r="BH126" s="464">
        <f t="shared" si="51"/>
        <v>0</v>
      </c>
      <c r="BI126" s="755">
        <f t="shared" si="52"/>
        <v>0</v>
      </c>
      <c r="BJ126" s="755">
        <f t="shared" si="65"/>
        <v>0</v>
      </c>
      <c r="BK126" s="333">
        <f>IF(OR($C126&lt;&gt;"Early Retirement",$H126=""),0,IF(AND($G126&lt;&gt;"Air Cooled Chiller",$G126&lt;&gt;"Water Cooled Chiller"),VLOOKUP($H126,'Early Retirement'!$CI$6:$CL$33,2,FALSE),IF($J126&lt;&gt;"Centrifugal",VLOOKUP($H126,'Early Retirement'!$CI$6:$CL$33,3,FALSE),IF($J126="Centrifugal",VLOOKUP($H126,'Early Retirement'!$CI$6:$CL$33,4,FALSE),""))))</f>
        <v>0</v>
      </c>
      <c r="BL126" s="450">
        <f t="shared" si="53"/>
        <v>0</v>
      </c>
      <c r="BM126" s="553">
        <f>IFERROR('Utility Admin'!$I$4*((1+'Utility Admin'!$G$4)/('Utility Admin'!$H$4-'Utility Admin'!$G$4))*(1-((1+'Utility Admin'!$G$4)/(1+'Utility Admin'!$H$4))^$BK126)*$BG126,0)</f>
        <v>0</v>
      </c>
      <c r="BN126" s="553">
        <f>IFERROR('Utility Admin'!$I$4*((1+'Utility Admin'!$G$4)/('Utility Admin'!$H$4-'Utility Admin'!$G$4))*(1-((1+'Utility Admin'!$G$4)/(1+'Utility Admin'!$H$4))^$BL126)*((1+'Utility Admin'!$G$4)^$BK126/(1+'Utility Admin'!$H$4)^$BK126)*$BC126,0)</f>
        <v>0</v>
      </c>
      <c r="BO126" s="553">
        <f t="shared" si="27"/>
        <v>0</v>
      </c>
      <c r="BP126" s="553">
        <f>IFERROR('Utility Admin'!$J$4*((1+'Utility Admin'!$G$4)/('Utility Admin'!$H$4-'Utility Admin'!$G$4))*(1-((1+'Utility Admin'!$G$4)/(1+'Utility Admin'!$H$4))^$BK126)*$BJ126,0)</f>
        <v>0</v>
      </c>
      <c r="BQ126" s="553">
        <f>IFERROR('Utility Admin'!$J$4*((1+'Utility Admin'!$G$4)/('Utility Admin'!$H$4-'Utility Admin'!$G$4))*(1-((1+'Utility Admin'!$G$4)/(1+'Utility Admin'!$H$4))^$BL126)*((1+'Utility Admin'!$G$4)^$BK126/(1+'Utility Admin'!$H$4)^$BK126)*$BF126,0)</f>
        <v>0</v>
      </c>
      <c r="BR126" s="553">
        <f t="shared" si="28"/>
        <v>0</v>
      </c>
      <c r="BS126" s="553">
        <f>IFERROR('Utility Admin'!$I$4*((1+'Utility Admin'!$G$4)/('Utility Admin'!$H$4-'Utility Admin'!$G$4))*(1-((1+'Utility Admin'!$G$4)/(1+'Utility Admin'!$H$4))^$AT126),0)</f>
        <v>0</v>
      </c>
      <c r="BT126" s="553">
        <f>IFERROR('Utility Admin'!$J$4*((1+'Utility Admin'!$G$4)/('Utility Admin'!$H$4-'Utility Admin'!$G$4))*(1-((1+'Utility Admin'!$G$4)/(1+'Utility Admin'!$H$4))^$AT126),0)</f>
        <v>0</v>
      </c>
      <c r="BU126" s="459">
        <f t="shared" si="66"/>
        <v>0</v>
      </c>
      <c r="BV126" s="462">
        <f t="shared" si="67"/>
        <v>0</v>
      </c>
      <c r="BW126" s="219" t="str">
        <f t="shared" si="54"/>
        <v/>
      </c>
      <c r="BX126" s="250" t="str">
        <f t="shared" si="68"/>
        <v/>
      </c>
      <c r="BY126" s="250" t="str">
        <f t="shared" si="55"/>
        <v/>
      </c>
      <c r="BZ126" s="184">
        <f t="shared" si="69"/>
        <v>0</v>
      </c>
      <c r="CA126" s="693">
        <f t="shared" si="70"/>
        <v>0</v>
      </c>
      <c r="CB126" s="836">
        <f t="shared" si="71"/>
        <v>0</v>
      </c>
      <c r="CC126" s="693">
        <f>IF(AND($C126="Early Retirement",$H126&lt;&gt;"",$R126&lt;&gt;"",$T126&lt;&gt;""),$BZ126,Baselines!$CJ119)</f>
        <v>0</v>
      </c>
      <c r="CD126" s="693">
        <f>IF(AND($C126="Early Retirement",$H126&lt;&gt;"",$R126&lt;&gt;"",$T126&lt;&gt;""),$CA126,Baselines!$CK119)</f>
        <v>0</v>
      </c>
      <c r="CE126" s="182" t="str">
        <f>Baselines!$CL119</f>
        <v>kW/ton</v>
      </c>
      <c r="CF126" s="850" t="str">
        <f t="shared" si="56"/>
        <v/>
      </c>
      <c r="CG126" s="833">
        <f>IF(AND($C126="Early Retirement",$H126&lt;&gt;"",$R126&lt;&gt;"",$T126&lt;&gt;""),$CB126,IF(AND(Baselines!$CM119=0,OR($CL126="DX HP",$CL126="PTHP")),$BB126,Baselines!$CM119))</f>
        <v>0</v>
      </c>
      <c r="CH126" s="830" t="s">
        <v>567</v>
      </c>
      <c r="CI126" s="185" t="str">
        <f>IF(OR($C126="Replace-on-Burnout",$C126="New Construction"),$CT126,IF($BW126="","",VLOOKUP($D126,'Factor Tables'!$B$165:$H$192,MATCH($BW126,'Factor Tables'!$B$164:$H$164,0),FALSE)))</f>
        <v/>
      </c>
      <c r="CJ126" s="842" t="str">
        <f>IF(OR($C126="Replace-on-Burnout",$C126="New Construction"),$CU126,IF($BW126="","",IF($BW126="DX HP",VLOOKUP($D126,'Factor Tables'!$I$165:$Q$192,MATCH("DX HP Clg",'Factor Tables'!$I$164:$Q$164,0),FALSE),IF($BW126="PTHP",VLOOKUP($D126,'Factor Tables'!$I$165:$Q$192,MATCH("PTHP Clg",'Factor Tables'!$I$164:$Q$164,0),FALSE),IF(AND($BW126&lt;&gt;"DX HP",$BW126&lt;&gt;"PTHP"),VLOOKUP($D126,'Factor Tables'!$I$165:$Q$192,MATCH($BW126,'Factor Tables'!$I$164:$Q$164,0),FALSE),"")))))</f>
        <v/>
      </c>
      <c r="CK126" s="186" t="str">
        <f>IF(OR($C126="Replace-on-Burnout",$C126="New Construction",$CL126="DX HP",$CL126="PTHP"),$CV126,IF($BW126="","",IF($BW126="DX HP",VLOOKUP($D126,'Factor Tables'!$I$165:$Q$192,MATCH("DX HP Htg",'Factor Tables'!$I$164:$Q$164,0),FALSE),IF($BW126="PTHP",VLOOKUP($D126,'Factor Tables'!$I$165:$Q$192,MATCH("PTHP Htg",'Factor Tables'!$I$164:$Q$164,0),FALSE),0))))</f>
        <v/>
      </c>
      <c r="CL126" s="187" t="str">
        <f t="shared" si="57"/>
        <v/>
      </c>
      <c r="CM126" s="251" t="str">
        <f t="shared" si="58"/>
        <v/>
      </c>
      <c r="CN126" s="184">
        <f t="shared" si="72"/>
        <v>0</v>
      </c>
      <c r="CO126" s="693">
        <f t="shared" si="73"/>
        <v>0</v>
      </c>
      <c r="CP126" s="182" t="s">
        <v>46</v>
      </c>
      <c r="CQ126" s="852" t="str">
        <f t="shared" si="74"/>
        <v/>
      </c>
      <c r="CR126" s="833">
        <f t="shared" si="75"/>
        <v>0</v>
      </c>
      <c r="CS126" s="830" t="s">
        <v>567</v>
      </c>
      <c r="CT126" s="185" t="str">
        <f>IF($CL126="","",VLOOKUP($D126,'Factor Tables'!$B$165:$H$192,MATCH($CL126,'Factor Tables'!$B$164:$H$164,0),FALSE))</f>
        <v/>
      </c>
      <c r="CU126" s="842" t="str">
        <f>IF($CL126="","",IF(AND($CL126&lt;&gt;"DX HP",$CL126&lt;&gt;"PTHP"),VLOOKUP($D126,'Factor Tables'!$I$165:$Q$192,MATCH($CL126,'Factor Tables'!$I$164:$Q$164,0),FALSE),IF($CL126="DX HP",VLOOKUP($D126,'Factor Tables'!$I$165:$Q$192,MATCH("DX HP Clg",'Factor Tables'!$I$164:$Q$164,0),FALSE),IF($CL126="PTHP",VLOOKUP($D126,'Factor Tables'!$I$165:$Q$192,MATCH("PTHP Clg",'Factor Tables'!$I$164:$Q$164,0),FALSE),""))))</f>
        <v/>
      </c>
      <c r="CV126" s="186" t="str">
        <f>IF($CL126="","",IF(AND($CL126&lt;&gt;"DX HP",$CL126&lt;&gt;"PTHP"),0,IF($CL126="DX HP",VLOOKUP($D126,'Factor Tables'!$I$165:$Q$192,MATCH("DX HP Htg",'Factor Tables'!$I$164:$Q$164,0),FALSE),IF($CL126="PTHP",VLOOKUP($D126,'Factor Tables'!$I$165:$Q$192,MATCH("PTHP Htg",'Factor Tables'!$I$164:$Q$164,0),FALSE),""))))</f>
        <v/>
      </c>
      <c r="DD126" s="77" t="s">
        <v>43</v>
      </c>
      <c r="DE126" s="426"/>
      <c r="DI126" s="425"/>
      <c r="DJ126" s="425"/>
      <c r="DK126" s="425"/>
      <c r="DL126" s="425"/>
      <c r="DM126" s="493" t="s">
        <v>478</v>
      </c>
    </row>
    <row r="127" spans="2:117" s="427" customFormat="1" ht="21.95" customHeight="1" x14ac:dyDescent="0.25">
      <c r="B127" s="432">
        <v>118</v>
      </c>
      <c r="C127" s="499" t="str">
        <f t="shared" si="59"/>
        <v/>
      </c>
      <c r="D127" s="403" t="str">
        <f t="shared" si="60"/>
        <v/>
      </c>
      <c r="E127" s="541"/>
      <c r="F127" s="785"/>
      <c r="G127" s="728"/>
      <c r="H127" s="728"/>
      <c r="I127" s="728"/>
      <c r="J127" s="728"/>
      <c r="K127" s="728"/>
      <c r="L127" s="728"/>
      <c r="M127" s="764"/>
      <c r="N127" s="728"/>
      <c r="O127" s="764"/>
      <c r="P127" s="728"/>
      <c r="Q127" s="1142"/>
      <c r="R127" s="1133"/>
      <c r="S127" s="778"/>
      <c r="T127" s="767"/>
      <c r="U127" s="778"/>
      <c r="V127" s="751"/>
      <c r="W127" s="556"/>
      <c r="X127" s="785"/>
      <c r="Y127" s="542"/>
      <c r="Z127" s="500"/>
      <c r="AA127" s="500"/>
      <c r="AB127" s="500"/>
      <c r="AC127" s="500"/>
      <c r="AD127" s="529"/>
      <c r="AE127" s="527">
        <f t="shared" si="39"/>
        <v>0</v>
      </c>
      <c r="AF127" s="527">
        <f t="shared" si="61"/>
        <v>0</v>
      </c>
      <c r="AG127" s="527">
        <f t="shared" si="41"/>
        <v>0</v>
      </c>
      <c r="AH127" s="527">
        <f t="shared" si="42"/>
        <v>0</v>
      </c>
      <c r="AI127" s="527">
        <f t="shared" si="43"/>
        <v>0</v>
      </c>
      <c r="AJ127" s="527">
        <f t="shared" si="44"/>
        <v>999999999</v>
      </c>
      <c r="AK127" s="530"/>
      <c r="AL127" s="776"/>
      <c r="AM127" s="777"/>
      <c r="AN127" s="500"/>
      <c r="AO127" s="778"/>
      <c r="AP127" s="778"/>
      <c r="AQ127" s="500"/>
      <c r="AR127" s="531"/>
      <c r="AS127" s="403"/>
      <c r="AT127" s="524" t="str">
        <f t="shared" si="45"/>
        <v/>
      </c>
      <c r="AU127" s="311">
        <f t="shared" si="46"/>
        <v>0</v>
      </c>
      <c r="AV127" s="288">
        <f t="shared" si="62"/>
        <v>0</v>
      </c>
      <c r="AW127" s="290">
        <f>IF(ISERROR($AU127*'Utility Admin'!$E$4+$AV127*'Utility Admin'!$F$4),0,$AU127*'Utility Admin'!$E$4+$AV127*'Utility Admin'!$F$4)</f>
        <v>0</v>
      </c>
      <c r="AX127" s="323" t="str">
        <f t="shared" si="47"/>
        <v/>
      </c>
      <c r="AY127" s="322" t="str">
        <f t="shared" si="23"/>
        <v/>
      </c>
      <c r="AZ127" s="319">
        <f>Baselines!$CJ371</f>
        <v>0</v>
      </c>
      <c r="BA127" s="735">
        <f>Baselines!$CK371</f>
        <v>0</v>
      </c>
      <c r="BB127" s="839">
        <f>Baselines!$CM371</f>
        <v>0</v>
      </c>
      <c r="BC127" s="466">
        <f t="shared" si="48"/>
        <v>0</v>
      </c>
      <c r="BD127" s="464">
        <f t="shared" si="63"/>
        <v>0</v>
      </c>
      <c r="BE127" s="755">
        <f t="shared" si="49"/>
        <v>0</v>
      </c>
      <c r="BF127" s="755">
        <f t="shared" si="64"/>
        <v>0</v>
      </c>
      <c r="BG127" s="466">
        <f t="shared" si="50"/>
        <v>0</v>
      </c>
      <c r="BH127" s="464">
        <f t="shared" si="51"/>
        <v>0</v>
      </c>
      <c r="BI127" s="755">
        <f t="shared" si="52"/>
        <v>0</v>
      </c>
      <c r="BJ127" s="755">
        <f t="shared" si="65"/>
        <v>0</v>
      </c>
      <c r="BK127" s="333">
        <f>IF(OR($C127&lt;&gt;"Early Retirement",$H127=""),0,IF(AND($G127&lt;&gt;"Air Cooled Chiller",$G127&lt;&gt;"Water Cooled Chiller"),VLOOKUP($H127,'Early Retirement'!$CI$6:$CL$33,2,FALSE),IF($J127&lt;&gt;"Centrifugal",VLOOKUP($H127,'Early Retirement'!$CI$6:$CL$33,3,FALSE),IF($J127="Centrifugal",VLOOKUP($H127,'Early Retirement'!$CI$6:$CL$33,4,FALSE),""))))</f>
        <v>0</v>
      </c>
      <c r="BL127" s="450">
        <f t="shared" si="53"/>
        <v>0</v>
      </c>
      <c r="BM127" s="553">
        <f>IFERROR('Utility Admin'!$I$4*((1+'Utility Admin'!$G$4)/('Utility Admin'!$H$4-'Utility Admin'!$G$4))*(1-((1+'Utility Admin'!$G$4)/(1+'Utility Admin'!$H$4))^$BK127)*$BG127,0)</f>
        <v>0</v>
      </c>
      <c r="BN127" s="553">
        <f>IFERROR('Utility Admin'!$I$4*((1+'Utility Admin'!$G$4)/('Utility Admin'!$H$4-'Utility Admin'!$G$4))*(1-((1+'Utility Admin'!$G$4)/(1+'Utility Admin'!$H$4))^$BL127)*((1+'Utility Admin'!$G$4)^$BK127/(1+'Utility Admin'!$H$4)^$BK127)*$BC127,0)</f>
        <v>0</v>
      </c>
      <c r="BO127" s="553">
        <f t="shared" si="27"/>
        <v>0</v>
      </c>
      <c r="BP127" s="553">
        <f>IFERROR('Utility Admin'!$J$4*((1+'Utility Admin'!$G$4)/('Utility Admin'!$H$4-'Utility Admin'!$G$4))*(1-((1+'Utility Admin'!$G$4)/(1+'Utility Admin'!$H$4))^$BK127)*$BJ127,0)</f>
        <v>0</v>
      </c>
      <c r="BQ127" s="553">
        <f>IFERROR('Utility Admin'!$J$4*((1+'Utility Admin'!$G$4)/('Utility Admin'!$H$4-'Utility Admin'!$G$4))*(1-((1+'Utility Admin'!$G$4)/(1+'Utility Admin'!$H$4))^$BL127)*((1+'Utility Admin'!$G$4)^$BK127/(1+'Utility Admin'!$H$4)^$BK127)*$BF127,0)</f>
        <v>0</v>
      </c>
      <c r="BR127" s="553">
        <f t="shared" si="28"/>
        <v>0</v>
      </c>
      <c r="BS127" s="553">
        <f>IFERROR('Utility Admin'!$I$4*((1+'Utility Admin'!$G$4)/('Utility Admin'!$H$4-'Utility Admin'!$G$4))*(1-((1+'Utility Admin'!$G$4)/(1+'Utility Admin'!$H$4))^$AT127),0)</f>
        <v>0</v>
      </c>
      <c r="BT127" s="553">
        <f>IFERROR('Utility Admin'!$J$4*((1+'Utility Admin'!$G$4)/('Utility Admin'!$H$4-'Utility Admin'!$G$4))*(1-((1+'Utility Admin'!$G$4)/(1+'Utility Admin'!$H$4))^$AT127),0)</f>
        <v>0</v>
      </c>
      <c r="BU127" s="459">
        <f t="shared" si="66"/>
        <v>0</v>
      </c>
      <c r="BV127" s="462">
        <f t="shared" si="67"/>
        <v>0</v>
      </c>
      <c r="BW127" s="219" t="str">
        <f t="shared" si="54"/>
        <v/>
      </c>
      <c r="BX127" s="250" t="str">
        <f t="shared" si="68"/>
        <v/>
      </c>
      <c r="BY127" s="250" t="str">
        <f t="shared" si="55"/>
        <v/>
      </c>
      <c r="BZ127" s="184">
        <f t="shared" si="69"/>
        <v>0</v>
      </c>
      <c r="CA127" s="693">
        <f t="shared" si="70"/>
        <v>0</v>
      </c>
      <c r="CB127" s="836">
        <f t="shared" si="71"/>
        <v>0</v>
      </c>
      <c r="CC127" s="693">
        <f>IF(AND($C127="Early Retirement",$H127&lt;&gt;"",$R127&lt;&gt;"",$T127&lt;&gt;""),$BZ127,Baselines!$CJ120)</f>
        <v>0</v>
      </c>
      <c r="CD127" s="693">
        <f>IF(AND($C127="Early Retirement",$H127&lt;&gt;"",$R127&lt;&gt;"",$T127&lt;&gt;""),$CA127,Baselines!$CK120)</f>
        <v>0</v>
      </c>
      <c r="CE127" s="182" t="str">
        <f>Baselines!$CL120</f>
        <v>kW/ton</v>
      </c>
      <c r="CF127" s="850" t="str">
        <f t="shared" si="56"/>
        <v/>
      </c>
      <c r="CG127" s="833">
        <f>IF(AND($C127="Early Retirement",$H127&lt;&gt;"",$R127&lt;&gt;"",$T127&lt;&gt;""),$CB127,IF(AND(Baselines!$CM120=0,OR($CL127="DX HP",$CL127="PTHP")),$BB127,Baselines!$CM120))</f>
        <v>0</v>
      </c>
      <c r="CH127" s="830" t="s">
        <v>567</v>
      </c>
      <c r="CI127" s="185" t="str">
        <f>IF(OR($C127="Replace-on-Burnout",$C127="New Construction"),$CT127,IF($BW127="","",VLOOKUP($D127,'Factor Tables'!$B$165:$H$192,MATCH($BW127,'Factor Tables'!$B$164:$H$164,0),FALSE)))</f>
        <v/>
      </c>
      <c r="CJ127" s="842" t="str">
        <f>IF(OR($C127="Replace-on-Burnout",$C127="New Construction"),$CU127,IF($BW127="","",IF($BW127="DX HP",VLOOKUP($D127,'Factor Tables'!$I$165:$Q$192,MATCH("DX HP Clg",'Factor Tables'!$I$164:$Q$164,0),FALSE),IF($BW127="PTHP",VLOOKUP($D127,'Factor Tables'!$I$165:$Q$192,MATCH("PTHP Clg",'Factor Tables'!$I$164:$Q$164,0),FALSE),IF(AND($BW127&lt;&gt;"DX HP",$BW127&lt;&gt;"PTHP"),VLOOKUP($D127,'Factor Tables'!$I$165:$Q$192,MATCH($BW127,'Factor Tables'!$I$164:$Q$164,0),FALSE),"")))))</f>
        <v/>
      </c>
      <c r="CK127" s="186" t="str">
        <f>IF(OR($C127="Replace-on-Burnout",$C127="New Construction",$CL127="DX HP",$CL127="PTHP"),$CV127,IF($BW127="","",IF($BW127="DX HP",VLOOKUP($D127,'Factor Tables'!$I$165:$Q$192,MATCH("DX HP Htg",'Factor Tables'!$I$164:$Q$164,0),FALSE),IF($BW127="PTHP",VLOOKUP($D127,'Factor Tables'!$I$165:$Q$192,MATCH("PTHP Htg",'Factor Tables'!$I$164:$Q$164,0),FALSE),0))))</f>
        <v/>
      </c>
      <c r="CL127" s="187" t="str">
        <f t="shared" si="57"/>
        <v/>
      </c>
      <c r="CM127" s="251" t="str">
        <f t="shared" si="58"/>
        <v/>
      </c>
      <c r="CN127" s="184">
        <f t="shared" si="72"/>
        <v>0</v>
      </c>
      <c r="CO127" s="693">
        <f t="shared" si="73"/>
        <v>0</v>
      </c>
      <c r="CP127" s="182" t="s">
        <v>46</v>
      </c>
      <c r="CQ127" s="852" t="str">
        <f t="shared" si="74"/>
        <v/>
      </c>
      <c r="CR127" s="833">
        <f t="shared" si="75"/>
        <v>0</v>
      </c>
      <c r="CS127" s="830" t="s">
        <v>567</v>
      </c>
      <c r="CT127" s="185" t="str">
        <f>IF($CL127="","",VLOOKUP($D127,'Factor Tables'!$B$165:$H$192,MATCH($CL127,'Factor Tables'!$B$164:$H$164,0),FALSE))</f>
        <v/>
      </c>
      <c r="CU127" s="842" t="str">
        <f>IF($CL127="","",IF(AND($CL127&lt;&gt;"DX HP",$CL127&lt;&gt;"PTHP"),VLOOKUP($D127,'Factor Tables'!$I$165:$Q$192,MATCH($CL127,'Factor Tables'!$I$164:$Q$164,0),FALSE),IF($CL127="DX HP",VLOOKUP($D127,'Factor Tables'!$I$165:$Q$192,MATCH("DX HP Clg",'Factor Tables'!$I$164:$Q$164,0),FALSE),IF($CL127="PTHP",VLOOKUP($D127,'Factor Tables'!$I$165:$Q$192,MATCH("PTHP Clg",'Factor Tables'!$I$164:$Q$164,0),FALSE),""))))</f>
        <v/>
      </c>
      <c r="CV127" s="186" t="str">
        <f>IF($CL127="","",IF(AND($CL127&lt;&gt;"DX HP",$CL127&lt;&gt;"PTHP"),0,IF($CL127="DX HP",VLOOKUP($D127,'Factor Tables'!$I$165:$Q$192,MATCH("DX HP Htg",'Factor Tables'!$I$164:$Q$164,0),FALSE),IF($CL127="PTHP",VLOOKUP($D127,'Factor Tables'!$I$165:$Q$192,MATCH("PTHP Htg",'Factor Tables'!$I$164:$Q$164,0),FALSE),""))))</f>
        <v/>
      </c>
      <c r="DD127" s="194" t="s">
        <v>53</v>
      </c>
      <c r="DE127" s="426"/>
      <c r="DI127" s="425"/>
      <c r="DJ127" s="425"/>
      <c r="DK127" s="425"/>
      <c r="DL127" s="425"/>
      <c r="DM127" s="493" t="s">
        <v>478</v>
      </c>
    </row>
    <row r="128" spans="2:117" s="427" customFormat="1" ht="21.95" customHeight="1" x14ac:dyDescent="0.25">
      <c r="B128" s="431">
        <v>119</v>
      </c>
      <c r="C128" s="501" t="str">
        <f t="shared" si="59"/>
        <v/>
      </c>
      <c r="D128" s="502" t="str">
        <f t="shared" si="60"/>
        <v/>
      </c>
      <c r="E128" s="546"/>
      <c r="F128" s="547"/>
      <c r="G128" s="729"/>
      <c r="H128" s="729"/>
      <c r="I128" s="729"/>
      <c r="J128" s="729"/>
      <c r="K128" s="729"/>
      <c r="L128" s="729"/>
      <c r="M128" s="765"/>
      <c r="N128" s="758"/>
      <c r="O128" s="765"/>
      <c r="P128" s="758"/>
      <c r="Q128" s="1143"/>
      <c r="R128" s="1134"/>
      <c r="S128" s="775"/>
      <c r="T128" s="729"/>
      <c r="U128" s="775"/>
      <c r="V128" s="779"/>
      <c r="W128" s="557"/>
      <c r="X128" s="788"/>
      <c r="Y128" s="543"/>
      <c r="Z128" s="281"/>
      <c r="AA128" s="281"/>
      <c r="AB128" s="281"/>
      <c r="AC128" s="281"/>
      <c r="AD128" s="492"/>
      <c r="AE128" s="527">
        <f t="shared" si="39"/>
        <v>0</v>
      </c>
      <c r="AF128" s="527">
        <f t="shared" si="61"/>
        <v>0</v>
      </c>
      <c r="AG128" s="527">
        <f t="shared" si="41"/>
        <v>0</v>
      </c>
      <c r="AH128" s="527">
        <f t="shared" si="42"/>
        <v>0</v>
      </c>
      <c r="AI128" s="527">
        <f t="shared" si="43"/>
        <v>0</v>
      </c>
      <c r="AJ128" s="527">
        <f t="shared" si="44"/>
        <v>999999999</v>
      </c>
      <c r="AK128" s="471"/>
      <c r="AL128" s="765"/>
      <c r="AM128" s="758"/>
      <c r="AN128" s="281"/>
      <c r="AO128" s="775"/>
      <c r="AP128" s="775"/>
      <c r="AQ128" s="281"/>
      <c r="AR128" s="528"/>
      <c r="AS128" s="532"/>
      <c r="AT128" s="524" t="str">
        <f t="shared" si="45"/>
        <v/>
      </c>
      <c r="AU128" s="311">
        <f t="shared" si="46"/>
        <v>0</v>
      </c>
      <c r="AV128" s="288">
        <f t="shared" si="62"/>
        <v>0</v>
      </c>
      <c r="AW128" s="290">
        <f>IF(ISERROR($AU128*'Utility Admin'!$E$4+$AV128*'Utility Admin'!$F$4),0,$AU128*'Utility Admin'!$E$4+$AV128*'Utility Admin'!$F$4)</f>
        <v>0</v>
      </c>
      <c r="AX128" s="323" t="str">
        <f t="shared" si="47"/>
        <v/>
      </c>
      <c r="AY128" s="322" t="str">
        <f t="shared" si="23"/>
        <v/>
      </c>
      <c r="AZ128" s="319">
        <f>Baselines!$CJ372</f>
        <v>0</v>
      </c>
      <c r="BA128" s="735">
        <f>Baselines!$CK372</f>
        <v>0</v>
      </c>
      <c r="BB128" s="839">
        <f>Baselines!$CM372</f>
        <v>0</v>
      </c>
      <c r="BC128" s="466">
        <f t="shared" si="48"/>
        <v>0</v>
      </c>
      <c r="BD128" s="464">
        <f t="shared" si="63"/>
        <v>0</v>
      </c>
      <c r="BE128" s="755">
        <f t="shared" si="49"/>
        <v>0</v>
      </c>
      <c r="BF128" s="755">
        <f t="shared" si="64"/>
        <v>0</v>
      </c>
      <c r="BG128" s="466">
        <f t="shared" si="50"/>
        <v>0</v>
      </c>
      <c r="BH128" s="464">
        <f t="shared" si="51"/>
        <v>0</v>
      </c>
      <c r="BI128" s="755">
        <f t="shared" si="52"/>
        <v>0</v>
      </c>
      <c r="BJ128" s="755">
        <f t="shared" si="65"/>
        <v>0</v>
      </c>
      <c r="BK128" s="333">
        <f>IF(OR($C128&lt;&gt;"Early Retirement",$H128=""),0,IF(AND($G128&lt;&gt;"Air Cooled Chiller",$G128&lt;&gt;"Water Cooled Chiller"),VLOOKUP($H128,'Early Retirement'!$CI$6:$CL$33,2,FALSE),IF($J128&lt;&gt;"Centrifugal",VLOOKUP($H128,'Early Retirement'!$CI$6:$CL$33,3,FALSE),IF($J128="Centrifugal",VLOOKUP($H128,'Early Retirement'!$CI$6:$CL$33,4,FALSE),""))))</f>
        <v>0</v>
      </c>
      <c r="BL128" s="450">
        <f t="shared" si="53"/>
        <v>0</v>
      </c>
      <c r="BM128" s="553">
        <f>IFERROR('Utility Admin'!$I$4*((1+'Utility Admin'!$G$4)/('Utility Admin'!$H$4-'Utility Admin'!$G$4))*(1-((1+'Utility Admin'!$G$4)/(1+'Utility Admin'!$H$4))^$BK128)*$BG128,0)</f>
        <v>0</v>
      </c>
      <c r="BN128" s="553">
        <f>IFERROR('Utility Admin'!$I$4*((1+'Utility Admin'!$G$4)/('Utility Admin'!$H$4-'Utility Admin'!$G$4))*(1-((1+'Utility Admin'!$G$4)/(1+'Utility Admin'!$H$4))^$BL128)*((1+'Utility Admin'!$G$4)^$BK128/(1+'Utility Admin'!$H$4)^$BK128)*$BC128,0)</f>
        <v>0</v>
      </c>
      <c r="BO128" s="553">
        <f t="shared" si="27"/>
        <v>0</v>
      </c>
      <c r="BP128" s="553">
        <f>IFERROR('Utility Admin'!$J$4*((1+'Utility Admin'!$G$4)/('Utility Admin'!$H$4-'Utility Admin'!$G$4))*(1-((1+'Utility Admin'!$G$4)/(1+'Utility Admin'!$H$4))^$BK128)*$BJ128,0)</f>
        <v>0</v>
      </c>
      <c r="BQ128" s="553">
        <f>IFERROR('Utility Admin'!$J$4*((1+'Utility Admin'!$G$4)/('Utility Admin'!$H$4-'Utility Admin'!$G$4))*(1-((1+'Utility Admin'!$G$4)/(1+'Utility Admin'!$H$4))^$BL128)*((1+'Utility Admin'!$G$4)^$BK128/(1+'Utility Admin'!$H$4)^$BK128)*$BF128,0)</f>
        <v>0</v>
      </c>
      <c r="BR128" s="553">
        <f t="shared" si="28"/>
        <v>0</v>
      </c>
      <c r="BS128" s="553">
        <f>IFERROR('Utility Admin'!$I$4*((1+'Utility Admin'!$G$4)/('Utility Admin'!$H$4-'Utility Admin'!$G$4))*(1-((1+'Utility Admin'!$G$4)/(1+'Utility Admin'!$H$4))^$AT128),0)</f>
        <v>0</v>
      </c>
      <c r="BT128" s="553">
        <f>IFERROR('Utility Admin'!$J$4*((1+'Utility Admin'!$G$4)/('Utility Admin'!$H$4-'Utility Admin'!$G$4))*(1-((1+'Utility Admin'!$G$4)/(1+'Utility Admin'!$H$4))^$AT128),0)</f>
        <v>0</v>
      </c>
      <c r="BU128" s="459">
        <f t="shared" si="66"/>
        <v>0</v>
      </c>
      <c r="BV128" s="462">
        <f t="shared" si="67"/>
        <v>0</v>
      </c>
      <c r="BW128" s="219" t="str">
        <f t="shared" si="54"/>
        <v/>
      </c>
      <c r="BX128" s="250" t="str">
        <f t="shared" si="68"/>
        <v/>
      </c>
      <c r="BY128" s="250" t="str">
        <f t="shared" si="55"/>
        <v/>
      </c>
      <c r="BZ128" s="184">
        <f t="shared" si="69"/>
        <v>0</v>
      </c>
      <c r="CA128" s="693">
        <f t="shared" si="70"/>
        <v>0</v>
      </c>
      <c r="CB128" s="836">
        <f t="shared" si="71"/>
        <v>0</v>
      </c>
      <c r="CC128" s="693">
        <f>IF(AND($C128="Early Retirement",$H128&lt;&gt;"",$R128&lt;&gt;"",$T128&lt;&gt;""),$BZ128,Baselines!$CJ121)</f>
        <v>0</v>
      </c>
      <c r="CD128" s="693">
        <f>IF(AND($C128="Early Retirement",$H128&lt;&gt;"",$R128&lt;&gt;"",$T128&lt;&gt;""),$CA128,Baselines!$CK121)</f>
        <v>0</v>
      </c>
      <c r="CE128" s="182" t="str">
        <f>Baselines!$CL121</f>
        <v>kW/ton</v>
      </c>
      <c r="CF128" s="850" t="str">
        <f t="shared" si="56"/>
        <v/>
      </c>
      <c r="CG128" s="833">
        <f>IF(AND($C128="Early Retirement",$H128&lt;&gt;"",$R128&lt;&gt;"",$T128&lt;&gt;""),$CB128,IF(AND(Baselines!$CM121=0,OR($CL128="DX HP",$CL128="PTHP")),$BB128,Baselines!$CM121))</f>
        <v>0</v>
      </c>
      <c r="CH128" s="830" t="s">
        <v>567</v>
      </c>
      <c r="CI128" s="185" t="str">
        <f>IF(OR($C128="Replace-on-Burnout",$C128="New Construction"),$CT128,IF($BW128="","",VLOOKUP($D128,'Factor Tables'!$B$165:$H$192,MATCH($BW128,'Factor Tables'!$B$164:$H$164,0),FALSE)))</f>
        <v/>
      </c>
      <c r="CJ128" s="842" t="str">
        <f>IF(OR($C128="Replace-on-Burnout",$C128="New Construction"),$CU128,IF($BW128="","",IF($BW128="DX HP",VLOOKUP($D128,'Factor Tables'!$I$165:$Q$192,MATCH("DX HP Clg",'Factor Tables'!$I$164:$Q$164,0),FALSE),IF($BW128="PTHP",VLOOKUP($D128,'Factor Tables'!$I$165:$Q$192,MATCH("PTHP Clg",'Factor Tables'!$I$164:$Q$164,0),FALSE),IF(AND($BW128&lt;&gt;"DX HP",$BW128&lt;&gt;"PTHP"),VLOOKUP($D128,'Factor Tables'!$I$165:$Q$192,MATCH($BW128,'Factor Tables'!$I$164:$Q$164,0),FALSE),"")))))</f>
        <v/>
      </c>
      <c r="CK128" s="186" t="str">
        <f>IF(OR($C128="Replace-on-Burnout",$C128="New Construction",$CL128="DX HP",$CL128="PTHP"),$CV128,IF($BW128="","",IF($BW128="DX HP",VLOOKUP($D128,'Factor Tables'!$I$165:$Q$192,MATCH("DX HP Htg",'Factor Tables'!$I$164:$Q$164,0),FALSE),IF($BW128="PTHP",VLOOKUP($D128,'Factor Tables'!$I$165:$Q$192,MATCH("PTHP Htg",'Factor Tables'!$I$164:$Q$164,0),FALSE),0))))</f>
        <v/>
      </c>
      <c r="CL128" s="187" t="str">
        <f t="shared" si="57"/>
        <v/>
      </c>
      <c r="CM128" s="251" t="str">
        <f t="shared" si="58"/>
        <v/>
      </c>
      <c r="CN128" s="184">
        <f t="shared" si="72"/>
        <v>0</v>
      </c>
      <c r="CO128" s="693">
        <f t="shared" si="73"/>
        <v>0</v>
      </c>
      <c r="CP128" s="182" t="s">
        <v>46</v>
      </c>
      <c r="CQ128" s="852" t="str">
        <f t="shared" si="74"/>
        <v/>
      </c>
      <c r="CR128" s="833">
        <f t="shared" si="75"/>
        <v>0</v>
      </c>
      <c r="CS128" s="830" t="s">
        <v>567</v>
      </c>
      <c r="CT128" s="185" t="str">
        <f>IF($CL128="","",VLOOKUP($D128,'Factor Tables'!$B$165:$H$192,MATCH($CL128,'Factor Tables'!$B$164:$H$164,0),FALSE))</f>
        <v/>
      </c>
      <c r="CU128" s="842" t="str">
        <f>IF($CL128="","",IF(AND($CL128&lt;&gt;"DX HP",$CL128&lt;&gt;"PTHP"),VLOOKUP($D128,'Factor Tables'!$I$165:$Q$192,MATCH($CL128,'Factor Tables'!$I$164:$Q$164,0),FALSE),IF($CL128="DX HP",VLOOKUP($D128,'Factor Tables'!$I$165:$Q$192,MATCH("DX HP Clg",'Factor Tables'!$I$164:$Q$164,0),FALSE),IF($CL128="PTHP",VLOOKUP($D128,'Factor Tables'!$I$165:$Q$192,MATCH("PTHP Clg",'Factor Tables'!$I$164:$Q$164,0),FALSE),""))))</f>
        <v/>
      </c>
      <c r="CV128" s="186" t="str">
        <f>IF($CL128="","",IF(AND($CL128&lt;&gt;"DX HP",$CL128&lt;&gt;"PTHP"),0,IF($CL128="DX HP",VLOOKUP($D128,'Factor Tables'!$I$165:$Q$192,MATCH("DX HP Htg",'Factor Tables'!$I$164:$Q$164,0),FALSE),IF($CL128="PTHP",VLOOKUP($D128,'Factor Tables'!$I$165:$Q$192,MATCH("PTHP Htg",'Factor Tables'!$I$164:$Q$164,0),FALSE),""))))</f>
        <v/>
      </c>
      <c r="DD128" s="77" t="s">
        <v>54</v>
      </c>
      <c r="DE128" s="426"/>
      <c r="DI128" s="425"/>
      <c r="DJ128" s="425"/>
      <c r="DK128" s="425"/>
      <c r="DL128" s="425"/>
      <c r="DM128" s="493" t="s">
        <v>478</v>
      </c>
    </row>
    <row r="129" spans="2:117" s="427" customFormat="1" ht="21.95" customHeight="1" x14ac:dyDescent="0.25">
      <c r="B129" s="432">
        <v>120</v>
      </c>
      <c r="C129" s="499" t="str">
        <f t="shared" si="59"/>
        <v/>
      </c>
      <c r="D129" s="403" t="str">
        <f t="shared" si="60"/>
        <v/>
      </c>
      <c r="E129" s="541"/>
      <c r="F129" s="785"/>
      <c r="G129" s="728"/>
      <c r="H129" s="728"/>
      <c r="I129" s="728"/>
      <c r="J129" s="728"/>
      <c r="K129" s="728"/>
      <c r="L129" s="728"/>
      <c r="M129" s="764"/>
      <c r="N129" s="728"/>
      <c r="O129" s="764"/>
      <c r="P129" s="728"/>
      <c r="Q129" s="1142"/>
      <c r="R129" s="1133"/>
      <c r="S129" s="778"/>
      <c r="T129" s="767"/>
      <c r="U129" s="778"/>
      <c r="V129" s="751"/>
      <c r="W129" s="556"/>
      <c r="X129" s="785"/>
      <c r="Y129" s="542"/>
      <c r="Z129" s="500"/>
      <c r="AA129" s="500"/>
      <c r="AB129" s="500"/>
      <c r="AC129" s="500"/>
      <c r="AD129" s="529"/>
      <c r="AE129" s="527">
        <f t="shared" si="39"/>
        <v>0</v>
      </c>
      <c r="AF129" s="527">
        <f t="shared" si="61"/>
        <v>0</v>
      </c>
      <c r="AG129" s="527">
        <f t="shared" si="41"/>
        <v>0</v>
      </c>
      <c r="AH129" s="527">
        <f t="shared" si="42"/>
        <v>0</v>
      </c>
      <c r="AI129" s="527">
        <f t="shared" si="43"/>
        <v>0</v>
      </c>
      <c r="AJ129" s="527">
        <f t="shared" si="44"/>
        <v>999999999</v>
      </c>
      <c r="AK129" s="530"/>
      <c r="AL129" s="776"/>
      <c r="AM129" s="777"/>
      <c r="AN129" s="500"/>
      <c r="AO129" s="778"/>
      <c r="AP129" s="778"/>
      <c r="AQ129" s="500"/>
      <c r="AR129" s="531"/>
      <c r="AS129" s="403"/>
      <c r="AT129" s="524" t="str">
        <f t="shared" si="45"/>
        <v/>
      </c>
      <c r="AU129" s="311">
        <f t="shared" si="46"/>
        <v>0</v>
      </c>
      <c r="AV129" s="288">
        <f t="shared" si="62"/>
        <v>0</v>
      </c>
      <c r="AW129" s="290">
        <f>IF(ISERROR($AU129*'Utility Admin'!$E$4+$AV129*'Utility Admin'!$F$4),0,$AU129*'Utility Admin'!$E$4+$AV129*'Utility Admin'!$F$4)</f>
        <v>0</v>
      </c>
      <c r="AX129" s="323" t="str">
        <f t="shared" si="47"/>
        <v/>
      </c>
      <c r="AY129" s="322" t="str">
        <f t="shared" si="23"/>
        <v/>
      </c>
      <c r="AZ129" s="319">
        <f>Baselines!$CJ373</f>
        <v>0</v>
      </c>
      <c r="BA129" s="735">
        <f>Baselines!$CK373</f>
        <v>0</v>
      </c>
      <c r="BB129" s="839">
        <f>Baselines!$CM373</f>
        <v>0</v>
      </c>
      <c r="BC129" s="466">
        <f t="shared" si="48"/>
        <v>0</v>
      </c>
      <c r="BD129" s="464">
        <f t="shared" si="63"/>
        <v>0</v>
      </c>
      <c r="BE129" s="755">
        <f t="shared" si="49"/>
        <v>0</v>
      </c>
      <c r="BF129" s="755">
        <f t="shared" si="64"/>
        <v>0</v>
      </c>
      <c r="BG129" s="466">
        <f t="shared" si="50"/>
        <v>0</v>
      </c>
      <c r="BH129" s="464">
        <f t="shared" si="51"/>
        <v>0</v>
      </c>
      <c r="BI129" s="755">
        <f t="shared" si="52"/>
        <v>0</v>
      </c>
      <c r="BJ129" s="755">
        <f t="shared" si="65"/>
        <v>0</v>
      </c>
      <c r="BK129" s="333">
        <f>IF(OR($C129&lt;&gt;"Early Retirement",$H129=""),0,IF(AND($G129&lt;&gt;"Air Cooled Chiller",$G129&lt;&gt;"Water Cooled Chiller"),VLOOKUP($H129,'Early Retirement'!$CI$6:$CL$33,2,FALSE),IF($J129&lt;&gt;"Centrifugal",VLOOKUP($H129,'Early Retirement'!$CI$6:$CL$33,3,FALSE),IF($J129="Centrifugal",VLOOKUP($H129,'Early Retirement'!$CI$6:$CL$33,4,FALSE),""))))</f>
        <v>0</v>
      </c>
      <c r="BL129" s="450">
        <f t="shared" si="53"/>
        <v>0</v>
      </c>
      <c r="BM129" s="553">
        <f>IFERROR('Utility Admin'!$I$4*((1+'Utility Admin'!$G$4)/('Utility Admin'!$H$4-'Utility Admin'!$G$4))*(1-((1+'Utility Admin'!$G$4)/(1+'Utility Admin'!$H$4))^$BK129)*$BG129,0)</f>
        <v>0</v>
      </c>
      <c r="BN129" s="553">
        <f>IFERROR('Utility Admin'!$I$4*((1+'Utility Admin'!$G$4)/('Utility Admin'!$H$4-'Utility Admin'!$G$4))*(1-((1+'Utility Admin'!$G$4)/(1+'Utility Admin'!$H$4))^$BL129)*((1+'Utility Admin'!$G$4)^$BK129/(1+'Utility Admin'!$H$4)^$BK129)*$BC129,0)</f>
        <v>0</v>
      </c>
      <c r="BO129" s="553">
        <f t="shared" si="27"/>
        <v>0</v>
      </c>
      <c r="BP129" s="553">
        <f>IFERROR('Utility Admin'!$J$4*((1+'Utility Admin'!$G$4)/('Utility Admin'!$H$4-'Utility Admin'!$G$4))*(1-((1+'Utility Admin'!$G$4)/(1+'Utility Admin'!$H$4))^$BK129)*$BJ129,0)</f>
        <v>0</v>
      </c>
      <c r="BQ129" s="553">
        <f>IFERROR('Utility Admin'!$J$4*((1+'Utility Admin'!$G$4)/('Utility Admin'!$H$4-'Utility Admin'!$G$4))*(1-((1+'Utility Admin'!$G$4)/(1+'Utility Admin'!$H$4))^$BL129)*((1+'Utility Admin'!$G$4)^$BK129/(1+'Utility Admin'!$H$4)^$BK129)*$BF129,0)</f>
        <v>0</v>
      </c>
      <c r="BR129" s="553">
        <f t="shared" si="28"/>
        <v>0</v>
      </c>
      <c r="BS129" s="553">
        <f>IFERROR('Utility Admin'!$I$4*((1+'Utility Admin'!$G$4)/('Utility Admin'!$H$4-'Utility Admin'!$G$4))*(1-((1+'Utility Admin'!$G$4)/(1+'Utility Admin'!$H$4))^$AT129),0)</f>
        <v>0</v>
      </c>
      <c r="BT129" s="553">
        <f>IFERROR('Utility Admin'!$J$4*((1+'Utility Admin'!$G$4)/('Utility Admin'!$H$4-'Utility Admin'!$G$4))*(1-((1+'Utility Admin'!$G$4)/(1+'Utility Admin'!$H$4))^$AT129),0)</f>
        <v>0</v>
      </c>
      <c r="BU129" s="459">
        <f t="shared" si="66"/>
        <v>0</v>
      </c>
      <c r="BV129" s="462">
        <f t="shared" si="67"/>
        <v>0</v>
      </c>
      <c r="BW129" s="219" t="str">
        <f t="shared" si="54"/>
        <v/>
      </c>
      <c r="BX129" s="250" t="str">
        <f t="shared" si="68"/>
        <v/>
      </c>
      <c r="BY129" s="250" t="str">
        <f t="shared" si="55"/>
        <v/>
      </c>
      <c r="BZ129" s="184">
        <f t="shared" si="69"/>
        <v>0</v>
      </c>
      <c r="CA129" s="693">
        <f t="shared" si="70"/>
        <v>0</v>
      </c>
      <c r="CB129" s="836">
        <f t="shared" si="71"/>
        <v>0</v>
      </c>
      <c r="CC129" s="693">
        <f>IF(AND($C129="Early Retirement",$H129&lt;&gt;"",$R129&lt;&gt;"",$T129&lt;&gt;""),$BZ129,Baselines!$CJ122)</f>
        <v>0</v>
      </c>
      <c r="CD129" s="693">
        <f>IF(AND($C129="Early Retirement",$H129&lt;&gt;"",$R129&lt;&gt;"",$T129&lt;&gt;""),$CA129,Baselines!$CK122)</f>
        <v>0</v>
      </c>
      <c r="CE129" s="182" t="str">
        <f>Baselines!$CL122</f>
        <v>kW/ton</v>
      </c>
      <c r="CF129" s="850" t="str">
        <f t="shared" si="56"/>
        <v/>
      </c>
      <c r="CG129" s="833">
        <f>IF(AND($C129="Early Retirement",$H129&lt;&gt;"",$R129&lt;&gt;"",$T129&lt;&gt;""),$CB129,IF(AND(Baselines!$CM122=0,OR($CL129="DX HP",$CL129="PTHP")),$BB129,Baselines!$CM122))</f>
        <v>0</v>
      </c>
      <c r="CH129" s="830" t="s">
        <v>567</v>
      </c>
      <c r="CI129" s="185" t="str">
        <f>IF(OR($C129="Replace-on-Burnout",$C129="New Construction"),$CT129,IF($BW129="","",VLOOKUP($D129,'Factor Tables'!$B$165:$H$192,MATCH($BW129,'Factor Tables'!$B$164:$H$164,0),FALSE)))</f>
        <v/>
      </c>
      <c r="CJ129" s="842" t="str">
        <f>IF(OR($C129="Replace-on-Burnout",$C129="New Construction"),$CU129,IF($BW129="","",IF($BW129="DX HP",VLOOKUP($D129,'Factor Tables'!$I$165:$Q$192,MATCH("DX HP Clg",'Factor Tables'!$I$164:$Q$164,0),FALSE),IF($BW129="PTHP",VLOOKUP($D129,'Factor Tables'!$I$165:$Q$192,MATCH("PTHP Clg",'Factor Tables'!$I$164:$Q$164,0),FALSE),IF(AND($BW129&lt;&gt;"DX HP",$BW129&lt;&gt;"PTHP"),VLOOKUP($D129,'Factor Tables'!$I$165:$Q$192,MATCH($BW129,'Factor Tables'!$I$164:$Q$164,0),FALSE),"")))))</f>
        <v/>
      </c>
      <c r="CK129" s="186" t="str">
        <f>IF(OR($C129="Replace-on-Burnout",$C129="New Construction",$CL129="DX HP",$CL129="PTHP"),$CV129,IF($BW129="","",IF($BW129="DX HP",VLOOKUP($D129,'Factor Tables'!$I$165:$Q$192,MATCH("DX HP Htg",'Factor Tables'!$I$164:$Q$164,0),FALSE),IF($BW129="PTHP",VLOOKUP($D129,'Factor Tables'!$I$165:$Q$192,MATCH("PTHP Htg",'Factor Tables'!$I$164:$Q$164,0),FALSE),0))))</f>
        <v/>
      </c>
      <c r="CL129" s="187" t="str">
        <f t="shared" si="57"/>
        <v/>
      </c>
      <c r="CM129" s="251" t="str">
        <f t="shared" si="58"/>
        <v/>
      </c>
      <c r="CN129" s="184">
        <f t="shared" si="72"/>
        <v>0</v>
      </c>
      <c r="CO129" s="693">
        <f t="shared" si="73"/>
        <v>0</v>
      </c>
      <c r="CP129" s="182" t="s">
        <v>46</v>
      </c>
      <c r="CQ129" s="852" t="str">
        <f t="shared" si="74"/>
        <v/>
      </c>
      <c r="CR129" s="833">
        <f t="shared" si="75"/>
        <v>0</v>
      </c>
      <c r="CS129" s="830" t="s">
        <v>567</v>
      </c>
      <c r="CT129" s="185" t="str">
        <f>IF($CL129="","",VLOOKUP($D129,'Factor Tables'!$B$165:$H$192,MATCH($CL129,'Factor Tables'!$B$164:$H$164,0),FALSE))</f>
        <v/>
      </c>
      <c r="CU129" s="842" t="str">
        <f>IF($CL129="","",IF(AND($CL129&lt;&gt;"DX HP",$CL129&lt;&gt;"PTHP"),VLOOKUP($D129,'Factor Tables'!$I$165:$Q$192,MATCH($CL129,'Factor Tables'!$I$164:$Q$164,0),FALSE),IF($CL129="DX HP",VLOOKUP($D129,'Factor Tables'!$I$165:$Q$192,MATCH("DX HP Clg",'Factor Tables'!$I$164:$Q$164,0),FALSE),IF($CL129="PTHP",VLOOKUP($D129,'Factor Tables'!$I$165:$Q$192,MATCH("PTHP Clg",'Factor Tables'!$I$164:$Q$164,0),FALSE),""))))</f>
        <v/>
      </c>
      <c r="CV129" s="186" t="str">
        <f>IF($CL129="","",IF(AND($CL129&lt;&gt;"DX HP",$CL129&lt;&gt;"PTHP"),0,IF($CL129="DX HP",VLOOKUP($D129,'Factor Tables'!$I$165:$Q$192,MATCH("DX HP Htg",'Factor Tables'!$I$164:$Q$164,0),FALSE),IF($CL129="PTHP",VLOOKUP($D129,'Factor Tables'!$I$165:$Q$192,MATCH("PTHP Htg",'Factor Tables'!$I$164:$Q$164,0),FALSE),""))))</f>
        <v/>
      </c>
      <c r="DD129" s="845"/>
      <c r="DE129" s="426"/>
      <c r="DI129" s="425"/>
      <c r="DJ129" s="425"/>
      <c r="DK129" s="425"/>
      <c r="DL129" s="425"/>
      <c r="DM129" s="493" t="s">
        <v>478</v>
      </c>
    </row>
    <row r="130" spans="2:117" s="427" customFormat="1" ht="21.95" customHeight="1" x14ac:dyDescent="0.25">
      <c r="B130" s="431">
        <v>121</v>
      </c>
      <c r="C130" s="501" t="str">
        <f t="shared" si="59"/>
        <v/>
      </c>
      <c r="D130" s="502" t="str">
        <f t="shared" si="60"/>
        <v/>
      </c>
      <c r="E130" s="546"/>
      <c r="F130" s="547"/>
      <c r="G130" s="729"/>
      <c r="H130" s="729"/>
      <c r="I130" s="729"/>
      <c r="J130" s="729"/>
      <c r="K130" s="729"/>
      <c r="L130" s="729"/>
      <c r="M130" s="765"/>
      <c r="N130" s="758"/>
      <c r="O130" s="765"/>
      <c r="P130" s="758"/>
      <c r="Q130" s="1143"/>
      <c r="R130" s="1134"/>
      <c r="S130" s="775"/>
      <c r="T130" s="729"/>
      <c r="U130" s="775"/>
      <c r="V130" s="779"/>
      <c r="W130" s="557"/>
      <c r="X130" s="788"/>
      <c r="Y130" s="543"/>
      <c r="Z130" s="281"/>
      <c r="AA130" s="281"/>
      <c r="AB130" s="281"/>
      <c r="AC130" s="281"/>
      <c r="AD130" s="492"/>
      <c r="AE130" s="527">
        <f t="shared" si="39"/>
        <v>0</v>
      </c>
      <c r="AF130" s="527">
        <f t="shared" si="61"/>
        <v>0</v>
      </c>
      <c r="AG130" s="527">
        <f t="shared" si="41"/>
        <v>0</v>
      </c>
      <c r="AH130" s="527">
        <f t="shared" si="42"/>
        <v>0</v>
      </c>
      <c r="AI130" s="527">
        <f t="shared" si="43"/>
        <v>0</v>
      </c>
      <c r="AJ130" s="527">
        <f t="shared" si="44"/>
        <v>999999999</v>
      </c>
      <c r="AK130" s="471"/>
      <c r="AL130" s="765"/>
      <c r="AM130" s="758"/>
      <c r="AN130" s="281"/>
      <c r="AO130" s="775"/>
      <c r="AP130" s="775"/>
      <c r="AQ130" s="281"/>
      <c r="AR130" s="528"/>
      <c r="AS130" s="532"/>
      <c r="AT130" s="524" t="str">
        <f t="shared" si="45"/>
        <v/>
      </c>
      <c r="AU130" s="311">
        <f t="shared" si="46"/>
        <v>0</v>
      </c>
      <c r="AV130" s="288">
        <f t="shared" si="62"/>
        <v>0</v>
      </c>
      <c r="AW130" s="290">
        <f>IF(ISERROR($AU130*'Utility Admin'!$E$4+$AV130*'Utility Admin'!$F$4),0,$AU130*'Utility Admin'!$E$4+$AV130*'Utility Admin'!$F$4)</f>
        <v>0</v>
      </c>
      <c r="AX130" s="323" t="str">
        <f t="shared" si="47"/>
        <v/>
      </c>
      <c r="AY130" s="322" t="str">
        <f t="shared" si="23"/>
        <v/>
      </c>
      <c r="AZ130" s="319">
        <f>Baselines!$CJ374</f>
        <v>0</v>
      </c>
      <c r="BA130" s="735">
        <f>Baselines!$CK374</f>
        <v>0</v>
      </c>
      <c r="BB130" s="839">
        <f>Baselines!$CM374</f>
        <v>0</v>
      </c>
      <c r="BC130" s="466">
        <f t="shared" si="48"/>
        <v>0</v>
      </c>
      <c r="BD130" s="464">
        <f t="shared" si="63"/>
        <v>0</v>
      </c>
      <c r="BE130" s="755">
        <f t="shared" si="49"/>
        <v>0</v>
      </c>
      <c r="BF130" s="755">
        <f t="shared" si="64"/>
        <v>0</v>
      </c>
      <c r="BG130" s="466">
        <f t="shared" si="50"/>
        <v>0</v>
      </c>
      <c r="BH130" s="464">
        <f t="shared" si="51"/>
        <v>0</v>
      </c>
      <c r="BI130" s="755">
        <f t="shared" si="52"/>
        <v>0</v>
      </c>
      <c r="BJ130" s="755">
        <f t="shared" si="65"/>
        <v>0</v>
      </c>
      <c r="BK130" s="333">
        <f>IF(OR($C130&lt;&gt;"Early Retirement",$H130=""),0,IF(AND($G130&lt;&gt;"Air Cooled Chiller",$G130&lt;&gt;"Water Cooled Chiller"),VLOOKUP($H130,'Early Retirement'!$CI$6:$CL$33,2,FALSE),IF($J130&lt;&gt;"Centrifugal",VLOOKUP($H130,'Early Retirement'!$CI$6:$CL$33,3,FALSE),IF($J130="Centrifugal",VLOOKUP($H130,'Early Retirement'!$CI$6:$CL$33,4,FALSE),""))))</f>
        <v>0</v>
      </c>
      <c r="BL130" s="450">
        <f t="shared" si="53"/>
        <v>0</v>
      </c>
      <c r="BM130" s="553">
        <f>IFERROR('Utility Admin'!$I$4*((1+'Utility Admin'!$G$4)/('Utility Admin'!$H$4-'Utility Admin'!$G$4))*(1-((1+'Utility Admin'!$G$4)/(1+'Utility Admin'!$H$4))^$BK130)*$BG130,0)</f>
        <v>0</v>
      </c>
      <c r="BN130" s="553">
        <f>IFERROR('Utility Admin'!$I$4*((1+'Utility Admin'!$G$4)/('Utility Admin'!$H$4-'Utility Admin'!$G$4))*(1-((1+'Utility Admin'!$G$4)/(1+'Utility Admin'!$H$4))^$BL130)*((1+'Utility Admin'!$G$4)^$BK130/(1+'Utility Admin'!$H$4)^$BK130)*$BC130,0)</f>
        <v>0</v>
      </c>
      <c r="BO130" s="553">
        <f t="shared" si="27"/>
        <v>0</v>
      </c>
      <c r="BP130" s="553">
        <f>IFERROR('Utility Admin'!$J$4*((1+'Utility Admin'!$G$4)/('Utility Admin'!$H$4-'Utility Admin'!$G$4))*(1-((1+'Utility Admin'!$G$4)/(1+'Utility Admin'!$H$4))^$BK130)*$BJ130,0)</f>
        <v>0</v>
      </c>
      <c r="BQ130" s="553">
        <f>IFERROR('Utility Admin'!$J$4*((1+'Utility Admin'!$G$4)/('Utility Admin'!$H$4-'Utility Admin'!$G$4))*(1-((1+'Utility Admin'!$G$4)/(1+'Utility Admin'!$H$4))^$BL130)*((1+'Utility Admin'!$G$4)^$BK130/(1+'Utility Admin'!$H$4)^$BK130)*$BF130,0)</f>
        <v>0</v>
      </c>
      <c r="BR130" s="553">
        <f t="shared" si="28"/>
        <v>0</v>
      </c>
      <c r="BS130" s="553">
        <f>IFERROR('Utility Admin'!$I$4*((1+'Utility Admin'!$G$4)/('Utility Admin'!$H$4-'Utility Admin'!$G$4))*(1-((1+'Utility Admin'!$G$4)/(1+'Utility Admin'!$H$4))^$AT130),0)</f>
        <v>0</v>
      </c>
      <c r="BT130" s="553">
        <f>IFERROR('Utility Admin'!$J$4*((1+'Utility Admin'!$G$4)/('Utility Admin'!$H$4-'Utility Admin'!$G$4))*(1-((1+'Utility Admin'!$G$4)/(1+'Utility Admin'!$H$4))^$AT130),0)</f>
        <v>0</v>
      </c>
      <c r="BU130" s="459">
        <f t="shared" si="66"/>
        <v>0</v>
      </c>
      <c r="BV130" s="462">
        <f t="shared" si="67"/>
        <v>0</v>
      </c>
      <c r="BW130" s="219" t="str">
        <f t="shared" si="54"/>
        <v/>
      </c>
      <c r="BX130" s="250" t="str">
        <f t="shared" si="68"/>
        <v/>
      </c>
      <c r="BY130" s="250" t="str">
        <f t="shared" si="55"/>
        <v/>
      </c>
      <c r="BZ130" s="184">
        <f t="shared" si="69"/>
        <v>0</v>
      </c>
      <c r="CA130" s="693">
        <f t="shared" si="70"/>
        <v>0</v>
      </c>
      <c r="CB130" s="836">
        <f t="shared" si="71"/>
        <v>0</v>
      </c>
      <c r="CC130" s="693">
        <f>IF(AND($C130="Early Retirement",$H130&lt;&gt;"",$R130&lt;&gt;"",$T130&lt;&gt;""),$BZ130,Baselines!$CJ123)</f>
        <v>0</v>
      </c>
      <c r="CD130" s="693">
        <f>IF(AND($C130="Early Retirement",$H130&lt;&gt;"",$R130&lt;&gt;"",$T130&lt;&gt;""),$CA130,Baselines!$CK123)</f>
        <v>0</v>
      </c>
      <c r="CE130" s="182" t="str">
        <f>Baselines!$CL123</f>
        <v>kW/ton</v>
      </c>
      <c r="CF130" s="850" t="str">
        <f t="shared" si="56"/>
        <v/>
      </c>
      <c r="CG130" s="833">
        <f>IF(AND($C130="Early Retirement",$H130&lt;&gt;"",$R130&lt;&gt;"",$T130&lt;&gt;""),$CB130,IF(AND(Baselines!$CM123=0,OR($CL130="DX HP",$CL130="PTHP")),$BB130,Baselines!$CM123))</f>
        <v>0</v>
      </c>
      <c r="CH130" s="830" t="s">
        <v>567</v>
      </c>
      <c r="CI130" s="185" t="str">
        <f>IF(OR($C130="Replace-on-Burnout",$C130="New Construction"),$CT130,IF($BW130="","",VLOOKUP($D130,'Factor Tables'!$B$165:$H$192,MATCH($BW130,'Factor Tables'!$B$164:$H$164,0),FALSE)))</f>
        <v/>
      </c>
      <c r="CJ130" s="842" t="str">
        <f>IF(OR($C130="Replace-on-Burnout",$C130="New Construction"),$CU130,IF($BW130="","",IF($BW130="DX HP",VLOOKUP($D130,'Factor Tables'!$I$165:$Q$192,MATCH("DX HP Clg",'Factor Tables'!$I$164:$Q$164,0),FALSE),IF($BW130="PTHP",VLOOKUP($D130,'Factor Tables'!$I$165:$Q$192,MATCH("PTHP Clg",'Factor Tables'!$I$164:$Q$164,0),FALSE),IF(AND($BW130&lt;&gt;"DX HP",$BW130&lt;&gt;"PTHP"),VLOOKUP($D130,'Factor Tables'!$I$165:$Q$192,MATCH($BW130,'Factor Tables'!$I$164:$Q$164,0),FALSE),"")))))</f>
        <v/>
      </c>
      <c r="CK130" s="186" t="str">
        <f>IF(OR($C130="Replace-on-Burnout",$C130="New Construction",$CL130="DX HP",$CL130="PTHP"),$CV130,IF($BW130="","",IF($BW130="DX HP",VLOOKUP($D130,'Factor Tables'!$I$165:$Q$192,MATCH("DX HP Htg",'Factor Tables'!$I$164:$Q$164,0),FALSE),IF($BW130="PTHP",VLOOKUP($D130,'Factor Tables'!$I$165:$Q$192,MATCH("PTHP Htg",'Factor Tables'!$I$164:$Q$164,0),FALSE),0))))</f>
        <v/>
      </c>
      <c r="CL130" s="187" t="str">
        <f t="shared" si="57"/>
        <v/>
      </c>
      <c r="CM130" s="251" t="str">
        <f t="shared" si="58"/>
        <v/>
      </c>
      <c r="CN130" s="184">
        <f t="shared" si="72"/>
        <v>0</v>
      </c>
      <c r="CO130" s="693">
        <f t="shared" si="73"/>
        <v>0</v>
      </c>
      <c r="CP130" s="182" t="s">
        <v>46</v>
      </c>
      <c r="CQ130" s="852" t="str">
        <f t="shared" si="74"/>
        <v/>
      </c>
      <c r="CR130" s="833">
        <f t="shared" si="75"/>
        <v>0</v>
      </c>
      <c r="CS130" s="830" t="s">
        <v>567</v>
      </c>
      <c r="CT130" s="185" t="str">
        <f>IF($CL130="","",VLOOKUP($D130,'Factor Tables'!$B$165:$H$192,MATCH($CL130,'Factor Tables'!$B$164:$H$164,0),FALSE))</f>
        <v/>
      </c>
      <c r="CU130" s="842" t="str">
        <f>IF($CL130="","",IF(AND($CL130&lt;&gt;"DX HP",$CL130&lt;&gt;"PTHP"),VLOOKUP($D130,'Factor Tables'!$I$165:$Q$192,MATCH($CL130,'Factor Tables'!$I$164:$Q$164,0),FALSE),IF($CL130="DX HP",VLOOKUP($D130,'Factor Tables'!$I$165:$Q$192,MATCH("DX HP Clg",'Factor Tables'!$I$164:$Q$164,0),FALSE),IF($CL130="PTHP",VLOOKUP($D130,'Factor Tables'!$I$165:$Q$192,MATCH("PTHP Clg",'Factor Tables'!$I$164:$Q$164,0),FALSE),""))))</f>
        <v/>
      </c>
      <c r="CV130" s="186" t="str">
        <f>IF($CL130="","",IF(AND($CL130&lt;&gt;"DX HP",$CL130&lt;&gt;"PTHP"),0,IF($CL130="DX HP",VLOOKUP($D130,'Factor Tables'!$I$165:$Q$192,MATCH("DX HP Htg",'Factor Tables'!$I$164:$Q$164,0),FALSE),IF($CL130="PTHP",VLOOKUP($D130,'Factor Tables'!$I$165:$Q$192,MATCH("PTHP Htg",'Factor Tables'!$I$164:$Q$164,0),FALSE),""))))</f>
        <v/>
      </c>
      <c r="DD130" s="193" t="s">
        <v>360</v>
      </c>
      <c r="DE130" s="426"/>
      <c r="DI130" s="425"/>
      <c r="DJ130" s="425"/>
      <c r="DK130" s="425"/>
      <c r="DL130" s="425"/>
      <c r="DM130" s="493" t="s">
        <v>478</v>
      </c>
    </row>
    <row r="131" spans="2:117" s="427" customFormat="1" ht="21.95" customHeight="1" x14ac:dyDescent="0.25">
      <c r="B131" s="432">
        <v>122</v>
      </c>
      <c r="C131" s="499" t="str">
        <f t="shared" si="59"/>
        <v/>
      </c>
      <c r="D131" s="403" t="str">
        <f t="shared" si="60"/>
        <v/>
      </c>
      <c r="E131" s="541"/>
      <c r="F131" s="785"/>
      <c r="G131" s="728"/>
      <c r="H131" s="728"/>
      <c r="I131" s="728"/>
      <c r="J131" s="728"/>
      <c r="K131" s="728"/>
      <c r="L131" s="728"/>
      <c r="M131" s="764"/>
      <c r="N131" s="728"/>
      <c r="O131" s="764"/>
      <c r="P131" s="728"/>
      <c r="Q131" s="1142"/>
      <c r="R131" s="1133"/>
      <c r="S131" s="778"/>
      <c r="T131" s="767"/>
      <c r="U131" s="778"/>
      <c r="V131" s="751"/>
      <c r="W131" s="556"/>
      <c r="X131" s="785"/>
      <c r="Y131" s="542"/>
      <c r="Z131" s="500"/>
      <c r="AA131" s="500"/>
      <c r="AB131" s="500"/>
      <c r="AC131" s="500"/>
      <c r="AD131" s="529"/>
      <c r="AE131" s="527">
        <f t="shared" si="39"/>
        <v>0</v>
      </c>
      <c r="AF131" s="527">
        <f t="shared" si="61"/>
        <v>0</v>
      </c>
      <c r="AG131" s="527">
        <f t="shared" si="41"/>
        <v>0</v>
      </c>
      <c r="AH131" s="527">
        <f t="shared" si="42"/>
        <v>0</v>
      </c>
      <c r="AI131" s="527">
        <f t="shared" si="43"/>
        <v>0</v>
      </c>
      <c r="AJ131" s="527">
        <f t="shared" si="44"/>
        <v>999999999</v>
      </c>
      <c r="AK131" s="530"/>
      <c r="AL131" s="776"/>
      <c r="AM131" s="777"/>
      <c r="AN131" s="500"/>
      <c r="AO131" s="778"/>
      <c r="AP131" s="778"/>
      <c r="AQ131" s="500"/>
      <c r="AR131" s="531"/>
      <c r="AS131" s="403"/>
      <c r="AT131" s="524" t="str">
        <f t="shared" si="45"/>
        <v/>
      </c>
      <c r="AU131" s="311">
        <f t="shared" si="46"/>
        <v>0</v>
      </c>
      <c r="AV131" s="288">
        <f t="shared" si="62"/>
        <v>0</v>
      </c>
      <c r="AW131" s="290">
        <f>IF(ISERROR($AU131*'Utility Admin'!$E$4+$AV131*'Utility Admin'!$F$4),0,$AU131*'Utility Admin'!$E$4+$AV131*'Utility Admin'!$F$4)</f>
        <v>0</v>
      </c>
      <c r="AX131" s="323" t="str">
        <f t="shared" si="47"/>
        <v/>
      </c>
      <c r="AY131" s="322" t="str">
        <f t="shared" si="23"/>
        <v/>
      </c>
      <c r="AZ131" s="319">
        <f>Baselines!$CJ375</f>
        <v>0</v>
      </c>
      <c r="BA131" s="735">
        <f>Baselines!$CK375</f>
        <v>0</v>
      </c>
      <c r="BB131" s="839">
        <f>Baselines!$CM375</f>
        <v>0</v>
      </c>
      <c r="BC131" s="466">
        <f t="shared" si="48"/>
        <v>0</v>
      </c>
      <c r="BD131" s="464">
        <f t="shared" si="63"/>
        <v>0</v>
      </c>
      <c r="BE131" s="755">
        <f t="shared" si="49"/>
        <v>0</v>
      </c>
      <c r="BF131" s="755">
        <f t="shared" si="64"/>
        <v>0</v>
      </c>
      <c r="BG131" s="466">
        <f t="shared" si="50"/>
        <v>0</v>
      </c>
      <c r="BH131" s="464">
        <f t="shared" si="51"/>
        <v>0</v>
      </c>
      <c r="BI131" s="755">
        <f t="shared" si="52"/>
        <v>0</v>
      </c>
      <c r="BJ131" s="755">
        <f t="shared" si="65"/>
        <v>0</v>
      </c>
      <c r="BK131" s="333">
        <f>IF(OR($C131&lt;&gt;"Early Retirement",$H131=""),0,IF(AND($G131&lt;&gt;"Air Cooled Chiller",$G131&lt;&gt;"Water Cooled Chiller"),VLOOKUP($H131,'Early Retirement'!$CI$6:$CL$33,2,FALSE),IF($J131&lt;&gt;"Centrifugal",VLOOKUP($H131,'Early Retirement'!$CI$6:$CL$33,3,FALSE),IF($J131="Centrifugal",VLOOKUP($H131,'Early Retirement'!$CI$6:$CL$33,4,FALSE),""))))</f>
        <v>0</v>
      </c>
      <c r="BL131" s="450">
        <f t="shared" si="53"/>
        <v>0</v>
      </c>
      <c r="BM131" s="553">
        <f>IFERROR('Utility Admin'!$I$4*((1+'Utility Admin'!$G$4)/('Utility Admin'!$H$4-'Utility Admin'!$G$4))*(1-((1+'Utility Admin'!$G$4)/(1+'Utility Admin'!$H$4))^$BK131)*$BG131,0)</f>
        <v>0</v>
      </c>
      <c r="BN131" s="553">
        <f>IFERROR('Utility Admin'!$I$4*((1+'Utility Admin'!$G$4)/('Utility Admin'!$H$4-'Utility Admin'!$G$4))*(1-((1+'Utility Admin'!$G$4)/(1+'Utility Admin'!$H$4))^$BL131)*((1+'Utility Admin'!$G$4)^$BK131/(1+'Utility Admin'!$H$4)^$BK131)*$BC131,0)</f>
        <v>0</v>
      </c>
      <c r="BO131" s="553">
        <f t="shared" si="27"/>
        <v>0</v>
      </c>
      <c r="BP131" s="553">
        <f>IFERROR('Utility Admin'!$J$4*((1+'Utility Admin'!$G$4)/('Utility Admin'!$H$4-'Utility Admin'!$G$4))*(1-((1+'Utility Admin'!$G$4)/(1+'Utility Admin'!$H$4))^$BK131)*$BJ131,0)</f>
        <v>0</v>
      </c>
      <c r="BQ131" s="553">
        <f>IFERROR('Utility Admin'!$J$4*((1+'Utility Admin'!$G$4)/('Utility Admin'!$H$4-'Utility Admin'!$G$4))*(1-((1+'Utility Admin'!$G$4)/(1+'Utility Admin'!$H$4))^$BL131)*((1+'Utility Admin'!$G$4)^$BK131/(1+'Utility Admin'!$H$4)^$BK131)*$BF131,0)</f>
        <v>0</v>
      </c>
      <c r="BR131" s="553">
        <f t="shared" si="28"/>
        <v>0</v>
      </c>
      <c r="BS131" s="553">
        <f>IFERROR('Utility Admin'!$I$4*((1+'Utility Admin'!$G$4)/('Utility Admin'!$H$4-'Utility Admin'!$G$4))*(1-((1+'Utility Admin'!$G$4)/(1+'Utility Admin'!$H$4))^$AT131),0)</f>
        <v>0</v>
      </c>
      <c r="BT131" s="553">
        <f>IFERROR('Utility Admin'!$J$4*((1+'Utility Admin'!$G$4)/('Utility Admin'!$H$4-'Utility Admin'!$G$4))*(1-((1+'Utility Admin'!$G$4)/(1+'Utility Admin'!$H$4))^$AT131),0)</f>
        <v>0</v>
      </c>
      <c r="BU131" s="459">
        <f t="shared" si="66"/>
        <v>0</v>
      </c>
      <c r="BV131" s="462">
        <f t="shared" si="67"/>
        <v>0</v>
      </c>
      <c r="BW131" s="219" t="str">
        <f t="shared" si="54"/>
        <v/>
      </c>
      <c r="BX131" s="250" t="str">
        <f t="shared" si="68"/>
        <v/>
      </c>
      <c r="BY131" s="250" t="str">
        <f t="shared" si="55"/>
        <v/>
      </c>
      <c r="BZ131" s="184">
        <f t="shared" si="69"/>
        <v>0</v>
      </c>
      <c r="CA131" s="693">
        <f t="shared" si="70"/>
        <v>0</v>
      </c>
      <c r="CB131" s="836">
        <f t="shared" si="71"/>
        <v>0</v>
      </c>
      <c r="CC131" s="693">
        <f>IF(AND($C131="Early Retirement",$H131&lt;&gt;"",$R131&lt;&gt;"",$T131&lt;&gt;""),$BZ131,Baselines!$CJ124)</f>
        <v>0</v>
      </c>
      <c r="CD131" s="693">
        <f>IF(AND($C131="Early Retirement",$H131&lt;&gt;"",$R131&lt;&gt;"",$T131&lt;&gt;""),$CA131,Baselines!$CK124)</f>
        <v>0</v>
      </c>
      <c r="CE131" s="182" t="str">
        <f>Baselines!$CL124</f>
        <v>kW/ton</v>
      </c>
      <c r="CF131" s="850" t="str">
        <f t="shared" si="56"/>
        <v/>
      </c>
      <c r="CG131" s="833">
        <f>IF(AND($C131="Early Retirement",$H131&lt;&gt;"",$R131&lt;&gt;"",$T131&lt;&gt;""),$CB131,IF(AND(Baselines!$CM124=0,OR($CL131="DX HP",$CL131="PTHP")),$BB131,Baselines!$CM124))</f>
        <v>0</v>
      </c>
      <c r="CH131" s="830" t="s">
        <v>567</v>
      </c>
      <c r="CI131" s="185" t="str">
        <f>IF(OR($C131="Replace-on-Burnout",$C131="New Construction"),$CT131,IF($BW131="","",VLOOKUP($D131,'Factor Tables'!$B$165:$H$192,MATCH($BW131,'Factor Tables'!$B$164:$H$164,0),FALSE)))</f>
        <v/>
      </c>
      <c r="CJ131" s="842" t="str">
        <f>IF(OR($C131="Replace-on-Burnout",$C131="New Construction"),$CU131,IF($BW131="","",IF($BW131="DX HP",VLOOKUP($D131,'Factor Tables'!$I$165:$Q$192,MATCH("DX HP Clg",'Factor Tables'!$I$164:$Q$164,0),FALSE),IF($BW131="PTHP",VLOOKUP($D131,'Factor Tables'!$I$165:$Q$192,MATCH("PTHP Clg",'Factor Tables'!$I$164:$Q$164,0),FALSE),IF(AND($BW131&lt;&gt;"DX HP",$BW131&lt;&gt;"PTHP"),VLOOKUP($D131,'Factor Tables'!$I$165:$Q$192,MATCH($BW131,'Factor Tables'!$I$164:$Q$164,0),FALSE),"")))))</f>
        <v/>
      </c>
      <c r="CK131" s="186" t="str">
        <f>IF(OR($C131="Replace-on-Burnout",$C131="New Construction",$CL131="DX HP",$CL131="PTHP"),$CV131,IF($BW131="","",IF($BW131="DX HP",VLOOKUP($D131,'Factor Tables'!$I$165:$Q$192,MATCH("DX HP Htg",'Factor Tables'!$I$164:$Q$164,0),FALSE),IF($BW131="PTHP",VLOOKUP($D131,'Factor Tables'!$I$165:$Q$192,MATCH("PTHP Htg",'Factor Tables'!$I$164:$Q$164,0),FALSE),0))))</f>
        <v/>
      </c>
      <c r="CL131" s="187" t="str">
        <f t="shared" si="57"/>
        <v/>
      </c>
      <c r="CM131" s="251" t="str">
        <f t="shared" si="58"/>
        <v/>
      </c>
      <c r="CN131" s="184">
        <f t="shared" si="72"/>
        <v>0</v>
      </c>
      <c r="CO131" s="693">
        <f t="shared" si="73"/>
        <v>0</v>
      </c>
      <c r="CP131" s="182" t="s">
        <v>46</v>
      </c>
      <c r="CQ131" s="852" t="str">
        <f t="shared" si="74"/>
        <v/>
      </c>
      <c r="CR131" s="833">
        <f t="shared" si="75"/>
        <v>0</v>
      </c>
      <c r="CS131" s="830" t="s">
        <v>567</v>
      </c>
      <c r="CT131" s="185" t="str">
        <f>IF($CL131="","",VLOOKUP($D131,'Factor Tables'!$B$165:$H$192,MATCH($CL131,'Factor Tables'!$B$164:$H$164,0),FALSE))</f>
        <v/>
      </c>
      <c r="CU131" s="842" t="str">
        <f>IF($CL131="","",IF(AND($CL131&lt;&gt;"DX HP",$CL131&lt;&gt;"PTHP"),VLOOKUP($D131,'Factor Tables'!$I$165:$Q$192,MATCH($CL131,'Factor Tables'!$I$164:$Q$164,0),FALSE),IF($CL131="DX HP",VLOOKUP($D131,'Factor Tables'!$I$165:$Q$192,MATCH("DX HP Clg",'Factor Tables'!$I$164:$Q$164,0),FALSE),IF($CL131="PTHP",VLOOKUP($D131,'Factor Tables'!$I$165:$Q$192,MATCH("PTHP Clg",'Factor Tables'!$I$164:$Q$164,0),FALSE),""))))</f>
        <v/>
      </c>
      <c r="CV131" s="186" t="str">
        <f>IF($CL131="","",IF(AND($CL131&lt;&gt;"DX HP",$CL131&lt;&gt;"PTHP"),0,IF($CL131="DX HP",VLOOKUP($D131,'Factor Tables'!$I$165:$Q$192,MATCH("DX HP Htg",'Factor Tables'!$I$164:$Q$164,0),FALSE),IF($CL131="PTHP",VLOOKUP($D131,'Factor Tables'!$I$165:$Q$192,MATCH("PTHP Htg",'Factor Tables'!$I$164:$Q$164,0),FALSE),""))))</f>
        <v/>
      </c>
      <c r="DD131" s="77" t="s">
        <v>44</v>
      </c>
      <c r="DE131" s="426"/>
      <c r="DI131" s="425"/>
      <c r="DJ131" s="425"/>
      <c r="DK131" s="425"/>
      <c r="DL131" s="425"/>
      <c r="DM131" s="493" t="s">
        <v>478</v>
      </c>
    </row>
    <row r="132" spans="2:117" s="427" customFormat="1" ht="21.95" customHeight="1" x14ac:dyDescent="0.25">
      <c r="B132" s="431">
        <v>123</v>
      </c>
      <c r="C132" s="501" t="str">
        <f t="shared" si="59"/>
        <v/>
      </c>
      <c r="D132" s="502" t="str">
        <f t="shared" si="60"/>
        <v/>
      </c>
      <c r="E132" s="546"/>
      <c r="F132" s="547"/>
      <c r="G132" s="729"/>
      <c r="H132" s="729"/>
      <c r="I132" s="729"/>
      <c r="J132" s="729"/>
      <c r="K132" s="729"/>
      <c r="L132" s="729"/>
      <c r="M132" s="765"/>
      <c r="N132" s="758"/>
      <c r="O132" s="765"/>
      <c r="P132" s="758"/>
      <c r="Q132" s="1143"/>
      <c r="R132" s="1134"/>
      <c r="S132" s="775"/>
      <c r="T132" s="729"/>
      <c r="U132" s="775"/>
      <c r="V132" s="779"/>
      <c r="W132" s="557"/>
      <c r="X132" s="788"/>
      <c r="Y132" s="543"/>
      <c r="Z132" s="281"/>
      <c r="AA132" s="281"/>
      <c r="AB132" s="281"/>
      <c r="AC132" s="281"/>
      <c r="AD132" s="492"/>
      <c r="AE132" s="527">
        <f t="shared" si="39"/>
        <v>0</v>
      </c>
      <c r="AF132" s="527">
        <f t="shared" si="61"/>
        <v>0</v>
      </c>
      <c r="AG132" s="527">
        <f t="shared" si="41"/>
        <v>0</v>
      </c>
      <c r="AH132" s="527">
        <f t="shared" si="42"/>
        <v>0</v>
      </c>
      <c r="AI132" s="527">
        <f t="shared" si="43"/>
        <v>0</v>
      </c>
      <c r="AJ132" s="527">
        <f t="shared" si="44"/>
        <v>999999999</v>
      </c>
      <c r="AK132" s="471"/>
      <c r="AL132" s="765"/>
      <c r="AM132" s="758"/>
      <c r="AN132" s="281"/>
      <c r="AO132" s="775"/>
      <c r="AP132" s="775"/>
      <c r="AQ132" s="281"/>
      <c r="AR132" s="528"/>
      <c r="AS132" s="532"/>
      <c r="AT132" s="524" t="str">
        <f t="shared" si="45"/>
        <v/>
      </c>
      <c r="AU132" s="311">
        <f t="shared" si="46"/>
        <v>0</v>
      </c>
      <c r="AV132" s="288">
        <f t="shared" si="62"/>
        <v>0</v>
      </c>
      <c r="AW132" s="290">
        <f>IF(ISERROR($AU132*'Utility Admin'!$E$4+$AV132*'Utility Admin'!$F$4),0,$AU132*'Utility Admin'!$E$4+$AV132*'Utility Admin'!$F$4)</f>
        <v>0</v>
      </c>
      <c r="AX132" s="323" t="str">
        <f t="shared" si="47"/>
        <v/>
      </c>
      <c r="AY132" s="322" t="str">
        <f t="shared" si="23"/>
        <v/>
      </c>
      <c r="AZ132" s="319">
        <f>Baselines!$CJ376</f>
        <v>0</v>
      </c>
      <c r="BA132" s="735">
        <f>Baselines!$CK376</f>
        <v>0</v>
      </c>
      <c r="BB132" s="839">
        <f>Baselines!$CM376</f>
        <v>0</v>
      </c>
      <c r="BC132" s="466">
        <f t="shared" si="48"/>
        <v>0</v>
      </c>
      <c r="BD132" s="464">
        <f t="shared" si="63"/>
        <v>0</v>
      </c>
      <c r="BE132" s="755">
        <f t="shared" si="49"/>
        <v>0</v>
      </c>
      <c r="BF132" s="755">
        <f t="shared" si="64"/>
        <v>0</v>
      </c>
      <c r="BG132" s="466">
        <f t="shared" si="50"/>
        <v>0</v>
      </c>
      <c r="BH132" s="464">
        <f t="shared" si="51"/>
        <v>0</v>
      </c>
      <c r="BI132" s="755">
        <f t="shared" si="52"/>
        <v>0</v>
      </c>
      <c r="BJ132" s="755">
        <f t="shared" si="65"/>
        <v>0</v>
      </c>
      <c r="BK132" s="333">
        <f>IF(OR($C132&lt;&gt;"Early Retirement",$H132=""),0,IF(AND($G132&lt;&gt;"Air Cooled Chiller",$G132&lt;&gt;"Water Cooled Chiller"),VLOOKUP($H132,'Early Retirement'!$CI$6:$CL$33,2,FALSE),IF($J132&lt;&gt;"Centrifugal",VLOOKUP($H132,'Early Retirement'!$CI$6:$CL$33,3,FALSE),IF($J132="Centrifugal",VLOOKUP($H132,'Early Retirement'!$CI$6:$CL$33,4,FALSE),""))))</f>
        <v>0</v>
      </c>
      <c r="BL132" s="450">
        <f t="shared" si="53"/>
        <v>0</v>
      </c>
      <c r="BM132" s="553">
        <f>IFERROR('Utility Admin'!$I$4*((1+'Utility Admin'!$G$4)/('Utility Admin'!$H$4-'Utility Admin'!$G$4))*(1-((1+'Utility Admin'!$G$4)/(1+'Utility Admin'!$H$4))^$BK132)*$BG132,0)</f>
        <v>0</v>
      </c>
      <c r="BN132" s="553">
        <f>IFERROR('Utility Admin'!$I$4*((1+'Utility Admin'!$G$4)/('Utility Admin'!$H$4-'Utility Admin'!$G$4))*(1-((1+'Utility Admin'!$G$4)/(1+'Utility Admin'!$H$4))^$BL132)*((1+'Utility Admin'!$G$4)^$BK132/(1+'Utility Admin'!$H$4)^$BK132)*$BC132,0)</f>
        <v>0</v>
      </c>
      <c r="BO132" s="553">
        <f t="shared" si="27"/>
        <v>0</v>
      </c>
      <c r="BP132" s="553">
        <f>IFERROR('Utility Admin'!$J$4*((1+'Utility Admin'!$G$4)/('Utility Admin'!$H$4-'Utility Admin'!$G$4))*(1-((1+'Utility Admin'!$G$4)/(1+'Utility Admin'!$H$4))^$BK132)*$BJ132,0)</f>
        <v>0</v>
      </c>
      <c r="BQ132" s="553">
        <f>IFERROR('Utility Admin'!$J$4*((1+'Utility Admin'!$G$4)/('Utility Admin'!$H$4-'Utility Admin'!$G$4))*(1-((1+'Utility Admin'!$G$4)/(1+'Utility Admin'!$H$4))^$BL132)*((1+'Utility Admin'!$G$4)^$BK132/(1+'Utility Admin'!$H$4)^$BK132)*$BF132,0)</f>
        <v>0</v>
      </c>
      <c r="BR132" s="553">
        <f t="shared" si="28"/>
        <v>0</v>
      </c>
      <c r="BS132" s="553">
        <f>IFERROR('Utility Admin'!$I$4*((1+'Utility Admin'!$G$4)/('Utility Admin'!$H$4-'Utility Admin'!$G$4))*(1-((1+'Utility Admin'!$G$4)/(1+'Utility Admin'!$H$4))^$AT132),0)</f>
        <v>0</v>
      </c>
      <c r="BT132" s="553">
        <f>IFERROR('Utility Admin'!$J$4*((1+'Utility Admin'!$G$4)/('Utility Admin'!$H$4-'Utility Admin'!$G$4))*(1-((1+'Utility Admin'!$G$4)/(1+'Utility Admin'!$H$4))^$AT132),0)</f>
        <v>0</v>
      </c>
      <c r="BU132" s="459">
        <f t="shared" si="66"/>
        <v>0</v>
      </c>
      <c r="BV132" s="462">
        <f t="shared" si="67"/>
        <v>0</v>
      </c>
      <c r="BW132" s="219" t="str">
        <f t="shared" si="54"/>
        <v/>
      </c>
      <c r="BX132" s="250" t="str">
        <f t="shared" si="68"/>
        <v/>
      </c>
      <c r="BY132" s="250" t="str">
        <f t="shared" si="55"/>
        <v/>
      </c>
      <c r="BZ132" s="184">
        <f t="shared" si="69"/>
        <v>0</v>
      </c>
      <c r="CA132" s="693">
        <f t="shared" si="70"/>
        <v>0</v>
      </c>
      <c r="CB132" s="836">
        <f t="shared" si="71"/>
        <v>0</v>
      </c>
      <c r="CC132" s="693">
        <f>IF(AND($C132="Early Retirement",$H132&lt;&gt;"",$R132&lt;&gt;"",$T132&lt;&gt;""),$BZ132,Baselines!$CJ125)</f>
        <v>0</v>
      </c>
      <c r="CD132" s="693">
        <f>IF(AND($C132="Early Retirement",$H132&lt;&gt;"",$R132&lt;&gt;"",$T132&lt;&gt;""),$CA132,Baselines!$CK125)</f>
        <v>0</v>
      </c>
      <c r="CE132" s="182" t="str">
        <f>Baselines!$CL125</f>
        <v>kW/ton</v>
      </c>
      <c r="CF132" s="850" t="str">
        <f t="shared" si="56"/>
        <v/>
      </c>
      <c r="CG132" s="833">
        <f>IF(AND($C132="Early Retirement",$H132&lt;&gt;"",$R132&lt;&gt;"",$T132&lt;&gt;""),$CB132,IF(AND(Baselines!$CM125=0,OR($CL132="DX HP",$CL132="PTHP")),$BB132,Baselines!$CM125))</f>
        <v>0</v>
      </c>
      <c r="CH132" s="830" t="s">
        <v>567</v>
      </c>
      <c r="CI132" s="185" t="str">
        <f>IF(OR($C132="Replace-on-Burnout",$C132="New Construction"),$CT132,IF($BW132="","",VLOOKUP($D132,'Factor Tables'!$B$165:$H$192,MATCH($BW132,'Factor Tables'!$B$164:$H$164,0),FALSE)))</f>
        <v/>
      </c>
      <c r="CJ132" s="842" t="str">
        <f>IF(OR($C132="Replace-on-Burnout",$C132="New Construction"),$CU132,IF($BW132="","",IF($BW132="DX HP",VLOOKUP($D132,'Factor Tables'!$I$165:$Q$192,MATCH("DX HP Clg",'Factor Tables'!$I$164:$Q$164,0),FALSE),IF($BW132="PTHP",VLOOKUP($D132,'Factor Tables'!$I$165:$Q$192,MATCH("PTHP Clg",'Factor Tables'!$I$164:$Q$164,0),FALSE),IF(AND($BW132&lt;&gt;"DX HP",$BW132&lt;&gt;"PTHP"),VLOOKUP($D132,'Factor Tables'!$I$165:$Q$192,MATCH($BW132,'Factor Tables'!$I$164:$Q$164,0),FALSE),"")))))</f>
        <v/>
      </c>
      <c r="CK132" s="186" t="str">
        <f>IF(OR($C132="Replace-on-Burnout",$C132="New Construction",$CL132="DX HP",$CL132="PTHP"),$CV132,IF($BW132="","",IF($BW132="DX HP",VLOOKUP($D132,'Factor Tables'!$I$165:$Q$192,MATCH("DX HP Htg",'Factor Tables'!$I$164:$Q$164,0),FALSE),IF($BW132="PTHP",VLOOKUP($D132,'Factor Tables'!$I$165:$Q$192,MATCH("PTHP Htg",'Factor Tables'!$I$164:$Q$164,0),FALSE),0))))</f>
        <v/>
      </c>
      <c r="CL132" s="187" t="str">
        <f t="shared" si="57"/>
        <v/>
      </c>
      <c r="CM132" s="251" t="str">
        <f t="shared" si="58"/>
        <v/>
      </c>
      <c r="CN132" s="184">
        <f t="shared" si="72"/>
        <v>0</v>
      </c>
      <c r="CO132" s="693">
        <f t="shared" si="73"/>
        <v>0</v>
      </c>
      <c r="CP132" s="182" t="s">
        <v>46</v>
      </c>
      <c r="CQ132" s="852" t="str">
        <f t="shared" si="74"/>
        <v/>
      </c>
      <c r="CR132" s="833">
        <f t="shared" si="75"/>
        <v>0</v>
      </c>
      <c r="CS132" s="830" t="s">
        <v>567</v>
      </c>
      <c r="CT132" s="185" t="str">
        <f>IF($CL132="","",VLOOKUP($D132,'Factor Tables'!$B$165:$H$192,MATCH($CL132,'Factor Tables'!$B$164:$H$164,0),FALSE))</f>
        <v/>
      </c>
      <c r="CU132" s="842" t="str">
        <f>IF($CL132="","",IF(AND($CL132&lt;&gt;"DX HP",$CL132&lt;&gt;"PTHP"),VLOOKUP($D132,'Factor Tables'!$I$165:$Q$192,MATCH($CL132,'Factor Tables'!$I$164:$Q$164,0),FALSE),IF($CL132="DX HP",VLOOKUP($D132,'Factor Tables'!$I$165:$Q$192,MATCH("DX HP Clg",'Factor Tables'!$I$164:$Q$164,0),FALSE),IF($CL132="PTHP",VLOOKUP($D132,'Factor Tables'!$I$165:$Q$192,MATCH("PTHP Clg",'Factor Tables'!$I$164:$Q$164,0),FALSE),""))))</f>
        <v/>
      </c>
      <c r="CV132" s="186" t="str">
        <f>IF($CL132="","",IF(AND($CL132&lt;&gt;"DX HP",$CL132&lt;&gt;"PTHP"),0,IF($CL132="DX HP",VLOOKUP($D132,'Factor Tables'!$I$165:$Q$192,MATCH("DX HP Htg",'Factor Tables'!$I$164:$Q$164,0),FALSE),IF($CL132="PTHP",VLOOKUP($D132,'Factor Tables'!$I$165:$Q$192,MATCH("PTHP Htg",'Factor Tables'!$I$164:$Q$164,0),FALSE),""))))</f>
        <v/>
      </c>
      <c r="DD132" s="77" t="s">
        <v>43</v>
      </c>
      <c r="DE132" s="426"/>
      <c r="DI132" s="425"/>
      <c r="DJ132" s="425"/>
      <c r="DK132" s="425"/>
      <c r="DL132" s="425"/>
      <c r="DM132" s="493" t="s">
        <v>478</v>
      </c>
    </row>
    <row r="133" spans="2:117" s="427" customFormat="1" ht="21.95" customHeight="1" x14ac:dyDescent="0.25">
      <c r="B133" s="432">
        <v>124</v>
      </c>
      <c r="C133" s="499" t="str">
        <f t="shared" si="59"/>
        <v/>
      </c>
      <c r="D133" s="403" t="str">
        <f t="shared" si="60"/>
        <v/>
      </c>
      <c r="E133" s="541"/>
      <c r="F133" s="785"/>
      <c r="G133" s="728"/>
      <c r="H133" s="728"/>
      <c r="I133" s="728"/>
      <c r="J133" s="728"/>
      <c r="K133" s="728"/>
      <c r="L133" s="728"/>
      <c r="M133" s="764"/>
      <c r="N133" s="728"/>
      <c r="O133" s="764"/>
      <c r="P133" s="728"/>
      <c r="Q133" s="1142"/>
      <c r="R133" s="1133"/>
      <c r="S133" s="778"/>
      <c r="T133" s="767"/>
      <c r="U133" s="778"/>
      <c r="V133" s="751"/>
      <c r="W133" s="556"/>
      <c r="X133" s="785"/>
      <c r="Y133" s="542"/>
      <c r="Z133" s="500"/>
      <c r="AA133" s="500"/>
      <c r="AB133" s="500"/>
      <c r="AC133" s="500"/>
      <c r="AD133" s="529"/>
      <c r="AE133" s="527">
        <f t="shared" si="39"/>
        <v>0</v>
      </c>
      <c r="AF133" s="527">
        <f t="shared" si="61"/>
        <v>0</v>
      </c>
      <c r="AG133" s="527">
        <f t="shared" si="41"/>
        <v>0</v>
      </c>
      <c r="AH133" s="527">
        <f t="shared" si="42"/>
        <v>0</v>
      </c>
      <c r="AI133" s="527">
        <f t="shared" si="43"/>
        <v>0</v>
      </c>
      <c r="AJ133" s="527">
        <f t="shared" si="44"/>
        <v>999999999</v>
      </c>
      <c r="AK133" s="530"/>
      <c r="AL133" s="776"/>
      <c r="AM133" s="777"/>
      <c r="AN133" s="500"/>
      <c r="AO133" s="778"/>
      <c r="AP133" s="778"/>
      <c r="AQ133" s="500"/>
      <c r="AR133" s="531"/>
      <c r="AS133" s="403"/>
      <c r="AT133" s="524" t="str">
        <f t="shared" si="45"/>
        <v/>
      </c>
      <c r="AU133" s="311">
        <f t="shared" si="46"/>
        <v>0</v>
      </c>
      <c r="AV133" s="288">
        <f t="shared" si="62"/>
        <v>0</v>
      </c>
      <c r="AW133" s="290">
        <f>IF(ISERROR($AU133*'Utility Admin'!$E$4+$AV133*'Utility Admin'!$F$4),0,$AU133*'Utility Admin'!$E$4+$AV133*'Utility Admin'!$F$4)</f>
        <v>0</v>
      </c>
      <c r="AX133" s="323" t="str">
        <f t="shared" si="47"/>
        <v/>
      </c>
      <c r="AY133" s="322" t="str">
        <f t="shared" si="23"/>
        <v/>
      </c>
      <c r="AZ133" s="319">
        <f>Baselines!$CJ377</f>
        <v>0</v>
      </c>
      <c r="BA133" s="735">
        <f>Baselines!$CK377</f>
        <v>0</v>
      </c>
      <c r="BB133" s="839">
        <f>Baselines!$CM377</f>
        <v>0</v>
      </c>
      <c r="BC133" s="466">
        <f t="shared" si="48"/>
        <v>0</v>
      </c>
      <c r="BD133" s="464">
        <f t="shared" si="63"/>
        <v>0</v>
      </c>
      <c r="BE133" s="755">
        <f t="shared" si="49"/>
        <v>0</v>
      </c>
      <c r="BF133" s="755">
        <f t="shared" si="64"/>
        <v>0</v>
      </c>
      <c r="BG133" s="466">
        <f t="shared" si="50"/>
        <v>0</v>
      </c>
      <c r="BH133" s="464">
        <f t="shared" si="51"/>
        <v>0</v>
      </c>
      <c r="BI133" s="755">
        <f t="shared" si="52"/>
        <v>0</v>
      </c>
      <c r="BJ133" s="755">
        <f t="shared" si="65"/>
        <v>0</v>
      </c>
      <c r="BK133" s="333">
        <f>IF(OR($C133&lt;&gt;"Early Retirement",$H133=""),0,IF(AND($G133&lt;&gt;"Air Cooled Chiller",$G133&lt;&gt;"Water Cooled Chiller"),VLOOKUP($H133,'Early Retirement'!$CI$6:$CL$33,2,FALSE),IF($J133&lt;&gt;"Centrifugal",VLOOKUP($H133,'Early Retirement'!$CI$6:$CL$33,3,FALSE),IF($J133="Centrifugal",VLOOKUP($H133,'Early Retirement'!$CI$6:$CL$33,4,FALSE),""))))</f>
        <v>0</v>
      </c>
      <c r="BL133" s="450">
        <f t="shared" si="53"/>
        <v>0</v>
      </c>
      <c r="BM133" s="553">
        <f>IFERROR('Utility Admin'!$I$4*((1+'Utility Admin'!$G$4)/('Utility Admin'!$H$4-'Utility Admin'!$G$4))*(1-((1+'Utility Admin'!$G$4)/(1+'Utility Admin'!$H$4))^$BK133)*$BG133,0)</f>
        <v>0</v>
      </c>
      <c r="BN133" s="553">
        <f>IFERROR('Utility Admin'!$I$4*((1+'Utility Admin'!$G$4)/('Utility Admin'!$H$4-'Utility Admin'!$G$4))*(1-((1+'Utility Admin'!$G$4)/(1+'Utility Admin'!$H$4))^$BL133)*((1+'Utility Admin'!$G$4)^$BK133/(1+'Utility Admin'!$H$4)^$BK133)*$BC133,0)</f>
        <v>0</v>
      </c>
      <c r="BO133" s="553">
        <f t="shared" si="27"/>
        <v>0</v>
      </c>
      <c r="BP133" s="553">
        <f>IFERROR('Utility Admin'!$J$4*((1+'Utility Admin'!$G$4)/('Utility Admin'!$H$4-'Utility Admin'!$G$4))*(1-((1+'Utility Admin'!$G$4)/(1+'Utility Admin'!$H$4))^$BK133)*$BJ133,0)</f>
        <v>0</v>
      </c>
      <c r="BQ133" s="553">
        <f>IFERROR('Utility Admin'!$J$4*((1+'Utility Admin'!$G$4)/('Utility Admin'!$H$4-'Utility Admin'!$G$4))*(1-((1+'Utility Admin'!$G$4)/(1+'Utility Admin'!$H$4))^$BL133)*((1+'Utility Admin'!$G$4)^$BK133/(1+'Utility Admin'!$H$4)^$BK133)*$BF133,0)</f>
        <v>0</v>
      </c>
      <c r="BR133" s="553">
        <f t="shared" si="28"/>
        <v>0</v>
      </c>
      <c r="BS133" s="553">
        <f>IFERROR('Utility Admin'!$I$4*((1+'Utility Admin'!$G$4)/('Utility Admin'!$H$4-'Utility Admin'!$G$4))*(1-((1+'Utility Admin'!$G$4)/(1+'Utility Admin'!$H$4))^$AT133),0)</f>
        <v>0</v>
      </c>
      <c r="BT133" s="553">
        <f>IFERROR('Utility Admin'!$J$4*((1+'Utility Admin'!$G$4)/('Utility Admin'!$H$4-'Utility Admin'!$G$4))*(1-((1+'Utility Admin'!$G$4)/(1+'Utility Admin'!$H$4))^$AT133),0)</f>
        <v>0</v>
      </c>
      <c r="BU133" s="459">
        <f t="shared" si="66"/>
        <v>0</v>
      </c>
      <c r="BV133" s="462">
        <f t="shared" si="67"/>
        <v>0</v>
      </c>
      <c r="BW133" s="219" t="str">
        <f t="shared" si="54"/>
        <v/>
      </c>
      <c r="BX133" s="250" t="str">
        <f t="shared" si="68"/>
        <v/>
      </c>
      <c r="BY133" s="250" t="str">
        <f t="shared" si="55"/>
        <v/>
      </c>
      <c r="BZ133" s="184">
        <f t="shared" si="69"/>
        <v>0</v>
      </c>
      <c r="CA133" s="693">
        <f t="shared" si="70"/>
        <v>0</v>
      </c>
      <c r="CB133" s="836">
        <f t="shared" si="71"/>
        <v>0</v>
      </c>
      <c r="CC133" s="693">
        <f>IF(AND($C133="Early Retirement",$H133&lt;&gt;"",$R133&lt;&gt;"",$T133&lt;&gt;""),$BZ133,Baselines!$CJ126)</f>
        <v>0</v>
      </c>
      <c r="CD133" s="693">
        <f>IF(AND($C133="Early Retirement",$H133&lt;&gt;"",$R133&lt;&gt;"",$T133&lt;&gt;""),$CA133,Baselines!$CK126)</f>
        <v>0</v>
      </c>
      <c r="CE133" s="182" t="str">
        <f>Baselines!$CL126</f>
        <v>kW/ton</v>
      </c>
      <c r="CF133" s="850" t="str">
        <f t="shared" si="56"/>
        <v/>
      </c>
      <c r="CG133" s="833">
        <f>IF(AND($C133="Early Retirement",$H133&lt;&gt;"",$R133&lt;&gt;"",$T133&lt;&gt;""),$CB133,IF(AND(Baselines!$CM126=0,OR($CL133="DX HP",$CL133="PTHP")),$BB133,Baselines!$CM126))</f>
        <v>0</v>
      </c>
      <c r="CH133" s="830" t="s">
        <v>567</v>
      </c>
      <c r="CI133" s="185" t="str">
        <f>IF(OR($C133="Replace-on-Burnout",$C133="New Construction"),$CT133,IF($BW133="","",VLOOKUP($D133,'Factor Tables'!$B$165:$H$192,MATCH($BW133,'Factor Tables'!$B$164:$H$164,0),FALSE)))</f>
        <v/>
      </c>
      <c r="CJ133" s="842" t="str">
        <f>IF(OR($C133="Replace-on-Burnout",$C133="New Construction"),$CU133,IF($BW133="","",IF($BW133="DX HP",VLOOKUP($D133,'Factor Tables'!$I$165:$Q$192,MATCH("DX HP Clg",'Factor Tables'!$I$164:$Q$164,0),FALSE),IF($BW133="PTHP",VLOOKUP($D133,'Factor Tables'!$I$165:$Q$192,MATCH("PTHP Clg",'Factor Tables'!$I$164:$Q$164,0),FALSE),IF(AND($BW133&lt;&gt;"DX HP",$BW133&lt;&gt;"PTHP"),VLOOKUP($D133,'Factor Tables'!$I$165:$Q$192,MATCH($BW133,'Factor Tables'!$I$164:$Q$164,0),FALSE),"")))))</f>
        <v/>
      </c>
      <c r="CK133" s="186" t="str">
        <f>IF(OR($C133="Replace-on-Burnout",$C133="New Construction",$CL133="DX HP",$CL133="PTHP"),$CV133,IF($BW133="","",IF($BW133="DX HP",VLOOKUP($D133,'Factor Tables'!$I$165:$Q$192,MATCH("DX HP Htg",'Factor Tables'!$I$164:$Q$164,0),FALSE),IF($BW133="PTHP",VLOOKUP($D133,'Factor Tables'!$I$165:$Q$192,MATCH("PTHP Htg",'Factor Tables'!$I$164:$Q$164,0),FALSE),0))))</f>
        <v/>
      </c>
      <c r="CL133" s="187" t="str">
        <f t="shared" si="57"/>
        <v/>
      </c>
      <c r="CM133" s="251" t="str">
        <f t="shared" si="58"/>
        <v/>
      </c>
      <c r="CN133" s="184">
        <f t="shared" si="72"/>
        <v>0</v>
      </c>
      <c r="CO133" s="693">
        <f t="shared" si="73"/>
        <v>0</v>
      </c>
      <c r="CP133" s="182" t="s">
        <v>46</v>
      </c>
      <c r="CQ133" s="852" t="str">
        <f t="shared" si="74"/>
        <v/>
      </c>
      <c r="CR133" s="833">
        <f t="shared" si="75"/>
        <v>0</v>
      </c>
      <c r="CS133" s="830" t="s">
        <v>567</v>
      </c>
      <c r="CT133" s="185" t="str">
        <f>IF($CL133="","",VLOOKUP($D133,'Factor Tables'!$B$165:$H$192,MATCH($CL133,'Factor Tables'!$B$164:$H$164,0),FALSE))</f>
        <v/>
      </c>
      <c r="CU133" s="842" t="str">
        <f>IF($CL133="","",IF(AND($CL133&lt;&gt;"DX HP",$CL133&lt;&gt;"PTHP"),VLOOKUP($D133,'Factor Tables'!$I$165:$Q$192,MATCH($CL133,'Factor Tables'!$I$164:$Q$164,0),FALSE),IF($CL133="DX HP",VLOOKUP($D133,'Factor Tables'!$I$165:$Q$192,MATCH("DX HP Clg",'Factor Tables'!$I$164:$Q$164,0),FALSE),IF($CL133="PTHP",VLOOKUP($D133,'Factor Tables'!$I$165:$Q$192,MATCH("PTHP Clg",'Factor Tables'!$I$164:$Q$164,0),FALSE),""))))</f>
        <v/>
      </c>
      <c r="CV133" s="186" t="str">
        <f>IF($CL133="","",IF(AND($CL133&lt;&gt;"DX HP",$CL133&lt;&gt;"PTHP"),0,IF($CL133="DX HP",VLOOKUP($D133,'Factor Tables'!$I$165:$Q$192,MATCH("DX HP Htg",'Factor Tables'!$I$164:$Q$164,0),FALSE),IF($CL133="PTHP",VLOOKUP($D133,'Factor Tables'!$I$165:$Q$192,MATCH("PTHP Htg",'Factor Tables'!$I$164:$Q$164,0),FALSE),""))))</f>
        <v/>
      </c>
      <c r="DD133" s="194" t="s">
        <v>53</v>
      </c>
      <c r="DE133" s="426"/>
      <c r="DI133" s="425"/>
      <c r="DJ133" s="425"/>
      <c r="DK133" s="425"/>
      <c r="DL133" s="425"/>
      <c r="DM133" s="493" t="s">
        <v>478</v>
      </c>
    </row>
    <row r="134" spans="2:117" s="427" customFormat="1" ht="21.95" customHeight="1" x14ac:dyDescent="0.25">
      <c r="B134" s="431">
        <v>125</v>
      </c>
      <c r="C134" s="501" t="str">
        <f t="shared" si="59"/>
        <v/>
      </c>
      <c r="D134" s="502" t="str">
        <f t="shared" si="60"/>
        <v/>
      </c>
      <c r="E134" s="546"/>
      <c r="F134" s="547"/>
      <c r="G134" s="729"/>
      <c r="H134" s="729"/>
      <c r="I134" s="729"/>
      <c r="J134" s="729"/>
      <c r="K134" s="729"/>
      <c r="L134" s="729"/>
      <c r="M134" s="765"/>
      <c r="N134" s="758"/>
      <c r="O134" s="765"/>
      <c r="P134" s="758"/>
      <c r="Q134" s="1143"/>
      <c r="R134" s="1134"/>
      <c r="S134" s="775"/>
      <c r="T134" s="729"/>
      <c r="U134" s="775"/>
      <c r="V134" s="779"/>
      <c r="W134" s="557"/>
      <c r="X134" s="788"/>
      <c r="Y134" s="543"/>
      <c r="Z134" s="281"/>
      <c r="AA134" s="281"/>
      <c r="AB134" s="281"/>
      <c r="AC134" s="281"/>
      <c r="AD134" s="492"/>
      <c r="AE134" s="527">
        <f t="shared" si="39"/>
        <v>0</v>
      </c>
      <c r="AF134" s="527">
        <f t="shared" si="61"/>
        <v>0</v>
      </c>
      <c r="AG134" s="527">
        <f t="shared" si="41"/>
        <v>0</v>
      </c>
      <c r="AH134" s="527">
        <f t="shared" si="42"/>
        <v>0</v>
      </c>
      <c r="AI134" s="527">
        <f t="shared" si="43"/>
        <v>0</v>
      </c>
      <c r="AJ134" s="527">
        <f t="shared" si="44"/>
        <v>999999999</v>
      </c>
      <c r="AK134" s="471"/>
      <c r="AL134" s="765"/>
      <c r="AM134" s="758"/>
      <c r="AN134" s="281"/>
      <c r="AO134" s="775"/>
      <c r="AP134" s="775"/>
      <c r="AQ134" s="281"/>
      <c r="AR134" s="528"/>
      <c r="AS134" s="532"/>
      <c r="AT134" s="524" t="str">
        <f t="shared" si="45"/>
        <v/>
      </c>
      <c r="AU134" s="311">
        <f t="shared" si="46"/>
        <v>0</v>
      </c>
      <c r="AV134" s="288">
        <f t="shared" si="62"/>
        <v>0</v>
      </c>
      <c r="AW134" s="290">
        <f>IF(ISERROR($AU134*'Utility Admin'!$E$4+$AV134*'Utility Admin'!$F$4),0,$AU134*'Utility Admin'!$E$4+$AV134*'Utility Admin'!$F$4)</f>
        <v>0</v>
      </c>
      <c r="AX134" s="323" t="str">
        <f t="shared" si="47"/>
        <v/>
      </c>
      <c r="AY134" s="322" t="str">
        <f t="shared" si="23"/>
        <v/>
      </c>
      <c r="AZ134" s="319">
        <f>Baselines!$CJ378</f>
        <v>0</v>
      </c>
      <c r="BA134" s="735">
        <f>Baselines!$CK378</f>
        <v>0</v>
      </c>
      <c r="BB134" s="839">
        <f>Baselines!$CM378</f>
        <v>0</v>
      </c>
      <c r="BC134" s="466">
        <f t="shared" si="48"/>
        <v>0</v>
      </c>
      <c r="BD134" s="464">
        <f t="shared" si="63"/>
        <v>0</v>
      </c>
      <c r="BE134" s="755">
        <f t="shared" si="49"/>
        <v>0</v>
      </c>
      <c r="BF134" s="755">
        <f t="shared" si="64"/>
        <v>0</v>
      </c>
      <c r="BG134" s="466">
        <f t="shared" si="50"/>
        <v>0</v>
      </c>
      <c r="BH134" s="464">
        <f t="shared" si="51"/>
        <v>0</v>
      </c>
      <c r="BI134" s="755">
        <f t="shared" si="52"/>
        <v>0</v>
      </c>
      <c r="BJ134" s="755">
        <f t="shared" si="65"/>
        <v>0</v>
      </c>
      <c r="BK134" s="333">
        <f>IF(OR($C134&lt;&gt;"Early Retirement",$H134=""),0,IF(AND($G134&lt;&gt;"Air Cooled Chiller",$G134&lt;&gt;"Water Cooled Chiller"),VLOOKUP($H134,'Early Retirement'!$CI$6:$CL$33,2,FALSE),IF($J134&lt;&gt;"Centrifugal",VLOOKUP($H134,'Early Retirement'!$CI$6:$CL$33,3,FALSE),IF($J134="Centrifugal",VLOOKUP($H134,'Early Retirement'!$CI$6:$CL$33,4,FALSE),""))))</f>
        <v>0</v>
      </c>
      <c r="BL134" s="450">
        <f t="shared" si="53"/>
        <v>0</v>
      </c>
      <c r="BM134" s="553">
        <f>IFERROR('Utility Admin'!$I$4*((1+'Utility Admin'!$G$4)/('Utility Admin'!$H$4-'Utility Admin'!$G$4))*(1-((1+'Utility Admin'!$G$4)/(1+'Utility Admin'!$H$4))^$BK134)*$BG134,0)</f>
        <v>0</v>
      </c>
      <c r="BN134" s="553">
        <f>IFERROR('Utility Admin'!$I$4*((1+'Utility Admin'!$G$4)/('Utility Admin'!$H$4-'Utility Admin'!$G$4))*(1-((1+'Utility Admin'!$G$4)/(1+'Utility Admin'!$H$4))^$BL134)*((1+'Utility Admin'!$G$4)^$BK134/(1+'Utility Admin'!$H$4)^$BK134)*$BC134,0)</f>
        <v>0</v>
      </c>
      <c r="BO134" s="553">
        <f t="shared" si="27"/>
        <v>0</v>
      </c>
      <c r="BP134" s="553">
        <f>IFERROR('Utility Admin'!$J$4*((1+'Utility Admin'!$G$4)/('Utility Admin'!$H$4-'Utility Admin'!$G$4))*(1-((1+'Utility Admin'!$G$4)/(1+'Utility Admin'!$H$4))^$BK134)*$BJ134,0)</f>
        <v>0</v>
      </c>
      <c r="BQ134" s="553">
        <f>IFERROR('Utility Admin'!$J$4*((1+'Utility Admin'!$G$4)/('Utility Admin'!$H$4-'Utility Admin'!$G$4))*(1-((1+'Utility Admin'!$G$4)/(1+'Utility Admin'!$H$4))^$BL134)*((1+'Utility Admin'!$G$4)^$BK134/(1+'Utility Admin'!$H$4)^$BK134)*$BF134,0)</f>
        <v>0</v>
      </c>
      <c r="BR134" s="553">
        <f t="shared" si="28"/>
        <v>0</v>
      </c>
      <c r="BS134" s="553">
        <f>IFERROR('Utility Admin'!$I$4*((1+'Utility Admin'!$G$4)/('Utility Admin'!$H$4-'Utility Admin'!$G$4))*(1-((1+'Utility Admin'!$G$4)/(1+'Utility Admin'!$H$4))^$AT134),0)</f>
        <v>0</v>
      </c>
      <c r="BT134" s="553">
        <f>IFERROR('Utility Admin'!$J$4*((1+'Utility Admin'!$G$4)/('Utility Admin'!$H$4-'Utility Admin'!$G$4))*(1-((1+'Utility Admin'!$G$4)/(1+'Utility Admin'!$H$4))^$AT134),0)</f>
        <v>0</v>
      </c>
      <c r="BU134" s="459">
        <f t="shared" si="66"/>
        <v>0</v>
      </c>
      <c r="BV134" s="462">
        <f t="shared" si="67"/>
        <v>0</v>
      </c>
      <c r="BW134" s="219" t="str">
        <f t="shared" si="54"/>
        <v/>
      </c>
      <c r="BX134" s="250" t="str">
        <f t="shared" si="68"/>
        <v/>
      </c>
      <c r="BY134" s="250" t="str">
        <f t="shared" si="55"/>
        <v/>
      </c>
      <c r="BZ134" s="184">
        <f t="shared" si="69"/>
        <v>0</v>
      </c>
      <c r="CA134" s="693">
        <f t="shared" si="70"/>
        <v>0</v>
      </c>
      <c r="CB134" s="836">
        <f t="shared" si="71"/>
        <v>0</v>
      </c>
      <c r="CC134" s="693">
        <f>IF(AND($C134="Early Retirement",$H134&lt;&gt;"",$R134&lt;&gt;"",$T134&lt;&gt;""),$BZ134,Baselines!$CJ127)</f>
        <v>0</v>
      </c>
      <c r="CD134" s="693">
        <f>IF(AND($C134="Early Retirement",$H134&lt;&gt;"",$R134&lt;&gt;"",$T134&lt;&gt;""),$CA134,Baselines!$CK127)</f>
        <v>0</v>
      </c>
      <c r="CE134" s="182" t="str">
        <f>Baselines!$CL127</f>
        <v>kW/ton</v>
      </c>
      <c r="CF134" s="850" t="str">
        <f t="shared" si="56"/>
        <v/>
      </c>
      <c r="CG134" s="833">
        <f>IF(AND($C134="Early Retirement",$H134&lt;&gt;"",$R134&lt;&gt;"",$T134&lt;&gt;""),$CB134,IF(AND(Baselines!$CM127=0,OR($CL134="DX HP",$CL134="PTHP")),$BB134,Baselines!$CM127))</f>
        <v>0</v>
      </c>
      <c r="CH134" s="830" t="s">
        <v>567</v>
      </c>
      <c r="CI134" s="185" t="str">
        <f>IF(OR($C134="Replace-on-Burnout",$C134="New Construction"),$CT134,IF($BW134="","",VLOOKUP($D134,'Factor Tables'!$B$165:$H$192,MATCH($BW134,'Factor Tables'!$B$164:$H$164,0),FALSE)))</f>
        <v/>
      </c>
      <c r="CJ134" s="842" t="str">
        <f>IF(OR($C134="Replace-on-Burnout",$C134="New Construction"),$CU134,IF($BW134="","",IF($BW134="DX HP",VLOOKUP($D134,'Factor Tables'!$I$165:$Q$192,MATCH("DX HP Clg",'Factor Tables'!$I$164:$Q$164,0),FALSE),IF($BW134="PTHP",VLOOKUP($D134,'Factor Tables'!$I$165:$Q$192,MATCH("PTHP Clg",'Factor Tables'!$I$164:$Q$164,0),FALSE),IF(AND($BW134&lt;&gt;"DX HP",$BW134&lt;&gt;"PTHP"),VLOOKUP($D134,'Factor Tables'!$I$165:$Q$192,MATCH($BW134,'Factor Tables'!$I$164:$Q$164,0),FALSE),"")))))</f>
        <v/>
      </c>
      <c r="CK134" s="186" t="str">
        <f>IF(OR($C134="Replace-on-Burnout",$C134="New Construction",$CL134="DX HP",$CL134="PTHP"),$CV134,IF($BW134="","",IF($BW134="DX HP",VLOOKUP($D134,'Factor Tables'!$I$165:$Q$192,MATCH("DX HP Htg",'Factor Tables'!$I$164:$Q$164,0),FALSE),IF($BW134="PTHP",VLOOKUP($D134,'Factor Tables'!$I$165:$Q$192,MATCH("PTHP Htg",'Factor Tables'!$I$164:$Q$164,0),FALSE),0))))</f>
        <v/>
      </c>
      <c r="CL134" s="187" t="str">
        <f t="shared" si="57"/>
        <v/>
      </c>
      <c r="CM134" s="251" t="str">
        <f t="shared" si="58"/>
        <v/>
      </c>
      <c r="CN134" s="184">
        <f t="shared" si="72"/>
        <v>0</v>
      </c>
      <c r="CO134" s="693">
        <f t="shared" si="73"/>
        <v>0</v>
      </c>
      <c r="CP134" s="182" t="s">
        <v>46</v>
      </c>
      <c r="CQ134" s="852" t="str">
        <f t="shared" si="74"/>
        <v/>
      </c>
      <c r="CR134" s="833">
        <f t="shared" si="75"/>
        <v>0</v>
      </c>
      <c r="CS134" s="830" t="s">
        <v>567</v>
      </c>
      <c r="CT134" s="185" t="str">
        <f>IF($CL134="","",VLOOKUP($D134,'Factor Tables'!$B$165:$H$192,MATCH($CL134,'Factor Tables'!$B$164:$H$164,0),FALSE))</f>
        <v/>
      </c>
      <c r="CU134" s="842" t="str">
        <f>IF($CL134="","",IF(AND($CL134&lt;&gt;"DX HP",$CL134&lt;&gt;"PTHP"),VLOOKUP($D134,'Factor Tables'!$I$165:$Q$192,MATCH($CL134,'Factor Tables'!$I$164:$Q$164,0),FALSE),IF($CL134="DX HP",VLOOKUP($D134,'Factor Tables'!$I$165:$Q$192,MATCH("DX HP Clg",'Factor Tables'!$I$164:$Q$164,0),FALSE),IF($CL134="PTHP",VLOOKUP($D134,'Factor Tables'!$I$165:$Q$192,MATCH("PTHP Clg",'Factor Tables'!$I$164:$Q$164,0),FALSE),""))))</f>
        <v/>
      </c>
      <c r="CV134" s="186" t="str">
        <f>IF($CL134="","",IF(AND($CL134&lt;&gt;"DX HP",$CL134&lt;&gt;"PTHP"),0,IF($CL134="DX HP",VLOOKUP($D134,'Factor Tables'!$I$165:$Q$192,MATCH("DX HP Htg",'Factor Tables'!$I$164:$Q$164,0),FALSE),IF($CL134="PTHP",VLOOKUP($D134,'Factor Tables'!$I$165:$Q$192,MATCH("PTHP Htg",'Factor Tables'!$I$164:$Q$164,0),FALSE),""))))</f>
        <v/>
      </c>
      <c r="DD134" s="77" t="s">
        <v>54</v>
      </c>
      <c r="DE134" s="426"/>
      <c r="DI134" s="425"/>
      <c r="DJ134" s="425"/>
      <c r="DK134" s="425"/>
      <c r="DL134" s="425"/>
      <c r="DM134" s="493" t="s">
        <v>478</v>
      </c>
    </row>
    <row r="135" spans="2:117" s="427" customFormat="1" ht="21.95" customHeight="1" x14ac:dyDescent="0.25">
      <c r="B135" s="432">
        <v>126</v>
      </c>
      <c r="C135" s="499" t="str">
        <f t="shared" si="59"/>
        <v/>
      </c>
      <c r="D135" s="403" t="str">
        <f t="shared" si="60"/>
        <v/>
      </c>
      <c r="E135" s="541"/>
      <c r="F135" s="785"/>
      <c r="G135" s="728"/>
      <c r="H135" s="728"/>
      <c r="I135" s="728"/>
      <c r="J135" s="728"/>
      <c r="K135" s="728"/>
      <c r="L135" s="728"/>
      <c r="M135" s="764"/>
      <c r="N135" s="728"/>
      <c r="O135" s="764"/>
      <c r="P135" s="728"/>
      <c r="Q135" s="1142"/>
      <c r="R135" s="1133"/>
      <c r="S135" s="778"/>
      <c r="T135" s="767"/>
      <c r="U135" s="778"/>
      <c r="V135" s="751"/>
      <c r="W135" s="556"/>
      <c r="X135" s="785"/>
      <c r="Y135" s="542"/>
      <c r="Z135" s="500"/>
      <c r="AA135" s="500"/>
      <c r="AB135" s="500"/>
      <c r="AC135" s="500"/>
      <c r="AD135" s="529"/>
      <c r="AE135" s="527">
        <f t="shared" si="39"/>
        <v>0</v>
      </c>
      <c r="AF135" s="527">
        <f t="shared" si="61"/>
        <v>0</v>
      </c>
      <c r="AG135" s="527">
        <f t="shared" si="41"/>
        <v>0</v>
      </c>
      <c r="AH135" s="527">
        <f t="shared" si="42"/>
        <v>0</v>
      </c>
      <c r="AI135" s="527">
        <f t="shared" si="43"/>
        <v>0</v>
      </c>
      <c r="AJ135" s="527">
        <f t="shared" si="44"/>
        <v>999999999</v>
      </c>
      <c r="AK135" s="530"/>
      <c r="AL135" s="776"/>
      <c r="AM135" s="777"/>
      <c r="AN135" s="500"/>
      <c r="AO135" s="778"/>
      <c r="AP135" s="778"/>
      <c r="AQ135" s="500"/>
      <c r="AR135" s="531"/>
      <c r="AS135" s="403"/>
      <c r="AT135" s="524" t="str">
        <f t="shared" si="45"/>
        <v/>
      </c>
      <c r="AU135" s="311">
        <f t="shared" si="46"/>
        <v>0</v>
      </c>
      <c r="AV135" s="288">
        <f t="shared" si="62"/>
        <v>0</v>
      </c>
      <c r="AW135" s="290">
        <f>IF(ISERROR($AU135*'Utility Admin'!$E$4+$AV135*'Utility Admin'!$F$4),0,$AU135*'Utility Admin'!$E$4+$AV135*'Utility Admin'!$F$4)</f>
        <v>0</v>
      </c>
      <c r="AX135" s="323" t="str">
        <f t="shared" si="47"/>
        <v/>
      </c>
      <c r="AY135" s="322" t="str">
        <f t="shared" si="23"/>
        <v/>
      </c>
      <c r="AZ135" s="319">
        <f>Baselines!$CJ379</f>
        <v>0</v>
      </c>
      <c r="BA135" s="735">
        <f>Baselines!$CK379</f>
        <v>0</v>
      </c>
      <c r="BB135" s="839">
        <f>Baselines!$CM379</f>
        <v>0</v>
      </c>
      <c r="BC135" s="466">
        <f t="shared" si="48"/>
        <v>0</v>
      </c>
      <c r="BD135" s="464">
        <f t="shared" si="63"/>
        <v>0</v>
      </c>
      <c r="BE135" s="755">
        <f t="shared" si="49"/>
        <v>0</v>
      </c>
      <c r="BF135" s="755">
        <f t="shared" si="64"/>
        <v>0</v>
      </c>
      <c r="BG135" s="466">
        <f t="shared" si="50"/>
        <v>0</v>
      </c>
      <c r="BH135" s="464">
        <f t="shared" si="51"/>
        <v>0</v>
      </c>
      <c r="BI135" s="755">
        <f t="shared" si="52"/>
        <v>0</v>
      </c>
      <c r="BJ135" s="755">
        <f t="shared" si="65"/>
        <v>0</v>
      </c>
      <c r="BK135" s="333">
        <f>IF(OR($C135&lt;&gt;"Early Retirement",$H135=""),0,IF(AND($G135&lt;&gt;"Air Cooled Chiller",$G135&lt;&gt;"Water Cooled Chiller"),VLOOKUP($H135,'Early Retirement'!$CI$6:$CL$33,2,FALSE),IF($J135&lt;&gt;"Centrifugal",VLOOKUP($H135,'Early Retirement'!$CI$6:$CL$33,3,FALSE),IF($J135="Centrifugal",VLOOKUP($H135,'Early Retirement'!$CI$6:$CL$33,4,FALSE),""))))</f>
        <v>0</v>
      </c>
      <c r="BL135" s="450">
        <f t="shared" si="53"/>
        <v>0</v>
      </c>
      <c r="BM135" s="553">
        <f>IFERROR('Utility Admin'!$I$4*((1+'Utility Admin'!$G$4)/('Utility Admin'!$H$4-'Utility Admin'!$G$4))*(1-((1+'Utility Admin'!$G$4)/(1+'Utility Admin'!$H$4))^$BK135)*$BG135,0)</f>
        <v>0</v>
      </c>
      <c r="BN135" s="553">
        <f>IFERROR('Utility Admin'!$I$4*((1+'Utility Admin'!$G$4)/('Utility Admin'!$H$4-'Utility Admin'!$G$4))*(1-((1+'Utility Admin'!$G$4)/(1+'Utility Admin'!$H$4))^$BL135)*((1+'Utility Admin'!$G$4)^$BK135/(1+'Utility Admin'!$H$4)^$BK135)*$BC135,0)</f>
        <v>0</v>
      </c>
      <c r="BO135" s="553">
        <f t="shared" si="27"/>
        <v>0</v>
      </c>
      <c r="BP135" s="553">
        <f>IFERROR('Utility Admin'!$J$4*((1+'Utility Admin'!$G$4)/('Utility Admin'!$H$4-'Utility Admin'!$G$4))*(1-((1+'Utility Admin'!$G$4)/(1+'Utility Admin'!$H$4))^$BK135)*$BJ135,0)</f>
        <v>0</v>
      </c>
      <c r="BQ135" s="553">
        <f>IFERROR('Utility Admin'!$J$4*((1+'Utility Admin'!$G$4)/('Utility Admin'!$H$4-'Utility Admin'!$G$4))*(1-((1+'Utility Admin'!$G$4)/(1+'Utility Admin'!$H$4))^$BL135)*((1+'Utility Admin'!$G$4)^$BK135/(1+'Utility Admin'!$H$4)^$BK135)*$BF135,0)</f>
        <v>0</v>
      </c>
      <c r="BR135" s="553">
        <f t="shared" si="28"/>
        <v>0</v>
      </c>
      <c r="BS135" s="553">
        <f>IFERROR('Utility Admin'!$I$4*((1+'Utility Admin'!$G$4)/('Utility Admin'!$H$4-'Utility Admin'!$G$4))*(1-((1+'Utility Admin'!$G$4)/(1+'Utility Admin'!$H$4))^$AT135),0)</f>
        <v>0</v>
      </c>
      <c r="BT135" s="553">
        <f>IFERROR('Utility Admin'!$J$4*((1+'Utility Admin'!$G$4)/('Utility Admin'!$H$4-'Utility Admin'!$G$4))*(1-((1+'Utility Admin'!$G$4)/(1+'Utility Admin'!$H$4))^$AT135),0)</f>
        <v>0</v>
      </c>
      <c r="BU135" s="459">
        <f t="shared" si="66"/>
        <v>0</v>
      </c>
      <c r="BV135" s="462">
        <f t="shared" si="67"/>
        <v>0</v>
      </c>
      <c r="BW135" s="219" t="str">
        <f t="shared" si="54"/>
        <v/>
      </c>
      <c r="BX135" s="250" t="str">
        <f t="shared" si="68"/>
        <v/>
      </c>
      <c r="BY135" s="250" t="str">
        <f t="shared" si="55"/>
        <v/>
      </c>
      <c r="BZ135" s="184">
        <f t="shared" si="69"/>
        <v>0</v>
      </c>
      <c r="CA135" s="693">
        <f t="shared" si="70"/>
        <v>0</v>
      </c>
      <c r="CB135" s="836">
        <f t="shared" si="71"/>
        <v>0</v>
      </c>
      <c r="CC135" s="693">
        <f>IF(AND($C135="Early Retirement",$H135&lt;&gt;"",$R135&lt;&gt;"",$T135&lt;&gt;""),$BZ135,Baselines!$CJ128)</f>
        <v>0</v>
      </c>
      <c r="CD135" s="693">
        <f>IF(AND($C135="Early Retirement",$H135&lt;&gt;"",$R135&lt;&gt;"",$T135&lt;&gt;""),$CA135,Baselines!$CK128)</f>
        <v>0</v>
      </c>
      <c r="CE135" s="182" t="str">
        <f>Baselines!$CL128</f>
        <v>kW/ton</v>
      </c>
      <c r="CF135" s="850" t="str">
        <f t="shared" si="56"/>
        <v/>
      </c>
      <c r="CG135" s="833">
        <f>IF(AND($C135="Early Retirement",$H135&lt;&gt;"",$R135&lt;&gt;"",$T135&lt;&gt;""),$CB135,IF(AND(Baselines!$CM128=0,OR($CL135="DX HP",$CL135="PTHP")),$BB135,Baselines!$CM128))</f>
        <v>0</v>
      </c>
      <c r="CH135" s="830" t="s">
        <v>567</v>
      </c>
      <c r="CI135" s="185" t="str">
        <f>IF(OR($C135="Replace-on-Burnout",$C135="New Construction"),$CT135,IF($BW135="","",VLOOKUP($D135,'Factor Tables'!$B$165:$H$192,MATCH($BW135,'Factor Tables'!$B$164:$H$164,0),FALSE)))</f>
        <v/>
      </c>
      <c r="CJ135" s="842" t="str">
        <f>IF(OR($C135="Replace-on-Burnout",$C135="New Construction"),$CU135,IF($BW135="","",IF($BW135="DX HP",VLOOKUP($D135,'Factor Tables'!$I$165:$Q$192,MATCH("DX HP Clg",'Factor Tables'!$I$164:$Q$164,0),FALSE),IF($BW135="PTHP",VLOOKUP($D135,'Factor Tables'!$I$165:$Q$192,MATCH("PTHP Clg",'Factor Tables'!$I$164:$Q$164,0),FALSE),IF(AND($BW135&lt;&gt;"DX HP",$BW135&lt;&gt;"PTHP"),VLOOKUP($D135,'Factor Tables'!$I$165:$Q$192,MATCH($BW135,'Factor Tables'!$I$164:$Q$164,0),FALSE),"")))))</f>
        <v/>
      </c>
      <c r="CK135" s="186" t="str">
        <f>IF(OR($C135="Replace-on-Burnout",$C135="New Construction",$CL135="DX HP",$CL135="PTHP"),$CV135,IF($BW135="","",IF($BW135="DX HP",VLOOKUP($D135,'Factor Tables'!$I$165:$Q$192,MATCH("DX HP Htg",'Factor Tables'!$I$164:$Q$164,0),FALSE),IF($BW135="PTHP",VLOOKUP($D135,'Factor Tables'!$I$165:$Q$192,MATCH("PTHP Htg",'Factor Tables'!$I$164:$Q$164,0),FALSE),0))))</f>
        <v/>
      </c>
      <c r="CL135" s="187" t="str">
        <f t="shared" si="57"/>
        <v/>
      </c>
      <c r="CM135" s="251" t="str">
        <f t="shared" si="58"/>
        <v/>
      </c>
      <c r="CN135" s="184">
        <f t="shared" si="72"/>
        <v>0</v>
      </c>
      <c r="CO135" s="693">
        <f t="shared" si="73"/>
        <v>0</v>
      </c>
      <c r="CP135" s="182" t="s">
        <v>46</v>
      </c>
      <c r="CQ135" s="852" t="str">
        <f t="shared" si="74"/>
        <v/>
      </c>
      <c r="CR135" s="833">
        <f t="shared" si="75"/>
        <v>0</v>
      </c>
      <c r="CS135" s="830" t="s">
        <v>567</v>
      </c>
      <c r="CT135" s="185" t="str">
        <f>IF($CL135="","",VLOOKUP($D135,'Factor Tables'!$B$165:$H$192,MATCH($CL135,'Factor Tables'!$B$164:$H$164,0),FALSE))</f>
        <v/>
      </c>
      <c r="CU135" s="842" t="str">
        <f>IF($CL135="","",IF(AND($CL135&lt;&gt;"DX HP",$CL135&lt;&gt;"PTHP"),VLOOKUP($D135,'Factor Tables'!$I$165:$Q$192,MATCH($CL135,'Factor Tables'!$I$164:$Q$164,0),FALSE),IF($CL135="DX HP",VLOOKUP($D135,'Factor Tables'!$I$165:$Q$192,MATCH("DX HP Clg",'Factor Tables'!$I$164:$Q$164,0),FALSE),IF($CL135="PTHP",VLOOKUP($D135,'Factor Tables'!$I$165:$Q$192,MATCH("PTHP Clg",'Factor Tables'!$I$164:$Q$164,0),FALSE),""))))</f>
        <v/>
      </c>
      <c r="CV135" s="186" t="str">
        <f>IF($CL135="","",IF(AND($CL135&lt;&gt;"DX HP",$CL135&lt;&gt;"PTHP"),0,IF($CL135="DX HP",VLOOKUP($D135,'Factor Tables'!$I$165:$Q$192,MATCH("DX HP Htg",'Factor Tables'!$I$164:$Q$164,0),FALSE),IF($CL135="PTHP",VLOOKUP($D135,'Factor Tables'!$I$165:$Q$192,MATCH("PTHP Htg",'Factor Tables'!$I$164:$Q$164,0),FALSE),""))))</f>
        <v/>
      </c>
      <c r="DD135" s="77"/>
      <c r="DE135" s="426"/>
      <c r="DI135" s="425"/>
      <c r="DJ135" s="425"/>
      <c r="DK135" s="425"/>
      <c r="DL135" s="425"/>
      <c r="DM135" s="493" t="s">
        <v>478</v>
      </c>
    </row>
    <row r="136" spans="2:117" s="427" customFormat="1" ht="21.95" customHeight="1" x14ac:dyDescent="0.25">
      <c r="B136" s="431">
        <v>127</v>
      </c>
      <c r="C136" s="501" t="str">
        <f t="shared" si="59"/>
        <v/>
      </c>
      <c r="D136" s="502" t="str">
        <f t="shared" si="60"/>
        <v/>
      </c>
      <c r="E136" s="546"/>
      <c r="F136" s="547"/>
      <c r="G136" s="729"/>
      <c r="H136" s="729"/>
      <c r="I136" s="729"/>
      <c r="J136" s="729"/>
      <c r="K136" s="729"/>
      <c r="L136" s="729"/>
      <c r="M136" s="765"/>
      <c r="N136" s="758"/>
      <c r="O136" s="765"/>
      <c r="P136" s="758"/>
      <c r="Q136" s="1143"/>
      <c r="R136" s="1134"/>
      <c r="S136" s="775"/>
      <c r="T136" s="729"/>
      <c r="U136" s="775"/>
      <c r="V136" s="779"/>
      <c r="W136" s="557"/>
      <c r="X136" s="788"/>
      <c r="Y136" s="543"/>
      <c r="Z136" s="281"/>
      <c r="AA136" s="281"/>
      <c r="AB136" s="281"/>
      <c r="AC136" s="281"/>
      <c r="AD136" s="492"/>
      <c r="AE136" s="527">
        <f t="shared" si="39"/>
        <v>0</v>
      </c>
      <c r="AF136" s="527">
        <f t="shared" si="61"/>
        <v>0</v>
      </c>
      <c r="AG136" s="527">
        <f t="shared" si="41"/>
        <v>0</v>
      </c>
      <c r="AH136" s="527">
        <f t="shared" si="42"/>
        <v>0</v>
      </c>
      <c r="AI136" s="527">
        <f t="shared" si="43"/>
        <v>0</v>
      </c>
      <c r="AJ136" s="527">
        <f t="shared" si="44"/>
        <v>999999999</v>
      </c>
      <c r="AK136" s="471"/>
      <c r="AL136" s="765"/>
      <c r="AM136" s="758"/>
      <c r="AN136" s="281"/>
      <c r="AO136" s="775"/>
      <c r="AP136" s="775"/>
      <c r="AQ136" s="281"/>
      <c r="AR136" s="528"/>
      <c r="AS136" s="532"/>
      <c r="AT136" s="524" t="str">
        <f t="shared" si="45"/>
        <v/>
      </c>
      <c r="AU136" s="311">
        <f t="shared" si="46"/>
        <v>0</v>
      </c>
      <c r="AV136" s="288">
        <f t="shared" si="62"/>
        <v>0</v>
      </c>
      <c r="AW136" s="290">
        <f>IF(ISERROR($AU136*'Utility Admin'!$E$4+$AV136*'Utility Admin'!$F$4),0,$AU136*'Utility Admin'!$E$4+$AV136*'Utility Admin'!$F$4)</f>
        <v>0</v>
      </c>
      <c r="AX136" s="323" t="str">
        <f t="shared" si="47"/>
        <v/>
      </c>
      <c r="AY136" s="322" t="str">
        <f t="shared" si="23"/>
        <v/>
      </c>
      <c r="AZ136" s="319">
        <f>Baselines!$CJ380</f>
        <v>0</v>
      </c>
      <c r="BA136" s="735">
        <f>Baselines!$CK380</f>
        <v>0</v>
      </c>
      <c r="BB136" s="839">
        <f>Baselines!$CM380</f>
        <v>0</v>
      </c>
      <c r="BC136" s="466">
        <f t="shared" si="48"/>
        <v>0</v>
      </c>
      <c r="BD136" s="464">
        <f t="shared" si="63"/>
        <v>0</v>
      </c>
      <c r="BE136" s="755">
        <f t="shared" si="49"/>
        <v>0</v>
      </c>
      <c r="BF136" s="755">
        <f t="shared" si="64"/>
        <v>0</v>
      </c>
      <c r="BG136" s="466">
        <f t="shared" si="50"/>
        <v>0</v>
      </c>
      <c r="BH136" s="464">
        <f t="shared" si="51"/>
        <v>0</v>
      </c>
      <c r="BI136" s="755">
        <f t="shared" si="52"/>
        <v>0</v>
      </c>
      <c r="BJ136" s="755">
        <f t="shared" si="65"/>
        <v>0</v>
      </c>
      <c r="BK136" s="333">
        <f>IF(OR($C136&lt;&gt;"Early Retirement",$H136=""),0,IF(AND($G136&lt;&gt;"Air Cooled Chiller",$G136&lt;&gt;"Water Cooled Chiller"),VLOOKUP($H136,'Early Retirement'!$CI$6:$CL$33,2,FALSE),IF($J136&lt;&gt;"Centrifugal",VLOOKUP($H136,'Early Retirement'!$CI$6:$CL$33,3,FALSE),IF($J136="Centrifugal",VLOOKUP($H136,'Early Retirement'!$CI$6:$CL$33,4,FALSE),""))))</f>
        <v>0</v>
      </c>
      <c r="BL136" s="450">
        <f t="shared" si="53"/>
        <v>0</v>
      </c>
      <c r="BM136" s="553">
        <f>IFERROR('Utility Admin'!$I$4*((1+'Utility Admin'!$G$4)/('Utility Admin'!$H$4-'Utility Admin'!$G$4))*(1-((1+'Utility Admin'!$G$4)/(1+'Utility Admin'!$H$4))^$BK136)*$BG136,0)</f>
        <v>0</v>
      </c>
      <c r="BN136" s="553">
        <f>IFERROR('Utility Admin'!$I$4*((1+'Utility Admin'!$G$4)/('Utility Admin'!$H$4-'Utility Admin'!$G$4))*(1-((1+'Utility Admin'!$G$4)/(1+'Utility Admin'!$H$4))^$BL136)*((1+'Utility Admin'!$G$4)^$BK136/(1+'Utility Admin'!$H$4)^$BK136)*$BC136,0)</f>
        <v>0</v>
      </c>
      <c r="BO136" s="553">
        <f t="shared" si="27"/>
        <v>0</v>
      </c>
      <c r="BP136" s="553">
        <f>IFERROR('Utility Admin'!$J$4*((1+'Utility Admin'!$G$4)/('Utility Admin'!$H$4-'Utility Admin'!$G$4))*(1-((1+'Utility Admin'!$G$4)/(1+'Utility Admin'!$H$4))^$BK136)*$BJ136,0)</f>
        <v>0</v>
      </c>
      <c r="BQ136" s="553">
        <f>IFERROR('Utility Admin'!$J$4*((1+'Utility Admin'!$G$4)/('Utility Admin'!$H$4-'Utility Admin'!$G$4))*(1-((1+'Utility Admin'!$G$4)/(1+'Utility Admin'!$H$4))^$BL136)*((1+'Utility Admin'!$G$4)^$BK136/(1+'Utility Admin'!$H$4)^$BK136)*$BF136,0)</f>
        <v>0</v>
      </c>
      <c r="BR136" s="553">
        <f t="shared" si="28"/>
        <v>0</v>
      </c>
      <c r="BS136" s="553">
        <f>IFERROR('Utility Admin'!$I$4*((1+'Utility Admin'!$G$4)/('Utility Admin'!$H$4-'Utility Admin'!$G$4))*(1-((1+'Utility Admin'!$G$4)/(1+'Utility Admin'!$H$4))^$AT136),0)</f>
        <v>0</v>
      </c>
      <c r="BT136" s="553">
        <f>IFERROR('Utility Admin'!$J$4*((1+'Utility Admin'!$G$4)/('Utility Admin'!$H$4-'Utility Admin'!$G$4))*(1-((1+'Utility Admin'!$G$4)/(1+'Utility Admin'!$H$4))^$AT136),0)</f>
        <v>0</v>
      </c>
      <c r="BU136" s="459">
        <f t="shared" si="66"/>
        <v>0</v>
      </c>
      <c r="BV136" s="462">
        <f t="shared" si="67"/>
        <v>0</v>
      </c>
      <c r="BW136" s="219" t="str">
        <f t="shared" si="54"/>
        <v/>
      </c>
      <c r="BX136" s="250" t="str">
        <f t="shared" si="68"/>
        <v/>
      </c>
      <c r="BY136" s="250" t="str">
        <f t="shared" si="55"/>
        <v/>
      </c>
      <c r="BZ136" s="184">
        <f t="shared" si="69"/>
        <v>0</v>
      </c>
      <c r="CA136" s="693">
        <f t="shared" si="70"/>
        <v>0</v>
      </c>
      <c r="CB136" s="836">
        <f t="shared" si="71"/>
        <v>0</v>
      </c>
      <c r="CC136" s="693">
        <f>IF(AND($C136="Early Retirement",$H136&lt;&gt;"",$R136&lt;&gt;"",$T136&lt;&gt;""),$BZ136,Baselines!$CJ129)</f>
        <v>0</v>
      </c>
      <c r="CD136" s="693">
        <f>IF(AND($C136="Early Retirement",$H136&lt;&gt;"",$R136&lt;&gt;"",$T136&lt;&gt;""),$CA136,Baselines!$CK129)</f>
        <v>0</v>
      </c>
      <c r="CE136" s="182" t="str">
        <f>Baselines!$CL129</f>
        <v>kW/ton</v>
      </c>
      <c r="CF136" s="850" t="str">
        <f t="shared" si="56"/>
        <v/>
      </c>
      <c r="CG136" s="833">
        <f>IF(AND($C136="Early Retirement",$H136&lt;&gt;"",$R136&lt;&gt;"",$T136&lt;&gt;""),$CB136,IF(AND(Baselines!$CM129=0,OR($CL136="DX HP",$CL136="PTHP")),$BB136,Baselines!$CM129))</f>
        <v>0</v>
      </c>
      <c r="CH136" s="830" t="s">
        <v>567</v>
      </c>
      <c r="CI136" s="185" t="str">
        <f>IF(OR($C136="Replace-on-Burnout",$C136="New Construction"),$CT136,IF($BW136="","",VLOOKUP($D136,'Factor Tables'!$B$165:$H$192,MATCH($BW136,'Factor Tables'!$B$164:$H$164,0),FALSE)))</f>
        <v/>
      </c>
      <c r="CJ136" s="842" t="str">
        <f>IF(OR($C136="Replace-on-Burnout",$C136="New Construction"),$CU136,IF($BW136="","",IF($BW136="DX HP",VLOOKUP($D136,'Factor Tables'!$I$165:$Q$192,MATCH("DX HP Clg",'Factor Tables'!$I$164:$Q$164,0),FALSE),IF($BW136="PTHP",VLOOKUP($D136,'Factor Tables'!$I$165:$Q$192,MATCH("PTHP Clg",'Factor Tables'!$I$164:$Q$164,0),FALSE),IF(AND($BW136&lt;&gt;"DX HP",$BW136&lt;&gt;"PTHP"),VLOOKUP($D136,'Factor Tables'!$I$165:$Q$192,MATCH($BW136,'Factor Tables'!$I$164:$Q$164,0),FALSE),"")))))</f>
        <v/>
      </c>
      <c r="CK136" s="186" t="str">
        <f>IF(OR($C136="Replace-on-Burnout",$C136="New Construction",$CL136="DX HP",$CL136="PTHP"),$CV136,IF($BW136="","",IF($BW136="DX HP",VLOOKUP($D136,'Factor Tables'!$I$165:$Q$192,MATCH("DX HP Htg",'Factor Tables'!$I$164:$Q$164,0),FALSE),IF($BW136="PTHP",VLOOKUP($D136,'Factor Tables'!$I$165:$Q$192,MATCH("PTHP Htg",'Factor Tables'!$I$164:$Q$164,0),FALSE),0))))</f>
        <v/>
      </c>
      <c r="CL136" s="187" t="str">
        <f t="shared" si="57"/>
        <v/>
      </c>
      <c r="CM136" s="251" t="str">
        <f t="shared" si="58"/>
        <v/>
      </c>
      <c r="CN136" s="184">
        <f t="shared" si="72"/>
        <v>0</v>
      </c>
      <c r="CO136" s="693">
        <f t="shared" si="73"/>
        <v>0</v>
      </c>
      <c r="CP136" s="182" t="s">
        <v>46</v>
      </c>
      <c r="CQ136" s="852" t="str">
        <f t="shared" si="74"/>
        <v/>
      </c>
      <c r="CR136" s="833">
        <f t="shared" si="75"/>
        <v>0</v>
      </c>
      <c r="CS136" s="830" t="s">
        <v>567</v>
      </c>
      <c r="CT136" s="185" t="str">
        <f>IF($CL136="","",VLOOKUP($D136,'Factor Tables'!$B$165:$H$192,MATCH($CL136,'Factor Tables'!$B$164:$H$164,0),FALSE))</f>
        <v/>
      </c>
      <c r="CU136" s="842" t="str">
        <f>IF($CL136="","",IF(AND($CL136&lt;&gt;"DX HP",$CL136&lt;&gt;"PTHP"),VLOOKUP($D136,'Factor Tables'!$I$165:$Q$192,MATCH($CL136,'Factor Tables'!$I$164:$Q$164,0),FALSE),IF($CL136="DX HP",VLOOKUP($D136,'Factor Tables'!$I$165:$Q$192,MATCH("DX HP Clg",'Factor Tables'!$I$164:$Q$164,0),FALSE),IF($CL136="PTHP",VLOOKUP($D136,'Factor Tables'!$I$165:$Q$192,MATCH("PTHP Clg",'Factor Tables'!$I$164:$Q$164,0),FALSE),""))))</f>
        <v/>
      </c>
      <c r="CV136" s="186" t="str">
        <f>IF($CL136="","",IF(AND($CL136&lt;&gt;"DX HP",$CL136&lt;&gt;"PTHP"),0,IF($CL136="DX HP",VLOOKUP($D136,'Factor Tables'!$I$165:$Q$192,MATCH("DX HP Htg",'Factor Tables'!$I$164:$Q$164,0),FALSE),IF($CL136="PTHP",VLOOKUP($D136,'Factor Tables'!$I$165:$Q$192,MATCH("PTHP Htg",'Factor Tables'!$I$164:$Q$164,0),FALSE),""))))</f>
        <v/>
      </c>
      <c r="DD136" s="193" t="s">
        <v>361</v>
      </c>
      <c r="DE136" s="426"/>
      <c r="DI136" s="425"/>
      <c r="DJ136" s="425"/>
      <c r="DK136" s="425"/>
      <c r="DL136" s="425"/>
      <c r="DM136" s="493" t="s">
        <v>478</v>
      </c>
    </row>
    <row r="137" spans="2:117" s="427" customFormat="1" ht="21.95" customHeight="1" x14ac:dyDescent="0.25">
      <c r="B137" s="432">
        <v>128</v>
      </c>
      <c r="C137" s="499" t="str">
        <f t="shared" si="59"/>
        <v/>
      </c>
      <c r="D137" s="403" t="str">
        <f t="shared" si="60"/>
        <v/>
      </c>
      <c r="E137" s="541"/>
      <c r="F137" s="785"/>
      <c r="G137" s="728"/>
      <c r="H137" s="728"/>
      <c r="I137" s="728"/>
      <c r="J137" s="728"/>
      <c r="K137" s="728"/>
      <c r="L137" s="728"/>
      <c r="M137" s="764"/>
      <c r="N137" s="728"/>
      <c r="O137" s="764"/>
      <c r="P137" s="728"/>
      <c r="Q137" s="1142"/>
      <c r="R137" s="1133"/>
      <c r="S137" s="778"/>
      <c r="T137" s="767"/>
      <c r="U137" s="778"/>
      <c r="V137" s="751"/>
      <c r="W137" s="556"/>
      <c r="X137" s="785"/>
      <c r="Y137" s="542"/>
      <c r="Z137" s="500"/>
      <c r="AA137" s="500"/>
      <c r="AB137" s="500"/>
      <c r="AC137" s="500"/>
      <c r="AD137" s="529"/>
      <c r="AE137" s="527">
        <f t="shared" si="39"/>
        <v>0</v>
      </c>
      <c r="AF137" s="527">
        <f t="shared" si="61"/>
        <v>0</v>
      </c>
      <c r="AG137" s="527">
        <f t="shared" si="41"/>
        <v>0</v>
      </c>
      <c r="AH137" s="527">
        <f t="shared" si="42"/>
        <v>0</v>
      </c>
      <c r="AI137" s="527">
        <f t="shared" si="43"/>
        <v>0</v>
      </c>
      <c r="AJ137" s="527">
        <f t="shared" si="44"/>
        <v>999999999</v>
      </c>
      <c r="AK137" s="530"/>
      <c r="AL137" s="776"/>
      <c r="AM137" s="777"/>
      <c r="AN137" s="500"/>
      <c r="AO137" s="778"/>
      <c r="AP137" s="778"/>
      <c r="AQ137" s="500"/>
      <c r="AR137" s="531"/>
      <c r="AS137" s="403"/>
      <c r="AT137" s="524" t="str">
        <f t="shared" si="45"/>
        <v/>
      </c>
      <c r="AU137" s="311">
        <f t="shared" si="46"/>
        <v>0</v>
      </c>
      <c r="AV137" s="288">
        <f t="shared" si="62"/>
        <v>0</v>
      </c>
      <c r="AW137" s="290">
        <f>IF(ISERROR($AU137*'Utility Admin'!$E$4+$AV137*'Utility Admin'!$F$4),0,$AU137*'Utility Admin'!$E$4+$AV137*'Utility Admin'!$F$4)</f>
        <v>0</v>
      </c>
      <c r="AX137" s="323" t="str">
        <f t="shared" si="47"/>
        <v/>
      </c>
      <c r="AY137" s="322" t="str">
        <f t="shared" si="23"/>
        <v/>
      </c>
      <c r="AZ137" s="319">
        <f>Baselines!$CJ381</f>
        <v>0</v>
      </c>
      <c r="BA137" s="735">
        <f>Baselines!$CK381</f>
        <v>0</v>
      </c>
      <c r="BB137" s="839">
        <f>Baselines!$CM381</f>
        <v>0</v>
      </c>
      <c r="BC137" s="466">
        <f t="shared" si="48"/>
        <v>0</v>
      </c>
      <c r="BD137" s="464">
        <f t="shared" si="63"/>
        <v>0</v>
      </c>
      <c r="BE137" s="755">
        <f t="shared" si="49"/>
        <v>0</v>
      </c>
      <c r="BF137" s="755">
        <f t="shared" si="64"/>
        <v>0</v>
      </c>
      <c r="BG137" s="466">
        <f t="shared" si="50"/>
        <v>0</v>
      </c>
      <c r="BH137" s="464">
        <f t="shared" si="51"/>
        <v>0</v>
      </c>
      <c r="BI137" s="755">
        <f t="shared" si="52"/>
        <v>0</v>
      </c>
      <c r="BJ137" s="755">
        <f t="shared" si="65"/>
        <v>0</v>
      </c>
      <c r="BK137" s="333">
        <f>IF(OR($C137&lt;&gt;"Early Retirement",$H137=""),0,IF(AND($G137&lt;&gt;"Air Cooled Chiller",$G137&lt;&gt;"Water Cooled Chiller"),VLOOKUP($H137,'Early Retirement'!$CI$6:$CL$33,2,FALSE),IF($J137&lt;&gt;"Centrifugal",VLOOKUP($H137,'Early Retirement'!$CI$6:$CL$33,3,FALSE),IF($J137="Centrifugal",VLOOKUP($H137,'Early Retirement'!$CI$6:$CL$33,4,FALSE),""))))</f>
        <v>0</v>
      </c>
      <c r="BL137" s="450">
        <f t="shared" si="53"/>
        <v>0</v>
      </c>
      <c r="BM137" s="553">
        <f>IFERROR('Utility Admin'!$I$4*((1+'Utility Admin'!$G$4)/('Utility Admin'!$H$4-'Utility Admin'!$G$4))*(1-((1+'Utility Admin'!$G$4)/(1+'Utility Admin'!$H$4))^$BK137)*$BG137,0)</f>
        <v>0</v>
      </c>
      <c r="BN137" s="553">
        <f>IFERROR('Utility Admin'!$I$4*((1+'Utility Admin'!$G$4)/('Utility Admin'!$H$4-'Utility Admin'!$G$4))*(1-((1+'Utility Admin'!$G$4)/(1+'Utility Admin'!$H$4))^$BL137)*((1+'Utility Admin'!$G$4)^$BK137/(1+'Utility Admin'!$H$4)^$BK137)*$BC137,0)</f>
        <v>0</v>
      </c>
      <c r="BO137" s="553">
        <f t="shared" si="27"/>
        <v>0</v>
      </c>
      <c r="BP137" s="553">
        <f>IFERROR('Utility Admin'!$J$4*((1+'Utility Admin'!$G$4)/('Utility Admin'!$H$4-'Utility Admin'!$G$4))*(1-((1+'Utility Admin'!$G$4)/(1+'Utility Admin'!$H$4))^$BK137)*$BJ137,0)</f>
        <v>0</v>
      </c>
      <c r="BQ137" s="553">
        <f>IFERROR('Utility Admin'!$J$4*((1+'Utility Admin'!$G$4)/('Utility Admin'!$H$4-'Utility Admin'!$G$4))*(1-((1+'Utility Admin'!$G$4)/(1+'Utility Admin'!$H$4))^$BL137)*((1+'Utility Admin'!$G$4)^$BK137/(1+'Utility Admin'!$H$4)^$BK137)*$BF137,0)</f>
        <v>0</v>
      </c>
      <c r="BR137" s="553">
        <f t="shared" si="28"/>
        <v>0</v>
      </c>
      <c r="BS137" s="553">
        <f>IFERROR('Utility Admin'!$I$4*((1+'Utility Admin'!$G$4)/('Utility Admin'!$H$4-'Utility Admin'!$G$4))*(1-((1+'Utility Admin'!$G$4)/(1+'Utility Admin'!$H$4))^$AT137),0)</f>
        <v>0</v>
      </c>
      <c r="BT137" s="553">
        <f>IFERROR('Utility Admin'!$J$4*((1+'Utility Admin'!$G$4)/('Utility Admin'!$H$4-'Utility Admin'!$G$4))*(1-((1+'Utility Admin'!$G$4)/(1+'Utility Admin'!$H$4))^$AT137),0)</f>
        <v>0</v>
      </c>
      <c r="BU137" s="459">
        <f t="shared" si="66"/>
        <v>0</v>
      </c>
      <c r="BV137" s="462">
        <f t="shared" si="67"/>
        <v>0</v>
      </c>
      <c r="BW137" s="219" t="str">
        <f t="shared" si="54"/>
        <v/>
      </c>
      <c r="BX137" s="250" t="str">
        <f t="shared" si="68"/>
        <v/>
      </c>
      <c r="BY137" s="250" t="str">
        <f t="shared" si="55"/>
        <v/>
      </c>
      <c r="BZ137" s="184">
        <f t="shared" si="69"/>
        <v>0</v>
      </c>
      <c r="CA137" s="693">
        <f t="shared" si="70"/>
        <v>0</v>
      </c>
      <c r="CB137" s="836">
        <f t="shared" si="71"/>
        <v>0</v>
      </c>
      <c r="CC137" s="693">
        <f>IF(AND($C137="Early Retirement",$H137&lt;&gt;"",$R137&lt;&gt;"",$T137&lt;&gt;""),$BZ137,Baselines!$CJ130)</f>
        <v>0</v>
      </c>
      <c r="CD137" s="693">
        <f>IF(AND($C137="Early Retirement",$H137&lt;&gt;"",$R137&lt;&gt;"",$T137&lt;&gt;""),$CA137,Baselines!$CK130)</f>
        <v>0</v>
      </c>
      <c r="CE137" s="182" t="str">
        <f>Baselines!$CL130</f>
        <v>kW/ton</v>
      </c>
      <c r="CF137" s="850" t="str">
        <f t="shared" si="56"/>
        <v/>
      </c>
      <c r="CG137" s="833">
        <f>IF(AND($C137="Early Retirement",$H137&lt;&gt;"",$R137&lt;&gt;"",$T137&lt;&gt;""),$CB137,IF(AND(Baselines!$CM130=0,OR($CL137="DX HP",$CL137="PTHP")),$BB137,Baselines!$CM130))</f>
        <v>0</v>
      </c>
      <c r="CH137" s="830" t="s">
        <v>567</v>
      </c>
      <c r="CI137" s="185" t="str">
        <f>IF(OR($C137="Replace-on-Burnout",$C137="New Construction"),$CT137,IF($BW137="","",VLOOKUP($D137,'Factor Tables'!$B$165:$H$192,MATCH($BW137,'Factor Tables'!$B$164:$H$164,0),FALSE)))</f>
        <v/>
      </c>
      <c r="CJ137" s="842" t="str">
        <f>IF(OR($C137="Replace-on-Burnout",$C137="New Construction"),$CU137,IF($BW137="","",IF($BW137="DX HP",VLOOKUP($D137,'Factor Tables'!$I$165:$Q$192,MATCH("DX HP Clg",'Factor Tables'!$I$164:$Q$164,0),FALSE),IF($BW137="PTHP",VLOOKUP($D137,'Factor Tables'!$I$165:$Q$192,MATCH("PTHP Clg",'Factor Tables'!$I$164:$Q$164,0),FALSE),IF(AND($BW137&lt;&gt;"DX HP",$BW137&lt;&gt;"PTHP"),VLOOKUP($D137,'Factor Tables'!$I$165:$Q$192,MATCH($BW137,'Factor Tables'!$I$164:$Q$164,0),FALSE),"")))))</f>
        <v/>
      </c>
      <c r="CK137" s="186" t="str">
        <f>IF(OR($C137="Replace-on-Burnout",$C137="New Construction",$CL137="DX HP",$CL137="PTHP"),$CV137,IF($BW137="","",IF($BW137="DX HP",VLOOKUP($D137,'Factor Tables'!$I$165:$Q$192,MATCH("DX HP Htg",'Factor Tables'!$I$164:$Q$164,0),FALSE),IF($BW137="PTHP",VLOOKUP($D137,'Factor Tables'!$I$165:$Q$192,MATCH("PTHP Htg",'Factor Tables'!$I$164:$Q$164,0),FALSE),0))))</f>
        <v/>
      </c>
      <c r="CL137" s="187" t="str">
        <f t="shared" si="57"/>
        <v/>
      </c>
      <c r="CM137" s="251" t="str">
        <f t="shared" si="58"/>
        <v/>
      </c>
      <c r="CN137" s="184">
        <f t="shared" si="72"/>
        <v>0</v>
      </c>
      <c r="CO137" s="693">
        <f t="shared" si="73"/>
        <v>0</v>
      </c>
      <c r="CP137" s="182" t="s">
        <v>46</v>
      </c>
      <c r="CQ137" s="852" t="str">
        <f t="shared" si="74"/>
        <v/>
      </c>
      <c r="CR137" s="833">
        <f t="shared" si="75"/>
        <v>0</v>
      </c>
      <c r="CS137" s="830" t="s">
        <v>567</v>
      </c>
      <c r="CT137" s="185" t="str">
        <f>IF($CL137="","",VLOOKUP($D137,'Factor Tables'!$B$165:$H$192,MATCH($CL137,'Factor Tables'!$B$164:$H$164,0),FALSE))</f>
        <v/>
      </c>
      <c r="CU137" s="842" t="str">
        <f>IF($CL137="","",IF(AND($CL137&lt;&gt;"DX HP",$CL137&lt;&gt;"PTHP"),VLOOKUP($D137,'Factor Tables'!$I$165:$Q$192,MATCH($CL137,'Factor Tables'!$I$164:$Q$164,0),FALSE),IF($CL137="DX HP",VLOOKUP($D137,'Factor Tables'!$I$165:$Q$192,MATCH("DX HP Clg",'Factor Tables'!$I$164:$Q$164,0),FALSE),IF($CL137="PTHP",VLOOKUP($D137,'Factor Tables'!$I$165:$Q$192,MATCH("PTHP Clg",'Factor Tables'!$I$164:$Q$164,0),FALSE),""))))</f>
        <v/>
      </c>
      <c r="CV137" s="186" t="str">
        <f>IF($CL137="","",IF(AND($CL137&lt;&gt;"DX HP",$CL137&lt;&gt;"PTHP"),0,IF($CL137="DX HP",VLOOKUP($D137,'Factor Tables'!$I$165:$Q$192,MATCH("DX HP Htg",'Factor Tables'!$I$164:$Q$164,0),FALSE),IF($CL137="PTHP",VLOOKUP($D137,'Factor Tables'!$I$165:$Q$192,MATCH("PTHP Htg",'Factor Tables'!$I$164:$Q$164,0),FALSE),""))))</f>
        <v/>
      </c>
      <c r="DD137" s="77" t="s">
        <v>44</v>
      </c>
      <c r="DE137" s="426"/>
      <c r="DI137" s="425"/>
      <c r="DJ137" s="425"/>
      <c r="DK137" s="425"/>
      <c r="DL137" s="425"/>
      <c r="DM137" s="493" t="s">
        <v>478</v>
      </c>
    </row>
    <row r="138" spans="2:117" s="427" customFormat="1" ht="21.95" customHeight="1" x14ac:dyDescent="0.25">
      <c r="B138" s="431">
        <v>129</v>
      </c>
      <c r="C138" s="501" t="str">
        <f t="shared" si="59"/>
        <v/>
      </c>
      <c r="D138" s="502" t="str">
        <f t="shared" si="60"/>
        <v/>
      </c>
      <c r="E138" s="546"/>
      <c r="F138" s="547"/>
      <c r="G138" s="729"/>
      <c r="H138" s="729"/>
      <c r="I138" s="729"/>
      <c r="J138" s="729"/>
      <c r="K138" s="729"/>
      <c r="L138" s="729"/>
      <c r="M138" s="765"/>
      <c r="N138" s="758"/>
      <c r="O138" s="765"/>
      <c r="P138" s="758"/>
      <c r="Q138" s="1143"/>
      <c r="R138" s="1134"/>
      <c r="S138" s="775"/>
      <c r="T138" s="729"/>
      <c r="U138" s="775"/>
      <c r="V138" s="779"/>
      <c r="W138" s="557"/>
      <c r="X138" s="788"/>
      <c r="Y138" s="543"/>
      <c r="Z138" s="281"/>
      <c r="AA138" s="281"/>
      <c r="AB138" s="281"/>
      <c r="AC138" s="281"/>
      <c r="AD138" s="492"/>
      <c r="AE138" s="527">
        <f t="shared" si="39"/>
        <v>0</v>
      </c>
      <c r="AF138" s="527">
        <f t="shared" si="61"/>
        <v>0</v>
      </c>
      <c r="AG138" s="527">
        <f t="shared" ref="AG138:AG201" si="76">IF(OR($C138="New Construction",$C138="Replace-on-Burnout",$AK138="",$AN138=""),0,(0.8*$AE138*$Q138)/$AN138)</f>
        <v>0</v>
      </c>
      <c r="AH138" s="527">
        <f t="shared" ref="AH138:AH201" si="77">IF(OR($C138="New Construction",$C138="Replace-on-Burnout"),999999999,IF(OR($AK138="",$AN138=""),0,(1.2*$AE138*$Q138)/$AN138))</f>
        <v>0</v>
      </c>
      <c r="AI138" s="527">
        <f t="shared" ref="AI138:AI201" si="78">IF(OR($C138="New Construction",$C138="Replace-on-Burnout",$AK138="",$AN138=""),0,IF($AK138="Tons",$AG138,IF($AK138="Btu/hr",$AG138*12000,0)))</f>
        <v>0</v>
      </c>
      <c r="AJ138" s="527">
        <f t="shared" ref="AJ138:AJ201" si="79">IF(OR($C138="New Construction",$C138="Replace-on-Burnout",$AK138="",$AN138=""),999999999,IF($AK138="Tons",$AH138,IF($AK138="Btu/hr",$AH138*12000,0)))</f>
        <v>999999999</v>
      </c>
      <c r="AK138" s="471"/>
      <c r="AL138" s="765"/>
      <c r="AM138" s="758"/>
      <c r="AN138" s="281"/>
      <c r="AO138" s="775"/>
      <c r="AP138" s="775"/>
      <c r="AQ138" s="281"/>
      <c r="AR138" s="528"/>
      <c r="AS138" s="532"/>
      <c r="AT138" s="524" t="str">
        <f t="shared" ref="AT138:AT201" si="80">IF(OR($Z138="",AND(OR($Z138="Air Cooled Chiller",$Z138="Water Cooled Chiller"),$AA138="")),"",IF(OR($Z138="Air Cooled Chiller",$Z138="Water Cooled Chiller"),VLOOKUP(CONCATENATE($AA138," ",$Z138),$CY$10:$DB$21,4,FALSE),VLOOKUP($Z138,$CY$10:$DB$21,4,FALSE)))</f>
        <v/>
      </c>
      <c r="AU138" s="311">
        <f t="shared" ref="AU138:AU201" si="81">IF($C138="Early Retirement",$BU138,IFERROR(IF(OR($Z138="",$AD138="",$AK138="",$AN138="",$AO138="",$AQ138="",$CI138=0,$CT138=0),0,($BY138*$CC138*$CI138)-($CM138*$CN138*$CT138)),0))</f>
        <v>0</v>
      </c>
      <c r="AV138" s="288">
        <f t="shared" si="62"/>
        <v>0</v>
      </c>
      <c r="AW138" s="290">
        <f>IF(ISERROR($AU138*'Utility Admin'!$E$4+$AV138*'Utility Admin'!$F$4),0,$AU138*'Utility Admin'!$E$4+$AV138*'Utility Admin'!$F$4)</f>
        <v>0</v>
      </c>
      <c r="AX138" s="323" t="str">
        <f t="shared" ref="AX138:AX201" si="82">IF(OR($Z138="",AND(OR($Z138="Air Cooled Chiller",$Z138="Water Cooled Chiller"),$AA138="")),"",IF(OR($Z138="Air Cooled Chiller",$Z138="Water Cooled Chiller"),VLOOKUP(CONCATENATE($AA138," ",$Z138),$CY$10:$DA$21,3,FALSE),VLOOKUP($Z138,$CY$10:$DA$21,3,FALSE)))</f>
        <v/>
      </c>
      <c r="AY138" s="322" t="str">
        <f t="shared" si="23"/>
        <v/>
      </c>
      <c r="AZ138" s="319">
        <f>Baselines!$CJ382</f>
        <v>0</v>
      </c>
      <c r="BA138" s="735">
        <f>Baselines!$CK382</f>
        <v>0</v>
      </c>
      <c r="BB138" s="839">
        <f>Baselines!$CM382</f>
        <v>0</v>
      </c>
      <c r="BC138" s="466">
        <f t="shared" ref="BC138:BC201" si="83">IF(OR($D138="",$Z138="",$AD138="",$AK138="",$AN138="",$AO138="",$AQ138="",$AY138=""),0,IFERROR(IF(OR($CI138=0,$CT138=0),0,($BY138*$AZ138*$CI138)-($CM138*$CN138*$CT138)),0))</f>
        <v>0</v>
      </c>
      <c r="BD138" s="464">
        <f t="shared" si="63"/>
        <v>0</v>
      </c>
      <c r="BE138" s="755">
        <f t="shared" ref="BE138:BE201" si="84">IF(OR($D138="",$Z138="",$AL138="",$AM138="",$AN138="",$AR138="",$AS138="",$AY138=""),0,IFERROR(IF(OR($CK138=0,$CV138=0),0,(($CF138*(1/$BB138)*$CK138)-($CQ138*(1/$CR138)*$CV138))*(1/3412)),0))</f>
        <v>0</v>
      </c>
      <c r="BF138" s="755">
        <f t="shared" si="64"/>
        <v>0</v>
      </c>
      <c r="BG138" s="466">
        <f t="shared" ref="BG138:BG201" si="85">IF(OR($C138&lt;&gt;"Early Retirement",$D138="",$H138="",$Z138="",$AD138="",$AK138="",$AN138="",$AO138="",$AQ138=""),0,IF(AND($C138="Early Retirement",OR($Z138="PTAC",$Z138="PTHP"),OR($AB138&lt;&gt;"Yes",$AD138&gt;$M138)),$BC138,IFERROR(IF(OR($CI138=0,$CT138=0),0,($BY138*$CC138*$CI138)-($CM138*$CN138*$CT138)),0)))</f>
        <v>0</v>
      </c>
      <c r="BH138" s="464">
        <f t="shared" ref="BH138:BH201" si="86">IF(OR($C138&lt;&gt;"Early Retirement",$D138="",$H138="",$Z138="",$AD138="",$AK138="",$AN138="",AND($AO138="",$AP138=""),$AQ138=""),0,IF(AND($C138="Early Retirement",OR($Z138="PTAC",$Z138="PTHP"),OR($AB138&lt;&gt;"Yes",$AD138&gt;$M138)),$BD138,IFERROR(IF(OR($CJ138=0,$CU138=0),0,($BY138*$CD138*$CJ138)-($CM138*$CO138*$CU138)),0)))</f>
        <v>0</v>
      </c>
      <c r="BI138" s="755">
        <f t="shared" ref="BI138:BI201" si="87">IF(OR($C138&lt;&gt;"Early Retirement",$D138="",$H138="",$Z138="",$AL138="",$AM138="",$AN138="",$AR138="",$AS138=""),0,IF(AND($C138="Early Retirement",OR($Z138="PTAC",$Z138="PTHP"),OR($AB138&lt;&gt;"Yes",$AD138&gt;$M138)),$BE138,IFERROR(IF(OR($CK138=0,$CV138=0),0,(($CF138*(1/$CG138)*$CK138)-($CQ138*(1/$CR138)*$CV138))*(1/3412)),0)))</f>
        <v>0</v>
      </c>
      <c r="BJ138" s="755">
        <f t="shared" si="65"/>
        <v>0</v>
      </c>
      <c r="BK138" s="333">
        <f>IF(OR($C138&lt;&gt;"Early Retirement",$H138=""),0,IF(AND($G138&lt;&gt;"Air Cooled Chiller",$G138&lt;&gt;"Water Cooled Chiller"),VLOOKUP($H138,'Early Retirement'!$CI$6:$CL$33,2,FALSE),IF($J138&lt;&gt;"Centrifugal",VLOOKUP($H138,'Early Retirement'!$CI$6:$CL$33,3,FALSE),IF($J138="Centrifugal",VLOOKUP($H138,'Early Retirement'!$CI$6:$CL$33,4,FALSE),""))))</f>
        <v>0</v>
      </c>
      <c r="BL138" s="450">
        <f t="shared" ref="BL138:BL201" si="88">IF(OR($C138&lt;&gt;"Early Retirement",$H138="",$Z138="",$AT138=""),0,$AT138-$BK138)</f>
        <v>0</v>
      </c>
      <c r="BM138" s="553">
        <f>IFERROR('Utility Admin'!$I$4*((1+'Utility Admin'!$G$4)/('Utility Admin'!$H$4-'Utility Admin'!$G$4))*(1-((1+'Utility Admin'!$G$4)/(1+'Utility Admin'!$H$4))^$BK138)*$BG138,0)</f>
        <v>0</v>
      </c>
      <c r="BN138" s="553">
        <f>IFERROR('Utility Admin'!$I$4*((1+'Utility Admin'!$G$4)/('Utility Admin'!$H$4-'Utility Admin'!$G$4))*(1-((1+'Utility Admin'!$G$4)/(1+'Utility Admin'!$H$4))^$BL138)*((1+'Utility Admin'!$G$4)^$BK138/(1+'Utility Admin'!$H$4)^$BK138)*$BC138,0)</f>
        <v>0</v>
      </c>
      <c r="BO138" s="553">
        <f t="shared" si="27"/>
        <v>0</v>
      </c>
      <c r="BP138" s="553">
        <f>IFERROR('Utility Admin'!$J$4*((1+'Utility Admin'!$G$4)/('Utility Admin'!$H$4-'Utility Admin'!$G$4))*(1-((1+'Utility Admin'!$G$4)/(1+'Utility Admin'!$H$4))^$BK138)*$BJ138,0)</f>
        <v>0</v>
      </c>
      <c r="BQ138" s="553">
        <f>IFERROR('Utility Admin'!$J$4*((1+'Utility Admin'!$G$4)/('Utility Admin'!$H$4-'Utility Admin'!$G$4))*(1-((1+'Utility Admin'!$G$4)/(1+'Utility Admin'!$H$4))^$BL138)*((1+'Utility Admin'!$G$4)^$BK138/(1+'Utility Admin'!$H$4)^$BK138)*$BF138,0)</f>
        <v>0</v>
      </c>
      <c r="BR138" s="553">
        <f t="shared" si="28"/>
        <v>0</v>
      </c>
      <c r="BS138" s="553">
        <f>IFERROR('Utility Admin'!$I$4*((1+'Utility Admin'!$G$4)/('Utility Admin'!$H$4-'Utility Admin'!$G$4))*(1-((1+'Utility Admin'!$G$4)/(1+'Utility Admin'!$H$4))^$AT138),0)</f>
        <v>0</v>
      </c>
      <c r="BT138" s="553">
        <f>IFERROR('Utility Admin'!$J$4*((1+'Utility Admin'!$G$4)/('Utility Admin'!$H$4-'Utility Admin'!$G$4))*(1-((1+'Utility Admin'!$G$4)/(1+'Utility Admin'!$H$4))^$AT138),0)</f>
        <v>0</v>
      </c>
      <c r="BU138" s="459">
        <f t="shared" si="66"/>
        <v>0</v>
      </c>
      <c r="BV138" s="462">
        <f t="shared" si="67"/>
        <v>0</v>
      </c>
      <c r="BW138" s="219" t="str">
        <f t="shared" ref="BW138:BW201" si="89">IF($C138="New Construction",$CL138,IF($G138="","",VLOOKUP($G138,$CX$10:$CZ$21,3,FALSE)))</f>
        <v/>
      </c>
      <c r="BX138" s="250" t="str">
        <f t="shared" si="68"/>
        <v/>
      </c>
      <c r="BY138" s="250" t="str">
        <f t="shared" ref="BY138:BY201" si="90">IF(OR($C138="New Construction",$C138="Replace-on-Burnout"),$CM138,$BX138)</f>
        <v/>
      </c>
      <c r="BZ138" s="184">
        <f t="shared" si="69"/>
        <v>0</v>
      </c>
      <c r="CA138" s="693">
        <f t="shared" si="70"/>
        <v>0</v>
      </c>
      <c r="CB138" s="836">
        <f t="shared" si="71"/>
        <v>0</v>
      </c>
      <c r="CC138" s="693">
        <f>IF(AND($C138="Early Retirement",$H138&lt;&gt;"",$R138&lt;&gt;"",$T138&lt;&gt;""),$BZ138,Baselines!$CJ131)</f>
        <v>0</v>
      </c>
      <c r="CD138" s="693">
        <f>IF(AND($C138="Early Retirement",$H138&lt;&gt;"",$R138&lt;&gt;"",$T138&lt;&gt;""),$CA138,Baselines!$CK131)</f>
        <v>0</v>
      </c>
      <c r="CE138" s="182" t="str">
        <f>Baselines!$CL131</f>
        <v>kW/ton</v>
      </c>
      <c r="CF138" s="850" t="str">
        <f t="shared" ref="CF138:CF201" si="91">IF(OR($C138="New Construction",$C138="Replace-on-Burnout",$CL138="DX HP",$CL138="PTHP"),$CQ138,IF(OR($O138="",$P138="",$Q138=""),"",IF($P138="Tons",($O138*12000)*$Q138,IF($P138="Btu/hr",$O138*$Q138,""))))</f>
        <v/>
      </c>
      <c r="CG138" s="833">
        <f>IF(AND($C138="Early Retirement",$H138&lt;&gt;"",$R138&lt;&gt;"",$T138&lt;&gt;""),$CB138,IF(AND(Baselines!$CM131=0,OR($CL138="DX HP",$CL138="PTHP")),$BB138,Baselines!$CM131))</f>
        <v>0</v>
      </c>
      <c r="CH138" s="830" t="s">
        <v>567</v>
      </c>
      <c r="CI138" s="185" t="str">
        <f>IF(OR($C138="Replace-on-Burnout",$C138="New Construction"),$CT138,IF($BW138="","",VLOOKUP($D138,'Factor Tables'!$B$165:$H$192,MATCH($BW138,'Factor Tables'!$B$164:$H$164,0),FALSE)))</f>
        <v/>
      </c>
      <c r="CJ138" s="842" t="str">
        <f>IF(OR($C138="Replace-on-Burnout",$C138="New Construction"),$CU138,IF($BW138="","",IF($BW138="DX HP",VLOOKUP($D138,'Factor Tables'!$I$165:$Q$192,MATCH("DX HP Clg",'Factor Tables'!$I$164:$Q$164,0),FALSE),IF($BW138="PTHP",VLOOKUP($D138,'Factor Tables'!$I$165:$Q$192,MATCH("PTHP Clg",'Factor Tables'!$I$164:$Q$164,0),FALSE),IF(AND($BW138&lt;&gt;"DX HP",$BW138&lt;&gt;"PTHP"),VLOOKUP($D138,'Factor Tables'!$I$165:$Q$192,MATCH($BW138,'Factor Tables'!$I$164:$Q$164,0),FALSE),"")))))</f>
        <v/>
      </c>
      <c r="CK138" s="186" t="str">
        <f>IF(OR($C138="Replace-on-Burnout",$C138="New Construction",$CL138="DX HP",$CL138="PTHP"),$CV138,IF($BW138="","",IF($BW138="DX HP",VLOOKUP($D138,'Factor Tables'!$I$165:$Q$192,MATCH("DX HP Htg",'Factor Tables'!$I$164:$Q$164,0),FALSE),IF($BW138="PTHP",VLOOKUP($D138,'Factor Tables'!$I$165:$Q$192,MATCH("PTHP Htg",'Factor Tables'!$I$164:$Q$164,0),FALSE),0))))</f>
        <v/>
      </c>
      <c r="CL138" s="187" t="str">
        <f t="shared" ref="CL138:CL201" si="92">IF($Z138="","",VLOOKUP($Z138,$CX$10:$CZ$21,3,FALSE))</f>
        <v/>
      </c>
      <c r="CM138" s="251" t="str">
        <f t="shared" ref="CM138:CM201" si="93">IF(OR($AD138="",$AK138="",$AN138=""),"",IF($AK138="Btu/hr",($AD138/12000)*$AN138,IF($AK138="Tons",$AD138*$AN138,"")))</f>
        <v/>
      </c>
      <c r="CN138" s="184">
        <f t="shared" si="72"/>
        <v>0</v>
      </c>
      <c r="CO138" s="693">
        <f t="shared" si="73"/>
        <v>0</v>
      </c>
      <c r="CP138" s="182" t="s">
        <v>46</v>
      </c>
      <c r="CQ138" s="852" t="str">
        <f t="shared" si="74"/>
        <v/>
      </c>
      <c r="CR138" s="833">
        <f t="shared" si="75"/>
        <v>0</v>
      </c>
      <c r="CS138" s="830" t="s">
        <v>567</v>
      </c>
      <c r="CT138" s="185" t="str">
        <f>IF($CL138="","",VLOOKUP($D138,'Factor Tables'!$B$165:$H$192,MATCH($CL138,'Factor Tables'!$B$164:$H$164,0),FALSE))</f>
        <v/>
      </c>
      <c r="CU138" s="842" t="str">
        <f>IF($CL138="","",IF(AND($CL138&lt;&gt;"DX HP",$CL138&lt;&gt;"PTHP"),VLOOKUP($D138,'Factor Tables'!$I$165:$Q$192,MATCH($CL138,'Factor Tables'!$I$164:$Q$164,0),FALSE),IF($CL138="DX HP",VLOOKUP($D138,'Factor Tables'!$I$165:$Q$192,MATCH("DX HP Clg",'Factor Tables'!$I$164:$Q$164,0),FALSE),IF($CL138="PTHP",VLOOKUP($D138,'Factor Tables'!$I$165:$Q$192,MATCH("PTHP Clg",'Factor Tables'!$I$164:$Q$164,0),FALSE),""))))</f>
        <v/>
      </c>
      <c r="CV138" s="186" t="str">
        <f>IF($CL138="","",IF(AND($CL138&lt;&gt;"DX HP",$CL138&lt;&gt;"PTHP"),0,IF($CL138="DX HP",VLOOKUP($D138,'Factor Tables'!$I$165:$Q$192,MATCH("DX HP Htg",'Factor Tables'!$I$164:$Q$164,0),FALSE),IF($CL138="PTHP",VLOOKUP($D138,'Factor Tables'!$I$165:$Q$192,MATCH("PTHP Htg",'Factor Tables'!$I$164:$Q$164,0),FALSE),""))))</f>
        <v/>
      </c>
      <c r="DD138" s="77" t="s">
        <v>43</v>
      </c>
      <c r="DE138" s="426"/>
      <c r="DI138" s="425"/>
      <c r="DJ138" s="425"/>
      <c r="DK138" s="425"/>
      <c r="DL138" s="425"/>
      <c r="DM138" s="493" t="s">
        <v>478</v>
      </c>
    </row>
    <row r="139" spans="2:117" s="427" customFormat="1" ht="21.95" customHeight="1" x14ac:dyDescent="0.25">
      <c r="B139" s="432">
        <v>130</v>
      </c>
      <c r="C139" s="499" t="str">
        <f t="shared" ref="C139:C202" si="94">IF($C138="","",$C138)</f>
        <v/>
      </c>
      <c r="D139" s="403" t="str">
        <f t="shared" ref="D139:D202" si="95">IF($D138="","",$D138)</f>
        <v/>
      </c>
      <c r="E139" s="541"/>
      <c r="F139" s="785"/>
      <c r="G139" s="728"/>
      <c r="H139" s="728"/>
      <c r="I139" s="728"/>
      <c r="J139" s="728"/>
      <c r="K139" s="728"/>
      <c r="L139" s="728"/>
      <c r="M139" s="764"/>
      <c r="N139" s="728"/>
      <c r="O139" s="764"/>
      <c r="P139" s="728"/>
      <c r="Q139" s="1142"/>
      <c r="R139" s="1133"/>
      <c r="S139" s="778"/>
      <c r="T139" s="767"/>
      <c r="U139" s="778"/>
      <c r="V139" s="751"/>
      <c r="W139" s="556"/>
      <c r="X139" s="785"/>
      <c r="Y139" s="542"/>
      <c r="Z139" s="500"/>
      <c r="AA139" s="500"/>
      <c r="AB139" s="500"/>
      <c r="AC139" s="500"/>
      <c r="AD139" s="529"/>
      <c r="AE139" s="527">
        <f t="shared" si="39"/>
        <v>0</v>
      </c>
      <c r="AF139" s="527">
        <f t="shared" ref="AF139:AF202" si="96">IF(OR($AD139="",$AK139=""),0,IF($AK139="Tons",$AD139,IF($AK139="Btu/hr",$AD139/12000,"")))</f>
        <v>0</v>
      </c>
      <c r="AG139" s="527">
        <f t="shared" si="76"/>
        <v>0</v>
      </c>
      <c r="AH139" s="527">
        <f t="shared" si="77"/>
        <v>0</v>
      </c>
      <c r="AI139" s="527">
        <f t="shared" si="78"/>
        <v>0</v>
      </c>
      <c r="AJ139" s="527">
        <f t="shared" si="79"/>
        <v>999999999</v>
      </c>
      <c r="AK139" s="530"/>
      <c r="AL139" s="776"/>
      <c r="AM139" s="777"/>
      <c r="AN139" s="500"/>
      <c r="AO139" s="778"/>
      <c r="AP139" s="778"/>
      <c r="AQ139" s="500"/>
      <c r="AR139" s="531"/>
      <c r="AS139" s="403"/>
      <c r="AT139" s="524" t="str">
        <f t="shared" si="80"/>
        <v/>
      </c>
      <c r="AU139" s="311">
        <f t="shared" si="81"/>
        <v>0</v>
      </c>
      <c r="AV139" s="288">
        <f t="shared" ref="AV139:AV202" si="97">IF($C139="Early Retirement",$BV139,IFERROR(IF(OR($Z139="",$AD139="",$AK139="",$AN139="",$AO139="",AND(OR($Z139="Air Cooled Chiller",$Z139="Water Cooled Chiller",$Z139="DX AC Air Cooled", $Z139="DX HP Air Cooled"),$AP139=""),$AQ139="",AND(OR($Z139="DX HP Air Cooled",$Z139="PTHP"),OR($AR139="",$AS139="")),$CJ139=0,$CU139=0),0,IF(OR($Z139="DX HP Air Cooled",$Z139="PTHP"),(($BY139*$CD139*$CJ139)-($CM139*$CO139*$CU139))+((($CF139*(1/$CG139)*$CK139)-($CQ139*(1/$CR139)*$CV139))*(1/3412)),($BY139*$CD139*$CJ139)-($CM139*$CO139*$CU139))),0))</f>
        <v>0</v>
      </c>
      <c r="AW139" s="290">
        <f>IF(ISERROR($AU139*'Utility Admin'!$E$4+$AV139*'Utility Admin'!$F$4),0,$AU139*'Utility Admin'!$E$4+$AV139*'Utility Admin'!$F$4)</f>
        <v>0</v>
      </c>
      <c r="AX139" s="323" t="str">
        <f t="shared" si="82"/>
        <v/>
      </c>
      <c r="AY139" s="322" t="str">
        <f t="shared" si="23"/>
        <v/>
      </c>
      <c r="AZ139" s="319">
        <f>Baselines!$CJ383</f>
        <v>0</v>
      </c>
      <c r="BA139" s="735">
        <f>Baselines!$CK383</f>
        <v>0</v>
      </c>
      <c r="BB139" s="839">
        <f>Baselines!$CM383</f>
        <v>0</v>
      </c>
      <c r="BC139" s="466">
        <f t="shared" si="83"/>
        <v>0</v>
      </c>
      <c r="BD139" s="464">
        <f t="shared" ref="BD139:BD202" si="98">IF(OR($D139="",$Z139="",$AD139="",$AK139="",$AN139="",AND($Z139&lt;&gt;"PTAC",$Z139&lt;&gt;"PTHP",$AP139=""),AND(OR($Z139="PTAC",$Z139="PTHP"),$AO139=""),$AQ139="",$AY139=""),0,IFERROR(IF(OR($CJ139=0,$CU139=0),0,($BY139*$BA139*$CJ139)-($CM139*$CO139*$CU139)),0))</f>
        <v>0</v>
      </c>
      <c r="BE139" s="755">
        <f t="shared" si="84"/>
        <v>0</v>
      </c>
      <c r="BF139" s="755">
        <f t="shared" ref="BF139:BF202" si="99">BD139+BE139</f>
        <v>0</v>
      </c>
      <c r="BG139" s="466">
        <f t="shared" si="85"/>
        <v>0</v>
      </c>
      <c r="BH139" s="464">
        <f t="shared" si="86"/>
        <v>0</v>
      </c>
      <c r="BI139" s="755">
        <f t="shared" si="87"/>
        <v>0</v>
      </c>
      <c r="BJ139" s="755">
        <f t="shared" ref="BJ139:BJ202" si="100">BH139+BI139</f>
        <v>0</v>
      </c>
      <c r="BK139" s="333">
        <f>IF(OR($C139&lt;&gt;"Early Retirement",$H139=""),0,IF(AND($G139&lt;&gt;"Air Cooled Chiller",$G139&lt;&gt;"Water Cooled Chiller"),VLOOKUP($H139,'Early Retirement'!$CI$6:$CL$33,2,FALSE),IF($J139&lt;&gt;"Centrifugal",VLOOKUP($H139,'Early Retirement'!$CI$6:$CL$33,3,FALSE),IF($J139="Centrifugal",VLOOKUP($H139,'Early Retirement'!$CI$6:$CL$33,4,FALSE),""))))</f>
        <v>0</v>
      </c>
      <c r="BL139" s="450">
        <f t="shared" si="88"/>
        <v>0</v>
      </c>
      <c r="BM139" s="553">
        <f>IFERROR('Utility Admin'!$I$4*((1+'Utility Admin'!$G$4)/('Utility Admin'!$H$4-'Utility Admin'!$G$4))*(1-((1+'Utility Admin'!$G$4)/(1+'Utility Admin'!$H$4))^$BK139)*$BG139,0)</f>
        <v>0</v>
      </c>
      <c r="BN139" s="553">
        <f>IFERROR('Utility Admin'!$I$4*((1+'Utility Admin'!$G$4)/('Utility Admin'!$H$4-'Utility Admin'!$G$4))*(1-((1+'Utility Admin'!$G$4)/(1+'Utility Admin'!$H$4))^$BL139)*((1+'Utility Admin'!$G$4)^$BK139/(1+'Utility Admin'!$H$4)^$BK139)*$BC139,0)</f>
        <v>0</v>
      </c>
      <c r="BO139" s="553">
        <f t="shared" si="27"/>
        <v>0</v>
      </c>
      <c r="BP139" s="553">
        <f>IFERROR('Utility Admin'!$J$4*((1+'Utility Admin'!$G$4)/('Utility Admin'!$H$4-'Utility Admin'!$G$4))*(1-((1+'Utility Admin'!$G$4)/(1+'Utility Admin'!$H$4))^$BK139)*$BJ139,0)</f>
        <v>0</v>
      </c>
      <c r="BQ139" s="553">
        <f>IFERROR('Utility Admin'!$J$4*((1+'Utility Admin'!$G$4)/('Utility Admin'!$H$4-'Utility Admin'!$G$4))*(1-((1+'Utility Admin'!$G$4)/(1+'Utility Admin'!$H$4))^$BL139)*((1+'Utility Admin'!$G$4)^$BK139/(1+'Utility Admin'!$H$4)^$BK139)*$BF139,0)</f>
        <v>0</v>
      </c>
      <c r="BR139" s="553">
        <f t="shared" si="28"/>
        <v>0</v>
      </c>
      <c r="BS139" s="553">
        <f>IFERROR('Utility Admin'!$I$4*((1+'Utility Admin'!$G$4)/('Utility Admin'!$H$4-'Utility Admin'!$G$4))*(1-((1+'Utility Admin'!$G$4)/(1+'Utility Admin'!$H$4))^$AT139),0)</f>
        <v>0</v>
      </c>
      <c r="BT139" s="553">
        <f>IFERROR('Utility Admin'!$J$4*((1+'Utility Admin'!$G$4)/('Utility Admin'!$H$4-'Utility Admin'!$G$4))*(1-((1+'Utility Admin'!$G$4)/(1+'Utility Admin'!$H$4))^$AT139),0)</f>
        <v>0</v>
      </c>
      <c r="BU139" s="459">
        <f t="shared" ref="BU139:BU202" si="101">IF(OR($C139&lt;&gt;"Early Retirement",$AO139="",AND($Z139&lt;&gt;"PTAC",$Z139&lt;&gt;"PTHP",$AP139=""),$AQ139=""),0,IFERROR($BO139/$BS139,0))</f>
        <v>0</v>
      </c>
      <c r="BV139" s="462">
        <f t="shared" ref="BV139:BV202" si="102">IF(OR($C139&lt;&gt;"Early Retirement",$AO139="",AND($Z139&lt;&gt;"PTAC",$Z139&lt;&gt;"PTHP",$AP139=""),$AQ139=""),0,IFERROR($BR139/$BT139,0))</f>
        <v>0</v>
      </c>
      <c r="BW139" s="219" t="str">
        <f t="shared" si="89"/>
        <v/>
      </c>
      <c r="BX139" s="250" t="str">
        <f t="shared" ref="BX139:BX202" si="103">IF(OR($M139="",$N139="",$Q139=""),"",IF($N139="Btu/hr",($M139/12000)*$Q139,IF($N139="Tons",$M139*$Q139,"")))</f>
        <v/>
      </c>
      <c r="BY139" s="250" t="str">
        <f t="shared" si="90"/>
        <v/>
      </c>
      <c r="BZ139" s="184">
        <f t="shared" ref="BZ139:BZ202" si="104">IF($T139="EER",12/$R139,IF($T139="kW/ton",$R139,0))</f>
        <v>0</v>
      </c>
      <c r="CA139" s="693">
        <f t="shared" ref="CA139:CA202" si="105">IF(AND(OR($G139="PTAC",$G139="PTHP",$G139="Room AC",$G139="Room HP"),$T139="EER"),12/$R139,IF(AND(OR($G139="PTAC",$G139="PTHP",$G139="Room AC",$G139="Room HP"),$T139="kW/ton"),$R139,IF($T139="EER",12/$S139,IF($T139="kW/ton",$S139,0))))</f>
        <v>0</v>
      </c>
      <c r="CB139" s="836">
        <f t="shared" ref="CB139:CB202" si="106">IF($V139="HSPF",$U139/3.214,IF($V139="COP",$U139,0))</f>
        <v>0</v>
      </c>
      <c r="CC139" s="693">
        <f>IF(AND($C139="Early Retirement",$H139&lt;&gt;"",$R139&lt;&gt;"",$T139&lt;&gt;""),$BZ139,Baselines!$CJ132)</f>
        <v>0</v>
      </c>
      <c r="CD139" s="693">
        <f>IF(AND($C139="Early Retirement",$H139&lt;&gt;"",$R139&lt;&gt;"",$T139&lt;&gt;""),$CA139,Baselines!$CK132)</f>
        <v>0</v>
      </c>
      <c r="CE139" s="182" t="str">
        <f>Baselines!$CL132</f>
        <v>kW/ton</v>
      </c>
      <c r="CF139" s="850" t="str">
        <f t="shared" si="91"/>
        <v/>
      </c>
      <c r="CG139" s="833">
        <f>IF(AND($C139="Early Retirement",$H139&lt;&gt;"",$R139&lt;&gt;"",$T139&lt;&gt;""),$CB139,IF(AND(Baselines!$CM132=0,OR($CL139="DX HP",$CL139="PTHP")),$BB139,Baselines!$CM132))</f>
        <v>0</v>
      </c>
      <c r="CH139" s="830" t="s">
        <v>567</v>
      </c>
      <c r="CI139" s="185" t="str">
        <f>IF(OR($C139="Replace-on-Burnout",$C139="New Construction"),$CT139,IF($BW139="","",VLOOKUP($D139,'Factor Tables'!$B$165:$H$192,MATCH($BW139,'Factor Tables'!$B$164:$H$164,0),FALSE)))</f>
        <v/>
      </c>
      <c r="CJ139" s="842" t="str">
        <f>IF(OR($C139="Replace-on-Burnout",$C139="New Construction"),$CU139,IF($BW139="","",IF($BW139="DX HP",VLOOKUP($D139,'Factor Tables'!$I$165:$Q$192,MATCH("DX HP Clg",'Factor Tables'!$I$164:$Q$164,0),FALSE),IF($BW139="PTHP",VLOOKUP($D139,'Factor Tables'!$I$165:$Q$192,MATCH("PTHP Clg",'Factor Tables'!$I$164:$Q$164,0),FALSE),IF(AND($BW139&lt;&gt;"DX HP",$BW139&lt;&gt;"PTHP"),VLOOKUP($D139,'Factor Tables'!$I$165:$Q$192,MATCH($BW139,'Factor Tables'!$I$164:$Q$164,0),FALSE),"")))))</f>
        <v/>
      </c>
      <c r="CK139" s="186" t="str">
        <f>IF(OR($C139="Replace-on-Burnout",$C139="New Construction",$CL139="DX HP",$CL139="PTHP"),$CV139,IF($BW139="","",IF($BW139="DX HP",VLOOKUP($D139,'Factor Tables'!$I$165:$Q$192,MATCH("DX HP Htg",'Factor Tables'!$I$164:$Q$164,0),FALSE),IF($BW139="PTHP",VLOOKUP($D139,'Factor Tables'!$I$165:$Q$192,MATCH("PTHP Htg",'Factor Tables'!$I$164:$Q$164,0),FALSE),0))))</f>
        <v/>
      </c>
      <c r="CL139" s="187" t="str">
        <f t="shared" si="92"/>
        <v/>
      </c>
      <c r="CM139" s="251" t="str">
        <f t="shared" si="93"/>
        <v/>
      </c>
      <c r="CN139" s="184">
        <f t="shared" ref="CN139:CN202" si="107">IF($AQ139="EER",12/$AO139,IF($AQ139="kW/ton",$AO139,0))</f>
        <v>0</v>
      </c>
      <c r="CO139" s="693">
        <f t="shared" ref="CO139:CO202" si="108">IF(AND(OR($Z139="PTAC",$Z139="PTHP",$Z139="Room AC",$Z139="Room HP"),$AQ139="EER"),12/$AO139,IF(AND(OR($Z139="PTAC",$Z139="PTHP",$Z139="Room AC",$Z139="Room HP"),$AQ139="kW/ton"),$AO139,IF($AQ139="EER",12/$AP139,IF($AQ139="kW/ton",$AP139,0))))</f>
        <v>0</v>
      </c>
      <c r="CP139" s="182" t="s">
        <v>46</v>
      </c>
      <c r="CQ139" s="852" t="str">
        <f t="shared" ref="CQ139:CQ202" si="109">IF(OR($AL139="",$AM139="",$AN139=""),"",IF($AM139="Tons",($AL139*12000)*$AN139,IF($AM139="Btu/hr",$AL139*$AN139,"")))</f>
        <v/>
      </c>
      <c r="CR139" s="833">
        <f t="shared" ref="CR139:CR202" si="110">IF($AS139="HSPF",$AR139/3.412,IF($AS139="COP",$AR139,0))</f>
        <v>0</v>
      </c>
      <c r="CS139" s="830" t="s">
        <v>567</v>
      </c>
      <c r="CT139" s="185" t="str">
        <f>IF($CL139="","",VLOOKUP($D139,'Factor Tables'!$B$165:$H$192,MATCH($CL139,'Factor Tables'!$B$164:$H$164,0),FALSE))</f>
        <v/>
      </c>
      <c r="CU139" s="842" t="str">
        <f>IF($CL139="","",IF(AND($CL139&lt;&gt;"DX HP",$CL139&lt;&gt;"PTHP"),VLOOKUP($D139,'Factor Tables'!$I$165:$Q$192,MATCH($CL139,'Factor Tables'!$I$164:$Q$164,0),FALSE),IF($CL139="DX HP",VLOOKUP($D139,'Factor Tables'!$I$165:$Q$192,MATCH("DX HP Clg",'Factor Tables'!$I$164:$Q$164,0),FALSE),IF($CL139="PTHP",VLOOKUP($D139,'Factor Tables'!$I$165:$Q$192,MATCH("PTHP Clg",'Factor Tables'!$I$164:$Q$164,0),FALSE),""))))</f>
        <v/>
      </c>
      <c r="CV139" s="186" t="str">
        <f>IF($CL139="","",IF(AND($CL139&lt;&gt;"DX HP",$CL139&lt;&gt;"PTHP"),0,IF($CL139="DX HP",VLOOKUP($D139,'Factor Tables'!$I$165:$Q$192,MATCH("DX HP Htg",'Factor Tables'!$I$164:$Q$164,0),FALSE),IF($CL139="PTHP",VLOOKUP($D139,'Factor Tables'!$I$165:$Q$192,MATCH("PTHP Htg",'Factor Tables'!$I$164:$Q$164,0),FALSE),""))))</f>
        <v/>
      </c>
      <c r="DD139" s="194" t="s">
        <v>53</v>
      </c>
      <c r="DE139" s="426"/>
      <c r="DI139" s="425"/>
      <c r="DJ139" s="425"/>
      <c r="DK139" s="425"/>
      <c r="DL139" s="425"/>
      <c r="DM139" s="493" t="s">
        <v>478</v>
      </c>
    </row>
    <row r="140" spans="2:117" s="427" customFormat="1" ht="21.95" customHeight="1" x14ac:dyDescent="0.25">
      <c r="B140" s="431">
        <v>131</v>
      </c>
      <c r="C140" s="501" t="str">
        <f t="shared" si="94"/>
        <v/>
      </c>
      <c r="D140" s="502" t="str">
        <f t="shared" si="95"/>
        <v/>
      </c>
      <c r="E140" s="546"/>
      <c r="F140" s="547"/>
      <c r="G140" s="729"/>
      <c r="H140" s="729"/>
      <c r="I140" s="729"/>
      <c r="J140" s="729"/>
      <c r="K140" s="729"/>
      <c r="L140" s="729"/>
      <c r="M140" s="765"/>
      <c r="N140" s="758"/>
      <c r="O140" s="765"/>
      <c r="P140" s="758"/>
      <c r="Q140" s="1143"/>
      <c r="R140" s="1134"/>
      <c r="S140" s="775"/>
      <c r="T140" s="729"/>
      <c r="U140" s="775"/>
      <c r="V140" s="779"/>
      <c r="W140" s="557"/>
      <c r="X140" s="788"/>
      <c r="Y140" s="543"/>
      <c r="Z140" s="281"/>
      <c r="AA140" s="281"/>
      <c r="AB140" s="281"/>
      <c r="AC140" s="281"/>
      <c r="AD140" s="492"/>
      <c r="AE140" s="527">
        <f t="shared" si="39"/>
        <v>0</v>
      </c>
      <c r="AF140" s="527">
        <f t="shared" si="96"/>
        <v>0</v>
      </c>
      <c r="AG140" s="527">
        <f t="shared" si="76"/>
        <v>0</v>
      </c>
      <c r="AH140" s="527">
        <f t="shared" si="77"/>
        <v>0</v>
      </c>
      <c r="AI140" s="527">
        <f t="shared" si="78"/>
        <v>0</v>
      </c>
      <c r="AJ140" s="527">
        <f t="shared" si="79"/>
        <v>999999999</v>
      </c>
      <c r="AK140" s="471"/>
      <c r="AL140" s="765"/>
      <c r="AM140" s="758"/>
      <c r="AN140" s="281"/>
      <c r="AO140" s="775"/>
      <c r="AP140" s="775"/>
      <c r="AQ140" s="281"/>
      <c r="AR140" s="528"/>
      <c r="AS140" s="532"/>
      <c r="AT140" s="524" t="str">
        <f t="shared" si="80"/>
        <v/>
      </c>
      <c r="AU140" s="311">
        <f t="shared" si="81"/>
        <v>0</v>
      </c>
      <c r="AV140" s="288">
        <f t="shared" si="97"/>
        <v>0</v>
      </c>
      <c r="AW140" s="290">
        <f>IF(ISERROR($AU140*'Utility Admin'!$E$4+$AV140*'Utility Admin'!$F$4),0,$AU140*'Utility Admin'!$E$4+$AV140*'Utility Admin'!$F$4)</f>
        <v>0</v>
      </c>
      <c r="AX140" s="323" t="str">
        <f t="shared" si="82"/>
        <v/>
      </c>
      <c r="AY140" s="322" t="str">
        <f t="shared" si="23"/>
        <v/>
      </c>
      <c r="AZ140" s="319">
        <f>Baselines!$CJ384</f>
        <v>0</v>
      </c>
      <c r="BA140" s="735">
        <f>Baselines!$CK384</f>
        <v>0</v>
      </c>
      <c r="BB140" s="839">
        <f>Baselines!$CM384</f>
        <v>0</v>
      </c>
      <c r="BC140" s="466">
        <f t="shared" si="83"/>
        <v>0</v>
      </c>
      <c r="BD140" s="464">
        <f t="shared" si="98"/>
        <v>0</v>
      </c>
      <c r="BE140" s="755">
        <f t="shared" si="84"/>
        <v>0</v>
      </c>
      <c r="BF140" s="755">
        <f t="shared" si="99"/>
        <v>0</v>
      </c>
      <c r="BG140" s="466">
        <f t="shared" si="85"/>
        <v>0</v>
      </c>
      <c r="BH140" s="464">
        <f t="shared" si="86"/>
        <v>0</v>
      </c>
      <c r="BI140" s="755">
        <f t="shared" si="87"/>
        <v>0</v>
      </c>
      <c r="BJ140" s="755">
        <f t="shared" si="100"/>
        <v>0</v>
      </c>
      <c r="BK140" s="333">
        <f>IF(OR($C140&lt;&gt;"Early Retirement",$H140=""),0,IF(AND($G140&lt;&gt;"Air Cooled Chiller",$G140&lt;&gt;"Water Cooled Chiller"),VLOOKUP($H140,'Early Retirement'!$CI$6:$CL$33,2,FALSE),IF($J140&lt;&gt;"Centrifugal",VLOOKUP($H140,'Early Retirement'!$CI$6:$CL$33,3,FALSE),IF($J140="Centrifugal",VLOOKUP($H140,'Early Retirement'!$CI$6:$CL$33,4,FALSE),""))))</f>
        <v>0</v>
      </c>
      <c r="BL140" s="450">
        <f t="shared" si="88"/>
        <v>0</v>
      </c>
      <c r="BM140" s="553">
        <f>IFERROR('Utility Admin'!$I$4*((1+'Utility Admin'!$G$4)/('Utility Admin'!$H$4-'Utility Admin'!$G$4))*(1-((1+'Utility Admin'!$G$4)/(1+'Utility Admin'!$H$4))^$BK140)*$BG140,0)</f>
        <v>0</v>
      </c>
      <c r="BN140" s="553">
        <f>IFERROR('Utility Admin'!$I$4*((1+'Utility Admin'!$G$4)/('Utility Admin'!$H$4-'Utility Admin'!$G$4))*(1-((1+'Utility Admin'!$G$4)/(1+'Utility Admin'!$H$4))^$BL140)*((1+'Utility Admin'!$G$4)^$BK140/(1+'Utility Admin'!$H$4)^$BK140)*$BC140,0)</f>
        <v>0</v>
      </c>
      <c r="BO140" s="553">
        <f t="shared" si="27"/>
        <v>0</v>
      </c>
      <c r="BP140" s="553">
        <f>IFERROR('Utility Admin'!$J$4*((1+'Utility Admin'!$G$4)/('Utility Admin'!$H$4-'Utility Admin'!$G$4))*(1-((1+'Utility Admin'!$G$4)/(1+'Utility Admin'!$H$4))^$BK140)*$BJ140,0)</f>
        <v>0</v>
      </c>
      <c r="BQ140" s="553">
        <f>IFERROR('Utility Admin'!$J$4*((1+'Utility Admin'!$G$4)/('Utility Admin'!$H$4-'Utility Admin'!$G$4))*(1-((1+'Utility Admin'!$G$4)/(1+'Utility Admin'!$H$4))^$BL140)*((1+'Utility Admin'!$G$4)^$BK140/(1+'Utility Admin'!$H$4)^$BK140)*$BF140,0)</f>
        <v>0</v>
      </c>
      <c r="BR140" s="553">
        <f t="shared" si="28"/>
        <v>0</v>
      </c>
      <c r="BS140" s="553">
        <f>IFERROR('Utility Admin'!$I$4*((1+'Utility Admin'!$G$4)/('Utility Admin'!$H$4-'Utility Admin'!$G$4))*(1-((1+'Utility Admin'!$G$4)/(1+'Utility Admin'!$H$4))^$AT140),0)</f>
        <v>0</v>
      </c>
      <c r="BT140" s="553">
        <f>IFERROR('Utility Admin'!$J$4*((1+'Utility Admin'!$G$4)/('Utility Admin'!$H$4-'Utility Admin'!$G$4))*(1-((1+'Utility Admin'!$G$4)/(1+'Utility Admin'!$H$4))^$AT140),0)</f>
        <v>0</v>
      </c>
      <c r="BU140" s="459">
        <f t="shared" si="101"/>
        <v>0</v>
      </c>
      <c r="BV140" s="462">
        <f t="shared" si="102"/>
        <v>0</v>
      </c>
      <c r="BW140" s="219" t="str">
        <f t="shared" si="89"/>
        <v/>
      </c>
      <c r="BX140" s="250" t="str">
        <f t="shared" si="103"/>
        <v/>
      </c>
      <c r="BY140" s="250" t="str">
        <f t="shared" si="90"/>
        <v/>
      </c>
      <c r="BZ140" s="184">
        <f t="shared" si="104"/>
        <v>0</v>
      </c>
      <c r="CA140" s="693">
        <f t="shared" si="105"/>
        <v>0</v>
      </c>
      <c r="CB140" s="836">
        <f t="shared" si="106"/>
        <v>0</v>
      </c>
      <c r="CC140" s="693">
        <f>IF(AND($C140="Early Retirement",$H140&lt;&gt;"",$R140&lt;&gt;"",$T140&lt;&gt;""),$BZ140,Baselines!$CJ133)</f>
        <v>0</v>
      </c>
      <c r="CD140" s="693">
        <f>IF(AND($C140="Early Retirement",$H140&lt;&gt;"",$R140&lt;&gt;"",$T140&lt;&gt;""),$CA140,Baselines!$CK133)</f>
        <v>0</v>
      </c>
      <c r="CE140" s="182" t="str">
        <f>Baselines!$CL133</f>
        <v>kW/ton</v>
      </c>
      <c r="CF140" s="850" t="str">
        <f t="shared" si="91"/>
        <v/>
      </c>
      <c r="CG140" s="833">
        <f>IF(AND($C140="Early Retirement",$H140&lt;&gt;"",$R140&lt;&gt;"",$T140&lt;&gt;""),$CB140,IF(AND(Baselines!$CM133=0,OR($CL140="DX HP",$CL140="PTHP")),$BB140,Baselines!$CM133))</f>
        <v>0</v>
      </c>
      <c r="CH140" s="830" t="s">
        <v>567</v>
      </c>
      <c r="CI140" s="185" t="str">
        <f>IF(OR($C140="Replace-on-Burnout",$C140="New Construction"),$CT140,IF($BW140="","",VLOOKUP($D140,'Factor Tables'!$B$165:$H$192,MATCH($BW140,'Factor Tables'!$B$164:$H$164,0),FALSE)))</f>
        <v/>
      </c>
      <c r="CJ140" s="842" t="str">
        <f>IF(OR($C140="Replace-on-Burnout",$C140="New Construction"),$CU140,IF($BW140="","",IF($BW140="DX HP",VLOOKUP($D140,'Factor Tables'!$I$165:$Q$192,MATCH("DX HP Clg",'Factor Tables'!$I$164:$Q$164,0),FALSE),IF($BW140="PTHP",VLOOKUP($D140,'Factor Tables'!$I$165:$Q$192,MATCH("PTHP Clg",'Factor Tables'!$I$164:$Q$164,0),FALSE),IF(AND($BW140&lt;&gt;"DX HP",$BW140&lt;&gt;"PTHP"),VLOOKUP($D140,'Factor Tables'!$I$165:$Q$192,MATCH($BW140,'Factor Tables'!$I$164:$Q$164,0),FALSE),"")))))</f>
        <v/>
      </c>
      <c r="CK140" s="186" t="str">
        <f>IF(OR($C140="Replace-on-Burnout",$C140="New Construction",$CL140="DX HP",$CL140="PTHP"),$CV140,IF($BW140="","",IF($BW140="DX HP",VLOOKUP($D140,'Factor Tables'!$I$165:$Q$192,MATCH("DX HP Htg",'Factor Tables'!$I$164:$Q$164,0),FALSE),IF($BW140="PTHP",VLOOKUP($D140,'Factor Tables'!$I$165:$Q$192,MATCH("PTHP Htg",'Factor Tables'!$I$164:$Q$164,0),FALSE),0))))</f>
        <v/>
      </c>
      <c r="CL140" s="187" t="str">
        <f t="shared" si="92"/>
        <v/>
      </c>
      <c r="CM140" s="251" t="str">
        <f t="shared" si="93"/>
        <v/>
      </c>
      <c r="CN140" s="184">
        <f t="shared" si="107"/>
        <v>0</v>
      </c>
      <c r="CO140" s="693">
        <f t="shared" si="108"/>
        <v>0</v>
      </c>
      <c r="CP140" s="182" t="s">
        <v>46</v>
      </c>
      <c r="CQ140" s="852" t="str">
        <f t="shared" si="109"/>
        <v/>
      </c>
      <c r="CR140" s="833">
        <f t="shared" si="110"/>
        <v>0</v>
      </c>
      <c r="CS140" s="830" t="s">
        <v>567</v>
      </c>
      <c r="CT140" s="185" t="str">
        <f>IF($CL140="","",VLOOKUP($D140,'Factor Tables'!$B$165:$H$192,MATCH($CL140,'Factor Tables'!$B$164:$H$164,0),FALSE))</f>
        <v/>
      </c>
      <c r="CU140" s="842" t="str">
        <f>IF($CL140="","",IF(AND($CL140&lt;&gt;"DX HP",$CL140&lt;&gt;"PTHP"),VLOOKUP($D140,'Factor Tables'!$I$165:$Q$192,MATCH($CL140,'Factor Tables'!$I$164:$Q$164,0),FALSE),IF($CL140="DX HP",VLOOKUP($D140,'Factor Tables'!$I$165:$Q$192,MATCH("DX HP Clg",'Factor Tables'!$I$164:$Q$164,0),FALSE),IF($CL140="PTHP",VLOOKUP($D140,'Factor Tables'!$I$165:$Q$192,MATCH("PTHP Clg",'Factor Tables'!$I$164:$Q$164,0),FALSE),""))))</f>
        <v/>
      </c>
      <c r="CV140" s="186" t="str">
        <f>IF($CL140="","",IF(AND($CL140&lt;&gt;"DX HP",$CL140&lt;&gt;"PTHP"),0,IF($CL140="DX HP",VLOOKUP($D140,'Factor Tables'!$I$165:$Q$192,MATCH("DX HP Htg",'Factor Tables'!$I$164:$Q$164,0),FALSE),IF($CL140="PTHP",VLOOKUP($D140,'Factor Tables'!$I$165:$Q$192,MATCH("PTHP Htg",'Factor Tables'!$I$164:$Q$164,0),FALSE),""))))</f>
        <v/>
      </c>
      <c r="DD140" s="77"/>
      <c r="DE140" s="426"/>
      <c r="DI140" s="425"/>
      <c r="DJ140" s="425"/>
      <c r="DK140" s="425"/>
      <c r="DL140" s="425"/>
      <c r="DM140" s="493" t="s">
        <v>478</v>
      </c>
    </row>
    <row r="141" spans="2:117" s="427" customFormat="1" ht="21.95" customHeight="1" x14ac:dyDescent="0.25">
      <c r="B141" s="432">
        <v>132</v>
      </c>
      <c r="C141" s="499" t="str">
        <f t="shared" si="94"/>
        <v/>
      </c>
      <c r="D141" s="403" t="str">
        <f t="shared" si="95"/>
        <v/>
      </c>
      <c r="E141" s="541"/>
      <c r="F141" s="785"/>
      <c r="G141" s="728"/>
      <c r="H141" s="728"/>
      <c r="I141" s="728"/>
      <c r="J141" s="728"/>
      <c r="K141" s="728"/>
      <c r="L141" s="728"/>
      <c r="M141" s="764"/>
      <c r="N141" s="728"/>
      <c r="O141" s="764"/>
      <c r="P141" s="728"/>
      <c r="Q141" s="1142"/>
      <c r="R141" s="1133"/>
      <c r="S141" s="778"/>
      <c r="T141" s="767"/>
      <c r="U141" s="778"/>
      <c r="V141" s="751"/>
      <c r="W141" s="556"/>
      <c r="X141" s="785"/>
      <c r="Y141" s="542"/>
      <c r="Z141" s="500"/>
      <c r="AA141" s="500"/>
      <c r="AB141" s="500"/>
      <c r="AC141" s="500"/>
      <c r="AD141" s="529"/>
      <c r="AE141" s="527">
        <f t="shared" si="39"/>
        <v>0</v>
      </c>
      <c r="AF141" s="527">
        <f t="shared" si="96"/>
        <v>0</v>
      </c>
      <c r="AG141" s="527">
        <f t="shared" si="76"/>
        <v>0</v>
      </c>
      <c r="AH141" s="527">
        <f t="shared" si="77"/>
        <v>0</v>
      </c>
      <c r="AI141" s="527">
        <f t="shared" si="78"/>
        <v>0</v>
      </c>
      <c r="AJ141" s="527">
        <f t="shared" si="79"/>
        <v>999999999</v>
      </c>
      <c r="AK141" s="530"/>
      <c r="AL141" s="776"/>
      <c r="AM141" s="777"/>
      <c r="AN141" s="500"/>
      <c r="AO141" s="778"/>
      <c r="AP141" s="778"/>
      <c r="AQ141" s="500"/>
      <c r="AR141" s="531"/>
      <c r="AS141" s="403"/>
      <c r="AT141" s="524" t="str">
        <f t="shared" si="80"/>
        <v/>
      </c>
      <c r="AU141" s="311">
        <f t="shared" si="81"/>
        <v>0</v>
      </c>
      <c r="AV141" s="288">
        <f t="shared" si="97"/>
        <v>0</v>
      </c>
      <c r="AW141" s="290">
        <f>IF(ISERROR($AU141*'Utility Admin'!$E$4+$AV141*'Utility Admin'!$F$4),0,$AU141*'Utility Admin'!$E$4+$AV141*'Utility Admin'!$F$4)</f>
        <v>0</v>
      </c>
      <c r="AX141" s="323" t="str">
        <f t="shared" si="82"/>
        <v/>
      </c>
      <c r="AY141" s="322" t="str">
        <f t="shared" si="23"/>
        <v/>
      </c>
      <c r="AZ141" s="319">
        <f>Baselines!$CJ385</f>
        <v>0</v>
      </c>
      <c r="BA141" s="735">
        <f>Baselines!$CK385</f>
        <v>0</v>
      </c>
      <c r="BB141" s="839">
        <f>Baselines!$CM385</f>
        <v>0</v>
      </c>
      <c r="BC141" s="466">
        <f t="shared" si="83"/>
        <v>0</v>
      </c>
      <c r="BD141" s="464">
        <f t="shared" si="98"/>
        <v>0</v>
      </c>
      <c r="BE141" s="755">
        <f t="shared" si="84"/>
        <v>0</v>
      </c>
      <c r="BF141" s="755">
        <f t="shared" si="99"/>
        <v>0</v>
      </c>
      <c r="BG141" s="466">
        <f t="shared" si="85"/>
        <v>0</v>
      </c>
      <c r="BH141" s="464">
        <f t="shared" si="86"/>
        <v>0</v>
      </c>
      <c r="BI141" s="755">
        <f t="shared" si="87"/>
        <v>0</v>
      </c>
      <c r="BJ141" s="755">
        <f t="shared" si="100"/>
        <v>0</v>
      </c>
      <c r="BK141" s="333">
        <f>IF(OR($C141&lt;&gt;"Early Retirement",$H141=""),0,IF(AND($G141&lt;&gt;"Air Cooled Chiller",$G141&lt;&gt;"Water Cooled Chiller"),VLOOKUP($H141,'Early Retirement'!$CI$6:$CL$33,2,FALSE),IF($J141&lt;&gt;"Centrifugal",VLOOKUP($H141,'Early Retirement'!$CI$6:$CL$33,3,FALSE),IF($J141="Centrifugal",VLOOKUP($H141,'Early Retirement'!$CI$6:$CL$33,4,FALSE),""))))</f>
        <v>0</v>
      </c>
      <c r="BL141" s="450">
        <f t="shared" si="88"/>
        <v>0</v>
      </c>
      <c r="BM141" s="553">
        <f>IFERROR('Utility Admin'!$I$4*((1+'Utility Admin'!$G$4)/('Utility Admin'!$H$4-'Utility Admin'!$G$4))*(1-((1+'Utility Admin'!$G$4)/(1+'Utility Admin'!$H$4))^$BK141)*$BG141,0)</f>
        <v>0</v>
      </c>
      <c r="BN141" s="553">
        <f>IFERROR('Utility Admin'!$I$4*((1+'Utility Admin'!$G$4)/('Utility Admin'!$H$4-'Utility Admin'!$G$4))*(1-((1+'Utility Admin'!$G$4)/(1+'Utility Admin'!$H$4))^$BL141)*((1+'Utility Admin'!$G$4)^$BK141/(1+'Utility Admin'!$H$4)^$BK141)*$BC141,0)</f>
        <v>0</v>
      </c>
      <c r="BO141" s="553">
        <f t="shared" si="27"/>
        <v>0</v>
      </c>
      <c r="BP141" s="553">
        <f>IFERROR('Utility Admin'!$J$4*((1+'Utility Admin'!$G$4)/('Utility Admin'!$H$4-'Utility Admin'!$G$4))*(1-((1+'Utility Admin'!$G$4)/(1+'Utility Admin'!$H$4))^$BK141)*$BJ141,0)</f>
        <v>0</v>
      </c>
      <c r="BQ141" s="553">
        <f>IFERROR('Utility Admin'!$J$4*((1+'Utility Admin'!$G$4)/('Utility Admin'!$H$4-'Utility Admin'!$G$4))*(1-((1+'Utility Admin'!$G$4)/(1+'Utility Admin'!$H$4))^$BL141)*((1+'Utility Admin'!$G$4)^$BK141/(1+'Utility Admin'!$H$4)^$BK141)*$BF141,0)</f>
        <v>0</v>
      </c>
      <c r="BR141" s="553">
        <f t="shared" si="28"/>
        <v>0</v>
      </c>
      <c r="BS141" s="553">
        <f>IFERROR('Utility Admin'!$I$4*((1+'Utility Admin'!$G$4)/('Utility Admin'!$H$4-'Utility Admin'!$G$4))*(1-((1+'Utility Admin'!$G$4)/(1+'Utility Admin'!$H$4))^$AT141),0)</f>
        <v>0</v>
      </c>
      <c r="BT141" s="553">
        <f>IFERROR('Utility Admin'!$J$4*((1+'Utility Admin'!$G$4)/('Utility Admin'!$H$4-'Utility Admin'!$G$4))*(1-((1+'Utility Admin'!$G$4)/(1+'Utility Admin'!$H$4))^$AT141),0)</f>
        <v>0</v>
      </c>
      <c r="BU141" s="459">
        <f t="shared" si="101"/>
        <v>0</v>
      </c>
      <c r="BV141" s="462">
        <f t="shared" si="102"/>
        <v>0</v>
      </c>
      <c r="BW141" s="219" t="str">
        <f t="shared" si="89"/>
        <v/>
      </c>
      <c r="BX141" s="250" t="str">
        <f t="shared" si="103"/>
        <v/>
      </c>
      <c r="BY141" s="250" t="str">
        <f t="shared" si="90"/>
        <v/>
      </c>
      <c r="BZ141" s="184">
        <f t="shared" si="104"/>
        <v>0</v>
      </c>
      <c r="CA141" s="693">
        <f t="shared" si="105"/>
        <v>0</v>
      </c>
      <c r="CB141" s="836">
        <f t="shared" si="106"/>
        <v>0</v>
      </c>
      <c r="CC141" s="693">
        <f>IF(AND($C141="Early Retirement",$H141&lt;&gt;"",$R141&lt;&gt;"",$T141&lt;&gt;""),$BZ141,Baselines!$CJ134)</f>
        <v>0</v>
      </c>
      <c r="CD141" s="693">
        <f>IF(AND($C141="Early Retirement",$H141&lt;&gt;"",$R141&lt;&gt;"",$T141&lt;&gt;""),$CA141,Baselines!$CK134)</f>
        <v>0</v>
      </c>
      <c r="CE141" s="182" t="str">
        <f>Baselines!$CL134</f>
        <v>kW/ton</v>
      </c>
      <c r="CF141" s="850" t="str">
        <f t="shared" si="91"/>
        <v/>
      </c>
      <c r="CG141" s="833">
        <f>IF(AND($C141="Early Retirement",$H141&lt;&gt;"",$R141&lt;&gt;"",$T141&lt;&gt;""),$CB141,IF(AND(Baselines!$CM134=0,OR($CL141="DX HP",$CL141="PTHP")),$BB141,Baselines!$CM134))</f>
        <v>0</v>
      </c>
      <c r="CH141" s="830" t="s">
        <v>567</v>
      </c>
      <c r="CI141" s="185" t="str">
        <f>IF(OR($C141="Replace-on-Burnout",$C141="New Construction"),$CT141,IF($BW141="","",VLOOKUP($D141,'Factor Tables'!$B$165:$H$192,MATCH($BW141,'Factor Tables'!$B$164:$H$164,0),FALSE)))</f>
        <v/>
      </c>
      <c r="CJ141" s="842" t="str">
        <f>IF(OR($C141="Replace-on-Burnout",$C141="New Construction"),$CU141,IF($BW141="","",IF($BW141="DX HP",VLOOKUP($D141,'Factor Tables'!$I$165:$Q$192,MATCH("DX HP Clg",'Factor Tables'!$I$164:$Q$164,0),FALSE),IF($BW141="PTHP",VLOOKUP($D141,'Factor Tables'!$I$165:$Q$192,MATCH("PTHP Clg",'Factor Tables'!$I$164:$Q$164,0),FALSE),IF(AND($BW141&lt;&gt;"DX HP",$BW141&lt;&gt;"PTHP"),VLOOKUP($D141,'Factor Tables'!$I$165:$Q$192,MATCH($BW141,'Factor Tables'!$I$164:$Q$164,0),FALSE),"")))))</f>
        <v/>
      </c>
      <c r="CK141" s="186" t="str">
        <f>IF(OR($C141="Replace-on-Burnout",$C141="New Construction",$CL141="DX HP",$CL141="PTHP"),$CV141,IF($BW141="","",IF($BW141="DX HP",VLOOKUP($D141,'Factor Tables'!$I$165:$Q$192,MATCH("DX HP Htg",'Factor Tables'!$I$164:$Q$164,0),FALSE),IF($BW141="PTHP",VLOOKUP($D141,'Factor Tables'!$I$165:$Q$192,MATCH("PTHP Htg",'Factor Tables'!$I$164:$Q$164,0),FALSE),0))))</f>
        <v/>
      </c>
      <c r="CL141" s="187" t="str">
        <f t="shared" si="92"/>
        <v/>
      </c>
      <c r="CM141" s="251" t="str">
        <f t="shared" si="93"/>
        <v/>
      </c>
      <c r="CN141" s="184">
        <f t="shared" si="107"/>
        <v>0</v>
      </c>
      <c r="CO141" s="693">
        <f t="shared" si="108"/>
        <v>0</v>
      </c>
      <c r="CP141" s="182" t="s">
        <v>46</v>
      </c>
      <c r="CQ141" s="852" t="str">
        <f t="shared" si="109"/>
        <v/>
      </c>
      <c r="CR141" s="833">
        <f t="shared" si="110"/>
        <v>0</v>
      </c>
      <c r="CS141" s="830" t="s">
        <v>567</v>
      </c>
      <c r="CT141" s="185" t="str">
        <f>IF($CL141="","",VLOOKUP($D141,'Factor Tables'!$B$165:$H$192,MATCH($CL141,'Factor Tables'!$B$164:$H$164,0),FALSE))</f>
        <v/>
      </c>
      <c r="CU141" s="842" t="str">
        <f>IF($CL141="","",IF(AND($CL141&lt;&gt;"DX HP",$CL141&lt;&gt;"PTHP"),VLOOKUP($D141,'Factor Tables'!$I$165:$Q$192,MATCH($CL141,'Factor Tables'!$I$164:$Q$164,0),FALSE),IF($CL141="DX HP",VLOOKUP($D141,'Factor Tables'!$I$165:$Q$192,MATCH("DX HP Clg",'Factor Tables'!$I$164:$Q$164,0),FALSE),IF($CL141="PTHP",VLOOKUP($D141,'Factor Tables'!$I$165:$Q$192,MATCH("PTHP Clg",'Factor Tables'!$I$164:$Q$164,0),FALSE),""))))</f>
        <v/>
      </c>
      <c r="CV141" s="186" t="str">
        <f>IF($CL141="","",IF(AND($CL141&lt;&gt;"DX HP",$CL141&lt;&gt;"PTHP"),0,IF($CL141="DX HP",VLOOKUP($D141,'Factor Tables'!$I$165:$Q$192,MATCH("DX HP Htg",'Factor Tables'!$I$164:$Q$164,0),FALSE),IF($CL141="PTHP",VLOOKUP($D141,'Factor Tables'!$I$165:$Q$192,MATCH("PTHP Htg",'Factor Tables'!$I$164:$Q$164,0),FALSE),""))))</f>
        <v/>
      </c>
      <c r="DD141" s="193" t="s">
        <v>342</v>
      </c>
      <c r="DE141" s="426"/>
      <c r="DI141" s="425"/>
      <c r="DJ141" s="425"/>
      <c r="DK141" s="425"/>
      <c r="DL141" s="425"/>
      <c r="DM141" s="493" t="s">
        <v>478</v>
      </c>
    </row>
    <row r="142" spans="2:117" s="427" customFormat="1" ht="21.95" customHeight="1" x14ac:dyDescent="0.25">
      <c r="B142" s="431">
        <v>133</v>
      </c>
      <c r="C142" s="501" t="str">
        <f t="shared" si="94"/>
        <v/>
      </c>
      <c r="D142" s="502" t="str">
        <f t="shared" si="95"/>
        <v/>
      </c>
      <c r="E142" s="546"/>
      <c r="F142" s="547"/>
      <c r="G142" s="729"/>
      <c r="H142" s="729"/>
      <c r="I142" s="729"/>
      <c r="J142" s="729"/>
      <c r="K142" s="729"/>
      <c r="L142" s="729"/>
      <c r="M142" s="765"/>
      <c r="N142" s="758"/>
      <c r="O142" s="765"/>
      <c r="P142" s="758"/>
      <c r="Q142" s="1143"/>
      <c r="R142" s="1134"/>
      <c r="S142" s="775"/>
      <c r="T142" s="729"/>
      <c r="U142" s="775"/>
      <c r="V142" s="779"/>
      <c r="W142" s="557"/>
      <c r="X142" s="788"/>
      <c r="Y142" s="543"/>
      <c r="Z142" s="281"/>
      <c r="AA142" s="281"/>
      <c r="AB142" s="281"/>
      <c r="AC142" s="281"/>
      <c r="AD142" s="492"/>
      <c r="AE142" s="527">
        <f t="shared" si="39"/>
        <v>0</v>
      </c>
      <c r="AF142" s="527">
        <f t="shared" si="96"/>
        <v>0</v>
      </c>
      <c r="AG142" s="527">
        <f t="shared" si="76"/>
        <v>0</v>
      </c>
      <c r="AH142" s="527">
        <f t="shared" si="77"/>
        <v>0</v>
      </c>
      <c r="AI142" s="527">
        <f t="shared" si="78"/>
        <v>0</v>
      </c>
      <c r="AJ142" s="527">
        <f t="shared" si="79"/>
        <v>999999999</v>
      </c>
      <c r="AK142" s="471"/>
      <c r="AL142" s="765"/>
      <c r="AM142" s="758"/>
      <c r="AN142" s="281"/>
      <c r="AO142" s="775"/>
      <c r="AP142" s="775"/>
      <c r="AQ142" s="281"/>
      <c r="AR142" s="528"/>
      <c r="AS142" s="532"/>
      <c r="AT142" s="524" t="str">
        <f t="shared" si="80"/>
        <v/>
      </c>
      <c r="AU142" s="311">
        <f t="shared" si="81"/>
        <v>0</v>
      </c>
      <c r="AV142" s="288">
        <f t="shared" si="97"/>
        <v>0</v>
      </c>
      <c r="AW142" s="290">
        <f>IF(ISERROR($AU142*'Utility Admin'!$E$4+$AV142*'Utility Admin'!$F$4),0,$AU142*'Utility Admin'!$E$4+$AV142*'Utility Admin'!$F$4)</f>
        <v>0</v>
      </c>
      <c r="AX142" s="323" t="str">
        <f t="shared" si="82"/>
        <v/>
      </c>
      <c r="AY142" s="322" t="str">
        <f t="shared" si="23"/>
        <v/>
      </c>
      <c r="AZ142" s="319">
        <f>Baselines!$CJ386</f>
        <v>0</v>
      </c>
      <c r="BA142" s="735">
        <f>Baselines!$CK386</f>
        <v>0</v>
      </c>
      <c r="BB142" s="839">
        <f>Baselines!$CM386</f>
        <v>0</v>
      </c>
      <c r="BC142" s="466">
        <f t="shared" si="83"/>
        <v>0</v>
      </c>
      <c r="BD142" s="464">
        <f t="shared" si="98"/>
        <v>0</v>
      </c>
      <c r="BE142" s="755">
        <f t="shared" si="84"/>
        <v>0</v>
      </c>
      <c r="BF142" s="755">
        <f t="shared" si="99"/>
        <v>0</v>
      </c>
      <c r="BG142" s="466">
        <f t="shared" si="85"/>
        <v>0</v>
      </c>
      <c r="BH142" s="464">
        <f t="shared" si="86"/>
        <v>0</v>
      </c>
      <c r="BI142" s="755">
        <f t="shared" si="87"/>
        <v>0</v>
      </c>
      <c r="BJ142" s="755">
        <f t="shared" si="100"/>
        <v>0</v>
      </c>
      <c r="BK142" s="333">
        <f>IF(OR($C142&lt;&gt;"Early Retirement",$H142=""),0,IF(AND($G142&lt;&gt;"Air Cooled Chiller",$G142&lt;&gt;"Water Cooled Chiller"),VLOOKUP($H142,'Early Retirement'!$CI$6:$CL$33,2,FALSE),IF($J142&lt;&gt;"Centrifugal",VLOOKUP($H142,'Early Retirement'!$CI$6:$CL$33,3,FALSE),IF($J142="Centrifugal",VLOOKUP($H142,'Early Retirement'!$CI$6:$CL$33,4,FALSE),""))))</f>
        <v>0</v>
      </c>
      <c r="BL142" s="450">
        <f t="shared" si="88"/>
        <v>0</v>
      </c>
      <c r="BM142" s="553">
        <f>IFERROR('Utility Admin'!$I$4*((1+'Utility Admin'!$G$4)/('Utility Admin'!$H$4-'Utility Admin'!$G$4))*(1-((1+'Utility Admin'!$G$4)/(1+'Utility Admin'!$H$4))^$BK142)*$BG142,0)</f>
        <v>0</v>
      </c>
      <c r="BN142" s="553">
        <f>IFERROR('Utility Admin'!$I$4*((1+'Utility Admin'!$G$4)/('Utility Admin'!$H$4-'Utility Admin'!$G$4))*(1-((1+'Utility Admin'!$G$4)/(1+'Utility Admin'!$H$4))^$BL142)*((1+'Utility Admin'!$G$4)^$BK142/(1+'Utility Admin'!$H$4)^$BK142)*$BC142,0)</f>
        <v>0</v>
      </c>
      <c r="BO142" s="553">
        <f t="shared" si="27"/>
        <v>0</v>
      </c>
      <c r="BP142" s="553">
        <f>IFERROR('Utility Admin'!$J$4*((1+'Utility Admin'!$G$4)/('Utility Admin'!$H$4-'Utility Admin'!$G$4))*(1-((1+'Utility Admin'!$G$4)/(1+'Utility Admin'!$H$4))^$BK142)*$BJ142,0)</f>
        <v>0</v>
      </c>
      <c r="BQ142" s="553">
        <f>IFERROR('Utility Admin'!$J$4*((1+'Utility Admin'!$G$4)/('Utility Admin'!$H$4-'Utility Admin'!$G$4))*(1-((1+'Utility Admin'!$G$4)/(1+'Utility Admin'!$H$4))^$BL142)*((1+'Utility Admin'!$G$4)^$BK142/(1+'Utility Admin'!$H$4)^$BK142)*$BF142,0)</f>
        <v>0</v>
      </c>
      <c r="BR142" s="553">
        <f t="shared" si="28"/>
        <v>0</v>
      </c>
      <c r="BS142" s="553">
        <f>IFERROR('Utility Admin'!$I$4*((1+'Utility Admin'!$G$4)/('Utility Admin'!$H$4-'Utility Admin'!$G$4))*(1-((1+'Utility Admin'!$G$4)/(1+'Utility Admin'!$H$4))^$AT142),0)</f>
        <v>0</v>
      </c>
      <c r="BT142" s="553">
        <f>IFERROR('Utility Admin'!$J$4*((1+'Utility Admin'!$G$4)/('Utility Admin'!$H$4-'Utility Admin'!$G$4))*(1-((1+'Utility Admin'!$G$4)/(1+'Utility Admin'!$H$4))^$AT142),0)</f>
        <v>0</v>
      </c>
      <c r="BU142" s="459">
        <f t="shared" si="101"/>
        <v>0</v>
      </c>
      <c r="BV142" s="462">
        <f t="shared" si="102"/>
        <v>0</v>
      </c>
      <c r="BW142" s="219" t="str">
        <f t="shared" si="89"/>
        <v/>
      </c>
      <c r="BX142" s="250" t="str">
        <f t="shared" si="103"/>
        <v/>
      </c>
      <c r="BY142" s="250" t="str">
        <f t="shared" si="90"/>
        <v/>
      </c>
      <c r="BZ142" s="184">
        <f t="shared" si="104"/>
        <v>0</v>
      </c>
      <c r="CA142" s="693">
        <f t="shared" si="105"/>
        <v>0</v>
      </c>
      <c r="CB142" s="836">
        <f t="shared" si="106"/>
        <v>0</v>
      </c>
      <c r="CC142" s="693">
        <f>IF(AND($C142="Early Retirement",$H142&lt;&gt;"",$R142&lt;&gt;"",$T142&lt;&gt;""),$BZ142,Baselines!$CJ135)</f>
        <v>0</v>
      </c>
      <c r="CD142" s="693">
        <f>IF(AND($C142="Early Retirement",$H142&lt;&gt;"",$R142&lt;&gt;"",$T142&lt;&gt;""),$CA142,Baselines!$CK135)</f>
        <v>0</v>
      </c>
      <c r="CE142" s="182" t="str">
        <f>Baselines!$CL135</f>
        <v>kW/ton</v>
      </c>
      <c r="CF142" s="850" t="str">
        <f t="shared" si="91"/>
        <v/>
      </c>
      <c r="CG142" s="833">
        <f>IF(AND($C142="Early Retirement",$H142&lt;&gt;"",$R142&lt;&gt;"",$T142&lt;&gt;""),$CB142,IF(AND(Baselines!$CM135=0,OR($CL142="DX HP",$CL142="PTHP")),$BB142,Baselines!$CM135))</f>
        <v>0</v>
      </c>
      <c r="CH142" s="830" t="s">
        <v>567</v>
      </c>
      <c r="CI142" s="185" t="str">
        <f>IF(OR($C142="Replace-on-Burnout",$C142="New Construction"),$CT142,IF($BW142="","",VLOOKUP($D142,'Factor Tables'!$B$165:$H$192,MATCH($BW142,'Factor Tables'!$B$164:$H$164,0),FALSE)))</f>
        <v/>
      </c>
      <c r="CJ142" s="842" t="str">
        <f>IF(OR($C142="Replace-on-Burnout",$C142="New Construction"),$CU142,IF($BW142="","",IF($BW142="DX HP",VLOOKUP($D142,'Factor Tables'!$I$165:$Q$192,MATCH("DX HP Clg",'Factor Tables'!$I$164:$Q$164,0),FALSE),IF($BW142="PTHP",VLOOKUP($D142,'Factor Tables'!$I$165:$Q$192,MATCH("PTHP Clg",'Factor Tables'!$I$164:$Q$164,0),FALSE),IF(AND($BW142&lt;&gt;"DX HP",$BW142&lt;&gt;"PTHP"),VLOOKUP($D142,'Factor Tables'!$I$165:$Q$192,MATCH($BW142,'Factor Tables'!$I$164:$Q$164,0),FALSE),"")))))</f>
        <v/>
      </c>
      <c r="CK142" s="186" t="str">
        <f>IF(OR($C142="Replace-on-Burnout",$C142="New Construction",$CL142="DX HP",$CL142="PTHP"),$CV142,IF($BW142="","",IF($BW142="DX HP",VLOOKUP($D142,'Factor Tables'!$I$165:$Q$192,MATCH("DX HP Htg",'Factor Tables'!$I$164:$Q$164,0),FALSE),IF($BW142="PTHP",VLOOKUP($D142,'Factor Tables'!$I$165:$Q$192,MATCH("PTHP Htg",'Factor Tables'!$I$164:$Q$164,0),FALSE),0))))</f>
        <v/>
      </c>
      <c r="CL142" s="187" t="str">
        <f t="shared" si="92"/>
        <v/>
      </c>
      <c r="CM142" s="251" t="str">
        <f t="shared" si="93"/>
        <v/>
      </c>
      <c r="CN142" s="184">
        <f t="shared" si="107"/>
        <v>0</v>
      </c>
      <c r="CO142" s="693">
        <f t="shared" si="108"/>
        <v>0</v>
      </c>
      <c r="CP142" s="182" t="s">
        <v>46</v>
      </c>
      <c r="CQ142" s="852" t="str">
        <f t="shared" si="109"/>
        <v/>
      </c>
      <c r="CR142" s="833">
        <f t="shared" si="110"/>
        <v>0</v>
      </c>
      <c r="CS142" s="830" t="s">
        <v>567</v>
      </c>
      <c r="CT142" s="185" t="str">
        <f>IF($CL142="","",VLOOKUP($D142,'Factor Tables'!$B$165:$H$192,MATCH($CL142,'Factor Tables'!$B$164:$H$164,0),FALSE))</f>
        <v/>
      </c>
      <c r="CU142" s="842" t="str">
        <f>IF($CL142="","",IF(AND($CL142&lt;&gt;"DX HP",$CL142&lt;&gt;"PTHP"),VLOOKUP($D142,'Factor Tables'!$I$165:$Q$192,MATCH($CL142,'Factor Tables'!$I$164:$Q$164,0),FALSE),IF($CL142="DX HP",VLOOKUP($D142,'Factor Tables'!$I$165:$Q$192,MATCH("DX HP Clg",'Factor Tables'!$I$164:$Q$164,0),FALSE),IF($CL142="PTHP",VLOOKUP($D142,'Factor Tables'!$I$165:$Q$192,MATCH("PTHP Clg",'Factor Tables'!$I$164:$Q$164,0),FALSE),""))))</f>
        <v/>
      </c>
      <c r="CV142" s="186" t="str">
        <f>IF($CL142="","",IF(AND($CL142&lt;&gt;"DX HP",$CL142&lt;&gt;"PTHP"),0,IF($CL142="DX HP",VLOOKUP($D142,'Factor Tables'!$I$165:$Q$192,MATCH("DX HP Htg",'Factor Tables'!$I$164:$Q$164,0),FALSE),IF($CL142="PTHP",VLOOKUP($D142,'Factor Tables'!$I$165:$Q$192,MATCH("PTHP Htg",'Factor Tables'!$I$164:$Q$164,0),FALSE),""))))</f>
        <v/>
      </c>
      <c r="DD142" s="194" t="s">
        <v>53</v>
      </c>
      <c r="DE142" s="426"/>
      <c r="DI142" s="425"/>
      <c r="DJ142" s="425"/>
      <c r="DK142" s="425"/>
      <c r="DL142" s="425"/>
      <c r="DM142" s="493" t="s">
        <v>478</v>
      </c>
    </row>
    <row r="143" spans="2:117" s="427" customFormat="1" ht="21.95" customHeight="1" x14ac:dyDescent="0.25">
      <c r="B143" s="432">
        <v>134</v>
      </c>
      <c r="C143" s="499" t="str">
        <f t="shared" si="94"/>
        <v/>
      </c>
      <c r="D143" s="403" t="str">
        <f t="shared" si="95"/>
        <v/>
      </c>
      <c r="E143" s="541"/>
      <c r="F143" s="785"/>
      <c r="G143" s="728"/>
      <c r="H143" s="728"/>
      <c r="I143" s="728"/>
      <c r="J143" s="728"/>
      <c r="K143" s="728"/>
      <c r="L143" s="728"/>
      <c r="M143" s="764"/>
      <c r="N143" s="728"/>
      <c r="O143" s="764"/>
      <c r="P143" s="728"/>
      <c r="Q143" s="1142"/>
      <c r="R143" s="1133"/>
      <c r="S143" s="778"/>
      <c r="T143" s="767"/>
      <c r="U143" s="778"/>
      <c r="V143" s="751"/>
      <c r="W143" s="556"/>
      <c r="X143" s="785"/>
      <c r="Y143" s="542"/>
      <c r="Z143" s="500"/>
      <c r="AA143" s="500"/>
      <c r="AB143" s="500"/>
      <c r="AC143" s="500"/>
      <c r="AD143" s="529"/>
      <c r="AE143" s="527">
        <f t="shared" si="39"/>
        <v>0</v>
      </c>
      <c r="AF143" s="527">
        <f t="shared" si="96"/>
        <v>0</v>
      </c>
      <c r="AG143" s="527">
        <f t="shared" si="76"/>
        <v>0</v>
      </c>
      <c r="AH143" s="527">
        <f t="shared" si="77"/>
        <v>0</v>
      </c>
      <c r="AI143" s="527">
        <f t="shared" si="78"/>
        <v>0</v>
      </c>
      <c r="AJ143" s="527">
        <f t="shared" si="79"/>
        <v>999999999</v>
      </c>
      <c r="AK143" s="530"/>
      <c r="AL143" s="776"/>
      <c r="AM143" s="777"/>
      <c r="AN143" s="500"/>
      <c r="AO143" s="778"/>
      <c r="AP143" s="778"/>
      <c r="AQ143" s="500"/>
      <c r="AR143" s="531"/>
      <c r="AS143" s="403"/>
      <c r="AT143" s="524" t="str">
        <f t="shared" si="80"/>
        <v/>
      </c>
      <c r="AU143" s="311">
        <f t="shared" si="81"/>
        <v>0</v>
      </c>
      <c r="AV143" s="288">
        <f t="shared" si="97"/>
        <v>0</v>
      </c>
      <c r="AW143" s="290">
        <f>IF(ISERROR($AU143*'Utility Admin'!$E$4+$AV143*'Utility Admin'!$F$4),0,$AU143*'Utility Admin'!$E$4+$AV143*'Utility Admin'!$F$4)</f>
        <v>0</v>
      </c>
      <c r="AX143" s="323" t="str">
        <f t="shared" si="82"/>
        <v/>
      </c>
      <c r="AY143" s="322" t="str">
        <f t="shared" si="23"/>
        <v/>
      </c>
      <c r="AZ143" s="319">
        <f>Baselines!$CJ387</f>
        <v>0</v>
      </c>
      <c r="BA143" s="735">
        <f>Baselines!$CK387</f>
        <v>0</v>
      </c>
      <c r="BB143" s="839">
        <f>Baselines!$CM387</f>
        <v>0</v>
      </c>
      <c r="BC143" s="466">
        <f t="shared" si="83"/>
        <v>0</v>
      </c>
      <c r="BD143" s="464">
        <f t="shared" si="98"/>
        <v>0</v>
      </c>
      <c r="BE143" s="755">
        <f t="shared" si="84"/>
        <v>0</v>
      </c>
      <c r="BF143" s="755">
        <f t="shared" si="99"/>
        <v>0</v>
      </c>
      <c r="BG143" s="466">
        <f t="shared" si="85"/>
        <v>0</v>
      </c>
      <c r="BH143" s="464">
        <f t="shared" si="86"/>
        <v>0</v>
      </c>
      <c r="BI143" s="755">
        <f t="shared" si="87"/>
        <v>0</v>
      </c>
      <c r="BJ143" s="755">
        <f t="shared" si="100"/>
        <v>0</v>
      </c>
      <c r="BK143" s="333">
        <f>IF(OR($C143&lt;&gt;"Early Retirement",$H143=""),0,IF(AND($G143&lt;&gt;"Air Cooled Chiller",$G143&lt;&gt;"Water Cooled Chiller"),VLOOKUP($H143,'Early Retirement'!$CI$6:$CL$33,2,FALSE),IF($J143&lt;&gt;"Centrifugal",VLOOKUP($H143,'Early Retirement'!$CI$6:$CL$33,3,FALSE),IF($J143="Centrifugal",VLOOKUP($H143,'Early Retirement'!$CI$6:$CL$33,4,FALSE),""))))</f>
        <v>0</v>
      </c>
      <c r="BL143" s="450">
        <f t="shared" si="88"/>
        <v>0</v>
      </c>
      <c r="BM143" s="553">
        <f>IFERROR('Utility Admin'!$I$4*((1+'Utility Admin'!$G$4)/('Utility Admin'!$H$4-'Utility Admin'!$G$4))*(1-((1+'Utility Admin'!$G$4)/(1+'Utility Admin'!$H$4))^$BK143)*$BG143,0)</f>
        <v>0</v>
      </c>
      <c r="BN143" s="553">
        <f>IFERROR('Utility Admin'!$I$4*((1+'Utility Admin'!$G$4)/('Utility Admin'!$H$4-'Utility Admin'!$G$4))*(1-((1+'Utility Admin'!$G$4)/(1+'Utility Admin'!$H$4))^$BL143)*((1+'Utility Admin'!$G$4)^$BK143/(1+'Utility Admin'!$H$4)^$BK143)*$BC143,0)</f>
        <v>0</v>
      </c>
      <c r="BO143" s="553">
        <f t="shared" si="27"/>
        <v>0</v>
      </c>
      <c r="BP143" s="553">
        <f>IFERROR('Utility Admin'!$J$4*((1+'Utility Admin'!$G$4)/('Utility Admin'!$H$4-'Utility Admin'!$G$4))*(1-((1+'Utility Admin'!$G$4)/(1+'Utility Admin'!$H$4))^$BK143)*$BJ143,0)</f>
        <v>0</v>
      </c>
      <c r="BQ143" s="553">
        <f>IFERROR('Utility Admin'!$J$4*((1+'Utility Admin'!$G$4)/('Utility Admin'!$H$4-'Utility Admin'!$G$4))*(1-((1+'Utility Admin'!$G$4)/(1+'Utility Admin'!$H$4))^$BL143)*((1+'Utility Admin'!$G$4)^$BK143/(1+'Utility Admin'!$H$4)^$BK143)*$BF143,0)</f>
        <v>0</v>
      </c>
      <c r="BR143" s="553">
        <f t="shared" si="28"/>
        <v>0</v>
      </c>
      <c r="BS143" s="553">
        <f>IFERROR('Utility Admin'!$I$4*((1+'Utility Admin'!$G$4)/('Utility Admin'!$H$4-'Utility Admin'!$G$4))*(1-((1+'Utility Admin'!$G$4)/(1+'Utility Admin'!$H$4))^$AT143),0)</f>
        <v>0</v>
      </c>
      <c r="BT143" s="553">
        <f>IFERROR('Utility Admin'!$J$4*((1+'Utility Admin'!$G$4)/('Utility Admin'!$H$4-'Utility Admin'!$G$4))*(1-((1+'Utility Admin'!$G$4)/(1+'Utility Admin'!$H$4))^$AT143),0)</f>
        <v>0</v>
      </c>
      <c r="BU143" s="459">
        <f t="shared" si="101"/>
        <v>0</v>
      </c>
      <c r="BV143" s="462">
        <f t="shared" si="102"/>
        <v>0</v>
      </c>
      <c r="BW143" s="219" t="str">
        <f t="shared" si="89"/>
        <v/>
      </c>
      <c r="BX143" s="250" t="str">
        <f t="shared" si="103"/>
        <v/>
      </c>
      <c r="BY143" s="250" t="str">
        <f t="shared" si="90"/>
        <v/>
      </c>
      <c r="BZ143" s="184">
        <f t="shared" si="104"/>
        <v>0</v>
      </c>
      <c r="CA143" s="693">
        <f t="shared" si="105"/>
        <v>0</v>
      </c>
      <c r="CB143" s="836">
        <f t="shared" si="106"/>
        <v>0</v>
      </c>
      <c r="CC143" s="693">
        <f>IF(AND($C143="Early Retirement",$H143&lt;&gt;"",$R143&lt;&gt;"",$T143&lt;&gt;""),$BZ143,Baselines!$CJ136)</f>
        <v>0</v>
      </c>
      <c r="CD143" s="693">
        <f>IF(AND($C143="Early Retirement",$H143&lt;&gt;"",$R143&lt;&gt;"",$T143&lt;&gt;""),$CA143,Baselines!$CK136)</f>
        <v>0</v>
      </c>
      <c r="CE143" s="182" t="str">
        <f>Baselines!$CL136</f>
        <v>kW/ton</v>
      </c>
      <c r="CF143" s="850" t="str">
        <f t="shared" si="91"/>
        <v/>
      </c>
      <c r="CG143" s="833">
        <f>IF(AND($C143="Early Retirement",$H143&lt;&gt;"",$R143&lt;&gt;"",$T143&lt;&gt;""),$CB143,IF(AND(Baselines!$CM136=0,OR($CL143="DX HP",$CL143="PTHP")),$BB143,Baselines!$CM136))</f>
        <v>0</v>
      </c>
      <c r="CH143" s="830" t="s">
        <v>567</v>
      </c>
      <c r="CI143" s="185" t="str">
        <f>IF(OR($C143="Replace-on-Burnout",$C143="New Construction"),$CT143,IF($BW143="","",VLOOKUP($D143,'Factor Tables'!$B$165:$H$192,MATCH($BW143,'Factor Tables'!$B$164:$H$164,0),FALSE)))</f>
        <v/>
      </c>
      <c r="CJ143" s="842" t="str">
        <f>IF(OR($C143="Replace-on-Burnout",$C143="New Construction"),$CU143,IF($BW143="","",IF($BW143="DX HP",VLOOKUP($D143,'Factor Tables'!$I$165:$Q$192,MATCH("DX HP Clg",'Factor Tables'!$I$164:$Q$164,0),FALSE),IF($BW143="PTHP",VLOOKUP($D143,'Factor Tables'!$I$165:$Q$192,MATCH("PTHP Clg",'Factor Tables'!$I$164:$Q$164,0),FALSE),IF(AND($BW143&lt;&gt;"DX HP",$BW143&lt;&gt;"PTHP"),VLOOKUP($D143,'Factor Tables'!$I$165:$Q$192,MATCH($BW143,'Factor Tables'!$I$164:$Q$164,0),FALSE),"")))))</f>
        <v/>
      </c>
      <c r="CK143" s="186" t="str">
        <f>IF(OR($C143="Replace-on-Burnout",$C143="New Construction",$CL143="DX HP",$CL143="PTHP"),$CV143,IF($BW143="","",IF($BW143="DX HP",VLOOKUP($D143,'Factor Tables'!$I$165:$Q$192,MATCH("DX HP Htg",'Factor Tables'!$I$164:$Q$164,0),FALSE),IF($BW143="PTHP",VLOOKUP($D143,'Factor Tables'!$I$165:$Q$192,MATCH("PTHP Htg",'Factor Tables'!$I$164:$Q$164,0),FALSE),0))))</f>
        <v/>
      </c>
      <c r="CL143" s="187" t="str">
        <f t="shared" si="92"/>
        <v/>
      </c>
      <c r="CM143" s="251" t="str">
        <f t="shared" si="93"/>
        <v/>
      </c>
      <c r="CN143" s="184">
        <f t="shared" si="107"/>
        <v>0</v>
      </c>
      <c r="CO143" s="693">
        <f t="shared" si="108"/>
        <v>0</v>
      </c>
      <c r="CP143" s="182" t="s">
        <v>46</v>
      </c>
      <c r="CQ143" s="852" t="str">
        <f t="shared" si="109"/>
        <v/>
      </c>
      <c r="CR143" s="833">
        <f t="shared" si="110"/>
        <v>0</v>
      </c>
      <c r="CS143" s="830" t="s">
        <v>567</v>
      </c>
      <c r="CT143" s="185" t="str">
        <f>IF($CL143="","",VLOOKUP($D143,'Factor Tables'!$B$165:$H$192,MATCH($CL143,'Factor Tables'!$B$164:$H$164,0),FALSE))</f>
        <v/>
      </c>
      <c r="CU143" s="842" t="str">
        <f>IF($CL143="","",IF(AND($CL143&lt;&gt;"DX HP",$CL143&lt;&gt;"PTHP"),VLOOKUP($D143,'Factor Tables'!$I$165:$Q$192,MATCH($CL143,'Factor Tables'!$I$164:$Q$164,0),FALSE),IF($CL143="DX HP",VLOOKUP($D143,'Factor Tables'!$I$165:$Q$192,MATCH("DX HP Clg",'Factor Tables'!$I$164:$Q$164,0),FALSE),IF($CL143="PTHP",VLOOKUP($D143,'Factor Tables'!$I$165:$Q$192,MATCH("PTHP Clg",'Factor Tables'!$I$164:$Q$164,0),FALSE),""))))</f>
        <v/>
      </c>
      <c r="CV143" s="186" t="str">
        <f>IF($CL143="","",IF(AND($CL143&lt;&gt;"DX HP",$CL143&lt;&gt;"PTHP"),0,IF($CL143="DX HP",VLOOKUP($D143,'Factor Tables'!$I$165:$Q$192,MATCH("DX HP Htg",'Factor Tables'!$I$164:$Q$164,0),FALSE),IF($CL143="PTHP",VLOOKUP($D143,'Factor Tables'!$I$165:$Q$192,MATCH("PTHP Htg",'Factor Tables'!$I$164:$Q$164,0),FALSE),""))))</f>
        <v/>
      </c>
      <c r="DD143" s="844"/>
      <c r="DE143" s="426"/>
      <c r="DI143" s="425"/>
      <c r="DJ143" s="425"/>
      <c r="DK143" s="425"/>
      <c r="DL143" s="425"/>
      <c r="DM143" s="493" t="s">
        <v>478</v>
      </c>
    </row>
    <row r="144" spans="2:117" s="427" customFormat="1" ht="21.95" customHeight="1" x14ac:dyDescent="0.25">
      <c r="B144" s="431">
        <v>135</v>
      </c>
      <c r="C144" s="501" t="str">
        <f t="shared" si="94"/>
        <v/>
      </c>
      <c r="D144" s="502" t="str">
        <f t="shared" si="95"/>
        <v/>
      </c>
      <c r="E144" s="546"/>
      <c r="F144" s="547"/>
      <c r="G144" s="729"/>
      <c r="H144" s="729"/>
      <c r="I144" s="729"/>
      <c r="J144" s="729"/>
      <c r="K144" s="729"/>
      <c r="L144" s="729"/>
      <c r="M144" s="765"/>
      <c r="N144" s="758"/>
      <c r="O144" s="765"/>
      <c r="P144" s="758"/>
      <c r="Q144" s="1143"/>
      <c r="R144" s="1134"/>
      <c r="S144" s="775"/>
      <c r="T144" s="729"/>
      <c r="U144" s="775"/>
      <c r="V144" s="779"/>
      <c r="W144" s="557"/>
      <c r="X144" s="788"/>
      <c r="Y144" s="543"/>
      <c r="Z144" s="281"/>
      <c r="AA144" s="281"/>
      <c r="AB144" s="281"/>
      <c r="AC144" s="281"/>
      <c r="AD144" s="492"/>
      <c r="AE144" s="527">
        <f t="shared" si="39"/>
        <v>0</v>
      </c>
      <c r="AF144" s="527">
        <f t="shared" si="96"/>
        <v>0</v>
      </c>
      <c r="AG144" s="527">
        <f t="shared" si="76"/>
        <v>0</v>
      </c>
      <c r="AH144" s="527">
        <f t="shared" si="77"/>
        <v>0</v>
      </c>
      <c r="AI144" s="527">
        <f t="shared" si="78"/>
        <v>0</v>
      </c>
      <c r="AJ144" s="527">
        <f t="shared" si="79"/>
        <v>999999999</v>
      </c>
      <c r="AK144" s="471"/>
      <c r="AL144" s="765"/>
      <c r="AM144" s="758"/>
      <c r="AN144" s="281"/>
      <c r="AO144" s="775"/>
      <c r="AP144" s="775"/>
      <c r="AQ144" s="281"/>
      <c r="AR144" s="528"/>
      <c r="AS144" s="532"/>
      <c r="AT144" s="524" t="str">
        <f t="shared" si="80"/>
        <v/>
      </c>
      <c r="AU144" s="311">
        <f t="shared" si="81"/>
        <v>0</v>
      </c>
      <c r="AV144" s="288">
        <f t="shared" si="97"/>
        <v>0</v>
      </c>
      <c r="AW144" s="290">
        <f>IF(ISERROR($AU144*'Utility Admin'!$E$4+$AV144*'Utility Admin'!$F$4),0,$AU144*'Utility Admin'!$E$4+$AV144*'Utility Admin'!$F$4)</f>
        <v>0</v>
      </c>
      <c r="AX144" s="323" t="str">
        <f t="shared" si="82"/>
        <v/>
      </c>
      <c r="AY144" s="322" t="str">
        <f t="shared" si="23"/>
        <v/>
      </c>
      <c r="AZ144" s="319">
        <f>Baselines!$CJ388</f>
        <v>0</v>
      </c>
      <c r="BA144" s="735">
        <f>Baselines!$CK388</f>
        <v>0</v>
      </c>
      <c r="BB144" s="839">
        <f>Baselines!$CM388</f>
        <v>0</v>
      </c>
      <c r="BC144" s="466">
        <f t="shared" si="83"/>
        <v>0</v>
      </c>
      <c r="BD144" s="464">
        <f t="shared" si="98"/>
        <v>0</v>
      </c>
      <c r="BE144" s="755">
        <f t="shared" si="84"/>
        <v>0</v>
      </c>
      <c r="BF144" s="755">
        <f t="shared" si="99"/>
        <v>0</v>
      </c>
      <c r="BG144" s="466">
        <f t="shared" si="85"/>
        <v>0</v>
      </c>
      <c r="BH144" s="464">
        <f t="shared" si="86"/>
        <v>0</v>
      </c>
      <c r="BI144" s="755">
        <f t="shared" si="87"/>
        <v>0</v>
      </c>
      <c r="BJ144" s="755">
        <f t="shared" si="100"/>
        <v>0</v>
      </c>
      <c r="BK144" s="333">
        <f>IF(OR($C144&lt;&gt;"Early Retirement",$H144=""),0,IF(AND($G144&lt;&gt;"Air Cooled Chiller",$G144&lt;&gt;"Water Cooled Chiller"),VLOOKUP($H144,'Early Retirement'!$CI$6:$CL$33,2,FALSE),IF($J144&lt;&gt;"Centrifugal",VLOOKUP($H144,'Early Retirement'!$CI$6:$CL$33,3,FALSE),IF($J144="Centrifugal",VLOOKUP($H144,'Early Retirement'!$CI$6:$CL$33,4,FALSE),""))))</f>
        <v>0</v>
      </c>
      <c r="BL144" s="450">
        <f t="shared" si="88"/>
        <v>0</v>
      </c>
      <c r="BM144" s="553">
        <f>IFERROR('Utility Admin'!$I$4*((1+'Utility Admin'!$G$4)/('Utility Admin'!$H$4-'Utility Admin'!$G$4))*(1-((1+'Utility Admin'!$G$4)/(1+'Utility Admin'!$H$4))^$BK144)*$BG144,0)</f>
        <v>0</v>
      </c>
      <c r="BN144" s="553">
        <f>IFERROR('Utility Admin'!$I$4*((1+'Utility Admin'!$G$4)/('Utility Admin'!$H$4-'Utility Admin'!$G$4))*(1-((1+'Utility Admin'!$G$4)/(1+'Utility Admin'!$H$4))^$BL144)*((1+'Utility Admin'!$G$4)^$BK144/(1+'Utility Admin'!$H$4)^$BK144)*$BC144,0)</f>
        <v>0</v>
      </c>
      <c r="BO144" s="553">
        <f t="shared" si="27"/>
        <v>0</v>
      </c>
      <c r="BP144" s="553">
        <f>IFERROR('Utility Admin'!$J$4*((1+'Utility Admin'!$G$4)/('Utility Admin'!$H$4-'Utility Admin'!$G$4))*(1-((1+'Utility Admin'!$G$4)/(1+'Utility Admin'!$H$4))^$BK144)*$BJ144,0)</f>
        <v>0</v>
      </c>
      <c r="BQ144" s="553">
        <f>IFERROR('Utility Admin'!$J$4*((1+'Utility Admin'!$G$4)/('Utility Admin'!$H$4-'Utility Admin'!$G$4))*(1-((1+'Utility Admin'!$G$4)/(1+'Utility Admin'!$H$4))^$BL144)*((1+'Utility Admin'!$G$4)^$BK144/(1+'Utility Admin'!$H$4)^$BK144)*$BF144,0)</f>
        <v>0</v>
      </c>
      <c r="BR144" s="553">
        <f t="shared" si="28"/>
        <v>0</v>
      </c>
      <c r="BS144" s="553">
        <f>IFERROR('Utility Admin'!$I$4*((1+'Utility Admin'!$G$4)/('Utility Admin'!$H$4-'Utility Admin'!$G$4))*(1-((1+'Utility Admin'!$G$4)/(1+'Utility Admin'!$H$4))^$AT144),0)</f>
        <v>0</v>
      </c>
      <c r="BT144" s="553">
        <f>IFERROR('Utility Admin'!$J$4*((1+'Utility Admin'!$G$4)/('Utility Admin'!$H$4-'Utility Admin'!$G$4))*(1-((1+'Utility Admin'!$G$4)/(1+'Utility Admin'!$H$4))^$AT144),0)</f>
        <v>0</v>
      </c>
      <c r="BU144" s="459">
        <f t="shared" si="101"/>
        <v>0</v>
      </c>
      <c r="BV144" s="462">
        <f t="shared" si="102"/>
        <v>0</v>
      </c>
      <c r="BW144" s="219" t="str">
        <f t="shared" si="89"/>
        <v/>
      </c>
      <c r="BX144" s="250" t="str">
        <f t="shared" si="103"/>
        <v/>
      </c>
      <c r="BY144" s="250" t="str">
        <f t="shared" si="90"/>
        <v/>
      </c>
      <c r="BZ144" s="184">
        <f t="shared" si="104"/>
        <v>0</v>
      </c>
      <c r="CA144" s="693">
        <f t="shared" si="105"/>
        <v>0</v>
      </c>
      <c r="CB144" s="836">
        <f t="shared" si="106"/>
        <v>0</v>
      </c>
      <c r="CC144" s="693">
        <f>IF(AND($C144="Early Retirement",$H144&lt;&gt;"",$R144&lt;&gt;"",$T144&lt;&gt;""),$BZ144,Baselines!$CJ137)</f>
        <v>0</v>
      </c>
      <c r="CD144" s="693">
        <f>IF(AND($C144="Early Retirement",$H144&lt;&gt;"",$R144&lt;&gt;"",$T144&lt;&gt;""),$CA144,Baselines!$CK137)</f>
        <v>0</v>
      </c>
      <c r="CE144" s="182" t="str">
        <f>Baselines!$CL137</f>
        <v>kW/ton</v>
      </c>
      <c r="CF144" s="850" t="str">
        <f t="shared" si="91"/>
        <v/>
      </c>
      <c r="CG144" s="833">
        <f>IF(AND($C144="Early Retirement",$H144&lt;&gt;"",$R144&lt;&gt;"",$T144&lt;&gt;""),$CB144,IF(AND(Baselines!$CM137=0,OR($CL144="DX HP",$CL144="PTHP")),$BB144,Baselines!$CM137))</f>
        <v>0</v>
      </c>
      <c r="CH144" s="830" t="s">
        <v>567</v>
      </c>
      <c r="CI144" s="185" t="str">
        <f>IF(OR($C144="Replace-on-Burnout",$C144="New Construction"),$CT144,IF($BW144="","",VLOOKUP($D144,'Factor Tables'!$B$165:$H$192,MATCH($BW144,'Factor Tables'!$B$164:$H$164,0),FALSE)))</f>
        <v/>
      </c>
      <c r="CJ144" s="842" t="str">
        <f>IF(OR($C144="Replace-on-Burnout",$C144="New Construction"),$CU144,IF($BW144="","",IF($BW144="DX HP",VLOOKUP($D144,'Factor Tables'!$I$165:$Q$192,MATCH("DX HP Clg",'Factor Tables'!$I$164:$Q$164,0),FALSE),IF($BW144="PTHP",VLOOKUP($D144,'Factor Tables'!$I$165:$Q$192,MATCH("PTHP Clg",'Factor Tables'!$I$164:$Q$164,0),FALSE),IF(AND($BW144&lt;&gt;"DX HP",$BW144&lt;&gt;"PTHP"),VLOOKUP($D144,'Factor Tables'!$I$165:$Q$192,MATCH($BW144,'Factor Tables'!$I$164:$Q$164,0),FALSE),"")))))</f>
        <v/>
      </c>
      <c r="CK144" s="186" t="str">
        <f>IF(OR($C144="Replace-on-Burnout",$C144="New Construction",$CL144="DX HP",$CL144="PTHP"),$CV144,IF($BW144="","",IF($BW144="DX HP",VLOOKUP($D144,'Factor Tables'!$I$165:$Q$192,MATCH("DX HP Htg",'Factor Tables'!$I$164:$Q$164,0),FALSE),IF($BW144="PTHP",VLOOKUP($D144,'Factor Tables'!$I$165:$Q$192,MATCH("PTHP Htg",'Factor Tables'!$I$164:$Q$164,0),FALSE),0))))</f>
        <v/>
      </c>
      <c r="CL144" s="187" t="str">
        <f t="shared" si="92"/>
        <v/>
      </c>
      <c r="CM144" s="251" t="str">
        <f t="shared" si="93"/>
        <v/>
      </c>
      <c r="CN144" s="184">
        <f t="shared" si="107"/>
        <v>0</v>
      </c>
      <c r="CO144" s="693">
        <f t="shared" si="108"/>
        <v>0</v>
      </c>
      <c r="CP144" s="182" t="s">
        <v>46</v>
      </c>
      <c r="CQ144" s="852" t="str">
        <f t="shared" si="109"/>
        <v/>
      </c>
      <c r="CR144" s="833">
        <f t="shared" si="110"/>
        <v>0</v>
      </c>
      <c r="CS144" s="830" t="s">
        <v>567</v>
      </c>
      <c r="CT144" s="185" t="str">
        <f>IF($CL144="","",VLOOKUP($D144,'Factor Tables'!$B$165:$H$192,MATCH($CL144,'Factor Tables'!$B$164:$H$164,0),FALSE))</f>
        <v/>
      </c>
      <c r="CU144" s="842" t="str">
        <f>IF($CL144="","",IF(AND($CL144&lt;&gt;"DX HP",$CL144&lt;&gt;"PTHP"),VLOOKUP($D144,'Factor Tables'!$I$165:$Q$192,MATCH($CL144,'Factor Tables'!$I$164:$Q$164,0),FALSE),IF($CL144="DX HP",VLOOKUP($D144,'Factor Tables'!$I$165:$Q$192,MATCH("DX HP Clg",'Factor Tables'!$I$164:$Q$164,0),FALSE),IF($CL144="PTHP",VLOOKUP($D144,'Factor Tables'!$I$165:$Q$192,MATCH("PTHP Clg",'Factor Tables'!$I$164:$Q$164,0),FALSE),""))))</f>
        <v/>
      </c>
      <c r="CV144" s="186" t="str">
        <f>IF($CL144="","",IF(AND($CL144&lt;&gt;"DX HP",$CL144&lt;&gt;"PTHP"),0,IF($CL144="DX HP",VLOOKUP($D144,'Factor Tables'!$I$165:$Q$192,MATCH("DX HP Htg",'Factor Tables'!$I$164:$Q$164,0),FALSE),IF($CL144="PTHP",VLOOKUP($D144,'Factor Tables'!$I$165:$Q$192,MATCH("PTHP Htg",'Factor Tables'!$I$164:$Q$164,0),FALSE),""))))</f>
        <v/>
      </c>
      <c r="DD144" s="193" t="s">
        <v>27</v>
      </c>
      <c r="DE144" s="426"/>
      <c r="DI144" s="425"/>
      <c r="DJ144" s="425"/>
      <c r="DK144" s="425"/>
      <c r="DL144" s="425"/>
      <c r="DM144" s="493" t="s">
        <v>478</v>
      </c>
    </row>
    <row r="145" spans="2:117" s="427" customFormat="1" ht="21.95" customHeight="1" x14ac:dyDescent="0.25">
      <c r="B145" s="432">
        <v>136</v>
      </c>
      <c r="C145" s="499" t="str">
        <f t="shared" si="94"/>
        <v/>
      </c>
      <c r="D145" s="403" t="str">
        <f t="shared" si="95"/>
        <v/>
      </c>
      <c r="E145" s="541"/>
      <c r="F145" s="785"/>
      <c r="G145" s="728"/>
      <c r="H145" s="728"/>
      <c r="I145" s="728"/>
      <c r="J145" s="728"/>
      <c r="K145" s="728"/>
      <c r="L145" s="728"/>
      <c r="M145" s="764"/>
      <c r="N145" s="728"/>
      <c r="O145" s="764"/>
      <c r="P145" s="728"/>
      <c r="Q145" s="1142"/>
      <c r="R145" s="1133"/>
      <c r="S145" s="778"/>
      <c r="T145" s="767"/>
      <c r="U145" s="778"/>
      <c r="V145" s="751"/>
      <c r="W145" s="556"/>
      <c r="X145" s="785"/>
      <c r="Y145" s="542"/>
      <c r="Z145" s="500"/>
      <c r="AA145" s="500"/>
      <c r="AB145" s="500"/>
      <c r="AC145" s="500"/>
      <c r="AD145" s="529"/>
      <c r="AE145" s="527">
        <f t="shared" si="39"/>
        <v>0</v>
      </c>
      <c r="AF145" s="527">
        <f t="shared" si="96"/>
        <v>0</v>
      </c>
      <c r="AG145" s="527">
        <f t="shared" si="76"/>
        <v>0</v>
      </c>
      <c r="AH145" s="527">
        <f t="shared" si="77"/>
        <v>0</v>
      </c>
      <c r="AI145" s="527">
        <f t="shared" si="78"/>
        <v>0</v>
      </c>
      <c r="AJ145" s="527">
        <f t="shared" si="79"/>
        <v>999999999</v>
      </c>
      <c r="AK145" s="530"/>
      <c r="AL145" s="776"/>
      <c r="AM145" s="777"/>
      <c r="AN145" s="500"/>
      <c r="AO145" s="778"/>
      <c r="AP145" s="778"/>
      <c r="AQ145" s="500"/>
      <c r="AR145" s="531"/>
      <c r="AS145" s="403"/>
      <c r="AT145" s="524" t="str">
        <f t="shared" si="80"/>
        <v/>
      </c>
      <c r="AU145" s="311">
        <f t="shared" si="81"/>
        <v>0</v>
      </c>
      <c r="AV145" s="288">
        <f t="shared" si="97"/>
        <v>0</v>
      </c>
      <c r="AW145" s="290">
        <f>IF(ISERROR($AU145*'Utility Admin'!$E$4+$AV145*'Utility Admin'!$F$4),0,$AU145*'Utility Admin'!$E$4+$AV145*'Utility Admin'!$F$4)</f>
        <v>0</v>
      </c>
      <c r="AX145" s="323" t="str">
        <f t="shared" si="82"/>
        <v/>
      </c>
      <c r="AY145" s="322" t="str">
        <f t="shared" si="23"/>
        <v/>
      </c>
      <c r="AZ145" s="319">
        <f>Baselines!$CJ389</f>
        <v>0</v>
      </c>
      <c r="BA145" s="735">
        <f>Baselines!$CK389</f>
        <v>0</v>
      </c>
      <c r="BB145" s="839">
        <f>Baselines!$CM389</f>
        <v>0</v>
      </c>
      <c r="BC145" s="466">
        <f t="shared" si="83"/>
        <v>0</v>
      </c>
      <c r="BD145" s="464">
        <f t="shared" si="98"/>
        <v>0</v>
      </c>
      <c r="BE145" s="755">
        <f t="shared" si="84"/>
        <v>0</v>
      </c>
      <c r="BF145" s="755">
        <f t="shared" si="99"/>
        <v>0</v>
      </c>
      <c r="BG145" s="466">
        <f t="shared" si="85"/>
        <v>0</v>
      </c>
      <c r="BH145" s="464">
        <f t="shared" si="86"/>
        <v>0</v>
      </c>
      <c r="BI145" s="755">
        <f t="shared" si="87"/>
        <v>0</v>
      </c>
      <c r="BJ145" s="755">
        <f t="shared" si="100"/>
        <v>0</v>
      </c>
      <c r="BK145" s="333">
        <f>IF(OR($C145&lt;&gt;"Early Retirement",$H145=""),0,IF(AND($G145&lt;&gt;"Air Cooled Chiller",$G145&lt;&gt;"Water Cooled Chiller"),VLOOKUP($H145,'Early Retirement'!$CI$6:$CL$33,2,FALSE),IF($J145&lt;&gt;"Centrifugal",VLOOKUP($H145,'Early Retirement'!$CI$6:$CL$33,3,FALSE),IF($J145="Centrifugal",VLOOKUP($H145,'Early Retirement'!$CI$6:$CL$33,4,FALSE),""))))</f>
        <v>0</v>
      </c>
      <c r="BL145" s="450">
        <f t="shared" si="88"/>
        <v>0</v>
      </c>
      <c r="BM145" s="553">
        <f>IFERROR('Utility Admin'!$I$4*((1+'Utility Admin'!$G$4)/('Utility Admin'!$H$4-'Utility Admin'!$G$4))*(1-((1+'Utility Admin'!$G$4)/(1+'Utility Admin'!$H$4))^$BK145)*$BG145,0)</f>
        <v>0</v>
      </c>
      <c r="BN145" s="553">
        <f>IFERROR('Utility Admin'!$I$4*((1+'Utility Admin'!$G$4)/('Utility Admin'!$H$4-'Utility Admin'!$G$4))*(1-((1+'Utility Admin'!$G$4)/(1+'Utility Admin'!$H$4))^$BL145)*((1+'Utility Admin'!$G$4)^$BK145/(1+'Utility Admin'!$H$4)^$BK145)*$BC145,0)</f>
        <v>0</v>
      </c>
      <c r="BO145" s="553">
        <f t="shared" si="27"/>
        <v>0</v>
      </c>
      <c r="BP145" s="553">
        <f>IFERROR('Utility Admin'!$J$4*((1+'Utility Admin'!$G$4)/('Utility Admin'!$H$4-'Utility Admin'!$G$4))*(1-((1+'Utility Admin'!$G$4)/(1+'Utility Admin'!$H$4))^$BK145)*$BJ145,0)</f>
        <v>0</v>
      </c>
      <c r="BQ145" s="553">
        <f>IFERROR('Utility Admin'!$J$4*((1+'Utility Admin'!$G$4)/('Utility Admin'!$H$4-'Utility Admin'!$G$4))*(1-((1+'Utility Admin'!$G$4)/(1+'Utility Admin'!$H$4))^$BL145)*((1+'Utility Admin'!$G$4)^$BK145/(1+'Utility Admin'!$H$4)^$BK145)*$BF145,0)</f>
        <v>0</v>
      </c>
      <c r="BR145" s="553">
        <f t="shared" si="28"/>
        <v>0</v>
      </c>
      <c r="BS145" s="553">
        <f>IFERROR('Utility Admin'!$I$4*((1+'Utility Admin'!$G$4)/('Utility Admin'!$H$4-'Utility Admin'!$G$4))*(1-((1+'Utility Admin'!$G$4)/(1+'Utility Admin'!$H$4))^$AT145),0)</f>
        <v>0</v>
      </c>
      <c r="BT145" s="553">
        <f>IFERROR('Utility Admin'!$J$4*((1+'Utility Admin'!$G$4)/('Utility Admin'!$H$4-'Utility Admin'!$G$4))*(1-((1+'Utility Admin'!$G$4)/(1+'Utility Admin'!$H$4))^$AT145),0)</f>
        <v>0</v>
      </c>
      <c r="BU145" s="459">
        <f t="shared" si="101"/>
        <v>0</v>
      </c>
      <c r="BV145" s="462">
        <f t="shared" si="102"/>
        <v>0</v>
      </c>
      <c r="BW145" s="219" t="str">
        <f t="shared" si="89"/>
        <v/>
      </c>
      <c r="BX145" s="250" t="str">
        <f t="shared" si="103"/>
        <v/>
      </c>
      <c r="BY145" s="250" t="str">
        <f t="shared" si="90"/>
        <v/>
      </c>
      <c r="BZ145" s="184">
        <f t="shared" si="104"/>
        <v>0</v>
      </c>
      <c r="CA145" s="693">
        <f t="shared" si="105"/>
        <v>0</v>
      </c>
      <c r="CB145" s="836">
        <f t="shared" si="106"/>
        <v>0</v>
      </c>
      <c r="CC145" s="693">
        <f>IF(AND($C145="Early Retirement",$H145&lt;&gt;"",$R145&lt;&gt;"",$T145&lt;&gt;""),$BZ145,Baselines!$CJ138)</f>
        <v>0</v>
      </c>
      <c r="CD145" s="693">
        <f>IF(AND($C145="Early Retirement",$H145&lt;&gt;"",$R145&lt;&gt;"",$T145&lt;&gt;""),$CA145,Baselines!$CK138)</f>
        <v>0</v>
      </c>
      <c r="CE145" s="182" t="str">
        <f>Baselines!$CL138</f>
        <v>kW/ton</v>
      </c>
      <c r="CF145" s="850" t="str">
        <f t="shared" si="91"/>
        <v/>
      </c>
      <c r="CG145" s="833">
        <f>IF(AND($C145="Early Retirement",$H145&lt;&gt;"",$R145&lt;&gt;"",$T145&lt;&gt;""),$CB145,IF(AND(Baselines!$CM138=0,OR($CL145="DX HP",$CL145="PTHP")),$BB145,Baselines!$CM138))</f>
        <v>0</v>
      </c>
      <c r="CH145" s="830" t="s">
        <v>567</v>
      </c>
      <c r="CI145" s="185" t="str">
        <f>IF(OR($C145="Replace-on-Burnout",$C145="New Construction"),$CT145,IF($BW145="","",VLOOKUP($D145,'Factor Tables'!$B$165:$H$192,MATCH($BW145,'Factor Tables'!$B$164:$H$164,0),FALSE)))</f>
        <v/>
      </c>
      <c r="CJ145" s="842" t="str">
        <f>IF(OR($C145="Replace-on-Burnout",$C145="New Construction"),$CU145,IF($BW145="","",IF($BW145="DX HP",VLOOKUP($D145,'Factor Tables'!$I$165:$Q$192,MATCH("DX HP Clg",'Factor Tables'!$I$164:$Q$164,0),FALSE),IF($BW145="PTHP",VLOOKUP($D145,'Factor Tables'!$I$165:$Q$192,MATCH("PTHP Clg",'Factor Tables'!$I$164:$Q$164,0),FALSE),IF(AND($BW145&lt;&gt;"DX HP",$BW145&lt;&gt;"PTHP"),VLOOKUP($D145,'Factor Tables'!$I$165:$Q$192,MATCH($BW145,'Factor Tables'!$I$164:$Q$164,0),FALSE),"")))))</f>
        <v/>
      </c>
      <c r="CK145" s="186" t="str">
        <f>IF(OR($C145="Replace-on-Burnout",$C145="New Construction",$CL145="DX HP",$CL145="PTHP"),$CV145,IF($BW145="","",IF($BW145="DX HP",VLOOKUP($D145,'Factor Tables'!$I$165:$Q$192,MATCH("DX HP Htg",'Factor Tables'!$I$164:$Q$164,0),FALSE),IF($BW145="PTHP",VLOOKUP($D145,'Factor Tables'!$I$165:$Q$192,MATCH("PTHP Htg",'Factor Tables'!$I$164:$Q$164,0),FALSE),0))))</f>
        <v/>
      </c>
      <c r="CL145" s="187" t="str">
        <f t="shared" si="92"/>
        <v/>
      </c>
      <c r="CM145" s="251" t="str">
        <f t="shared" si="93"/>
        <v/>
      </c>
      <c r="CN145" s="184">
        <f t="shared" si="107"/>
        <v>0</v>
      </c>
      <c r="CO145" s="693">
        <f t="shared" si="108"/>
        <v>0</v>
      </c>
      <c r="CP145" s="182" t="s">
        <v>46</v>
      </c>
      <c r="CQ145" s="852" t="str">
        <f t="shared" si="109"/>
        <v/>
      </c>
      <c r="CR145" s="833">
        <f t="shared" si="110"/>
        <v>0</v>
      </c>
      <c r="CS145" s="830" t="s">
        <v>567</v>
      </c>
      <c r="CT145" s="185" t="str">
        <f>IF($CL145="","",VLOOKUP($D145,'Factor Tables'!$B$165:$H$192,MATCH($CL145,'Factor Tables'!$B$164:$H$164,0),FALSE))</f>
        <v/>
      </c>
      <c r="CU145" s="842" t="str">
        <f>IF($CL145="","",IF(AND($CL145&lt;&gt;"DX HP",$CL145&lt;&gt;"PTHP"),VLOOKUP($D145,'Factor Tables'!$I$165:$Q$192,MATCH($CL145,'Factor Tables'!$I$164:$Q$164,0),FALSE),IF($CL145="DX HP",VLOOKUP($D145,'Factor Tables'!$I$165:$Q$192,MATCH("DX HP Clg",'Factor Tables'!$I$164:$Q$164,0),FALSE),IF($CL145="PTHP",VLOOKUP($D145,'Factor Tables'!$I$165:$Q$192,MATCH("PTHP Clg",'Factor Tables'!$I$164:$Q$164,0),FALSE),""))))</f>
        <v/>
      </c>
      <c r="CV145" s="186" t="str">
        <f>IF($CL145="","",IF(AND($CL145&lt;&gt;"DX HP",$CL145&lt;&gt;"PTHP"),0,IF($CL145="DX HP",VLOOKUP($D145,'Factor Tables'!$I$165:$Q$192,MATCH("DX HP Htg",'Factor Tables'!$I$164:$Q$164,0),FALSE),IF($CL145="PTHP",VLOOKUP($D145,'Factor Tables'!$I$165:$Q$192,MATCH("PTHP Htg",'Factor Tables'!$I$164:$Q$164,0),FALSE),""))))</f>
        <v/>
      </c>
      <c r="DD145" s="194" t="s">
        <v>53</v>
      </c>
      <c r="DE145" s="426"/>
      <c r="DI145" s="425"/>
      <c r="DJ145" s="425"/>
      <c r="DK145" s="425"/>
      <c r="DL145" s="425"/>
      <c r="DM145" s="493" t="s">
        <v>478</v>
      </c>
    </row>
    <row r="146" spans="2:117" s="427" customFormat="1" ht="21.95" customHeight="1" x14ac:dyDescent="0.25">
      <c r="B146" s="431">
        <v>137</v>
      </c>
      <c r="C146" s="501" t="str">
        <f t="shared" si="94"/>
        <v/>
      </c>
      <c r="D146" s="502" t="str">
        <f t="shared" si="95"/>
        <v/>
      </c>
      <c r="E146" s="546"/>
      <c r="F146" s="547"/>
      <c r="G146" s="729"/>
      <c r="H146" s="729"/>
      <c r="I146" s="729"/>
      <c r="J146" s="729"/>
      <c r="K146" s="729"/>
      <c r="L146" s="729"/>
      <c r="M146" s="765"/>
      <c r="N146" s="758"/>
      <c r="O146" s="765"/>
      <c r="P146" s="758"/>
      <c r="Q146" s="1143"/>
      <c r="R146" s="1134"/>
      <c r="S146" s="775"/>
      <c r="T146" s="729"/>
      <c r="U146" s="775"/>
      <c r="V146" s="779"/>
      <c r="W146" s="557"/>
      <c r="X146" s="788"/>
      <c r="Y146" s="543"/>
      <c r="Z146" s="281"/>
      <c r="AA146" s="281"/>
      <c r="AB146" s="281"/>
      <c r="AC146" s="281"/>
      <c r="AD146" s="492"/>
      <c r="AE146" s="527">
        <f t="shared" si="39"/>
        <v>0</v>
      </c>
      <c r="AF146" s="527">
        <f t="shared" si="96"/>
        <v>0</v>
      </c>
      <c r="AG146" s="527">
        <f t="shared" si="76"/>
        <v>0</v>
      </c>
      <c r="AH146" s="527">
        <f t="shared" si="77"/>
        <v>0</v>
      </c>
      <c r="AI146" s="527">
        <f t="shared" si="78"/>
        <v>0</v>
      </c>
      <c r="AJ146" s="527">
        <f t="shared" si="79"/>
        <v>999999999</v>
      </c>
      <c r="AK146" s="471"/>
      <c r="AL146" s="765"/>
      <c r="AM146" s="758"/>
      <c r="AN146" s="281"/>
      <c r="AO146" s="775"/>
      <c r="AP146" s="775"/>
      <c r="AQ146" s="281"/>
      <c r="AR146" s="528"/>
      <c r="AS146" s="532"/>
      <c r="AT146" s="524" t="str">
        <f t="shared" si="80"/>
        <v/>
      </c>
      <c r="AU146" s="311">
        <f t="shared" si="81"/>
        <v>0</v>
      </c>
      <c r="AV146" s="288">
        <f t="shared" si="97"/>
        <v>0</v>
      </c>
      <c r="AW146" s="290">
        <f>IF(ISERROR($AU146*'Utility Admin'!$E$4+$AV146*'Utility Admin'!$F$4),0,$AU146*'Utility Admin'!$E$4+$AV146*'Utility Admin'!$F$4)</f>
        <v>0</v>
      </c>
      <c r="AX146" s="323" t="str">
        <f t="shared" si="82"/>
        <v/>
      </c>
      <c r="AY146" s="322" t="str">
        <f t="shared" si="23"/>
        <v/>
      </c>
      <c r="AZ146" s="319">
        <f>Baselines!$CJ390</f>
        <v>0</v>
      </c>
      <c r="BA146" s="735">
        <f>Baselines!$CK390</f>
        <v>0</v>
      </c>
      <c r="BB146" s="839">
        <f>Baselines!$CM390</f>
        <v>0</v>
      </c>
      <c r="BC146" s="466">
        <f t="shared" si="83"/>
        <v>0</v>
      </c>
      <c r="BD146" s="464">
        <f t="shared" si="98"/>
        <v>0</v>
      </c>
      <c r="BE146" s="755">
        <f t="shared" si="84"/>
        <v>0</v>
      </c>
      <c r="BF146" s="755">
        <f t="shared" si="99"/>
        <v>0</v>
      </c>
      <c r="BG146" s="466">
        <f t="shared" si="85"/>
        <v>0</v>
      </c>
      <c r="BH146" s="464">
        <f t="shared" si="86"/>
        <v>0</v>
      </c>
      <c r="BI146" s="755">
        <f t="shared" si="87"/>
        <v>0</v>
      </c>
      <c r="BJ146" s="755">
        <f t="shared" si="100"/>
        <v>0</v>
      </c>
      <c r="BK146" s="333">
        <f>IF(OR($C146&lt;&gt;"Early Retirement",$H146=""),0,IF(AND($G146&lt;&gt;"Air Cooled Chiller",$G146&lt;&gt;"Water Cooled Chiller"),VLOOKUP($H146,'Early Retirement'!$CI$6:$CL$33,2,FALSE),IF($J146&lt;&gt;"Centrifugal",VLOOKUP($H146,'Early Retirement'!$CI$6:$CL$33,3,FALSE),IF($J146="Centrifugal",VLOOKUP($H146,'Early Retirement'!$CI$6:$CL$33,4,FALSE),""))))</f>
        <v>0</v>
      </c>
      <c r="BL146" s="450">
        <f t="shared" si="88"/>
        <v>0</v>
      </c>
      <c r="BM146" s="553">
        <f>IFERROR('Utility Admin'!$I$4*((1+'Utility Admin'!$G$4)/('Utility Admin'!$H$4-'Utility Admin'!$G$4))*(1-((1+'Utility Admin'!$G$4)/(1+'Utility Admin'!$H$4))^$BK146)*$BG146,0)</f>
        <v>0</v>
      </c>
      <c r="BN146" s="553">
        <f>IFERROR('Utility Admin'!$I$4*((1+'Utility Admin'!$G$4)/('Utility Admin'!$H$4-'Utility Admin'!$G$4))*(1-((1+'Utility Admin'!$G$4)/(1+'Utility Admin'!$H$4))^$BL146)*((1+'Utility Admin'!$G$4)^$BK146/(1+'Utility Admin'!$H$4)^$BK146)*$BC146,0)</f>
        <v>0</v>
      </c>
      <c r="BO146" s="553">
        <f t="shared" si="27"/>
        <v>0</v>
      </c>
      <c r="BP146" s="553">
        <f>IFERROR('Utility Admin'!$J$4*((1+'Utility Admin'!$G$4)/('Utility Admin'!$H$4-'Utility Admin'!$G$4))*(1-((1+'Utility Admin'!$G$4)/(1+'Utility Admin'!$H$4))^$BK146)*$BJ146,0)</f>
        <v>0</v>
      </c>
      <c r="BQ146" s="553">
        <f>IFERROR('Utility Admin'!$J$4*((1+'Utility Admin'!$G$4)/('Utility Admin'!$H$4-'Utility Admin'!$G$4))*(1-((1+'Utility Admin'!$G$4)/(1+'Utility Admin'!$H$4))^$BL146)*((1+'Utility Admin'!$G$4)^$BK146/(1+'Utility Admin'!$H$4)^$BK146)*$BF146,0)</f>
        <v>0</v>
      </c>
      <c r="BR146" s="553">
        <f t="shared" si="28"/>
        <v>0</v>
      </c>
      <c r="BS146" s="553">
        <f>IFERROR('Utility Admin'!$I$4*((1+'Utility Admin'!$G$4)/('Utility Admin'!$H$4-'Utility Admin'!$G$4))*(1-((1+'Utility Admin'!$G$4)/(1+'Utility Admin'!$H$4))^$AT146),0)</f>
        <v>0</v>
      </c>
      <c r="BT146" s="553">
        <f>IFERROR('Utility Admin'!$J$4*((1+'Utility Admin'!$G$4)/('Utility Admin'!$H$4-'Utility Admin'!$G$4))*(1-((1+'Utility Admin'!$G$4)/(1+'Utility Admin'!$H$4))^$AT146),0)</f>
        <v>0</v>
      </c>
      <c r="BU146" s="459">
        <f t="shared" si="101"/>
        <v>0</v>
      </c>
      <c r="BV146" s="462">
        <f t="shared" si="102"/>
        <v>0</v>
      </c>
      <c r="BW146" s="219" t="str">
        <f t="shared" si="89"/>
        <v/>
      </c>
      <c r="BX146" s="250" t="str">
        <f t="shared" si="103"/>
        <v/>
      </c>
      <c r="BY146" s="250" t="str">
        <f t="shared" si="90"/>
        <v/>
      </c>
      <c r="BZ146" s="184">
        <f t="shared" si="104"/>
        <v>0</v>
      </c>
      <c r="CA146" s="693">
        <f t="shared" si="105"/>
        <v>0</v>
      </c>
      <c r="CB146" s="836">
        <f t="shared" si="106"/>
        <v>0</v>
      </c>
      <c r="CC146" s="693">
        <f>IF(AND($C146="Early Retirement",$H146&lt;&gt;"",$R146&lt;&gt;"",$T146&lt;&gt;""),$BZ146,Baselines!$CJ139)</f>
        <v>0</v>
      </c>
      <c r="CD146" s="693">
        <f>IF(AND($C146="Early Retirement",$H146&lt;&gt;"",$R146&lt;&gt;"",$T146&lt;&gt;""),$CA146,Baselines!$CK139)</f>
        <v>0</v>
      </c>
      <c r="CE146" s="182" t="str">
        <f>Baselines!$CL139</f>
        <v>kW/ton</v>
      </c>
      <c r="CF146" s="850" t="str">
        <f t="shared" si="91"/>
        <v/>
      </c>
      <c r="CG146" s="833">
        <f>IF(AND($C146="Early Retirement",$H146&lt;&gt;"",$R146&lt;&gt;"",$T146&lt;&gt;""),$CB146,IF(AND(Baselines!$CM139=0,OR($CL146="DX HP",$CL146="PTHP")),$BB146,Baselines!$CM139))</f>
        <v>0</v>
      </c>
      <c r="CH146" s="830" t="s">
        <v>567</v>
      </c>
      <c r="CI146" s="185" t="str">
        <f>IF(OR($C146="Replace-on-Burnout",$C146="New Construction"),$CT146,IF($BW146="","",VLOOKUP($D146,'Factor Tables'!$B$165:$H$192,MATCH($BW146,'Factor Tables'!$B$164:$H$164,0),FALSE)))</f>
        <v/>
      </c>
      <c r="CJ146" s="842" t="str">
        <f>IF(OR($C146="Replace-on-Burnout",$C146="New Construction"),$CU146,IF($BW146="","",IF($BW146="DX HP",VLOOKUP($D146,'Factor Tables'!$I$165:$Q$192,MATCH("DX HP Clg",'Factor Tables'!$I$164:$Q$164,0),FALSE),IF($BW146="PTHP",VLOOKUP($D146,'Factor Tables'!$I$165:$Q$192,MATCH("PTHP Clg",'Factor Tables'!$I$164:$Q$164,0),FALSE),IF(AND($BW146&lt;&gt;"DX HP",$BW146&lt;&gt;"PTHP"),VLOOKUP($D146,'Factor Tables'!$I$165:$Q$192,MATCH($BW146,'Factor Tables'!$I$164:$Q$164,0),FALSE),"")))))</f>
        <v/>
      </c>
      <c r="CK146" s="186" t="str">
        <f>IF(OR($C146="Replace-on-Burnout",$C146="New Construction",$CL146="DX HP",$CL146="PTHP"),$CV146,IF($BW146="","",IF($BW146="DX HP",VLOOKUP($D146,'Factor Tables'!$I$165:$Q$192,MATCH("DX HP Htg",'Factor Tables'!$I$164:$Q$164,0),FALSE),IF($BW146="PTHP",VLOOKUP($D146,'Factor Tables'!$I$165:$Q$192,MATCH("PTHP Htg",'Factor Tables'!$I$164:$Q$164,0),FALSE),0))))</f>
        <v/>
      </c>
      <c r="CL146" s="187" t="str">
        <f t="shared" si="92"/>
        <v/>
      </c>
      <c r="CM146" s="251" t="str">
        <f t="shared" si="93"/>
        <v/>
      </c>
      <c r="CN146" s="184">
        <f t="shared" si="107"/>
        <v>0</v>
      </c>
      <c r="CO146" s="693">
        <f t="shared" si="108"/>
        <v>0</v>
      </c>
      <c r="CP146" s="182" t="s">
        <v>46</v>
      </c>
      <c r="CQ146" s="852" t="str">
        <f t="shared" si="109"/>
        <v/>
      </c>
      <c r="CR146" s="833">
        <f t="shared" si="110"/>
        <v>0</v>
      </c>
      <c r="CS146" s="830" t="s">
        <v>567</v>
      </c>
      <c r="CT146" s="185" t="str">
        <f>IF($CL146="","",VLOOKUP($D146,'Factor Tables'!$B$165:$H$192,MATCH($CL146,'Factor Tables'!$B$164:$H$164,0),FALSE))</f>
        <v/>
      </c>
      <c r="CU146" s="842" t="str">
        <f>IF($CL146="","",IF(AND($CL146&lt;&gt;"DX HP",$CL146&lt;&gt;"PTHP"),VLOOKUP($D146,'Factor Tables'!$I$165:$Q$192,MATCH($CL146,'Factor Tables'!$I$164:$Q$164,0),FALSE),IF($CL146="DX HP",VLOOKUP($D146,'Factor Tables'!$I$165:$Q$192,MATCH("DX HP Clg",'Factor Tables'!$I$164:$Q$164,0),FALSE),IF($CL146="PTHP",VLOOKUP($D146,'Factor Tables'!$I$165:$Q$192,MATCH("PTHP Clg",'Factor Tables'!$I$164:$Q$164,0),FALSE),""))))</f>
        <v/>
      </c>
      <c r="CV146" s="186" t="str">
        <f>IF($CL146="","",IF(AND($CL146&lt;&gt;"DX HP",$CL146&lt;&gt;"PTHP"),0,IF($CL146="DX HP",VLOOKUP($D146,'Factor Tables'!$I$165:$Q$192,MATCH("DX HP Htg",'Factor Tables'!$I$164:$Q$164,0),FALSE),IF($CL146="PTHP",VLOOKUP($D146,'Factor Tables'!$I$165:$Q$192,MATCH("PTHP Htg",'Factor Tables'!$I$164:$Q$164,0),FALSE),""))))</f>
        <v/>
      </c>
      <c r="DD146" s="77" t="s">
        <v>54</v>
      </c>
      <c r="DE146" s="426"/>
      <c r="DI146" s="425"/>
      <c r="DJ146" s="425"/>
      <c r="DK146" s="425"/>
      <c r="DL146" s="425"/>
      <c r="DM146" s="493" t="s">
        <v>478</v>
      </c>
    </row>
    <row r="147" spans="2:117" s="427" customFormat="1" ht="21.95" customHeight="1" x14ac:dyDescent="0.25">
      <c r="B147" s="432">
        <v>138</v>
      </c>
      <c r="C147" s="499" t="str">
        <f t="shared" si="94"/>
        <v/>
      </c>
      <c r="D147" s="403" t="str">
        <f t="shared" si="95"/>
        <v/>
      </c>
      <c r="E147" s="541"/>
      <c r="F147" s="785"/>
      <c r="G147" s="728"/>
      <c r="H147" s="728"/>
      <c r="I147" s="728"/>
      <c r="J147" s="728"/>
      <c r="K147" s="728"/>
      <c r="L147" s="728"/>
      <c r="M147" s="764"/>
      <c r="N147" s="728"/>
      <c r="O147" s="764"/>
      <c r="P147" s="728"/>
      <c r="Q147" s="1142"/>
      <c r="R147" s="1133"/>
      <c r="S147" s="778"/>
      <c r="T147" s="767"/>
      <c r="U147" s="778"/>
      <c r="V147" s="751"/>
      <c r="W147" s="556"/>
      <c r="X147" s="785"/>
      <c r="Y147" s="542"/>
      <c r="Z147" s="500"/>
      <c r="AA147" s="500"/>
      <c r="AB147" s="500"/>
      <c r="AC147" s="500"/>
      <c r="AD147" s="529"/>
      <c r="AE147" s="527">
        <f t="shared" si="39"/>
        <v>0</v>
      </c>
      <c r="AF147" s="527">
        <f t="shared" si="96"/>
        <v>0</v>
      </c>
      <c r="AG147" s="527">
        <f t="shared" si="76"/>
        <v>0</v>
      </c>
      <c r="AH147" s="527">
        <f t="shared" si="77"/>
        <v>0</v>
      </c>
      <c r="AI147" s="527">
        <f t="shared" si="78"/>
        <v>0</v>
      </c>
      <c r="AJ147" s="527">
        <f t="shared" si="79"/>
        <v>999999999</v>
      </c>
      <c r="AK147" s="530"/>
      <c r="AL147" s="776"/>
      <c r="AM147" s="777"/>
      <c r="AN147" s="500"/>
      <c r="AO147" s="778"/>
      <c r="AP147" s="778"/>
      <c r="AQ147" s="500"/>
      <c r="AR147" s="531"/>
      <c r="AS147" s="403"/>
      <c r="AT147" s="524" t="str">
        <f t="shared" si="80"/>
        <v/>
      </c>
      <c r="AU147" s="311">
        <f t="shared" si="81"/>
        <v>0</v>
      </c>
      <c r="AV147" s="288">
        <f t="shared" si="97"/>
        <v>0</v>
      </c>
      <c r="AW147" s="290">
        <f>IF(ISERROR($AU147*'Utility Admin'!$E$4+$AV147*'Utility Admin'!$F$4),0,$AU147*'Utility Admin'!$E$4+$AV147*'Utility Admin'!$F$4)</f>
        <v>0</v>
      </c>
      <c r="AX147" s="323" t="str">
        <f t="shared" si="82"/>
        <v/>
      </c>
      <c r="AY147" s="322" t="str">
        <f t="shared" si="23"/>
        <v/>
      </c>
      <c r="AZ147" s="319">
        <f>Baselines!$CJ391</f>
        <v>0</v>
      </c>
      <c r="BA147" s="735">
        <f>Baselines!$CK391</f>
        <v>0</v>
      </c>
      <c r="BB147" s="839">
        <f>Baselines!$CM391</f>
        <v>0</v>
      </c>
      <c r="BC147" s="466">
        <f t="shared" si="83"/>
        <v>0</v>
      </c>
      <c r="BD147" s="464">
        <f t="shared" si="98"/>
        <v>0</v>
      </c>
      <c r="BE147" s="755">
        <f t="shared" si="84"/>
        <v>0</v>
      </c>
      <c r="BF147" s="755">
        <f t="shared" si="99"/>
        <v>0</v>
      </c>
      <c r="BG147" s="466">
        <f t="shared" si="85"/>
        <v>0</v>
      </c>
      <c r="BH147" s="464">
        <f t="shared" si="86"/>
        <v>0</v>
      </c>
      <c r="BI147" s="755">
        <f t="shared" si="87"/>
        <v>0</v>
      </c>
      <c r="BJ147" s="755">
        <f t="shared" si="100"/>
        <v>0</v>
      </c>
      <c r="BK147" s="333">
        <f>IF(OR($C147&lt;&gt;"Early Retirement",$H147=""),0,IF(AND($G147&lt;&gt;"Air Cooled Chiller",$G147&lt;&gt;"Water Cooled Chiller"),VLOOKUP($H147,'Early Retirement'!$CI$6:$CL$33,2,FALSE),IF($J147&lt;&gt;"Centrifugal",VLOOKUP($H147,'Early Retirement'!$CI$6:$CL$33,3,FALSE),IF($J147="Centrifugal",VLOOKUP($H147,'Early Retirement'!$CI$6:$CL$33,4,FALSE),""))))</f>
        <v>0</v>
      </c>
      <c r="BL147" s="450">
        <f t="shared" si="88"/>
        <v>0</v>
      </c>
      <c r="BM147" s="553">
        <f>IFERROR('Utility Admin'!$I$4*((1+'Utility Admin'!$G$4)/('Utility Admin'!$H$4-'Utility Admin'!$G$4))*(1-((1+'Utility Admin'!$G$4)/(1+'Utility Admin'!$H$4))^$BK147)*$BG147,0)</f>
        <v>0</v>
      </c>
      <c r="BN147" s="553">
        <f>IFERROR('Utility Admin'!$I$4*((1+'Utility Admin'!$G$4)/('Utility Admin'!$H$4-'Utility Admin'!$G$4))*(1-((1+'Utility Admin'!$G$4)/(1+'Utility Admin'!$H$4))^$BL147)*((1+'Utility Admin'!$G$4)^$BK147/(1+'Utility Admin'!$H$4)^$BK147)*$BC147,0)</f>
        <v>0</v>
      </c>
      <c r="BO147" s="553">
        <f t="shared" si="27"/>
        <v>0</v>
      </c>
      <c r="BP147" s="553">
        <f>IFERROR('Utility Admin'!$J$4*((1+'Utility Admin'!$G$4)/('Utility Admin'!$H$4-'Utility Admin'!$G$4))*(1-((1+'Utility Admin'!$G$4)/(1+'Utility Admin'!$H$4))^$BK147)*$BJ147,0)</f>
        <v>0</v>
      </c>
      <c r="BQ147" s="553">
        <f>IFERROR('Utility Admin'!$J$4*((1+'Utility Admin'!$G$4)/('Utility Admin'!$H$4-'Utility Admin'!$G$4))*(1-((1+'Utility Admin'!$G$4)/(1+'Utility Admin'!$H$4))^$BL147)*((1+'Utility Admin'!$G$4)^$BK147/(1+'Utility Admin'!$H$4)^$BK147)*$BF147,0)</f>
        <v>0</v>
      </c>
      <c r="BR147" s="553">
        <f t="shared" si="28"/>
        <v>0</v>
      </c>
      <c r="BS147" s="553">
        <f>IFERROR('Utility Admin'!$I$4*((1+'Utility Admin'!$G$4)/('Utility Admin'!$H$4-'Utility Admin'!$G$4))*(1-((1+'Utility Admin'!$G$4)/(1+'Utility Admin'!$H$4))^$AT147),0)</f>
        <v>0</v>
      </c>
      <c r="BT147" s="553">
        <f>IFERROR('Utility Admin'!$J$4*((1+'Utility Admin'!$G$4)/('Utility Admin'!$H$4-'Utility Admin'!$G$4))*(1-((1+'Utility Admin'!$G$4)/(1+'Utility Admin'!$H$4))^$AT147),0)</f>
        <v>0</v>
      </c>
      <c r="BU147" s="459">
        <f t="shared" si="101"/>
        <v>0</v>
      </c>
      <c r="BV147" s="462">
        <f t="shared" si="102"/>
        <v>0</v>
      </c>
      <c r="BW147" s="219" t="str">
        <f t="shared" si="89"/>
        <v/>
      </c>
      <c r="BX147" s="250" t="str">
        <f t="shared" si="103"/>
        <v/>
      </c>
      <c r="BY147" s="250" t="str">
        <f t="shared" si="90"/>
        <v/>
      </c>
      <c r="BZ147" s="184">
        <f t="shared" si="104"/>
        <v>0</v>
      </c>
      <c r="CA147" s="693">
        <f t="shared" si="105"/>
        <v>0</v>
      </c>
      <c r="CB147" s="836">
        <f t="shared" si="106"/>
        <v>0</v>
      </c>
      <c r="CC147" s="693">
        <f>IF(AND($C147="Early Retirement",$H147&lt;&gt;"",$R147&lt;&gt;"",$T147&lt;&gt;""),$BZ147,Baselines!$CJ140)</f>
        <v>0</v>
      </c>
      <c r="CD147" s="693">
        <f>IF(AND($C147="Early Retirement",$H147&lt;&gt;"",$R147&lt;&gt;"",$T147&lt;&gt;""),$CA147,Baselines!$CK140)</f>
        <v>0</v>
      </c>
      <c r="CE147" s="182" t="str">
        <f>Baselines!$CL140</f>
        <v>kW/ton</v>
      </c>
      <c r="CF147" s="850" t="str">
        <f t="shared" si="91"/>
        <v/>
      </c>
      <c r="CG147" s="833">
        <f>IF(AND($C147="Early Retirement",$H147&lt;&gt;"",$R147&lt;&gt;"",$T147&lt;&gt;""),$CB147,IF(AND(Baselines!$CM140=0,OR($CL147="DX HP",$CL147="PTHP")),$BB147,Baselines!$CM140))</f>
        <v>0</v>
      </c>
      <c r="CH147" s="830" t="s">
        <v>567</v>
      </c>
      <c r="CI147" s="185" t="str">
        <f>IF(OR($C147="Replace-on-Burnout",$C147="New Construction"),$CT147,IF($BW147="","",VLOOKUP($D147,'Factor Tables'!$B$165:$H$192,MATCH($BW147,'Factor Tables'!$B$164:$H$164,0),FALSE)))</f>
        <v/>
      </c>
      <c r="CJ147" s="842" t="str">
        <f>IF(OR($C147="Replace-on-Burnout",$C147="New Construction"),$CU147,IF($BW147="","",IF($BW147="DX HP",VLOOKUP($D147,'Factor Tables'!$I$165:$Q$192,MATCH("DX HP Clg",'Factor Tables'!$I$164:$Q$164,0),FALSE),IF($BW147="PTHP",VLOOKUP($D147,'Factor Tables'!$I$165:$Q$192,MATCH("PTHP Clg",'Factor Tables'!$I$164:$Q$164,0),FALSE),IF(AND($BW147&lt;&gt;"DX HP",$BW147&lt;&gt;"PTHP"),VLOOKUP($D147,'Factor Tables'!$I$165:$Q$192,MATCH($BW147,'Factor Tables'!$I$164:$Q$164,0),FALSE),"")))))</f>
        <v/>
      </c>
      <c r="CK147" s="186" t="str">
        <f>IF(OR($C147="Replace-on-Burnout",$C147="New Construction",$CL147="DX HP",$CL147="PTHP"),$CV147,IF($BW147="","",IF($BW147="DX HP",VLOOKUP($D147,'Factor Tables'!$I$165:$Q$192,MATCH("DX HP Htg",'Factor Tables'!$I$164:$Q$164,0),FALSE),IF($BW147="PTHP",VLOOKUP($D147,'Factor Tables'!$I$165:$Q$192,MATCH("PTHP Htg",'Factor Tables'!$I$164:$Q$164,0),FALSE),0))))</f>
        <v/>
      </c>
      <c r="CL147" s="187" t="str">
        <f t="shared" si="92"/>
        <v/>
      </c>
      <c r="CM147" s="251" t="str">
        <f t="shared" si="93"/>
        <v/>
      </c>
      <c r="CN147" s="184">
        <f t="shared" si="107"/>
        <v>0</v>
      </c>
      <c r="CO147" s="693">
        <f t="shared" si="108"/>
        <v>0</v>
      </c>
      <c r="CP147" s="182" t="s">
        <v>46</v>
      </c>
      <c r="CQ147" s="852" t="str">
        <f t="shared" si="109"/>
        <v/>
      </c>
      <c r="CR147" s="833">
        <f t="shared" si="110"/>
        <v>0</v>
      </c>
      <c r="CS147" s="830" t="s">
        <v>567</v>
      </c>
      <c r="CT147" s="185" t="str">
        <f>IF($CL147="","",VLOOKUP($D147,'Factor Tables'!$B$165:$H$192,MATCH($CL147,'Factor Tables'!$B$164:$H$164,0),FALSE))</f>
        <v/>
      </c>
      <c r="CU147" s="842" t="str">
        <f>IF($CL147="","",IF(AND($CL147&lt;&gt;"DX HP",$CL147&lt;&gt;"PTHP"),VLOOKUP($D147,'Factor Tables'!$I$165:$Q$192,MATCH($CL147,'Factor Tables'!$I$164:$Q$164,0),FALSE),IF($CL147="DX HP",VLOOKUP($D147,'Factor Tables'!$I$165:$Q$192,MATCH("DX HP Clg",'Factor Tables'!$I$164:$Q$164,0),FALSE),IF($CL147="PTHP",VLOOKUP($D147,'Factor Tables'!$I$165:$Q$192,MATCH("PTHP Clg",'Factor Tables'!$I$164:$Q$164,0),FALSE),""))))</f>
        <v/>
      </c>
      <c r="CV147" s="186" t="str">
        <f>IF($CL147="","",IF(AND($CL147&lt;&gt;"DX HP",$CL147&lt;&gt;"PTHP"),0,IF($CL147="DX HP",VLOOKUP($D147,'Factor Tables'!$I$165:$Q$192,MATCH("DX HP Htg",'Factor Tables'!$I$164:$Q$164,0),FALSE),IF($CL147="PTHP",VLOOKUP($D147,'Factor Tables'!$I$165:$Q$192,MATCH("PTHP Htg",'Factor Tables'!$I$164:$Q$164,0),FALSE),""))))</f>
        <v/>
      </c>
      <c r="DD147" s="702"/>
      <c r="DE147" s="426"/>
      <c r="DI147" s="425"/>
      <c r="DJ147" s="425"/>
      <c r="DK147" s="425"/>
      <c r="DL147" s="425"/>
      <c r="DM147" s="493" t="s">
        <v>478</v>
      </c>
    </row>
    <row r="148" spans="2:117" s="427" customFormat="1" ht="21.95" customHeight="1" x14ac:dyDescent="0.25">
      <c r="B148" s="431">
        <v>139</v>
      </c>
      <c r="C148" s="501" t="str">
        <f t="shared" si="94"/>
        <v/>
      </c>
      <c r="D148" s="502" t="str">
        <f t="shared" si="95"/>
        <v/>
      </c>
      <c r="E148" s="546"/>
      <c r="F148" s="547"/>
      <c r="G148" s="729"/>
      <c r="H148" s="729"/>
      <c r="I148" s="729"/>
      <c r="J148" s="729"/>
      <c r="K148" s="729"/>
      <c r="L148" s="729"/>
      <c r="M148" s="765"/>
      <c r="N148" s="758"/>
      <c r="O148" s="765"/>
      <c r="P148" s="758"/>
      <c r="Q148" s="1143"/>
      <c r="R148" s="1134"/>
      <c r="S148" s="775"/>
      <c r="T148" s="729"/>
      <c r="U148" s="775"/>
      <c r="V148" s="779"/>
      <c r="W148" s="557"/>
      <c r="X148" s="788"/>
      <c r="Y148" s="543"/>
      <c r="Z148" s="281"/>
      <c r="AA148" s="281"/>
      <c r="AB148" s="281"/>
      <c r="AC148" s="281"/>
      <c r="AD148" s="492"/>
      <c r="AE148" s="527">
        <f t="shared" si="39"/>
        <v>0</v>
      </c>
      <c r="AF148" s="527">
        <f t="shared" si="96"/>
        <v>0</v>
      </c>
      <c r="AG148" s="527">
        <f t="shared" si="76"/>
        <v>0</v>
      </c>
      <c r="AH148" s="527">
        <f t="shared" si="77"/>
        <v>0</v>
      </c>
      <c r="AI148" s="527">
        <f t="shared" si="78"/>
        <v>0</v>
      </c>
      <c r="AJ148" s="527">
        <f t="shared" si="79"/>
        <v>999999999</v>
      </c>
      <c r="AK148" s="471"/>
      <c r="AL148" s="765"/>
      <c r="AM148" s="758"/>
      <c r="AN148" s="281"/>
      <c r="AO148" s="775"/>
      <c r="AP148" s="775"/>
      <c r="AQ148" s="281"/>
      <c r="AR148" s="528"/>
      <c r="AS148" s="532"/>
      <c r="AT148" s="524" t="str">
        <f t="shared" si="80"/>
        <v/>
      </c>
      <c r="AU148" s="311">
        <f t="shared" si="81"/>
        <v>0</v>
      </c>
      <c r="AV148" s="288">
        <f t="shared" si="97"/>
        <v>0</v>
      </c>
      <c r="AW148" s="290">
        <f>IF(ISERROR($AU148*'Utility Admin'!$E$4+$AV148*'Utility Admin'!$F$4),0,$AU148*'Utility Admin'!$E$4+$AV148*'Utility Admin'!$F$4)</f>
        <v>0</v>
      </c>
      <c r="AX148" s="323" t="str">
        <f t="shared" si="82"/>
        <v/>
      </c>
      <c r="AY148" s="322" t="str">
        <f t="shared" si="23"/>
        <v/>
      </c>
      <c r="AZ148" s="319">
        <f>Baselines!$CJ392</f>
        <v>0</v>
      </c>
      <c r="BA148" s="735">
        <f>Baselines!$CK392</f>
        <v>0</v>
      </c>
      <c r="BB148" s="839">
        <f>Baselines!$CM392</f>
        <v>0</v>
      </c>
      <c r="BC148" s="466">
        <f t="shared" si="83"/>
        <v>0</v>
      </c>
      <c r="BD148" s="464">
        <f t="shared" si="98"/>
        <v>0</v>
      </c>
      <c r="BE148" s="755">
        <f t="shared" si="84"/>
        <v>0</v>
      </c>
      <c r="BF148" s="755">
        <f t="shared" si="99"/>
        <v>0</v>
      </c>
      <c r="BG148" s="466">
        <f t="shared" si="85"/>
        <v>0</v>
      </c>
      <c r="BH148" s="464">
        <f t="shared" si="86"/>
        <v>0</v>
      </c>
      <c r="BI148" s="755">
        <f t="shared" si="87"/>
        <v>0</v>
      </c>
      <c r="BJ148" s="755">
        <f t="shared" si="100"/>
        <v>0</v>
      </c>
      <c r="BK148" s="333">
        <f>IF(OR($C148&lt;&gt;"Early Retirement",$H148=""),0,IF(AND($G148&lt;&gt;"Air Cooled Chiller",$G148&lt;&gt;"Water Cooled Chiller"),VLOOKUP($H148,'Early Retirement'!$CI$6:$CL$33,2,FALSE),IF($J148&lt;&gt;"Centrifugal",VLOOKUP($H148,'Early Retirement'!$CI$6:$CL$33,3,FALSE),IF($J148="Centrifugal",VLOOKUP($H148,'Early Retirement'!$CI$6:$CL$33,4,FALSE),""))))</f>
        <v>0</v>
      </c>
      <c r="BL148" s="450">
        <f t="shared" si="88"/>
        <v>0</v>
      </c>
      <c r="BM148" s="553">
        <f>IFERROR('Utility Admin'!$I$4*((1+'Utility Admin'!$G$4)/('Utility Admin'!$H$4-'Utility Admin'!$G$4))*(1-((1+'Utility Admin'!$G$4)/(1+'Utility Admin'!$H$4))^$BK148)*$BG148,0)</f>
        <v>0</v>
      </c>
      <c r="BN148" s="553">
        <f>IFERROR('Utility Admin'!$I$4*((1+'Utility Admin'!$G$4)/('Utility Admin'!$H$4-'Utility Admin'!$G$4))*(1-((1+'Utility Admin'!$G$4)/(1+'Utility Admin'!$H$4))^$BL148)*((1+'Utility Admin'!$G$4)^$BK148/(1+'Utility Admin'!$H$4)^$BK148)*$BC148,0)</f>
        <v>0</v>
      </c>
      <c r="BO148" s="553">
        <f t="shared" si="27"/>
        <v>0</v>
      </c>
      <c r="BP148" s="553">
        <f>IFERROR('Utility Admin'!$J$4*((1+'Utility Admin'!$G$4)/('Utility Admin'!$H$4-'Utility Admin'!$G$4))*(1-((1+'Utility Admin'!$G$4)/(1+'Utility Admin'!$H$4))^$BK148)*$BJ148,0)</f>
        <v>0</v>
      </c>
      <c r="BQ148" s="553">
        <f>IFERROR('Utility Admin'!$J$4*((1+'Utility Admin'!$G$4)/('Utility Admin'!$H$4-'Utility Admin'!$G$4))*(1-((1+'Utility Admin'!$G$4)/(1+'Utility Admin'!$H$4))^$BL148)*((1+'Utility Admin'!$G$4)^$BK148/(1+'Utility Admin'!$H$4)^$BK148)*$BF148,0)</f>
        <v>0</v>
      </c>
      <c r="BR148" s="553">
        <f t="shared" si="28"/>
        <v>0</v>
      </c>
      <c r="BS148" s="553">
        <f>IFERROR('Utility Admin'!$I$4*((1+'Utility Admin'!$G$4)/('Utility Admin'!$H$4-'Utility Admin'!$G$4))*(1-((1+'Utility Admin'!$G$4)/(1+'Utility Admin'!$H$4))^$AT148),0)</f>
        <v>0</v>
      </c>
      <c r="BT148" s="553">
        <f>IFERROR('Utility Admin'!$J$4*((1+'Utility Admin'!$G$4)/('Utility Admin'!$H$4-'Utility Admin'!$G$4))*(1-((1+'Utility Admin'!$G$4)/(1+'Utility Admin'!$H$4))^$AT148),0)</f>
        <v>0</v>
      </c>
      <c r="BU148" s="459">
        <f t="shared" si="101"/>
        <v>0</v>
      </c>
      <c r="BV148" s="462">
        <f t="shared" si="102"/>
        <v>0</v>
      </c>
      <c r="BW148" s="219" t="str">
        <f t="shared" si="89"/>
        <v/>
      </c>
      <c r="BX148" s="250" t="str">
        <f t="shared" si="103"/>
        <v/>
      </c>
      <c r="BY148" s="250" t="str">
        <f t="shared" si="90"/>
        <v/>
      </c>
      <c r="BZ148" s="184">
        <f t="shared" si="104"/>
        <v>0</v>
      </c>
      <c r="CA148" s="693">
        <f t="shared" si="105"/>
        <v>0</v>
      </c>
      <c r="CB148" s="836">
        <f t="shared" si="106"/>
        <v>0</v>
      </c>
      <c r="CC148" s="693">
        <f>IF(AND($C148="Early Retirement",$H148&lt;&gt;"",$R148&lt;&gt;"",$T148&lt;&gt;""),$BZ148,Baselines!$CJ141)</f>
        <v>0</v>
      </c>
      <c r="CD148" s="693">
        <f>IF(AND($C148="Early Retirement",$H148&lt;&gt;"",$R148&lt;&gt;"",$T148&lt;&gt;""),$CA148,Baselines!$CK141)</f>
        <v>0</v>
      </c>
      <c r="CE148" s="182" t="str">
        <f>Baselines!$CL141</f>
        <v>kW/ton</v>
      </c>
      <c r="CF148" s="850" t="str">
        <f t="shared" si="91"/>
        <v/>
      </c>
      <c r="CG148" s="833">
        <f>IF(AND($C148="Early Retirement",$H148&lt;&gt;"",$R148&lt;&gt;"",$T148&lt;&gt;""),$CB148,IF(AND(Baselines!$CM141=0,OR($CL148="DX HP",$CL148="PTHP")),$BB148,Baselines!$CM141))</f>
        <v>0</v>
      </c>
      <c r="CH148" s="830" t="s">
        <v>567</v>
      </c>
      <c r="CI148" s="185" t="str">
        <f>IF(OR($C148="Replace-on-Burnout",$C148="New Construction"),$CT148,IF($BW148="","",VLOOKUP($D148,'Factor Tables'!$B$165:$H$192,MATCH($BW148,'Factor Tables'!$B$164:$H$164,0),FALSE)))</f>
        <v/>
      </c>
      <c r="CJ148" s="842" t="str">
        <f>IF(OR($C148="Replace-on-Burnout",$C148="New Construction"),$CU148,IF($BW148="","",IF($BW148="DX HP",VLOOKUP($D148,'Factor Tables'!$I$165:$Q$192,MATCH("DX HP Clg",'Factor Tables'!$I$164:$Q$164,0),FALSE),IF($BW148="PTHP",VLOOKUP($D148,'Factor Tables'!$I$165:$Q$192,MATCH("PTHP Clg",'Factor Tables'!$I$164:$Q$164,0),FALSE),IF(AND($BW148&lt;&gt;"DX HP",$BW148&lt;&gt;"PTHP"),VLOOKUP($D148,'Factor Tables'!$I$165:$Q$192,MATCH($BW148,'Factor Tables'!$I$164:$Q$164,0),FALSE),"")))))</f>
        <v/>
      </c>
      <c r="CK148" s="186" t="str">
        <f>IF(OR($C148="Replace-on-Burnout",$C148="New Construction",$CL148="DX HP",$CL148="PTHP"),$CV148,IF($BW148="","",IF($BW148="DX HP",VLOOKUP($D148,'Factor Tables'!$I$165:$Q$192,MATCH("DX HP Htg",'Factor Tables'!$I$164:$Q$164,0),FALSE),IF($BW148="PTHP",VLOOKUP($D148,'Factor Tables'!$I$165:$Q$192,MATCH("PTHP Htg",'Factor Tables'!$I$164:$Q$164,0),FALSE),0))))</f>
        <v/>
      </c>
      <c r="CL148" s="187" t="str">
        <f t="shared" si="92"/>
        <v/>
      </c>
      <c r="CM148" s="251" t="str">
        <f t="shared" si="93"/>
        <v/>
      </c>
      <c r="CN148" s="184">
        <f t="shared" si="107"/>
        <v>0</v>
      </c>
      <c r="CO148" s="693">
        <f t="shared" si="108"/>
        <v>0</v>
      </c>
      <c r="CP148" s="182" t="s">
        <v>46</v>
      </c>
      <c r="CQ148" s="852" t="str">
        <f t="shared" si="109"/>
        <v/>
      </c>
      <c r="CR148" s="833">
        <f t="shared" si="110"/>
        <v>0</v>
      </c>
      <c r="CS148" s="830" t="s">
        <v>567</v>
      </c>
      <c r="CT148" s="185" t="str">
        <f>IF($CL148="","",VLOOKUP($D148,'Factor Tables'!$B$165:$H$192,MATCH($CL148,'Factor Tables'!$B$164:$H$164,0),FALSE))</f>
        <v/>
      </c>
      <c r="CU148" s="842" t="str">
        <f>IF($CL148="","",IF(AND($CL148&lt;&gt;"DX HP",$CL148&lt;&gt;"PTHP"),VLOOKUP($D148,'Factor Tables'!$I$165:$Q$192,MATCH($CL148,'Factor Tables'!$I$164:$Q$164,0),FALSE),IF($CL148="DX HP",VLOOKUP($D148,'Factor Tables'!$I$165:$Q$192,MATCH("DX HP Clg",'Factor Tables'!$I$164:$Q$164,0),FALSE),IF($CL148="PTHP",VLOOKUP($D148,'Factor Tables'!$I$165:$Q$192,MATCH("PTHP Clg",'Factor Tables'!$I$164:$Q$164,0),FALSE),""))))</f>
        <v/>
      </c>
      <c r="CV148" s="186" t="str">
        <f>IF($CL148="","",IF(AND($CL148&lt;&gt;"DX HP",$CL148&lt;&gt;"PTHP"),0,IF($CL148="DX HP",VLOOKUP($D148,'Factor Tables'!$I$165:$Q$192,MATCH("DX HP Htg",'Factor Tables'!$I$164:$Q$164,0),FALSE),IF($CL148="PTHP",VLOOKUP($D148,'Factor Tables'!$I$165:$Q$192,MATCH("PTHP Htg",'Factor Tables'!$I$164:$Q$164,0),FALSE),""))))</f>
        <v/>
      </c>
      <c r="DD148" s="193" t="s">
        <v>363</v>
      </c>
      <c r="DE148" s="426"/>
      <c r="DI148" s="425"/>
      <c r="DJ148" s="425"/>
      <c r="DK148" s="425"/>
      <c r="DL148" s="425"/>
      <c r="DM148" s="493" t="s">
        <v>478</v>
      </c>
    </row>
    <row r="149" spans="2:117" s="427" customFormat="1" ht="21.95" customHeight="1" x14ac:dyDescent="0.25">
      <c r="B149" s="432">
        <v>140</v>
      </c>
      <c r="C149" s="499" t="str">
        <f t="shared" si="94"/>
        <v/>
      </c>
      <c r="D149" s="403" t="str">
        <f t="shared" si="95"/>
        <v/>
      </c>
      <c r="E149" s="541"/>
      <c r="F149" s="785"/>
      <c r="G149" s="728"/>
      <c r="H149" s="728"/>
      <c r="I149" s="728"/>
      <c r="J149" s="728"/>
      <c r="K149" s="728"/>
      <c r="L149" s="728"/>
      <c r="M149" s="764"/>
      <c r="N149" s="728"/>
      <c r="O149" s="764"/>
      <c r="P149" s="728"/>
      <c r="Q149" s="1142"/>
      <c r="R149" s="1133"/>
      <c r="S149" s="778"/>
      <c r="T149" s="767"/>
      <c r="U149" s="778"/>
      <c r="V149" s="751"/>
      <c r="W149" s="556"/>
      <c r="X149" s="785"/>
      <c r="Y149" s="542"/>
      <c r="Z149" s="500"/>
      <c r="AA149" s="500"/>
      <c r="AB149" s="500"/>
      <c r="AC149" s="500"/>
      <c r="AD149" s="529"/>
      <c r="AE149" s="527">
        <f t="shared" si="39"/>
        <v>0</v>
      </c>
      <c r="AF149" s="527">
        <f t="shared" si="96"/>
        <v>0</v>
      </c>
      <c r="AG149" s="527">
        <f t="shared" si="76"/>
        <v>0</v>
      </c>
      <c r="AH149" s="527">
        <f t="shared" si="77"/>
        <v>0</v>
      </c>
      <c r="AI149" s="527">
        <f t="shared" si="78"/>
        <v>0</v>
      </c>
      <c r="AJ149" s="527">
        <f t="shared" si="79"/>
        <v>999999999</v>
      </c>
      <c r="AK149" s="530"/>
      <c r="AL149" s="776"/>
      <c r="AM149" s="777"/>
      <c r="AN149" s="500"/>
      <c r="AO149" s="778"/>
      <c r="AP149" s="778"/>
      <c r="AQ149" s="500"/>
      <c r="AR149" s="531"/>
      <c r="AS149" s="403"/>
      <c r="AT149" s="524" t="str">
        <f t="shared" si="80"/>
        <v/>
      </c>
      <c r="AU149" s="311">
        <f t="shared" si="81"/>
        <v>0</v>
      </c>
      <c r="AV149" s="288">
        <f t="shared" si="97"/>
        <v>0</v>
      </c>
      <c r="AW149" s="290">
        <f>IF(ISERROR($AU149*'Utility Admin'!$E$4+$AV149*'Utility Admin'!$F$4),0,$AU149*'Utility Admin'!$E$4+$AV149*'Utility Admin'!$F$4)</f>
        <v>0</v>
      </c>
      <c r="AX149" s="323" t="str">
        <f t="shared" si="82"/>
        <v/>
      </c>
      <c r="AY149" s="322" t="str">
        <f t="shared" si="23"/>
        <v/>
      </c>
      <c r="AZ149" s="319">
        <f>Baselines!$CJ393</f>
        <v>0</v>
      </c>
      <c r="BA149" s="735">
        <f>Baselines!$CK393</f>
        <v>0</v>
      </c>
      <c r="BB149" s="839">
        <f>Baselines!$CM393</f>
        <v>0</v>
      </c>
      <c r="BC149" s="466">
        <f t="shared" si="83"/>
        <v>0</v>
      </c>
      <c r="BD149" s="464">
        <f t="shared" si="98"/>
        <v>0</v>
      </c>
      <c r="BE149" s="755">
        <f t="shared" si="84"/>
        <v>0</v>
      </c>
      <c r="BF149" s="755">
        <f t="shared" si="99"/>
        <v>0</v>
      </c>
      <c r="BG149" s="466">
        <f t="shared" si="85"/>
        <v>0</v>
      </c>
      <c r="BH149" s="464">
        <f t="shared" si="86"/>
        <v>0</v>
      </c>
      <c r="BI149" s="755">
        <f t="shared" si="87"/>
        <v>0</v>
      </c>
      <c r="BJ149" s="755">
        <f t="shared" si="100"/>
        <v>0</v>
      </c>
      <c r="BK149" s="333">
        <f>IF(OR($C149&lt;&gt;"Early Retirement",$H149=""),0,IF(AND($G149&lt;&gt;"Air Cooled Chiller",$G149&lt;&gt;"Water Cooled Chiller"),VLOOKUP($H149,'Early Retirement'!$CI$6:$CL$33,2,FALSE),IF($J149&lt;&gt;"Centrifugal",VLOOKUP($H149,'Early Retirement'!$CI$6:$CL$33,3,FALSE),IF($J149="Centrifugal",VLOOKUP($H149,'Early Retirement'!$CI$6:$CL$33,4,FALSE),""))))</f>
        <v>0</v>
      </c>
      <c r="BL149" s="450">
        <f t="shared" si="88"/>
        <v>0</v>
      </c>
      <c r="BM149" s="553">
        <f>IFERROR('Utility Admin'!$I$4*((1+'Utility Admin'!$G$4)/('Utility Admin'!$H$4-'Utility Admin'!$G$4))*(1-((1+'Utility Admin'!$G$4)/(1+'Utility Admin'!$H$4))^$BK149)*$BG149,0)</f>
        <v>0</v>
      </c>
      <c r="BN149" s="553">
        <f>IFERROR('Utility Admin'!$I$4*((1+'Utility Admin'!$G$4)/('Utility Admin'!$H$4-'Utility Admin'!$G$4))*(1-((1+'Utility Admin'!$G$4)/(1+'Utility Admin'!$H$4))^$BL149)*((1+'Utility Admin'!$G$4)^$BK149/(1+'Utility Admin'!$H$4)^$BK149)*$BC149,0)</f>
        <v>0</v>
      </c>
      <c r="BO149" s="553">
        <f t="shared" si="27"/>
        <v>0</v>
      </c>
      <c r="BP149" s="553">
        <f>IFERROR('Utility Admin'!$J$4*((1+'Utility Admin'!$G$4)/('Utility Admin'!$H$4-'Utility Admin'!$G$4))*(1-((1+'Utility Admin'!$G$4)/(1+'Utility Admin'!$H$4))^$BK149)*$BJ149,0)</f>
        <v>0</v>
      </c>
      <c r="BQ149" s="553">
        <f>IFERROR('Utility Admin'!$J$4*((1+'Utility Admin'!$G$4)/('Utility Admin'!$H$4-'Utility Admin'!$G$4))*(1-((1+'Utility Admin'!$G$4)/(1+'Utility Admin'!$H$4))^$BL149)*((1+'Utility Admin'!$G$4)^$BK149/(1+'Utility Admin'!$H$4)^$BK149)*$BF149,0)</f>
        <v>0</v>
      </c>
      <c r="BR149" s="553">
        <f t="shared" si="28"/>
        <v>0</v>
      </c>
      <c r="BS149" s="553">
        <f>IFERROR('Utility Admin'!$I$4*((1+'Utility Admin'!$G$4)/('Utility Admin'!$H$4-'Utility Admin'!$G$4))*(1-((1+'Utility Admin'!$G$4)/(1+'Utility Admin'!$H$4))^$AT149),0)</f>
        <v>0</v>
      </c>
      <c r="BT149" s="553">
        <f>IFERROR('Utility Admin'!$J$4*((1+'Utility Admin'!$G$4)/('Utility Admin'!$H$4-'Utility Admin'!$G$4))*(1-((1+'Utility Admin'!$G$4)/(1+'Utility Admin'!$H$4))^$AT149),0)</f>
        <v>0</v>
      </c>
      <c r="BU149" s="459">
        <f t="shared" si="101"/>
        <v>0</v>
      </c>
      <c r="BV149" s="462">
        <f t="shared" si="102"/>
        <v>0</v>
      </c>
      <c r="BW149" s="219" t="str">
        <f t="shared" si="89"/>
        <v/>
      </c>
      <c r="BX149" s="250" t="str">
        <f t="shared" si="103"/>
        <v/>
      </c>
      <c r="BY149" s="250" t="str">
        <f t="shared" si="90"/>
        <v/>
      </c>
      <c r="BZ149" s="184">
        <f t="shared" si="104"/>
        <v>0</v>
      </c>
      <c r="CA149" s="693">
        <f t="shared" si="105"/>
        <v>0</v>
      </c>
      <c r="CB149" s="836">
        <f t="shared" si="106"/>
        <v>0</v>
      </c>
      <c r="CC149" s="693">
        <f>IF(AND($C149="Early Retirement",$H149&lt;&gt;"",$R149&lt;&gt;"",$T149&lt;&gt;""),$BZ149,Baselines!$CJ142)</f>
        <v>0</v>
      </c>
      <c r="CD149" s="693">
        <f>IF(AND($C149="Early Retirement",$H149&lt;&gt;"",$R149&lt;&gt;"",$T149&lt;&gt;""),$CA149,Baselines!$CK142)</f>
        <v>0</v>
      </c>
      <c r="CE149" s="182" t="str">
        <f>Baselines!$CL142</f>
        <v>kW/ton</v>
      </c>
      <c r="CF149" s="850" t="str">
        <f t="shared" si="91"/>
        <v/>
      </c>
      <c r="CG149" s="833">
        <f>IF(AND($C149="Early Retirement",$H149&lt;&gt;"",$R149&lt;&gt;"",$T149&lt;&gt;""),$CB149,IF(AND(Baselines!$CM142=0,OR($CL149="DX HP",$CL149="PTHP")),$BB149,Baselines!$CM142))</f>
        <v>0</v>
      </c>
      <c r="CH149" s="830" t="s">
        <v>567</v>
      </c>
      <c r="CI149" s="185" t="str">
        <f>IF(OR($C149="Replace-on-Burnout",$C149="New Construction"),$CT149,IF($BW149="","",VLOOKUP($D149,'Factor Tables'!$B$165:$H$192,MATCH($BW149,'Factor Tables'!$B$164:$H$164,0),FALSE)))</f>
        <v/>
      </c>
      <c r="CJ149" s="842" t="str">
        <f>IF(OR($C149="Replace-on-Burnout",$C149="New Construction"),$CU149,IF($BW149="","",IF($BW149="DX HP",VLOOKUP($D149,'Factor Tables'!$I$165:$Q$192,MATCH("DX HP Clg",'Factor Tables'!$I$164:$Q$164,0),FALSE),IF($BW149="PTHP",VLOOKUP($D149,'Factor Tables'!$I$165:$Q$192,MATCH("PTHP Clg",'Factor Tables'!$I$164:$Q$164,0),FALSE),IF(AND($BW149&lt;&gt;"DX HP",$BW149&lt;&gt;"PTHP"),VLOOKUP($D149,'Factor Tables'!$I$165:$Q$192,MATCH($BW149,'Factor Tables'!$I$164:$Q$164,0),FALSE),"")))))</f>
        <v/>
      </c>
      <c r="CK149" s="186" t="str">
        <f>IF(OR($C149="Replace-on-Burnout",$C149="New Construction",$CL149="DX HP",$CL149="PTHP"),$CV149,IF($BW149="","",IF($BW149="DX HP",VLOOKUP($D149,'Factor Tables'!$I$165:$Q$192,MATCH("DX HP Htg",'Factor Tables'!$I$164:$Q$164,0),FALSE),IF($BW149="PTHP",VLOOKUP($D149,'Factor Tables'!$I$165:$Q$192,MATCH("PTHP Htg",'Factor Tables'!$I$164:$Q$164,0),FALSE),0))))</f>
        <v/>
      </c>
      <c r="CL149" s="187" t="str">
        <f t="shared" si="92"/>
        <v/>
      </c>
      <c r="CM149" s="251" t="str">
        <f t="shared" si="93"/>
        <v/>
      </c>
      <c r="CN149" s="184">
        <f t="shared" si="107"/>
        <v>0</v>
      </c>
      <c r="CO149" s="693">
        <f t="shared" si="108"/>
        <v>0</v>
      </c>
      <c r="CP149" s="182" t="s">
        <v>46</v>
      </c>
      <c r="CQ149" s="852" t="str">
        <f t="shared" si="109"/>
        <v/>
      </c>
      <c r="CR149" s="833">
        <f t="shared" si="110"/>
        <v>0</v>
      </c>
      <c r="CS149" s="830" t="s">
        <v>567</v>
      </c>
      <c r="CT149" s="185" t="str">
        <f>IF($CL149="","",VLOOKUP($D149,'Factor Tables'!$B$165:$H$192,MATCH($CL149,'Factor Tables'!$B$164:$H$164,0),FALSE))</f>
        <v/>
      </c>
      <c r="CU149" s="842" t="str">
        <f>IF($CL149="","",IF(AND($CL149&lt;&gt;"DX HP",$CL149&lt;&gt;"PTHP"),VLOOKUP($D149,'Factor Tables'!$I$165:$Q$192,MATCH($CL149,'Factor Tables'!$I$164:$Q$164,0),FALSE),IF($CL149="DX HP",VLOOKUP($D149,'Factor Tables'!$I$165:$Q$192,MATCH("DX HP Clg",'Factor Tables'!$I$164:$Q$164,0),FALSE),IF($CL149="PTHP",VLOOKUP($D149,'Factor Tables'!$I$165:$Q$192,MATCH("PTHP Clg",'Factor Tables'!$I$164:$Q$164,0),FALSE),""))))</f>
        <v/>
      </c>
      <c r="CV149" s="186" t="str">
        <f>IF($CL149="","",IF(AND($CL149&lt;&gt;"DX HP",$CL149&lt;&gt;"PTHP"),0,IF($CL149="DX HP",VLOOKUP($D149,'Factor Tables'!$I$165:$Q$192,MATCH("DX HP Htg",'Factor Tables'!$I$164:$Q$164,0),FALSE),IF($CL149="PTHP",VLOOKUP($D149,'Factor Tables'!$I$165:$Q$192,MATCH("PTHP Htg",'Factor Tables'!$I$164:$Q$164,0),FALSE),""))))</f>
        <v/>
      </c>
      <c r="DD149" s="77" t="s">
        <v>44</v>
      </c>
      <c r="DE149" s="426"/>
      <c r="DI149" s="425"/>
      <c r="DJ149" s="425"/>
      <c r="DK149" s="425"/>
      <c r="DL149" s="425"/>
      <c r="DM149" s="493" t="s">
        <v>478</v>
      </c>
    </row>
    <row r="150" spans="2:117" s="427" customFormat="1" ht="21.95" customHeight="1" x14ac:dyDescent="0.25">
      <c r="B150" s="431">
        <v>141</v>
      </c>
      <c r="C150" s="501" t="str">
        <f t="shared" si="94"/>
        <v/>
      </c>
      <c r="D150" s="502" t="str">
        <f t="shared" si="95"/>
        <v/>
      </c>
      <c r="E150" s="546"/>
      <c r="F150" s="547"/>
      <c r="G150" s="729"/>
      <c r="H150" s="729"/>
      <c r="I150" s="729"/>
      <c r="J150" s="729"/>
      <c r="K150" s="729"/>
      <c r="L150" s="729"/>
      <c r="M150" s="765"/>
      <c r="N150" s="758"/>
      <c r="O150" s="765"/>
      <c r="P150" s="758"/>
      <c r="Q150" s="1143"/>
      <c r="R150" s="1134"/>
      <c r="S150" s="775"/>
      <c r="T150" s="729"/>
      <c r="U150" s="775"/>
      <c r="V150" s="779"/>
      <c r="W150" s="557"/>
      <c r="X150" s="788"/>
      <c r="Y150" s="543"/>
      <c r="Z150" s="281"/>
      <c r="AA150" s="281"/>
      <c r="AB150" s="281"/>
      <c r="AC150" s="281"/>
      <c r="AD150" s="492"/>
      <c r="AE150" s="527">
        <f t="shared" si="39"/>
        <v>0</v>
      </c>
      <c r="AF150" s="527">
        <f t="shared" si="96"/>
        <v>0</v>
      </c>
      <c r="AG150" s="527">
        <f t="shared" si="76"/>
        <v>0</v>
      </c>
      <c r="AH150" s="527">
        <f t="shared" si="77"/>
        <v>0</v>
      </c>
      <c r="AI150" s="527">
        <f t="shared" si="78"/>
        <v>0</v>
      </c>
      <c r="AJ150" s="527">
        <f t="shared" si="79"/>
        <v>999999999</v>
      </c>
      <c r="AK150" s="471"/>
      <c r="AL150" s="765"/>
      <c r="AM150" s="758"/>
      <c r="AN150" s="281"/>
      <c r="AO150" s="775"/>
      <c r="AP150" s="775"/>
      <c r="AQ150" s="281"/>
      <c r="AR150" s="528"/>
      <c r="AS150" s="532"/>
      <c r="AT150" s="524" t="str">
        <f t="shared" si="80"/>
        <v/>
      </c>
      <c r="AU150" s="311">
        <f t="shared" si="81"/>
        <v>0</v>
      </c>
      <c r="AV150" s="288">
        <f t="shared" si="97"/>
        <v>0</v>
      </c>
      <c r="AW150" s="290">
        <f>IF(ISERROR($AU150*'Utility Admin'!$E$4+$AV150*'Utility Admin'!$F$4),0,$AU150*'Utility Admin'!$E$4+$AV150*'Utility Admin'!$F$4)</f>
        <v>0</v>
      </c>
      <c r="AX150" s="323" t="str">
        <f t="shared" si="82"/>
        <v/>
      </c>
      <c r="AY150" s="322" t="str">
        <f t="shared" si="23"/>
        <v/>
      </c>
      <c r="AZ150" s="319">
        <f>Baselines!$CJ394</f>
        <v>0</v>
      </c>
      <c r="BA150" s="735">
        <f>Baselines!$CK394</f>
        <v>0</v>
      </c>
      <c r="BB150" s="839">
        <f>Baselines!$CM394</f>
        <v>0</v>
      </c>
      <c r="BC150" s="466">
        <f t="shared" si="83"/>
        <v>0</v>
      </c>
      <c r="BD150" s="464">
        <f t="shared" si="98"/>
        <v>0</v>
      </c>
      <c r="BE150" s="755">
        <f t="shared" si="84"/>
        <v>0</v>
      </c>
      <c r="BF150" s="755">
        <f t="shared" si="99"/>
        <v>0</v>
      </c>
      <c r="BG150" s="466">
        <f t="shared" si="85"/>
        <v>0</v>
      </c>
      <c r="BH150" s="464">
        <f t="shared" si="86"/>
        <v>0</v>
      </c>
      <c r="BI150" s="755">
        <f t="shared" si="87"/>
        <v>0</v>
      </c>
      <c r="BJ150" s="755">
        <f t="shared" si="100"/>
        <v>0</v>
      </c>
      <c r="BK150" s="333">
        <f>IF(OR($C150&lt;&gt;"Early Retirement",$H150=""),0,IF(AND($G150&lt;&gt;"Air Cooled Chiller",$G150&lt;&gt;"Water Cooled Chiller"),VLOOKUP($H150,'Early Retirement'!$CI$6:$CL$33,2,FALSE),IF($J150&lt;&gt;"Centrifugal",VLOOKUP($H150,'Early Retirement'!$CI$6:$CL$33,3,FALSE),IF($J150="Centrifugal",VLOOKUP($H150,'Early Retirement'!$CI$6:$CL$33,4,FALSE),""))))</f>
        <v>0</v>
      </c>
      <c r="BL150" s="450">
        <f t="shared" si="88"/>
        <v>0</v>
      </c>
      <c r="BM150" s="553">
        <f>IFERROR('Utility Admin'!$I$4*((1+'Utility Admin'!$G$4)/('Utility Admin'!$H$4-'Utility Admin'!$G$4))*(1-((1+'Utility Admin'!$G$4)/(1+'Utility Admin'!$H$4))^$BK150)*$BG150,0)</f>
        <v>0</v>
      </c>
      <c r="BN150" s="553">
        <f>IFERROR('Utility Admin'!$I$4*((1+'Utility Admin'!$G$4)/('Utility Admin'!$H$4-'Utility Admin'!$G$4))*(1-((1+'Utility Admin'!$G$4)/(1+'Utility Admin'!$H$4))^$BL150)*((1+'Utility Admin'!$G$4)^$BK150/(1+'Utility Admin'!$H$4)^$BK150)*$BC150,0)</f>
        <v>0</v>
      </c>
      <c r="BO150" s="553">
        <f t="shared" si="27"/>
        <v>0</v>
      </c>
      <c r="BP150" s="553">
        <f>IFERROR('Utility Admin'!$J$4*((1+'Utility Admin'!$G$4)/('Utility Admin'!$H$4-'Utility Admin'!$G$4))*(1-((1+'Utility Admin'!$G$4)/(1+'Utility Admin'!$H$4))^$BK150)*$BJ150,0)</f>
        <v>0</v>
      </c>
      <c r="BQ150" s="553">
        <f>IFERROR('Utility Admin'!$J$4*((1+'Utility Admin'!$G$4)/('Utility Admin'!$H$4-'Utility Admin'!$G$4))*(1-((1+'Utility Admin'!$G$4)/(1+'Utility Admin'!$H$4))^$BL150)*((1+'Utility Admin'!$G$4)^$BK150/(1+'Utility Admin'!$H$4)^$BK150)*$BF150,0)</f>
        <v>0</v>
      </c>
      <c r="BR150" s="553">
        <f t="shared" si="28"/>
        <v>0</v>
      </c>
      <c r="BS150" s="553">
        <f>IFERROR('Utility Admin'!$I$4*((1+'Utility Admin'!$G$4)/('Utility Admin'!$H$4-'Utility Admin'!$G$4))*(1-((1+'Utility Admin'!$G$4)/(1+'Utility Admin'!$H$4))^$AT150),0)</f>
        <v>0</v>
      </c>
      <c r="BT150" s="553">
        <f>IFERROR('Utility Admin'!$J$4*((1+'Utility Admin'!$G$4)/('Utility Admin'!$H$4-'Utility Admin'!$G$4))*(1-((1+'Utility Admin'!$G$4)/(1+'Utility Admin'!$H$4))^$AT150),0)</f>
        <v>0</v>
      </c>
      <c r="BU150" s="459">
        <f t="shared" si="101"/>
        <v>0</v>
      </c>
      <c r="BV150" s="462">
        <f t="shared" si="102"/>
        <v>0</v>
      </c>
      <c r="BW150" s="219" t="str">
        <f t="shared" si="89"/>
        <v/>
      </c>
      <c r="BX150" s="250" t="str">
        <f t="shared" si="103"/>
        <v/>
      </c>
      <c r="BY150" s="250" t="str">
        <f t="shared" si="90"/>
        <v/>
      </c>
      <c r="BZ150" s="184">
        <f t="shared" si="104"/>
        <v>0</v>
      </c>
      <c r="CA150" s="693">
        <f t="shared" si="105"/>
        <v>0</v>
      </c>
      <c r="CB150" s="836">
        <f t="shared" si="106"/>
        <v>0</v>
      </c>
      <c r="CC150" s="693">
        <f>IF(AND($C150="Early Retirement",$H150&lt;&gt;"",$R150&lt;&gt;"",$T150&lt;&gt;""),$BZ150,Baselines!$CJ143)</f>
        <v>0</v>
      </c>
      <c r="CD150" s="693">
        <f>IF(AND($C150="Early Retirement",$H150&lt;&gt;"",$R150&lt;&gt;"",$T150&lt;&gt;""),$CA150,Baselines!$CK143)</f>
        <v>0</v>
      </c>
      <c r="CE150" s="182" t="str">
        <f>Baselines!$CL143</f>
        <v>kW/ton</v>
      </c>
      <c r="CF150" s="850" t="str">
        <f t="shared" si="91"/>
        <v/>
      </c>
      <c r="CG150" s="833">
        <f>IF(AND($C150="Early Retirement",$H150&lt;&gt;"",$R150&lt;&gt;"",$T150&lt;&gt;""),$CB150,IF(AND(Baselines!$CM143=0,OR($CL150="DX HP",$CL150="PTHP")),$BB150,Baselines!$CM143))</f>
        <v>0</v>
      </c>
      <c r="CH150" s="830" t="s">
        <v>567</v>
      </c>
      <c r="CI150" s="185" t="str">
        <f>IF(OR($C150="Replace-on-Burnout",$C150="New Construction"),$CT150,IF($BW150="","",VLOOKUP($D150,'Factor Tables'!$B$165:$H$192,MATCH($BW150,'Factor Tables'!$B$164:$H$164,0),FALSE)))</f>
        <v/>
      </c>
      <c r="CJ150" s="842" t="str">
        <f>IF(OR($C150="Replace-on-Burnout",$C150="New Construction"),$CU150,IF($BW150="","",IF($BW150="DX HP",VLOOKUP($D150,'Factor Tables'!$I$165:$Q$192,MATCH("DX HP Clg",'Factor Tables'!$I$164:$Q$164,0),FALSE),IF($BW150="PTHP",VLOOKUP($D150,'Factor Tables'!$I$165:$Q$192,MATCH("PTHP Clg",'Factor Tables'!$I$164:$Q$164,0),FALSE),IF(AND($BW150&lt;&gt;"DX HP",$BW150&lt;&gt;"PTHP"),VLOOKUP($D150,'Factor Tables'!$I$165:$Q$192,MATCH($BW150,'Factor Tables'!$I$164:$Q$164,0),FALSE),"")))))</f>
        <v/>
      </c>
      <c r="CK150" s="186" t="str">
        <f>IF(OR($C150="Replace-on-Burnout",$C150="New Construction",$CL150="DX HP",$CL150="PTHP"),$CV150,IF($BW150="","",IF($BW150="DX HP",VLOOKUP($D150,'Factor Tables'!$I$165:$Q$192,MATCH("DX HP Htg",'Factor Tables'!$I$164:$Q$164,0),FALSE),IF($BW150="PTHP",VLOOKUP($D150,'Factor Tables'!$I$165:$Q$192,MATCH("PTHP Htg",'Factor Tables'!$I$164:$Q$164,0),FALSE),0))))</f>
        <v/>
      </c>
      <c r="CL150" s="187" t="str">
        <f t="shared" si="92"/>
        <v/>
      </c>
      <c r="CM150" s="251" t="str">
        <f t="shared" si="93"/>
        <v/>
      </c>
      <c r="CN150" s="184">
        <f t="shared" si="107"/>
        <v>0</v>
      </c>
      <c r="CO150" s="693">
        <f t="shared" si="108"/>
        <v>0</v>
      </c>
      <c r="CP150" s="182" t="s">
        <v>46</v>
      </c>
      <c r="CQ150" s="852" t="str">
        <f t="shared" si="109"/>
        <v/>
      </c>
      <c r="CR150" s="833">
        <f t="shared" si="110"/>
        <v>0</v>
      </c>
      <c r="CS150" s="830" t="s">
        <v>567</v>
      </c>
      <c r="CT150" s="185" t="str">
        <f>IF($CL150="","",VLOOKUP($D150,'Factor Tables'!$B$165:$H$192,MATCH($CL150,'Factor Tables'!$B$164:$H$164,0),FALSE))</f>
        <v/>
      </c>
      <c r="CU150" s="842" t="str">
        <f>IF($CL150="","",IF(AND($CL150&lt;&gt;"DX HP",$CL150&lt;&gt;"PTHP"),VLOOKUP($D150,'Factor Tables'!$I$165:$Q$192,MATCH($CL150,'Factor Tables'!$I$164:$Q$164,0),FALSE),IF($CL150="DX HP",VLOOKUP($D150,'Factor Tables'!$I$165:$Q$192,MATCH("DX HP Clg",'Factor Tables'!$I$164:$Q$164,0),FALSE),IF($CL150="PTHP",VLOOKUP($D150,'Factor Tables'!$I$165:$Q$192,MATCH("PTHP Clg",'Factor Tables'!$I$164:$Q$164,0),FALSE),""))))</f>
        <v/>
      </c>
      <c r="CV150" s="186" t="str">
        <f>IF($CL150="","",IF(AND($CL150&lt;&gt;"DX HP",$CL150&lt;&gt;"PTHP"),0,IF($CL150="DX HP",VLOOKUP($D150,'Factor Tables'!$I$165:$Q$192,MATCH("DX HP Htg",'Factor Tables'!$I$164:$Q$164,0),FALSE),IF($CL150="PTHP",VLOOKUP($D150,'Factor Tables'!$I$165:$Q$192,MATCH("PTHP Htg",'Factor Tables'!$I$164:$Q$164,0),FALSE),""))))</f>
        <v/>
      </c>
      <c r="DD150" s="77" t="s">
        <v>43</v>
      </c>
      <c r="DE150" s="426"/>
      <c r="DI150" s="425"/>
      <c r="DJ150" s="425"/>
      <c r="DK150" s="425"/>
      <c r="DL150" s="425"/>
      <c r="DM150" s="493" t="s">
        <v>478</v>
      </c>
    </row>
    <row r="151" spans="2:117" s="427" customFormat="1" ht="21.95" customHeight="1" x14ac:dyDescent="0.25">
      <c r="B151" s="432">
        <v>142</v>
      </c>
      <c r="C151" s="499" t="str">
        <f t="shared" si="94"/>
        <v/>
      </c>
      <c r="D151" s="403" t="str">
        <f t="shared" si="95"/>
        <v/>
      </c>
      <c r="E151" s="541"/>
      <c r="F151" s="785"/>
      <c r="G151" s="728"/>
      <c r="H151" s="728"/>
      <c r="I151" s="728"/>
      <c r="J151" s="728"/>
      <c r="K151" s="728"/>
      <c r="L151" s="728"/>
      <c r="M151" s="764"/>
      <c r="N151" s="728"/>
      <c r="O151" s="764"/>
      <c r="P151" s="728"/>
      <c r="Q151" s="1142"/>
      <c r="R151" s="1133"/>
      <c r="S151" s="778"/>
      <c r="T151" s="767"/>
      <c r="U151" s="778"/>
      <c r="V151" s="751"/>
      <c r="W151" s="556"/>
      <c r="X151" s="785"/>
      <c r="Y151" s="542"/>
      <c r="Z151" s="500"/>
      <c r="AA151" s="500"/>
      <c r="AB151" s="500"/>
      <c r="AC151" s="500"/>
      <c r="AD151" s="529"/>
      <c r="AE151" s="527">
        <f t="shared" si="39"/>
        <v>0</v>
      </c>
      <c r="AF151" s="527">
        <f t="shared" si="96"/>
        <v>0</v>
      </c>
      <c r="AG151" s="527">
        <f t="shared" si="76"/>
        <v>0</v>
      </c>
      <c r="AH151" s="527">
        <f t="shared" si="77"/>
        <v>0</v>
      </c>
      <c r="AI151" s="527">
        <f t="shared" si="78"/>
        <v>0</v>
      </c>
      <c r="AJ151" s="527">
        <f t="shared" si="79"/>
        <v>999999999</v>
      </c>
      <c r="AK151" s="530"/>
      <c r="AL151" s="776"/>
      <c r="AM151" s="777"/>
      <c r="AN151" s="500"/>
      <c r="AO151" s="778"/>
      <c r="AP151" s="778"/>
      <c r="AQ151" s="500"/>
      <c r="AR151" s="531"/>
      <c r="AS151" s="403"/>
      <c r="AT151" s="524" t="str">
        <f t="shared" si="80"/>
        <v/>
      </c>
      <c r="AU151" s="311">
        <f t="shared" si="81"/>
        <v>0</v>
      </c>
      <c r="AV151" s="288">
        <f t="shared" si="97"/>
        <v>0</v>
      </c>
      <c r="AW151" s="290">
        <f>IF(ISERROR($AU151*'Utility Admin'!$E$4+$AV151*'Utility Admin'!$F$4),0,$AU151*'Utility Admin'!$E$4+$AV151*'Utility Admin'!$F$4)</f>
        <v>0</v>
      </c>
      <c r="AX151" s="323" t="str">
        <f t="shared" si="82"/>
        <v/>
      </c>
      <c r="AY151" s="322" t="str">
        <f t="shared" si="23"/>
        <v/>
      </c>
      <c r="AZ151" s="319">
        <f>Baselines!$CJ395</f>
        <v>0</v>
      </c>
      <c r="BA151" s="735">
        <f>Baselines!$CK395</f>
        <v>0</v>
      </c>
      <c r="BB151" s="839">
        <f>Baselines!$CM395</f>
        <v>0</v>
      </c>
      <c r="BC151" s="466">
        <f t="shared" si="83"/>
        <v>0</v>
      </c>
      <c r="BD151" s="464">
        <f t="shared" si="98"/>
        <v>0</v>
      </c>
      <c r="BE151" s="755">
        <f t="shared" si="84"/>
        <v>0</v>
      </c>
      <c r="BF151" s="755">
        <f t="shared" si="99"/>
        <v>0</v>
      </c>
      <c r="BG151" s="466">
        <f t="shared" si="85"/>
        <v>0</v>
      </c>
      <c r="BH151" s="464">
        <f t="shared" si="86"/>
        <v>0</v>
      </c>
      <c r="BI151" s="755">
        <f t="shared" si="87"/>
        <v>0</v>
      </c>
      <c r="BJ151" s="755">
        <f t="shared" si="100"/>
        <v>0</v>
      </c>
      <c r="BK151" s="333">
        <f>IF(OR($C151&lt;&gt;"Early Retirement",$H151=""),0,IF(AND($G151&lt;&gt;"Air Cooled Chiller",$G151&lt;&gt;"Water Cooled Chiller"),VLOOKUP($H151,'Early Retirement'!$CI$6:$CL$33,2,FALSE),IF($J151&lt;&gt;"Centrifugal",VLOOKUP($H151,'Early Retirement'!$CI$6:$CL$33,3,FALSE),IF($J151="Centrifugal",VLOOKUP($H151,'Early Retirement'!$CI$6:$CL$33,4,FALSE),""))))</f>
        <v>0</v>
      </c>
      <c r="BL151" s="450">
        <f t="shared" si="88"/>
        <v>0</v>
      </c>
      <c r="BM151" s="553">
        <f>IFERROR('Utility Admin'!$I$4*((1+'Utility Admin'!$G$4)/('Utility Admin'!$H$4-'Utility Admin'!$G$4))*(1-((1+'Utility Admin'!$G$4)/(1+'Utility Admin'!$H$4))^$BK151)*$BG151,0)</f>
        <v>0</v>
      </c>
      <c r="BN151" s="553">
        <f>IFERROR('Utility Admin'!$I$4*((1+'Utility Admin'!$G$4)/('Utility Admin'!$H$4-'Utility Admin'!$G$4))*(1-((1+'Utility Admin'!$G$4)/(1+'Utility Admin'!$H$4))^$BL151)*((1+'Utility Admin'!$G$4)^$BK151/(1+'Utility Admin'!$H$4)^$BK151)*$BC151,0)</f>
        <v>0</v>
      </c>
      <c r="BO151" s="553">
        <f t="shared" si="27"/>
        <v>0</v>
      </c>
      <c r="BP151" s="553">
        <f>IFERROR('Utility Admin'!$J$4*((1+'Utility Admin'!$G$4)/('Utility Admin'!$H$4-'Utility Admin'!$G$4))*(1-((1+'Utility Admin'!$G$4)/(1+'Utility Admin'!$H$4))^$BK151)*$BJ151,0)</f>
        <v>0</v>
      </c>
      <c r="BQ151" s="553">
        <f>IFERROR('Utility Admin'!$J$4*((1+'Utility Admin'!$G$4)/('Utility Admin'!$H$4-'Utility Admin'!$G$4))*(1-((1+'Utility Admin'!$G$4)/(1+'Utility Admin'!$H$4))^$BL151)*((1+'Utility Admin'!$G$4)^$BK151/(1+'Utility Admin'!$H$4)^$BK151)*$BF151,0)</f>
        <v>0</v>
      </c>
      <c r="BR151" s="553">
        <f t="shared" si="28"/>
        <v>0</v>
      </c>
      <c r="BS151" s="553">
        <f>IFERROR('Utility Admin'!$I$4*((1+'Utility Admin'!$G$4)/('Utility Admin'!$H$4-'Utility Admin'!$G$4))*(1-((1+'Utility Admin'!$G$4)/(1+'Utility Admin'!$H$4))^$AT151),0)</f>
        <v>0</v>
      </c>
      <c r="BT151" s="553">
        <f>IFERROR('Utility Admin'!$J$4*((1+'Utility Admin'!$G$4)/('Utility Admin'!$H$4-'Utility Admin'!$G$4))*(1-((1+'Utility Admin'!$G$4)/(1+'Utility Admin'!$H$4))^$AT151),0)</f>
        <v>0</v>
      </c>
      <c r="BU151" s="459">
        <f t="shared" si="101"/>
        <v>0</v>
      </c>
      <c r="BV151" s="462">
        <f t="shared" si="102"/>
        <v>0</v>
      </c>
      <c r="BW151" s="219" t="str">
        <f t="shared" si="89"/>
        <v/>
      </c>
      <c r="BX151" s="250" t="str">
        <f t="shared" si="103"/>
        <v/>
      </c>
      <c r="BY151" s="250" t="str">
        <f t="shared" si="90"/>
        <v/>
      </c>
      <c r="BZ151" s="184">
        <f t="shared" si="104"/>
        <v>0</v>
      </c>
      <c r="CA151" s="693">
        <f t="shared" si="105"/>
        <v>0</v>
      </c>
      <c r="CB151" s="836">
        <f t="shared" si="106"/>
        <v>0</v>
      </c>
      <c r="CC151" s="693">
        <f>IF(AND($C151="Early Retirement",$H151&lt;&gt;"",$R151&lt;&gt;"",$T151&lt;&gt;""),$BZ151,Baselines!$CJ144)</f>
        <v>0</v>
      </c>
      <c r="CD151" s="693">
        <f>IF(AND($C151="Early Retirement",$H151&lt;&gt;"",$R151&lt;&gt;"",$T151&lt;&gt;""),$CA151,Baselines!$CK144)</f>
        <v>0</v>
      </c>
      <c r="CE151" s="182" t="str">
        <f>Baselines!$CL144</f>
        <v>kW/ton</v>
      </c>
      <c r="CF151" s="850" t="str">
        <f t="shared" si="91"/>
        <v/>
      </c>
      <c r="CG151" s="833">
        <f>IF(AND($C151="Early Retirement",$H151&lt;&gt;"",$R151&lt;&gt;"",$T151&lt;&gt;""),$CB151,IF(AND(Baselines!$CM144=0,OR($CL151="DX HP",$CL151="PTHP")),$BB151,Baselines!$CM144))</f>
        <v>0</v>
      </c>
      <c r="CH151" s="830" t="s">
        <v>567</v>
      </c>
      <c r="CI151" s="185" t="str">
        <f>IF(OR($C151="Replace-on-Burnout",$C151="New Construction"),$CT151,IF($BW151="","",VLOOKUP($D151,'Factor Tables'!$B$165:$H$192,MATCH($BW151,'Factor Tables'!$B$164:$H$164,0),FALSE)))</f>
        <v/>
      </c>
      <c r="CJ151" s="842" t="str">
        <f>IF(OR($C151="Replace-on-Burnout",$C151="New Construction"),$CU151,IF($BW151="","",IF($BW151="DX HP",VLOOKUP($D151,'Factor Tables'!$I$165:$Q$192,MATCH("DX HP Clg",'Factor Tables'!$I$164:$Q$164,0),FALSE),IF($BW151="PTHP",VLOOKUP($D151,'Factor Tables'!$I$165:$Q$192,MATCH("PTHP Clg",'Factor Tables'!$I$164:$Q$164,0),FALSE),IF(AND($BW151&lt;&gt;"DX HP",$BW151&lt;&gt;"PTHP"),VLOOKUP($D151,'Factor Tables'!$I$165:$Q$192,MATCH($BW151,'Factor Tables'!$I$164:$Q$164,0),FALSE),"")))))</f>
        <v/>
      </c>
      <c r="CK151" s="186" t="str">
        <f>IF(OR($C151="Replace-on-Burnout",$C151="New Construction",$CL151="DX HP",$CL151="PTHP"),$CV151,IF($BW151="","",IF($BW151="DX HP",VLOOKUP($D151,'Factor Tables'!$I$165:$Q$192,MATCH("DX HP Htg",'Factor Tables'!$I$164:$Q$164,0),FALSE),IF($BW151="PTHP",VLOOKUP($D151,'Factor Tables'!$I$165:$Q$192,MATCH("PTHP Htg",'Factor Tables'!$I$164:$Q$164,0),FALSE),0))))</f>
        <v/>
      </c>
      <c r="CL151" s="187" t="str">
        <f t="shared" si="92"/>
        <v/>
      </c>
      <c r="CM151" s="251" t="str">
        <f t="shared" si="93"/>
        <v/>
      </c>
      <c r="CN151" s="184">
        <f t="shared" si="107"/>
        <v>0</v>
      </c>
      <c r="CO151" s="693">
        <f t="shared" si="108"/>
        <v>0</v>
      </c>
      <c r="CP151" s="182" t="s">
        <v>46</v>
      </c>
      <c r="CQ151" s="852" t="str">
        <f t="shared" si="109"/>
        <v/>
      </c>
      <c r="CR151" s="833">
        <f t="shared" si="110"/>
        <v>0</v>
      </c>
      <c r="CS151" s="830" t="s">
        <v>567</v>
      </c>
      <c r="CT151" s="185" t="str">
        <f>IF($CL151="","",VLOOKUP($D151,'Factor Tables'!$B$165:$H$192,MATCH($CL151,'Factor Tables'!$B$164:$H$164,0),FALSE))</f>
        <v/>
      </c>
      <c r="CU151" s="842" t="str">
        <f>IF($CL151="","",IF(AND($CL151&lt;&gt;"DX HP",$CL151&lt;&gt;"PTHP"),VLOOKUP($D151,'Factor Tables'!$I$165:$Q$192,MATCH($CL151,'Factor Tables'!$I$164:$Q$164,0),FALSE),IF($CL151="DX HP",VLOOKUP($D151,'Factor Tables'!$I$165:$Q$192,MATCH("DX HP Clg",'Factor Tables'!$I$164:$Q$164,0),FALSE),IF($CL151="PTHP",VLOOKUP($D151,'Factor Tables'!$I$165:$Q$192,MATCH("PTHP Clg",'Factor Tables'!$I$164:$Q$164,0),FALSE),""))))</f>
        <v/>
      </c>
      <c r="CV151" s="186" t="str">
        <f>IF($CL151="","",IF(AND($CL151&lt;&gt;"DX HP",$CL151&lt;&gt;"PTHP"),0,IF($CL151="DX HP",VLOOKUP($D151,'Factor Tables'!$I$165:$Q$192,MATCH("DX HP Htg",'Factor Tables'!$I$164:$Q$164,0),FALSE),IF($CL151="PTHP",VLOOKUP($D151,'Factor Tables'!$I$165:$Q$192,MATCH("PTHP Htg",'Factor Tables'!$I$164:$Q$164,0),FALSE),""))))</f>
        <v/>
      </c>
      <c r="DD151" s="194" t="s">
        <v>53</v>
      </c>
      <c r="DE151" s="426"/>
      <c r="DI151" s="425"/>
      <c r="DJ151" s="425"/>
      <c r="DK151" s="425"/>
      <c r="DL151" s="425"/>
      <c r="DM151" s="493" t="s">
        <v>478</v>
      </c>
    </row>
    <row r="152" spans="2:117" s="427" customFormat="1" ht="21.95" customHeight="1" x14ac:dyDescent="0.25">
      <c r="B152" s="431">
        <v>143</v>
      </c>
      <c r="C152" s="501" t="str">
        <f t="shared" si="94"/>
        <v/>
      </c>
      <c r="D152" s="502" t="str">
        <f t="shared" si="95"/>
        <v/>
      </c>
      <c r="E152" s="546"/>
      <c r="F152" s="547"/>
      <c r="G152" s="729"/>
      <c r="H152" s="729"/>
      <c r="I152" s="729"/>
      <c r="J152" s="729"/>
      <c r="K152" s="729"/>
      <c r="L152" s="729"/>
      <c r="M152" s="765"/>
      <c r="N152" s="758"/>
      <c r="O152" s="765"/>
      <c r="P152" s="758"/>
      <c r="Q152" s="1143"/>
      <c r="R152" s="1134"/>
      <c r="S152" s="775"/>
      <c r="T152" s="729"/>
      <c r="U152" s="775"/>
      <c r="V152" s="779"/>
      <c r="W152" s="557"/>
      <c r="X152" s="788"/>
      <c r="Y152" s="543"/>
      <c r="Z152" s="281"/>
      <c r="AA152" s="281"/>
      <c r="AB152" s="281"/>
      <c r="AC152" s="281"/>
      <c r="AD152" s="492"/>
      <c r="AE152" s="527">
        <f t="shared" si="39"/>
        <v>0</v>
      </c>
      <c r="AF152" s="527">
        <f t="shared" si="96"/>
        <v>0</v>
      </c>
      <c r="AG152" s="527">
        <f t="shared" si="76"/>
        <v>0</v>
      </c>
      <c r="AH152" s="527">
        <f t="shared" si="77"/>
        <v>0</v>
      </c>
      <c r="AI152" s="527">
        <f t="shared" si="78"/>
        <v>0</v>
      </c>
      <c r="AJ152" s="527">
        <f t="shared" si="79"/>
        <v>999999999</v>
      </c>
      <c r="AK152" s="471"/>
      <c r="AL152" s="765"/>
      <c r="AM152" s="758"/>
      <c r="AN152" s="281"/>
      <c r="AO152" s="775"/>
      <c r="AP152" s="775"/>
      <c r="AQ152" s="281"/>
      <c r="AR152" s="528"/>
      <c r="AS152" s="532"/>
      <c r="AT152" s="524" t="str">
        <f t="shared" si="80"/>
        <v/>
      </c>
      <c r="AU152" s="311">
        <f t="shared" si="81"/>
        <v>0</v>
      </c>
      <c r="AV152" s="288">
        <f t="shared" si="97"/>
        <v>0</v>
      </c>
      <c r="AW152" s="290">
        <f>IF(ISERROR($AU152*'Utility Admin'!$E$4+$AV152*'Utility Admin'!$F$4),0,$AU152*'Utility Admin'!$E$4+$AV152*'Utility Admin'!$F$4)</f>
        <v>0</v>
      </c>
      <c r="AX152" s="323" t="str">
        <f t="shared" si="82"/>
        <v/>
      </c>
      <c r="AY152" s="322" t="str">
        <f t="shared" si="23"/>
        <v/>
      </c>
      <c r="AZ152" s="319">
        <f>Baselines!$CJ396</f>
        <v>0</v>
      </c>
      <c r="BA152" s="735">
        <f>Baselines!$CK396</f>
        <v>0</v>
      </c>
      <c r="BB152" s="839">
        <f>Baselines!$CM396</f>
        <v>0</v>
      </c>
      <c r="BC152" s="466">
        <f t="shared" si="83"/>
        <v>0</v>
      </c>
      <c r="BD152" s="464">
        <f t="shared" si="98"/>
        <v>0</v>
      </c>
      <c r="BE152" s="755">
        <f t="shared" si="84"/>
        <v>0</v>
      </c>
      <c r="BF152" s="755">
        <f t="shared" si="99"/>
        <v>0</v>
      </c>
      <c r="BG152" s="466">
        <f t="shared" si="85"/>
        <v>0</v>
      </c>
      <c r="BH152" s="464">
        <f t="shared" si="86"/>
        <v>0</v>
      </c>
      <c r="BI152" s="755">
        <f t="shared" si="87"/>
        <v>0</v>
      </c>
      <c r="BJ152" s="755">
        <f t="shared" si="100"/>
        <v>0</v>
      </c>
      <c r="BK152" s="333">
        <f>IF(OR($C152&lt;&gt;"Early Retirement",$H152=""),0,IF(AND($G152&lt;&gt;"Air Cooled Chiller",$G152&lt;&gt;"Water Cooled Chiller"),VLOOKUP($H152,'Early Retirement'!$CI$6:$CL$33,2,FALSE),IF($J152&lt;&gt;"Centrifugal",VLOOKUP($H152,'Early Retirement'!$CI$6:$CL$33,3,FALSE),IF($J152="Centrifugal",VLOOKUP($H152,'Early Retirement'!$CI$6:$CL$33,4,FALSE),""))))</f>
        <v>0</v>
      </c>
      <c r="BL152" s="450">
        <f t="shared" si="88"/>
        <v>0</v>
      </c>
      <c r="BM152" s="553">
        <f>IFERROR('Utility Admin'!$I$4*((1+'Utility Admin'!$G$4)/('Utility Admin'!$H$4-'Utility Admin'!$G$4))*(1-((1+'Utility Admin'!$G$4)/(1+'Utility Admin'!$H$4))^$BK152)*$BG152,0)</f>
        <v>0</v>
      </c>
      <c r="BN152" s="553">
        <f>IFERROR('Utility Admin'!$I$4*((1+'Utility Admin'!$G$4)/('Utility Admin'!$H$4-'Utility Admin'!$G$4))*(1-((1+'Utility Admin'!$G$4)/(1+'Utility Admin'!$H$4))^$BL152)*((1+'Utility Admin'!$G$4)^$BK152/(1+'Utility Admin'!$H$4)^$BK152)*$BC152,0)</f>
        <v>0</v>
      </c>
      <c r="BO152" s="553">
        <f t="shared" si="27"/>
        <v>0</v>
      </c>
      <c r="BP152" s="553">
        <f>IFERROR('Utility Admin'!$J$4*((1+'Utility Admin'!$G$4)/('Utility Admin'!$H$4-'Utility Admin'!$G$4))*(1-((1+'Utility Admin'!$G$4)/(1+'Utility Admin'!$H$4))^$BK152)*$BJ152,0)</f>
        <v>0</v>
      </c>
      <c r="BQ152" s="553">
        <f>IFERROR('Utility Admin'!$J$4*((1+'Utility Admin'!$G$4)/('Utility Admin'!$H$4-'Utility Admin'!$G$4))*(1-((1+'Utility Admin'!$G$4)/(1+'Utility Admin'!$H$4))^$BL152)*((1+'Utility Admin'!$G$4)^$BK152/(1+'Utility Admin'!$H$4)^$BK152)*$BF152,0)</f>
        <v>0</v>
      </c>
      <c r="BR152" s="553">
        <f t="shared" si="28"/>
        <v>0</v>
      </c>
      <c r="BS152" s="553">
        <f>IFERROR('Utility Admin'!$I$4*((1+'Utility Admin'!$G$4)/('Utility Admin'!$H$4-'Utility Admin'!$G$4))*(1-((1+'Utility Admin'!$G$4)/(1+'Utility Admin'!$H$4))^$AT152),0)</f>
        <v>0</v>
      </c>
      <c r="BT152" s="553">
        <f>IFERROR('Utility Admin'!$J$4*((1+'Utility Admin'!$G$4)/('Utility Admin'!$H$4-'Utility Admin'!$G$4))*(1-((1+'Utility Admin'!$G$4)/(1+'Utility Admin'!$H$4))^$AT152),0)</f>
        <v>0</v>
      </c>
      <c r="BU152" s="459">
        <f t="shared" si="101"/>
        <v>0</v>
      </c>
      <c r="BV152" s="462">
        <f t="shared" si="102"/>
        <v>0</v>
      </c>
      <c r="BW152" s="219" t="str">
        <f t="shared" si="89"/>
        <v/>
      </c>
      <c r="BX152" s="250" t="str">
        <f t="shared" si="103"/>
        <v/>
      </c>
      <c r="BY152" s="250" t="str">
        <f t="shared" si="90"/>
        <v/>
      </c>
      <c r="BZ152" s="184">
        <f t="shared" si="104"/>
        <v>0</v>
      </c>
      <c r="CA152" s="693">
        <f t="shared" si="105"/>
        <v>0</v>
      </c>
      <c r="CB152" s="836">
        <f t="shared" si="106"/>
        <v>0</v>
      </c>
      <c r="CC152" s="693">
        <f>IF(AND($C152="Early Retirement",$H152&lt;&gt;"",$R152&lt;&gt;"",$T152&lt;&gt;""),$BZ152,Baselines!$CJ145)</f>
        <v>0</v>
      </c>
      <c r="CD152" s="693">
        <f>IF(AND($C152="Early Retirement",$H152&lt;&gt;"",$R152&lt;&gt;"",$T152&lt;&gt;""),$CA152,Baselines!$CK145)</f>
        <v>0</v>
      </c>
      <c r="CE152" s="182" t="str">
        <f>Baselines!$CL145</f>
        <v>kW/ton</v>
      </c>
      <c r="CF152" s="850" t="str">
        <f t="shared" si="91"/>
        <v/>
      </c>
      <c r="CG152" s="833">
        <f>IF(AND($C152="Early Retirement",$H152&lt;&gt;"",$R152&lt;&gt;"",$T152&lt;&gt;""),$CB152,IF(AND(Baselines!$CM145=0,OR($CL152="DX HP",$CL152="PTHP")),$BB152,Baselines!$CM145))</f>
        <v>0</v>
      </c>
      <c r="CH152" s="830" t="s">
        <v>567</v>
      </c>
      <c r="CI152" s="185" t="str">
        <f>IF(OR($C152="Replace-on-Burnout",$C152="New Construction"),$CT152,IF($BW152="","",VLOOKUP($D152,'Factor Tables'!$B$165:$H$192,MATCH($BW152,'Factor Tables'!$B$164:$H$164,0),FALSE)))</f>
        <v/>
      </c>
      <c r="CJ152" s="842" t="str">
        <f>IF(OR($C152="Replace-on-Burnout",$C152="New Construction"),$CU152,IF($BW152="","",IF($BW152="DX HP",VLOOKUP($D152,'Factor Tables'!$I$165:$Q$192,MATCH("DX HP Clg",'Factor Tables'!$I$164:$Q$164,0),FALSE),IF($BW152="PTHP",VLOOKUP($D152,'Factor Tables'!$I$165:$Q$192,MATCH("PTHP Clg",'Factor Tables'!$I$164:$Q$164,0),FALSE),IF(AND($BW152&lt;&gt;"DX HP",$BW152&lt;&gt;"PTHP"),VLOOKUP($D152,'Factor Tables'!$I$165:$Q$192,MATCH($BW152,'Factor Tables'!$I$164:$Q$164,0),FALSE),"")))))</f>
        <v/>
      </c>
      <c r="CK152" s="186" t="str">
        <f>IF(OR($C152="Replace-on-Burnout",$C152="New Construction",$CL152="DX HP",$CL152="PTHP"),$CV152,IF($BW152="","",IF($BW152="DX HP",VLOOKUP($D152,'Factor Tables'!$I$165:$Q$192,MATCH("DX HP Htg",'Factor Tables'!$I$164:$Q$164,0),FALSE),IF($BW152="PTHP",VLOOKUP($D152,'Factor Tables'!$I$165:$Q$192,MATCH("PTHP Htg",'Factor Tables'!$I$164:$Q$164,0),FALSE),0))))</f>
        <v/>
      </c>
      <c r="CL152" s="187" t="str">
        <f t="shared" si="92"/>
        <v/>
      </c>
      <c r="CM152" s="251" t="str">
        <f t="shared" si="93"/>
        <v/>
      </c>
      <c r="CN152" s="184">
        <f t="shared" si="107"/>
        <v>0</v>
      </c>
      <c r="CO152" s="693">
        <f t="shared" si="108"/>
        <v>0</v>
      </c>
      <c r="CP152" s="182" t="s">
        <v>46</v>
      </c>
      <c r="CQ152" s="852" t="str">
        <f t="shared" si="109"/>
        <v/>
      </c>
      <c r="CR152" s="833">
        <f t="shared" si="110"/>
        <v>0</v>
      </c>
      <c r="CS152" s="830" t="s">
        <v>567</v>
      </c>
      <c r="CT152" s="185" t="str">
        <f>IF($CL152="","",VLOOKUP($D152,'Factor Tables'!$B$165:$H$192,MATCH($CL152,'Factor Tables'!$B$164:$H$164,0),FALSE))</f>
        <v/>
      </c>
      <c r="CU152" s="842" t="str">
        <f>IF($CL152="","",IF(AND($CL152&lt;&gt;"DX HP",$CL152&lt;&gt;"PTHP"),VLOOKUP($D152,'Factor Tables'!$I$165:$Q$192,MATCH($CL152,'Factor Tables'!$I$164:$Q$164,0),FALSE),IF($CL152="DX HP",VLOOKUP($D152,'Factor Tables'!$I$165:$Q$192,MATCH("DX HP Clg",'Factor Tables'!$I$164:$Q$164,0),FALSE),IF($CL152="PTHP",VLOOKUP($D152,'Factor Tables'!$I$165:$Q$192,MATCH("PTHP Clg",'Factor Tables'!$I$164:$Q$164,0),FALSE),""))))</f>
        <v/>
      </c>
      <c r="CV152" s="186" t="str">
        <f>IF($CL152="","",IF(AND($CL152&lt;&gt;"DX HP",$CL152&lt;&gt;"PTHP"),0,IF($CL152="DX HP",VLOOKUP($D152,'Factor Tables'!$I$165:$Q$192,MATCH("DX HP Htg",'Factor Tables'!$I$164:$Q$164,0),FALSE),IF($CL152="PTHP",VLOOKUP($D152,'Factor Tables'!$I$165:$Q$192,MATCH("PTHP Htg",'Factor Tables'!$I$164:$Q$164,0),FALSE),""))))</f>
        <v/>
      </c>
      <c r="DD152" s="77" t="s">
        <v>54</v>
      </c>
      <c r="DE152" s="426"/>
      <c r="DI152" s="425"/>
      <c r="DJ152" s="425"/>
      <c r="DK152" s="425"/>
      <c r="DL152" s="425"/>
      <c r="DM152" s="493" t="s">
        <v>478</v>
      </c>
    </row>
    <row r="153" spans="2:117" s="427" customFormat="1" ht="21.95" customHeight="1" x14ac:dyDescent="0.25">
      <c r="B153" s="432">
        <v>144</v>
      </c>
      <c r="C153" s="499" t="str">
        <f t="shared" si="94"/>
        <v/>
      </c>
      <c r="D153" s="403" t="str">
        <f t="shared" si="95"/>
        <v/>
      </c>
      <c r="E153" s="541"/>
      <c r="F153" s="785"/>
      <c r="G153" s="728"/>
      <c r="H153" s="728"/>
      <c r="I153" s="728"/>
      <c r="J153" s="728"/>
      <c r="K153" s="728"/>
      <c r="L153" s="728"/>
      <c r="M153" s="764"/>
      <c r="N153" s="728"/>
      <c r="O153" s="764"/>
      <c r="P153" s="728"/>
      <c r="Q153" s="1142"/>
      <c r="R153" s="1133"/>
      <c r="S153" s="778"/>
      <c r="T153" s="767"/>
      <c r="U153" s="778"/>
      <c r="V153" s="751"/>
      <c r="W153" s="556"/>
      <c r="X153" s="785"/>
      <c r="Y153" s="542"/>
      <c r="Z153" s="500"/>
      <c r="AA153" s="500"/>
      <c r="AB153" s="500"/>
      <c r="AC153" s="500"/>
      <c r="AD153" s="529"/>
      <c r="AE153" s="527">
        <f t="shared" si="39"/>
        <v>0</v>
      </c>
      <c r="AF153" s="527">
        <f t="shared" si="96"/>
        <v>0</v>
      </c>
      <c r="AG153" s="527">
        <f t="shared" si="76"/>
        <v>0</v>
      </c>
      <c r="AH153" s="527">
        <f t="shared" si="77"/>
        <v>0</v>
      </c>
      <c r="AI153" s="527">
        <f t="shared" si="78"/>
        <v>0</v>
      </c>
      <c r="AJ153" s="527">
        <f t="shared" si="79"/>
        <v>999999999</v>
      </c>
      <c r="AK153" s="530"/>
      <c r="AL153" s="776"/>
      <c r="AM153" s="777"/>
      <c r="AN153" s="500"/>
      <c r="AO153" s="778"/>
      <c r="AP153" s="778"/>
      <c r="AQ153" s="500"/>
      <c r="AR153" s="531"/>
      <c r="AS153" s="403"/>
      <c r="AT153" s="524" t="str">
        <f t="shared" si="80"/>
        <v/>
      </c>
      <c r="AU153" s="311">
        <f t="shared" si="81"/>
        <v>0</v>
      </c>
      <c r="AV153" s="288">
        <f t="shared" si="97"/>
        <v>0</v>
      </c>
      <c r="AW153" s="290">
        <f>IF(ISERROR($AU153*'Utility Admin'!$E$4+$AV153*'Utility Admin'!$F$4),0,$AU153*'Utility Admin'!$E$4+$AV153*'Utility Admin'!$F$4)</f>
        <v>0</v>
      </c>
      <c r="AX153" s="323" t="str">
        <f t="shared" si="82"/>
        <v/>
      </c>
      <c r="AY153" s="322" t="str">
        <f t="shared" si="23"/>
        <v/>
      </c>
      <c r="AZ153" s="319">
        <f>Baselines!$CJ397</f>
        <v>0</v>
      </c>
      <c r="BA153" s="735">
        <f>Baselines!$CK397</f>
        <v>0</v>
      </c>
      <c r="BB153" s="839">
        <f>Baselines!$CM397</f>
        <v>0</v>
      </c>
      <c r="BC153" s="466">
        <f t="shared" si="83"/>
        <v>0</v>
      </c>
      <c r="BD153" s="464">
        <f t="shared" si="98"/>
        <v>0</v>
      </c>
      <c r="BE153" s="755">
        <f t="shared" si="84"/>
        <v>0</v>
      </c>
      <c r="BF153" s="755">
        <f t="shared" si="99"/>
        <v>0</v>
      </c>
      <c r="BG153" s="466">
        <f t="shared" si="85"/>
        <v>0</v>
      </c>
      <c r="BH153" s="464">
        <f t="shared" si="86"/>
        <v>0</v>
      </c>
      <c r="BI153" s="755">
        <f t="shared" si="87"/>
        <v>0</v>
      </c>
      <c r="BJ153" s="755">
        <f t="shared" si="100"/>
        <v>0</v>
      </c>
      <c r="BK153" s="333">
        <f>IF(OR($C153&lt;&gt;"Early Retirement",$H153=""),0,IF(AND($G153&lt;&gt;"Air Cooled Chiller",$G153&lt;&gt;"Water Cooled Chiller"),VLOOKUP($H153,'Early Retirement'!$CI$6:$CL$33,2,FALSE),IF($J153&lt;&gt;"Centrifugal",VLOOKUP($H153,'Early Retirement'!$CI$6:$CL$33,3,FALSE),IF($J153="Centrifugal",VLOOKUP($H153,'Early Retirement'!$CI$6:$CL$33,4,FALSE),""))))</f>
        <v>0</v>
      </c>
      <c r="BL153" s="450">
        <f t="shared" si="88"/>
        <v>0</v>
      </c>
      <c r="BM153" s="553">
        <f>IFERROR('Utility Admin'!$I$4*((1+'Utility Admin'!$G$4)/('Utility Admin'!$H$4-'Utility Admin'!$G$4))*(1-((1+'Utility Admin'!$G$4)/(1+'Utility Admin'!$H$4))^$BK153)*$BG153,0)</f>
        <v>0</v>
      </c>
      <c r="BN153" s="553">
        <f>IFERROR('Utility Admin'!$I$4*((1+'Utility Admin'!$G$4)/('Utility Admin'!$H$4-'Utility Admin'!$G$4))*(1-((1+'Utility Admin'!$G$4)/(1+'Utility Admin'!$H$4))^$BL153)*((1+'Utility Admin'!$G$4)^$BK153/(1+'Utility Admin'!$H$4)^$BK153)*$BC153,0)</f>
        <v>0</v>
      </c>
      <c r="BO153" s="553">
        <f t="shared" si="27"/>
        <v>0</v>
      </c>
      <c r="BP153" s="553">
        <f>IFERROR('Utility Admin'!$J$4*((1+'Utility Admin'!$G$4)/('Utility Admin'!$H$4-'Utility Admin'!$G$4))*(1-((1+'Utility Admin'!$G$4)/(1+'Utility Admin'!$H$4))^$BK153)*$BJ153,0)</f>
        <v>0</v>
      </c>
      <c r="BQ153" s="553">
        <f>IFERROR('Utility Admin'!$J$4*((1+'Utility Admin'!$G$4)/('Utility Admin'!$H$4-'Utility Admin'!$G$4))*(1-((1+'Utility Admin'!$G$4)/(1+'Utility Admin'!$H$4))^$BL153)*((1+'Utility Admin'!$G$4)^$BK153/(1+'Utility Admin'!$H$4)^$BK153)*$BF153,0)</f>
        <v>0</v>
      </c>
      <c r="BR153" s="553">
        <f t="shared" si="28"/>
        <v>0</v>
      </c>
      <c r="BS153" s="553">
        <f>IFERROR('Utility Admin'!$I$4*((1+'Utility Admin'!$G$4)/('Utility Admin'!$H$4-'Utility Admin'!$G$4))*(1-((1+'Utility Admin'!$G$4)/(1+'Utility Admin'!$H$4))^$AT153),0)</f>
        <v>0</v>
      </c>
      <c r="BT153" s="553">
        <f>IFERROR('Utility Admin'!$J$4*((1+'Utility Admin'!$G$4)/('Utility Admin'!$H$4-'Utility Admin'!$G$4))*(1-((1+'Utility Admin'!$G$4)/(1+'Utility Admin'!$H$4))^$AT153),0)</f>
        <v>0</v>
      </c>
      <c r="BU153" s="459">
        <f t="shared" si="101"/>
        <v>0</v>
      </c>
      <c r="BV153" s="462">
        <f t="shared" si="102"/>
        <v>0</v>
      </c>
      <c r="BW153" s="219" t="str">
        <f t="shared" si="89"/>
        <v/>
      </c>
      <c r="BX153" s="250" t="str">
        <f t="shared" si="103"/>
        <v/>
      </c>
      <c r="BY153" s="250" t="str">
        <f t="shared" si="90"/>
        <v/>
      </c>
      <c r="BZ153" s="184">
        <f t="shared" si="104"/>
        <v>0</v>
      </c>
      <c r="CA153" s="693">
        <f t="shared" si="105"/>
        <v>0</v>
      </c>
      <c r="CB153" s="836">
        <f t="shared" si="106"/>
        <v>0</v>
      </c>
      <c r="CC153" s="693">
        <f>IF(AND($C153="Early Retirement",$H153&lt;&gt;"",$R153&lt;&gt;"",$T153&lt;&gt;""),$BZ153,Baselines!$CJ146)</f>
        <v>0</v>
      </c>
      <c r="CD153" s="693">
        <f>IF(AND($C153="Early Retirement",$H153&lt;&gt;"",$R153&lt;&gt;"",$T153&lt;&gt;""),$CA153,Baselines!$CK146)</f>
        <v>0</v>
      </c>
      <c r="CE153" s="182" t="str">
        <f>Baselines!$CL146</f>
        <v>kW/ton</v>
      </c>
      <c r="CF153" s="850" t="str">
        <f t="shared" si="91"/>
        <v/>
      </c>
      <c r="CG153" s="833">
        <f>IF(AND($C153="Early Retirement",$H153&lt;&gt;"",$R153&lt;&gt;"",$T153&lt;&gt;""),$CB153,IF(AND(Baselines!$CM146=0,OR($CL153="DX HP",$CL153="PTHP")),$BB153,Baselines!$CM146))</f>
        <v>0</v>
      </c>
      <c r="CH153" s="830" t="s">
        <v>567</v>
      </c>
      <c r="CI153" s="185" t="str">
        <f>IF(OR($C153="Replace-on-Burnout",$C153="New Construction"),$CT153,IF($BW153="","",VLOOKUP($D153,'Factor Tables'!$B$165:$H$192,MATCH($BW153,'Factor Tables'!$B$164:$H$164,0),FALSE)))</f>
        <v/>
      </c>
      <c r="CJ153" s="842" t="str">
        <f>IF(OR($C153="Replace-on-Burnout",$C153="New Construction"),$CU153,IF($BW153="","",IF($BW153="DX HP",VLOOKUP($D153,'Factor Tables'!$I$165:$Q$192,MATCH("DX HP Clg",'Factor Tables'!$I$164:$Q$164,0),FALSE),IF($BW153="PTHP",VLOOKUP($D153,'Factor Tables'!$I$165:$Q$192,MATCH("PTHP Clg",'Factor Tables'!$I$164:$Q$164,0),FALSE),IF(AND($BW153&lt;&gt;"DX HP",$BW153&lt;&gt;"PTHP"),VLOOKUP($D153,'Factor Tables'!$I$165:$Q$192,MATCH($BW153,'Factor Tables'!$I$164:$Q$164,0),FALSE),"")))))</f>
        <v/>
      </c>
      <c r="CK153" s="186" t="str">
        <f>IF(OR($C153="Replace-on-Burnout",$C153="New Construction",$CL153="DX HP",$CL153="PTHP"),$CV153,IF($BW153="","",IF($BW153="DX HP",VLOOKUP($D153,'Factor Tables'!$I$165:$Q$192,MATCH("DX HP Htg",'Factor Tables'!$I$164:$Q$164,0),FALSE),IF($BW153="PTHP",VLOOKUP($D153,'Factor Tables'!$I$165:$Q$192,MATCH("PTHP Htg",'Factor Tables'!$I$164:$Q$164,0),FALSE),0))))</f>
        <v/>
      </c>
      <c r="CL153" s="187" t="str">
        <f t="shared" si="92"/>
        <v/>
      </c>
      <c r="CM153" s="251" t="str">
        <f t="shared" si="93"/>
        <v/>
      </c>
      <c r="CN153" s="184">
        <f t="shared" si="107"/>
        <v>0</v>
      </c>
      <c r="CO153" s="693">
        <f t="shared" si="108"/>
        <v>0</v>
      </c>
      <c r="CP153" s="182" t="s">
        <v>46</v>
      </c>
      <c r="CQ153" s="852" t="str">
        <f t="shared" si="109"/>
        <v/>
      </c>
      <c r="CR153" s="833">
        <f t="shared" si="110"/>
        <v>0</v>
      </c>
      <c r="CS153" s="830" t="s">
        <v>567</v>
      </c>
      <c r="CT153" s="185" t="str">
        <f>IF($CL153="","",VLOOKUP($D153,'Factor Tables'!$B$165:$H$192,MATCH($CL153,'Factor Tables'!$B$164:$H$164,0),FALSE))</f>
        <v/>
      </c>
      <c r="CU153" s="842" t="str">
        <f>IF($CL153="","",IF(AND($CL153&lt;&gt;"DX HP",$CL153&lt;&gt;"PTHP"),VLOOKUP($D153,'Factor Tables'!$I$165:$Q$192,MATCH($CL153,'Factor Tables'!$I$164:$Q$164,0),FALSE),IF($CL153="DX HP",VLOOKUP($D153,'Factor Tables'!$I$165:$Q$192,MATCH("DX HP Clg",'Factor Tables'!$I$164:$Q$164,0),FALSE),IF($CL153="PTHP",VLOOKUP($D153,'Factor Tables'!$I$165:$Q$192,MATCH("PTHP Clg",'Factor Tables'!$I$164:$Q$164,0),FALSE),""))))</f>
        <v/>
      </c>
      <c r="CV153" s="186" t="str">
        <f>IF($CL153="","",IF(AND($CL153&lt;&gt;"DX HP",$CL153&lt;&gt;"PTHP"),0,IF($CL153="DX HP",VLOOKUP($D153,'Factor Tables'!$I$165:$Q$192,MATCH("DX HP Htg",'Factor Tables'!$I$164:$Q$164,0),FALSE),IF($CL153="PTHP",VLOOKUP($D153,'Factor Tables'!$I$165:$Q$192,MATCH("PTHP Htg",'Factor Tables'!$I$164:$Q$164,0),FALSE),""))))</f>
        <v/>
      </c>
      <c r="DD153" s="898"/>
      <c r="DE153" s="426"/>
      <c r="DI153" s="425"/>
      <c r="DJ153" s="425"/>
      <c r="DK153" s="425"/>
      <c r="DL153" s="425"/>
      <c r="DM153" s="493" t="s">
        <v>478</v>
      </c>
    </row>
    <row r="154" spans="2:117" s="427" customFormat="1" ht="21.95" customHeight="1" x14ac:dyDescent="0.25">
      <c r="B154" s="431">
        <v>145</v>
      </c>
      <c r="C154" s="501" t="str">
        <f t="shared" si="94"/>
        <v/>
      </c>
      <c r="D154" s="502" t="str">
        <f t="shared" si="95"/>
        <v/>
      </c>
      <c r="E154" s="546"/>
      <c r="F154" s="547"/>
      <c r="G154" s="729"/>
      <c r="H154" s="729"/>
      <c r="I154" s="729"/>
      <c r="J154" s="729"/>
      <c r="K154" s="729"/>
      <c r="L154" s="729"/>
      <c r="M154" s="765"/>
      <c r="N154" s="758"/>
      <c r="O154" s="765"/>
      <c r="P154" s="758"/>
      <c r="Q154" s="1143"/>
      <c r="R154" s="1134"/>
      <c r="S154" s="775"/>
      <c r="T154" s="729"/>
      <c r="U154" s="775"/>
      <c r="V154" s="779"/>
      <c r="W154" s="557"/>
      <c r="X154" s="788"/>
      <c r="Y154" s="543"/>
      <c r="Z154" s="281"/>
      <c r="AA154" s="281"/>
      <c r="AB154" s="281"/>
      <c r="AC154" s="281"/>
      <c r="AD154" s="492"/>
      <c r="AE154" s="527">
        <f t="shared" si="39"/>
        <v>0</v>
      </c>
      <c r="AF154" s="527">
        <f t="shared" si="96"/>
        <v>0</v>
      </c>
      <c r="AG154" s="527">
        <f t="shared" si="76"/>
        <v>0</v>
      </c>
      <c r="AH154" s="527">
        <f t="shared" si="77"/>
        <v>0</v>
      </c>
      <c r="AI154" s="527">
        <f t="shared" si="78"/>
        <v>0</v>
      </c>
      <c r="AJ154" s="527">
        <f t="shared" si="79"/>
        <v>999999999</v>
      </c>
      <c r="AK154" s="471"/>
      <c r="AL154" s="765"/>
      <c r="AM154" s="758"/>
      <c r="AN154" s="281"/>
      <c r="AO154" s="775"/>
      <c r="AP154" s="775"/>
      <c r="AQ154" s="281"/>
      <c r="AR154" s="528"/>
      <c r="AS154" s="532"/>
      <c r="AT154" s="524" t="str">
        <f t="shared" si="80"/>
        <v/>
      </c>
      <c r="AU154" s="311">
        <f t="shared" si="81"/>
        <v>0</v>
      </c>
      <c r="AV154" s="288">
        <f t="shared" si="97"/>
        <v>0</v>
      </c>
      <c r="AW154" s="290">
        <f>IF(ISERROR($AU154*'Utility Admin'!$E$4+$AV154*'Utility Admin'!$F$4),0,$AU154*'Utility Admin'!$E$4+$AV154*'Utility Admin'!$F$4)</f>
        <v>0</v>
      </c>
      <c r="AX154" s="323" t="str">
        <f t="shared" si="82"/>
        <v/>
      </c>
      <c r="AY154" s="322" t="str">
        <f t="shared" si="23"/>
        <v/>
      </c>
      <c r="AZ154" s="319">
        <f>Baselines!$CJ398</f>
        <v>0</v>
      </c>
      <c r="BA154" s="735">
        <f>Baselines!$CK398</f>
        <v>0</v>
      </c>
      <c r="BB154" s="839">
        <f>Baselines!$CM398</f>
        <v>0</v>
      </c>
      <c r="BC154" s="466">
        <f t="shared" si="83"/>
        <v>0</v>
      </c>
      <c r="BD154" s="464">
        <f t="shared" si="98"/>
        <v>0</v>
      </c>
      <c r="BE154" s="755">
        <f t="shared" si="84"/>
        <v>0</v>
      </c>
      <c r="BF154" s="755">
        <f t="shared" si="99"/>
        <v>0</v>
      </c>
      <c r="BG154" s="466">
        <f t="shared" si="85"/>
        <v>0</v>
      </c>
      <c r="BH154" s="464">
        <f t="shared" si="86"/>
        <v>0</v>
      </c>
      <c r="BI154" s="755">
        <f t="shared" si="87"/>
        <v>0</v>
      </c>
      <c r="BJ154" s="755">
        <f t="shared" si="100"/>
        <v>0</v>
      </c>
      <c r="BK154" s="333">
        <f>IF(OR($C154&lt;&gt;"Early Retirement",$H154=""),0,IF(AND($G154&lt;&gt;"Air Cooled Chiller",$G154&lt;&gt;"Water Cooled Chiller"),VLOOKUP($H154,'Early Retirement'!$CI$6:$CL$33,2,FALSE),IF($J154&lt;&gt;"Centrifugal",VLOOKUP($H154,'Early Retirement'!$CI$6:$CL$33,3,FALSE),IF($J154="Centrifugal",VLOOKUP($H154,'Early Retirement'!$CI$6:$CL$33,4,FALSE),""))))</f>
        <v>0</v>
      </c>
      <c r="BL154" s="450">
        <f t="shared" si="88"/>
        <v>0</v>
      </c>
      <c r="BM154" s="553">
        <f>IFERROR('Utility Admin'!$I$4*((1+'Utility Admin'!$G$4)/('Utility Admin'!$H$4-'Utility Admin'!$G$4))*(1-((1+'Utility Admin'!$G$4)/(1+'Utility Admin'!$H$4))^$BK154)*$BG154,0)</f>
        <v>0</v>
      </c>
      <c r="BN154" s="553">
        <f>IFERROR('Utility Admin'!$I$4*((1+'Utility Admin'!$G$4)/('Utility Admin'!$H$4-'Utility Admin'!$G$4))*(1-((1+'Utility Admin'!$G$4)/(1+'Utility Admin'!$H$4))^$BL154)*((1+'Utility Admin'!$G$4)^$BK154/(1+'Utility Admin'!$H$4)^$BK154)*$BC154,0)</f>
        <v>0</v>
      </c>
      <c r="BO154" s="553">
        <f t="shared" si="27"/>
        <v>0</v>
      </c>
      <c r="BP154" s="553">
        <f>IFERROR('Utility Admin'!$J$4*((1+'Utility Admin'!$G$4)/('Utility Admin'!$H$4-'Utility Admin'!$G$4))*(1-((1+'Utility Admin'!$G$4)/(1+'Utility Admin'!$H$4))^$BK154)*$BJ154,0)</f>
        <v>0</v>
      </c>
      <c r="BQ154" s="553">
        <f>IFERROR('Utility Admin'!$J$4*((1+'Utility Admin'!$G$4)/('Utility Admin'!$H$4-'Utility Admin'!$G$4))*(1-((1+'Utility Admin'!$G$4)/(1+'Utility Admin'!$H$4))^$BL154)*((1+'Utility Admin'!$G$4)^$BK154/(1+'Utility Admin'!$H$4)^$BK154)*$BF154,0)</f>
        <v>0</v>
      </c>
      <c r="BR154" s="553">
        <f t="shared" si="28"/>
        <v>0</v>
      </c>
      <c r="BS154" s="553">
        <f>IFERROR('Utility Admin'!$I$4*((1+'Utility Admin'!$G$4)/('Utility Admin'!$H$4-'Utility Admin'!$G$4))*(1-((1+'Utility Admin'!$G$4)/(1+'Utility Admin'!$H$4))^$AT154),0)</f>
        <v>0</v>
      </c>
      <c r="BT154" s="553">
        <f>IFERROR('Utility Admin'!$J$4*((1+'Utility Admin'!$G$4)/('Utility Admin'!$H$4-'Utility Admin'!$G$4))*(1-((1+'Utility Admin'!$G$4)/(1+'Utility Admin'!$H$4))^$AT154),0)</f>
        <v>0</v>
      </c>
      <c r="BU154" s="459">
        <f t="shared" si="101"/>
        <v>0</v>
      </c>
      <c r="BV154" s="462">
        <f t="shared" si="102"/>
        <v>0</v>
      </c>
      <c r="BW154" s="219" t="str">
        <f t="shared" si="89"/>
        <v/>
      </c>
      <c r="BX154" s="250" t="str">
        <f t="shared" si="103"/>
        <v/>
      </c>
      <c r="BY154" s="250" t="str">
        <f t="shared" si="90"/>
        <v/>
      </c>
      <c r="BZ154" s="184">
        <f t="shared" si="104"/>
        <v>0</v>
      </c>
      <c r="CA154" s="693">
        <f t="shared" si="105"/>
        <v>0</v>
      </c>
      <c r="CB154" s="836">
        <f t="shared" si="106"/>
        <v>0</v>
      </c>
      <c r="CC154" s="693">
        <f>IF(AND($C154="Early Retirement",$H154&lt;&gt;"",$R154&lt;&gt;"",$T154&lt;&gt;""),$BZ154,Baselines!$CJ147)</f>
        <v>0</v>
      </c>
      <c r="CD154" s="693">
        <f>IF(AND($C154="Early Retirement",$H154&lt;&gt;"",$R154&lt;&gt;"",$T154&lt;&gt;""),$CA154,Baselines!$CK147)</f>
        <v>0</v>
      </c>
      <c r="CE154" s="182" t="str">
        <f>Baselines!$CL147</f>
        <v>kW/ton</v>
      </c>
      <c r="CF154" s="850" t="str">
        <f t="shared" si="91"/>
        <v/>
      </c>
      <c r="CG154" s="833">
        <f>IF(AND($C154="Early Retirement",$H154&lt;&gt;"",$R154&lt;&gt;"",$T154&lt;&gt;""),$CB154,IF(AND(Baselines!$CM147=0,OR($CL154="DX HP",$CL154="PTHP")),$BB154,Baselines!$CM147))</f>
        <v>0</v>
      </c>
      <c r="CH154" s="830" t="s">
        <v>567</v>
      </c>
      <c r="CI154" s="185" t="str">
        <f>IF(OR($C154="Replace-on-Burnout",$C154="New Construction"),$CT154,IF($BW154="","",VLOOKUP($D154,'Factor Tables'!$B$165:$H$192,MATCH($BW154,'Factor Tables'!$B$164:$H$164,0),FALSE)))</f>
        <v/>
      </c>
      <c r="CJ154" s="842" t="str">
        <f>IF(OR($C154="Replace-on-Burnout",$C154="New Construction"),$CU154,IF($BW154="","",IF($BW154="DX HP",VLOOKUP($D154,'Factor Tables'!$I$165:$Q$192,MATCH("DX HP Clg",'Factor Tables'!$I$164:$Q$164,0),FALSE),IF($BW154="PTHP",VLOOKUP($D154,'Factor Tables'!$I$165:$Q$192,MATCH("PTHP Clg",'Factor Tables'!$I$164:$Q$164,0),FALSE),IF(AND($BW154&lt;&gt;"DX HP",$BW154&lt;&gt;"PTHP"),VLOOKUP($D154,'Factor Tables'!$I$165:$Q$192,MATCH($BW154,'Factor Tables'!$I$164:$Q$164,0),FALSE),"")))))</f>
        <v/>
      </c>
      <c r="CK154" s="186" t="str">
        <f>IF(OR($C154="Replace-on-Burnout",$C154="New Construction",$CL154="DX HP",$CL154="PTHP"),$CV154,IF($BW154="","",IF($BW154="DX HP",VLOOKUP($D154,'Factor Tables'!$I$165:$Q$192,MATCH("DX HP Htg",'Factor Tables'!$I$164:$Q$164,0),FALSE),IF($BW154="PTHP",VLOOKUP($D154,'Factor Tables'!$I$165:$Q$192,MATCH("PTHP Htg",'Factor Tables'!$I$164:$Q$164,0),FALSE),0))))</f>
        <v/>
      </c>
      <c r="CL154" s="187" t="str">
        <f t="shared" si="92"/>
        <v/>
      </c>
      <c r="CM154" s="251" t="str">
        <f t="shared" si="93"/>
        <v/>
      </c>
      <c r="CN154" s="184">
        <f t="shared" si="107"/>
        <v>0</v>
      </c>
      <c r="CO154" s="693">
        <f t="shared" si="108"/>
        <v>0</v>
      </c>
      <c r="CP154" s="182" t="s">
        <v>46</v>
      </c>
      <c r="CQ154" s="852" t="str">
        <f t="shared" si="109"/>
        <v/>
      </c>
      <c r="CR154" s="833">
        <f t="shared" si="110"/>
        <v>0</v>
      </c>
      <c r="CS154" s="830" t="s">
        <v>567</v>
      </c>
      <c r="CT154" s="185" t="str">
        <f>IF($CL154="","",VLOOKUP($D154,'Factor Tables'!$B$165:$H$192,MATCH($CL154,'Factor Tables'!$B$164:$H$164,0),FALSE))</f>
        <v/>
      </c>
      <c r="CU154" s="842" t="str">
        <f>IF($CL154="","",IF(AND($CL154&lt;&gt;"DX HP",$CL154&lt;&gt;"PTHP"),VLOOKUP($D154,'Factor Tables'!$I$165:$Q$192,MATCH($CL154,'Factor Tables'!$I$164:$Q$164,0),FALSE),IF($CL154="DX HP",VLOOKUP($D154,'Factor Tables'!$I$165:$Q$192,MATCH("DX HP Clg",'Factor Tables'!$I$164:$Q$164,0),FALSE),IF($CL154="PTHP",VLOOKUP($D154,'Factor Tables'!$I$165:$Q$192,MATCH("PTHP Clg",'Factor Tables'!$I$164:$Q$164,0),FALSE),""))))</f>
        <v/>
      </c>
      <c r="CV154" s="186" t="str">
        <f>IF($CL154="","",IF(AND($CL154&lt;&gt;"DX HP",$CL154&lt;&gt;"PTHP"),0,IF($CL154="DX HP",VLOOKUP($D154,'Factor Tables'!$I$165:$Q$192,MATCH("DX HP Htg",'Factor Tables'!$I$164:$Q$164,0),FALSE),IF($CL154="PTHP",VLOOKUP($D154,'Factor Tables'!$I$165:$Q$192,MATCH("PTHP Htg",'Factor Tables'!$I$164:$Q$164,0),FALSE),""))))</f>
        <v/>
      </c>
      <c r="DD154" s="899" t="s">
        <v>693</v>
      </c>
      <c r="DE154" s="426"/>
      <c r="DI154" s="425"/>
      <c r="DJ154" s="425"/>
      <c r="DK154" s="425"/>
      <c r="DL154" s="425"/>
      <c r="DM154" s="493" t="s">
        <v>478</v>
      </c>
    </row>
    <row r="155" spans="2:117" s="427" customFormat="1" ht="21.95" customHeight="1" x14ac:dyDescent="0.25">
      <c r="B155" s="432">
        <v>146</v>
      </c>
      <c r="C155" s="499" t="str">
        <f t="shared" si="94"/>
        <v/>
      </c>
      <c r="D155" s="403" t="str">
        <f t="shared" si="95"/>
        <v/>
      </c>
      <c r="E155" s="541"/>
      <c r="F155" s="785"/>
      <c r="G155" s="728"/>
      <c r="H155" s="728"/>
      <c r="I155" s="728"/>
      <c r="J155" s="728"/>
      <c r="K155" s="728"/>
      <c r="L155" s="728"/>
      <c r="M155" s="764"/>
      <c r="N155" s="728"/>
      <c r="O155" s="764"/>
      <c r="P155" s="728"/>
      <c r="Q155" s="1142"/>
      <c r="R155" s="1133"/>
      <c r="S155" s="778"/>
      <c r="T155" s="767"/>
      <c r="U155" s="778"/>
      <c r="V155" s="751"/>
      <c r="W155" s="556"/>
      <c r="X155" s="785"/>
      <c r="Y155" s="542"/>
      <c r="Z155" s="500"/>
      <c r="AA155" s="500"/>
      <c r="AB155" s="500"/>
      <c r="AC155" s="500"/>
      <c r="AD155" s="529"/>
      <c r="AE155" s="527">
        <f t="shared" si="39"/>
        <v>0</v>
      </c>
      <c r="AF155" s="527">
        <f t="shared" si="96"/>
        <v>0</v>
      </c>
      <c r="AG155" s="527">
        <f t="shared" si="76"/>
        <v>0</v>
      </c>
      <c r="AH155" s="527">
        <f t="shared" si="77"/>
        <v>0</v>
      </c>
      <c r="AI155" s="527">
        <f t="shared" si="78"/>
        <v>0</v>
      </c>
      <c r="AJ155" s="527">
        <f t="shared" si="79"/>
        <v>999999999</v>
      </c>
      <c r="AK155" s="530"/>
      <c r="AL155" s="776"/>
      <c r="AM155" s="777"/>
      <c r="AN155" s="500"/>
      <c r="AO155" s="778"/>
      <c r="AP155" s="778"/>
      <c r="AQ155" s="500"/>
      <c r="AR155" s="531"/>
      <c r="AS155" s="403"/>
      <c r="AT155" s="524" t="str">
        <f t="shared" si="80"/>
        <v/>
      </c>
      <c r="AU155" s="311">
        <f t="shared" si="81"/>
        <v>0</v>
      </c>
      <c r="AV155" s="288">
        <f t="shared" si="97"/>
        <v>0</v>
      </c>
      <c r="AW155" s="290">
        <f>IF(ISERROR($AU155*'Utility Admin'!$E$4+$AV155*'Utility Admin'!$F$4),0,$AU155*'Utility Admin'!$E$4+$AV155*'Utility Admin'!$F$4)</f>
        <v>0</v>
      </c>
      <c r="AX155" s="323" t="str">
        <f t="shared" si="82"/>
        <v/>
      </c>
      <c r="AY155" s="322" t="str">
        <f t="shared" si="23"/>
        <v/>
      </c>
      <c r="AZ155" s="319">
        <f>Baselines!$CJ399</f>
        <v>0</v>
      </c>
      <c r="BA155" s="735">
        <f>Baselines!$CK399</f>
        <v>0</v>
      </c>
      <c r="BB155" s="839">
        <f>Baselines!$CM399</f>
        <v>0</v>
      </c>
      <c r="BC155" s="466">
        <f t="shared" si="83"/>
        <v>0</v>
      </c>
      <c r="BD155" s="464">
        <f t="shared" si="98"/>
        <v>0</v>
      </c>
      <c r="BE155" s="755">
        <f t="shared" si="84"/>
        <v>0</v>
      </c>
      <c r="BF155" s="755">
        <f t="shared" si="99"/>
        <v>0</v>
      </c>
      <c r="BG155" s="466">
        <f t="shared" si="85"/>
        <v>0</v>
      </c>
      <c r="BH155" s="464">
        <f t="shared" si="86"/>
        <v>0</v>
      </c>
      <c r="BI155" s="755">
        <f t="shared" si="87"/>
        <v>0</v>
      </c>
      <c r="BJ155" s="755">
        <f t="shared" si="100"/>
        <v>0</v>
      </c>
      <c r="BK155" s="333">
        <f>IF(OR($C155&lt;&gt;"Early Retirement",$H155=""),0,IF(AND($G155&lt;&gt;"Air Cooled Chiller",$G155&lt;&gt;"Water Cooled Chiller"),VLOOKUP($H155,'Early Retirement'!$CI$6:$CL$33,2,FALSE),IF($J155&lt;&gt;"Centrifugal",VLOOKUP($H155,'Early Retirement'!$CI$6:$CL$33,3,FALSE),IF($J155="Centrifugal",VLOOKUP($H155,'Early Retirement'!$CI$6:$CL$33,4,FALSE),""))))</f>
        <v>0</v>
      </c>
      <c r="BL155" s="450">
        <f t="shared" si="88"/>
        <v>0</v>
      </c>
      <c r="BM155" s="553">
        <f>IFERROR('Utility Admin'!$I$4*((1+'Utility Admin'!$G$4)/('Utility Admin'!$H$4-'Utility Admin'!$G$4))*(1-((1+'Utility Admin'!$G$4)/(1+'Utility Admin'!$H$4))^$BK155)*$BG155,0)</f>
        <v>0</v>
      </c>
      <c r="BN155" s="553">
        <f>IFERROR('Utility Admin'!$I$4*((1+'Utility Admin'!$G$4)/('Utility Admin'!$H$4-'Utility Admin'!$G$4))*(1-((1+'Utility Admin'!$G$4)/(1+'Utility Admin'!$H$4))^$BL155)*((1+'Utility Admin'!$G$4)^$BK155/(1+'Utility Admin'!$H$4)^$BK155)*$BC155,0)</f>
        <v>0</v>
      </c>
      <c r="BO155" s="553">
        <f t="shared" si="27"/>
        <v>0</v>
      </c>
      <c r="BP155" s="553">
        <f>IFERROR('Utility Admin'!$J$4*((1+'Utility Admin'!$G$4)/('Utility Admin'!$H$4-'Utility Admin'!$G$4))*(1-((1+'Utility Admin'!$G$4)/(1+'Utility Admin'!$H$4))^$BK155)*$BJ155,0)</f>
        <v>0</v>
      </c>
      <c r="BQ155" s="553">
        <f>IFERROR('Utility Admin'!$J$4*((1+'Utility Admin'!$G$4)/('Utility Admin'!$H$4-'Utility Admin'!$G$4))*(1-((1+'Utility Admin'!$G$4)/(1+'Utility Admin'!$H$4))^$BL155)*((1+'Utility Admin'!$G$4)^$BK155/(1+'Utility Admin'!$H$4)^$BK155)*$BF155,0)</f>
        <v>0</v>
      </c>
      <c r="BR155" s="553">
        <f t="shared" si="28"/>
        <v>0</v>
      </c>
      <c r="BS155" s="553">
        <f>IFERROR('Utility Admin'!$I$4*((1+'Utility Admin'!$G$4)/('Utility Admin'!$H$4-'Utility Admin'!$G$4))*(1-((1+'Utility Admin'!$G$4)/(1+'Utility Admin'!$H$4))^$AT155),0)</f>
        <v>0</v>
      </c>
      <c r="BT155" s="553">
        <f>IFERROR('Utility Admin'!$J$4*((1+'Utility Admin'!$G$4)/('Utility Admin'!$H$4-'Utility Admin'!$G$4))*(1-((1+'Utility Admin'!$G$4)/(1+'Utility Admin'!$H$4))^$AT155),0)</f>
        <v>0</v>
      </c>
      <c r="BU155" s="459">
        <f t="shared" si="101"/>
        <v>0</v>
      </c>
      <c r="BV155" s="462">
        <f t="shared" si="102"/>
        <v>0</v>
      </c>
      <c r="BW155" s="219" t="str">
        <f t="shared" si="89"/>
        <v/>
      </c>
      <c r="BX155" s="250" t="str">
        <f t="shared" si="103"/>
        <v/>
      </c>
      <c r="BY155" s="250" t="str">
        <f t="shared" si="90"/>
        <v/>
      </c>
      <c r="BZ155" s="184">
        <f t="shared" si="104"/>
        <v>0</v>
      </c>
      <c r="CA155" s="693">
        <f t="shared" si="105"/>
        <v>0</v>
      </c>
      <c r="CB155" s="836">
        <f t="shared" si="106"/>
        <v>0</v>
      </c>
      <c r="CC155" s="693">
        <f>IF(AND($C155="Early Retirement",$H155&lt;&gt;"",$R155&lt;&gt;"",$T155&lt;&gt;""),$BZ155,Baselines!$CJ148)</f>
        <v>0</v>
      </c>
      <c r="CD155" s="693">
        <f>IF(AND($C155="Early Retirement",$H155&lt;&gt;"",$R155&lt;&gt;"",$T155&lt;&gt;""),$CA155,Baselines!$CK148)</f>
        <v>0</v>
      </c>
      <c r="CE155" s="182" t="str">
        <f>Baselines!$CL148</f>
        <v>kW/ton</v>
      </c>
      <c r="CF155" s="850" t="str">
        <f t="shared" si="91"/>
        <v/>
      </c>
      <c r="CG155" s="833">
        <f>IF(AND($C155="Early Retirement",$H155&lt;&gt;"",$R155&lt;&gt;"",$T155&lt;&gt;""),$CB155,IF(AND(Baselines!$CM148=0,OR($CL155="DX HP",$CL155="PTHP")),$BB155,Baselines!$CM148))</f>
        <v>0</v>
      </c>
      <c r="CH155" s="830" t="s">
        <v>567</v>
      </c>
      <c r="CI155" s="185" t="str">
        <f>IF(OR($C155="Replace-on-Burnout",$C155="New Construction"),$CT155,IF($BW155="","",VLOOKUP($D155,'Factor Tables'!$B$165:$H$192,MATCH($BW155,'Factor Tables'!$B$164:$H$164,0),FALSE)))</f>
        <v/>
      </c>
      <c r="CJ155" s="842" t="str">
        <f>IF(OR($C155="Replace-on-Burnout",$C155="New Construction"),$CU155,IF($BW155="","",IF($BW155="DX HP",VLOOKUP($D155,'Factor Tables'!$I$165:$Q$192,MATCH("DX HP Clg",'Factor Tables'!$I$164:$Q$164,0),FALSE),IF($BW155="PTHP",VLOOKUP($D155,'Factor Tables'!$I$165:$Q$192,MATCH("PTHP Clg",'Factor Tables'!$I$164:$Q$164,0),FALSE),IF(AND($BW155&lt;&gt;"DX HP",$BW155&lt;&gt;"PTHP"),VLOOKUP($D155,'Factor Tables'!$I$165:$Q$192,MATCH($BW155,'Factor Tables'!$I$164:$Q$164,0),FALSE),"")))))</f>
        <v/>
      </c>
      <c r="CK155" s="186" t="str">
        <f>IF(OR($C155="Replace-on-Burnout",$C155="New Construction",$CL155="DX HP",$CL155="PTHP"),$CV155,IF($BW155="","",IF($BW155="DX HP",VLOOKUP($D155,'Factor Tables'!$I$165:$Q$192,MATCH("DX HP Htg",'Factor Tables'!$I$164:$Q$164,0),FALSE),IF($BW155="PTHP",VLOOKUP($D155,'Factor Tables'!$I$165:$Q$192,MATCH("PTHP Htg",'Factor Tables'!$I$164:$Q$164,0),FALSE),0))))</f>
        <v/>
      </c>
      <c r="CL155" s="187" t="str">
        <f t="shared" si="92"/>
        <v/>
      </c>
      <c r="CM155" s="251" t="str">
        <f t="shared" si="93"/>
        <v/>
      </c>
      <c r="CN155" s="184">
        <f t="shared" si="107"/>
        <v>0</v>
      </c>
      <c r="CO155" s="693">
        <f t="shared" si="108"/>
        <v>0</v>
      </c>
      <c r="CP155" s="182" t="s">
        <v>46</v>
      </c>
      <c r="CQ155" s="852" t="str">
        <f t="shared" si="109"/>
        <v/>
      </c>
      <c r="CR155" s="833">
        <f t="shared" si="110"/>
        <v>0</v>
      </c>
      <c r="CS155" s="830" t="s">
        <v>567</v>
      </c>
      <c r="CT155" s="185" t="str">
        <f>IF($CL155="","",VLOOKUP($D155,'Factor Tables'!$B$165:$H$192,MATCH($CL155,'Factor Tables'!$B$164:$H$164,0),FALSE))</f>
        <v/>
      </c>
      <c r="CU155" s="842" t="str">
        <f>IF($CL155="","",IF(AND($CL155&lt;&gt;"DX HP",$CL155&lt;&gt;"PTHP"),VLOOKUP($D155,'Factor Tables'!$I$165:$Q$192,MATCH($CL155,'Factor Tables'!$I$164:$Q$164,0),FALSE),IF($CL155="DX HP",VLOOKUP($D155,'Factor Tables'!$I$165:$Q$192,MATCH("DX HP Clg",'Factor Tables'!$I$164:$Q$164,0),FALSE),IF($CL155="PTHP",VLOOKUP($D155,'Factor Tables'!$I$165:$Q$192,MATCH("PTHP Clg",'Factor Tables'!$I$164:$Q$164,0),FALSE),""))))</f>
        <v/>
      </c>
      <c r="CV155" s="186" t="str">
        <f>IF($CL155="","",IF(AND($CL155&lt;&gt;"DX HP",$CL155&lt;&gt;"PTHP"),0,IF($CL155="DX HP",VLOOKUP($D155,'Factor Tables'!$I$165:$Q$192,MATCH("DX HP Htg",'Factor Tables'!$I$164:$Q$164,0),FALSE),IF($CL155="PTHP",VLOOKUP($D155,'Factor Tables'!$I$165:$Q$192,MATCH("PTHP Htg",'Factor Tables'!$I$164:$Q$164,0),FALSE),""))))</f>
        <v/>
      </c>
      <c r="DD155" s="898" t="s">
        <v>44</v>
      </c>
      <c r="DE155" s="426"/>
      <c r="DI155" s="425"/>
      <c r="DJ155" s="425"/>
      <c r="DK155" s="425"/>
      <c r="DL155" s="425"/>
      <c r="DM155" s="493" t="s">
        <v>478</v>
      </c>
    </row>
    <row r="156" spans="2:117" s="427" customFormat="1" ht="21.95" customHeight="1" x14ac:dyDescent="0.25">
      <c r="B156" s="431">
        <v>147</v>
      </c>
      <c r="C156" s="501" t="str">
        <f t="shared" si="94"/>
        <v/>
      </c>
      <c r="D156" s="502" t="str">
        <f t="shared" si="95"/>
        <v/>
      </c>
      <c r="E156" s="546"/>
      <c r="F156" s="547"/>
      <c r="G156" s="729"/>
      <c r="H156" s="729"/>
      <c r="I156" s="729"/>
      <c r="J156" s="729"/>
      <c r="K156" s="729"/>
      <c r="L156" s="729"/>
      <c r="M156" s="765"/>
      <c r="N156" s="758"/>
      <c r="O156" s="765"/>
      <c r="P156" s="758"/>
      <c r="Q156" s="1143"/>
      <c r="R156" s="1134"/>
      <c r="S156" s="775"/>
      <c r="T156" s="729"/>
      <c r="U156" s="775"/>
      <c r="V156" s="779"/>
      <c r="W156" s="557"/>
      <c r="X156" s="788"/>
      <c r="Y156" s="543"/>
      <c r="Z156" s="281"/>
      <c r="AA156" s="281"/>
      <c r="AB156" s="281"/>
      <c r="AC156" s="281"/>
      <c r="AD156" s="492"/>
      <c r="AE156" s="527">
        <f t="shared" si="39"/>
        <v>0</v>
      </c>
      <c r="AF156" s="527">
        <f t="shared" si="96"/>
        <v>0</v>
      </c>
      <c r="AG156" s="527">
        <f t="shared" si="76"/>
        <v>0</v>
      </c>
      <c r="AH156" s="527">
        <f t="shared" si="77"/>
        <v>0</v>
      </c>
      <c r="AI156" s="527">
        <f t="shared" si="78"/>
        <v>0</v>
      </c>
      <c r="AJ156" s="527">
        <f t="shared" si="79"/>
        <v>999999999</v>
      </c>
      <c r="AK156" s="471"/>
      <c r="AL156" s="765"/>
      <c r="AM156" s="758"/>
      <c r="AN156" s="281"/>
      <c r="AO156" s="775"/>
      <c r="AP156" s="775"/>
      <c r="AQ156" s="281"/>
      <c r="AR156" s="528"/>
      <c r="AS156" s="532"/>
      <c r="AT156" s="524" t="str">
        <f t="shared" si="80"/>
        <v/>
      </c>
      <c r="AU156" s="311">
        <f t="shared" si="81"/>
        <v>0</v>
      </c>
      <c r="AV156" s="288">
        <f t="shared" si="97"/>
        <v>0</v>
      </c>
      <c r="AW156" s="290">
        <f>IF(ISERROR($AU156*'Utility Admin'!$E$4+$AV156*'Utility Admin'!$F$4),0,$AU156*'Utility Admin'!$E$4+$AV156*'Utility Admin'!$F$4)</f>
        <v>0</v>
      </c>
      <c r="AX156" s="323" t="str">
        <f t="shared" si="82"/>
        <v/>
      </c>
      <c r="AY156" s="322" t="str">
        <f t="shared" si="23"/>
        <v/>
      </c>
      <c r="AZ156" s="319">
        <f>Baselines!$CJ400</f>
        <v>0</v>
      </c>
      <c r="BA156" s="735">
        <f>Baselines!$CK400</f>
        <v>0</v>
      </c>
      <c r="BB156" s="839">
        <f>Baselines!$CM400</f>
        <v>0</v>
      </c>
      <c r="BC156" s="466">
        <f t="shared" si="83"/>
        <v>0</v>
      </c>
      <c r="BD156" s="464">
        <f t="shared" si="98"/>
        <v>0</v>
      </c>
      <c r="BE156" s="755">
        <f t="shared" si="84"/>
        <v>0</v>
      </c>
      <c r="BF156" s="755">
        <f t="shared" si="99"/>
        <v>0</v>
      </c>
      <c r="BG156" s="466">
        <f t="shared" si="85"/>
        <v>0</v>
      </c>
      <c r="BH156" s="464">
        <f t="shared" si="86"/>
        <v>0</v>
      </c>
      <c r="BI156" s="755">
        <f t="shared" si="87"/>
        <v>0</v>
      </c>
      <c r="BJ156" s="755">
        <f t="shared" si="100"/>
        <v>0</v>
      </c>
      <c r="BK156" s="333">
        <f>IF(OR($C156&lt;&gt;"Early Retirement",$H156=""),0,IF(AND($G156&lt;&gt;"Air Cooled Chiller",$G156&lt;&gt;"Water Cooled Chiller"),VLOOKUP($H156,'Early Retirement'!$CI$6:$CL$33,2,FALSE),IF($J156&lt;&gt;"Centrifugal",VLOOKUP($H156,'Early Retirement'!$CI$6:$CL$33,3,FALSE),IF($J156="Centrifugal",VLOOKUP($H156,'Early Retirement'!$CI$6:$CL$33,4,FALSE),""))))</f>
        <v>0</v>
      </c>
      <c r="BL156" s="450">
        <f t="shared" si="88"/>
        <v>0</v>
      </c>
      <c r="BM156" s="553">
        <f>IFERROR('Utility Admin'!$I$4*((1+'Utility Admin'!$G$4)/('Utility Admin'!$H$4-'Utility Admin'!$G$4))*(1-((1+'Utility Admin'!$G$4)/(1+'Utility Admin'!$H$4))^$BK156)*$BG156,0)</f>
        <v>0</v>
      </c>
      <c r="BN156" s="553">
        <f>IFERROR('Utility Admin'!$I$4*((1+'Utility Admin'!$G$4)/('Utility Admin'!$H$4-'Utility Admin'!$G$4))*(1-((1+'Utility Admin'!$G$4)/(1+'Utility Admin'!$H$4))^$BL156)*((1+'Utility Admin'!$G$4)^$BK156/(1+'Utility Admin'!$H$4)^$BK156)*$BC156,0)</f>
        <v>0</v>
      </c>
      <c r="BO156" s="553">
        <f t="shared" si="27"/>
        <v>0</v>
      </c>
      <c r="BP156" s="553">
        <f>IFERROR('Utility Admin'!$J$4*((1+'Utility Admin'!$G$4)/('Utility Admin'!$H$4-'Utility Admin'!$G$4))*(1-((1+'Utility Admin'!$G$4)/(1+'Utility Admin'!$H$4))^$BK156)*$BJ156,0)</f>
        <v>0</v>
      </c>
      <c r="BQ156" s="553">
        <f>IFERROR('Utility Admin'!$J$4*((1+'Utility Admin'!$G$4)/('Utility Admin'!$H$4-'Utility Admin'!$G$4))*(1-((1+'Utility Admin'!$G$4)/(1+'Utility Admin'!$H$4))^$BL156)*((1+'Utility Admin'!$G$4)^$BK156/(1+'Utility Admin'!$H$4)^$BK156)*$BF156,0)</f>
        <v>0</v>
      </c>
      <c r="BR156" s="553">
        <f t="shared" si="28"/>
        <v>0</v>
      </c>
      <c r="BS156" s="553">
        <f>IFERROR('Utility Admin'!$I$4*((1+'Utility Admin'!$G$4)/('Utility Admin'!$H$4-'Utility Admin'!$G$4))*(1-((1+'Utility Admin'!$G$4)/(1+'Utility Admin'!$H$4))^$AT156),0)</f>
        <v>0</v>
      </c>
      <c r="BT156" s="553">
        <f>IFERROR('Utility Admin'!$J$4*((1+'Utility Admin'!$G$4)/('Utility Admin'!$H$4-'Utility Admin'!$G$4))*(1-((1+'Utility Admin'!$G$4)/(1+'Utility Admin'!$H$4))^$AT156),0)</f>
        <v>0</v>
      </c>
      <c r="BU156" s="459">
        <f t="shared" si="101"/>
        <v>0</v>
      </c>
      <c r="BV156" s="462">
        <f t="shared" si="102"/>
        <v>0</v>
      </c>
      <c r="BW156" s="219" t="str">
        <f t="shared" si="89"/>
        <v/>
      </c>
      <c r="BX156" s="250" t="str">
        <f t="shared" si="103"/>
        <v/>
      </c>
      <c r="BY156" s="250" t="str">
        <f t="shared" si="90"/>
        <v/>
      </c>
      <c r="BZ156" s="184">
        <f t="shared" si="104"/>
        <v>0</v>
      </c>
      <c r="CA156" s="693">
        <f t="shared" si="105"/>
        <v>0</v>
      </c>
      <c r="CB156" s="836">
        <f t="shared" si="106"/>
        <v>0</v>
      </c>
      <c r="CC156" s="693">
        <f>IF(AND($C156="Early Retirement",$H156&lt;&gt;"",$R156&lt;&gt;"",$T156&lt;&gt;""),$BZ156,Baselines!$CJ149)</f>
        <v>0</v>
      </c>
      <c r="CD156" s="693">
        <f>IF(AND($C156="Early Retirement",$H156&lt;&gt;"",$R156&lt;&gt;"",$T156&lt;&gt;""),$CA156,Baselines!$CK149)</f>
        <v>0</v>
      </c>
      <c r="CE156" s="182" t="str">
        <f>Baselines!$CL149</f>
        <v>kW/ton</v>
      </c>
      <c r="CF156" s="850" t="str">
        <f t="shared" si="91"/>
        <v/>
      </c>
      <c r="CG156" s="833">
        <f>IF(AND($C156="Early Retirement",$H156&lt;&gt;"",$R156&lt;&gt;"",$T156&lt;&gt;""),$CB156,IF(AND(Baselines!$CM149=0,OR($CL156="DX HP",$CL156="PTHP")),$BB156,Baselines!$CM149))</f>
        <v>0</v>
      </c>
      <c r="CH156" s="830" t="s">
        <v>567</v>
      </c>
      <c r="CI156" s="185" t="str">
        <f>IF(OR($C156="Replace-on-Burnout",$C156="New Construction"),$CT156,IF($BW156="","",VLOOKUP($D156,'Factor Tables'!$B$165:$H$192,MATCH($BW156,'Factor Tables'!$B$164:$H$164,0),FALSE)))</f>
        <v/>
      </c>
      <c r="CJ156" s="842" t="str">
        <f>IF(OR($C156="Replace-on-Burnout",$C156="New Construction"),$CU156,IF($BW156="","",IF($BW156="DX HP",VLOOKUP($D156,'Factor Tables'!$I$165:$Q$192,MATCH("DX HP Clg",'Factor Tables'!$I$164:$Q$164,0),FALSE),IF($BW156="PTHP",VLOOKUP($D156,'Factor Tables'!$I$165:$Q$192,MATCH("PTHP Clg",'Factor Tables'!$I$164:$Q$164,0),FALSE),IF(AND($BW156&lt;&gt;"DX HP",$BW156&lt;&gt;"PTHP"),VLOOKUP($D156,'Factor Tables'!$I$165:$Q$192,MATCH($BW156,'Factor Tables'!$I$164:$Q$164,0),FALSE),"")))))</f>
        <v/>
      </c>
      <c r="CK156" s="186" t="str">
        <f>IF(OR($C156="Replace-on-Burnout",$C156="New Construction",$CL156="DX HP",$CL156="PTHP"),$CV156,IF($BW156="","",IF($BW156="DX HP",VLOOKUP($D156,'Factor Tables'!$I$165:$Q$192,MATCH("DX HP Htg",'Factor Tables'!$I$164:$Q$164,0),FALSE),IF($BW156="PTHP",VLOOKUP($D156,'Factor Tables'!$I$165:$Q$192,MATCH("PTHP Htg",'Factor Tables'!$I$164:$Q$164,0),FALSE),0))))</f>
        <v/>
      </c>
      <c r="CL156" s="187" t="str">
        <f t="shared" si="92"/>
        <v/>
      </c>
      <c r="CM156" s="251" t="str">
        <f t="shared" si="93"/>
        <v/>
      </c>
      <c r="CN156" s="184">
        <f t="shared" si="107"/>
        <v>0</v>
      </c>
      <c r="CO156" s="693">
        <f t="shared" si="108"/>
        <v>0</v>
      </c>
      <c r="CP156" s="182" t="s">
        <v>46</v>
      </c>
      <c r="CQ156" s="852" t="str">
        <f t="shared" si="109"/>
        <v/>
      </c>
      <c r="CR156" s="833">
        <f t="shared" si="110"/>
        <v>0</v>
      </c>
      <c r="CS156" s="830" t="s">
        <v>567</v>
      </c>
      <c r="CT156" s="185" t="str">
        <f>IF($CL156="","",VLOOKUP($D156,'Factor Tables'!$B$165:$H$192,MATCH($CL156,'Factor Tables'!$B$164:$H$164,0),FALSE))</f>
        <v/>
      </c>
      <c r="CU156" s="842" t="str">
        <f>IF($CL156="","",IF(AND($CL156&lt;&gt;"DX HP",$CL156&lt;&gt;"PTHP"),VLOOKUP($D156,'Factor Tables'!$I$165:$Q$192,MATCH($CL156,'Factor Tables'!$I$164:$Q$164,0),FALSE),IF($CL156="DX HP",VLOOKUP($D156,'Factor Tables'!$I$165:$Q$192,MATCH("DX HP Clg",'Factor Tables'!$I$164:$Q$164,0),FALSE),IF($CL156="PTHP",VLOOKUP($D156,'Factor Tables'!$I$165:$Q$192,MATCH("PTHP Clg",'Factor Tables'!$I$164:$Q$164,0),FALSE),""))))</f>
        <v/>
      </c>
      <c r="CV156" s="186" t="str">
        <f>IF($CL156="","",IF(AND($CL156&lt;&gt;"DX HP",$CL156&lt;&gt;"PTHP"),0,IF($CL156="DX HP",VLOOKUP($D156,'Factor Tables'!$I$165:$Q$192,MATCH("DX HP Htg",'Factor Tables'!$I$164:$Q$164,0),FALSE),IF($CL156="PTHP",VLOOKUP($D156,'Factor Tables'!$I$165:$Q$192,MATCH("PTHP Htg",'Factor Tables'!$I$164:$Q$164,0),FALSE),""))))</f>
        <v/>
      </c>
      <c r="DD156" s="898" t="s">
        <v>43</v>
      </c>
      <c r="DE156" s="426"/>
      <c r="DI156" s="425"/>
      <c r="DJ156" s="425"/>
      <c r="DK156" s="425"/>
      <c r="DL156" s="425"/>
      <c r="DM156" s="493" t="s">
        <v>478</v>
      </c>
    </row>
    <row r="157" spans="2:117" s="427" customFormat="1" ht="21.95" customHeight="1" x14ac:dyDescent="0.25">
      <c r="B157" s="432">
        <v>148</v>
      </c>
      <c r="C157" s="499" t="str">
        <f t="shared" si="94"/>
        <v/>
      </c>
      <c r="D157" s="403" t="str">
        <f t="shared" si="95"/>
        <v/>
      </c>
      <c r="E157" s="541"/>
      <c r="F157" s="785"/>
      <c r="G157" s="728"/>
      <c r="H157" s="728"/>
      <c r="I157" s="728"/>
      <c r="J157" s="728"/>
      <c r="K157" s="728"/>
      <c r="L157" s="728"/>
      <c r="M157" s="764"/>
      <c r="N157" s="728"/>
      <c r="O157" s="764"/>
      <c r="P157" s="728"/>
      <c r="Q157" s="1142"/>
      <c r="R157" s="1133"/>
      <c r="S157" s="778"/>
      <c r="T157" s="767"/>
      <c r="U157" s="778"/>
      <c r="V157" s="751"/>
      <c r="W157" s="556"/>
      <c r="X157" s="785"/>
      <c r="Y157" s="542"/>
      <c r="Z157" s="500"/>
      <c r="AA157" s="500"/>
      <c r="AB157" s="500"/>
      <c r="AC157" s="500"/>
      <c r="AD157" s="529"/>
      <c r="AE157" s="527">
        <f t="shared" si="39"/>
        <v>0</v>
      </c>
      <c r="AF157" s="527">
        <f t="shared" si="96"/>
        <v>0</v>
      </c>
      <c r="AG157" s="527">
        <f t="shared" si="76"/>
        <v>0</v>
      </c>
      <c r="AH157" s="527">
        <f t="shared" si="77"/>
        <v>0</v>
      </c>
      <c r="AI157" s="527">
        <f t="shared" si="78"/>
        <v>0</v>
      </c>
      <c r="AJ157" s="527">
        <f t="shared" si="79"/>
        <v>999999999</v>
      </c>
      <c r="AK157" s="530"/>
      <c r="AL157" s="776"/>
      <c r="AM157" s="777"/>
      <c r="AN157" s="500"/>
      <c r="AO157" s="778"/>
      <c r="AP157" s="778"/>
      <c r="AQ157" s="500"/>
      <c r="AR157" s="531"/>
      <c r="AS157" s="403"/>
      <c r="AT157" s="524" t="str">
        <f t="shared" si="80"/>
        <v/>
      </c>
      <c r="AU157" s="311">
        <f t="shared" si="81"/>
        <v>0</v>
      </c>
      <c r="AV157" s="288">
        <f t="shared" si="97"/>
        <v>0</v>
      </c>
      <c r="AW157" s="290">
        <f>IF(ISERROR($AU157*'Utility Admin'!$E$4+$AV157*'Utility Admin'!$F$4),0,$AU157*'Utility Admin'!$E$4+$AV157*'Utility Admin'!$F$4)</f>
        <v>0</v>
      </c>
      <c r="AX157" s="323" t="str">
        <f t="shared" si="82"/>
        <v/>
      </c>
      <c r="AY157" s="322" t="str">
        <f t="shared" si="23"/>
        <v/>
      </c>
      <c r="AZ157" s="319">
        <f>Baselines!$CJ401</f>
        <v>0</v>
      </c>
      <c r="BA157" s="735">
        <f>Baselines!$CK401</f>
        <v>0</v>
      </c>
      <c r="BB157" s="839">
        <f>Baselines!$CM401</f>
        <v>0</v>
      </c>
      <c r="BC157" s="466">
        <f t="shared" si="83"/>
        <v>0</v>
      </c>
      <c r="BD157" s="464">
        <f t="shared" si="98"/>
        <v>0</v>
      </c>
      <c r="BE157" s="755">
        <f t="shared" si="84"/>
        <v>0</v>
      </c>
      <c r="BF157" s="755">
        <f t="shared" si="99"/>
        <v>0</v>
      </c>
      <c r="BG157" s="466">
        <f t="shared" si="85"/>
        <v>0</v>
      </c>
      <c r="BH157" s="464">
        <f t="shared" si="86"/>
        <v>0</v>
      </c>
      <c r="BI157" s="755">
        <f t="shared" si="87"/>
        <v>0</v>
      </c>
      <c r="BJ157" s="755">
        <f t="shared" si="100"/>
        <v>0</v>
      </c>
      <c r="BK157" s="333">
        <f>IF(OR($C157&lt;&gt;"Early Retirement",$H157=""),0,IF(AND($G157&lt;&gt;"Air Cooled Chiller",$G157&lt;&gt;"Water Cooled Chiller"),VLOOKUP($H157,'Early Retirement'!$CI$6:$CL$33,2,FALSE),IF($J157&lt;&gt;"Centrifugal",VLOOKUP($H157,'Early Retirement'!$CI$6:$CL$33,3,FALSE),IF($J157="Centrifugal",VLOOKUP($H157,'Early Retirement'!$CI$6:$CL$33,4,FALSE),""))))</f>
        <v>0</v>
      </c>
      <c r="BL157" s="450">
        <f t="shared" si="88"/>
        <v>0</v>
      </c>
      <c r="BM157" s="553">
        <f>IFERROR('Utility Admin'!$I$4*((1+'Utility Admin'!$G$4)/('Utility Admin'!$H$4-'Utility Admin'!$G$4))*(1-((1+'Utility Admin'!$G$4)/(1+'Utility Admin'!$H$4))^$BK157)*$BG157,0)</f>
        <v>0</v>
      </c>
      <c r="BN157" s="553">
        <f>IFERROR('Utility Admin'!$I$4*((1+'Utility Admin'!$G$4)/('Utility Admin'!$H$4-'Utility Admin'!$G$4))*(1-((1+'Utility Admin'!$G$4)/(1+'Utility Admin'!$H$4))^$BL157)*((1+'Utility Admin'!$G$4)^$BK157/(1+'Utility Admin'!$H$4)^$BK157)*$BC157,0)</f>
        <v>0</v>
      </c>
      <c r="BO157" s="553">
        <f t="shared" si="27"/>
        <v>0</v>
      </c>
      <c r="BP157" s="553">
        <f>IFERROR('Utility Admin'!$J$4*((1+'Utility Admin'!$G$4)/('Utility Admin'!$H$4-'Utility Admin'!$G$4))*(1-((1+'Utility Admin'!$G$4)/(1+'Utility Admin'!$H$4))^$BK157)*$BJ157,0)</f>
        <v>0</v>
      </c>
      <c r="BQ157" s="553">
        <f>IFERROR('Utility Admin'!$J$4*((1+'Utility Admin'!$G$4)/('Utility Admin'!$H$4-'Utility Admin'!$G$4))*(1-((1+'Utility Admin'!$G$4)/(1+'Utility Admin'!$H$4))^$BL157)*((1+'Utility Admin'!$G$4)^$BK157/(1+'Utility Admin'!$H$4)^$BK157)*$BF157,0)</f>
        <v>0</v>
      </c>
      <c r="BR157" s="553">
        <f t="shared" si="28"/>
        <v>0</v>
      </c>
      <c r="BS157" s="553">
        <f>IFERROR('Utility Admin'!$I$4*((1+'Utility Admin'!$G$4)/('Utility Admin'!$H$4-'Utility Admin'!$G$4))*(1-((1+'Utility Admin'!$G$4)/(1+'Utility Admin'!$H$4))^$AT157),0)</f>
        <v>0</v>
      </c>
      <c r="BT157" s="553">
        <f>IFERROR('Utility Admin'!$J$4*((1+'Utility Admin'!$G$4)/('Utility Admin'!$H$4-'Utility Admin'!$G$4))*(1-((1+'Utility Admin'!$G$4)/(1+'Utility Admin'!$H$4))^$AT157),0)</f>
        <v>0</v>
      </c>
      <c r="BU157" s="459">
        <f t="shared" si="101"/>
        <v>0</v>
      </c>
      <c r="BV157" s="462">
        <f t="shared" si="102"/>
        <v>0</v>
      </c>
      <c r="BW157" s="219" t="str">
        <f t="shared" si="89"/>
        <v/>
      </c>
      <c r="BX157" s="250" t="str">
        <f t="shared" si="103"/>
        <v/>
      </c>
      <c r="BY157" s="250" t="str">
        <f t="shared" si="90"/>
        <v/>
      </c>
      <c r="BZ157" s="184">
        <f t="shared" si="104"/>
        <v>0</v>
      </c>
      <c r="CA157" s="693">
        <f t="shared" si="105"/>
        <v>0</v>
      </c>
      <c r="CB157" s="836">
        <f t="shared" si="106"/>
        <v>0</v>
      </c>
      <c r="CC157" s="693">
        <f>IF(AND($C157="Early Retirement",$H157&lt;&gt;"",$R157&lt;&gt;"",$T157&lt;&gt;""),$BZ157,Baselines!$CJ150)</f>
        <v>0</v>
      </c>
      <c r="CD157" s="693">
        <f>IF(AND($C157="Early Retirement",$H157&lt;&gt;"",$R157&lt;&gt;"",$T157&lt;&gt;""),$CA157,Baselines!$CK150)</f>
        <v>0</v>
      </c>
      <c r="CE157" s="182" t="str">
        <f>Baselines!$CL150</f>
        <v>kW/ton</v>
      </c>
      <c r="CF157" s="850" t="str">
        <f t="shared" si="91"/>
        <v/>
      </c>
      <c r="CG157" s="833">
        <f>IF(AND($C157="Early Retirement",$H157&lt;&gt;"",$R157&lt;&gt;"",$T157&lt;&gt;""),$CB157,IF(AND(Baselines!$CM150=0,OR($CL157="DX HP",$CL157="PTHP")),$BB157,Baselines!$CM150))</f>
        <v>0</v>
      </c>
      <c r="CH157" s="830" t="s">
        <v>567</v>
      </c>
      <c r="CI157" s="185" t="str">
        <f>IF(OR($C157="Replace-on-Burnout",$C157="New Construction"),$CT157,IF($BW157="","",VLOOKUP($D157,'Factor Tables'!$B$165:$H$192,MATCH($BW157,'Factor Tables'!$B$164:$H$164,0),FALSE)))</f>
        <v/>
      </c>
      <c r="CJ157" s="842" t="str">
        <f>IF(OR($C157="Replace-on-Burnout",$C157="New Construction"),$CU157,IF($BW157="","",IF($BW157="DX HP",VLOOKUP($D157,'Factor Tables'!$I$165:$Q$192,MATCH("DX HP Clg",'Factor Tables'!$I$164:$Q$164,0),FALSE),IF($BW157="PTHP",VLOOKUP($D157,'Factor Tables'!$I$165:$Q$192,MATCH("PTHP Clg",'Factor Tables'!$I$164:$Q$164,0),FALSE),IF(AND($BW157&lt;&gt;"DX HP",$BW157&lt;&gt;"PTHP"),VLOOKUP($D157,'Factor Tables'!$I$165:$Q$192,MATCH($BW157,'Factor Tables'!$I$164:$Q$164,0),FALSE),"")))))</f>
        <v/>
      </c>
      <c r="CK157" s="186" t="str">
        <f>IF(OR($C157="Replace-on-Burnout",$C157="New Construction",$CL157="DX HP",$CL157="PTHP"),$CV157,IF($BW157="","",IF($BW157="DX HP",VLOOKUP($D157,'Factor Tables'!$I$165:$Q$192,MATCH("DX HP Htg",'Factor Tables'!$I$164:$Q$164,0),FALSE),IF($BW157="PTHP",VLOOKUP($D157,'Factor Tables'!$I$165:$Q$192,MATCH("PTHP Htg",'Factor Tables'!$I$164:$Q$164,0),FALSE),0))))</f>
        <v/>
      </c>
      <c r="CL157" s="187" t="str">
        <f t="shared" si="92"/>
        <v/>
      </c>
      <c r="CM157" s="251" t="str">
        <f t="shared" si="93"/>
        <v/>
      </c>
      <c r="CN157" s="184">
        <f t="shared" si="107"/>
        <v>0</v>
      </c>
      <c r="CO157" s="693">
        <f t="shared" si="108"/>
        <v>0</v>
      </c>
      <c r="CP157" s="182" t="s">
        <v>46</v>
      </c>
      <c r="CQ157" s="852" t="str">
        <f t="shared" si="109"/>
        <v/>
      </c>
      <c r="CR157" s="833">
        <f t="shared" si="110"/>
        <v>0</v>
      </c>
      <c r="CS157" s="830" t="s">
        <v>567</v>
      </c>
      <c r="CT157" s="185" t="str">
        <f>IF($CL157="","",VLOOKUP($D157,'Factor Tables'!$B$165:$H$192,MATCH($CL157,'Factor Tables'!$B$164:$H$164,0),FALSE))</f>
        <v/>
      </c>
      <c r="CU157" s="842" t="str">
        <f>IF($CL157="","",IF(AND($CL157&lt;&gt;"DX HP",$CL157&lt;&gt;"PTHP"),VLOOKUP($D157,'Factor Tables'!$I$165:$Q$192,MATCH($CL157,'Factor Tables'!$I$164:$Q$164,0),FALSE),IF($CL157="DX HP",VLOOKUP($D157,'Factor Tables'!$I$165:$Q$192,MATCH("DX HP Clg",'Factor Tables'!$I$164:$Q$164,0),FALSE),IF($CL157="PTHP",VLOOKUP($D157,'Factor Tables'!$I$165:$Q$192,MATCH("PTHP Clg",'Factor Tables'!$I$164:$Q$164,0),FALSE),""))))</f>
        <v/>
      </c>
      <c r="CV157" s="186" t="str">
        <f>IF($CL157="","",IF(AND($CL157&lt;&gt;"DX HP",$CL157&lt;&gt;"PTHP"),0,IF($CL157="DX HP",VLOOKUP($D157,'Factor Tables'!$I$165:$Q$192,MATCH("DX HP Htg",'Factor Tables'!$I$164:$Q$164,0),FALSE),IF($CL157="PTHP",VLOOKUP($D157,'Factor Tables'!$I$165:$Q$192,MATCH("PTHP Htg",'Factor Tables'!$I$164:$Q$164,0),FALSE),""))))</f>
        <v/>
      </c>
      <c r="DD157" s="902" t="s">
        <v>53</v>
      </c>
      <c r="DE157" s="426"/>
      <c r="DI157" s="425"/>
      <c r="DJ157" s="425"/>
      <c r="DK157" s="425"/>
      <c r="DL157" s="425"/>
      <c r="DM157" s="493" t="s">
        <v>478</v>
      </c>
    </row>
    <row r="158" spans="2:117" s="427" customFormat="1" ht="21.95" customHeight="1" x14ac:dyDescent="0.25">
      <c r="B158" s="431">
        <v>149</v>
      </c>
      <c r="C158" s="501" t="str">
        <f t="shared" si="94"/>
        <v/>
      </c>
      <c r="D158" s="502" t="str">
        <f t="shared" si="95"/>
        <v/>
      </c>
      <c r="E158" s="546"/>
      <c r="F158" s="547"/>
      <c r="G158" s="729"/>
      <c r="H158" s="729"/>
      <c r="I158" s="729"/>
      <c r="J158" s="729"/>
      <c r="K158" s="729"/>
      <c r="L158" s="729"/>
      <c r="M158" s="765"/>
      <c r="N158" s="758"/>
      <c r="O158" s="765"/>
      <c r="P158" s="758"/>
      <c r="Q158" s="1143"/>
      <c r="R158" s="1134"/>
      <c r="S158" s="775"/>
      <c r="T158" s="729"/>
      <c r="U158" s="775"/>
      <c r="V158" s="779"/>
      <c r="W158" s="557"/>
      <c r="X158" s="788"/>
      <c r="Y158" s="543"/>
      <c r="Z158" s="281"/>
      <c r="AA158" s="281"/>
      <c r="AB158" s="281"/>
      <c r="AC158" s="281"/>
      <c r="AD158" s="492"/>
      <c r="AE158" s="527">
        <f t="shared" si="39"/>
        <v>0</v>
      </c>
      <c r="AF158" s="527">
        <f t="shared" si="96"/>
        <v>0</v>
      </c>
      <c r="AG158" s="527">
        <f t="shared" si="76"/>
        <v>0</v>
      </c>
      <c r="AH158" s="527">
        <f t="shared" si="77"/>
        <v>0</v>
      </c>
      <c r="AI158" s="527">
        <f t="shared" si="78"/>
        <v>0</v>
      </c>
      <c r="AJ158" s="527">
        <f t="shared" si="79"/>
        <v>999999999</v>
      </c>
      <c r="AK158" s="471"/>
      <c r="AL158" s="765"/>
      <c r="AM158" s="758"/>
      <c r="AN158" s="281"/>
      <c r="AO158" s="775"/>
      <c r="AP158" s="775"/>
      <c r="AQ158" s="281"/>
      <c r="AR158" s="528"/>
      <c r="AS158" s="532"/>
      <c r="AT158" s="524" t="str">
        <f t="shared" si="80"/>
        <v/>
      </c>
      <c r="AU158" s="311">
        <f t="shared" si="81"/>
        <v>0</v>
      </c>
      <c r="AV158" s="288">
        <f t="shared" si="97"/>
        <v>0</v>
      </c>
      <c r="AW158" s="290">
        <f>IF(ISERROR($AU158*'Utility Admin'!$E$4+$AV158*'Utility Admin'!$F$4),0,$AU158*'Utility Admin'!$E$4+$AV158*'Utility Admin'!$F$4)</f>
        <v>0</v>
      </c>
      <c r="AX158" s="323" t="str">
        <f t="shared" si="82"/>
        <v/>
      </c>
      <c r="AY158" s="322" t="str">
        <f t="shared" si="23"/>
        <v/>
      </c>
      <c r="AZ158" s="319">
        <f>Baselines!$CJ402</f>
        <v>0</v>
      </c>
      <c r="BA158" s="735">
        <f>Baselines!$CK402</f>
        <v>0</v>
      </c>
      <c r="BB158" s="839">
        <f>Baselines!$CM402</f>
        <v>0</v>
      </c>
      <c r="BC158" s="466">
        <f t="shared" si="83"/>
        <v>0</v>
      </c>
      <c r="BD158" s="464">
        <f t="shared" si="98"/>
        <v>0</v>
      </c>
      <c r="BE158" s="755">
        <f t="shared" si="84"/>
        <v>0</v>
      </c>
      <c r="BF158" s="755">
        <f t="shared" si="99"/>
        <v>0</v>
      </c>
      <c r="BG158" s="466">
        <f t="shared" si="85"/>
        <v>0</v>
      </c>
      <c r="BH158" s="464">
        <f t="shared" si="86"/>
        <v>0</v>
      </c>
      <c r="BI158" s="755">
        <f t="shared" si="87"/>
        <v>0</v>
      </c>
      <c r="BJ158" s="755">
        <f t="shared" si="100"/>
        <v>0</v>
      </c>
      <c r="BK158" s="333">
        <f>IF(OR($C158&lt;&gt;"Early Retirement",$H158=""),0,IF(AND($G158&lt;&gt;"Air Cooled Chiller",$G158&lt;&gt;"Water Cooled Chiller"),VLOOKUP($H158,'Early Retirement'!$CI$6:$CL$33,2,FALSE),IF($J158&lt;&gt;"Centrifugal",VLOOKUP($H158,'Early Retirement'!$CI$6:$CL$33,3,FALSE),IF($J158="Centrifugal",VLOOKUP($H158,'Early Retirement'!$CI$6:$CL$33,4,FALSE),""))))</f>
        <v>0</v>
      </c>
      <c r="BL158" s="450">
        <f t="shared" si="88"/>
        <v>0</v>
      </c>
      <c r="BM158" s="553">
        <f>IFERROR('Utility Admin'!$I$4*((1+'Utility Admin'!$G$4)/('Utility Admin'!$H$4-'Utility Admin'!$G$4))*(1-((1+'Utility Admin'!$G$4)/(1+'Utility Admin'!$H$4))^$BK158)*$BG158,0)</f>
        <v>0</v>
      </c>
      <c r="BN158" s="553">
        <f>IFERROR('Utility Admin'!$I$4*((1+'Utility Admin'!$G$4)/('Utility Admin'!$H$4-'Utility Admin'!$G$4))*(1-((1+'Utility Admin'!$G$4)/(1+'Utility Admin'!$H$4))^$BL158)*((1+'Utility Admin'!$G$4)^$BK158/(1+'Utility Admin'!$H$4)^$BK158)*$BC158,0)</f>
        <v>0</v>
      </c>
      <c r="BO158" s="553">
        <f t="shared" si="27"/>
        <v>0</v>
      </c>
      <c r="BP158" s="553">
        <f>IFERROR('Utility Admin'!$J$4*((1+'Utility Admin'!$G$4)/('Utility Admin'!$H$4-'Utility Admin'!$G$4))*(1-((1+'Utility Admin'!$G$4)/(1+'Utility Admin'!$H$4))^$BK158)*$BJ158,0)</f>
        <v>0</v>
      </c>
      <c r="BQ158" s="553">
        <f>IFERROR('Utility Admin'!$J$4*((1+'Utility Admin'!$G$4)/('Utility Admin'!$H$4-'Utility Admin'!$G$4))*(1-((1+'Utility Admin'!$G$4)/(1+'Utility Admin'!$H$4))^$BL158)*((1+'Utility Admin'!$G$4)^$BK158/(1+'Utility Admin'!$H$4)^$BK158)*$BF158,0)</f>
        <v>0</v>
      </c>
      <c r="BR158" s="553">
        <f t="shared" si="28"/>
        <v>0</v>
      </c>
      <c r="BS158" s="553">
        <f>IFERROR('Utility Admin'!$I$4*((1+'Utility Admin'!$G$4)/('Utility Admin'!$H$4-'Utility Admin'!$G$4))*(1-((1+'Utility Admin'!$G$4)/(1+'Utility Admin'!$H$4))^$AT158),0)</f>
        <v>0</v>
      </c>
      <c r="BT158" s="553">
        <f>IFERROR('Utility Admin'!$J$4*((1+'Utility Admin'!$G$4)/('Utility Admin'!$H$4-'Utility Admin'!$G$4))*(1-((1+'Utility Admin'!$G$4)/(1+'Utility Admin'!$H$4))^$AT158),0)</f>
        <v>0</v>
      </c>
      <c r="BU158" s="459">
        <f t="shared" si="101"/>
        <v>0</v>
      </c>
      <c r="BV158" s="462">
        <f t="shared" si="102"/>
        <v>0</v>
      </c>
      <c r="BW158" s="219" t="str">
        <f t="shared" si="89"/>
        <v/>
      </c>
      <c r="BX158" s="250" t="str">
        <f t="shared" si="103"/>
        <v/>
      </c>
      <c r="BY158" s="250" t="str">
        <f t="shared" si="90"/>
        <v/>
      </c>
      <c r="BZ158" s="184">
        <f t="shared" si="104"/>
        <v>0</v>
      </c>
      <c r="CA158" s="693">
        <f t="shared" si="105"/>
        <v>0</v>
      </c>
      <c r="CB158" s="836">
        <f t="shared" si="106"/>
        <v>0</v>
      </c>
      <c r="CC158" s="693">
        <f>IF(AND($C158="Early Retirement",$H158&lt;&gt;"",$R158&lt;&gt;"",$T158&lt;&gt;""),$BZ158,Baselines!$CJ151)</f>
        <v>0</v>
      </c>
      <c r="CD158" s="693">
        <f>IF(AND($C158="Early Retirement",$H158&lt;&gt;"",$R158&lt;&gt;"",$T158&lt;&gt;""),$CA158,Baselines!$CK151)</f>
        <v>0</v>
      </c>
      <c r="CE158" s="182" t="str">
        <f>Baselines!$CL151</f>
        <v>kW/ton</v>
      </c>
      <c r="CF158" s="850" t="str">
        <f t="shared" si="91"/>
        <v/>
      </c>
      <c r="CG158" s="833">
        <f>IF(AND($C158="Early Retirement",$H158&lt;&gt;"",$R158&lt;&gt;"",$T158&lt;&gt;""),$CB158,IF(AND(Baselines!$CM151=0,OR($CL158="DX HP",$CL158="PTHP")),$BB158,Baselines!$CM151))</f>
        <v>0</v>
      </c>
      <c r="CH158" s="830" t="s">
        <v>567</v>
      </c>
      <c r="CI158" s="185" t="str">
        <f>IF(OR($C158="Replace-on-Burnout",$C158="New Construction"),$CT158,IF($BW158="","",VLOOKUP($D158,'Factor Tables'!$B$165:$H$192,MATCH($BW158,'Factor Tables'!$B$164:$H$164,0),FALSE)))</f>
        <v/>
      </c>
      <c r="CJ158" s="842" t="str">
        <f>IF(OR($C158="Replace-on-Burnout",$C158="New Construction"),$CU158,IF($BW158="","",IF($BW158="DX HP",VLOOKUP($D158,'Factor Tables'!$I$165:$Q$192,MATCH("DX HP Clg",'Factor Tables'!$I$164:$Q$164,0),FALSE),IF($BW158="PTHP",VLOOKUP($D158,'Factor Tables'!$I$165:$Q$192,MATCH("PTHP Clg",'Factor Tables'!$I$164:$Q$164,0),FALSE),IF(AND($BW158&lt;&gt;"DX HP",$BW158&lt;&gt;"PTHP"),VLOOKUP($D158,'Factor Tables'!$I$165:$Q$192,MATCH($BW158,'Factor Tables'!$I$164:$Q$164,0),FALSE),"")))))</f>
        <v/>
      </c>
      <c r="CK158" s="186" t="str">
        <f>IF(OR($C158="Replace-on-Burnout",$C158="New Construction",$CL158="DX HP",$CL158="PTHP"),$CV158,IF($BW158="","",IF($BW158="DX HP",VLOOKUP($D158,'Factor Tables'!$I$165:$Q$192,MATCH("DX HP Htg",'Factor Tables'!$I$164:$Q$164,0),FALSE),IF($BW158="PTHP",VLOOKUP($D158,'Factor Tables'!$I$165:$Q$192,MATCH("PTHP Htg",'Factor Tables'!$I$164:$Q$164,0),FALSE),0))))</f>
        <v/>
      </c>
      <c r="CL158" s="187" t="str">
        <f t="shared" si="92"/>
        <v/>
      </c>
      <c r="CM158" s="251" t="str">
        <f t="shared" si="93"/>
        <v/>
      </c>
      <c r="CN158" s="184">
        <f t="shared" si="107"/>
        <v>0</v>
      </c>
      <c r="CO158" s="693">
        <f t="shared" si="108"/>
        <v>0</v>
      </c>
      <c r="CP158" s="182" t="s">
        <v>46</v>
      </c>
      <c r="CQ158" s="852" t="str">
        <f t="shared" si="109"/>
        <v/>
      </c>
      <c r="CR158" s="833">
        <f t="shared" si="110"/>
        <v>0</v>
      </c>
      <c r="CS158" s="830" t="s">
        <v>567</v>
      </c>
      <c r="CT158" s="185" t="str">
        <f>IF($CL158="","",VLOOKUP($D158,'Factor Tables'!$B$165:$H$192,MATCH($CL158,'Factor Tables'!$B$164:$H$164,0),FALSE))</f>
        <v/>
      </c>
      <c r="CU158" s="842" t="str">
        <f>IF($CL158="","",IF(AND($CL158&lt;&gt;"DX HP",$CL158&lt;&gt;"PTHP"),VLOOKUP($D158,'Factor Tables'!$I$165:$Q$192,MATCH($CL158,'Factor Tables'!$I$164:$Q$164,0),FALSE),IF($CL158="DX HP",VLOOKUP($D158,'Factor Tables'!$I$165:$Q$192,MATCH("DX HP Clg",'Factor Tables'!$I$164:$Q$164,0),FALSE),IF($CL158="PTHP",VLOOKUP($D158,'Factor Tables'!$I$165:$Q$192,MATCH("PTHP Clg",'Factor Tables'!$I$164:$Q$164,0),FALSE),""))))</f>
        <v/>
      </c>
      <c r="CV158" s="186" t="str">
        <f>IF($CL158="","",IF(AND($CL158&lt;&gt;"DX HP",$CL158&lt;&gt;"PTHP"),0,IF($CL158="DX HP",VLOOKUP($D158,'Factor Tables'!$I$165:$Q$192,MATCH("DX HP Htg",'Factor Tables'!$I$164:$Q$164,0),FALSE),IF($CL158="PTHP",VLOOKUP($D158,'Factor Tables'!$I$165:$Q$192,MATCH("PTHP Htg",'Factor Tables'!$I$164:$Q$164,0),FALSE),""))))</f>
        <v/>
      </c>
      <c r="DD158" s="898" t="s">
        <v>54</v>
      </c>
      <c r="DE158" s="426"/>
      <c r="DI158" s="425"/>
      <c r="DJ158" s="425"/>
      <c r="DK158" s="425"/>
      <c r="DL158" s="425"/>
      <c r="DM158" s="493" t="s">
        <v>478</v>
      </c>
    </row>
    <row r="159" spans="2:117" s="427" customFormat="1" ht="21.95" customHeight="1" x14ac:dyDescent="0.25">
      <c r="B159" s="432">
        <v>150</v>
      </c>
      <c r="C159" s="499" t="str">
        <f t="shared" si="94"/>
        <v/>
      </c>
      <c r="D159" s="403" t="str">
        <f t="shared" si="95"/>
        <v/>
      </c>
      <c r="E159" s="541"/>
      <c r="F159" s="785"/>
      <c r="G159" s="728"/>
      <c r="H159" s="728"/>
      <c r="I159" s="728"/>
      <c r="J159" s="728"/>
      <c r="K159" s="728"/>
      <c r="L159" s="728"/>
      <c r="M159" s="764"/>
      <c r="N159" s="728"/>
      <c r="O159" s="764"/>
      <c r="P159" s="728"/>
      <c r="Q159" s="1142"/>
      <c r="R159" s="1133"/>
      <c r="S159" s="778"/>
      <c r="T159" s="767"/>
      <c r="U159" s="778"/>
      <c r="V159" s="751"/>
      <c r="W159" s="556"/>
      <c r="X159" s="785"/>
      <c r="Y159" s="542"/>
      <c r="Z159" s="500"/>
      <c r="AA159" s="500"/>
      <c r="AB159" s="500"/>
      <c r="AC159" s="500"/>
      <c r="AD159" s="529"/>
      <c r="AE159" s="527">
        <f t="shared" si="39"/>
        <v>0</v>
      </c>
      <c r="AF159" s="527">
        <f t="shared" si="96"/>
        <v>0</v>
      </c>
      <c r="AG159" s="527">
        <f t="shared" si="76"/>
        <v>0</v>
      </c>
      <c r="AH159" s="527">
        <f t="shared" si="77"/>
        <v>0</v>
      </c>
      <c r="AI159" s="527">
        <f t="shared" si="78"/>
        <v>0</v>
      </c>
      <c r="AJ159" s="527">
        <f t="shared" si="79"/>
        <v>999999999</v>
      </c>
      <c r="AK159" s="530"/>
      <c r="AL159" s="776"/>
      <c r="AM159" s="777"/>
      <c r="AN159" s="500"/>
      <c r="AO159" s="778"/>
      <c r="AP159" s="778"/>
      <c r="AQ159" s="500"/>
      <c r="AR159" s="531"/>
      <c r="AS159" s="403"/>
      <c r="AT159" s="524" t="str">
        <f t="shared" si="80"/>
        <v/>
      </c>
      <c r="AU159" s="311">
        <f t="shared" si="81"/>
        <v>0</v>
      </c>
      <c r="AV159" s="288">
        <f t="shared" si="97"/>
        <v>0</v>
      </c>
      <c r="AW159" s="290">
        <f>IF(ISERROR($AU159*'Utility Admin'!$E$4+$AV159*'Utility Admin'!$F$4),0,$AU159*'Utility Admin'!$E$4+$AV159*'Utility Admin'!$F$4)</f>
        <v>0</v>
      </c>
      <c r="AX159" s="323" t="str">
        <f t="shared" si="82"/>
        <v/>
      </c>
      <c r="AY159" s="322" t="str">
        <f t="shared" si="23"/>
        <v/>
      </c>
      <c r="AZ159" s="319">
        <f>Baselines!$CJ403</f>
        <v>0</v>
      </c>
      <c r="BA159" s="735">
        <f>Baselines!$CK403</f>
        <v>0</v>
      </c>
      <c r="BB159" s="839">
        <f>Baselines!$CM403</f>
        <v>0</v>
      </c>
      <c r="BC159" s="466">
        <f t="shared" si="83"/>
        <v>0</v>
      </c>
      <c r="BD159" s="464">
        <f t="shared" si="98"/>
        <v>0</v>
      </c>
      <c r="BE159" s="755">
        <f t="shared" si="84"/>
        <v>0</v>
      </c>
      <c r="BF159" s="755">
        <f t="shared" si="99"/>
        <v>0</v>
      </c>
      <c r="BG159" s="466">
        <f t="shared" si="85"/>
        <v>0</v>
      </c>
      <c r="BH159" s="464">
        <f t="shared" si="86"/>
        <v>0</v>
      </c>
      <c r="BI159" s="755">
        <f t="shared" si="87"/>
        <v>0</v>
      </c>
      <c r="BJ159" s="755">
        <f t="shared" si="100"/>
        <v>0</v>
      </c>
      <c r="BK159" s="333">
        <f>IF(OR($C159&lt;&gt;"Early Retirement",$H159=""),0,IF(AND($G159&lt;&gt;"Air Cooled Chiller",$G159&lt;&gt;"Water Cooled Chiller"),VLOOKUP($H159,'Early Retirement'!$CI$6:$CL$33,2,FALSE),IF($J159&lt;&gt;"Centrifugal",VLOOKUP($H159,'Early Retirement'!$CI$6:$CL$33,3,FALSE),IF($J159="Centrifugal",VLOOKUP($H159,'Early Retirement'!$CI$6:$CL$33,4,FALSE),""))))</f>
        <v>0</v>
      </c>
      <c r="BL159" s="450">
        <f t="shared" si="88"/>
        <v>0</v>
      </c>
      <c r="BM159" s="553">
        <f>IFERROR('Utility Admin'!$I$4*((1+'Utility Admin'!$G$4)/('Utility Admin'!$H$4-'Utility Admin'!$G$4))*(1-((1+'Utility Admin'!$G$4)/(1+'Utility Admin'!$H$4))^$BK159)*$BG159,0)</f>
        <v>0</v>
      </c>
      <c r="BN159" s="553">
        <f>IFERROR('Utility Admin'!$I$4*((1+'Utility Admin'!$G$4)/('Utility Admin'!$H$4-'Utility Admin'!$G$4))*(1-((1+'Utility Admin'!$G$4)/(1+'Utility Admin'!$H$4))^$BL159)*((1+'Utility Admin'!$G$4)^$BK159/(1+'Utility Admin'!$H$4)^$BK159)*$BC159,0)</f>
        <v>0</v>
      </c>
      <c r="BO159" s="553">
        <f t="shared" si="27"/>
        <v>0</v>
      </c>
      <c r="BP159" s="553">
        <f>IFERROR('Utility Admin'!$J$4*((1+'Utility Admin'!$G$4)/('Utility Admin'!$H$4-'Utility Admin'!$G$4))*(1-((1+'Utility Admin'!$G$4)/(1+'Utility Admin'!$H$4))^$BK159)*$BJ159,0)</f>
        <v>0</v>
      </c>
      <c r="BQ159" s="553">
        <f>IFERROR('Utility Admin'!$J$4*((1+'Utility Admin'!$G$4)/('Utility Admin'!$H$4-'Utility Admin'!$G$4))*(1-((1+'Utility Admin'!$G$4)/(1+'Utility Admin'!$H$4))^$BL159)*((1+'Utility Admin'!$G$4)^$BK159/(1+'Utility Admin'!$H$4)^$BK159)*$BF159,0)</f>
        <v>0</v>
      </c>
      <c r="BR159" s="553">
        <f t="shared" si="28"/>
        <v>0</v>
      </c>
      <c r="BS159" s="553">
        <f>IFERROR('Utility Admin'!$I$4*((1+'Utility Admin'!$G$4)/('Utility Admin'!$H$4-'Utility Admin'!$G$4))*(1-((1+'Utility Admin'!$G$4)/(1+'Utility Admin'!$H$4))^$AT159),0)</f>
        <v>0</v>
      </c>
      <c r="BT159" s="553">
        <f>IFERROR('Utility Admin'!$J$4*((1+'Utility Admin'!$G$4)/('Utility Admin'!$H$4-'Utility Admin'!$G$4))*(1-((1+'Utility Admin'!$G$4)/(1+'Utility Admin'!$H$4))^$AT159),0)</f>
        <v>0</v>
      </c>
      <c r="BU159" s="459">
        <f t="shared" si="101"/>
        <v>0</v>
      </c>
      <c r="BV159" s="462">
        <f t="shared" si="102"/>
        <v>0</v>
      </c>
      <c r="BW159" s="219" t="str">
        <f t="shared" si="89"/>
        <v/>
      </c>
      <c r="BX159" s="250" t="str">
        <f t="shared" si="103"/>
        <v/>
      </c>
      <c r="BY159" s="250" t="str">
        <f t="shared" si="90"/>
        <v/>
      </c>
      <c r="BZ159" s="184">
        <f t="shared" si="104"/>
        <v>0</v>
      </c>
      <c r="CA159" s="693">
        <f t="shared" si="105"/>
        <v>0</v>
      </c>
      <c r="CB159" s="836">
        <f t="shared" si="106"/>
        <v>0</v>
      </c>
      <c r="CC159" s="693">
        <f>IF(AND($C159="Early Retirement",$H159&lt;&gt;"",$R159&lt;&gt;"",$T159&lt;&gt;""),$BZ159,Baselines!$CJ152)</f>
        <v>0</v>
      </c>
      <c r="CD159" s="693">
        <f>IF(AND($C159="Early Retirement",$H159&lt;&gt;"",$R159&lt;&gt;"",$T159&lt;&gt;""),$CA159,Baselines!$CK152)</f>
        <v>0</v>
      </c>
      <c r="CE159" s="182" t="str">
        <f>Baselines!$CL152</f>
        <v>kW/ton</v>
      </c>
      <c r="CF159" s="850" t="str">
        <f t="shared" si="91"/>
        <v/>
      </c>
      <c r="CG159" s="833">
        <f>IF(AND($C159="Early Retirement",$H159&lt;&gt;"",$R159&lt;&gt;"",$T159&lt;&gt;""),$CB159,IF(AND(Baselines!$CM152=0,OR($CL159="DX HP",$CL159="PTHP")),$BB159,Baselines!$CM152))</f>
        <v>0</v>
      </c>
      <c r="CH159" s="830" t="s">
        <v>567</v>
      </c>
      <c r="CI159" s="185" t="str">
        <f>IF(OR($C159="Replace-on-Burnout",$C159="New Construction"),$CT159,IF($BW159="","",VLOOKUP($D159,'Factor Tables'!$B$165:$H$192,MATCH($BW159,'Factor Tables'!$B$164:$H$164,0),FALSE)))</f>
        <v/>
      </c>
      <c r="CJ159" s="842" t="str">
        <f>IF(OR($C159="Replace-on-Burnout",$C159="New Construction"),$CU159,IF($BW159="","",IF($BW159="DX HP",VLOOKUP($D159,'Factor Tables'!$I$165:$Q$192,MATCH("DX HP Clg",'Factor Tables'!$I$164:$Q$164,0),FALSE),IF($BW159="PTHP",VLOOKUP($D159,'Factor Tables'!$I$165:$Q$192,MATCH("PTHP Clg",'Factor Tables'!$I$164:$Q$164,0),FALSE),IF(AND($BW159&lt;&gt;"DX HP",$BW159&lt;&gt;"PTHP"),VLOOKUP($D159,'Factor Tables'!$I$165:$Q$192,MATCH($BW159,'Factor Tables'!$I$164:$Q$164,0),FALSE),"")))))</f>
        <v/>
      </c>
      <c r="CK159" s="186" t="str">
        <f>IF(OR($C159="Replace-on-Burnout",$C159="New Construction",$CL159="DX HP",$CL159="PTHP"),$CV159,IF($BW159="","",IF($BW159="DX HP",VLOOKUP($D159,'Factor Tables'!$I$165:$Q$192,MATCH("DX HP Htg",'Factor Tables'!$I$164:$Q$164,0),FALSE),IF($BW159="PTHP",VLOOKUP($D159,'Factor Tables'!$I$165:$Q$192,MATCH("PTHP Htg",'Factor Tables'!$I$164:$Q$164,0),FALSE),0))))</f>
        <v/>
      </c>
      <c r="CL159" s="187" t="str">
        <f t="shared" si="92"/>
        <v/>
      </c>
      <c r="CM159" s="251" t="str">
        <f t="shared" si="93"/>
        <v/>
      </c>
      <c r="CN159" s="184">
        <f t="shared" si="107"/>
        <v>0</v>
      </c>
      <c r="CO159" s="693">
        <f t="shared" si="108"/>
        <v>0</v>
      </c>
      <c r="CP159" s="182" t="s">
        <v>46</v>
      </c>
      <c r="CQ159" s="852" t="str">
        <f t="shared" si="109"/>
        <v/>
      </c>
      <c r="CR159" s="833">
        <f t="shared" si="110"/>
        <v>0</v>
      </c>
      <c r="CS159" s="830" t="s">
        <v>567</v>
      </c>
      <c r="CT159" s="185" t="str">
        <f>IF($CL159="","",VLOOKUP($D159,'Factor Tables'!$B$165:$H$192,MATCH($CL159,'Factor Tables'!$B$164:$H$164,0),FALSE))</f>
        <v/>
      </c>
      <c r="CU159" s="842" t="str">
        <f>IF($CL159="","",IF(AND($CL159&lt;&gt;"DX HP",$CL159&lt;&gt;"PTHP"),VLOOKUP($D159,'Factor Tables'!$I$165:$Q$192,MATCH($CL159,'Factor Tables'!$I$164:$Q$164,0),FALSE),IF($CL159="DX HP",VLOOKUP($D159,'Factor Tables'!$I$165:$Q$192,MATCH("DX HP Clg",'Factor Tables'!$I$164:$Q$164,0),FALSE),IF($CL159="PTHP",VLOOKUP($D159,'Factor Tables'!$I$165:$Q$192,MATCH("PTHP Clg",'Factor Tables'!$I$164:$Q$164,0),FALSE),""))))</f>
        <v/>
      </c>
      <c r="CV159" s="186" t="str">
        <f>IF($CL159="","",IF(AND($CL159&lt;&gt;"DX HP",$CL159&lt;&gt;"PTHP"),0,IF($CL159="DX HP",VLOOKUP($D159,'Factor Tables'!$I$165:$Q$192,MATCH("DX HP Htg",'Factor Tables'!$I$164:$Q$164,0),FALSE),IF($CL159="PTHP",VLOOKUP($D159,'Factor Tables'!$I$165:$Q$192,MATCH("PTHP Htg",'Factor Tables'!$I$164:$Q$164,0),FALSE),""))))</f>
        <v/>
      </c>
      <c r="DD159" s="903"/>
      <c r="DE159" s="426"/>
      <c r="DI159" s="425"/>
      <c r="DJ159" s="425"/>
      <c r="DK159" s="425"/>
      <c r="DL159" s="425"/>
      <c r="DM159" s="493" t="s">
        <v>478</v>
      </c>
    </row>
    <row r="160" spans="2:117" s="427" customFormat="1" ht="21.95" customHeight="1" x14ac:dyDescent="0.25">
      <c r="B160" s="431">
        <v>151</v>
      </c>
      <c r="C160" s="501" t="str">
        <f t="shared" si="94"/>
        <v/>
      </c>
      <c r="D160" s="502" t="str">
        <f t="shared" si="95"/>
        <v/>
      </c>
      <c r="E160" s="546"/>
      <c r="F160" s="547"/>
      <c r="G160" s="729"/>
      <c r="H160" s="729"/>
      <c r="I160" s="729"/>
      <c r="J160" s="729"/>
      <c r="K160" s="729"/>
      <c r="L160" s="729"/>
      <c r="M160" s="765"/>
      <c r="N160" s="758"/>
      <c r="O160" s="765"/>
      <c r="P160" s="758"/>
      <c r="Q160" s="1143"/>
      <c r="R160" s="1134"/>
      <c r="S160" s="775"/>
      <c r="T160" s="729"/>
      <c r="U160" s="775"/>
      <c r="V160" s="779"/>
      <c r="W160" s="557"/>
      <c r="X160" s="788"/>
      <c r="Y160" s="543"/>
      <c r="Z160" s="281"/>
      <c r="AA160" s="281"/>
      <c r="AB160" s="281"/>
      <c r="AC160" s="281"/>
      <c r="AD160" s="492"/>
      <c r="AE160" s="527">
        <f t="shared" si="39"/>
        <v>0</v>
      </c>
      <c r="AF160" s="527">
        <f t="shared" si="96"/>
        <v>0</v>
      </c>
      <c r="AG160" s="527">
        <f t="shared" si="76"/>
        <v>0</v>
      </c>
      <c r="AH160" s="527">
        <f t="shared" si="77"/>
        <v>0</v>
      </c>
      <c r="AI160" s="527">
        <f t="shared" si="78"/>
        <v>0</v>
      </c>
      <c r="AJ160" s="527">
        <f t="shared" si="79"/>
        <v>999999999</v>
      </c>
      <c r="AK160" s="471"/>
      <c r="AL160" s="765"/>
      <c r="AM160" s="758"/>
      <c r="AN160" s="281"/>
      <c r="AO160" s="775"/>
      <c r="AP160" s="775"/>
      <c r="AQ160" s="281"/>
      <c r="AR160" s="528"/>
      <c r="AS160" s="532"/>
      <c r="AT160" s="524" t="str">
        <f t="shared" si="80"/>
        <v/>
      </c>
      <c r="AU160" s="311">
        <f t="shared" si="81"/>
        <v>0</v>
      </c>
      <c r="AV160" s="288">
        <f t="shared" si="97"/>
        <v>0</v>
      </c>
      <c r="AW160" s="290">
        <f>IF(ISERROR($AU160*'Utility Admin'!$E$4+$AV160*'Utility Admin'!$F$4),0,$AU160*'Utility Admin'!$E$4+$AV160*'Utility Admin'!$F$4)</f>
        <v>0</v>
      </c>
      <c r="AX160" s="323" t="str">
        <f t="shared" si="82"/>
        <v/>
      </c>
      <c r="AY160" s="322" t="str">
        <f t="shared" si="23"/>
        <v/>
      </c>
      <c r="AZ160" s="319">
        <f>Baselines!$CJ404</f>
        <v>0</v>
      </c>
      <c r="BA160" s="735">
        <f>Baselines!$CK404</f>
        <v>0</v>
      </c>
      <c r="BB160" s="839">
        <f>Baselines!$CM404</f>
        <v>0</v>
      </c>
      <c r="BC160" s="466">
        <f t="shared" si="83"/>
        <v>0</v>
      </c>
      <c r="BD160" s="464">
        <f t="shared" si="98"/>
        <v>0</v>
      </c>
      <c r="BE160" s="755">
        <f t="shared" si="84"/>
        <v>0</v>
      </c>
      <c r="BF160" s="755">
        <f t="shared" si="99"/>
        <v>0</v>
      </c>
      <c r="BG160" s="466">
        <f t="shared" si="85"/>
        <v>0</v>
      </c>
      <c r="BH160" s="464">
        <f t="shared" si="86"/>
        <v>0</v>
      </c>
      <c r="BI160" s="755">
        <f t="shared" si="87"/>
        <v>0</v>
      </c>
      <c r="BJ160" s="755">
        <f t="shared" si="100"/>
        <v>0</v>
      </c>
      <c r="BK160" s="333">
        <f>IF(OR($C160&lt;&gt;"Early Retirement",$H160=""),0,IF(AND($G160&lt;&gt;"Air Cooled Chiller",$G160&lt;&gt;"Water Cooled Chiller"),VLOOKUP($H160,'Early Retirement'!$CI$6:$CL$33,2,FALSE),IF($J160&lt;&gt;"Centrifugal",VLOOKUP($H160,'Early Retirement'!$CI$6:$CL$33,3,FALSE),IF($J160="Centrifugal",VLOOKUP($H160,'Early Retirement'!$CI$6:$CL$33,4,FALSE),""))))</f>
        <v>0</v>
      </c>
      <c r="BL160" s="450">
        <f t="shared" si="88"/>
        <v>0</v>
      </c>
      <c r="BM160" s="553">
        <f>IFERROR('Utility Admin'!$I$4*((1+'Utility Admin'!$G$4)/('Utility Admin'!$H$4-'Utility Admin'!$G$4))*(1-((1+'Utility Admin'!$G$4)/(1+'Utility Admin'!$H$4))^$BK160)*$BG160,0)</f>
        <v>0</v>
      </c>
      <c r="BN160" s="553">
        <f>IFERROR('Utility Admin'!$I$4*((1+'Utility Admin'!$G$4)/('Utility Admin'!$H$4-'Utility Admin'!$G$4))*(1-((1+'Utility Admin'!$G$4)/(1+'Utility Admin'!$H$4))^$BL160)*((1+'Utility Admin'!$G$4)^$BK160/(1+'Utility Admin'!$H$4)^$BK160)*$BC160,0)</f>
        <v>0</v>
      </c>
      <c r="BO160" s="553">
        <f t="shared" si="27"/>
        <v>0</v>
      </c>
      <c r="BP160" s="553">
        <f>IFERROR('Utility Admin'!$J$4*((1+'Utility Admin'!$G$4)/('Utility Admin'!$H$4-'Utility Admin'!$G$4))*(1-((1+'Utility Admin'!$G$4)/(1+'Utility Admin'!$H$4))^$BK160)*$BJ160,0)</f>
        <v>0</v>
      </c>
      <c r="BQ160" s="553">
        <f>IFERROR('Utility Admin'!$J$4*((1+'Utility Admin'!$G$4)/('Utility Admin'!$H$4-'Utility Admin'!$G$4))*(1-((1+'Utility Admin'!$G$4)/(1+'Utility Admin'!$H$4))^$BL160)*((1+'Utility Admin'!$G$4)^$BK160/(1+'Utility Admin'!$H$4)^$BK160)*$BF160,0)</f>
        <v>0</v>
      </c>
      <c r="BR160" s="553">
        <f t="shared" si="28"/>
        <v>0</v>
      </c>
      <c r="BS160" s="553">
        <f>IFERROR('Utility Admin'!$I$4*((1+'Utility Admin'!$G$4)/('Utility Admin'!$H$4-'Utility Admin'!$G$4))*(1-((1+'Utility Admin'!$G$4)/(1+'Utility Admin'!$H$4))^$AT160),0)</f>
        <v>0</v>
      </c>
      <c r="BT160" s="553">
        <f>IFERROR('Utility Admin'!$J$4*((1+'Utility Admin'!$G$4)/('Utility Admin'!$H$4-'Utility Admin'!$G$4))*(1-((1+'Utility Admin'!$G$4)/(1+'Utility Admin'!$H$4))^$AT160),0)</f>
        <v>0</v>
      </c>
      <c r="BU160" s="459">
        <f t="shared" si="101"/>
        <v>0</v>
      </c>
      <c r="BV160" s="462">
        <f t="shared" si="102"/>
        <v>0</v>
      </c>
      <c r="BW160" s="219" t="str">
        <f t="shared" si="89"/>
        <v/>
      </c>
      <c r="BX160" s="250" t="str">
        <f t="shared" si="103"/>
        <v/>
      </c>
      <c r="BY160" s="250" t="str">
        <f t="shared" si="90"/>
        <v/>
      </c>
      <c r="BZ160" s="184">
        <f t="shared" si="104"/>
        <v>0</v>
      </c>
      <c r="CA160" s="693">
        <f t="shared" si="105"/>
        <v>0</v>
      </c>
      <c r="CB160" s="836">
        <f t="shared" si="106"/>
        <v>0</v>
      </c>
      <c r="CC160" s="693">
        <f>IF(AND($C160="Early Retirement",$H160&lt;&gt;"",$R160&lt;&gt;"",$T160&lt;&gt;""),$BZ160,Baselines!$CJ153)</f>
        <v>0</v>
      </c>
      <c r="CD160" s="693">
        <f>IF(AND($C160="Early Retirement",$H160&lt;&gt;"",$R160&lt;&gt;"",$T160&lt;&gt;""),$CA160,Baselines!$CK153)</f>
        <v>0</v>
      </c>
      <c r="CE160" s="182" t="str">
        <f>Baselines!$CL153</f>
        <v>kW/ton</v>
      </c>
      <c r="CF160" s="850" t="str">
        <f t="shared" si="91"/>
        <v/>
      </c>
      <c r="CG160" s="833">
        <f>IF(AND($C160="Early Retirement",$H160&lt;&gt;"",$R160&lt;&gt;"",$T160&lt;&gt;""),$CB160,IF(AND(Baselines!$CM153=0,OR($CL160="DX HP",$CL160="PTHP")),$BB160,Baselines!$CM153))</f>
        <v>0</v>
      </c>
      <c r="CH160" s="830" t="s">
        <v>567</v>
      </c>
      <c r="CI160" s="185" t="str">
        <f>IF(OR($C160="Replace-on-Burnout",$C160="New Construction"),$CT160,IF($BW160="","",VLOOKUP($D160,'Factor Tables'!$B$165:$H$192,MATCH($BW160,'Factor Tables'!$B$164:$H$164,0),FALSE)))</f>
        <v/>
      </c>
      <c r="CJ160" s="842" t="str">
        <f>IF(OR($C160="Replace-on-Burnout",$C160="New Construction"),$CU160,IF($BW160="","",IF($BW160="DX HP",VLOOKUP($D160,'Factor Tables'!$I$165:$Q$192,MATCH("DX HP Clg",'Factor Tables'!$I$164:$Q$164,0),FALSE),IF($BW160="PTHP",VLOOKUP($D160,'Factor Tables'!$I$165:$Q$192,MATCH("PTHP Clg",'Factor Tables'!$I$164:$Q$164,0),FALSE),IF(AND($BW160&lt;&gt;"DX HP",$BW160&lt;&gt;"PTHP"),VLOOKUP($D160,'Factor Tables'!$I$165:$Q$192,MATCH($BW160,'Factor Tables'!$I$164:$Q$164,0),FALSE),"")))))</f>
        <v/>
      </c>
      <c r="CK160" s="186" t="str">
        <f>IF(OR($C160="Replace-on-Burnout",$C160="New Construction",$CL160="DX HP",$CL160="PTHP"),$CV160,IF($BW160="","",IF($BW160="DX HP",VLOOKUP($D160,'Factor Tables'!$I$165:$Q$192,MATCH("DX HP Htg",'Factor Tables'!$I$164:$Q$164,0),FALSE),IF($BW160="PTHP",VLOOKUP($D160,'Factor Tables'!$I$165:$Q$192,MATCH("PTHP Htg",'Factor Tables'!$I$164:$Q$164,0),FALSE),0))))</f>
        <v/>
      </c>
      <c r="CL160" s="187" t="str">
        <f t="shared" si="92"/>
        <v/>
      </c>
      <c r="CM160" s="251" t="str">
        <f t="shared" si="93"/>
        <v/>
      </c>
      <c r="CN160" s="184">
        <f t="shared" si="107"/>
        <v>0</v>
      </c>
      <c r="CO160" s="693">
        <f t="shared" si="108"/>
        <v>0</v>
      </c>
      <c r="CP160" s="182" t="s">
        <v>46</v>
      </c>
      <c r="CQ160" s="852" t="str">
        <f t="shared" si="109"/>
        <v/>
      </c>
      <c r="CR160" s="833">
        <f t="shared" si="110"/>
        <v>0</v>
      </c>
      <c r="CS160" s="830" t="s">
        <v>567</v>
      </c>
      <c r="CT160" s="185" t="str">
        <f>IF($CL160="","",VLOOKUP($D160,'Factor Tables'!$B$165:$H$192,MATCH($CL160,'Factor Tables'!$B$164:$H$164,0),FALSE))</f>
        <v/>
      </c>
      <c r="CU160" s="842" t="str">
        <f>IF($CL160="","",IF(AND($CL160&lt;&gt;"DX HP",$CL160&lt;&gt;"PTHP"),VLOOKUP($D160,'Factor Tables'!$I$165:$Q$192,MATCH($CL160,'Factor Tables'!$I$164:$Q$164,0),FALSE),IF($CL160="DX HP",VLOOKUP($D160,'Factor Tables'!$I$165:$Q$192,MATCH("DX HP Clg",'Factor Tables'!$I$164:$Q$164,0),FALSE),IF($CL160="PTHP",VLOOKUP($D160,'Factor Tables'!$I$165:$Q$192,MATCH("PTHP Clg",'Factor Tables'!$I$164:$Q$164,0),FALSE),""))))</f>
        <v/>
      </c>
      <c r="CV160" s="186" t="str">
        <f>IF($CL160="","",IF(AND($CL160&lt;&gt;"DX HP",$CL160&lt;&gt;"PTHP"),0,IF($CL160="DX HP",VLOOKUP($D160,'Factor Tables'!$I$165:$Q$192,MATCH("DX HP Htg",'Factor Tables'!$I$164:$Q$164,0),FALSE),IF($CL160="PTHP",VLOOKUP($D160,'Factor Tables'!$I$165:$Q$192,MATCH("PTHP Htg",'Factor Tables'!$I$164:$Q$164,0),FALSE),""))))</f>
        <v/>
      </c>
      <c r="DD160" s="899" t="s">
        <v>307</v>
      </c>
      <c r="DE160" s="426"/>
      <c r="DI160" s="425"/>
      <c r="DJ160" s="425"/>
      <c r="DK160" s="425"/>
      <c r="DL160" s="425"/>
      <c r="DM160" s="493" t="s">
        <v>478</v>
      </c>
    </row>
    <row r="161" spans="2:117" s="427" customFormat="1" ht="21.95" customHeight="1" x14ac:dyDescent="0.25">
      <c r="B161" s="432">
        <v>152</v>
      </c>
      <c r="C161" s="499" t="str">
        <f t="shared" si="94"/>
        <v/>
      </c>
      <c r="D161" s="403" t="str">
        <f t="shared" si="95"/>
        <v/>
      </c>
      <c r="E161" s="541"/>
      <c r="F161" s="785"/>
      <c r="G161" s="728"/>
      <c r="H161" s="728"/>
      <c r="I161" s="728"/>
      <c r="J161" s="728"/>
      <c r="K161" s="728"/>
      <c r="L161" s="728"/>
      <c r="M161" s="764"/>
      <c r="N161" s="728"/>
      <c r="O161" s="764"/>
      <c r="P161" s="728"/>
      <c r="Q161" s="1142"/>
      <c r="R161" s="1133"/>
      <c r="S161" s="778"/>
      <c r="T161" s="767"/>
      <c r="U161" s="778"/>
      <c r="V161" s="751"/>
      <c r="W161" s="556"/>
      <c r="X161" s="785"/>
      <c r="Y161" s="542"/>
      <c r="Z161" s="500"/>
      <c r="AA161" s="500"/>
      <c r="AB161" s="500"/>
      <c r="AC161" s="500"/>
      <c r="AD161" s="529"/>
      <c r="AE161" s="527">
        <f t="shared" si="39"/>
        <v>0</v>
      </c>
      <c r="AF161" s="527">
        <f t="shared" si="96"/>
        <v>0</v>
      </c>
      <c r="AG161" s="527">
        <f t="shared" si="76"/>
        <v>0</v>
      </c>
      <c r="AH161" s="527">
        <f t="shared" si="77"/>
        <v>0</v>
      </c>
      <c r="AI161" s="527">
        <f t="shared" si="78"/>
        <v>0</v>
      </c>
      <c r="AJ161" s="527">
        <f t="shared" si="79"/>
        <v>999999999</v>
      </c>
      <c r="AK161" s="530"/>
      <c r="AL161" s="776"/>
      <c r="AM161" s="777"/>
      <c r="AN161" s="500"/>
      <c r="AO161" s="778"/>
      <c r="AP161" s="778"/>
      <c r="AQ161" s="500"/>
      <c r="AR161" s="531"/>
      <c r="AS161" s="403"/>
      <c r="AT161" s="524" t="str">
        <f t="shared" si="80"/>
        <v/>
      </c>
      <c r="AU161" s="311">
        <f t="shared" si="81"/>
        <v>0</v>
      </c>
      <c r="AV161" s="288">
        <f t="shared" si="97"/>
        <v>0</v>
      </c>
      <c r="AW161" s="290">
        <f>IF(ISERROR($AU161*'Utility Admin'!$E$4+$AV161*'Utility Admin'!$F$4),0,$AU161*'Utility Admin'!$E$4+$AV161*'Utility Admin'!$F$4)</f>
        <v>0</v>
      </c>
      <c r="AX161" s="323" t="str">
        <f t="shared" si="82"/>
        <v/>
      </c>
      <c r="AY161" s="322" t="str">
        <f t="shared" si="23"/>
        <v/>
      </c>
      <c r="AZ161" s="319">
        <f>Baselines!$CJ405</f>
        <v>0</v>
      </c>
      <c r="BA161" s="735">
        <f>Baselines!$CK405</f>
        <v>0</v>
      </c>
      <c r="BB161" s="839">
        <f>Baselines!$CM405</f>
        <v>0</v>
      </c>
      <c r="BC161" s="466">
        <f t="shared" si="83"/>
        <v>0</v>
      </c>
      <c r="BD161" s="464">
        <f t="shared" si="98"/>
        <v>0</v>
      </c>
      <c r="BE161" s="755">
        <f t="shared" si="84"/>
        <v>0</v>
      </c>
      <c r="BF161" s="755">
        <f t="shared" si="99"/>
        <v>0</v>
      </c>
      <c r="BG161" s="466">
        <f t="shared" si="85"/>
        <v>0</v>
      </c>
      <c r="BH161" s="464">
        <f t="shared" si="86"/>
        <v>0</v>
      </c>
      <c r="BI161" s="755">
        <f t="shared" si="87"/>
        <v>0</v>
      </c>
      <c r="BJ161" s="755">
        <f t="shared" si="100"/>
        <v>0</v>
      </c>
      <c r="BK161" s="333">
        <f>IF(OR($C161&lt;&gt;"Early Retirement",$H161=""),0,IF(AND($G161&lt;&gt;"Air Cooled Chiller",$G161&lt;&gt;"Water Cooled Chiller"),VLOOKUP($H161,'Early Retirement'!$CI$6:$CL$33,2,FALSE),IF($J161&lt;&gt;"Centrifugal",VLOOKUP($H161,'Early Retirement'!$CI$6:$CL$33,3,FALSE),IF($J161="Centrifugal",VLOOKUP($H161,'Early Retirement'!$CI$6:$CL$33,4,FALSE),""))))</f>
        <v>0</v>
      </c>
      <c r="BL161" s="450">
        <f t="shared" si="88"/>
        <v>0</v>
      </c>
      <c r="BM161" s="553">
        <f>IFERROR('Utility Admin'!$I$4*((1+'Utility Admin'!$G$4)/('Utility Admin'!$H$4-'Utility Admin'!$G$4))*(1-((1+'Utility Admin'!$G$4)/(1+'Utility Admin'!$H$4))^$BK161)*$BG161,0)</f>
        <v>0</v>
      </c>
      <c r="BN161" s="553">
        <f>IFERROR('Utility Admin'!$I$4*((1+'Utility Admin'!$G$4)/('Utility Admin'!$H$4-'Utility Admin'!$G$4))*(1-((1+'Utility Admin'!$G$4)/(1+'Utility Admin'!$H$4))^$BL161)*((1+'Utility Admin'!$G$4)^$BK161/(1+'Utility Admin'!$H$4)^$BK161)*$BC161,0)</f>
        <v>0</v>
      </c>
      <c r="BO161" s="553">
        <f t="shared" si="27"/>
        <v>0</v>
      </c>
      <c r="BP161" s="553">
        <f>IFERROR('Utility Admin'!$J$4*((1+'Utility Admin'!$G$4)/('Utility Admin'!$H$4-'Utility Admin'!$G$4))*(1-((1+'Utility Admin'!$G$4)/(1+'Utility Admin'!$H$4))^$BK161)*$BJ161,0)</f>
        <v>0</v>
      </c>
      <c r="BQ161" s="553">
        <f>IFERROR('Utility Admin'!$J$4*((1+'Utility Admin'!$G$4)/('Utility Admin'!$H$4-'Utility Admin'!$G$4))*(1-((1+'Utility Admin'!$G$4)/(1+'Utility Admin'!$H$4))^$BL161)*((1+'Utility Admin'!$G$4)^$BK161/(1+'Utility Admin'!$H$4)^$BK161)*$BF161,0)</f>
        <v>0</v>
      </c>
      <c r="BR161" s="553">
        <f t="shared" si="28"/>
        <v>0</v>
      </c>
      <c r="BS161" s="553">
        <f>IFERROR('Utility Admin'!$I$4*((1+'Utility Admin'!$G$4)/('Utility Admin'!$H$4-'Utility Admin'!$G$4))*(1-((1+'Utility Admin'!$G$4)/(1+'Utility Admin'!$H$4))^$AT161),0)</f>
        <v>0</v>
      </c>
      <c r="BT161" s="553">
        <f>IFERROR('Utility Admin'!$J$4*((1+'Utility Admin'!$G$4)/('Utility Admin'!$H$4-'Utility Admin'!$G$4))*(1-((1+'Utility Admin'!$G$4)/(1+'Utility Admin'!$H$4))^$AT161),0)</f>
        <v>0</v>
      </c>
      <c r="BU161" s="459">
        <f t="shared" si="101"/>
        <v>0</v>
      </c>
      <c r="BV161" s="462">
        <f t="shared" si="102"/>
        <v>0</v>
      </c>
      <c r="BW161" s="219" t="str">
        <f t="shared" si="89"/>
        <v/>
      </c>
      <c r="BX161" s="250" t="str">
        <f t="shared" si="103"/>
        <v/>
      </c>
      <c r="BY161" s="250" t="str">
        <f t="shared" si="90"/>
        <v/>
      </c>
      <c r="BZ161" s="184">
        <f t="shared" si="104"/>
        <v>0</v>
      </c>
      <c r="CA161" s="693">
        <f t="shared" si="105"/>
        <v>0</v>
      </c>
      <c r="CB161" s="836">
        <f t="shared" si="106"/>
        <v>0</v>
      </c>
      <c r="CC161" s="693">
        <f>IF(AND($C161="Early Retirement",$H161&lt;&gt;"",$R161&lt;&gt;"",$T161&lt;&gt;""),$BZ161,Baselines!$CJ154)</f>
        <v>0</v>
      </c>
      <c r="CD161" s="693">
        <f>IF(AND($C161="Early Retirement",$H161&lt;&gt;"",$R161&lt;&gt;"",$T161&lt;&gt;""),$CA161,Baselines!$CK154)</f>
        <v>0</v>
      </c>
      <c r="CE161" s="182" t="str">
        <f>Baselines!$CL154</f>
        <v>kW/ton</v>
      </c>
      <c r="CF161" s="850" t="str">
        <f t="shared" si="91"/>
        <v/>
      </c>
      <c r="CG161" s="833">
        <f>IF(AND($C161="Early Retirement",$H161&lt;&gt;"",$R161&lt;&gt;"",$T161&lt;&gt;""),$CB161,IF(AND(Baselines!$CM154=0,OR($CL161="DX HP",$CL161="PTHP")),$BB161,Baselines!$CM154))</f>
        <v>0</v>
      </c>
      <c r="CH161" s="830" t="s">
        <v>567</v>
      </c>
      <c r="CI161" s="185" t="str">
        <f>IF(OR($C161="Replace-on-Burnout",$C161="New Construction"),$CT161,IF($BW161="","",VLOOKUP($D161,'Factor Tables'!$B$165:$H$192,MATCH($BW161,'Factor Tables'!$B$164:$H$164,0),FALSE)))</f>
        <v/>
      </c>
      <c r="CJ161" s="842" t="str">
        <f>IF(OR($C161="Replace-on-Burnout",$C161="New Construction"),$CU161,IF($BW161="","",IF($BW161="DX HP",VLOOKUP($D161,'Factor Tables'!$I$165:$Q$192,MATCH("DX HP Clg",'Factor Tables'!$I$164:$Q$164,0),FALSE),IF($BW161="PTHP",VLOOKUP($D161,'Factor Tables'!$I$165:$Q$192,MATCH("PTHP Clg",'Factor Tables'!$I$164:$Q$164,0),FALSE),IF(AND($BW161&lt;&gt;"DX HP",$BW161&lt;&gt;"PTHP"),VLOOKUP($D161,'Factor Tables'!$I$165:$Q$192,MATCH($BW161,'Factor Tables'!$I$164:$Q$164,0),FALSE),"")))))</f>
        <v/>
      </c>
      <c r="CK161" s="186" t="str">
        <f>IF(OR($C161="Replace-on-Burnout",$C161="New Construction",$CL161="DX HP",$CL161="PTHP"),$CV161,IF($BW161="","",IF($BW161="DX HP",VLOOKUP($D161,'Factor Tables'!$I$165:$Q$192,MATCH("DX HP Htg",'Factor Tables'!$I$164:$Q$164,0),FALSE),IF($BW161="PTHP",VLOOKUP($D161,'Factor Tables'!$I$165:$Q$192,MATCH("PTHP Htg",'Factor Tables'!$I$164:$Q$164,0),FALSE),0))))</f>
        <v/>
      </c>
      <c r="CL161" s="187" t="str">
        <f t="shared" si="92"/>
        <v/>
      </c>
      <c r="CM161" s="251" t="str">
        <f t="shared" si="93"/>
        <v/>
      </c>
      <c r="CN161" s="184">
        <f t="shared" si="107"/>
        <v>0</v>
      </c>
      <c r="CO161" s="693">
        <f t="shared" si="108"/>
        <v>0</v>
      </c>
      <c r="CP161" s="182" t="s">
        <v>46</v>
      </c>
      <c r="CQ161" s="852" t="str">
        <f t="shared" si="109"/>
        <v/>
      </c>
      <c r="CR161" s="833">
        <f t="shared" si="110"/>
        <v>0</v>
      </c>
      <c r="CS161" s="830" t="s">
        <v>567</v>
      </c>
      <c r="CT161" s="185" t="str">
        <f>IF($CL161="","",VLOOKUP($D161,'Factor Tables'!$B$165:$H$192,MATCH($CL161,'Factor Tables'!$B$164:$H$164,0),FALSE))</f>
        <v/>
      </c>
      <c r="CU161" s="842" t="str">
        <f>IF($CL161="","",IF(AND($CL161&lt;&gt;"DX HP",$CL161&lt;&gt;"PTHP"),VLOOKUP($D161,'Factor Tables'!$I$165:$Q$192,MATCH($CL161,'Factor Tables'!$I$164:$Q$164,0),FALSE),IF($CL161="DX HP",VLOOKUP($D161,'Factor Tables'!$I$165:$Q$192,MATCH("DX HP Clg",'Factor Tables'!$I$164:$Q$164,0),FALSE),IF($CL161="PTHP",VLOOKUP($D161,'Factor Tables'!$I$165:$Q$192,MATCH("PTHP Clg",'Factor Tables'!$I$164:$Q$164,0),FALSE),""))))</f>
        <v/>
      </c>
      <c r="CV161" s="186" t="str">
        <f>IF($CL161="","",IF(AND($CL161&lt;&gt;"DX HP",$CL161&lt;&gt;"PTHP"),0,IF($CL161="DX HP",VLOOKUP($D161,'Factor Tables'!$I$165:$Q$192,MATCH("DX HP Htg",'Factor Tables'!$I$164:$Q$164,0),FALSE),IF($CL161="PTHP",VLOOKUP($D161,'Factor Tables'!$I$165:$Q$192,MATCH("PTHP Htg",'Factor Tables'!$I$164:$Q$164,0),FALSE),""))))</f>
        <v/>
      </c>
      <c r="DD161" s="898" t="s">
        <v>44</v>
      </c>
      <c r="DE161" s="426"/>
      <c r="DI161" s="425"/>
      <c r="DJ161" s="425"/>
      <c r="DK161" s="425"/>
      <c r="DL161" s="425"/>
      <c r="DM161" s="493" t="s">
        <v>478</v>
      </c>
    </row>
    <row r="162" spans="2:117" s="427" customFormat="1" ht="21.95" customHeight="1" x14ac:dyDescent="0.25">
      <c r="B162" s="431">
        <v>153</v>
      </c>
      <c r="C162" s="501" t="str">
        <f t="shared" si="94"/>
        <v/>
      </c>
      <c r="D162" s="502" t="str">
        <f t="shared" si="95"/>
        <v/>
      </c>
      <c r="E162" s="546"/>
      <c r="F162" s="547"/>
      <c r="G162" s="729"/>
      <c r="H162" s="729"/>
      <c r="I162" s="729"/>
      <c r="J162" s="729"/>
      <c r="K162" s="729"/>
      <c r="L162" s="729"/>
      <c r="M162" s="765"/>
      <c r="N162" s="758"/>
      <c r="O162" s="765"/>
      <c r="P162" s="758"/>
      <c r="Q162" s="1143"/>
      <c r="R162" s="1134"/>
      <c r="S162" s="775"/>
      <c r="T162" s="729"/>
      <c r="U162" s="775"/>
      <c r="V162" s="779"/>
      <c r="W162" s="557"/>
      <c r="X162" s="788"/>
      <c r="Y162" s="543"/>
      <c r="Z162" s="281"/>
      <c r="AA162" s="281"/>
      <c r="AB162" s="281"/>
      <c r="AC162" s="281"/>
      <c r="AD162" s="492"/>
      <c r="AE162" s="527">
        <f t="shared" si="39"/>
        <v>0</v>
      </c>
      <c r="AF162" s="527">
        <f t="shared" si="96"/>
        <v>0</v>
      </c>
      <c r="AG162" s="527">
        <f t="shared" si="76"/>
        <v>0</v>
      </c>
      <c r="AH162" s="527">
        <f t="shared" si="77"/>
        <v>0</v>
      </c>
      <c r="AI162" s="527">
        <f t="shared" si="78"/>
        <v>0</v>
      </c>
      <c r="AJ162" s="527">
        <f t="shared" si="79"/>
        <v>999999999</v>
      </c>
      <c r="AK162" s="471"/>
      <c r="AL162" s="765"/>
      <c r="AM162" s="758"/>
      <c r="AN162" s="281"/>
      <c r="AO162" s="775"/>
      <c r="AP162" s="775"/>
      <c r="AQ162" s="281"/>
      <c r="AR162" s="528"/>
      <c r="AS162" s="532"/>
      <c r="AT162" s="524" t="str">
        <f t="shared" si="80"/>
        <v/>
      </c>
      <c r="AU162" s="311">
        <f t="shared" si="81"/>
        <v>0</v>
      </c>
      <c r="AV162" s="288">
        <f t="shared" si="97"/>
        <v>0</v>
      </c>
      <c r="AW162" s="290">
        <f>IF(ISERROR($AU162*'Utility Admin'!$E$4+$AV162*'Utility Admin'!$F$4),0,$AU162*'Utility Admin'!$E$4+$AV162*'Utility Admin'!$F$4)</f>
        <v>0</v>
      </c>
      <c r="AX162" s="323" t="str">
        <f t="shared" si="82"/>
        <v/>
      </c>
      <c r="AY162" s="322" t="str">
        <f t="shared" si="23"/>
        <v/>
      </c>
      <c r="AZ162" s="319">
        <f>Baselines!$CJ406</f>
        <v>0</v>
      </c>
      <c r="BA162" s="735">
        <f>Baselines!$CK406</f>
        <v>0</v>
      </c>
      <c r="BB162" s="839">
        <f>Baselines!$CM406</f>
        <v>0</v>
      </c>
      <c r="BC162" s="466">
        <f t="shared" si="83"/>
        <v>0</v>
      </c>
      <c r="BD162" s="464">
        <f t="shared" si="98"/>
        <v>0</v>
      </c>
      <c r="BE162" s="755">
        <f t="shared" si="84"/>
        <v>0</v>
      </c>
      <c r="BF162" s="755">
        <f t="shared" si="99"/>
        <v>0</v>
      </c>
      <c r="BG162" s="466">
        <f t="shared" si="85"/>
        <v>0</v>
      </c>
      <c r="BH162" s="464">
        <f t="shared" si="86"/>
        <v>0</v>
      </c>
      <c r="BI162" s="755">
        <f t="shared" si="87"/>
        <v>0</v>
      </c>
      <c r="BJ162" s="755">
        <f t="shared" si="100"/>
        <v>0</v>
      </c>
      <c r="BK162" s="333">
        <f>IF(OR($C162&lt;&gt;"Early Retirement",$H162=""),0,IF(AND($G162&lt;&gt;"Air Cooled Chiller",$G162&lt;&gt;"Water Cooled Chiller"),VLOOKUP($H162,'Early Retirement'!$CI$6:$CL$33,2,FALSE),IF($J162&lt;&gt;"Centrifugal",VLOOKUP($H162,'Early Retirement'!$CI$6:$CL$33,3,FALSE),IF($J162="Centrifugal",VLOOKUP($H162,'Early Retirement'!$CI$6:$CL$33,4,FALSE),""))))</f>
        <v>0</v>
      </c>
      <c r="BL162" s="450">
        <f t="shared" si="88"/>
        <v>0</v>
      </c>
      <c r="BM162" s="553">
        <f>IFERROR('Utility Admin'!$I$4*((1+'Utility Admin'!$G$4)/('Utility Admin'!$H$4-'Utility Admin'!$G$4))*(1-((1+'Utility Admin'!$G$4)/(1+'Utility Admin'!$H$4))^$BK162)*$BG162,0)</f>
        <v>0</v>
      </c>
      <c r="BN162" s="553">
        <f>IFERROR('Utility Admin'!$I$4*((1+'Utility Admin'!$G$4)/('Utility Admin'!$H$4-'Utility Admin'!$G$4))*(1-((1+'Utility Admin'!$G$4)/(1+'Utility Admin'!$H$4))^$BL162)*((1+'Utility Admin'!$G$4)^$BK162/(1+'Utility Admin'!$H$4)^$BK162)*$BC162,0)</f>
        <v>0</v>
      </c>
      <c r="BO162" s="553">
        <f t="shared" si="27"/>
        <v>0</v>
      </c>
      <c r="BP162" s="553">
        <f>IFERROR('Utility Admin'!$J$4*((1+'Utility Admin'!$G$4)/('Utility Admin'!$H$4-'Utility Admin'!$G$4))*(1-((1+'Utility Admin'!$G$4)/(1+'Utility Admin'!$H$4))^$BK162)*$BJ162,0)</f>
        <v>0</v>
      </c>
      <c r="BQ162" s="553">
        <f>IFERROR('Utility Admin'!$J$4*((1+'Utility Admin'!$G$4)/('Utility Admin'!$H$4-'Utility Admin'!$G$4))*(1-((1+'Utility Admin'!$G$4)/(1+'Utility Admin'!$H$4))^$BL162)*((1+'Utility Admin'!$G$4)^$BK162/(1+'Utility Admin'!$H$4)^$BK162)*$BF162,0)</f>
        <v>0</v>
      </c>
      <c r="BR162" s="553">
        <f t="shared" si="28"/>
        <v>0</v>
      </c>
      <c r="BS162" s="553">
        <f>IFERROR('Utility Admin'!$I$4*((1+'Utility Admin'!$G$4)/('Utility Admin'!$H$4-'Utility Admin'!$G$4))*(1-((1+'Utility Admin'!$G$4)/(1+'Utility Admin'!$H$4))^$AT162),0)</f>
        <v>0</v>
      </c>
      <c r="BT162" s="553">
        <f>IFERROR('Utility Admin'!$J$4*((1+'Utility Admin'!$G$4)/('Utility Admin'!$H$4-'Utility Admin'!$G$4))*(1-((1+'Utility Admin'!$G$4)/(1+'Utility Admin'!$H$4))^$AT162),0)</f>
        <v>0</v>
      </c>
      <c r="BU162" s="459">
        <f t="shared" si="101"/>
        <v>0</v>
      </c>
      <c r="BV162" s="462">
        <f t="shared" si="102"/>
        <v>0</v>
      </c>
      <c r="BW162" s="219" t="str">
        <f t="shared" si="89"/>
        <v/>
      </c>
      <c r="BX162" s="250" t="str">
        <f t="shared" si="103"/>
        <v/>
      </c>
      <c r="BY162" s="250" t="str">
        <f t="shared" si="90"/>
        <v/>
      </c>
      <c r="BZ162" s="184">
        <f t="shared" si="104"/>
        <v>0</v>
      </c>
      <c r="CA162" s="693">
        <f t="shared" si="105"/>
        <v>0</v>
      </c>
      <c r="CB162" s="836">
        <f t="shared" si="106"/>
        <v>0</v>
      </c>
      <c r="CC162" s="693">
        <f>IF(AND($C162="Early Retirement",$H162&lt;&gt;"",$R162&lt;&gt;"",$T162&lt;&gt;""),$BZ162,Baselines!$CJ155)</f>
        <v>0</v>
      </c>
      <c r="CD162" s="693">
        <f>IF(AND($C162="Early Retirement",$H162&lt;&gt;"",$R162&lt;&gt;"",$T162&lt;&gt;""),$CA162,Baselines!$CK155)</f>
        <v>0</v>
      </c>
      <c r="CE162" s="182" t="str">
        <f>Baselines!$CL155</f>
        <v>kW/ton</v>
      </c>
      <c r="CF162" s="850" t="str">
        <f t="shared" si="91"/>
        <v/>
      </c>
      <c r="CG162" s="833">
        <f>IF(AND($C162="Early Retirement",$H162&lt;&gt;"",$R162&lt;&gt;"",$T162&lt;&gt;""),$CB162,IF(AND(Baselines!$CM155=0,OR($CL162="DX HP",$CL162="PTHP")),$BB162,Baselines!$CM155))</f>
        <v>0</v>
      </c>
      <c r="CH162" s="830" t="s">
        <v>567</v>
      </c>
      <c r="CI162" s="185" t="str">
        <f>IF(OR($C162="Replace-on-Burnout",$C162="New Construction"),$CT162,IF($BW162="","",VLOOKUP($D162,'Factor Tables'!$B$165:$H$192,MATCH($BW162,'Factor Tables'!$B$164:$H$164,0),FALSE)))</f>
        <v/>
      </c>
      <c r="CJ162" s="842" t="str">
        <f>IF(OR($C162="Replace-on-Burnout",$C162="New Construction"),$CU162,IF($BW162="","",IF($BW162="DX HP",VLOOKUP($D162,'Factor Tables'!$I$165:$Q$192,MATCH("DX HP Clg",'Factor Tables'!$I$164:$Q$164,0),FALSE),IF($BW162="PTHP",VLOOKUP($D162,'Factor Tables'!$I$165:$Q$192,MATCH("PTHP Clg",'Factor Tables'!$I$164:$Q$164,0),FALSE),IF(AND($BW162&lt;&gt;"DX HP",$BW162&lt;&gt;"PTHP"),VLOOKUP($D162,'Factor Tables'!$I$165:$Q$192,MATCH($BW162,'Factor Tables'!$I$164:$Q$164,0),FALSE),"")))))</f>
        <v/>
      </c>
      <c r="CK162" s="186" t="str">
        <f>IF(OR($C162="Replace-on-Burnout",$C162="New Construction",$CL162="DX HP",$CL162="PTHP"),$CV162,IF($BW162="","",IF($BW162="DX HP",VLOOKUP($D162,'Factor Tables'!$I$165:$Q$192,MATCH("DX HP Htg",'Factor Tables'!$I$164:$Q$164,0),FALSE),IF($BW162="PTHP",VLOOKUP($D162,'Factor Tables'!$I$165:$Q$192,MATCH("PTHP Htg",'Factor Tables'!$I$164:$Q$164,0),FALSE),0))))</f>
        <v/>
      </c>
      <c r="CL162" s="187" t="str">
        <f t="shared" si="92"/>
        <v/>
      </c>
      <c r="CM162" s="251" t="str">
        <f t="shared" si="93"/>
        <v/>
      </c>
      <c r="CN162" s="184">
        <f t="shared" si="107"/>
        <v>0</v>
      </c>
      <c r="CO162" s="693">
        <f t="shared" si="108"/>
        <v>0</v>
      </c>
      <c r="CP162" s="182" t="s">
        <v>46</v>
      </c>
      <c r="CQ162" s="852" t="str">
        <f t="shared" si="109"/>
        <v/>
      </c>
      <c r="CR162" s="833">
        <f t="shared" si="110"/>
        <v>0</v>
      </c>
      <c r="CS162" s="830" t="s">
        <v>567</v>
      </c>
      <c r="CT162" s="185" t="str">
        <f>IF($CL162="","",VLOOKUP($D162,'Factor Tables'!$B$165:$H$192,MATCH($CL162,'Factor Tables'!$B$164:$H$164,0),FALSE))</f>
        <v/>
      </c>
      <c r="CU162" s="842" t="str">
        <f>IF($CL162="","",IF(AND($CL162&lt;&gt;"DX HP",$CL162&lt;&gt;"PTHP"),VLOOKUP($D162,'Factor Tables'!$I$165:$Q$192,MATCH($CL162,'Factor Tables'!$I$164:$Q$164,0),FALSE),IF($CL162="DX HP",VLOOKUP($D162,'Factor Tables'!$I$165:$Q$192,MATCH("DX HP Clg",'Factor Tables'!$I$164:$Q$164,0),FALSE),IF($CL162="PTHP",VLOOKUP($D162,'Factor Tables'!$I$165:$Q$192,MATCH("PTHP Clg",'Factor Tables'!$I$164:$Q$164,0),FALSE),""))))</f>
        <v/>
      </c>
      <c r="CV162" s="186" t="str">
        <f>IF($CL162="","",IF(AND($CL162&lt;&gt;"DX HP",$CL162&lt;&gt;"PTHP"),0,IF($CL162="DX HP",VLOOKUP($D162,'Factor Tables'!$I$165:$Q$192,MATCH("DX HP Htg",'Factor Tables'!$I$164:$Q$164,0),FALSE),IF($CL162="PTHP",VLOOKUP($D162,'Factor Tables'!$I$165:$Q$192,MATCH("PTHP Htg",'Factor Tables'!$I$164:$Q$164,0),FALSE),""))))</f>
        <v/>
      </c>
      <c r="DD162" s="898" t="s">
        <v>43</v>
      </c>
      <c r="DE162" s="426"/>
      <c r="DI162" s="425"/>
      <c r="DJ162" s="425"/>
      <c r="DK162" s="425"/>
      <c r="DL162" s="425"/>
      <c r="DM162" s="493" t="s">
        <v>478</v>
      </c>
    </row>
    <row r="163" spans="2:117" s="427" customFormat="1" ht="21.95" customHeight="1" x14ac:dyDescent="0.25">
      <c r="B163" s="432">
        <v>154</v>
      </c>
      <c r="C163" s="499" t="str">
        <f t="shared" si="94"/>
        <v/>
      </c>
      <c r="D163" s="403" t="str">
        <f t="shared" si="95"/>
        <v/>
      </c>
      <c r="E163" s="541"/>
      <c r="F163" s="785"/>
      <c r="G163" s="728"/>
      <c r="H163" s="728"/>
      <c r="I163" s="728"/>
      <c r="J163" s="728"/>
      <c r="K163" s="728"/>
      <c r="L163" s="728"/>
      <c r="M163" s="764"/>
      <c r="N163" s="728"/>
      <c r="O163" s="764"/>
      <c r="P163" s="728"/>
      <c r="Q163" s="1142"/>
      <c r="R163" s="1133"/>
      <c r="S163" s="778"/>
      <c r="T163" s="767"/>
      <c r="U163" s="778"/>
      <c r="V163" s="751"/>
      <c r="W163" s="556"/>
      <c r="X163" s="785"/>
      <c r="Y163" s="542"/>
      <c r="Z163" s="500"/>
      <c r="AA163" s="500"/>
      <c r="AB163" s="500"/>
      <c r="AC163" s="500"/>
      <c r="AD163" s="529"/>
      <c r="AE163" s="527">
        <f t="shared" si="39"/>
        <v>0</v>
      </c>
      <c r="AF163" s="527">
        <f t="shared" si="96"/>
        <v>0</v>
      </c>
      <c r="AG163" s="527">
        <f t="shared" si="76"/>
        <v>0</v>
      </c>
      <c r="AH163" s="527">
        <f t="shared" si="77"/>
        <v>0</v>
      </c>
      <c r="AI163" s="527">
        <f t="shared" si="78"/>
        <v>0</v>
      </c>
      <c r="AJ163" s="527">
        <f t="shared" si="79"/>
        <v>999999999</v>
      </c>
      <c r="AK163" s="530"/>
      <c r="AL163" s="776"/>
      <c r="AM163" s="777"/>
      <c r="AN163" s="500"/>
      <c r="AO163" s="778"/>
      <c r="AP163" s="778"/>
      <c r="AQ163" s="500"/>
      <c r="AR163" s="531"/>
      <c r="AS163" s="403"/>
      <c r="AT163" s="524" t="str">
        <f t="shared" si="80"/>
        <v/>
      </c>
      <c r="AU163" s="311">
        <f t="shared" si="81"/>
        <v>0</v>
      </c>
      <c r="AV163" s="288">
        <f t="shared" si="97"/>
        <v>0</v>
      </c>
      <c r="AW163" s="290">
        <f>IF(ISERROR($AU163*'Utility Admin'!$E$4+$AV163*'Utility Admin'!$F$4),0,$AU163*'Utility Admin'!$E$4+$AV163*'Utility Admin'!$F$4)</f>
        <v>0</v>
      </c>
      <c r="AX163" s="323" t="str">
        <f t="shared" si="82"/>
        <v/>
      </c>
      <c r="AY163" s="322" t="str">
        <f t="shared" si="23"/>
        <v/>
      </c>
      <c r="AZ163" s="319">
        <f>Baselines!$CJ407</f>
        <v>0</v>
      </c>
      <c r="BA163" s="735">
        <f>Baselines!$CK407</f>
        <v>0</v>
      </c>
      <c r="BB163" s="839">
        <f>Baselines!$CM407</f>
        <v>0</v>
      </c>
      <c r="BC163" s="466">
        <f t="shared" si="83"/>
        <v>0</v>
      </c>
      <c r="BD163" s="464">
        <f t="shared" si="98"/>
        <v>0</v>
      </c>
      <c r="BE163" s="755">
        <f t="shared" si="84"/>
        <v>0</v>
      </c>
      <c r="BF163" s="755">
        <f t="shared" si="99"/>
        <v>0</v>
      </c>
      <c r="BG163" s="466">
        <f t="shared" si="85"/>
        <v>0</v>
      </c>
      <c r="BH163" s="464">
        <f t="shared" si="86"/>
        <v>0</v>
      </c>
      <c r="BI163" s="755">
        <f t="shared" si="87"/>
        <v>0</v>
      </c>
      <c r="BJ163" s="755">
        <f t="shared" si="100"/>
        <v>0</v>
      </c>
      <c r="BK163" s="333">
        <f>IF(OR($C163&lt;&gt;"Early Retirement",$H163=""),0,IF(AND($G163&lt;&gt;"Air Cooled Chiller",$G163&lt;&gt;"Water Cooled Chiller"),VLOOKUP($H163,'Early Retirement'!$CI$6:$CL$33,2,FALSE),IF($J163&lt;&gt;"Centrifugal",VLOOKUP($H163,'Early Retirement'!$CI$6:$CL$33,3,FALSE),IF($J163="Centrifugal",VLOOKUP($H163,'Early Retirement'!$CI$6:$CL$33,4,FALSE),""))))</f>
        <v>0</v>
      </c>
      <c r="BL163" s="450">
        <f t="shared" si="88"/>
        <v>0</v>
      </c>
      <c r="BM163" s="553">
        <f>IFERROR('Utility Admin'!$I$4*((1+'Utility Admin'!$G$4)/('Utility Admin'!$H$4-'Utility Admin'!$G$4))*(1-((1+'Utility Admin'!$G$4)/(1+'Utility Admin'!$H$4))^$BK163)*$BG163,0)</f>
        <v>0</v>
      </c>
      <c r="BN163" s="553">
        <f>IFERROR('Utility Admin'!$I$4*((1+'Utility Admin'!$G$4)/('Utility Admin'!$H$4-'Utility Admin'!$G$4))*(1-((1+'Utility Admin'!$G$4)/(1+'Utility Admin'!$H$4))^$BL163)*((1+'Utility Admin'!$G$4)^$BK163/(1+'Utility Admin'!$H$4)^$BK163)*$BC163,0)</f>
        <v>0</v>
      </c>
      <c r="BO163" s="553">
        <f t="shared" si="27"/>
        <v>0</v>
      </c>
      <c r="BP163" s="553">
        <f>IFERROR('Utility Admin'!$J$4*((1+'Utility Admin'!$G$4)/('Utility Admin'!$H$4-'Utility Admin'!$G$4))*(1-((1+'Utility Admin'!$G$4)/(1+'Utility Admin'!$H$4))^$BK163)*$BJ163,0)</f>
        <v>0</v>
      </c>
      <c r="BQ163" s="553">
        <f>IFERROR('Utility Admin'!$J$4*((1+'Utility Admin'!$G$4)/('Utility Admin'!$H$4-'Utility Admin'!$G$4))*(1-((1+'Utility Admin'!$G$4)/(1+'Utility Admin'!$H$4))^$BL163)*((1+'Utility Admin'!$G$4)^$BK163/(1+'Utility Admin'!$H$4)^$BK163)*$BF163,0)</f>
        <v>0</v>
      </c>
      <c r="BR163" s="553">
        <f t="shared" si="28"/>
        <v>0</v>
      </c>
      <c r="BS163" s="553">
        <f>IFERROR('Utility Admin'!$I$4*((1+'Utility Admin'!$G$4)/('Utility Admin'!$H$4-'Utility Admin'!$G$4))*(1-((1+'Utility Admin'!$G$4)/(1+'Utility Admin'!$H$4))^$AT163),0)</f>
        <v>0</v>
      </c>
      <c r="BT163" s="553">
        <f>IFERROR('Utility Admin'!$J$4*((1+'Utility Admin'!$G$4)/('Utility Admin'!$H$4-'Utility Admin'!$G$4))*(1-((1+'Utility Admin'!$G$4)/(1+'Utility Admin'!$H$4))^$AT163),0)</f>
        <v>0</v>
      </c>
      <c r="BU163" s="459">
        <f t="shared" si="101"/>
        <v>0</v>
      </c>
      <c r="BV163" s="462">
        <f t="shared" si="102"/>
        <v>0</v>
      </c>
      <c r="BW163" s="219" t="str">
        <f t="shared" si="89"/>
        <v/>
      </c>
      <c r="BX163" s="250" t="str">
        <f t="shared" si="103"/>
        <v/>
      </c>
      <c r="BY163" s="250" t="str">
        <f t="shared" si="90"/>
        <v/>
      </c>
      <c r="BZ163" s="184">
        <f t="shared" si="104"/>
        <v>0</v>
      </c>
      <c r="CA163" s="693">
        <f t="shared" si="105"/>
        <v>0</v>
      </c>
      <c r="CB163" s="836">
        <f t="shared" si="106"/>
        <v>0</v>
      </c>
      <c r="CC163" s="693">
        <f>IF(AND($C163="Early Retirement",$H163&lt;&gt;"",$R163&lt;&gt;"",$T163&lt;&gt;""),$BZ163,Baselines!$CJ156)</f>
        <v>0</v>
      </c>
      <c r="CD163" s="693">
        <f>IF(AND($C163="Early Retirement",$H163&lt;&gt;"",$R163&lt;&gt;"",$T163&lt;&gt;""),$CA163,Baselines!$CK156)</f>
        <v>0</v>
      </c>
      <c r="CE163" s="182" t="str">
        <f>Baselines!$CL156</f>
        <v>kW/ton</v>
      </c>
      <c r="CF163" s="850" t="str">
        <f t="shared" si="91"/>
        <v/>
      </c>
      <c r="CG163" s="833">
        <f>IF(AND($C163="Early Retirement",$H163&lt;&gt;"",$R163&lt;&gt;"",$T163&lt;&gt;""),$CB163,IF(AND(Baselines!$CM156=0,OR($CL163="DX HP",$CL163="PTHP")),$BB163,Baselines!$CM156))</f>
        <v>0</v>
      </c>
      <c r="CH163" s="830" t="s">
        <v>567</v>
      </c>
      <c r="CI163" s="185" t="str">
        <f>IF(OR($C163="Replace-on-Burnout",$C163="New Construction"),$CT163,IF($BW163="","",VLOOKUP($D163,'Factor Tables'!$B$165:$H$192,MATCH($BW163,'Factor Tables'!$B$164:$H$164,0),FALSE)))</f>
        <v/>
      </c>
      <c r="CJ163" s="842" t="str">
        <f>IF(OR($C163="Replace-on-Burnout",$C163="New Construction"),$CU163,IF($BW163="","",IF($BW163="DX HP",VLOOKUP($D163,'Factor Tables'!$I$165:$Q$192,MATCH("DX HP Clg",'Factor Tables'!$I$164:$Q$164,0),FALSE),IF($BW163="PTHP",VLOOKUP($D163,'Factor Tables'!$I$165:$Q$192,MATCH("PTHP Clg",'Factor Tables'!$I$164:$Q$164,0),FALSE),IF(AND($BW163&lt;&gt;"DX HP",$BW163&lt;&gt;"PTHP"),VLOOKUP($D163,'Factor Tables'!$I$165:$Q$192,MATCH($BW163,'Factor Tables'!$I$164:$Q$164,0),FALSE),"")))))</f>
        <v/>
      </c>
      <c r="CK163" s="186" t="str">
        <f>IF(OR($C163="Replace-on-Burnout",$C163="New Construction",$CL163="DX HP",$CL163="PTHP"),$CV163,IF($BW163="","",IF($BW163="DX HP",VLOOKUP($D163,'Factor Tables'!$I$165:$Q$192,MATCH("DX HP Htg",'Factor Tables'!$I$164:$Q$164,0),FALSE),IF($BW163="PTHP",VLOOKUP($D163,'Factor Tables'!$I$165:$Q$192,MATCH("PTHP Htg",'Factor Tables'!$I$164:$Q$164,0),FALSE),0))))</f>
        <v/>
      </c>
      <c r="CL163" s="187" t="str">
        <f t="shared" si="92"/>
        <v/>
      </c>
      <c r="CM163" s="251" t="str">
        <f t="shared" si="93"/>
        <v/>
      </c>
      <c r="CN163" s="184">
        <f t="shared" si="107"/>
        <v>0</v>
      </c>
      <c r="CO163" s="693">
        <f t="shared" si="108"/>
        <v>0</v>
      </c>
      <c r="CP163" s="182" t="s">
        <v>46</v>
      </c>
      <c r="CQ163" s="852" t="str">
        <f t="shared" si="109"/>
        <v/>
      </c>
      <c r="CR163" s="833">
        <f t="shared" si="110"/>
        <v>0</v>
      </c>
      <c r="CS163" s="830" t="s">
        <v>567</v>
      </c>
      <c r="CT163" s="185" t="str">
        <f>IF($CL163="","",VLOOKUP($D163,'Factor Tables'!$B$165:$H$192,MATCH($CL163,'Factor Tables'!$B$164:$H$164,0),FALSE))</f>
        <v/>
      </c>
      <c r="CU163" s="842" t="str">
        <f>IF($CL163="","",IF(AND($CL163&lt;&gt;"DX HP",$CL163&lt;&gt;"PTHP"),VLOOKUP($D163,'Factor Tables'!$I$165:$Q$192,MATCH($CL163,'Factor Tables'!$I$164:$Q$164,0),FALSE),IF($CL163="DX HP",VLOOKUP($D163,'Factor Tables'!$I$165:$Q$192,MATCH("DX HP Clg",'Factor Tables'!$I$164:$Q$164,0),FALSE),IF($CL163="PTHP",VLOOKUP($D163,'Factor Tables'!$I$165:$Q$192,MATCH("PTHP Clg",'Factor Tables'!$I$164:$Q$164,0),FALSE),""))))</f>
        <v/>
      </c>
      <c r="CV163" s="186" t="str">
        <f>IF($CL163="","",IF(AND($CL163&lt;&gt;"DX HP",$CL163&lt;&gt;"PTHP"),0,IF($CL163="DX HP",VLOOKUP($D163,'Factor Tables'!$I$165:$Q$192,MATCH("DX HP Htg",'Factor Tables'!$I$164:$Q$164,0),FALSE),IF($CL163="PTHP",VLOOKUP($D163,'Factor Tables'!$I$165:$Q$192,MATCH("PTHP Htg",'Factor Tables'!$I$164:$Q$164,0),FALSE),""))))</f>
        <v/>
      </c>
      <c r="DD163" s="902" t="s">
        <v>53</v>
      </c>
      <c r="DE163" s="426"/>
      <c r="DI163" s="425"/>
      <c r="DJ163" s="425"/>
      <c r="DK163" s="425"/>
      <c r="DL163" s="425"/>
      <c r="DM163" s="493" t="s">
        <v>478</v>
      </c>
    </row>
    <row r="164" spans="2:117" s="427" customFormat="1" ht="21.95" customHeight="1" x14ac:dyDescent="0.25">
      <c r="B164" s="431">
        <v>155</v>
      </c>
      <c r="C164" s="501" t="str">
        <f t="shared" si="94"/>
        <v/>
      </c>
      <c r="D164" s="502" t="str">
        <f t="shared" si="95"/>
        <v/>
      </c>
      <c r="E164" s="546"/>
      <c r="F164" s="547"/>
      <c r="G164" s="729"/>
      <c r="H164" s="729"/>
      <c r="I164" s="729"/>
      <c r="J164" s="729"/>
      <c r="K164" s="729"/>
      <c r="L164" s="729"/>
      <c r="M164" s="765"/>
      <c r="N164" s="758"/>
      <c r="O164" s="765"/>
      <c r="P164" s="758"/>
      <c r="Q164" s="1143"/>
      <c r="R164" s="1134"/>
      <c r="S164" s="775"/>
      <c r="T164" s="729"/>
      <c r="U164" s="775"/>
      <c r="V164" s="779"/>
      <c r="W164" s="557"/>
      <c r="X164" s="788"/>
      <c r="Y164" s="543"/>
      <c r="Z164" s="281"/>
      <c r="AA164" s="281"/>
      <c r="AB164" s="281"/>
      <c r="AC164" s="281"/>
      <c r="AD164" s="492"/>
      <c r="AE164" s="527">
        <f t="shared" si="39"/>
        <v>0</v>
      </c>
      <c r="AF164" s="527">
        <f t="shared" si="96"/>
        <v>0</v>
      </c>
      <c r="AG164" s="527">
        <f t="shared" si="76"/>
        <v>0</v>
      </c>
      <c r="AH164" s="527">
        <f t="shared" si="77"/>
        <v>0</v>
      </c>
      <c r="AI164" s="527">
        <f t="shared" si="78"/>
        <v>0</v>
      </c>
      <c r="AJ164" s="527">
        <f t="shared" si="79"/>
        <v>999999999</v>
      </c>
      <c r="AK164" s="471"/>
      <c r="AL164" s="765"/>
      <c r="AM164" s="758"/>
      <c r="AN164" s="281"/>
      <c r="AO164" s="775"/>
      <c r="AP164" s="775"/>
      <c r="AQ164" s="281"/>
      <c r="AR164" s="528"/>
      <c r="AS164" s="532"/>
      <c r="AT164" s="524" t="str">
        <f t="shared" si="80"/>
        <v/>
      </c>
      <c r="AU164" s="311">
        <f t="shared" si="81"/>
        <v>0</v>
      </c>
      <c r="AV164" s="288">
        <f t="shared" si="97"/>
        <v>0</v>
      </c>
      <c r="AW164" s="290">
        <f>IF(ISERROR($AU164*'Utility Admin'!$E$4+$AV164*'Utility Admin'!$F$4),0,$AU164*'Utility Admin'!$E$4+$AV164*'Utility Admin'!$F$4)</f>
        <v>0</v>
      </c>
      <c r="AX164" s="323" t="str">
        <f t="shared" si="82"/>
        <v/>
      </c>
      <c r="AY164" s="322" t="str">
        <f t="shared" si="23"/>
        <v/>
      </c>
      <c r="AZ164" s="319">
        <f>Baselines!$CJ408</f>
        <v>0</v>
      </c>
      <c r="BA164" s="735">
        <f>Baselines!$CK408</f>
        <v>0</v>
      </c>
      <c r="BB164" s="839">
        <f>Baselines!$CM408</f>
        <v>0</v>
      </c>
      <c r="BC164" s="466">
        <f t="shared" si="83"/>
        <v>0</v>
      </c>
      <c r="BD164" s="464">
        <f t="shared" si="98"/>
        <v>0</v>
      </c>
      <c r="BE164" s="755">
        <f t="shared" si="84"/>
        <v>0</v>
      </c>
      <c r="BF164" s="755">
        <f t="shared" si="99"/>
        <v>0</v>
      </c>
      <c r="BG164" s="466">
        <f t="shared" si="85"/>
        <v>0</v>
      </c>
      <c r="BH164" s="464">
        <f t="shared" si="86"/>
        <v>0</v>
      </c>
      <c r="BI164" s="755">
        <f t="shared" si="87"/>
        <v>0</v>
      </c>
      <c r="BJ164" s="755">
        <f t="shared" si="100"/>
        <v>0</v>
      </c>
      <c r="BK164" s="333">
        <f>IF(OR($C164&lt;&gt;"Early Retirement",$H164=""),0,IF(AND($G164&lt;&gt;"Air Cooled Chiller",$G164&lt;&gt;"Water Cooled Chiller"),VLOOKUP($H164,'Early Retirement'!$CI$6:$CL$33,2,FALSE),IF($J164&lt;&gt;"Centrifugal",VLOOKUP($H164,'Early Retirement'!$CI$6:$CL$33,3,FALSE),IF($J164="Centrifugal",VLOOKUP($H164,'Early Retirement'!$CI$6:$CL$33,4,FALSE),""))))</f>
        <v>0</v>
      </c>
      <c r="BL164" s="450">
        <f t="shared" si="88"/>
        <v>0</v>
      </c>
      <c r="BM164" s="553">
        <f>IFERROR('Utility Admin'!$I$4*((1+'Utility Admin'!$G$4)/('Utility Admin'!$H$4-'Utility Admin'!$G$4))*(1-((1+'Utility Admin'!$G$4)/(1+'Utility Admin'!$H$4))^$BK164)*$BG164,0)</f>
        <v>0</v>
      </c>
      <c r="BN164" s="553">
        <f>IFERROR('Utility Admin'!$I$4*((1+'Utility Admin'!$G$4)/('Utility Admin'!$H$4-'Utility Admin'!$G$4))*(1-((1+'Utility Admin'!$G$4)/(1+'Utility Admin'!$H$4))^$BL164)*((1+'Utility Admin'!$G$4)^$BK164/(1+'Utility Admin'!$H$4)^$BK164)*$BC164,0)</f>
        <v>0</v>
      </c>
      <c r="BO164" s="553">
        <f t="shared" si="27"/>
        <v>0</v>
      </c>
      <c r="BP164" s="553">
        <f>IFERROR('Utility Admin'!$J$4*((1+'Utility Admin'!$G$4)/('Utility Admin'!$H$4-'Utility Admin'!$G$4))*(1-((1+'Utility Admin'!$G$4)/(1+'Utility Admin'!$H$4))^$BK164)*$BJ164,0)</f>
        <v>0</v>
      </c>
      <c r="BQ164" s="553">
        <f>IFERROR('Utility Admin'!$J$4*((1+'Utility Admin'!$G$4)/('Utility Admin'!$H$4-'Utility Admin'!$G$4))*(1-((1+'Utility Admin'!$G$4)/(1+'Utility Admin'!$H$4))^$BL164)*((1+'Utility Admin'!$G$4)^$BK164/(1+'Utility Admin'!$H$4)^$BK164)*$BF164,0)</f>
        <v>0</v>
      </c>
      <c r="BR164" s="553">
        <f t="shared" si="28"/>
        <v>0</v>
      </c>
      <c r="BS164" s="553">
        <f>IFERROR('Utility Admin'!$I$4*((1+'Utility Admin'!$G$4)/('Utility Admin'!$H$4-'Utility Admin'!$G$4))*(1-((1+'Utility Admin'!$G$4)/(1+'Utility Admin'!$H$4))^$AT164),0)</f>
        <v>0</v>
      </c>
      <c r="BT164" s="553">
        <f>IFERROR('Utility Admin'!$J$4*((1+'Utility Admin'!$G$4)/('Utility Admin'!$H$4-'Utility Admin'!$G$4))*(1-((1+'Utility Admin'!$G$4)/(1+'Utility Admin'!$H$4))^$AT164),0)</f>
        <v>0</v>
      </c>
      <c r="BU164" s="459">
        <f t="shared" si="101"/>
        <v>0</v>
      </c>
      <c r="BV164" s="462">
        <f t="shared" si="102"/>
        <v>0</v>
      </c>
      <c r="BW164" s="219" t="str">
        <f t="shared" si="89"/>
        <v/>
      </c>
      <c r="BX164" s="250" t="str">
        <f t="shared" si="103"/>
        <v/>
      </c>
      <c r="BY164" s="250" t="str">
        <f t="shared" si="90"/>
        <v/>
      </c>
      <c r="BZ164" s="184">
        <f t="shared" si="104"/>
        <v>0</v>
      </c>
      <c r="CA164" s="693">
        <f t="shared" si="105"/>
        <v>0</v>
      </c>
      <c r="CB164" s="836">
        <f t="shared" si="106"/>
        <v>0</v>
      </c>
      <c r="CC164" s="693">
        <f>IF(AND($C164="Early Retirement",$H164&lt;&gt;"",$R164&lt;&gt;"",$T164&lt;&gt;""),$BZ164,Baselines!$CJ157)</f>
        <v>0</v>
      </c>
      <c r="CD164" s="693">
        <f>IF(AND($C164="Early Retirement",$H164&lt;&gt;"",$R164&lt;&gt;"",$T164&lt;&gt;""),$CA164,Baselines!$CK157)</f>
        <v>0</v>
      </c>
      <c r="CE164" s="182" t="str">
        <f>Baselines!$CL157</f>
        <v>kW/ton</v>
      </c>
      <c r="CF164" s="850" t="str">
        <f t="shared" si="91"/>
        <v/>
      </c>
      <c r="CG164" s="833">
        <f>IF(AND($C164="Early Retirement",$H164&lt;&gt;"",$R164&lt;&gt;"",$T164&lt;&gt;""),$CB164,IF(AND(Baselines!$CM157=0,OR($CL164="DX HP",$CL164="PTHP")),$BB164,Baselines!$CM157))</f>
        <v>0</v>
      </c>
      <c r="CH164" s="830" t="s">
        <v>567</v>
      </c>
      <c r="CI164" s="185" t="str">
        <f>IF(OR($C164="Replace-on-Burnout",$C164="New Construction"),$CT164,IF($BW164="","",VLOOKUP($D164,'Factor Tables'!$B$165:$H$192,MATCH($BW164,'Factor Tables'!$B$164:$H$164,0),FALSE)))</f>
        <v/>
      </c>
      <c r="CJ164" s="842" t="str">
        <f>IF(OR($C164="Replace-on-Burnout",$C164="New Construction"),$CU164,IF($BW164="","",IF($BW164="DX HP",VLOOKUP($D164,'Factor Tables'!$I$165:$Q$192,MATCH("DX HP Clg",'Factor Tables'!$I$164:$Q$164,0),FALSE),IF($BW164="PTHP",VLOOKUP($D164,'Factor Tables'!$I$165:$Q$192,MATCH("PTHP Clg",'Factor Tables'!$I$164:$Q$164,0),FALSE),IF(AND($BW164&lt;&gt;"DX HP",$BW164&lt;&gt;"PTHP"),VLOOKUP($D164,'Factor Tables'!$I$165:$Q$192,MATCH($BW164,'Factor Tables'!$I$164:$Q$164,0),FALSE),"")))))</f>
        <v/>
      </c>
      <c r="CK164" s="186" t="str">
        <f>IF(OR($C164="Replace-on-Burnout",$C164="New Construction",$CL164="DX HP",$CL164="PTHP"),$CV164,IF($BW164="","",IF($BW164="DX HP",VLOOKUP($D164,'Factor Tables'!$I$165:$Q$192,MATCH("DX HP Htg",'Factor Tables'!$I$164:$Q$164,0),FALSE),IF($BW164="PTHP",VLOOKUP($D164,'Factor Tables'!$I$165:$Q$192,MATCH("PTHP Htg",'Factor Tables'!$I$164:$Q$164,0),FALSE),0))))</f>
        <v/>
      </c>
      <c r="CL164" s="187" t="str">
        <f t="shared" si="92"/>
        <v/>
      </c>
      <c r="CM164" s="251" t="str">
        <f t="shared" si="93"/>
        <v/>
      </c>
      <c r="CN164" s="184">
        <f t="shared" si="107"/>
        <v>0</v>
      </c>
      <c r="CO164" s="693">
        <f t="shared" si="108"/>
        <v>0</v>
      </c>
      <c r="CP164" s="182" t="s">
        <v>46</v>
      </c>
      <c r="CQ164" s="852" t="str">
        <f t="shared" si="109"/>
        <v/>
      </c>
      <c r="CR164" s="833">
        <f t="shared" si="110"/>
        <v>0</v>
      </c>
      <c r="CS164" s="830" t="s">
        <v>567</v>
      </c>
      <c r="CT164" s="185" t="str">
        <f>IF($CL164="","",VLOOKUP($D164,'Factor Tables'!$B$165:$H$192,MATCH($CL164,'Factor Tables'!$B$164:$H$164,0),FALSE))</f>
        <v/>
      </c>
      <c r="CU164" s="842" t="str">
        <f>IF($CL164="","",IF(AND($CL164&lt;&gt;"DX HP",$CL164&lt;&gt;"PTHP"),VLOOKUP($D164,'Factor Tables'!$I$165:$Q$192,MATCH($CL164,'Factor Tables'!$I$164:$Q$164,0),FALSE),IF($CL164="DX HP",VLOOKUP($D164,'Factor Tables'!$I$165:$Q$192,MATCH("DX HP Clg",'Factor Tables'!$I$164:$Q$164,0),FALSE),IF($CL164="PTHP",VLOOKUP($D164,'Factor Tables'!$I$165:$Q$192,MATCH("PTHP Clg",'Factor Tables'!$I$164:$Q$164,0),FALSE),""))))</f>
        <v/>
      </c>
      <c r="CV164" s="186" t="str">
        <f>IF($CL164="","",IF(AND($CL164&lt;&gt;"DX HP",$CL164&lt;&gt;"PTHP"),0,IF($CL164="DX HP",VLOOKUP($D164,'Factor Tables'!$I$165:$Q$192,MATCH("DX HP Htg",'Factor Tables'!$I$164:$Q$164,0),FALSE),IF($CL164="PTHP",VLOOKUP($D164,'Factor Tables'!$I$165:$Q$192,MATCH("PTHP Htg",'Factor Tables'!$I$164:$Q$164,0),FALSE),""))))</f>
        <v/>
      </c>
      <c r="DD164" s="898" t="s">
        <v>54</v>
      </c>
      <c r="DE164" s="426"/>
      <c r="DI164" s="425"/>
      <c r="DJ164" s="425"/>
      <c r="DK164" s="425"/>
      <c r="DL164" s="425"/>
      <c r="DM164" s="493" t="s">
        <v>478</v>
      </c>
    </row>
    <row r="165" spans="2:117" s="427" customFormat="1" ht="21.95" customHeight="1" x14ac:dyDescent="0.25">
      <c r="B165" s="432">
        <v>156</v>
      </c>
      <c r="C165" s="499" t="str">
        <f t="shared" si="94"/>
        <v/>
      </c>
      <c r="D165" s="403" t="str">
        <f t="shared" si="95"/>
        <v/>
      </c>
      <c r="E165" s="541"/>
      <c r="F165" s="785"/>
      <c r="G165" s="728"/>
      <c r="H165" s="728"/>
      <c r="I165" s="728"/>
      <c r="J165" s="728"/>
      <c r="K165" s="728"/>
      <c r="L165" s="728"/>
      <c r="M165" s="764"/>
      <c r="N165" s="728"/>
      <c r="O165" s="764"/>
      <c r="P165" s="728"/>
      <c r="Q165" s="1142"/>
      <c r="R165" s="1133"/>
      <c r="S165" s="778"/>
      <c r="T165" s="767"/>
      <c r="U165" s="778"/>
      <c r="V165" s="751"/>
      <c r="W165" s="556"/>
      <c r="X165" s="785"/>
      <c r="Y165" s="542"/>
      <c r="Z165" s="500"/>
      <c r="AA165" s="500"/>
      <c r="AB165" s="500"/>
      <c r="AC165" s="500"/>
      <c r="AD165" s="529"/>
      <c r="AE165" s="527">
        <f t="shared" si="39"/>
        <v>0</v>
      </c>
      <c r="AF165" s="527">
        <f t="shared" si="96"/>
        <v>0</v>
      </c>
      <c r="AG165" s="527">
        <f t="shared" si="76"/>
        <v>0</v>
      </c>
      <c r="AH165" s="527">
        <f t="shared" si="77"/>
        <v>0</v>
      </c>
      <c r="AI165" s="527">
        <f t="shared" si="78"/>
        <v>0</v>
      </c>
      <c r="AJ165" s="527">
        <f t="shared" si="79"/>
        <v>999999999</v>
      </c>
      <c r="AK165" s="530"/>
      <c r="AL165" s="776"/>
      <c r="AM165" s="777"/>
      <c r="AN165" s="500"/>
      <c r="AO165" s="778"/>
      <c r="AP165" s="778"/>
      <c r="AQ165" s="500"/>
      <c r="AR165" s="531"/>
      <c r="AS165" s="403"/>
      <c r="AT165" s="524" t="str">
        <f t="shared" si="80"/>
        <v/>
      </c>
      <c r="AU165" s="311">
        <f t="shared" si="81"/>
        <v>0</v>
      </c>
      <c r="AV165" s="288">
        <f t="shared" si="97"/>
        <v>0</v>
      </c>
      <c r="AW165" s="290">
        <f>IF(ISERROR($AU165*'Utility Admin'!$E$4+$AV165*'Utility Admin'!$F$4),0,$AU165*'Utility Admin'!$E$4+$AV165*'Utility Admin'!$F$4)</f>
        <v>0</v>
      </c>
      <c r="AX165" s="323" t="str">
        <f t="shared" si="82"/>
        <v/>
      </c>
      <c r="AY165" s="322" t="str">
        <f t="shared" si="23"/>
        <v/>
      </c>
      <c r="AZ165" s="319">
        <f>Baselines!$CJ409</f>
        <v>0</v>
      </c>
      <c r="BA165" s="735">
        <f>Baselines!$CK409</f>
        <v>0</v>
      </c>
      <c r="BB165" s="839">
        <f>Baselines!$CM409</f>
        <v>0</v>
      </c>
      <c r="BC165" s="466">
        <f t="shared" si="83"/>
        <v>0</v>
      </c>
      <c r="BD165" s="464">
        <f t="shared" si="98"/>
        <v>0</v>
      </c>
      <c r="BE165" s="755">
        <f t="shared" si="84"/>
        <v>0</v>
      </c>
      <c r="BF165" s="755">
        <f t="shared" si="99"/>
        <v>0</v>
      </c>
      <c r="BG165" s="466">
        <f t="shared" si="85"/>
        <v>0</v>
      </c>
      <c r="BH165" s="464">
        <f t="shared" si="86"/>
        <v>0</v>
      </c>
      <c r="BI165" s="755">
        <f t="shared" si="87"/>
        <v>0</v>
      </c>
      <c r="BJ165" s="755">
        <f t="shared" si="100"/>
        <v>0</v>
      </c>
      <c r="BK165" s="333">
        <f>IF(OR($C165&lt;&gt;"Early Retirement",$H165=""),0,IF(AND($G165&lt;&gt;"Air Cooled Chiller",$G165&lt;&gt;"Water Cooled Chiller"),VLOOKUP($H165,'Early Retirement'!$CI$6:$CL$33,2,FALSE),IF($J165&lt;&gt;"Centrifugal",VLOOKUP($H165,'Early Retirement'!$CI$6:$CL$33,3,FALSE),IF($J165="Centrifugal",VLOOKUP($H165,'Early Retirement'!$CI$6:$CL$33,4,FALSE),""))))</f>
        <v>0</v>
      </c>
      <c r="BL165" s="450">
        <f t="shared" si="88"/>
        <v>0</v>
      </c>
      <c r="BM165" s="553">
        <f>IFERROR('Utility Admin'!$I$4*((1+'Utility Admin'!$G$4)/('Utility Admin'!$H$4-'Utility Admin'!$G$4))*(1-((1+'Utility Admin'!$G$4)/(1+'Utility Admin'!$H$4))^$BK165)*$BG165,0)</f>
        <v>0</v>
      </c>
      <c r="BN165" s="553">
        <f>IFERROR('Utility Admin'!$I$4*((1+'Utility Admin'!$G$4)/('Utility Admin'!$H$4-'Utility Admin'!$G$4))*(1-((1+'Utility Admin'!$G$4)/(1+'Utility Admin'!$H$4))^$BL165)*((1+'Utility Admin'!$G$4)^$BK165/(1+'Utility Admin'!$H$4)^$BK165)*$BC165,0)</f>
        <v>0</v>
      </c>
      <c r="BO165" s="553">
        <f t="shared" si="27"/>
        <v>0</v>
      </c>
      <c r="BP165" s="553">
        <f>IFERROR('Utility Admin'!$J$4*((1+'Utility Admin'!$G$4)/('Utility Admin'!$H$4-'Utility Admin'!$G$4))*(1-((1+'Utility Admin'!$G$4)/(1+'Utility Admin'!$H$4))^$BK165)*$BJ165,0)</f>
        <v>0</v>
      </c>
      <c r="BQ165" s="553">
        <f>IFERROR('Utility Admin'!$J$4*((1+'Utility Admin'!$G$4)/('Utility Admin'!$H$4-'Utility Admin'!$G$4))*(1-((1+'Utility Admin'!$G$4)/(1+'Utility Admin'!$H$4))^$BL165)*((1+'Utility Admin'!$G$4)^$BK165/(1+'Utility Admin'!$H$4)^$BK165)*$BF165,0)</f>
        <v>0</v>
      </c>
      <c r="BR165" s="553">
        <f t="shared" si="28"/>
        <v>0</v>
      </c>
      <c r="BS165" s="553">
        <f>IFERROR('Utility Admin'!$I$4*((1+'Utility Admin'!$G$4)/('Utility Admin'!$H$4-'Utility Admin'!$G$4))*(1-((1+'Utility Admin'!$G$4)/(1+'Utility Admin'!$H$4))^$AT165),0)</f>
        <v>0</v>
      </c>
      <c r="BT165" s="553">
        <f>IFERROR('Utility Admin'!$J$4*((1+'Utility Admin'!$G$4)/('Utility Admin'!$H$4-'Utility Admin'!$G$4))*(1-((1+'Utility Admin'!$G$4)/(1+'Utility Admin'!$H$4))^$AT165),0)</f>
        <v>0</v>
      </c>
      <c r="BU165" s="459">
        <f t="shared" si="101"/>
        <v>0</v>
      </c>
      <c r="BV165" s="462">
        <f t="shared" si="102"/>
        <v>0</v>
      </c>
      <c r="BW165" s="219" t="str">
        <f t="shared" si="89"/>
        <v/>
      </c>
      <c r="BX165" s="250" t="str">
        <f t="shared" si="103"/>
        <v/>
      </c>
      <c r="BY165" s="250" t="str">
        <f t="shared" si="90"/>
        <v/>
      </c>
      <c r="BZ165" s="184">
        <f t="shared" si="104"/>
        <v>0</v>
      </c>
      <c r="CA165" s="693">
        <f t="shared" si="105"/>
        <v>0</v>
      </c>
      <c r="CB165" s="836">
        <f t="shared" si="106"/>
        <v>0</v>
      </c>
      <c r="CC165" s="693">
        <f>IF(AND($C165="Early Retirement",$H165&lt;&gt;"",$R165&lt;&gt;"",$T165&lt;&gt;""),$BZ165,Baselines!$CJ158)</f>
        <v>0</v>
      </c>
      <c r="CD165" s="693">
        <f>IF(AND($C165="Early Retirement",$H165&lt;&gt;"",$R165&lt;&gt;"",$T165&lt;&gt;""),$CA165,Baselines!$CK158)</f>
        <v>0</v>
      </c>
      <c r="CE165" s="182" t="str">
        <f>Baselines!$CL158</f>
        <v>kW/ton</v>
      </c>
      <c r="CF165" s="850" t="str">
        <f t="shared" si="91"/>
        <v/>
      </c>
      <c r="CG165" s="833">
        <f>IF(AND($C165="Early Retirement",$H165&lt;&gt;"",$R165&lt;&gt;"",$T165&lt;&gt;""),$CB165,IF(AND(Baselines!$CM158=0,OR($CL165="DX HP",$CL165="PTHP")),$BB165,Baselines!$CM158))</f>
        <v>0</v>
      </c>
      <c r="CH165" s="830" t="s">
        <v>567</v>
      </c>
      <c r="CI165" s="185" t="str">
        <f>IF(OR($C165="Replace-on-Burnout",$C165="New Construction"),$CT165,IF($BW165="","",VLOOKUP($D165,'Factor Tables'!$B$165:$H$192,MATCH($BW165,'Factor Tables'!$B$164:$H$164,0),FALSE)))</f>
        <v/>
      </c>
      <c r="CJ165" s="842" t="str">
        <f>IF(OR($C165="Replace-on-Burnout",$C165="New Construction"),$CU165,IF($BW165="","",IF($BW165="DX HP",VLOOKUP($D165,'Factor Tables'!$I$165:$Q$192,MATCH("DX HP Clg",'Factor Tables'!$I$164:$Q$164,0),FALSE),IF($BW165="PTHP",VLOOKUP($D165,'Factor Tables'!$I$165:$Q$192,MATCH("PTHP Clg",'Factor Tables'!$I$164:$Q$164,0),FALSE),IF(AND($BW165&lt;&gt;"DX HP",$BW165&lt;&gt;"PTHP"),VLOOKUP($D165,'Factor Tables'!$I$165:$Q$192,MATCH($BW165,'Factor Tables'!$I$164:$Q$164,0),FALSE),"")))))</f>
        <v/>
      </c>
      <c r="CK165" s="186" t="str">
        <f>IF(OR($C165="Replace-on-Burnout",$C165="New Construction",$CL165="DX HP",$CL165="PTHP"),$CV165,IF($BW165="","",IF($BW165="DX HP",VLOOKUP($D165,'Factor Tables'!$I$165:$Q$192,MATCH("DX HP Htg",'Factor Tables'!$I$164:$Q$164,0),FALSE),IF($BW165="PTHP",VLOOKUP($D165,'Factor Tables'!$I$165:$Q$192,MATCH("PTHP Htg",'Factor Tables'!$I$164:$Q$164,0),FALSE),0))))</f>
        <v/>
      </c>
      <c r="CL165" s="187" t="str">
        <f t="shared" si="92"/>
        <v/>
      </c>
      <c r="CM165" s="251" t="str">
        <f t="shared" si="93"/>
        <v/>
      </c>
      <c r="CN165" s="184">
        <f t="shared" si="107"/>
        <v>0</v>
      </c>
      <c r="CO165" s="693">
        <f t="shared" si="108"/>
        <v>0</v>
      </c>
      <c r="CP165" s="182" t="s">
        <v>46</v>
      </c>
      <c r="CQ165" s="852" t="str">
        <f t="shared" si="109"/>
        <v/>
      </c>
      <c r="CR165" s="833">
        <f t="shared" si="110"/>
        <v>0</v>
      </c>
      <c r="CS165" s="830" t="s">
        <v>567</v>
      </c>
      <c r="CT165" s="185" t="str">
        <f>IF($CL165="","",VLOOKUP($D165,'Factor Tables'!$B$165:$H$192,MATCH($CL165,'Factor Tables'!$B$164:$H$164,0),FALSE))</f>
        <v/>
      </c>
      <c r="CU165" s="842" t="str">
        <f>IF($CL165="","",IF(AND($CL165&lt;&gt;"DX HP",$CL165&lt;&gt;"PTHP"),VLOOKUP($D165,'Factor Tables'!$I$165:$Q$192,MATCH($CL165,'Factor Tables'!$I$164:$Q$164,0),FALSE),IF($CL165="DX HP",VLOOKUP($D165,'Factor Tables'!$I$165:$Q$192,MATCH("DX HP Clg",'Factor Tables'!$I$164:$Q$164,0),FALSE),IF($CL165="PTHP",VLOOKUP($D165,'Factor Tables'!$I$165:$Q$192,MATCH("PTHP Clg",'Factor Tables'!$I$164:$Q$164,0),FALSE),""))))</f>
        <v/>
      </c>
      <c r="CV165" s="186" t="str">
        <f>IF($CL165="","",IF(AND($CL165&lt;&gt;"DX HP",$CL165&lt;&gt;"PTHP"),0,IF($CL165="DX HP",VLOOKUP($D165,'Factor Tables'!$I$165:$Q$192,MATCH("DX HP Htg",'Factor Tables'!$I$164:$Q$164,0),FALSE),IF($CL165="PTHP",VLOOKUP($D165,'Factor Tables'!$I$165:$Q$192,MATCH("PTHP Htg",'Factor Tables'!$I$164:$Q$164,0),FALSE),""))))</f>
        <v/>
      </c>
      <c r="DD165" s="898" t="s">
        <v>191</v>
      </c>
      <c r="DE165" s="426"/>
      <c r="DI165" s="425"/>
      <c r="DJ165" s="425"/>
      <c r="DK165" s="425"/>
      <c r="DL165" s="425"/>
      <c r="DM165" s="493" t="s">
        <v>478</v>
      </c>
    </row>
    <row r="166" spans="2:117" s="427" customFormat="1" ht="21.95" customHeight="1" x14ac:dyDescent="0.25">
      <c r="B166" s="431">
        <v>157</v>
      </c>
      <c r="C166" s="501" t="str">
        <f t="shared" si="94"/>
        <v/>
      </c>
      <c r="D166" s="502" t="str">
        <f t="shared" si="95"/>
        <v/>
      </c>
      <c r="E166" s="546"/>
      <c r="F166" s="547"/>
      <c r="G166" s="729"/>
      <c r="H166" s="729"/>
      <c r="I166" s="729"/>
      <c r="J166" s="729"/>
      <c r="K166" s="729"/>
      <c r="L166" s="729"/>
      <c r="M166" s="765"/>
      <c r="N166" s="758"/>
      <c r="O166" s="765"/>
      <c r="P166" s="758"/>
      <c r="Q166" s="1143"/>
      <c r="R166" s="1134"/>
      <c r="S166" s="775"/>
      <c r="T166" s="729"/>
      <c r="U166" s="775"/>
      <c r="V166" s="779"/>
      <c r="W166" s="557"/>
      <c r="X166" s="788"/>
      <c r="Y166" s="543"/>
      <c r="Z166" s="281"/>
      <c r="AA166" s="281"/>
      <c r="AB166" s="281"/>
      <c r="AC166" s="281"/>
      <c r="AD166" s="492"/>
      <c r="AE166" s="527">
        <f t="shared" si="39"/>
        <v>0</v>
      </c>
      <c r="AF166" s="527">
        <f t="shared" si="96"/>
        <v>0</v>
      </c>
      <c r="AG166" s="527">
        <f t="shared" si="76"/>
        <v>0</v>
      </c>
      <c r="AH166" s="527">
        <f t="shared" si="77"/>
        <v>0</v>
      </c>
      <c r="AI166" s="527">
        <f t="shared" si="78"/>
        <v>0</v>
      </c>
      <c r="AJ166" s="527">
        <f t="shared" si="79"/>
        <v>999999999</v>
      </c>
      <c r="AK166" s="471"/>
      <c r="AL166" s="765"/>
      <c r="AM166" s="758"/>
      <c r="AN166" s="281"/>
      <c r="AO166" s="775"/>
      <c r="AP166" s="775"/>
      <c r="AQ166" s="281"/>
      <c r="AR166" s="528"/>
      <c r="AS166" s="532"/>
      <c r="AT166" s="524" t="str">
        <f t="shared" si="80"/>
        <v/>
      </c>
      <c r="AU166" s="311">
        <f t="shared" si="81"/>
        <v>0</v>
      </c>
      <c r="AV166" s="288">
        <f t="shared" si="97"/>
        <v>0</v>
      </c>
      <c r="AW166" s="290">
        <f>IF(ISERROR($AU166*'Utility Admin'!$E$4+$AV166*'Utility Admin'!$F$4),0,$AU166*'Utility Admin'!$E$4+$AV166*'Utility Admin'!$F$4)</f>
        <v>0</v>
      </c>
      <c r="AX166" s="323" t="str">
        <f t="shared" si="82"/>
        <v/>
      </c>
      <c r="AY166" s="322" t="str">
        <f t="shared" si="23"/>
        <v/>
      </c>
      <c r="AZ166" s="319">
        <f>Baselines!$CJ410</f>
        <v>0</v>
      </c>
      <c r="BA166" s="735">
        <f>Baselines!$CK410</f>
        <v>0</v>
      </c>
      <c r="BB166" s="839">
        <f>Baselines!$CM410</f>
        <v>0</v>
      </c>
      <c r="BC166" s="466">
        <f t="shared" si="83"/>
        <v>0</v>
      </c>
      <c r="BD166" s="464">
        <f t="shared" si="98"/>
        <v>0</v>
      </c>
      <c r="BE166" s="755">
        <f t="shared" si="84"/>
        <v>0</v>
      </c>
      <c r="BF166" s="755">
        <f t="shared" si="99"/>
        <v>0</v>
      </c>
      <c r="BG166" s="466">
        <f t="shared" si="85"/>
        <v>0</v>
      </c>
      <c r="BH166" s="464">
        <f t="shared" si="86"/>
        <v>0</v>
      </c>
      <c r="BI166" s="755">
        <f t="shared" si="87"/>
        <v>0</v>
      </c>
      <c r="BJ166" s="755">
        <f t="shared" si="100"/>
        <v>0</v>
      </c>
      <c r="BK166" s="333">
        <f>IF(OR($C166&lt;&gt;"Early Retirement",$H166=""),0,IF(AND($G166&lt;&gt;"Air Cooled Chiller",$G166&lt;&gt;"Water Cooled Chiller"),VLOOKUP($H166,'Early Retirement'!$CI$6:$CL$33,2,FALSE),IF($J166&lt;&gt;"Centrifugal",VLOOKUP($H166,'Early Retirement'!$CI$6:$CL$33,3,FALSE),IF($J166="Centrifugal",VLOOKUP($H166,'Early Retirement'!$CI$6:$CL$33,4,FALSE),""))))</f>
        <v>0</v>
      </c>
      <c r="BL166" s="450">
        <f t="shared" si="88"/>
        <v>0</v>
      </c>
      <c r="BM166" s="553">
        <f>IFERROR('Utility Admin'!$I$4*((1+'Utility Admin'!$G$4)/('Utility Admin'!$H$4-'Utility Admin'!$G$4))*(1-((1+'Utility Admin'!$G$4)/(1+'Utility Admin'!$H$4))^$BK166)*$BG166,0)</f>
        <v>0</v>
      </c>
      <c r="BN166" s="553">
        <f>IFERROR('Utility Admin'!$I$4*((1+'Utility Admin'!$G$4)/('Utility Admin'!$H$4-'Utility Admin'!$G$4))*(1-((1+'Utility Admin'!$G$4)/(1+'Utility Admin'!$H$4))^$BL166)*((1+'Utility Admin'!$G$4)^$BK166/(1+'Utility Admin'!$H$4)^$BK166)*$BC166,0)</f>
        <v>0</v>
      </c>
      <c r="BO166" s="553">
        <f t="shared" si="27"/>
        <v>0</v>
      </c>
      <c r="BP166" s="553">
        <f>IFERROR('Utility Admin'!$J$4*((1+'Utility Admin'!$G$4)/('Utility Admin'!$H$4-'Utility Admin'!$G$4))*(1-((1+'Utility Admin'!$G$4)/(1+'Utility Admin'!$H$4))^$BK166)*$BJ166,0)</f>
        <v>0</v>
      </c>
      <c r="BQ166" s="553">
        <f>IFERROR('Utility Admin'!$J$4*((1+'Utility Admin'!$G$4)/('Utility Admin'!$H$4-'Utility Admin'!$G$4))*(1-((1+'Utility Admin'!$G$4)/(1+'Utility Admin'!$H$4))^$BL166)*((1+'Utility Admin'!$G$4)^$BK166/(1+'Utility Admin'!$H$4)^$BK166)*$BF166,0)</f>
        <v>0</v>
      </c>
      <c r="BR166" s="553">
        <f t="shared" si="28"/>
        <v>0</v>
      </c>
      <c r="BS166" s="553">
        <f>IFERROR('Utility Admin'!$I$4*((1+'Utility Admin'!$G$4)/('Utility Admin'!$H$4-'Utility Admin'!$G$4))*(1-((1+'Utility Admin'!$G$4)/(1+'Utility Admin'!$H$4))^$AT166),0)</f>
        <v>0</v>
      </c>
      <c r="BT166" s="553">
        <f>IFERROR('Utility Admin'!$J$4*((1+'Utility Admin'!$G$4)/('Utility Admin'!$H$4-'Utility Admin'!$G$4))*(1-((1+'Utility Admin'!$G$4)/(1+'Utility Admin'!$H$4))^$AT166),0)</f>
        <v>0</v>
      </c>
      <c r="BU166" s="459">
        <f t="shared" si="101"/>
        <v>0</v>
      </c>
      <c r="BV166" s="462">
        <f t="shared" si="102"/>
        <v>0</v>
      </c>
      <c r="BW166" s="219" t="str">
        <f t="shared" si="89"/>
        <v/>
      </c>
      <c r="BX166" s="250" t="str">
        <f t="shared" si="103"/>
        <v/>
      </c>
      <c r="BY166" s="250" t="str">
        <f t="shared" si="90"/>
        <v/>
      </c>
      <c r="BZ166" s="184">
        <f t="shared" si="104"/>
        <v>0</v>
      </c>
      <c r="CA166" s="693">
        <f t="shared" si="105"/>
        <v>0</v>
      </c>
      <c r="CB166" s="836">
        <f t="shared" si="106"/>
        <v>0</v>
      </c>
      <c r="CC166" s="693">
        <f>IF(AND($C166="Early Retirement",$H166&lt;&gt;"",$R166&lt;&gt;"",$T166&lt;&gt;""),$BZ166,Baselines!$CJ159)</f>
        <v>0</v>
      </c>
      <c r="CD166" s="693">
        <f>IF(AND($C166="Early Retirement",$H166&lt;&gt;"",$R166&lt;&gt;"",$T166&lt;&gt;""),$CA166,Baselines!$CK159)</f>
        <v>0</v>
      </c>
      <c r="CE166" s="182" t="str">
        <f>Baselines!$CL159</f>
        <v>kW/ton</v>
      </c>
      <c r="CF166" s="850" t="str">
        <f t="shared" si="91"/>
        <v/>
      </c>
      <c r="CG166" s="833">
        <f>IF(AND($C166="Early Retirement",$H166&lt;&gt;"",$R166&lt;&gt;"",$T166&lt;&gt;""),$CB166,IF(AND(Baselines!$CM159=0,OR($CL166="DX HP",$CL166="PTHP")),$BB166,Baselines!$CM159))</f>
        <v>0</v>
      </c>
      <c r="CH166" s="830" t="s">
        <v>567</v>
      </c>
      <c r="CI166" s="185" t="str">
        <f>IF(OR($C166="Replace-on-Burnout",$C166="New Construction"),$CT166,IF($BW166="","",VLOOKUP($D166,'Factor Tables'!$B$165:$H$192,MATCH($BW166,'Factor Tables'!$B$164:$H$164,0),FALSE)))</f>
        <v/>
      </c>
      <c r="CJ166" s="842" t="str">
        <f>IF(OR($C166="Replace-on-Burnout",$C166="New Construction"),$CU166,IF($BW166="","",IF($BW166="DX HP",VLOOKUP($D166,'Factor Tables'!$I$165:$Q$192,MATCH("DX HP Clg",'Factor Tables'!$I$164:$Q$164,0),FALSE),IF($BW166="PTHP",VLOOKUP($D166,'Factor Tables'!$I$165:$Q$192,MATCH("PTHP Clg",'Factor Tables'!$I$164:$Q$164,0),FALSE),IF(AND($BW166&lt;&gt;"DX HP",$BW166&lt;&gt;"PTHP"),VLOOKUP($D166,'Factor Tables'!$I$165:$Q$192,MATCH($BW166,'Factor Tables'!$I$164:$Q$164,0),FALSE),"")))))</f>
        <v/>
      </c>
      <c r="CK166" s="186" t="str">
        <f>IF(OR($C166="Replace-on-Burnout",$C166="New Construction",$CL166="DX HP",$CL166="PTHP"),$CV166,IF($BW166="","",IF($BW166="DX HP",VLOOKUP($D166,'Factor Tables'!$I$165:$Q$192,MATCH("DX HP Htg",'Factor Tables'!$I$164:$Q$164,0),FALSE),IF($BW166="PTHP",VLOOKUP($D166,'Factor Tables'!$I$165:$Q$192,MATCH("PTHP Htg",'Factor Tables'!$I$164:$Q$164,0),FALSE),0))))</f>
        <v/>
      </c>
      <c r="CL166" s="187" t="str">
        <f t="shared" si="92"/>
        <v/>
      </c>
      <c r="CM166" s="251" t="str">
        <f t="shared" si="93"/>
        <v/>
      </c>
      <c r="CN166" s="184">
        <f t="shared" si="107"/>
        <v>0</v>
      </c>
      <c r="CO166" s="693">
        <f t="shared" si="108"/>
        <v>0</v>
      </c>
      <c r="CP166" s="182" t="s">
        <v>46</v>
      </c>
      <c r="CQ166" s="852" t="str">
        <f t="shared" si="109"/>
        <v/>
      </c>
      <c r="CR166" s="833">
        <f t="shared" si="110"/>
        <v>0</v>
      </c>
      <c r="CS166" s="830" t="s">
        <v>567</v>
      </c>
      <c r="CT166" s="185" t="str">
        <f>IF($CL166="","",VLOOKUP($D166,'Factor Tables'!$B$165:$H$192,MATCH($CL166,'Factor Tables'!$B$164:$H$164,0),FALSE))</f>
        <v/>
      </c>
      <c r="CU166" s="842" t="str">
        <f>IF($CL166="","",IF(AND($CL166&lt;&gt;"DX HP",$CL166&lt;&gt;"PTHP"),VLOOKUP($D166,'Factor Tables'!$I$165:$Q$192,MATCH($CL166,'Factor Tables'!$I$164:$Q$164,0),FALSE),IF($CL166="DX HP",VLOOKUP($D166,'Factor Tables'!$I$165:$Q$192,MATCH("DX HP Clg",'Factor Tables'!$I$164:$Q$164,0),FALSE),IF($CL166="PTHP",VLOOKUP($D166,'Factor Tables'!$I$165:$Q$192,MATCH("PTHP Clg",'Factor Tables'!$I$164:$Q$164,0),FALSE),""))))</f>
        <v/>
      </c>
      <c r="CV166" s="186" t="str">
        <f>IF($CL166="","",IF(AND($CL166&lt;&gt;"DX HP",$CL166&lt;&gt;"PTHP"),0,IF($CL166="DX HP",VLOOKUP($D166,'Factor Tables'!$I$165:$Q$192,MATCH("DX HP Htg",'Factor Tables'!$I$164:$Q$164,0),FALSE),IF($CL166="PTHP",VLOOKUP($D166,'Factor Tables'!$I$165:$Q$192,MATCH("PTHP Htg",'Factor Tables'!$I$164:$Q$164,0),FALSE),""))))</f>
        <v/>
      </c>
      <c r="DD166" s="898" t="s">
        <v>190</v>
      </c>
      <c r="DE166" s="426"/>
      <c r="DI166" s="425"/>
      <c r="DJ166" s="425"/>
      <c r="DK166" s="425"/>
      <c r="DL166" s="425"/>
      <c r="DM166" s="493" t="s">
        <v>478</v>
      </c>
    </row>
    <row r="167" spans="2:117" s="427" customFormat="1" ht="21.95" customHeight="1" x14ac:dyDescent="0.25">
      <c r="B167" s="432">
        <v>158</v>
      </c>
      <c r="C167" s="499" t="str">
        <f t="shared" si="94"/>
        <v/>
      </c>
      <c r="D167" s="403" t="str">
        <f t="shared" si="95"/>
        <v/>
      </c>
      <c r="E167" s="541"/>
      <c r="F167" s="785"/>
      <c r="G167" s="728"/>
      <c r="H167" s="728"/>
      <c r="I167" s="728"/>
      <c r="J167" s="728"/>
      <c r="K167" s="728"/>
      <c r="L167" s="728"/>
      <c r="M167" s="764"/>
      <c r="N167" s="728"/>
      <c r="O167" s="764"/>
      <c r="P167" s="728"/>
      <c r="Q167" s="1142"/>
      <c r="R167" s="1133"/>
      <c r="S167" s="778"/>
      <c r="T167" s="767"/>
      <c r="U167" s="778"/>
      <c r="V167" s="751"/>
      <c r="W167" s="556"/>
      <c r="X167" s="785"/>
      <c r="Y167" s="542"/>
      <c r="Z167" s="500"/>
      <c r="AA167" s="500"/>
      <c r="AB167" s="500"/>
      <c r="AC167" s="500"/>
      <c r="AD167" s="529"/>
      <c r="AE167" s="527">
        <f t="shared" si="39"/>
        <v>0</v>
      </c>
      <c r="AF167" s="527">
        <f t="shared" si="96"/>
        <v>0</v>
      </c>
      <c r="AG167" s="527">
        <f t="shared" si="76"/>
        <v>0</v>
      </c>
      <c r="AH167" s="527">
        <f t="shared" si="77"/>
        <v>0</v>
      </c>
      <c r="AI167" s="527">
        <f t="shared" si="78"/>
        <v>0</v>
      </c>
      <c r="AJ167" s="527">
        <f t="shared" si="79"/>
        <v>999999999</v>
      </c>
      <c r="AK167" s="530"/>
      <c r="AL167" s="776"/>
      <c r="AM167" s="777"/>
      <c r="AN167" s="500"/>
      <c r="AO167" s="778"/>
      <c r="AP167" s="778"/>
      <c r="AQ167" s="500"/>
      <c r="AR167" s="531"/>
      <c r="AS167" s="403"/>
      <c r="AT167" s="524" t="str">
        <f t="shared" si="80"/>
        <v/>
      </c>
      <c r="AU167" s="311">
        <f t="shared" si="81"/>
        <v>0</v>
      </c>
      <c r="AV167" s="288">
        <f t="shared" si="97"/>
        <v>0</v>
      </c>
      <c r="AW167" s="290">
        <f>IF(ISERROR($AU167*'Utility Admin'!$E$4+$AV167*'Utility Admin'!$F$4),0,$AU167*'Utility Admin'!$E$4+$AV167*'Utility Admin'!$F$4)</f>
        <v>0</v>
      </c>
      <c r="AX167" s="323" t="str">
        <f t="shared" si="82"/>
        <v/>
      </c>
      <c r="AY167" s="322" t="str">
        <f t="shared" si="23"/>
        <v/>
      </c>
      <c r="AZ167" s="319">
        <f>Baselines!$CJ411</f>
        <v>0</v>
      </c>
      <c r="BA167" s="735">
        <f>Baselines!$CK411</f>
        <v>0</v>
      </c>
      <c r="BB167" s="839">
        <f>Baselines!$CM411</f>
        <v>0</v>
      </c>
      <c r="BC167" s="466">
        <f t="shared" si="83"/>
        <v>0</v>
      </c>
      <c r="BD167" s="464">
        <f t="shared" si="98"/>
        <v>0</v>
      </c>
      <c r="BE167" s="755">
        <f t="shared" si="84"/>
        <v>0</v>
      </c>
      <c r="BF167" s="755">
        <f t="shared" si="99"/>
        <v>0</v>
      </c>
      <c r="BG167" s="466">
        <f t="shared" si="85"/>
        <v>0</v>
      </c>
      <c r="BH167" s="464">
        <f t="shared" si="86"/>
        <v>0</v>
      </c>
      <c r="BI167" s="755">
        <f t="shared" si="87"/>
        <v>0</v>
      </c>
      <c r="BJ167" s="755">
        <f t="shared" si="100"/>
        <v>0</v>
      </c>
      <c r="BK167" s="333">
        <f>IF(OR($C167&lt;&gt;"Early Retirement",$H167=""),0,IF(AND($G167&lt;&gt;"Air Cooled Chiller",$G167&lt;&gt;"Water Cooled Chiller"),VLOOKUP($H167,'Early Retirement'!$CI$6:$CL$33,2,FALSE),IF($J167&lt;&gt;"Centrifugal",VLOOKUP($H167,'Early Retirement'!$CI$6:$CL$33,3,FALSE),IF($J167="Centrifugal",VLOOKUP($H167,'Early Retirement'!$CI$6:$CL$33,4,FALSE),""))))</f>
        <v>0</v>
      </c>
      <c r="BL167" s="450">
        <f t="shared" si="88"/>
        <v>0</v>
      </c>
      <c r="BM167" s="553">
        <f>IFERROR('Utility Admin'!$I$4*((1+'Utility Admin'!$G$4)/('Utility Admin'!$H$4-'Utility Admin'!$G$4))*(1-((1+'Utility Admin'!$G$4)/(1+'Utility Admin'!$H$4))^$BK167)*$BG167,0)</f>
        <v>0</v>
      </c>
      <c r="BN167" s="553">
        <f>IFERROR('Utility Admin'!$I$4*((1+'Utility Admin'!$G$4)/('Utility Admin'!$H$4-'Utility Admin'!$G$4))*(1-((1+'Utility Admin'!$G$4)/(1+'Utility Admin'!$H$4))^$BL167)*((1+'Utility Admin'!$G$4)^$BK167/(1+'Utility Admin'!$H$4)^$BK167)*$BC167,0)</f>
        <v>0</v>
      </c>
      <c r="BO167" s="553">
        <f t="shared" si="27"/>
        <v>0</v>
      </c>
      <c r="BP167" s="553">
        <f>IFERROR('Utility Admin'!$J$4*((1+'Utility Admin'!$G$4)/('Utility Admin'!$H$4-'Utility Admin'!$G$4))*(1-((1+'Utility Admin'!$G$4)/(1+'Utility Admin'!$H$4))^$BK167)*$BJ167,0)</f>
        <v>0</v>
      </c>
      <c r="BQ167" s="553">
        <f>IFERROR('Utility Admin'!$J$4*((1+'Utility Admin'!$G$4)/('Utility Admin'!$H$4-'Utility Admin'!$G$4))*(1-((1+'Utility Admin'!$G$4)/(1+'Utility Admin'!$H$4))^$BL167)*((1+'Utility Admin'!$G$4)^$BK167/(1+'Utility Admin'!$H$4)^$BK167)*$BF167,0)</f>
        <v>0</v>
      </c>
      <c r="BR167" s="553">
        <f t="shared" si="28"/>
        <v>0</v>
      </c>
      <c r="BS167" s="553">
        <f>IFERROR('Utility Admin'!$I$4*((1+'Utility Admin'!$G$4)/('Utility Admin'!$H$4-'Utility Admin'!$G$4))*(1-((1+'Utility Admin'!$G$4)/(1+'Utility Admin'!$H$4))^$AT167),0)</f>
        <v>0</v>
      </c>
      <c r="BT167" s="553">
        <f>IFERROR('Utility Admin'!$J$4*((1+'Utility Admin'!$G$4)/('Utility Admin'!$H$4-'Utility Admin'!$G$4))*(1-((1+'Utility Admin'!$G$4)/(1+'Utility Admin'!$H$4))^$AT167),0)</f>
        <v>0</v>
      </c>
      <c r="BU167" s="459">
        <f t="shared" si="101"/>
        <v>0</v>
      </c>
      <c r="BV167" s="462">
        <f t="shared" si="102"/>
        <v>0</v>
      </c>
      <c r="BW167" s="219" t="str">
        <f t="shared" si="89"/>
        <v/>
      </c>
      <c r="BX167" s="250" t="str">
        <f t="shared" si="103"/>
        <v/>
      </c>
      <c r="BY167" s="250" t="str">
        <f t="shared" si="90"/>
        <v/>
      </c>
      <c r="BZ167" s="184">
        <f t="shared" si="104"/>
        <v>0</v>
      </c>
      <c r="CA167" s="693">
        <f t="shared" si="105"/>
        <v>0</v>
      </c>
      <c r="CB167" s="836">
        <f t="shared" si="106"/>
        <v>0</v>
      </c>
      <c r="CC167" s="693">
        <f>IF(AND($C167="Early Retirement",$H167&lt;&gt;"",$R167&lt;&gt;"",$T167&lt;&gt;""),$BZ167,Baselines!$CJ160)</f>
        <v>0</v>
      </c>
      <c r="CD167" s="693">
        <f>IF(AND($C167="Early Retirement",$H167&lt;&gt;"",$R167&lt;&gt;"",$T167&lt;&gt;""),$CA167,Baselines!$CK160)</f>
        <v>0</v>
      </c>
      <c r="CE167" s="182" t="str">
        <f>Baselines!$CL160</f>
        <v>kW/ton</v>
      </c>
      <c r="CF167" s="850" t="str">
        <f t="shared" si="91"/>
        <v/>
      </c>
      <c r="CG167" s="833">
        <f>IF(AND($C167="Early Retirement",$H167&lt;&gt;"",$R167&lt;&gt;"",$T167&lt;&gt;""),$CB167,IF(AND(Baselines!$CM160=0,OR($CL167="DX HP",$CL167="PTHP")),$BB167,Baselines!$CM160))</f>
        <v>0</v>
      </c>
      <c r="CH167" s="830" t="s">
        <v>567</v>
      </c>
      <c r="CI167" s="185" t="str">
        <f>IF(OR($C167="Replace-on-Burnout",$C167="New Construction"),$CT167,IF($BW167="","",VLOOKUP($D167,'Factor Tables'!$B$165:$H$192,MATCH($BW167,'Factor Tables'!$B$164:$H$164,0),FALSE)))</f>
        <v/>
      </c>
      <c r="CJ167" s="842" t="str">
        <f>IF(OR($C167="Replace-on-Burnout",$C167="New Construction"),$CU167,IF($BW167="","",IF($BW167="DX HP",VLOOKUP($D167,'Factor Tables'!$I$165:$Q$192,MATCH("DX HP Clg",'Factor Tables'!$I$164:$Q$164,0),FALSE),IF($BW167="PTHP",VLOOKUP($D167,'Factor Tables'!$I$165:$Q$192,MATCH("PTHP Clg",'Factor Tables'!$I$164:$Q$164,0),FALSE),IF(AND($BW167&lt;&gt;"DX HP",$BW167&lt;&gt;"PTHP"),VLOOKUP($D167,'Factor Tables'!$I$165:$Q$192,MATCH($BW167,'Factor Tables'!$I$164:$Q$164,0),FALSE),"")))))</f>
        <v/>
      </c>
      <c r="CK167" s="186" t="str">
        <f>IF(OR($C167="Replace-on-Burnout",$C167="New Construction",$CL167="DX HP",$CL167="PTHP"),$CV167,IF($BW167="","",IF($BW167="DX HP",VLOOKUP($D167,'Factor Tables'!$I$165:$Q$192,MATCH("DX HP Htg",'Factor Tables'!$I$164:$Q$164,0),FALSE),IF($BW167="PTHP",VLOOKUP($D167,'Factor Tables'!$I$165:$Q$192,MATCH("PTHP Htg",'Factor Tables'!$I$164:$Q$164,0),FALSE),0))))</f>
        <v/>
      </c>
      <c r="CL167" s="187" t="str">
        <f t="shared" si="92"/>
        <v/>
      </c>
      <c r="CM167" s="251" t="str">
        <f t="shared" si="93"/>
        <v/>
      </c>
      <c r="CN167" s="184">
        <f t="shared" si="107"/>
        <v>0</v>
      </c>
      <c r="CO167" s="693">
        <f t="shared" si="108"/>
        <v>0</v>
      </c>
      <c r="CP167" s="182" t="s">
        <v>46</v>
      </c>
      <c r="CQ167" s="852" t="str">
        <f t="shared" si="109"/>
        <v/>
      </c>
      <c r="CR167" s="833">
        <f t="shared" si="110"/>
        <v>0</v>
      </c>
      <c r="CS167" s="830" t="s">
        <v>567</v>
      </c>
      <c r="CT167" s="185" t="str">
        <f>IF($CL167="","",VLOOKUP($D167,'Factor Tables'!$B$165:$H$192,MATCH($CL167,'Factor Tables'!$B$164:$H$164,0),FALSE))</f>
        <v/>
      </c>
      <c r="CU167" s="842" t="str">
        <f>IF($CL167="","",IF(AND($CL167&lt;&gt;"DX HP",$CL167&lt;&gt;"PTHP"),VLOOKUP($D167,'Factor Tables'!$I$165:$Q$192,MATCH($CL167,'Factor Tables'!$I$164:$Q$164,0),FALSE),IF($CL167="DX HP",VLOOKUP($D167,'Factor Tables'!$I$165:$Q$192,MATCH("DX HP Clg",'Factor Tables'!$I$164:$Q$164,0),FALSE),IF($CL167="PTHP",VLOOKUP($D167,'Factor Tables'!$I$165:$Q$192,MATCH("PTHP Clg",'Factor Tables'!$I$164:$Q$164,0),FALSE),""))))</f>
        <v/>
      </c>
      <c r="CV167" s="186" t="str">
        <f>IF($CL167="","",IF(AND($CL167&lt;&gt;"DX HP",$CL167&lt;&gt;"PTHP"),0,IF($CL167="DX HP",VLOOKUP($D167,'Factor Tables'!$I$165:$Q$192,MATCH("DX HP Htg",'Factor Tables'!$I$164:$Q$164,0),FALSE),IF($CL167="PTHP",VLOOKUP($D167,'Factor Tables'!$I$165:$Q$192,MATCH("PTHP Htg",'Factor Tables'!$I$164:$Q$164,0),FALSE),""))))</f>
        <v/>
      </c>
      <c r="DD167" s="898" t="s">
        <v>47</v>
      </c>
      <c r="DE167" s="426"/>
      <c r="DI167" s="425"/>
      <c r="DJ167" s="425"/>
      <c r="DK167" s="425"/>
      <c r="DL167" s="425"/>
      <c r="DM167" s="493" t="s">
        <v>478</v>
      </c>
    </row>
    <row r="168" spans="2:117" s="427" customFormat="1" ht="21.95" customHeight="1" x14ac:dyDescent="0.25">
      <c r="B168" s="431">
        <v>159</v>
      </c>
      <c r="C168" s="501" t="str">
        <f t="shared" si="94"/>
        <v/>
      </c>
      <c r="D168" s="502" t="str">
        <f t="shared" si="95"/>
        <v/>
      </c>
      <c r="E168" s="546"/>
      <c r="F168" s="547"/>
      <c r="G168" s="729"/>
      <c r="H168" s="729"/>
      <c r="I168" s="729"/>
      <c r="J168" s="729"/>
      <c r="K168" s="729"/>
      <c r="L168" s="729"/>
      <c r="M168" s="765"/>
      <c r="N168" s="758"/>
      <c r="O168" s="765"/>
      <c r="P168" s="758"/>
      <c r="Q168" s="1143"/>
      <c r="R168" s="1134"/>
      <c r="S168" s="775"/>
      <c r="T168" s="729"/>
      <c r="U168" s="775"/>
      <c r="V168" s="779"/>
      <c r="W168" s="557"/>
      <c r="X168" s="788"/>
      <c r="Y168" s="543"/>
      <c r="Z168" s="281"/>
      <c r="AA168" s="281"/>
      <c r="AB168" s="281"/>
      <c r="AC168" s="281"/>
      <c r="AD168" s="492"/>
      <c r="AE168" s="527">
        <f t="shared" si="39"/>
        <v>0</v>
      </c>
      <c r="AF168" s="527">
        <f t="shared" si="96"/>
        <v>0</v>
      </c>
      <c r="AG168" s="527">
        <f t="shared" si="76"/>
        <v>0</v>
      </c>
      <c r="AH168" s="527">
        <f t="shared" si="77"/>
        <v>0</v>
      </c>
      <c r="AI168" s="527">
        <f t="shared" si="78"/>
        <v>0</v>
      </c>
      <c r="AJ168" s="527">
        <f t="shared" si="79"/>
        <v>999999999</v>
      </c>
      <c r="AK168" s="471"/>
      <c r="AL168" s="765"/>
      <c r="AM168" s="758"/>
      <c r="AN168" s="281"/>
      <c r="AO168" s="775"/>
      <c r="AP168" s="775"/>
      <c r="AQ168" s="281"/>
      <c r="AR168" s="528"/>
      <c r="AS168" s="532"/>
      <c r="AT168" s="524" t="str">
        <f t="shared" si="80"/>
        <v/>
      </c>
      <c r="AU168" s="311">
        <f t="shared" si="81"/>
        <v>0</v>
      </c>
      <c r="AV168" s="288">
        <f t="shared" si="97"/>
        <v>0</v>
      </c>
      <c r="AW168" s="290">
        <f>IF(ISERROR($AU168*'Utility Admin'!$E$4+$AV168*'Utility Admin'!$F$4),0,$AU168*'Utility Admin'!$E$4+$AV168*'Utility Admin'!$F$4)</f>
        <v>0</v>
      </c>
      <c r="AX168" s="323" t="str">
        <f t="shared" si="82"/>
        <v/>
      </c>
      <c r="AY168" s="322" t="str">
        <f t="shared" si="23"/>
        <v/>
      </c>
      <c r="AZ168" s="319">
        <f>Baselines!$CJ412</f>
        <v>0</v>
      </c>
      <c r="BA168" s="735">
        <f>Baselines!$CK412</f>
        <v>0</v>
      </c>
      <c r="BB168" s="839">
        <f>Baselines!$CM412</f>
        <v>0</v>
      </c>
      <c r="BC168" s="466">
        <f t="shared" si="83"/>
        <v>0</v>
      </c>
      <c r="BD168" s="464">
        <f t="shared" si="98"/>
        <v>0</v>
      </c>
      <c r="BE168" s="755">
        <f t="shared" si="84"/>
        <v>0</v>
      </c>
      <c r="BF168" s="755">
        <f t="shared" si="99"/>
        <v>0</v>
      </c>
      <c r="BG168" s="466">
        <f t="shared" si="85"/>
        <v>0</v>
      </c>
      <c r="BH168" s="464">
        <f t="shared" si="86"/>
        <v>0</v>
      </c>
      <c r="BI168" s="755">
        <f t="shared" si="87"/>
        <v>0</v>
      </c>
      <c r="BJ168" s="755">
        <f t="shared" si="100"/>
        <v>0</v>
      </c>
      <c r="BK168" s="333">
        <f>IF(OR($C168&lt;&gt;"Early Retirement",$H168=""),0,IF(AND($G168&lt;&gt;"Air Cooled Chiller",$G168&lt;&gt;"Water Cooled Chiller"),VLOOKUP($H168,'Early Retirement'!$CI$6:$CL$33,2,FALSE),IF($J168&lt;&gt;"Centrifugal",VLOOKUP($H168,'Early Retirement'!$CI$6:$CL$33,3,FALSE),IF($J168="Centrifugal",VLOOKUP($H168,'Early Retirement'!$CI$6:$CL$33,4,FALSE),""))))</f>
        <v>0</v>
      </c>
      <c r="BL168" s="450">
        <f t="shared" si="88"/>
        <v>0</v>
      </c>
      <c r="BM168" s="553">
        <f>IFERROR('Utility Admin'!$I$4*((1+'Utility Admin'!$G$4)/('Utility Admin'!$H$4-'Utility Admin'!$G$4))*(1-((1+'Utility Admin'!$G$4)/(1+'Utility Admin'!$H$4))^$BK168)*$BG168,0)</f>
        <v>0</v>
      </c>
      <c r="BN168" s="553">
        <f>IFERROR('Utility Admin'!$I$4*((1+'Utility Admin'!$G$4)/('Utility Admin'!$H$4-'Utility Admin'!$G$4))*(1-((1+'Utility Admin'!$G$4)/(1+'Utility Admin'!$H$4))^$BL168)*((1+'Utility Admin'!$G$4)^$BK168/(1+'Utility Admin'!$H$4)^$BK168)*$BC168,0)</f>
        <v>0</v>
      </c>
      <c r="BO168" s="553">
        <f t="shared" si="27"/>
        <v>0</v>
      </c>
      <c r="BP168" s="553">
        <f>IFERROR('Utility Admin'!$J$4*((1+'Utility Admin'!$G$4)/('Utility Admin'!$H$4-'Utility Admin'!$G$4))*(1-((1+'Utility Admin'!$G$4)/(1+'Utility Admin'!$H$4))^$BK168)*$BJ168,0)</f>
        <v>0</v>
      </c>
      <c r="BQ168" s="553">
        <f>IFERROR('Utility Admin'!$J$4*((1+'Utility Admin'!$G$4)/('Utility Admin'!$H$4-'Utility Admin'!$G$4))*(1-((1+'Utility Admin'!$G$4)/(1+'Utility Admin'!$H$4))^$BL168)*((1+'Utility Admin'!$G$4)^$BK168/(1+'Utility Admin'!$H$4)^$BK168)*$BF168,0)</f>
        <v>0</v>
      </c>
      <c r="BR168" s="553">
        <f t="shared" si="28"/>
        <v>0</v>
      </c>
      <c r="BS168" s="553">
        <f>IFERROR('Utility Admin'!$I$4*((1+'Utility Admin'!$G$4)/('Utility Admin'!$H$4-'Utility Admin'!$G$4))*(1-((1+'Utility Admin'!$G$4)/(1+'Utility Admin'!$H$4))^$AT168),0)</f>
        <v>0</v>
      </c>
      <c r="BT168" s="553">
        <f>IFERROR('Utility Admin'!$J$4*((1+'Utility Admin'!$G$4)/('Utility Admin'!$H$4-'Utility Admin'!$G$4))*(1-((1+'Utility Admin'!$G$4)/(1+'Utility Admin'!$H$4))^$AT168),0)</f>
        <v>0</v>
      </c>
      <c r="BU168" s="459">
        <f t="shared" si="101"/>
        <v>0</v>
      </c>
      <c r="BV168" s="462">
        <f t="shared" si="102"/>
        <v>0</v>
      </c>
      <c r="BW168" s="219" t="str">
        <f t="shared" si="89"/>
        <v/>
      </c>
      <c r="BX168" s="250" t="str">
        <f t="shared" si="103"/>
        <v/>
      </c>
      <c r="BY168" s="250" t="str">
        <f t="shared" si="90"/>
        <v/>
      </c>
      <c r="BZ168" s="184">
        <f t="shared" si="104"/>
        <v>0</v>
      </c>
      <c r="CA168" s="693">
        <f t="shared" si="105"/>
        <v>0</v>
      </c>
      <c r="CB168" s="836">
        <f t="shared" si="106"/>
        <v>0</v>
      </c>
      <c r="CC168" s="693">
        <f>IF(AND($C168="Early Retirement",$H168&lt;&gt;"",$R168&lt;&gt;"",$T168&lt;&gt;""),$BZ168,Baselines!$CJ161)</f>
        <v>0</v>
      </c>
      <c r="CD168" s="693">
        <f>IF(AND($C168="Early Retirement",$H168&lt;&gt;"",$R168&lt;&gt;"",$T168&lt;&gt;""),$CA168,Baselines!$CK161)</f>
        <v>0</v>
      </c>
      <c r="CE168" s="182" t="str">
        <f>Baselines!$CL161</f>
        <v>kW/ton</v>
      </c>
      <c r="CF168" s="850" t="str">
        <f t="shared" si="91"/>
        <v/>
      </c>
      <c r="CG168" s="833">
        <f>IF(AND($C168="Early Retirement",$H168&lt;&gt;"",$R168&lt;&gt;"",$T168&lt;&gt;""),$CB168,IF(AND(Baselines!$CM161=0,OR($CL168="DX HP",$CL168="PTHP")),$BB168,Baselines!$CM161))</f>
        <v>0</v>
      </c>
      <c r="CH168" s="830" t="s">
        <v>567</v>
      </c>
      <c r="CI168" s="185" t="str">
        <f>IF(OR($C168="Replace-on-Burnout",$C168="New Construction"),$CT168,IF($BW168="","",VLOOKUP($D168,'Factor Tables'!$B$165:$H$192,MATCH($BW168,'Factor Tables'!$B$164:$H$164,0),FALSE)))</f>
        <v/>
      </c>
      <c r="CJ168" s="842" t="str">
        <f>IF(OR($C168="Replace-on-Burnout",$C168="New Construction"),$CU168,IF($BW168="","",IF($BW168="DX HP",VLOOKUP($D168,'Factor Tables'!$I$165:$Q$192,MATCH("DX HP Clg",'Factor Tables'!$I$164:$Q$164,0),FALSE),IF($BW168="PTHP",VLOOKUP($D168,'Factor Tables'!$I$165:$Q$192,MATCH("PTHP Clg",'Factor Tables'!$I$164:$Q$164,0),FALSE),IF(AND($BW168&lt;&gt;"DX HP",$BW168&lt;&gt;"PTHP"),VLOOKUP($D168,'Factor Tables'!$I$165:$Q$192,MATCH($BW168,'Factor Tables'!$I$164:$Q$164,0),FALSE),"")))))</f>
        <v/>
      </c>
      <c r="CK168" s="186" t="str">
        <f>IF(OR($C168="Replace-on-Burnout",$C168="New Construction",$CL168="DX HP",$CL168="PTHP"),$CV168,IF($BW168="","",IF($BW168="DX HP",VLOOKUP($D168,'Factor Tables'!$I$165:$Q$192,MATCH("DX HP Htg",'Factor Tables'!$I$164:$Q$164,0),FALSE),IF($BW168="PTHP",VLOOKUP($D168,'Factor Tables'!$I$165:$Q$192,MATCH("PTHP Htg",'Factor Tables'!$I$164:$Q$164,0),FALSE),0))))</f>
        <v/>
      </c>
      <c r="CL168" s="187" t="str">
        <f t="shared" si="92"/>
        <v/>
      </c>
      <c r="CM168" s="251" t="str">
        <f t="shared" si="93"/>
        <v/>
      </c>
      <c r="CN168" s="184">
        <f t="shared" si="107"/>
        <v>0</v>
      </c>
      <c r="CO168" s="693">
        <f t="shared" si="108"/>
        <v>0</v>
      </c>
      <c r="CP168" s="182" t="s">
        <v>46</v>
      </c>
      <c r="CQ168" s="852" t="str">
        <f t="shared" si="109"/>
        <v/>
      </c>
      <c r="CR168" s="833">
        <f t="shared" si="110"/>
        <v>0</v>
      </c>
      <c r="CS168" s="830" t="s">
        <v>567</v>
      </c>
      <c r="CT168" s="185" t="str">
        <f>IF($CL168="","",VLOOKUP($D168,'Factor Tables'!$B$165:$H$192,MATCH($CL168,'Factor Tables'!$B$164:$H$164,0),FALSE))</f>
        <v/>
      </c>
      <c r="CU168" s="842" t="str">
        <f>IF($CL168="","",IF(AND($CL168&lt;&gt;"DX HP",$CL168&lt;&gt;"PTHP"),VLOOKUP($D168,'Factor Tables'!$I$165:$Q$192,MATCH($CL168,'Factor Tables'!$I$164:$Q$164,0),FALSE),IF($CL168="DX HP",VLOOKUP($D168,'Factor Tables'!$I$165:$Q$192,MATCH("DX HP Clg",'Factor Tables'!$I$164:$Q$164,0),FALSE),IF($CL168="PTHP",VLOOKUP($D168,'Factor Tables'!$I$165:$Q$192,MATCH("PTHP Clg",'Factor Tables'!$I$164:$Q$164,0),FALSE),""))))</f>
        <v/>
      </c>
      <c r="CV168" s="186" t="str">
        <f>IF($CL168="","",IF(AND($CL168&lt;&gt;"DX HP",$CL168&lt;&gt;"PTHP"),0,IF($CL168="DX HP",VLOOKUP($D168,'Factor Tables'!$I$165:$Q$192,MATCH("DX HP Htg",'Factor Tables'!$I$164:$Q$164,0),FALSE),IF($CL168="PTHP",VLOOKUP($D168,'Factor Tables'!$I$165:$Q$192,MATCH("PTHP Htg",'Factor Tables'!$I$164:$Q$164,0),FALSE),""))))</f>
        <v/>
      </c>
      <c r="DD168" s="898" t="s">
        <v>48</v>
      </c>
      <c r="DE168" s="426"/>
      <c r="DI168" s="425"/>
      <c r="DJ168" s="425"/>
      <c r="DK168" s="425"/>
      <c r="DL168" s="425"/>
      <c r="DM168" s="493" t="s">
        <v>478</v>
      </c>
    </row>
    <row r="169" spans="2:117" s="427" customFormat="1" ht="21.95" customHeight="1" thickBot="1" x14ac:dyDescent="0.3">
      <c r="B169" s="432">
        <v>160</v>
      </c>
      <c r="C169" s="499" t="str">
        <f t="shared" si="94"/>
        <v/>
      </c>
      <c r="D169" s="403" t="str">
        <f t="shared" si="95"/>
        <v/>
      </c>
      <c r="E169" s="541"/>
      <c r="F169" s="785"/>
      <c r="G169" s="728"/>
      <c r="H169" s="728"/>
      <c r="I169" s="728"/>
      <c r="J169" s="728"/>
      <c r="K169" s="728"/>
      <c r="L169" s="728"/>
      <c r="M169" s="764"/>
      <c r="N169" s="728"/>
      <c r="O169" s="764"/>
      <c r="P169" s="728"/>
      <c r="Q169" s="1142"/>
      <c r="R169" s="1133"/>
      <c r="S169" s="778"/>
      <c r="T169" s="767"/>
      <c r="U169" s="778"/>
      <c r="V169" s="751"/>
      <c r="W169" s="556"/>
      <c r="X169" s="785"/>
      <c r="Y169" s="542"/>
      <c r="Z169" s="500"/>
      <c r="AA169" s="500"/>
      <c r="AB169" s="500"/>
      <c r="AC169" s="500"/>
      <c r="AD169" s="529"/>
      <c r="AE169" s="527">
        <f t="shared" si="39"/>
        <v>0</v>
      </c>
      <c r="AF169" s="527">
        <f t="shared" si="96"/>
        <v>0</v>
      </c>
      <c r="AG169" s="527">
        <f t="shared" si="76"/>
        <v>0</v>
      </c>
      <c r="AH169" s="527">
        <f t="shared" si="77"/>
        <v>0</v>
      </c>
      <c r="AI169" s="527">
        <f t="shared" si="78"/>
        <v>0</v>
      </c>
      <c r="AJ169" s="527">
        <f t="shared" si="79"/>
        <v>999999999</v>
      </c>
      <c r="AK169" s="530"/>
      <c r="AL169" s="776"/>
      <c r="AM169" s="777"/>
      <c r="AN169" s="500"/>
      <c r="AO169" s="778"/>
      <c r="AP169" s="778"/>
      <c r="AQ169" s="500"/>
      <c r="AR169" s="531"/>
      <c r="AS169" s="403"/>
      <c r="AT169" s="524" t="str">
        <f t="shared" si="80"/>
        <v/>
      </c>
      <c r="AU169" s="311">
        <f t="shared" si="81"/>
        <v>0</v>
      </c>
      <c r="AV169" s="288">
        <f t="shared" si="97"/>
        <v>0</v>
      </c>
      <c r="AW169" s="290">
        <f>IF(ISERROR($AU169*'Utility Admin'!$E$4+$AV169*'Utility Admin'!$F$4),0,$AU169*'Utility Admin'!$E$4+$AV169*'Utility Admin'!$F$4)</f>
        <v>0</v>
      </c>
      <c r="AX169" s="323" t="str">
        <f t="shared" si="82"/>
        <v/>
      </c>
      <c r="AY169" s="322" t="str">
        <f t="shared" si="23"/>
        <v/>
      </c>
      <c r="AZ169" s="319">
        <f>Baselines!$CJ413</f>
        <v>0</v>
      </c>
      <c r="BA169" s="735">
        <f>Baselines!$CK413</f>
        <v>0</v>
      </c>
      <c r="BB169" s="839">
        <f>Baselines!$CM413</f>
        <v>0</v>
      </c>
      <c r="BC169" s="466">
        <f t="shared" si="83"/>
        <v>0</v>
      </c>
      <c r="BD169" s="464">
        <f t="shared" si="98"/>
        <v>0</v>
      </c>
      <c r="BE169" s="755">
        <f t="shared" si="84"/>
        <v>0</v>
      </c>
      <c r="BF169" s="755">
        <f t="shared" si="99"/>
        <v>0</v>
      </c>
      <c r="BG169" s="466">
        <f t="shared" si="85"/>
        <v>0</v>
      </c>
      <c r="BH169" s="464">
        <f t="shared" si="86"/>
        <v>0</v>
      </c>
      <c r="BI169" s="755">
        <f t="shared" si="87"/>
        <v>0</v>
      </c>
      <c r="BJ169" s="755">
        <f t="shared" si="100"/>
        <v>0</v>
      </c>
      <c r="BK169" s="333">
        <f>IF(OR($C169&lt;&gt;"Early Retirement",$H169=""),0,IF(AND($G169&lt;&gt;"Air Cooled Chiller",$G169&lt;&gt;"Water Cooled Chiller"),VLOOKUP($H169,'Early Retirement'!$CI$6:$CL$33,2,FALSE),IF($J169&lt;&gt;"Centrifugal",VLOOKUP($H169,'Early Retirement'!$CI$6:$CL$33,3,FALSE),IF($J169="Centrifugal",VLOOKUP($H169,'Early Retirement'!$CI$6:$CL$33,4,FALSE),""))))</f>
        <v>0</v>
      </c>
      <c r="BL169" s="450">
        <f t="shared" si="88"/>
        <v>0</v>
      </c>
      <c r="BM169" s="553">
        <f>IFERROR('Utility Admin'!$I$4*((1+'Utility Admin'!$G$4)/('Utility Admin'!$H$4-'Utility Admin'!$G$4))*(1-((1+'Utility Admin'!$G$4)/(1+'Utility Admin'!$H$4))^$BK169)*$BG169,0)</f>
        <v>0</v>
      </c>
      <c r="BN169" s="553">
        <f>IFERROR('Utility Admin'!$I$4*((1+'Utility Admin'!$G$4)/('Utility Admin'!$H$4-'Utility Admin'!$G$4))*(1-((1+'Utility Admin'!$G$4)/(1+'Utility Admin'!$H$4))^$BL169)*((1+'Utility Admin'!$G$4)^$BK169/(1+'Utility Admin'!$H$4)^$BK169)*$BC169,0)</f>
        <v>0</v>
      </c>
      <c r="BO169" s="553">
        <f t="shared" si="27"/>
        <v>0</v>
      </c>
      <c r="BP169" s="553">
        <f>IFERROR('Utility Admin'!$J$4*((1+'Utility Admin'!$G$4)/('Utility Admin'!$H$4-'Utility Admin'!$G$4))*(1-((1+'Utility Admin'!$G$4)/(1+'Utility Admin'!$H$4))^$BK169)*$BJ169,0)</f>
        <v>0</v>
      </c>
      <c r="BQ169" s="553">
        <f>IFERROR('Utility Admin'!$J$4*((1+'Utility Admin'!$G$4)/('Utility Admin'!$H$4-'Utility Admin'!$G$4))*(1-((1+'Utility Admin'!$G$4)/(1+'Utility Admin'!$H$4))^$BL169)*((1+'Utility Admin'!$G$4)^$BK169/(1+'Utility Admin'!$H$4)^$BK169)*$BF169,0)</f>
        <v>0</v>
      </c>
      <c r="BR169" s="553">
        <f t="shared" si="28"/>
        <v>0</v>
      </c>
      <c r="BS169" s="553">
        <f>IFERROR('Utility Admin'!$I$4*((1+'Utility Admin'!$G$4)/('Utility Admin'!$H$4-'Utility Admin'!$G$4))*(1-((1+'Utility Admin'!$G$4)/(1+'Utility Admin'!$H$4))^$AT169),0)</f>
        <v>0</v>
      </c>
      <c r="BT169" s="553">
        <f>IFERROR('Utility Admin'!$J$4*((1+'Utility Admin'!$G$4)/('Utility Admin'!$H$4-'Utility Admin'!$G$4))*(1-((1+'Utility Admin'!$G$4)/(1+'Utility Admin'!$H$4))^$AT169),0)</f>
        <v>0</v>
      </c>
      <c r="BU169" s="459">
        <f t="shared" si="101"/>
        <v>0</v>
      </c>
      <c r="BV169" s="462">
        <f t="shared" si="102"/>
        <v>0</v>
      </c>
      <c r="BW169" s="219" t="str">
        <f t="shared" si="89"/>
        <v/>
      </c>
      <c r="BX169" s="250" t="str">
        <f t="shared" si="103"/>
        <v/>
      </c>
      <c r="BY169" s="250" t="str">
        <f t="shared" si="90"/>
        <v/>
      </c>
      <c r="BZ169" s="184">
        <f t="shared" si="104"/>
        <v>0</v>
      </c>
      <c r="CA169" s="693">
        <f t="shared" si="105"/>
        <v>0</v>
      </c>
      <c r="CB169" s="836">
        <f t="shared" si="106"/>
        <v>0</v>
      </c>
      <c r="CC169" s="693">
        <f>IF(AND($C169="Early Retirement",$H169&lt;&gt;"",$R169&lt;&gt;"",$T169&lt;&gt;""),$BZ169,Baselines!$CJ162)</f>
        <v>0</v>
      </c>
      <c r="CD169" s="693">
        <f>IF(AND($C169="Early Retirement",$H169&lt;&gt;"",$R169&lt;&gt;"",$T169&lt;&gt;""),$CA169,Baselines!$CK162)</f>
        <v>0</v>
      </c>
      <c r="CE169" s="182" t="str">
        <f>Baselines!$CL162</f>
        <v>kW/ton</v>
      </c>
      <c r="CF169" s="850" t="str">
        <f t="shared" si="91"/>
        <v/>
      </c>
      <c r="CG169" s="833">
        <f>IF(AND($C169="Early Retirement",$H169&lt;&gt;"",$R169&lt;&gt;"",$T169&lt;&gt;""),$CB169,IF(AND(Baselines!$CM162=0,OR($CL169="DX HP",$CL169="PTHP")),$BB169,Baselines!$CM162))</f>
        <v>0</v>
      </c>
      <c r="CH169" s="830" t="s">
        <v>567</v>
      </c>
      <c r="CI169" s="185" t="str">
        <f>IF(OR($C169="Replace-on-Burnout",$C169="New Construction"),$CT169,IF($BW169="","",VLOOKUP($D169,'Factor Tables'!$B$165:$H$192,MATCH($BW169,'Factor Tables'!$B$164:$H$164,0),FALSE)))</f>
        <v/>
      </c>
      <c r="CJ169" s="842" t="str">
        <f>IF(OR($C169="Replace-on-Burnout",$C169="New Construction"),$CU169,IF($BW169="","",IF($BW169="DX HP",VLOOKUP($D169,'Factor Tables'!$I$165:$Q$192,MATCH("DX HP Clg",'Factor Tables'!$I$164:$Q$164,0),FALSE),IF($BW169="PTHP",VLOOKUP($D169,'Factor Tables'!$I$165:$Q$192,MATCH("PTHP Clg",'Factor Tables'!$I$164:$Q$164,0),FALSE),IF(AND($BW169&lt;&gt;"DX HP",$BW169&lt;&gt;"PTHP"),VLOOKUP($D169,'Factor Tables'!$I$165:$Q$192,MATCH($BW169,'Factor Tables'!$I$164:$Q$164,0),FALSE),"")))))</f>
        <v/>
      </c>
      <c r="CK169" s="186" t="str">
        <f>IF(OR($C169="Replace-on-Burnout",$C169="New Construction",$CL169="DX HP",$CL169="PTHP"),$CV169,IF($BW169="","",IF($BW169="DX HP",VLOOKUP($D169,'Factor Tables'!$I$165:$Q$192,MATCH("DX HP Htg",'Factor Tables'!$I$164:$Q$164,0),FALSE),IF($BW169="PTHP",VLOOKUP($D169,'Factor Tables'!$I$165:$Q$192,MATCH("PTHP Htg",'Factor Tables'!$I$164:$Q$164,0),FALSE),0))))</f>
        <v/>
      </c>
      <c r="CL169" s="187" t="str">
        <f t="shared" si="92"/>
        <v/>
      </c>
      <c r="CM169" s="251" t="str">
        <f t="shared" si="93"/>
        <v/>
      </c>
      <c r="CN169" s="184">
        <f t="shared" si="107"/>
        <v>0</v>
      </c>
      <c r="CO169" s="693">
        <f t="shared" si="108"/>
        <v>0</v>
      </c>
      <c r="CP169" s="182" t="s">
        <v>46</v>
      </c>
      <c r="CQ169" s="852" t="str">
        <f t="shared" si="109"/>
        <v/>
      </c>
      <c r="CR169" s="833">
        <f t="shared" si="110"/>
        <v>0</v>
      </c>
      <c r="CS169" s="830" t="s">
        <v>567</v>
      </c>
      <c r="CT169" s="185" t="str">
        <f>IF($CL169="","",VLOOKUP($D169,'Factor Tables'!$B$165:$H$192,MATCH($CL169,'Factor Tables'!$B$164:$H$164,0),FALSE))</f>
        <v/>
      </c>
      <c r="CU169" s="842" t="str">
        <f>IF($CL169="","",IF(AND($CL169&lt;&gt;"DX HP",$CL169&lt;&gt;"PTHP"),VLOOKUP($D169,'Factor Tables'!$I$165:$Q$192,MATCH($CL169,'Factor Tables'!$I$164:$Q$164,0),FALSE),IF($CL169="DX HP",VLOOKUP($D169,'Factor Tables'!$I$165:$Q$192,MATCH("DX HP Clg",'Factor Tables'!$I$164:$Q$164,0),FALSE),IF($CL169="PTHP",VLOOKUP($D169,'Factor Tables'!$I$165:$Q$192,MATCH("PTHP Clg",'Factor Tables'!$I$164:$Q$164,0),FALSE),""))))</f>
        <v/>
      </c>
      <c r="CV169" s="186" t="str">
        <f>IF($CL169="","",IF(AND($CL169&lt;&gt;"DX HP",$CL169&lt;&gt;"PTHP"),0,IF($CL169="DX HP",VLOOKUP($D169,'Factor Tables'!$I$165:$Q$192,MATCH("DX HP Htg",'Factor Tables'!$I$164:$Q$164,0),FALSE),IF($CL169="PTHP",VLOOKUP($D169,'Factor Tables'!$I$165:$Q$192,MATCH("PTHP Htg",'Factor Tables'!$I$164:$Q$164,0),FALSE),""))))</f>
        <v/>
      </c>
      <c r="DD169" s="903"/>
      <c r="DE169" s="426"/>
      <c r="DI169" s="425"/>
      <c r="DJ169" s="425"/>
      <c r="DK169" s="425"/>
      <c r="DL169" s="425"/>
      <c r="DM169" s="493" t="s">
        <v>478</v>
      </c>
    </row>
    <row r="170" spans="2:117" s="427" customFormat="1" ht="21.95" customHeight="1" x14ac:dyDescent="0.25">
      <c r="B170" s="431">
        <v>161</v>
      </c>
      <c r="C170" s="501" t="str">
        <f t="shared" si="94"/>
        <v/>
      </c>
      <c r="D170" s="502" t="str">
        <f t="shared" si="95"/>
        <v/>
      </c>
      <c r="E170" s="546"/>
      <c r="F170" s="547"/>
      <c r="G170" s="729"/>
      <c r="H170" s="729"/>
      <c r="I170" s="729"/>
      <c r="J170" s="729"/>
      <c r="K170" s="729"/>
      <c r="L170" s="729"/>
      <c r="M170" s="765"/>
      <c r="N170" s="758"/>
      <c r="O170" s="765"/>
      <c r="P170" s="758"/>
      <c r="Q170" s="1143"/>
      <c r="R170" s="1134"/>
      <c r="S170" s="775"/>
      <c r="T170" s="729"/>
      <c r="U170" s="775"/>
      <c r="V170" s="779"/>
      <c r="W170" s="557"/>
      <c r="X170" s="788"/>
      <c r="Y170" s="543"/>
      <c r="Z170" s="281"/>
      <c r="AA170" s="281"/>
      <c r="AB170" s="281"/>
      <c r="AC170" s="281"/>
      <c r="AD170" s="492"/>
      <c r="AE170" s="527">
        <f t="shared" si="39"/>
        <v>0</v>
      </c>
      <c r="AF170" s="527">
        <f t="shared" si="96"/>
        <v>0</v>
      </c>
      <c r="AG170" s="527">
        <f t="shared" si="76"/>
        <v>0</v>
      </c>
      <c r="AH170" s="527">
        <f t="shared" si="77"/>
        <v>0</v>
      </c>
      <c r="AI170" s="527">
        <f t="shared" si="78"/>
        <v>0</v>
      </c>
      <c r="AJ170" s="527">
        <f t="shared" si="79"/>
        <v>999999999</v>
      </c>
      <c r="AK170" s="471"/>
      <c r="AL170" s="765"/>
      <c r="AM170" s="758"/>
      <c r="AN170" s="281"/>
      <c r="AO170" s="775"/>
      <c r="AP170" s="775"/>
      <c r="AQ170" s="281"/>
      <c r="AR170" s="528"/>
      <c r="AS170" s="532"/>
      <c r="AT170" s="524" t="str">
        <f t="shared" si="80"/>
        <v/>
      </c>
      <c r="AU170" s="311">
        <f t="shared" si="81"/>
        <v>0</v>
      </c>
      <c r="AV170" s="288">
        <f t="shared" si="97"/>
        <v>0</v>
      </c>
      <c r="AW170" s="290">
        <f>IF(ISERROR($AU170*'Utility Admin'!$E$4+$AV170*'Utility Admin'!$F$4),0,$AU170*'Utility Admin'!$E$4+$AV170*'Utility Admin'!$F$4)</f>
        <v>0</v>
      </c>
      <c r="AX170" s="323" t="str">
        <f t="shared" si="82"/>
        <v/>
      </c>
      <c r="AY170" s="322" t="str">
        <f t="shared" si="23"/>
        <v/>
      </c>
      <c r="AZ170" s="319">
        <f>Baselines!$CJ414</f>
        <v>0</v>
      </c>
      <c r="BA170" s="735">
        <f>Baselines!$CK414</f>
        <v>0</v>
      </c>
      <c r="BB170" s="839">
        <f>Baselines!$CM414</f>
        <v>0</v>
      </c>
      <c r="BC170" s="466">
        <f t="shared" si="83"/>
        <v>0</v>
      </c>
      <c r="BD170" s="464">
        <f t="shared" si="98"/>
        <v>0</v>
      </c>
      <c r="BE170" s="755">
        <f t="shared" si="84"/>
        <v>0</v>
      </c>
      <c r="BF170" s="755">
        <f t="shared" si="99"/>
        <v>0</v>
      </c>
      <c r="BG170" s="466">
        <f t="shared" si="85"/>
        <v>0</v>
      </c>
      <c r="BH170" s="464">
        <f t="shared" si="86"/>
        <v>0</v>
      </c>
      <c r="BI170" s="755">
        <f t="shared" si="87"/>
        <v>0</v>
      </c>
      <c r="BJ170" s="755">
        <f t="shared" si="100"/>
        <v>0</v>
      </c>
      <c r="BK170" s="333">
        <f>IF(OR($C170&lt;&gt;"Early Retirement",$H170=""),0,IF(AND($G170&lt;&gt;"Air Cooled Chiller",$G170&lt;&gt;"Water Cooled Chiller"),VLOOKUP($H170,'Early Retirement'!$CI$6:$CL$33,2,FALSE),IF($J170&lt;&gt;"Centrifugal",VLOOKUP($H170,'Early Retirement'!$CI$6:$CL$33,3,FALSE),IF($J170="Centrifugal",VLOOKUP($H170,'Early Retirement'!$CI$6:$CL$33,4,FALSE),""))))</f>
        <v>0</v>
      </c>
      <c r="BL170" s="450">
        <f t="shared" si="88"/>
        <v>0</v>
      </c>
      <c r="BM170" s="553">
        <f>IFERROR('Utility Admin'!$I$4*((1+'Utility Admin'!$G$4)/('Utility Admin'!$H$4-'Utility Admin'!$G$4))*(1-((1+'Utility Admin'!$G$4)/(1+'Utility Admin'!$H$4))^$BK170)*$BG170,0)</f>
        <v>0</v>
      </c>
      <c r="BN170" s="553">
        <f>IFERROR('Utility Admin'!$I$4*((1+'Utility Admin'!$G$4)/('Utility Admin'!$H$4-'Utility Admin'!$G$4))*(1-((1+'Utility Admin'!$G$4)/(1+'Utility Admin'!$H$4))^$BL170)*((1+'Utility Admin'!$G$4)^$BK170/(1+'Utility Admin'!$H$4)^$BK170)*$BC170,0)</f>
        <v>0</v>
      </c>
      <c r="BO170" s="553">
        <f t="shared" si="27"/>
        <v>0</v>
      </c>
      <c r="BP170" s="553">
        <f>IFERROR('Utility Admin'!$J$4*((1+'Utility Admin'!$G$4)/('Utility Admin'!$H$4-'Utility Admin'!$G$4))*(1-((1+'Utility Admin'!$G$4)/(1+'Utility Admin'!$H$4))^$BK170)*$BJ170,0)</f>
        <v>0</v>
      </c>
      <c r="BQ170" s="553">
        <f>IFERROR('Utility Admin'!$J$4*((1+'Utility Admin'!$G$4)/('Utility Admin'!$H$4-'Utility Admin'!$G$4))*(1-((1+'Utility Admin'!$G$4)/(1+'Utility Admin'!$H$4))^$BL170)*((1+'Utility Admin'!$G$4)^$BK170/(1+'Utility Admin'!$H$4)^$BK170)*$BF170,0)</f>
        <v>0</v>
      </c>
      <c r="BR170" s="553">
        <f t="shared" si="28"/>
        <v>0</v>
      </c>
      <c r="BS170" s="553">
        <f>IFERROR('Utility Admin'!$I$4*((1+'Utility Admin'!$G$4)/('Utility Admin'!$H$4-'Utility Admin'!$G$4))*(1-((1+'Utility Admin'!$G$4)/(1+'Utility Admin'!$H$4))^$AT170),0)</f>
        <v>0</v>
      </c>
      <c r="BT170" s="553">
        <f>IFERROR('Utility Admin'!$J$4*((1+'Utility Admin'!$G$4)/('Utility Admin'!$H$4-'Utility Admin'!$G$4))*(1-((1+'Utility Admin'!$G$4)/(1+'Utility Admin'!$H$4))^$AT170),0)</f>
        <v>0</v>
      </c>
      <c r="BU170" s="459">
        <f t="shared" si="101"/>
        <v>0</v>
      </c>
      <c r="BV170" s="462">
        <f t="shared" si="102"/>
        <v>0</v>
      </c>
      <c r="BW170" s="219" t="str">
        <f t="shared" si="89"/>
        <v/>
      </c>
      <c r="BX170" s="250" t="str">
        <f t="shared" si="103"/>
        <v/>
      </c>
      <c r="BY170" s="250" t="str">
        <f t="shared" si="90"/>
        <v/>
      </c>
      <c r="BZ170" s="184">
        <f t="shared" si="104"/>
        <v>0</v>
      </c>
      <c r="CA170" s="693">
        <f t="shared" si="105"/>
        <v>0</v>
      </c>
      <c r="CB170" s="836">
        <f t="shared" si="106"/>
        <v>0</v>
      </c>
      <c r="CC170" s="693">
        <f>IF(AND($C170="Early Retirement",$H170&lt;&gt;"",$R170&lt;&gt;"",$T170&lt;&gt;""),$BZ170,Baselines!$CJ163)</f>
        <v>0</v>
      </c>
      <c r="CD170" s="693">
        <f>IF(AND($C170="Early Retirement",$H170&lt;&gt;"",$R170&lt;&gt;"",$T170&lt;&gt;""),$CA170,Baselines!$CK163)</f>
        <v>0</v>
      </c>
      <c r="CE170" s="182" t="str">
        <f>Baselines!$CL163</f>
        <v>kW/ton</v>
      </c>
      <c r="CF170" s="850" t="str">
        <f t="shared" si="91"/>
        <v/>
      </c>
      <c r="CG170" s="833">
        <f>IF(AND($C170="Early Retirement",$H170&lt;&gt;"",$R170&lt;&gt;"",$T170&lt;&gt;""),$CB170,IF(AND(Baselines!$CM163=0,OR($CL170="DX HP",$CL170="PTHP")),$BB170,Baselines!$CM163))</f>
        <v>0</v>
      </c>
      <c r="CH170" s="830" t="s">
        <v>567</v>
      </c>
      <c r="CI170" s="185" t="str">
        <f>IF(OR($C170="Replace-on-Burnout",$C170="New Construction"),$CT170,IF($BW170="","",VLOOKUP($D170,'Factor Tables'!$B$165:$H$192,MATCH($BW170,'Factor Tables'!$B$164:$H$164,0),FALSE)))</f>
        <v/>
      </c>
      <c r="CJ170" s="842" t="str">
        <f>IF(OR($C170="Replace-on-Burnout",$C170="New Construction"),$CU170,IF($BW170="","",IF($BW170="DX HP",VLOOKUP($D170,'Factor Tables'!$I$165:$Q$192,MATCH("DX HP Clg",'Factor Tables'!$I$164:$Q$164,0),FALSE),IF($BW170="PTHP",VLOOKUP($D170,'Factor Tables'!$I$165:$Q$192,MATCH("PTHP Clg",'Factor Tables'!$I$164:$Q$164,0),FALSE),IF(AND($BW170&lt;&gt;"DX HP",$BW170&lt;&gt;"PTHP"),VLOOKUP($D170,'Factor Tables'!$I$165:$Q$192,MATCH($BW170,'Factor Tables'!$I$164:$Q$164,0),FALSE),"")))))</f>
        <v/>
      </c>
      <c r="CK170" s="186" t="str">
        <f>IF(OR($C170="Replace-on-Burnout",$C170="New Construction",$CL170="DX HP",$CL170="PTHP"),$CV170,IF($BW170="","",IF($BW170="DX HP",VLOOKUP($D170,'Factor Tables'!$I$165:$Q$192,MATCH("DX HP Htg",'Factor Tables'!$I$164:$Q$164,0),FALSE),IF($BW170="PTHP",VLOOKUP($D170,'Factor Tables'!$I$165:$Q$192,MATCH("PTHP Htg",'Factor Tables'!$I$164:$Q$164,0),FALSE),0))))</f>
        <v/>
      </c>
      <c r="CL170" s="187" t="str">
        <f t="shared" si="92"/>
        <v/>
      </c>
      <c r="CM170" s="251" t="str">
        <f t="shared" si="93"/>
        <v/>
      </c>
      <c r="CN170" s="184">
        <f t="shared" si="107"/>
        <v>0</v>
      </c>
      <c r="CO170" s="693">
        <f t="shared" si="108"/>
        <v>0</v>
      </c>
      <c r="CP170" s="182" t="s">
        <v>46</v>
      </c>
      <c r="CQ170" s="852" t="str">
        <f t="shared" si="109"/>
        <v/>
      </c>
      <c r="CR170" s="833">
        <f t="shared" si="110"/>
        <v>0</v>
      </c>
      <c r="CS170" s="830" t="s">
        <v>567</v>
      </c>
      <c r="CT170" s="185" t="str">
        <f>IF($CL170="","",VLOOKUP($D170,'Factor Tables'!$B$165:$H$192,MATCH($CL170,'Factor Tables'!$B$164:$H$164,0),FALSE))</f>
        <v/>
      </c>
      <c r="CU170" s="842" t="str">
        <f>IF($CL170="","",IF(AND($CL170&lt;&gt;"DX HP",$CL170&lt;&gt;"PTHP"),VLOOKUP($D170,'Factor Tables'!$I$165:$Q$192,MATCH($CL170,'Factor Tables'!$I$164:$Q$164,0),FALSE),IF($CL170="DX HP",VLOOKUP($D170,'Factor Tables'!$I$165:$Q$192,MATCH("DX HP Clg",'Factor Tables'!$I$164:$Q$164,0),FALSE),IF($CL170="PTHP",VLOOKUP($D170,'Factor Tables'!$I$165:$Q$192,MATCH("PTHP Clg",'Factor Tables'!$I$164:$Q$164,0),FALSE),""))))</f>
        <v/>
      </c>
      <c r="CV170" s="186" t="str">
        <f>IF($CL170="","",IF(AND($CL170&lt;&gt;"DX HP",$CL170&lt;&gt;"PTHP"),0,IF($CL170="DX HP",VLOOKUP($D170,'Factor Tables'!$I$165:$Q$192,MATCH("DX HP Htg",'Factor Tables'!$I$164:$Q$164,0),FALSE),IF($CL170="PTHP",VLOOKUP($D170,'Factor Tables'!$I$165:$Q$192,MATCH("PTHP Htg",'Factor Tables'!$I$164:$Q$164,0),FALSE),""))))</f>
        <v/>
      </c>
      <c r="DD170" s="195" t="str">
        <f>IF(OR('Project Info'!$D$8="",$C10="",$D10=""),"",IF('Project Info'!$D$8="Weather Zone 5: El Paso",VLOOKUP($D10,$DI$9:$DL$37,MATCH($C10,$DI$9:$DL$9,0),FALSE),VLOOKUP($D10,$DE$9:$DH$37,MATCH($C10,$DE$9:$DH$9,0),FALSE)))</f>
        <v/>
      </c>
      <c r="DE170" s="426"/>
      <c r="DI170" s="425"/>
      <c r="DJ170" s="425"/>
      <c r="DK170" s="425"/>
      <c r="DL170" s="425"/>
      <c r="DM170" s="493" t="s">
        <v>478</v>
      </c>
    </row>
    <row r="171" spans="2:117" s="427" customFormat="1" ht="21.95" customHeight="1" x14ac:dyDescent="0.25">
      <c r="B171" s="432">
        <v>162</v>
      </c>
      <c r="C171" s="499" t="str">
        <f t="shared" si="94"/>
        <v/>
      </c>
      <c r="D171" s="403" t="str">
        <f t="shared" si="95"/>
        <v/>
      </c>
      <c r="E171" s="541"/>
      <c r="F171" s="785"/>
      <c r="G171" s="728"/>
      <c r="H171" s="728"/>
      <c r="I171" s="728"/>
      <c r="J171" s="728"/>
      <c r="K171" s="728"/>
      <c r="L171" s="728"/>
      <c r="M171" s="764"/>
      <c r="N171" s="728"/>
      <c r="O171" s="764"/>
      <c r="P171" s="728"/>
      <c r="Q171" s="1142"/>
      <c r="R171" s="1133"/>
      <c r="S171" s="778"/>
      <c r="T171" s="767"/>
      <c r="U171" s="778"/>
      <c r="V171" s="751"/>
      <c r="W171" s="556"/>
      <c r="X171" s="785"/>
      <c r="Y171" s="542"/>
      <c r="Z171" s="500"/>
      <c r="AA171" s="500"/>
      <c r="AB171" s="500"/>
      <c r="AC171" s="500"/>
      <c r="AD171" s="529"/>
      <c r="AE171" s="527">
        <f t="shared" si="39"/>
        <v>0</v>
      </c>
      <c r="AF171" s="527">
        <f t="shared" si="96"/>
        <v>0</v>
      </c>
      <c r="AG171" s="527">
        <f t="shared" si="76"/>
        <v>0</v>
      </c>
      <c r="AH171" s="527">
        <f t="shared" si="77"/>
        <v>0</v>
      </c>
      <c r="AI171" s="527">
        <f t="shared" si="78"/>
        <v>0</v>
      </c>
      <c r="AJ171" s="527">
        <f t="shared" si="79"/>
        <v>999999999</v>
      </c>
      <c r="AK171" s="530"/>
      <c r="AL171" s="776"/>
      <c r="AM171" s="777"/>
      <c r="AN171" s="500"/>
      <c r="AO171" s="778"/>
      <c r="AP171" s="778"/>
      <c r="AQ171" s="500"/>
      <c r="AR171" s="531"/>
      <c r="AS171" s="403"/>
      <c r="AT171" s="524" t="str">
        <f t="shared" si="80"/>
        <v/>
      </c>
      <c r="AU171" s="311">
        <f t="shared" si="81"/>
        <v>0</v>
      </c>
      <c r="AV171" s="288">
        <f t="shared" si="97"/>
        <v>0</v>
      </c>
      <c r="AW171" s="290">
        <f>IF(ISERROR($AU171*'Utility Admin'!$E$4+$AV171*'Utility Admin'!$F$4),0,$AU171*'Utility Admin'!$E$4+$AV171*'Utility Admin'!$F$4)</f>
        <v>0</v>
      </c>
      <c r="AX171" s="323" t="str">
        <f t="shared" si="82"/>
        <v/>
      </c>
      <c r="AY171" s="322" t="str">
        <f t="shared" si="23"/>
        <v/>
      </c>
      <c r="AZ171" s="319">
        <f>Baselines!$CJ415</f>
        <v>0</v>
      </c>
      <c r="BA171" s="735">
        <f>Baselines!$CK415</f>
        <v>0</v>
      </c>
      <c r="BB171" s="839">
        <f>Baselines!$CM415</f>
        <v>0</v>
      </c>
      <c r="BC171" s="466">
        <f t="shared" si="83"/>
        <v>0</v>
      </c>
      <c r="BD171" s="464">
        <f t="shared" si="98"/>
        <v>0</v>
      </c>
      <c r="BE171" s="755">
        <f t="shared" si="84"/>
        <v>0</v>
      </c>
      <c r="BF171" s="755">
        <f t="shared" si="99"/>
        <v>0</v>
      </c>
      <c r="BG171" s="466">
        <f t="shared" si="85"/>
        <v>0</v>
      </c>
      <c r="BH171" s="464">
        <f t="shared" si="86"/>
        <v>0</v>
      </c>
      <c r="BI171" s="755">
        <f t="shared" si="87"/>
        <v>0</v>
      </c>
      <c r="BJ171" s="755">
        <f t="shared" si="100"/>
        <v>0</v>
      </c>
      <c r="BK171" s="333">
        <f>IF(OR($C171&lt;&gt;"Early Retirement",$H171=""),0,IF(AND($G171&lt;&gt;"Air Cooled Chiller",$G171&lt;&gt;"Water Cooled Chiller"),VLOOKUP($H171,'Early Retirement'!$CI$6:$CL$33,2,FALSE),IF($J171&lt;&gt;"Centrifugal",VLOOKUP($H171,'Early Retirement'!$CI$6:$CL$33,3,FALSE),IF($J171="Centrifugal",VLOOKUP($H171,'Early Retirement'!$CI$6:$CL$33,4,FALSE),""))))</f>
        <v>0</v>
      </c>
      <c r="BL171" s="450">
        <f t="shared" si="88"/>
        <v>0</v>
      </c>
      <c r="BM171" s="553">
        <f>IFERROR('Utility Admin'!$I$4*((1+'Utility Admin'!$G$4)/('Utility Admin'!$H$4-'Utility Admin'!$G$4))*(1-((1+'Utility Admin'!$G$4)/(1+'Utility Admin'!$H$4))^$BK171)*$BG171,0)</f>
        <v>0</v>
      </c>
      <c r="BN171" s="553">
        <f>IFERROR('Utility Admin'!$I$4*((1+'Utility Admin'!$G$4)/('Utility Admin'!$H$4-'Utility Admin'!$G$4))*(1-((1+'Utility Admin'!$G$4)/(1+'Utility Admin'!$H$4))^$BL171)*((1+'Utility Admin'!$G$4)^$BK171/(1+'Utility Admin'!$H$4)^$BK171)*$BC171,0)</f>
        <v>0</v>
      </c>
      <c r="BO171" s="553">
        <f t="shared" si="27"/>
        <v>0</v>
      </c>
      <c r="BP171" s="553">
        <f>IFERROR('Utility Admin'!$J$4*((1+'Utility Admin'!$G$4)/('Utility Admin'!$H$4-'Utility Admin'!$G$4))*(1-((1+'Utility Admin'!$G$4)/(1+'Utility Admin'!$H$4))^$BK171)*$BJ171,0)</f>
        <v>0</v>
      </c>
      <c r="BQ171" s="553">
        <f>IFERROR('Utility Admin'!$J$4*((1+'Utility Admin'!$G$4)/('Utility Admin'!$H$4-'Utility Admin'!$G$4))*(1-((1+'Utility Admin'!$G$4)/(1+'Utility Admin'!$H$4))^$BL171)*((1+'Utility Admin'!$G$4)^$BK171/(1+'Utility Admin'!$H$4)^$BK171)*$BF171,0)</f>
        <v>0</v>
      </c>
      <c r="BR171" s="553">
        <f t="shared" si="28"/>
        <v>0</v>
      </c>
      <c r="BS171" s="553">
        <f>IFERROR('Utility Admin'!$I$4*((1+'Utility Admin'!$G$4)/('Utility Admin'!$H$4-'Utility Admin'!$G$4))*(1-((1+'Utility Admin'!$G$4)/(1+'Utility Admin'!$H$4))^$AT171),0)</f>
        <v>0</v>
      </c>
      <c r="BT171" s="553">
        <f>IFERROR('Utility Admin'!$J$4*((1+'Utility Admin'!$G$4)/('Utility Admin'!$H$4-'Utility Admin'!$G$4))*(1-((1+'Utility Admin'!$G$4)/(1+'Utility Admin'!$H$4))^$AT171),0)</f>
        <v>0</v>
      </c>
      <c r="BU171" s="459">
        <f t="shared" si="101"/>
        <v>0</v>
      </c>
      <c r="BV171" s="462">
        <f t="shared" si="102"/>
        <v>0</v>
      </c>
      <c r="BW171" s="219" t="str">
        <f t="shared" si="89"/>
        <v/>
      </c>
      <c r="BX171" s="250" t="str">
        <f t="shared" si="103"/>
        <v/>
      </c>
      <c r="BY171" s="250" t="str">
        <f t="shared" si="90"/>
        <v/>
      </c>
      <c r="BZ171" s="184">
        <f t="shared" si="104"/>
        <v>0</v>
      </c>
      <c r="CA171" s="693">
        <f t="shared" si="105"/>
        <v>0</v>
      </c>
      <c r="CB171" s="836">
        <f t="shared" si="106"/>
        <v>0</v>
      </c>
      <c r="CC171" s="693">
        <f>IF(AND($C171="Early Retirement",$H171&lt;&gt;"",$R171&lt;&gt;"",$T171&lt;&gt;""),$BZ171,Baselines!$CJ164)</f>
        <v>0</v>
      </c>
      <c r="CD171" s="693">
        <f>IF(AND($C171="Early Retirement",$H171&lt;&gt;"",$R171&lt;&gt;"",$T171&lt;&gt;""),$CA171,Baselines!$CK164)</f>
        <v>0</v>
      </c>
      <c r="CE171" s="182" t="str">
        <f>Baselines!$CL164</f>
        <v>kW/ton</v>
      </c>
      <c r="CF171" s="850" t="str">
        <f t="shared" si="91"/>
        <v/>
      </c>
      <c r="CG171" s="833">
        <f>IF(AND($C171="Early Retirement",$H171&lt;&gt;"",$R171&lt;&gt;"",$T171&lt;&gt;""),$CB171,IF(AND(Baselines!$CM164=0,OR($CL171="DX HP",$CL171="PTHP")),$BB171,Baselines!$CM164))</f>
        <v>0</v>
      </c>
      <c r="CH171" s="830" t="s">
        <v>567</v>
      </c>
      <c r="CI171" s="185" t="str">
        <f>IF(OR($C171="Replace-on-Burnout",$C171="New Construction"),$CT171,IF($BW171="","",VLOOKUP($D171,'Factor Tables'!$B$165:$H$192,MATCH($BW171,'Factor Tables'!$B$164:$H$164,0),FALSE)))</f>
        <v/>
      </c>
      <c r="CJ171" s="842" t="str">
        <f>IF(OR($C171="Replace-on-Burnout",$C171="New Construction"),$CU171,IF($BW171="","",IF($BW171="DX HP",VLOOKUP($D171,'Factor Tables'!$I$165:$Q$192,MATCH("DX HP Clg",'Factor Tables'!$I$164:$Q$164,0),FALSE),IF($BW171="PTHP",VLOOKUP($D171,'Factor Tables'!$I$165:$Q$192,MATCH("PTHP Clg",'Factor Tables'!$I$164:$Q$164,0),FALSE),IF(AND($BW171&lt;&gt;"DX HP",$BW171&lt;&gt;"PTHP"),VLOOKUP($D171,'Factor Tables'!$I$165:$Q$192,MATCH($BW171,'Factor Tables'!$I$164:$Q$164,0),FALSE),"")))))</f>
        <v/>
      </c>
      <c r="CK171" s="186" t="str">
        <f>IF(OR($C171="Replace-on-Burnout",$C171="New Construction",$CL171="DX HP",$CL171="PTHP"),$CV171,IF($BW171="","",IF($BW171="DX HP",VLOOKUP($D171,'Factor Tables'!$I$165:$Q$192,MATCH("DX HP Htg",'Factor Tables'!$I$164:$Q$164,0),FALSE),IF($BW171="PTHP",VLOOKUP($D171,'Factor Tables'!$I$165:$Q$192,MATCH("PTHP Htg",'Factor Tables'!$I$164:$Q$164,0),FALSE),0))))</f>
        <v/>
      </c>
      <c r="CL171" s="187" t="str">
        <f t="shared" si="92"/>
        <v/>
      </c>
      <c r="CM171" s="251" t="str">
        <f t="shared" si="93"/>
        <v/>
      </c>
      <c r="CN171" s="184">
        <f t="shared" si="107"/>
        <v>0</v>
      </c>
      <c r="CO171" s="693">
        <f t="shared" si="108"/>
        <v>0</v>
      </c>
      <c r="CP171" s="182" t="s">
        <v>46</v>
      </c>
      <c r="CQ171" s="852" t="str">
        <f t="shared" si="109"/>
        <v/>
      </c>
      <c r="CR171" s="833">
        <f t="shared" si="110"/>
        <v>0</v>
      </c>
      <c r="CS171" s="830" t="s">
        <v>567</v>
      </c>
      <c r="CT171" s="185" t="str">
        <f>IF($CL171="","",VLOOKUP($D171,'Factor Tables'!$B$165:$H$192,MATCH($CL171,'Factor Tables'!$B$164:$H$164,0),FALSE))</f>
        <v/>
      </c>
      <c r="CU171" s="842" t="str">
        <f>IF($CL171="","",IF(AND($CL171&lt;&gt;"DX HP",$CL171&lt;&gt;"PTHP"),VLOOKUP($D171,'Factor Tables'!$I$165:$Q$192,MATCH($CL171,'Factor Tables'!$I$164:$Q$164,0),FALSE),IF($CL171="DX HP",VLOOKUP($D171,'Factor Tables'!$I$165:$Q$192,MATCH("DX HP Clg",'Factor Tables'!$I$164:$Q$164,0),FALSE),IF($CL171="PTHP",VLOOKUP($D171,'Factor Tables'!$I$165:$Q$192,MATCH("PTHP Clg",'Factor Tables'!$I$164:$Q$164,0),FALSE),""))))</f>
        <v/>
      </c>
      <c r="CV171" s="186" t="str">
        <f>IF($CL171="","",IF(AND($CL171&lt;&gt;"DX HP",$CL171&lt;&gt;"PTHP"),0,IF($CL171="DX HP",VLOOKUP($D171,'Factor Tables'!$I$165:$Q$192,MATCH("DX HP Htg",'Factor Tables'!$I$164:$Q$164,0),FALSE),IF($CL171="PTHP",VLOOKUP($D171,'Factor Tables'!$I$165:$Q$192,MATCH("PTHP Htg",'Factor Tables'!$I$164:$Q$164,0),FALSE),""))))</f>
        <v/>
      </c>
      <c r="DD171" s="196" t="str">
        <f>IF(OR('Project Info'!$D$8="",$C11="",$D11=""),"",IF('Project Info'!$D$8="Weather Zone 5: El Paso",VLOOKUP($D11,$DI$9:$DL$37,MATCH($C11,$DI$9:$DL$9,0),FALSE),VLOOKUP($D11,$DE$9:$DH$37,MATCH($C11,$DE$9:$DH$9,0),FALSE)))</f>
        <v/>
      </c>
      <c r="DE171" s="426"/>
      <c r="DI171" s="425"/>
      <c r="DJ171" s="425"/>
      <c r="DK171" s="425"/>
      <c r="DL171" s="425"/>
      <c r="DM171" s="493" t="s">
        <v>478</v>
      </c>
    </row>
    <row r="172" spans="2:117" s="427" customFormat="1" ht="21.95" customHeight="1" x14ac:dyDescent="0.25">
      <c r="B172" s="431">
        <v>163</v>
      </c>
      <c r="C172" s="501" t="str">
        <f t="shared" si="94"/>
        <v/>
      </c>
      <c r="D172" s="502" t="str">
        <f t="shared" si="95"/>
        <v/>
      </c>
      <c r="E172" s="546"/>
      <c r="F172" s="547"/>
      <c r="G172" s="729"/>
      <c r="H172" s="729"/>
      <c r="I172" s="729"/>
      <c r="J172" s="729"/>
      <c r="K172" s="729"/>
      <c r="L172" s="729"/>
      <c r="M172" s="765"/>
      <c r="N172" s="758"/>
      <c r="O172" s="765"/>
      <c r="P172" s="758"/>
      <c r="Q172" s="1143"/>
      <c r="R172" s="1134"/>
      <c r="S172" s="775"/>
      <c r="T172" s="729"/>
      <c r="U172" s="775"/>
      <c r="V172" s="779"/>
      <c r="W172" s="557"/>
      <c r="X172" s="788"/>
      <c r="Y172" s="543"/>
      <c r="Z172" s="281"/>
      <c r="AA172" s="281"/>
      <c r="AB172" s="281"/>
      <c r="AC172" s="281"/>
      <c r="AD172" s="492"/>
      <c r="AE172" s="527">
        <f t="shared" si="39"/>
        <v>0</v>
      </c>
      <c r="AF172" s="527">
        <f t="shared" si="96"/>
        <v>0</v>
      </c>
      <c r="AG172" s="527">
        <f t="shared" si="76"/>
        <v>0</v>
      </c>
      <c r="AH172" s="527">
        <f t="shared" si="77"/>
        <v>0</v>
      </c>
      <c r="AI172" s="527">
        <f t="shared" si="78"/>
        <v>0</v>
      </c>
      <c r="AJ172" s="527">
        <f t="shared" si="79"/>
        <v>999999999</v>
      </c>
      <c r="AK172" s="471"/>
      <c r="AL172" s="765"/>
      <c r="AM172" s="758"/>
      <c r="AN172" s="281"/>
      <c r="AO172" s="775"/>
      <c r="AP172" s="775"/>
      <c r="AQ172" s="281"/>
      <c r="AR172" s="528"/>
      <c r="AS172" s="532"/>
      <c r="AT172" s="524" t="str">
        <f t="shared" si="80"/>
        <v/>
      </c>
      <c r="AU172" s="311">
        <f t="shared" si="81"/>
        <v>0</v>
      </c>
      <c r="AV172" s="288">
        <f t="shared" si="97"/>
        <v>0</v>
      </c>
      <c r="AW172" s="290">
        <f>IF(ISERROR($AU172*'Utility Admin'!$E$4+$AV172*'Utility Admin'!$F$4),0,$AU172*'Utility Admin'!$E$4+$AV172*'Utility Admin'!$F$4)</f>
        <v>0</v>
      </c>
      <c r="AX172" s="323" t="str">
        <f t="shared" si="82"/>
        <v/>
      </c>
      <c r="AY172" s="322" t="str">
        <f t="shared" si="23"/>
        <v/>
      </c>
      <c r="AZ172" s="319">
        <f>Baselines!$CJ416</f>
        <v>0</v>
      </c>
      <c r="BA172" s="735">
        <f>Baselines!$CK416</f>
        <v>0</v>
      </c>
      <c r="BB172" s="839">
        <f>Baselines!$CM416</f>
        <v>0</v>
      </c>
      <c r="BC172" s="466">
        <f t="shared" si="83"/>
        <v>0</v>
      </c>
      <c r="BD172" s="464">
        <f t="shared" si="98"/>
        <v>0</v>
      </c>
      <c r="BE172" s="755">
        <f t="shared" si="84"/>
        <v>0</v>
      </c>
      <c r="BF172" s="755">
        <f t="shared" si="99"/>
        <v>0</v>
      </c>
      <c r="BG172" s="466">
        <f t="shared" si="85"/>
        <v>0</v>
      </c>
      <c r="BH172" s="464">
        <f t="shared" si="86"/>
        <v>0</v>
      </c>
      <c r="BI172" s="755">
        <f t="shared" si="87"/>
        <v>0</v>
      </c>
      <c r="BJ172" s="755">
        <f t="shared" si="100"/>
        <v>0</v>
      </c>
      <c r="BK172" s="333">
        <f>IF(OR($C172&lt;&gt;"Early Retirement",$H172=""),0,IF(AND($G172&lt;&gt;"Air Cooled Chiller",$G172&lt;&gt;"Water Cooled Chiller"),VLOOKUP($H172,'Early Retirement'!$CI$6:$CL$33,2,FALSE),IF($J172&lt;&gt;"Centrifugal",VLOOKUP($H172,'Early Retirement'!$CI$6:$CL$33,3,FALSE),IF($J172="Centrifugal",VLOOKUP($H172,'Early Retirement'!$CI$6:$CL$33,4,FALSE),""))))</f>
        <v>0</v>
      </c>
      <c r="BL172" s="450">
        <f t="shared" si="88"/>
        <v>0</v>
      </c>
      <c r="BM172" s="553">
        <f>IFERROR('Utility Admin'!$I$4*((1+'Utility Admin'!$G$4)/('Utility Admin'!$H$4-'Utility Admin'!$G$4))*(1-((1+'Utility Admin'!$G$4)/(1+'Utility Admin'!$H$4))^$BK172)*$BG172,0)</f>
        <v>0</v>
      </c>
      <c r="BN172" s="553">
        <f>IFERROR('Utility Admin'!$I$4*((1+'Utility Admin'!$G$4)/('Utility Admin'!$H$4-'Utility Admin'!$G$4))*(1-((1+'Utility Admin'!$G$4)/(1+'Utility Admin'!$H$4))^$BL172)*((1+'Utility Admin'!$G$4)^$BK172/(1+'Utility Admin'!$H$4)^$BK172)*$BC172,0)</f>
        <v>0</v>
      </c>
      <c r="BO172" s="553">
        <f t="shared" si="27"/>
        <v>0</v>
      </c>
      <c r="BP172" s="553">
        <f>IFERROR('Utility Admin'!$J$4*((1+'Utility Admin'!$G$4)/('Utility Admin'!$H$4-'Utility Admin'!$G$4))*(1-((1+'Utility Admin'!$G$4)/(1+'Utility Admin'!$H$4))^$BK172)*$BJ172,0)</f>
        <v>0</v>
      </c>
      <c r="BQ172" s="553">
        <f>IFERROR('Utility Admin'!$J$4*((1+'Utility Admin'!$G$4)/('Utility Admin'!$H$4-'Utility Admin'!$G$4))*(1-((1+'Utility Admin'!$G$4)/(1+'Utility Admin'!$H$4))^$BL172)*((1+'Utility Admin'!$G$4)^$BK172/(1+'Utility Admin'!$H$4)^$BK172)*$BF172,0)</f>
        <v>0</v>
      </c>
      <c r="BR172" s="553">
        <f t="shared" si="28"/>
        <v>0</v>
      </c>
      <c r="BS172" s="553">
        <f>IFERROR('Utility Admin'!$I$4*((1+'Utility Admin'!$G$4)/('Utility Admin'!$H$4-'Utility Admin'!$G$4))*(1-((1+'Utility Admin'!$G$4)/(1+'Utility Admin'!$H$4))^$AT172),0)</f>
        <v>0</v>
      </c>
      <c r="BT172" s="553">
        <f>IFERROR('Utility Admin'!$J$4*((1+'Utility Admin'!$G$4)/('Utility Admin'!$H$4-'Utility Admin'!$G$4))*(1-((1+'Utility Admin'!$G$4)/(1+'Utility Admin'!$H$4))^$AT172),0)</f>
        <v>0</v>
      </c>
      <c r="BU172" s="459">
        <f t="shared" si="101"/>
        <v>0</v>
      </c>
      <c r="BV172" s="462">
        <f t="shared" si="102"/>
        <v>0</v>
      </c>
      <c r="BW172" s="219" t="str">
        <f t="shared" si="89"/>
        <v/>
      </c>
      <c r="BX172" s="250" t="str">
        <f t="shared" si="103"/>
        <v/>
      </c>
      <c r="BY172" s="250" t="str">
        <f t="shared" si="90"/>
        <v/>
      </c>
      <c r="BZ172" s="184">
        <f t="shared" si="104"/>
        <v>0</v>
      </c>
      <c r="CA172" s="693">
        <f t="shared" si="105"/>
        <v>0</v>
      </c>
      <c r="CB172" s="836">
        <f t="shared" si="106"/>
        <v>0</v>
      </c>
      <c r="CC172" s="693">
        <f>IF(AND($C172="Early Retirement",$H172&lt;&gt;"",$R172&lt;&gt;"",$T172&lt;&gt;""),$BZ172,Baselines!$CJ165)</f>
        <v>0</v>
      </c>
      <c r="CD172" s="693">
        <f>IF(AND($C172="Early Retirement",$H172&lt;&gt;"",$R172&lt;&gt;"",$T172&lt;&gt;""),$CA172,Baselines!$CK165)</f>
        <v>0</v>
      </c>
      <c r="CE172" s="182" t="str">
        <f>Baselines!$CL165</f>
        <v>kW/ton</v>
      </c>
      <c r="CF172" s="850" t="str">
        <f t="shared" si="91"/>
        <v/>
      </c>
      <c r="CG172" s="833">
        <f>IF(AND($C172="Early Retirement",$H172&lt;&gt;"",$R172&lt;&gt;"",$T172&lt;&gt;""),$CB172,IF(AND(Baselines!$CM165=0,OR($CL172="DX HP",$CL172="PTHP")),$BB172,Baselines!$CM165))</f>
        <v>0</v>
      </c>
      <c r="CH172" s="830" t="s">
        <v>567</v>
      </c>
      <c r="CI172" s="185" t="str">
        <f>IF(OR($C172="Replace-on-Burnout",$C172="New Construction"),$CT172,IF($BW172="","",VLOOKUP($D172,'Factor Tables'!$B$165:$H$192,MATCH($BW172,'Factor Tables'!$B$164:$H$164,0),FALSE)))</f>
        <v/>
      </c>
      <c r="CJ172" s="842" t="str">
        <f>IF(OR($C172="Replace-on-Burnout",$C172="New Construction"),$CU172,IF($BW172="","",IF($BW172="DX HP",VLOOKUP($D172,'Factor Tables'!$I$165:$Q$192,MATCH("DX HP Clg",'Factor Tables'!$I$164:$Q$164,0),FALSE),IF($BW172="PTHP",VLOOKUP($D172,'Factor Tables'!$I$165:$Q$192,MATCH("PTHP Clg",'Factor Tables'!$I$164:$Q$164,0),FALSE),IF(AND($BW172&lt;&gt;"DX HP",$BW172&lt;&gt;"PTHP"),VLOOKUP($D172,'Factor Tables'!$I$165:$Q$192,MATCH($BW172,'Factor Tables'!$I$164:$Q$164,0),FALSE),"")))))</f>
        <v/>
      </c>
      <c r="CK172" s="186" t="str">
        <f>IF(OR($C172="Replace-on-Burnout",$C172="New Construction",$CL172="DX HP",$CL172="PTHP"),$CV172,IF($BW172="","",IF($BW172="DX HP",VLOOKUP($D172,'Factor Tables'!$I$165:$Q$192,MATCH("DX HP Htg",'Factor Tables'!$I$164:$Q$164,0),FALSE),IF($BW172="PTHP",VLOOKUP($D172,'Factor Tables'!$I$165:$Q$192,MATCH("PTHP Htg",'Factor Tables'!$I$164:$Q$164,0),FALSE),0))))</f>
        <v/>
      </c>
      <c r="CL172" s="187" t="str">
        <f t="shared" si="92"/>
        <v/>
      </c>
      <c r="CM172" s="251" t="str">
        <f t="shared" si="93"/>
        <v/>
      </c>
      <c r="CN172" s="184">
        <f t="shared" si="107"/>
        <v>0</v>
      </c>
      <c r="CO172" s="693">
        <f t="shared" si="108"/>
        <v>0</v>
      </c>
      <c r="CP172" s="182" t="s">
        <v>46</v>
      </c>
      <c r="CQ172" s="852" t="str">
        <f t="shared" si="109"/>
        <v/>
      </c>
      <c r="CR172" s="833">
        <f t="shared" si="110"/>
        <v>0</v>
      </c>
      <c r="CS172" s="830" t="s">
        <v>567</v>
      </c>
      <c r="CT172" s="185" t="str">
        <f>IF($CL172="","",VLOOKUP($D172,'Factor Tables'!$B$165:$H$192,MATCH($CL172,'Factor Tables'!$B$164:$H$164,0),FALSE))</f>
        <v/>
      </c>
      <c r="CU172" s="842" t="str">
        <f>IF($CL172="","",IF(AND($CL172&lt;&gt;"DX HP",$CL172&lt;&gt;"PTHP"),VLOOKUP($D172,'Factor Tables'!$I$165:$Q$192,MATCH($CL172,'Factor Tables'!$I$164:$Q$164,0),FALSE),IF($CL172="DX HP",VLOOKUP($D172,'Factor Tables'!$I$165:$Q$192,MATCH("DX HP Clg",'Factor Tables'!$I$164:$Q$164,0),FALSE),IF($CL172="PTHP",VLOOKUP($D172,'Factor Tables'!$I$165:$Q$192,MATCH("PTHP Clg",'Factor Tables'!$I$164:$Q$164,0),FALSE),""))))</f>
        <v/>
      </c>
      <c r="CV172" s="186" t="str">
        <f>IF($CL172="","",IF(AND($CL172&lt;&gt;"DX HP",$CL172&lt;&gt;"PTHP"),0,IF($CL172="DX HP",VLOOKUP($D172,'Factor Tables'!$I$165:$Q$192,MATCH("DX HP Htg",'Factor Tables'!$I$164:$Q$164,0),FALSE),IF($CL172="PTHP",VLOOKUP($D172,'Factor Tables'!$I$165:$Q$192,MATCH("PTHP Htg",'Factor Tables'!$I$164:$Q$164,0),FALSE),""))))</f>
        <v/>
      </c>
      <c r="DD172" s="196" t="str">
        <f>IF(OR('Project Info'!$D$8="",$C12="",$D12=""),"",IF('Project Info'!$D$8="Weather Zone 5: El Paso",VLOOKUP($D12,$DI$9:$DL$37,MATCH($C12,$DI$9:$DL$9,0),FALSE),VLOOKUP($D12,$DE$9:$DH$37,MATCH($C12,$DE$9:$DH$9,0),FALSE)))</f>
        <v/>
      </c>
      <c r="DE172" s="426"/>
      <c r="DI172" s="425"/>
      <c r="DJ172" s="425"/>
      <c r="DK172" s="425"/>
      <c r="DL172" s="425"/>
      <c r="DM172" s="493" t="s">
        <v>478</v>
      </c>
    </row>
    <row r="173" spans="2:117" s="427" customFormat="1" ht="21.95" customHeight="1" x14ac:dyDescent="0.25">
      <c r="B173" s="432">
        <v>164</v>
      </c>
      <c r="C173" s="499" t="str">
        <f t="shared" si="94"/>
        <v/>
      </c>
      <c r="D173" s="403" t="str">
        <f t="shared" si="95"/>
        <v/>
      </c>
      <c r="E173" s="541"/>
      <c r="F173" s="785"/>
      <c r="G173" s="728"/>
      <c r="H173" s="728"/>
      <c r="I173" s="728"/>
      <c r="J173" s="728"/>
      <c r="K173" s="728"/>
      <c r="L173" s="728"/>
      <c r="M173" s="764"/>
      <c r="N173" s="728"/>
      <c r="O173" s="764"/>
      <c r="P173" s="728"/>
      <c r="Q173" s="1142"/>
      <c r="R173" s="1133"/>
      <c r="S173" s="778"/>
      <c r="T173" s="767"/>
      <c r="U173" s="778"/>
      <c r="V173" s="751"/>
      <c r="W173" s="556"/>
      <c r="X173" s="785"/>
      <c r="Y173" s="542"/>
      <c r="Z173" s="500"/>
      <c r="AA173" s="500"/>
      <c r="AB173" s="500"/>
      <c r="AC173" s="500"/>
      <c r="AD173" s="529"/>
      <c r="AE173" s="527">
        <f t="shared" si="39"/>
        <v>0</v>
      </c>
      <c r="AF173" s="527">
        <f t="shared" si="96"/>
        <v>0</v>
      </c>
      <c r="AG173" s="527">
        <f t="shared" si="76"/>
        <v>0</v>
      </c>
      <c r="AH173" s="527">
        <f t="shared" si="77"/>
        <v>0</v>
      </c>
      <c r="AI173" s="527">
        <f t="shared" si="78"/>
        <v>0</v>
      </c>
      <c r="AJ173" s="527">
        <f t="shared" si="79"/>
        <v>999999999</v>
      </c>
      <c r="AK173" s="530"/>
      <c r="AL173" s="776"/>
      <c r="AM173" s="777"/>
      <c r="AN173" s="500"/>
      <c r="AO173" s="778"/>
      <c r="AP173" s="778"/>
      <c r="AQ173" s="500"/>
      <c r="AR173" s="531"/>
      <c r="AS173" s="403"/>
      <c r="AT173" s="524" t="str">
        <f t="shared" si="80"/>
        <v/>
      </c>
      <c r="AU173" s="311">
        <f t="shared" si="81"/>
        <v>0</v>
      </c>
      <c r="AV173" s="288">
        <f t="shared" si="97"/>
        <v>0</v>
      </c>
      <c r="AW173" s="290">
        <f>IF(ISERROR($AU173*'Utility Admin'!$E$4+$AV173*'Utility Admin'!$F$4),0,$AU173*'Utility Admin'!$E$4+$AV173*'Utility Admin'!$F$4)</f>
        <v>0</v>
      </c>
      <c r="AX173" s="323" t="str">
        <f t="shared" si="82"/>
        <v/>
      </c>
      <c r="AY173" s="322" t="str">
        <f t="shared" si="23"/>
        <v/>
      </c>
      <c r="AZ173" s="319">
        <f>Baselines!$CJ417</f>
        <v>0</v>
      </c>
      <c r="BA173" s="735">
        <f>Baselines!$CK417</f>
        <v>0</v>
      </c>
      <c r="BB173" s="839">
        <f>Baselines!$CM417</f>
        <v>0</v>
      </c>
      <c r="BC173" s="466">
        <f t="shared" si="83"/>
        <v>0</v>
      </c>
      <c r="BD173" s="464">
        <f t="shared" si="98"/>
        <v>0</v>
      </c>
      <c r="BE173" s="755">
        <f t="shared" si="84"/>
        <v>0</v>
      </c>
      <c r="BF173" s="755">
        <f t="shared" si="99"/>
        <v>0</v>
      </c>
      <c r="BG173" s="466">
        <f t="shared" si="85"/>
        <v>0</v>
      </c>
      <c r="BH173" s="464">
        <f t="shared" si="86"/>
        <v>0</v>
      </c>
      <c r="BI173" s="755">
        <f t="shared" si="87"/>
        <v>0</v>
      </c>
      <c r="BJ173" s="755">
        <f t="shared" si="100"/>
        <v>0</v>
      </c>
      <c r="BK173" s="333">
        <f>IF(OR($C173&lt;&gt;"Early Retirement",$H173=""),0,IF(AND($G173&lt;&gt;"Air Cooled Chiller",$G173&lt;&gt;"Water Cooled Chiller"),VLOOKUP($H173,'Early Retirement'!$CI$6:$CL$33,2,FALSE),IF($J173&lt;&gt;"Centrifugal",VLOOKUP($H173,'Early Retirement'!$CI$6:$CL$33,3,FALSE),IF($J173="Centrifugal",VLOOKUP($H173,'Early Retirement'!$CI$6:$CL$33,4,FALSE),""))))</f>
        <v>0</v>
      </c>
      <c r="BL173" s="450">
        <f t="shared" si="88"/>
        <v>0</v>
      </c>
      <c r="BM173" s="553">
        <f>IFERROR('Utility Admin'!$I$4*((1+'Utility Admin'!$G$4)/('Utility Admin'!$H$4-'Utility Admin'!$G$4))*(1-((1+'Utility Admin'!$G$4)/(1+'Utility Admin'!$H$4))^$BK173)*$BG173,0)</f>
        <v>0</v>
      </c>
      <c r="BN173" s="553">
        <f>IFERROR('Utility Admin'!$I$4*((1+'Utility Admin'!$G$4)/('Utility Admin'!$H$4-'Utility Admin'!$G$4))*(1-((1+'Utility Admin'!$G$4)/(1+'Utility Admin'!$H$4))^$BL173)*((1+'Utility Admin'!$G$4)^$BK173/(1+'Utility Admin'!$H$4)^$BK173)*$BC173,0)</f>
        <v>0</v>
      </c>
      <c r="BO173" s="553">
        <f t="shared" si="27"/>
        <v>0</v>
      </c>
      <c r="BP173" s="553">
        <f>IFERROR('Utility Admin'!$J$4*((1+'Utility Admin'!$G$4)/('Utility Admin'!$H$4-'Utility Admin'!$G$4))*(1-((1+'Utility Admin'!$G$4)/(1+'Utility Admin'!$H$4))^$BK173)*$BJ173,0)</f>
        <v>0</v>
      </c>
      <c r="BQ173" s="553">
        <f>IFERROR('Utility Admin'!$J$4*((1+'Utility Admin'!$G$4)/('Utility Admin'!$H$4-'Utility Admin'!$G$4))*(1-((1+'Utility Admin'!$G$4)/(1+'Utility Admin'!$H$4))^$BL173)*((1+'Utility Admin'!$G$4)^$BK173/(1+'Utility Admin'!$H$4)^$BK173)*$BF173,0)</f>
        <v>0</v>
      </c>
      <c r="BR173" s="553">
        <f t="shared" si="28"/>
        <v>0</v>
      </c>
      <c r="BS173" s="553">
        <f>IFERROR('Utility Admin'!$I$4*((1+'Utility Admin'!$G$4)/('Utility Admin'!$H$4-'Utility Admin'!$G$4))*(1-((1+'Utility Admin'!$G$4)/(1+'Utility Admin'!$H$4))^$AT173),0)</f>
        <v>0</v>
      </c>
      <c r="BT173" s="553">
        <f>IFERROR('Utility Admin'!$J$4*((1+'Utility Admin'!$G$4)/('Utility Admin'!$H$4-'Utility Admin'!$G$4))*(1-((1+'Utility Admin'!$G$4)/(1+'Utility Admin'!$H$4))^$AT173),0)</f>
        <v>0</v>
      </c>
      <c r="BU173" s="459">
        <f t="shared" si="101"/>
        <v>0</v>
      </c>
      <c r="BV173" s="462">
        <f t="shared" si="102"/>
        <v>0</v>
      </c>
      <c r="BW173" s="219" t="str">
        <f t="shared" si="89"/>
        <v/>
      </c>
      <c r="BX173" s="250" t="str">
        <f t="shared" si="103"/>
        <v/>
      </c>
      <c r="BY173" s="250" t="str">
        <f t="shared" si="90"/>
        <v/>
      </c>
      <c r="BZ173" s="184">
        <f t="shared" si="104"/>
        <v>0</v>
      </c>
      <c r="CA173" s="693">
        <f t="shared" si="105"/>
        <v>0</v>
      </c>
      <c r="CB173" s="836">
        <f t="shared" si="106"/>
        <v>0</v>
      </c>
      <c r="CC173" s="693">
        <f>IF(AND($C173="Early Retirement",$H173&lt;&gt;"",$R173&lt;&gt;"",$T173&lt;&gt;""),$BZ173,Baselines!$CJ166)</f>
        <v>0</v>
      </c>
      <c r="CD173" s="693">
        <f>IF(AND($C173="Early Retirement",$H173&lt;&gt;"",$R173&lt;&gt;"",$T173&lt;&gt;""),$CA173,Baselines!$CK166)</f>
        <v>0</v>
      </c>
      <c r="CE173" s="182" t="str">
        <f>Baselines!$CL166</f>
        <v>kW/ton</v>
      </c>
      <c r="CF173" s="850" t="str">
        <f t="shared" si="91"/>
        <v/>
      </c>
      <c r="CG173" s="833">
        <f>IF(AND($C173="Early Retirement",$H173&lt;&gt;"",$R173&lt;&gt;"",$T173&lt;&gt;""),$CB173,IF(AND(Baselines!$CM166=0,OR($CL173="DX HP",$CL173="PTHP")),$BB173,Baselines!$CM166))</f>
        <v>0</v>
      </c>
      <c r="CH173" s="830" t="s">
        <v>567</v>
      </c>
      <c r="CI173" s="185" t="str">
        <f>IF(OR($C173="Replace-on-Burnout",$C173="New Construction"),$CT173,IF($BW173="","",VLOOKUP($D173,'Factor Tables'!$B$165:$H$192,MATCH($BW173,'Factor Tables'!$B$164:$H$164,0),FALSE)))</f>
        <v/>
      </c>
      <c r="CJ173" s="842" t="str">
        <f>IF(OR($C173="Replace-on-Burnout",$C173="New Construction"),$CU173,IF($BW173="","",IF($BW173="DX HP",VLOOKUP($D173,'Factor Tables'!$I$165:$Q$192,MATCH("DX HP Clg",'Factor Tables'!$I$164:$Q$164,0),FALSE),IF($BW173="PTHP",VLOOKUP($D173,'Factor Tables'!$I$165:$Q$192,MATCH("PTHP Clg",'Factor Tables'!$I$164:$Q$164,0),FALSE),IF(AND($BW173&lt;&gt;"DX HP",$BW173&lt;&gt;"PTHP"),VLOOKUP($D173,'Factor Tables'!$I$165:$Q$192,MATCH($BW173,'Factor Tables'!$I$164:$Q$164,0),FALSE),"")))))</f>
        <v/>
      </c>
      <c r="CK173" s="186" t="str">
        <f>IF(OR($C173="Replace-on-Burnout",$C173="New Construction",$CL173="DX HP",$CL173="PTHP"),$CV173,IF($BW173="","",IF($BW173="DX HP",VLOOKUP($D173,'Factor Tables'!$I$165:$Q$192,MATCH("DX HP Htg",'Factor Tables'!$I$164:$Q$164,0),FALSE),IF($BW173="PTHP",VLOOKUP($D173,'Factor Tables'!$I$165:$Q$192,MATCH("PTHP Htg",'Factor Tables'!$I$164:$Q$164,0),FALSE),0))))</f>
        <v/>
      </c>
      <c r="CL173" s="187" t="str">
        <f t="shared" si="92"/>
        <v/>
      </c>
      <c r="CM173" s="251" t="str">
        <f t="shared" si="93"/>
        <v/>
      </c>
      <c r="CN173" s="184">
        <f t="shared" si="107"/>
        <v>0</v>
      </c>
      <c r="CO173" s="693">
        <f t="shared" si="108"/>
        <v>0</v>
      </c>
      <c r="CP173" s="182" t="s">
        <v>46</v>
      </c>
      <c r="CQ173" s="852" t="str">
        <f t="shared" si="109"/>
        <v/>
      </c>
      <c r="CR173" s="833">
        <f t="shared" si="110"/>
        <v>0</v>
      </c>
      <c r="CS173" s="830" t="s">
        <v>567</v>
      </c>
      <c r="CT173" s="185" t="str">
        <f>IF($CL173="","",VLOOKUP($D173,'Factor Tables'!$B$165:$H$192,MATCH($CL173,'Factor Tables'!$B$164:$H$164,0),FALSE))</f>
        <v/>
      </c>
      <c r="CU173" s="842" t="str">
        <f>IF($CL173="","",IF(AND($CL173&lt;&gt;"DX HP",$CL173&lt;&gt;"PTHP"),VLOOKUP($D173,'Factor Tables'!$I$165:$Q$192,MATCH($CL173,'Factor Tables'!$I$164:$Q$164,0),FALSE),IF($CL173="DX HP",VLOOKUP($D173,'Factor Tables'!$I$165:$Q$192,MATCH("DX HP Clg",'Factor Tables'!$I$164:$Q$164,0),FALSE),IF($CL173="PTHP",VLOOKUP($D173,'Factor Tables'!$I$165:$Q$192,MATCH("PTHP Clg",'Factor Tables'!$I$164:$Q$164,0),FALSE),""))))</f>
        <v/>
      </c>
      <c r="CV173" s="186" t="str">
        <f>IF($CL173="","",IF(AND($CL173&lt;&gt;"DX HP",$CL173&lt;&gt;"PTHP"),0,IF($CL173="DX HP",VLOOKUP($D173,'Factor Tables'!$I$165:$Q$192,MATCH("DX HP Htg",'Factor Tables'!$I$164:$Q$164,0),FALSE),IF($CL173="PTHP",VLOOKUP($D173,'Factor Tables'!$I$165:$Q$192,MATCH("PTHP Htg",'Factor Tables'!$I$164:$Q$164,0),FALSE),""))))</f>
        <v/>
      </c>
      <c r="DD173" s="196" t="str">
        <f>IF(OR('Project Info'!$D$8="",$C13="",$D13=""),"",IF('Project Info'!$D$8="Weather Zone 5: El Paso",VLOOKUP($D13,$DI$9:$DL$37,MATCH($C13,$DI$9:$DL$9,0),FALSE),VLOOKUP($D13,$DE$9:$DH$37,MATCH($C13,$DE$9:$DH$9,0),FALSE)))</f>
        <v/>
      </c>
      <c r="DE173" s="426"/>
      <c r="DI173" s="425"/>
      <c r="DJ173" s="425"/>
      <c r="DK173" s="425"/>
      <c r="DL173" s="425"/>
      <c r="DM173" s="493" t="s">
        <v>478</v>
      </c>
    </row>
    <row r="174" spans="2:117" s="427" customFormat="1" ht="21.95" customHeight="1" x14ac:dyDescent="0.25">
      <c r="B174" s="431">
        <v>165</v>
      </c>
      <c r="C174" s="501" t="str">
        <f t="shared" si="94"/>
        <v/>
      </c>
      <c r="D174" s="502" t="str">
        <f t="shared" si="95"/>
        <v/>
      </c>
      <c r="E174" s="546"/>
      <c r="F174" s="547"/>
      <c r="G174" s="729"/>
      <c r="H174" s="729"/>
      <c r="I174" s="729"/>
      <c r="J174" s="729"/>
      <c r="K174" s="729"/>
      <c r="L174" s="729"/>
      <c r="M174" s="765"/>
      <c r="N174" s="758"/>
      <c r="O174" s="765"/>
      <c r="P174" s="758"/>
      <c r="Q174" s="1143"/>
      <c r="R174" s="1134"/>
      <c r="S174" s="775"/>
      <c r="T174" s="729"/>
      <c r="U174" s="775"/>
      <c r="V174" s="779"/>
      <c r="W174" s="557"/>
      <c r="X174" s="788"/>
      <c r="Y174" s="543"/>
      <c r="Z174" s="281"/>
      <c r="AA174" s="281"/>
      <c r="AB174" s="281"/>
      <c r="AC174" s="281"/>
      <c r="AD174" s="492"/>
      <c r="AE174" s="527">
        <f t="shared" si="39"/>
        <v>0</v>
      </c>
      <c r="AF174" s="527">
        <f t="shared" si="96"/>
        <v>0</v>
      </c>
      <c r="AG174" s="527">
        <f t="shared" si="76"/>
        <v>0</v>
      </c>
      <c r="AH174" s="527">
        <f t="shared" si="77"/>
        <v>0</v>
      </c>
      <c r="AI174" s="527">
        <f t="shared" si="78"/>
        <v>0</v>
      </c>
      <c r="AJ174" s="527">
        <f t="shared" si="79"/>
        <v>999999999</v>
      </c>
      <c r="AK174" s="471"/>
      <c r="AL174" s="765"/>
      <c r="AM174" s="758"/>
      <c r="AN174" s="281"/>
      <c r="AO174" s="775"/>
      <c r="AP174" s="775"/>
      <c r="AQ174" s="281"/>
      <c r="AR174" s="528"/>
      <c r="AS174" s="532"/>
      <c r="AT174" s="524" t="str">
        <f t="shared" si="80"/>
        <v/>
      </c>
      <c r="AU174" s="311">
        <f t="shared" si="81"/>
        <v>0</v>
      </c>
      <c r="AV174" s="288">
        <f t="shared" si="97"/>
        <v>0</v>
      </c>
      <c r="AW174" s="290">
        <f>IF(ISERROR($AU174*'Utility Admin'!$E$4+$AV174*'Utility Admin'!$F$4),0,$AU174*'Utility Admin'!$E$4+$AV174*'Utility Admin'!$F$4)</f>
        <v>0</v>
      </c>
      <c r="AX174" s="323" t="str">
        <f t="shared" si="82"/>
        <v/>
      </c>
      <c r="AY174" s="322" t="str">
        <f t="shared" si="23"/>
        <v/>
      </c>
      <c r="AZ174" s="319">
        <f>Baselines!$CJ418</f>
        <v>0</v>
      </c>
      <c r="BA174" s="735">
        <f>Baselines!$CK418</f>
        <v>0</v>
      </c>
      <c r="BB174" s="839">
        <f>Baselines!$CM418</f>
        <v>0</v>
      </c>
      <c r="BC174" s="466">
        <f t="shared" si="83"/>
        <v>0</v>
      </c>
      <c r="BD174" s="464">
        <f t="shared" si="98"/>
        <v>0</v>
      </c>
      <c r="BE174" s="755">
        <f t="shared" si="84"/>
        <v>0</v>
      </c>
      <c r="BF174" s="755">
        <f t="shared" si="99"/>
        <v>0</v>
      </c>
      <c r="BG174" s="466">
        <f t="shared" si="85"/>
        <v>0</v>
      </c>
      <c r="BH174" s="464">
        <f t="shared" si="86"/>
        <v>0</v>
      </c>
      <c r="BI174" s="755">
        <f t="shared" si="87"/>
        <v>0</v>
      </c>
      <c r="BJ174" s="755">
        <f t="shared" si="100"/>
        <v>0</v>
      </c>
      <c r="BK174" s="333">
        <f>IF(OR($C174&lt;&gt;"Early Retirement",$H174=""),0,IF(AND($G174&lt;&gt;"Air Cooled Chiller",$G174&lt;&gt;"Water Cooled Chiller"),VLOOKUP($H174,'Early Retirement'!$CI$6:$CL$33,2,FALSE),IF($J174&lt;&gt;"Centrifugal",VLOOKUP($H174,'Early Retirement'!$CI$6:$CL$33,3,FALSE),IF($J174="Centrifugal",VLOOKUP($H174,'Early Retirement'!$CI$6:$CL$33,4,FALSE),""))))</f>
        <v>0</v>
      </c>
      <c r="BL174" s="450">
        <f t="shared" si="88"/>
        <v>0</v>
      </c>
      <c r="BM174" s="553">
        <f>IFERROR('Utility Admin'!$I$4*((1+'Utility Admin'!$G$4)/('Utility Admin'!$H$4-'Utility Admin'!$G$4))*(1-((1+'Utility Admin'!$G$4)/(1+'Utility Admin'!$H$4))^$BK174)*$BG174,0)</f>
        <v>0</v>
      </c>
      <c r="BN174" s="553">
        <f>IFERROR('Utility Admin'!$I$4*((1+'Utility Admin'!$G$4)/('Utility Admin'!$H$4-'Utility Admin'!$G$4))*(1-((1+'Utility Admin'!$G$4)/(1+'Utility Admin'!$H$4))^$BL174)*((1+'Utility Admin'!$G$4)^$BK174/(1+'Utility Admin'!$H$4)^$BK174)*$BC174,0)</f>
        <v>0</v>
      </c>
      <c r="BO174" s="553">
        <f t="shared" si="27"/>
        <v>0</v>
      </c>
      <c r="BP174" s="553">
        <f>IFERROR('Utility Admin'!$J$4*((1+'Utility Admin'!$G$4)/('Utility Admin'!$H$4-'Utility Admin'!$G$4))*(1-((1+'Utility Admin'!$G$4)/(1+'Utility Admin'!$H$4))^$BK174)*$BJ174,0)</f>
        <v>0</v>
      </c>
      <c r="BQ174" s="553">
        <f>IFERROR('Utility Admin'!$J$4*((1+'Utility Admin'!$G$4)/('Utility Admin'!$H$4-'Utility Admin'!$G$4))*(1-((1+'Utility Admin'!$G$4)/(1+'Utility Admin'!$H$4))^$BL174)*((1+'Utility Admin'!$G$4)^$BK174/(1+'Utility Admin'!$H$4)^$BK174)*$BF174,0)</f>
        <v>0</v>
      </c>
      <c r="BR174" s="553">
        <f t="shared" si="28"/>
        <v>0</v>
      </c>
      <c r="BS174" s="553">
        <f>IFERROR('Utility Admin'!$I$4*((1+'Utility Admin'!$G$4)/('Utility Admin'!$H$4-'Utility Admin'!$G$4))*(1-((1+'Utility Admin'!$G$4)/(1+'Utility Admin'!$H$4))^$AT174),0)</f>
        <v>0</v>
      </c>
      <c r="BT174" s="553">
        <f>IFERROR('Utility Admin'!$J$4*((1+'Utility Admin'!$G$4)/('Utility Admin'!$H$4-'Utility Admin'!$G$4))*(1-((1+'Utility Admin'!$G$4)/(1+'Utility Admin'!$H$4))^$AT174),0)</f>
        <v>0</v>
      </c>
      <c r="BU174" s="459">
        <f t="shared" si="101"/>
        <v>0</v>
      </c>
      <c r="BV174" s="462">
        <f t="shared" si="102"/>
        <v>0</v>
      </c>
      <c r="BW174" s="219" t="str">
        <f t="shared" si="89"/>
        <v/>
      </c>
      <c r="BX174" s="250" t="str">
        <f t="shared" si="103"/>
        <v/>
      </c>
      <c r="BY174" s="250" t="str">
        <f t="shared" si="90"/>
        <v/>
      </c>
      <c r="BZ174" s="184">
        <f t="shared" si="104"/>
        <v>0</v>
      </c>
      <c r="CA174" s="693">
        <f t="shared" si="105"/>
        <v>0</v>
      </c>
      <c r="CB174" s="836">
        <f t="shared" si="106"/>
        <v>0</v>
      </c>
      <c r="CC174" s="693">
        <f>IF(AND($C174="Early Retirement",$H174&lt;&gt;"",$R174&lt;&gt;"",$T174&lt;&gt;""),$BZ174,Baselines!$CJ167)</f>
        <v>0</v>
      </c>
      <c r="CD174" s="693">
        <f>IF(AND($C174="Early Retirement",$H174&lt;&gt;"",$R174&lt;&gt;"",$T174&lt;&gt;""),$CA174,Baselines!$CK167)</f>
        <v>0</v>
      </c>
      <c r="CE174" s="182" t="str">
        <f>Baselines!$CL167</f>
        <v>kW/ton</v>
      </c>
      <c r="CF174" s="850" t="str">
        <f t="shared" si="91"/>
        <v/>
      </c>
      <c r="CG174" s="833">
        <f>IF(AND($C174="Early Retirement",$H174&lt;&gt;"",$R174&lt;&gt;"",$T174&lt;&gt;""),$CB174,IF(AND(Baselines!$CM167=0,OR($CL174="DX HP",$CL174="PTHP")),$BB174,Baselines!$CM167))</f>
        <v>0</v>
      </c>
      <c r="CH174" s="830" t="s">
        <v>567</v>
      </c>
      <c r="CI174" s="185" t="str">
        <f>IF(OR($C174="Replace-on-Burnout",$C174="New Construction"),$CT174,IF($BW174="","",VLOOKUP($D174,'Factor Tables'!$B$165:$H$192,MATCH($BW174,'Factor Tables'!$B$164:$H$164,0),FALSE)))</f>
        <v/>
      </c>
      <c r="CJ174" s="842" t="str">
        <f>IF(OR($C174="Replace-on-Burnout",$C174="New Construction"),$CU174,IF($BW174="","",IF($BW174="DX HP",VLOOKUP($D174,'Factor Tables'!$I$165:$Q$192,MATCH("DX HP Clg",'Factor Tables'!$I$164:$Q$164,0),FALSE),IF($BW174="PTHP",VLOOKUP($D174,'Factor Tables'!$I$165:$Q$192,MATCH("PTHP Clg",'Factor Tables'!$I$164:$Q$164,0),FALSE),IF(AND($BW174&lt;&gt;"DX HP",$BW174&lt;&gt;"PTHP"),VLOOKUP($D174,'Factor Tables'!$I$165:$Q$192,MATCH($BW174,'Factor Tables'!$I$164:$Q$164,0),FALSE),"")))))</f>
        <v/>
      </c>
      <c r="CK174" s="186" t="str">
        <f>IF(OR($C174="Replace-on-Burnout",$C174="New Construction",$CL174="DX HP",$CL174="PTHP"),$CV174,IF($BW174="","",IF($BW174="DX HP",VLOOKUP($D174,'Factor Tables'!$I$165:$Q$192,MATCH("DX HP Htg",'Factor Tables'!$I$164:$Q$164,0),FALSE),IF($BW174="PTHP",VLOOKUP($D174,'Factor Tables'!$I$165:$Q$192,MATCH("PTHP Htg",'Factor Tables'!$I$164:$Q$164,0),FALSE),0))))</f>
        <v/>
      </c>
      <c r="CL174" s="187" t="str">
        <f t="shared" si="92"/>
        <v/>
      </c>
      <c r="CM174" s="251" t="str">
        <f t="shared" si="93"/>
        <v/>
      </c>
      <c r="CN174" s="184">
        <f t="shared" si="107"/>
        <v>0</v>
      </c>
      <c r="CO174" s="693">
        <f t="shared" si="108"/>
        <v>0</v>
      </c>
      <c r="CP174" s="182" t="s">
        <v>46</v>
      </c>
      <c r="CQ174" s="852" t="str">
        <f t="shared" si="109"/>
        <v/>
      </c>
      <c r="CR174" s="833">
        <f t="shared" si="110"/>
        <v>0</v>
      </c>
      <c r="CS174" s="830" t="s">
        <v>567</v>
      </c>
      <c r="CT174" s="185" t="str">
        <f>IF($CL174="","",VLOOKUP($D174,'Factor Tables'!$B$165:$H$192,MATCH($CL174,'Factor Tables'!$B$164:$H$164,0),FALSE))</f>
        <v/>
      </c>
      <c r="CU174" s="842" t="str">
        <f>IF($CL174="","",IF(AND($CL174&lt;&gt;"DX HP",$CL174&lt;&gt;"PTHP"),VLOOKUP($D174,'Factor Tables'!$I$165:$Q$192,MATCH($CL174,'Factor Tables'!$I$164:$Q$164,0),FALSE),IF($CL174="DX HP",VLOOKUP($D174,'Factor Tables'!$I$165:$Q$192,MATCH("DX HP Clg",'Factor Tables'!$I$164:$Q$164,0),FALSE),IF($CL174="PTHP",VLOOKUP($D174,'Factor Tables'!$I$165:$Q$192,MATCH("PTHP Clg",'Factor Tables'!$I$164:$Q$164,0),FALSE),""))))</f>
        <v/>
      </c>
      <c r="CV174" s="186" t="str">
        <f>IF($CL174="","",IF(AND($CL174&lt;&gt;"DX HP",$CL174&lt;&gt;"PTHP"),0,IF($CL174="DX HP",VLOOKUP($D174,'Factor Tables'!$I$165:$Q$192,MATCH("DX HP Htg",'Factor Tables'!$I$164:$Q$164,0),FALSE),IF($CL174="PTHP",VLOOKUP($D174,'Factor Tables'!$I$165:$Q$192,MATCH("PTHP Htg",'Factor Tables'!$I$164:$Q$164,0),FALSE),""))))</f>
        <v/>
      </c>
      <c r="DD174" s="196" t="str">
        <f>IF(OR('Project Info'!$D$8="",$C14="",$D14=""),"",IF('Project Info'!$D$8="Weather Zone 5: El Paso",VLOOKUP($D14,$DI$9:$DL$37,MATCH($C14,$DI$9:$DL$9,0),FALSE),VLOOKUP($D14,$DE$9:$DH$37,MATCH($C14,$DE$9:$DH$9,0),FALSE)))</f>
        <v/>
      </c>
      <c r="DE174" s="426"/>
      <c r="DI174" s="425"/>
      <c r="DJ174" s="425"/>
      <c r="DK174" s="425"/>
      <c r="DL174" s="425"/>
      <c r="DM174" s="493" t="s">
        <v>478</v>
      </c>
    </row>
    <row r="175" spans="2:117" s="427" customFormat="1" ht="21.95" customHeight="1" x14ac:dyDescent="0.25">
      <c r="B175" s="432">
        <v>166</v>
      </c>
      <c r="C175" s="499" t="str">
        <f t="shared" si="94"/>
        <v/>
      </c>
      <c r="D175" s="403" t="str">
        <f t="shared" si="95"/>
        <v/>
      </c>
      <c r="E175" s="541"/>
      <c r="F175" s="785"/>
      <c r="G175" s="728"/>
      <c r="H175" s="728"/>
      <c r="I175" s="728"/>
      <c r="J175" s="728"/>
      <c r="K175" s="728"/>
      <c r="L175" s="728"/>
      <c r="M175" s="764"/>
      <c r="N175" s="728"/>
      <c r="O175" s="764"/>
      <c r="P175" s="728"/>
      <c r="Q175" s="1142"/>
      <c r="R175" s="1133"/>
      <c r="S175" s="778"/>
      <c r="T175" s="767"/>
      <c r="U175" s="778"/>
      <c r="V175" s="751"/>
      <c r="W175" s="556"/>
      <c r="X175" s="785"/>
      <c r="Y175" s="542"/>
      <c r="Z175" s="500"/>
      <c r="AA175" s="500"/>
      <c r="AB175" s="500"/>
      <c r="AC175" s="500"/>
      <c r="AD175" s="529"/>
      <c r="AE175" s="527">
        <f t="shared" si="39"/>
        <v>0</v>
      </c>
      <c r="AF175" s="527">
        <f t="shared" si="96"/>
        <v>0</v>
      </c>
      <c r="AG175" s="527">
        <f t="shared" si="76"/>
        <v>0</v>
      </c>
      <c r="AH175" s="527">
        <f t="shared" si="77"/>
        <v>0</v>
      </c>
      <c r="AI175" s="527">
        <f t="shared" si="78"/>
        <v>0</v>
      </c>
      <c r="AJ175" s="527">
        <f t="shared" si="79"/>
        <v>999999999</v>
      </c>
      <c r="AK175" s="530"/>
      <c r="AL175" s="776"/>
      <c r="AM175" s="777"/>
      <c r="AN175" s="500"/>
      <c r="AO175" s="778"/>
      <c r="AP175" s="778"/>
      <c r="AQ175" s="500"/>
      <c r="AR175" s="531"/>
      <c r="AS175" s="403"/>
      <c r="AT175" s="524" t="str">
        <f t="shared" si="80"/>
        <v/>
      </c>
      <c r="AU175" s="311">
        <f t="shared" si="81"/>
        <v>0</v>
      </c>
      <c r="AV175" s="288">
        <f t="shared" si="97"/>
        <v>0</v>
      </c>
      <c r="AW175" s="290">
        <f>IF(ISERROR($AU175*'Utility Admin'!$E$4+$AV175*'Utility Admin'!$F$4),0,$AU175*'Utility Admin'!$E$4+$AV175*'Utility Admin'!$F$4)</f>
        <v>0</v>
      </c>
      <c r="AX175" s="323" t="str">
        <f t="shared" si="82"/>
        <v/>
      </c>
      <c r="AY175" s="322" t="str">
        <f t="shared" si="23"/>
        <v/>
      </c>
      <c r="AZ175" s="319">
        <f>Baselines!$CJ419</f>
        <v>0</v>
      </c>
      <c r="BA175" s="735">
        <f>Baselines!$CK419</f>
        <v>0</v>
      </c>
      <c r="BB175" s="839">
        <f>Baselines!$CM419</f>
        <v>0</v>
      </c>
      <c r="BC175" s="466">
        <f t="shared" si="83"/>
        <v>0</v>
      </c>
      <c r="BD175" s="464">
        <f t="shared" si="98"/>
        <v>0</v>
      </c>
      <c r="BE175" s="755">
        <f t="shared" si="84"/>
        <v>0</v>
      </c>
      <c r="BF175" s="755">
        <f t="shared" si="99"/>
        <v>0</v>
      </c>
      <c r="BG175" s="466">
        <f t="shared" si="85"/>
        <v>0</v>
      </c>
      <c r="BH175" s="464">
        <f t="shared" si="86"/>
        <v>0</v>
      </c>
      <c r="BI175" s="755">
        <f t="shared" si="87"/>
        <v>0</v>
      </c>
      <c r="BJ175" s="755">
        <f t="shared" si="100"/>
        <v>0</v>
      </c>
      <c r="BK175" s="333">
        <f>IF(OR($C175&lt;&gt;"Early Retirement",$H175=""),0,IF(AND($G175&lt;&gt;"Air Cooled Chiller",$G175&lt;&gt;"Water Cooled Chiller"),VLOOKUP($H175,'Early Retirement'!$CI$6:$CL$33,2,FALSE),IF($J175&lt;&gt;"Centrifugal",VLOOKUP($H175,'Early Retirement'!$CI$6:$CL$33,3,FALSE),IF($J175="Centrifugal",VLOOKUP($H175,'Early Retirement'!$CI$6:$CL$33,4,FALSE),""))))</f>
        <v>0</v>
      </c>
      <c r="BL175" s="450">
        <f t="shared" si="88"/>
        <v>0</v>
      </c>
      <c r="BM175" s="553">
        <f>IFERROR('Utility Admin'!$I$4*((1+'Utility Admin'!$G$4)/('Utility Admin'!$H$4-'Utility Admin'!$G$4))*(1-((1+'Utility Admin'!$G$4)/(1+'Utility Admin'!$H$4))^$BK175)*$BG175,0)</f>
        <v>0</v>
      </c>
      <c r="BN175" s="553">
        <f>IFERROR('Utility Admin'!$I$4*((1+'Utility Admin'!$G$4)/('Utility Admin'!$H$4-'Utility Admin'!$G$4))*(1-((1+'Utility Admin'!$G$4)/(1+'Utility Admin'!$H$4))^$BL175)*((1+'Utility Admin'!$G$4)^$BK175/(1+'Utility Admin'!$H$4)^$BK175)*$BC175,0)</f>
        <v>0</v>
      </c>
      <c r="BO175" s="553">
        <f t="shared" si="27"/>
        <v>0</v>
      </c>
      <c r="BP175" s="553">
        <f>IFERROR('Utility Admin'!$J$4*((1+'Utility Admin'!$G$4)/('Utility Admin'!$H$4-'Utility Admin'!$G$4))*(1-((1+'Utility Admin'!$G$4)/(1+'Utility Admin'!$H$4))^$BK175)*$BJ175,0)</f>
        <v>0</v>
      </c>
      <c r="BQ175" s="553">
        <f>IFERROR('Utility Admin'!$J$4*((1+'Utility Admin'!$G$4)/('Utility Admin'!$H$4-'Utility Admin'!$G$4))*(1-((1+'Utility Admin'!$G$4)/(1+'Utility Admin'!$H$4))^$BL175)*((1+'Utility Admin'!$G$4)^$BK175/(1+'Utility Admin'!$H$4)^$BK175)*$BF175,0)</f>
        <v>0</v>
      </c>
      <c r="BR175" s="553">
        <f t="shared" si="28"/>
        <v>0</v>
      </c>
      <c r="BS175" s="553">
        <f>IFERROR('Utility Admin'!$I$4*((1+'Utility Admin'!$G$4)/('Utility Admin'!$H$4-'Utility Admin'!$G$4))*(1-((1+'Utility Admin'!$G$4)/(1+'Utility Admin'!$H$4))^$AT175),0)</f>
        <v>0</v>
      </c>
      <c r="BT175" s="553">
        <f>IFERROR('Utility Admin'!$J$4*((1+'Utility Admin'!$G$4)/('Utility Admin'!$H$4-'Utility Admin'!$G$4))*(1-((1+'Utility Admin'!$G$4)/(1+'Utility Admin'!$H$4))^$AT175),0)</f>
        <v>0</v>
      </c>
      <c r="BU175" s="459">
        <f t="shared" si="101"/>
        <v>0</v>
      </c>
      <c r="BV175" s="462">
        <f t="shared" si="102"/>
        <v>0</v>
      </c>
      <c r="BW175" s="219" t="str">
        <f t="shared" si="89"/>
        <v/>
      </c>
      <c r="BX175" s="250" t="str">
        <f t="shared" si="103"/>
        <v/>
      </c>
      <c r="BY175" s="250" t="str">
        <f t="shared" si="90"/>
        <v/>
      </c>
      <c r="BZ175" s="184">
        <f t="shared" si="104"/>
        <v>0</v>
      </c>
      <c r="CA175" s="693">
        <f t="shared" si="105"/>
        <v>0</v>
      </c>
      <c r="CB175" s="836">
        <f t="shared" si="106"/>
        <v>0</v>
      </c>
      <c r="CC175" s="693">
        <f>IF(AND($C175="Early Retirement",$H175&lt;&gt;"",$R175&lt;&gt;"",$T175&lt;&gt;""),$BZ175,Baselines!$CJ168)</f>
        <v>0</v>
      </c>
      <c r="CD175" s="693">
        <f>IF(AND($C175="Early Retirement",$H175&lt;&gt;"",$R175&lt;&gt;"",$T175&lt;&gt;""),$CA175,Baselines!$CK168)</f>
        <v>0</v>
      </c>
      <c r="CE175" s="182" t="str">
        <f>Baselines!$CL168</f>
        <v>kW/ton</v>
      </c>
      <c r="CF175" s="850" t="str">
        <f t="shared" si="91"/>
        <v/>
      </c>
      <c r="CG175" s="833">
        <f>IF(AND($C175="Early Retirement",$H175&lt;&gt;"",$R175&lt;&gt;"",$T175&lt;&gt;""),$CB175,IF(AND(Baselines!$CM168=0,OR($CL175="DX HP",$CL175="PTHP")),$BB175,Baselines!$CM168))</f>
        <v>0</v>
      </c>
      <c r="CH175" s="830" t="s">
        <v>567</v>
      </c>
      <c r="CI175" s="185" t="str">
        <f>IF(OR($C175="Replace-on-Burnout",$C175="New Construction"),$CT175,IF($BW175="","",VLOOKUP($D175,'Factor Tables'!$B$165:$H$192,MATCH($BW175,'Factor Tables'!$B$164:$H$164,0),FALSE)))</f>
        <v/>
      </c>
      <c r="CJ175" s="842" t="str">
        <f>IF(OR($C175="Replace-on-Burnout",$C175="New Construction"),$CU175,IF($BW175="","",IF($BW175="DX HP",VLOOKUP($D175,'Factor Tables'!$I$165:$Q$192,MATCH("DX HP Clg",'Factor Tables'!$I$164:$Q$164,0),FALSE),IF($BW175="PTHP",VLOOKUP($D175,'Factor Tables'!$I$165:$Q$192,MATCH("PTHP Clg",'Factor Tables'!$I$164:$Q$164,0),FALSE),IF(AND($BW175&lt;&gt;"DX HP",$BW175&lt;&gt;"PTHP"),VLOOKUP($D175,'Factor Tables'!$I$165:$Q$192,MATCH($BW175,'Factor Tables'!$I$164:$Q$164,0),FALSE),"")))))</f>
        <v/>
      </c>
      <c r="CK175" s="186" t="str">
        <f>IF(OR($C175="Replace-on-Burnout",$C175="New Construction",$CL175="DX HP",$CL175="PTHP"),$CV175,IF($BW175="","",IF($BW175="DX HP",VLOOKUP($D175,'Factor Tables'!$I$165:$Q$192,MATCH("DX HP Htg",'Factor Tables'!$I$164:$Q$164,0),FALSE),IF($BW175="PTHP",VLOOKUP($D175,'Factor Tables'!$I$165:$Q$192,MATCH("PTHP Htg",'Factor Tables'!$I$164:$Q$164,0),FALSE),0))))</f>
        <v/>
      </c>
      <c r="CL175" s="187" t="str">
        <f t="shared" si="92"/>
        <v/>
      </c>
      <c r="CM175" s="251" t="str">
        <f t="shared" si="93"/>
        <v/>
      </c>
      <c r="CN175" s="184">
        <f t="shared" si="107"/>
        <v>0</v>
      </c>
      <c r="CO175" s="693">
        <f t="shared" si="108"/>
        <v>0</v>
      </c>
      <c r="CP175" s="182" t="s">
        <v>46</v>
      </c>
      <c r="CQ175" s="852" t="str">
        <f t="shared" si="109"/>
        <v/>
      </c>
      <c r="CR175" s="833">
        <f t="shared" si="110"/>
        <v>0</v>
      </c>
      <c r="CS175" s="830" t="s">
        <v>567</v>
      </c>
      <c r="CT175" s="185" t="str">
        <f>IF($CL175="","",VLOOKUP($D175,'Factor Tables'!$B$165:$H$192,MATCH($CL175,'Factor Tables'!$B$164:$H$164,0),FALSE))</f>
        <v/>
      </c>
      <c r="CU175" s="842" t="str">
        <f>IF($CL175="","",IF(AND($CL175&lt;&gt;"DX HP",$CL175&lt;&gt;"PTHP"),VLOOKUP($D175,'Factor Tables'!$I$165:$Q$192,MATCH($CL175,'Factor Tables'!$I$164:$Q$164,0),FALSE),IF($CL175="DX HP",VLOOKUP($D175,'Factor Tables'!$I$165:$Q$192,MATCH("DX HP Clg",'Factor Tables'!$I$164:$Q$164,0),FALSE),IF($CL175="PTHP",VLOOKUP($D175,'Factor Tables'!$I$165:$Q$192,MATCH("PTHP Clg",'Factor Tables'!$I$164:$Q$164,0),FALSE),""))))</f>
        <v/>
      </c>
      <c r="CV175" s="186" t="str">
        <f>IF($CL175="","",IF(AND($CL175&lt;&gt;"DX HP",$CL175&lt;&gt;"PTHP"),0,IF($CL175="DX HP",VLOOKUP($D175,'Factor Tables'!$I$165:$Q$192,MATCH("DX HP Htg",'Factor Tables'!$I$164:$Q$164,0),FALSE),IF($CL175="PTHP",VLOOKUP($D175,'Factor Tables'!$I$165:$Q$192,MATCH("PTHP Htg",'Factor Tables'!$I$164:$Q$164,0),FALSE),""))))</f>
        <v/>
      </c>
      <c r="DD175" s="196" t="str">
        <f>IF(OR('Project Info'!$D$8="",$C15="",$D15=""),"",IF('Project Info'!$D$8="Weather Zone 5: El Paso",VLOOKUP($D15,$DI$9:$DL$37,MATCH($C15,$DI$9:$DL$9,0),FALSE),VLOOKUP($D15,$DE$9:$DH$37,MATCH($C15,$DE$9:$DH$9,0),FALSE)))</f>
        <v/>
      </c>
      <c r="DE175" s="426"/>
      <c r="DI175" s="425"/>
      <c r="DJ175" s="425"/>
      <c r="DK175" s="425"/>
      <c r="DL175" s="425"/>
      <c r="DM175" s="493" t="s">
        <v>478</v>
      </c>
    </row>
    <row r="176" spans="2:117" s="427" customFormat="1" ht="21.95" customHeight="1" x14ac:dyDescent="0.25">
      <c r="B176" s="431">
        <v>167</v>
      </c>
      <c r="C176" s="501" t="str">
        <f t="shared" si="94"/>
        <v/>
      </c>
      <c r="D176" s="502" t="str">
        <f t="shared" si="95"/>
        <v/>
      </c>
      <c r="E176" s="546"/>
      <c r="F176" s="547"/>
      <c r="G176" s="729"/>
      <c r="H176" s="729"/>
      <c r="I176" s="729"/>
      <c r="J176" s="729"/>
      <c r="K176" s="729"/>
      <c r="L176" s="729"/>
      <c r="M176" s="765"/>
      <c r="N176" s="758"/>
      <c r="O176" s="765"/>
      <c r="P176" s="758"/>
      <c r="Q176" s="1143"/>
      <c r="R176" s="1134"/>
      <c r="S176" s="775"/>
      <c r="T176" s="729"/>
      <c r="U176" s="775"/>
      <c r="V176" s="779"/>
      <c r="W176" s="557"/>
      <c r="X176" s="788"/>
      <c r="Y176" s="543"/>
      <c r="Z176" s="281"/>
      <c r="AA176" s="281"/>
      <c r="AB176" s="281"/>
      <c r="AC176" s="281"/>
      <c r="AD176" s="492"/>
      <c r="AE176" s="527">
        <f t="shared" si="39"/>
        <v>0</v>
      </c>
      <c r="AF176" s="527">
        <f t="shared" si="96"/>
        <v>0</v>
      </c>
      <c r="AG176" s="527">
        <f t="shared" si="76"/>
        <v>0</v>
      </c>
      <c r="AH176" s="527">
        <f t="shared" si="77"/>
        <v>0</v>
      </c>
      <c r="AI176" s="527">
        <f t="shared" si="78"/>
        <v>0</v>
      </c>
      <c r="AJ176" s="527">
        <f t="shared" si="79"/>
        <v>999999999</v>
      </c>
      <c r="AK176" s="471"/>
      <c r="AL176" s="765"/>
      <c r="AM176" s="758"/>
      <c r="AN176" s="281"/>
      <c r="AO176" s="775"/>
      <c r="AP176" s="775"/>
      <c r="AQ176" s="281"/>
      <c r="AR176" s="528"/>
      <c r="AS176" s="532"/>
      <c r="AT176" s="524" t="str">
        <f t="shared" si="80"/>
        <v/>
      </c>
      <c r="AU176" s="311">
        <f t="shared" si="81"/>
        <v>0</v>
      </c>
      <c r="AV176" s="288">
        <f t="shared" si="97"/>
        <v>0</v>
      </c>
      <c r="AW176" s="290">
        <f>IF(ISERROR($AU176*'Utility Admin'!$E$4+$AV176*'Utility Admin'!$F$4),0,$AU176*'Utility Admin'!$E$4+$AV176*'Utility Admin'!$F$4)</f>
        <v>0</v>
      </c>
      <c r="AX176" s="323" t="str">
        <f t="shared" si="82"/>
        <v/>
      </c>
      <c r="AY176" s="322" t="str">
        <f t="shared" si="23"/>
        <v/>
      </c>
      <c r="AZ176" s="319">
        <f>Baselines!$CJ420</f>
        <v>0</v>
      </c>
      <c r="BA176" s="735">
        <f>Baselines!$CK420</f>
        <v>0</v>
      </c>
      <c r="BB176" s="839">
        <f>Baselines!$CM420</f>
        <v>0</v>
      </c>
      <c r="BC176" s="466">
        <f t="shared" si="83"/>
        <v>0</v>
      </c>
      <c r="BD176" s="464">
        <f t="shared" si="98"/>
        <v>0</v>
      </c>
      <c r="BE176" s="755">
        <f t="shared" si="84"/>
        <v>0</v>
      </c>
      <c r="BF176" s="755">
        <f t="shared" si="99"/>
        <v>0</v>
      </c>
      <c r="BG176" s="466">
        <f t="shared" si="85"/>
        <v>0</v>
      </c>
      <c r="BH176" s="464">
        <f t="shared" si="86"/>
        <v>0</v>
      </c>
      <c r="BI176" s="755">
        <f t="shared" si="87"/>
        <v>0</v>
      </c>
      <c r="BJ176" s="755">
        <f t="shared" si="100"/>
        <v>0</v>
      </c>
      <c r="BK176" s="333">
        <f>IF(OR($C176&lt;&gt;"Early Retirement",$H176=""),0,IF(AND($G176&lt;&gt;"Air Cooled Chiller",$G176&lt;&gt;"Water Cooled Chiller"),VLOOKUP($H176,'Early Retirement'!$CI$6:$CL$33,2,FALSE),IF($J176&lt;&gt;"Centrifugal",VLOOKUP($H176,'Early Retirement'!$CI$6:$CL$33,3,FALSE),IF($J176="Centrifugal",VLOOKUP($H176,'Early Retirement'!$CI$6:$CL$33,4,FALSE),""))))</f>
        <v>0</v>
      </c>
      <c r="BL176" s="450">
        <f t="shared" si="88"/>
        <v>0</v>
      </c>
      <c r="BM176" s="553">
        <f>IFERROR('Utility Admin'!$I$4*((1+'Utility Admin'!$G$4)/('Utility Admin'!$H$4-'Utility Admin'!$G$4))*(1-((1+'Utility Admin'!$G$4)/(1+'Utility Admin'!$H$4))^$BK176)*$BG176,0)</f>
        <v>0</v>
      </c>
      <c r="BN176" s="553">
        <f>IFERROR('Utility Admin'!$I$4*((1+'Utility Admin'!$G$4)/('Utility Admin'!$H$4-'Utility Admin'!$G$4))*(1-((1+'Utility Admin'!$G$4)/(1+'Utility Admin'!$H$4))^$BL176)*((1+'Utility Admin'!$G$4)^$BK176/(1+'Utility Admin'!$H$4)^$BK176)*$BC176,0)</f>
        <v>0</v>
      </c>
      <c r="BO176" s="553">
        <f t="shared" si="27"/>
        <v>0</v>
      </c>
      <c r="BP176" s="553">
        <f>IFERROR('Utility Admin'!$J$4*((1+'Utility Admin'!$G$4)/('Utility Admin'!$H$4-'Utility Admin'!$G$4))*(1-((1+'Utility Admin'!$G$4)/(1+'Utility Admin'!$H$4))^$BK176)*$BJ176,0)</f>
        <v>0</v>
      </c>
      <c r="BQ176" s="553">
        <f>IFERROR('Utility Admin'!$J$4*((1+'Utility Admin'!$G$4)/('Utility Admin'!$H$4-'Utility Admin'!$G$4))*(1-((1+'Utility Admin'!$G$4)/(1+'Utility Admin'!$H$4))^$BL176)*((1+'Utility Admin'!$G$4)^$BK176/(1+'Utility Admin'!$H$4)^$BK176)*$BF176,0)</f>
        <v>0</v>
      </c>
      <c r="BR176" s="553">
        <f t="shared" si="28"/>
        <v>0</v>
      </c>
      <c r="BS176" s="553">
        <f>IFERROR('Utility Admin'!$I$4*((1+'Utility Admin'!$G$4)/('Utility Admin'!$H$4-'Utility Admin'!$G$4))*(1-((1+'Utility Admin'!$G$4)/(1+'Utility Admin'!$H$4))^$AT176),0)</f>
        <v>0</v>
      </c>
      <c r="BT176" s="553">
        <f>IFERROR('Utility Admin'!$J$4*((1+'Utility Admin'!$G$4)/('Utility Admin'!$H$4-'Utility Admin'!$G$4))*(1-((1+'Utility Admin'!$G$4)/(1+'Utility Admin'!$H$4))^$AT176),0)</f>
        <v>0</v>
      </c>
      <c r="BU176" s="459">
        <f t="shared" si="101"/>
        <v>0</v>
      </c>
      <c r="BV176" s="462">
        <f t="shared" si="102"/>
        <v>0</v>
      </c>
      <c r="BW176" s="219" t="str">
        <f t="shared" si="89"/>
        <v/>
      </c>
      <c r="BX176" s="250" t="str">
        <f t="shared" si="103"/>
        <v/>
      </c>
      <c r="BY176" s="250" t="str">
        <f t="shared" si="90"/>
        <v/>
      </c>
      <c r="BZ176" s="184">
        <f t="shared" si="104"/>
        <v>0</v>
      </c>
      <c r="CA176" s="693">
        <f t="shared" si="105"/>
        <v>0</v>
      </c>
      <c r="CB176" s="836">
        <f t="shared" si="106"/>
        <v>0</v>
      </c>
      <c r="CC176" s="693">
        <f>IF(AND($C176="Early Retirement",$H176&lt;&gt;"",$R176&lt;&gt;"",$T176&lt;&gt;""),$BZ176,Baselines!$CJ169)</f>
        <v>0</v>
      </c>
      <c r="CD176" s="693">
        <f>IF(AND($C176="Early Retirement",$H176&lt;&gt;"",$R176&lt;&gt;"",$T176&lt;&gt;""),$CA176,Baselines!$CK169)</f>
        <v>0</v>
      </c>
      <c r="CE176" s="182" t="str">
        <f>Baselines!$CL169</f>
        <v>kW/ton</v>
      </c>
      <c r="CF176" s="850" t="str">
        <f t="shared" si="91"/>
        <v/>
      </c>
      <c r="CG176" s="833">
        <f>IF(AND($C176="Early Retirement",$H176&lt;&gt;"",$R176&lt;&gt;"",$T176&lt;&gt;""),$CB176,IF(AND(Baselines!$CM169=0,OR($CL176="DX HP",$CL176="PTHP")),$BB176,Baselines!$CM169))</f>
        <v>0</v>
      </c>
      <c r="CH176" s="830" t="s">
        <v>567</v>
      </c>
      <c r="CI176" s="185" t="str">
        <f>IF(OR($C176="Replace-on-Burnout",$C176="New Construction"),$CT176,IF($BW176="","",VLOOKUP($D176,'Factor Tables'!$B$165:$H$192,MATCH($BW176,'Factor Tables'!$B$164:$H$164,0),FALSE)))</f>
        <v/>
      </c>
      <c r="CJ176" s="842" t="str">
        <f>IF(OR($C176="Replace-on-Burnout",$C176="New Construction"),$CU176,IF($BW176="","",IF($BW176="DX HP",VLOOKUP($D176,'Factor Tables'!$I$165:$Q$192,MATCH("DX HP Clg",'Factor Tables'!$I$164:$Q$164,0),FALSE),IF($BW176="PTHP",VLOOKUP($D176,'Factor Tables'!$I$165:$Q$192,MATCH("PTHP Clg",'Factor Tables'!$I$164:$Q$164,0),FALSE),IF(AND($BW176&lt;&gt;"DX HP",$BW176&lt;&gt;"PTHP"),VLOOKUP($D176,'Factor Tables'!$I$165:$Q$192,MATCH($BW176,'Factor Tables'!$I$164:$Q$164,0),FALSE),"")))))</f>
        <v/>
      </c>
      <c r="CK176" s="186" t="str">
        <f>IF(OR($C176="Replace-on-Burnout",$C176="New Construction",$CL176="DX HP",$CL176="PTHP"),$CV176,IF($BW176="","",IF($BW176="DX HP",VLOOKUP($D176,'Factor Tables'!$I$165:$Q$192,MATCH("DX HP Htg",'Factor Tables'!$I$164:$Q$164,0),FALSE),IF($BW176="PTHP",VLOOKUP($D176,'Factor Tables'!$I$165:$Q$192,MATCH("PTHP Htg",'Factor Tables'!$I$164:$Q$164,0),FALSE),0))))</f>
        <v/>
      </c>
      <c r="CL176" s="187" t="str">
        <f t="shared" si="92"/>
        <v/>
      </c>
      <c r="CM176" s="251" t="str">
        <f t="shared" si="93"/>
        <v/>
      </c>
      <c r="CN176" s="184">
        <f t="shared" si="107"/>
        <v>0</v>
      </c>
      <c r="CO176" s="693">
        <f t="shared" si="108"/>
        <v>0</v>
      </c>
      <c r="CP176" s="182" t="s">
        <v>46</v>
      </c>
      <c r="CQ176" s="852" t="str">
        <f t="shared" si="109"/>
        <v/>
      </c>
      <c r="CR176" s="833">
        <f t="shared" si="110"/>
        <v>0</v>
      </c>
      <c r="CS176" s="830" t="s">
        <v>567</v>
      </c>
      <c r="CT176" s="185" t="str">
        <f>IF($CL176="","",VLOOKUP($D176,'Factor Tables'!$B$165:$H$192,MATCH($CL176,'Factor Tables'!$B$164:$H$164,0),FALSE))</f>
        <v/>
      </c>
      <c r="CU176" s="842" t="str">
        <f>IF($CL176="","",IF(AND($CL176&lt;&gt;"DX HP",$CL176&lt;&gt;"PTHP"),VLOOKUP($D176,'Factor Tables'!$I$165:$Q$192,MATCH($CL176,'Factor Tables'!$I$164:$Q$164,0),FALSE),IF($CL176="DX HP",VLOOKUP($D176,'Factor Tables'!$I$165:$Q$192,MATCH("DX HP Clg",'Factor Tables'!$I$164:$Q$164,0),FALSE),IF($CL176="PTHP",VLOOKUP($D176,'Factor Tables'!$I$165:$Q$192,MATCH("PTHP Clg",'Factor Tables'!$I$164:$Q$164,0),FALSE),""))))</f>
        <v/>
      </c>
      <c r="CV176" s="186" t="str">
        <f>IF($CL176="","",IF(AND($CL176&lt;&gt;"DX HP",$CL176&lt;&gt;"PTHP"),0,IF($CL176="DX HP",VLOOKUP($D176,'Factor Tables'!$I$165:$Q$192,MATCH("DX HP Htg",'Factor Tables'!$I$164:$Q$164,0),FALSE),IF($CL176="PTHP",VLOOKUP($D176,'Factor Tables'!$I$165:$Q$192,MATCH("PTHP Htg",'Factor Tables'!$I$164:$Q$164,0),FALSE),""))))</f>
        <v/>
      </c>
      <c r="DD176" s="196" t="str">
        <f>IF(OR('Project Info'!$D$8="",$C16="",$D16=""),"",IF('Project Info'!$D$8="Weather Zone 5: El Paso",VLOOKUP($D16,$DI$9:$DL$37,MATCH($C16,$DI$9:$DL$9,0),FALSE),VLOOKUP($D16,$DE$9:$DH$37,MATCH($C16,$DE$9:$DH$9,0),FALSE)))</f>
        <v/>
      </c>
      <c r="DE176" s="426"/>
      <c r="DI176" s="425"/>
      <c r="DJ176" s="425"/>
      <c r="DK176" s="425"/>
      <c r="DL176" s="425"/>
      <c r="DM176" s="493" t="s">
        <v>478</v>
      </c>
    </row>
    <row r="177" spans="2:117" s="427" customFormat="1" ht="21.95" customHeight="1" x14ac:dyDescent="0.25">
      <c r="B177" s="432">
        <v>168</v>
      </c>
      <c r="C177" s="499" t="str">
        <f t="shared" si="94"/>
        <v/>
      </c>
      <c r="D177" s="403" t="str">
        <f t="shared" si="95"/>
        <v/>
      </c>
      <c r="E177" s="541"/>
      <c r="F177" s="785"/>
      <c r="G177" s="728"/>
      <c r="H177" s="728"/>
      <c r="I177" s="728"/>
      <c r="J177" s="728"/>
      <c r="K177" s="728"/>
      <c r="L177" s="728"/>
      <c r="M177" s="764"/>
      <c r="N177" s="728"/>
      <c r="O177" s="764"/>
      <c r="P177" s="728"/>
      <c r="Q177" s="1142"/>
      <c r="R177" s="1133"/>
      <c r="S177" s="778"/>
      <c r="T177" s="767"/>
      <c r="U177" s="778"/>
      <c r="V177" s="751"/>
      <c r="W177" s="556"/>
      <c r="X177" s="785"/>
      <c r="Y177" s="542"/>
      <c r="Z177" s="500"/>
      <c r="AA177" s="500"/>
      <c r="AB177" s="500"/>
      <c r="AC177" s="500"/>
      <c r="AD177" s="529"/>
      <c r="AE177" s="527">
        <f t="shared" si="39"/>
        <v>0</v>
      </c>
      <c r="AF177" s="527">
        <f t="shared" si="96"/>
        <v>0</v>
      </c>
      <c r="AG177" s="527">
        <f t="shared" si="76"/>
        <v>0</v>
      </c>
      <c r="AH177" s="527">
        <f t="shared" si="77"/>
        <v>0</v>
      </c>
      <c r="AI177" s="527">
        <f t="shared" si="78"/>
        <v>0</v>
      </c>
      <c r="AJ177" s="527">
        <f t="shared" si="79"/>
        <v>999999999</v>
      </c>
      <c r="AK177" s="530"/>
      <c r="AL177" s="776"/>
      <c r="AM177" s="777"/>
      <c r="AN177" s="500"/>
      <c r="AO177" s="778"/>
      <c r="AP177" s="778"/>
      <c r="AQ177" s="500"/>
      <c r="AR177" s="531"/>
      <c r="AS177" s="403"/>
      <c r="AT177" s="524" t="str">
        <f t="shared" si="80"/>
        <v/>
      </c>
      <c r="AU177" s="311">
        <f t="shared" si="81"/>
        <v>0</v>
      </c>
      <c r="AV177" s="288">
        <f t="shared" si="97"/>
        <v>0</v>
      </c>
      <c r="AW177" s="290">
        <f>IF(ISERROR($AU177*'Utility Admin'!$E$4+$AV177*'Utility Admin'!$F$4),0,$AU177*'Utility Admin'!$E$4+$AV177*'Utility Admin'!$F$4)</f>
        <v>0</v>
      </c>
      <c r="AX177" s="323" t="str">
        <f t="shared" si="82"/>
        <v/>
      </c>
      <c r="AY177" s="322" t="str">
        <f t="shared" si="23"/>
        <v/>
      </c>
      <c r="AZ177" s="319">
        <f>Baselines!$CJ421</f>
        <v>0</v>
      </c>
      <c r="BA177" s="735">
        <f>Baselines!$CK421</f>
        <v>0</v>
      </c>
      <c r="BB177" s="839">
        <f>Baselines!$CM421</f>
        <v>0</v>
      </c>
      <c r="BC177" s="466">
        <f t="shared" si="83"/>
        <v>0</v>
      </c>
      <c r="BD177" s="464">
        <f t="shared" si="98"/>
        <v>0</v>
      </c>
      <c r="BE177" s="755">
        <f t="shared" si="84"/>
        <v>0</v>
      </c>
      <c r="BF177" s="755">
        <f t="shared" si="99"/>
        <v>0</v>
      </c>
      <c r="BG177" s="466">
        <f t="shared" si="85"/>
        <v>0</v>
      </c>
      <c r="BH177" s="464">
        <f t="shared" si="86"/>
        <v>0</v>
      </c>
      <c r="BI177" s="755">
        <f t="shared" si="87"/>
        <v>0</v>
      </c>
      <c r="BJ177" s="755">
        <f t="shared" si="100"/>
        <v>0</v>
      </c>
      <c r="BK177" s="333">
        <f>IF(OR($C177&lt;&gt;"Early Retirement",$H177=""),0,IF(AND($G177&lt;&gt;"Air Cooled Chiller",$G177&lt;&gt;"Water Cooled Chiller"),VLOOKUP($H177,'Early Retirement'!$CI$6:$CL$33,2,FALSE),IF($J177&lt;&gt;"Centrifugal",VLOOKUP($H177,'Early Retirement'!$CI$6:$CL$33,3,FALSE),IF($J177="Centrifugal",VLOOKUP($H177,'Early Retirement'!$CI$6:$CL$33,4,FALSE),""))))</f>
        <v>0</v>
      </c>
      <c r="BL177" s="450">
        <f t="shared" si="88"/>
        <v>0</v>
      </c>
      <c r="BM177" s="553">
        <f>IFERROR('Utility Admin'!$I$4*((1+'Utility Admin'!$G$4)/('Utility Admin'!$H$4-'Utility Admin'!$G$4))*(1-((1+'Utility Admin'!$G$4)/(1+'Utility Admin'!$H$4))^$BK177)*$BG177,0)</f>
        <v>0</v>
      </c>
      <c r="BN177" s="553">
        <f>IFERROR('Utility Admin'!$I$4*((1+'Utility Admin'!$G$4)/('Utility Admin'!$H$4-'Utility Admin'!$G$4))*(1-((1+'Utility Admin'!$G$4)/(1+'Utility Admin'!$H$4))^$BL177)*((1+'Utility Admin'!$G$4)^$BK177/(1+'Utility Admin'!$H$4)^$BK177)*$BC177,0)</f>
        <v>0</v>
      </c>
      <c r="BO177" s="553">
        <f t="shared" si="27"/>
        <v>0</v>
      </c>
      <c r="BP177" s="553">
        <f>IFERROR('Utility Admin'!$J$4*((1+'Utility Admin'!$G$4)/('Utility Admin'!$H$4-'Utility Admin'!$G$4))*(1-((1+'Utility Admin'!$G$4)/(1+'Utility Admin'!$H$4))^$BK177)*$BJ177,0)</f>
        <v>0</v>
      </c>
      <c r="BQ177" s="553">
        <f>IFERROR('Utility Admin'!$J$4*((1+'Utility Admin'!$G$4)/('Utility Admin'!$H$4-'Utility Admin'!$G$4))*(1-((1+'Utility Admin'!$G$4)/(1+'Utility Admin'!$H$4))^$BL177)*((1+'Utility Admin'!$G$4)^$BK177/(1+'Utility Admin'!$H$4)^$BK177)*$BF177,0)</f>
        <v>0</v>
      </c>
      <c r="BR177" s="553">
        <f t="shared" si="28"/>
        <v>0</v>
      </c>
      <c r="BS177" s="553">
        <f>IFERROR('Utility Admin'!$I$4*((1+'Utility Admin'!$G$4)/('Utility Admin'!$H$4-'Utility Admin'!$G$4))*(1-((1+'Utility Admin'!$G$4)/(1+'Utility Admin'!$H$4))^$AT177),0)</f>
        <v>0</v>
      </c>
      <c r="BT177" s="553">
        <f>IFERROR('Utility Admin'!$J$4*((1+'Utility Admin'!$G$4)/('Utility Admin'!$H$4-'Utility Admin'!$G$4))*(1-((1+'Utility Admin'!$G$4)/(1+'Utility Admin'!$H$4))^$AT177),0)</f>
        <v>0</v>
      </c>
      <c r="BU177" s="459">
        <f t="shared" si="101"/>
        <v>0</v>
      </c>
      <c r="BV177" s="462">
        <f t="shared" si="102"/>
        <v>0</v>
      </c>
      <c r="BW177" s="219" t="str">
        <f t="shared" si="89"/>
        <v/>
      </c>
      <c r="BX177" s="250" t="str">
        <f t="shared" si="103"/>
        <v/>
      </c>
      <c r="BY177" s="250" t="str">
        <f t="shared" si="90"/>
        <v/>
      </c>
      <c r="BZ177" s="184">
        <f t="shared" si="104"/>
        <v>0</v>
      </c>
      <c r="CA177" s="693">
        <f t="shared" si="105"/>
        <v>0</v>
      </c>
      <c r="CB177" s="836">
        <f t="shared" si="106"/>
        <v>0</v>
      </c>
      <c r="CC177" s="693">
        <f>IF(AND($C177="Early Retirement",$H177&lt;&gt;"",$R177&lt;&gt;"",$T177&lt;&gt;""),$BZ177,Baselines!$CJ170)</f>
        <v>0</v>
      </c>
      <c r="CD177" s="693">
        <f>IF(AND($C177="Early Retirement",$H177&lt;&gt;"",$R177&lt;&gt;"",$T177&lt;&gt;""),$CA177,Baselines!$CK170)</f>
        <v>0</v>
      </c>
      <c r="CE177" s="182" t="str">
        <f>Baselines!$CL170</f>
        <v>kW/ton</v>
      </c>
      <c r="CF177" s="850" t="str">
        <f t="shared" si="91"/>
        <v/>
      </c>
      <c r="CG177" s="833">
        <f>IF(AND($C177="Early Retirement",$H177&lt;&gt;"",$R177&lt;&gt;"",$T177&lt;&gt;""),$CB177,IF(AND(Baselines!$CM170=0,OR($CL177="DX HP",$CL177="PTHP")),$BB177,Baselines!$CM170))</f>
        <v>0</v>
      </c>
      <c r="CH177" s="830" t="s">
        <v>567</v>
      </c>
      <c r="CI177" s="185" t="str">
        <f>IF(OR($C177="Replace-on-Burnout",$C177="New Construction"),$CT177,IF($BW177="","",VLOOKUP($D177,'Factor Tables'!$B$165:$H$192,MATCH($BW177,'Factor Tables'!$B$164:$H$164,0),FALSE)))</f>
        <v/>
      </c>
      <c r="CJ177" s="842" t="str">
        <f>IF(OR($C177="Replace-on-Burnout",$C177="New Construction"),$CU177,IF($BW177="","",IF($BW177="DX HP",VLOOKUP($D177,'Factor Tables'!$I$165:$Q$192,MATCH("DX HP Clg",'Factor Tables'!$I$164:$Q$164,0),FALSE),IF($BW177="PTHP",VLOOKUP($D177,'Factor Tables'!$I$165:$Q$192,MATCH("PTHP Clg",'Factor Tables'!$I$164:$Q$164,0),FALSE),IF(AND($BW177&lt;&gt;"DX HP",$BW177&lt;&gt;"PTHP"),VLOOKUP($D177,'Factor Tables'!$I$165:$Q$192,MATCH($BW177,'Factor Tables'!$I$164:$Q$164,0),FALSE),"")))))</f>
        <v/>
      </c>
      <c r="CK177" s="186" t="str">
        <f>IF(OR($C177="Replace-on-Burnout",$C177="New Construction",$CL177="DX HP",$CL177="PTHP"),$CV177,IF($BW177="","",IF($BW177="DX HP",VLOOKUP($D177,'Factor Tables'!$I$165:$Q$192,MATCH("DX HP Htg",'Factor Tables'!$I$164:$Q$164,0),FALSE),IF($BW177="PTHP",VLOOKUP($D177,'Factor Tables'!$I$165:$Q$192,MATCH("PTHP Htg",'Factor Tables'!$I$164:$Q$164,0),FALSE),0))))</f>
        <v/>
      </c>
      <c r="CL177" s="187" t="str">
        <f t="shared" si="92"/>
        <v/>
      </c>
      <c r="CM177" s="251" t="str">
        <f t="shared" si="93"/>
        <v/>
      </c>
      <c r="CN177" s="184">
        <f t="shared" si="107"/>
        <v>0</v>
      </c>
      <c r="CO177" s="693">
        <f t="shared" si="108"/>
        <v>0</v>
      </c>
      <c r="CP177" s="182" t="s">
        <v>46</v>
      </c>
      <c r="CQ177" s="852" t="str">
        <f t="shared" si="109"/>
        <v/>
      </c>
      <c r="CR177" s="833">
        <f t="shared" si="110"/>
        <v>0</v>
      </c>
      <c r="CS177" s="830" t="s">
        <v>567</v>
      </c>
      <c r="CT177" s="185" t="str">
        <f>IF($CL177="","",VLOOKUP($D177,'Factor Tables'!$B$165:$H$192,MATCH($CL177,'Factor Tables'!$B$164:$H$164,0),FALSE))</f>
        <v/>
      </c>
      <c r="CU177" s="842" t="str">
        <f>IF($CL177="","",IF(AND($CL177&lt;&gt;"DX HP",$CL177&lt;&gt;"PTHP"),VLOOKUP($D177,'Factor Tables'!$I$165:$Q$192,MATCH($CL177,'Factor Tables'!$I$164:$Q$164,0),FALSE),IF($CL177="DX HP",VLOOKUP($D177,'Factor Tables'!$I$165:$Q$192,MATCH("DX HP Clg",'Factor Tables'!$I$164:$Q$164,0),FALSE),IF($CL177="PTHP",VLOOKUP($D177,'Factor Tables'!$I$165:$Q$192,MATCH("PTHP Clg",'Factor Tables'!$I$164:$Q$164,0),FALSE),""))))</f>
        <v/>
      </c>
      <c r="CV177" s="186" t="str">
        <f>IF($CL177="","",IF(AND($CL177&lt;&gt;"DX HP",$CL177&lt;&gt;"PTHP"),0,IF($CL177="DX HP",VLOOKUP($D177,'Factor Tables'!$I$165:$Q$192,MATCH("DX HP Htg",'Factor Tables'!$I$164:$Q$164,0),FALSE),IF($CL177="PTHP",VLOOKUP($D177,'Factor Tables'!$I$165:$Q$192,MATCH("PTHP Htg",'Factor Tables'!$I$164:$Q$164,0),FALSE),""))))</f>
        <v/>
      </c>
      <c r="DD177" s="196" t="str">
        <f>IF(OR('Project Info'!$D$8="",$C17="",$D17=""),"",IF('Project Info'!$D$8="Weather Zone 5: El Paso",VLOOKUP($D17,$DI$9:$DL$37,MATCH($C17,$DI$9:$DL$9,0),FALSE),VLOOKUP($D17,$DE$9:$DH$37,MATCH($C17,$DE$9:$DH$9,0),FALSE)))</f>
        <v/>
      </c>
      <c r="DE177" s="426"/>
      <c r="DI177" s="425"/>
      <c r="DJ177" s="425"/>
      <c r="DK177" s="425"/>
      <c r="DL177" s="425"/>
      <c r="DM177" s="493" t="s">
        <v>478</v>
      </c>
    </row>
    <row r="178" spans="2:117" s="427" customFormat="1" ht="21.95" customHeight="1" x14ac:dyDescent="0.25">
      <c r="B178" s="431">
        <v>169</v>
      </c>
      <c r="C178" s="501" t="str">
        <f t="shared" si="94"/>
        <v/>
      </c>
      <c r="D178" s="502" t="str">
        <f t="shared" si="95"/>
        <v/>
      </c>
      <c r="E178" s="546"/>
      <c r="F178" s="547"/>
      <c r="G178" s="729"/>
      <c r="H178" s="729"/>
      <c r="I178" s="729"/>
      <c r="J178" s="729"/>
      <c r="K178" s="729"/>
      <c r="L178" s="729"/>
      <c r="M178" s="765"/>
      <c r="N178" s="758"/>
      <c r="O178" s="765"/>
      <c r="P178" s="758"/>
      <c r="Q178" s="1143"/>
      <c r="R178" s="1134"/>
      <c r="S178" s="775"/>
      <c r="T178" s="729"/>
      <c r="U178" s="775"/>
      <c r="V178" s="779"/>
      <c r="W178" s="557"/>
      <c r="X178" s="788"/>
      <c r="Y178" s="543"/>
      <c r="Z178" s="281"/>
      <c r="AA178" s="281"/>
      <c r="AB178" s="281"/>
      <c r="AC178" s="281"/>
      <c r="AD178" s="492"/>
      <c r="AE178" s="527">
        <f t="shared" si="39"/>
        <v>0</v>
      </c>
      <c r="AF178" s="527">
        <f t="shared" si="96"/>
        <v>0</v>
      </c>
      <c r="AG178" s="527">
        <f t="shared" si="76"/>
        <v>0</v>
      </c>
      <c r="AH178" s="527">
        <f t="shared" si="77"/>
        <v>0</v>
      </c>
      <c r="AI178" s="527">
        <f t="shared" si="78"/>
        <v>0</v>
      </c>
      <c r="AJ178" s="527">
        <f t="shared" si="79"/>
        <v>999999999</v>
      </c>
      <c r="AK178" s="471"/>
      <c r="AL178" s="765"/>
      <c r="AM178" s="758"/>
      <c r="AN178" s="281"/>
      <c r="AO178" s="775"/>
      <c r="AP178" s="775"/>
      <c r="AQ178" s="281"/>
      <c r="AR178" s="528"/>
      <c r="AS178" s="532"/>
      <c r="AT178" s="524" t="str">
        <f t="shared" si="80"/>
        <v/>
      </c>
      <c r="AU178" s="311">
        <f t="shared" si="81"/>
        <v>0</v>
      </c>
      <c r="AV178" s="288">
        <f t="shared" si="97"/>
        <v>0</v>
      </c>
      <c r="AW178" s="290">
        <f>IF(ISERROR($AU178*'Utility Admin'!$E$4+$AV178*'Utility Admin'!$F$4),0,$AU178*'Utility Admin'!$E$4+$AV178*'Utility Admin'!$F$4)</f>
        <v>0</v>
      </c>
      <c r="AX178" s="323" t="str">
        <f t="shared" si="82"/>
        <v/>
      </c>
      <c r="AY178" s="322" t="str">
        <f t="shared" si="23"/>
        <v/>
      </c>
      <c r="AZ178" s="319">
        <f>Baselines!$CJ422</f>
        <v>0</v>
      </c>
      <c r="BA178" s="735">
        <f>Baselines!$CK422</f>
        <v>0</v>
      </c>
      <c r="BB178" s="839">
        <f>Baselines!$CM422</f>
        <v>0</v>
      </c>
      <c r="BC178" s="466">
        <f t="shared" si="83"/>
        <v>0</v>
      </c>
      <c r="BD178" s="464">
        <f t="shared" si="98"/>
        <v>0</v>
      </c>
      <c r="BE178" s="755">
        <f t="shared" si="84"/>
        <v>0</v>
      </c>
      <c r="BF178" s="755">
        <f t="shared" si="99"/>
        <v>0</v>
      </c>
      <c r="BG178" s="466">
        <f t="shared" si="85"/>
        <v>0</v>
      </c>
      <c r="BH178" s="464">
        <f t="shared" si="86"/>
        <v>0</v>
      </c>
      <c r="BI178" s="755">
        <f t="shared" si="87"/>
        <v>0</v>
      </c>
      <c r="BJ178" s="755">
        <f t="shared" si="100"/>
        <v>0</v>
      </c>
      <c r="BK178" s="333">
        <f>IF(OR($C178&lt;&gt;"Early Retirement",$H178=""),0,IF(AND($G178&lt;&gt;"Air Cooled Chiller",$G178&lt;&gt;"Water Cooled Chiller"),VLOOKUP($H178,'Early Retirement'!$CI$6:$CL$33,2,FALSE),IF($J178&lt;&gt;"Centrifugal",VLOOKUP($H178,'Early Retirement'!$CI$6:$CL$33,3,FALSE),IF($J178="Centrifugal",VLOOKUP($H178,'Early Retirement'!$CI$6:$CL$33,4,FALSE),""))))</f>
        <v>0</v>
      </c>
      <c r="BL178" s="450">
        <f t="shared" si="88"/>
        <v>0</v>
      </c>
      <c r="BM178" s="553">
        <f>IFERROR('Utility Admin'!$I$4*((1+'Utility Admin'!$G$4)/('Utility Admin'!$H$4-'Utility Admin'!$G$4))*(1-((1+'Utility Admin'!$G$4)/(1+'Utility Admin'!$H$4))^$BK178)*$BG178,0)</f>
        <v>0</v>
      </c>
      <c r="BN178" s="553">
        <f>IFERROR('Utility Admin'!$I$4*((1+'Utility Admin'!$G$4)/('Utility Admin'!$H$4-'Utility Admin'!$G$4))*(1-((1+'Utility Admin'!$G$4)/(1+'Utility Admin'!$H$4))^$BL178)*((1+'Utility Admin'!$G$4)^$BK178/(1+'Utility Admin'!$H$4)^$BK178)*$BC178,0)</f>
        <v>0</v>
      </c>
      <c r="BO178" s="553">
        <f t="shared" si="27"/>
        <v>0</v>
      </c>
      <c r="BP178" s="553">
        <f>IFERROR('Utility Admin'!$J$4*((1+'Utility Admin'!$G$4)/('Utility Admin'!$H$4-'Utility Admin'!$G$4))*(1-((1+'Utility Admin'!$G$4)/(1+'Utility Admin'!$H$4))^$BK178)*$BJ178,0)</f>
        <v>0</v>
      </c>
      <c r="BQ178" s="553">
        <f>IFERROR('Utility Admin'!$J$4*((1+'Utility Admin'!$G$4)/('Utility Admin'!$H$4-'Utility Admin'!$G$4))*(1-((1+'Utility Admin'!$G$4)/(1+'Utility Admin'!$H$4))^$BL178)*((1+'Utility Admin'!$G$4)^$BK178/(1+'Utility Admin'!$H$4)^$BK178)*$BF178,0)</f>
        <v>0</v>
      </c>
      <c r="BR178" s="553">
        <f t="shared" si="28"/>
        <v>0</v>
      </c>
      <c r="BS178" s="553">
        <f>IFERROR('Utility Admin'!$I$4*((1+'Utility Admin'!$G$4)/('Utility Admin'!$H$4-'Utility Admin'!$G$4))*(1-((1+'Utility Admin'!$G$4)/(1+'Utility Admin'!$H$4))^$AT178),0)</f>
        <v>0</v>
      </c>
      <c r="BT178" s="553">
        <f>IFERROR('Utility Admin'!$J$4*((1+'Utility Admin'!$G$4)/('Utility Admin'!$H$4-'Utility Admin'!$G$4))*(1-((1+'Utility Admin'!$G$4)/(1+'Utility Admin'!$H$4))^$AT178),0)</f>
        <v>0</v>
      </c>
      <c r="BU178" s="459">
        <f t="shared" si="101"/>
        <v>0</v>
      </c>
      <c r="BV178" s="462">
        <f t="shared" si="102"/>
        <v>0</v>
      </c>
      <c r="BW178" s="219" t="str">
        <f t="shared" si="89"/>
        <v/>
      </c>
      <c r="BX178" s="250" t="str">
        <f t="shared" si="103"/>
        <v/>
      </c>
      <c r="BY178" s="250" t="str">
        <f t="shared" si="90"/>
        <v/>
      </c>
      <c r="BZ178" s="184">
        <f t="shared" si="104"/>
        <v>0</v>
      </c>
      <c r="CA178" s="693">
        <f t="shared" si="105"/>
        <v>0</v>
      </c>
      <c r="CB178" s="836">
        <f t="shared" si="106"/>
        <v>0</v>
      </c>
      <c r="CC178" s="693">
        <f>IF(AND($C178="Early Retirement",$H178&lt;&gt;"",$R178&lt;&gt;"",$T178&lt;&gt;""),$BZ178,Baselines!$CJ171)</f>
        <v>0</v>
      </c>
      <c r="CD178" s="693">
        <f>IF(AND($C178="Early Retirement",$H178&lt;&gt;"",$R178&lt;&gt;"",$T178&lt;&gt;""),$CA178,Baselines!$CK171)</f>
        <v>0</v>
      </c>
      <c r="CE178" s="182" t="str">
        <f>Baselines!$CL171</f>
        <v>kW/ton</v>
      </c>
      <c r="CF178" s="850" t="str">
        <f t="shared" si="91"/>
        <v/>
      </c>
      <c r="CG178" s="833">
        <f>IF(AND($C178="Early Retirement",$H178&lt;&gt;"",$R178&lt;&gt;"",$T178&lt;&gt;""),$CB178,IF(AND(Baselines!$CM171=0,OR($CL178="DX HP",$CL178="PTHP")),$BB178,Baselines!$CM171))</f>
        <v>0</v>
      </c>
      <c r="CH178" s="830" t="s">
        <v>567</v>
      </c>
      <c r="CI178" s="185" t="str">
        <f>IF(OR($C178="Replace-on-Burnout",$C178="New Construction"),$CT178,IF($BW178="","",VLOOKUP($D178,'Factor Tables'!$B$165:$H$192,MATCH($BW178,'Factor Tables'!$B$164:$H$164,0),FALSE)))</f>
        <v/>
      </c>
      <c r="CJ178" s="842" t="str">
        <f>IF(OR($C178="Replace-on-Burnout",$C178="New Construction"),$CU178,IF($BW178="","",IF($BW178="DX HP",VLOOKUP($D178,'Factor Tables'!$I$165:$Q$192,MATCH("DX HP Clg",'Factor Tables'!$I$164:$Q$164,0),FALSE),IF($BW178="PTHP",VLOOKUP($D178,'Factor Tables'!$I$165:$Q$192,MATCH("PTHP Clg",'Factor Tables'!$I$164:$Q$164,0),FALSE),IF(AND($BW178&lt;&gt;"DX HP",$BW178&lt;&gt;"PTHP"),VLOOKUP($D178,'Factor Tables'!$I$165:$Q$192,MATCH($BW178,'Factor Tables'!$I$164:$Q$164,0),FALSE),"")))))</f>
        <v/>
      </c>
      <c r="CK178" s="186" t="str">
        <f>IF(OR($C178="Replace-on-Burnout",$C178="New Construction",$CL178="DX HP",$CL178="PTHP"),$CV178,IF($BW178="","",IF($BW178="DX HP",VLOOKUP($D178,'Factor Tables'!$I$165:$Q$192,MATCH("DX HP Htg",'Factor Tables'!$I$164:$Q$164,0),FALSE),IF($BW178="PTHP",VLOOKUP($D178,'Factor Tables'!$I$165:$Q$192,MATCH("PTHP Htg",'Factor Tables'!$I$164:$Q$164,0),FALSE),0))))</f>
        <v/>
      </c>
      <c r="CL178" s="187" t="str">
        <f t="shared" si="92"/>
        <v/>
      </c>
      <c r="CM178" s="251" t="str">
        <f t="shared" si="93"/>
        <v/>
      </c>
      <c r="CN178" s="184">
        <f t="shared" si="107"/>
        <v>0</v>
      </c>
      <c r="CO178" s="693">
        <f t="shared" si="108"/>
        <v>0</v>
      </c>
      <c r="CP178" s="182" t="s">
        <v>46</v>
      </c>
      <c r="CQ178" s="852" t="str">
        <f t="shared" si="109"/>
        <v/>
      </c>
      <c r="CR178" s="833">
        <f t="shared" si="110"/>
        <v>0</v>
      </c>
      <c r="CS178" s="830" t="s">
        <v>567</v>
      </c>
      <c r="CT178" s="185" t="str">
        <f>IF($CL178="","",VLOOKUP($D178,'Factor Tables'!$B$165:$H$192,MATCH($CL178,'Factor Tables'!$B$164:$H$164,0),FALSE))</f>
        <v/>
      </c>
      <c r="CU178" s="842" t="str">
        <f>IF($CL178="","",IF(AND($CL178&lt;&gt;"DX HP",$CL178&lt;&gt;"PTHP"),VLOOKUP($D178,'Factor Tables'!$I$165:$Q$192,MATCH($CL178,'Factor Tables'!$I$164:$Q$164,0),FALSE),IF($CL178="DX HP",VLOOKUP($D178,'Factor Tables'!$I$165:$Q$192,MATCH("DX HP Clg",'Factor Tables'!$I$164:$Q$164,0),FALSE),IF($CL178="PTHP",VLOOKUP($D178,'Factor Tables'!$I$165:$Q$192,MATCH("PTHP Clg",'Factor Tables'!$I$164:$Q$164,0),FALSE),""))))</f>
        <v/>
      </c>
      <c r="CV178" s="186" t="str">
        <f>IF($CL178="","",IF(AND($CL178&lt;&gt;"DX HP",$CL178&lt;&gt;"PTHP"),0,IF($CL178="DX HP",VLOOKUP($D178,'Factor Tables'!$I$165:$Q$192,MATCH("DX HP Htg",'Factor Tables'!$I$164:$Q$164,0),FALSE),IF($CL178="PTHP",VLOOKUP($D178,'Factor Tables'!$I$165:$Q$192,MATCH("PTHP Htg",'Factor Tables'!$I$164:$Q$164,0),FALSE),""))))</f>
        <v/>
      </c>
      <c r="DD178" s="196" t="str">
        <f>IF(OR('Project Info'!$D$8="",$C18="",$D18=""),"",IF('Project Info'!$D$8="Weather Zone 5: El Paso",VLOOKUP($D18,$DI$9:$DL$37,MATCH($C18,$DI$9:$DL$9,0),FALSE),VLOOKUP($D18,$DE$9:$DH$37,MATCH($C18,$DE$9:$DH$9,0),FALSE)))</f>
        <v/>
      </c>
      <c r="DE178" s="426"/>
      <c r="DI178" s="425"/>
      <c r="DJ178" s="425"/>
      <c r="DK178" s="425"/>
      <c r="DL178" s="425"/>
      <c r="DM178" s="493" t="s">
        <v>478</v>
      </c>
    </row>
    <row r="179" spans="2:117" s="427" customFormat="1" ht="21.95" customHeight="1" x14ac:dyDescent="0.25">
      <c r="B179" s="432">
        <v>170</v>
      </c>
      <c r="C179" s="499" t="str">
        <f t="shared" si="94"/>
        <v/>
      </c>
      <c r="D179" s="403" t="str">
        <f t="shared" si="95"/>
        <v/>
      </c>
      <c r="E179" s="541"/>
      <c r="F179" s="785"/>
      <c r="G179" s="728"/>
      <c r="H179" s="728"/>
      <c r="I179" s="728"/>
      <c r="J179" s="728"/>
      <c r="K179" s="728"/>
      <c r="L179" s="728"/>
      <c r="M179" s="764"/>
      <c r="N179" s="728"/>
      <c r="O179" s="764"/>
      <c r="P179" s="728"/>
      <c r="Q179" s="1142"/>
      <c r="R179" s="1133"/>
      <c r="S179" s="778"/>
      <c r="T179" s="767"/>
      <c r="U179" s="778"/>
      <c r="V179" s="751"/>
      <c r="W179" s="556"/>
      <c r="X179" s="785"/>
      <c r="Y179" s="542"/>
      <c r="Z179" s="500"/>
      <c r="AA179" s="500"/>
      <c r="AB179" s="500"/>
      <c r="AC179" s="500"/>
      <c r="AD179" s="529"/>
      <c r="AE179" s="527">
        <f t="shared" si="39"/>
        <v>0</v>
      </c>
      <c r="AF179" s="527">
        <f t="shared" si="96"/>
        <v>0</v>
      </c>
      <c r="AG179" s="527">
        <f t="shared" si="76"/>
        <v>0</v>
      </c>
      <c r="AH179" s="527">
        <f t="shared" si="77"/>
        <v>0</v>
      </c>
      <c r="AI179" s="527">
        <f t="shared" si="78"/>
        <v>0</v>
      </c>
      <c r="AJ179" s="527">
        <f t="shared" si="79"/>
        <v>999999999</v>
      </c>
      <c r="AK179" s="530"/>
      <c r="AL179" s="776"/>
      <c r="AM179" s="777"/>
      <c r="AN179" s="500"/>
      <c r="AO179" s="778"/>
      <c r="AP179" s="778"/>
      <c r="AQ179" s="500"/>
      <c r="AR179" s="531"/>
      <c r="AS179" s="403"/>
      <c r="AT179" s="524" t="str">
        <f t="shared" si="80"/>
        <v/>
      </c>
      <c r="AU179" s="311">
        <f t="shared" si="81"/>
        <v>0</v>
      </c>
      <c r="AV179" s="288">
        <f t="shared" si="97"/>
        <v>0</v>
      </c>
      <c r="AW179" s="290">
        <f>IF(ISERROR($AU179*'Utility Admin'!$E$4+$AV179*'Utility Admin'!$F$4),0,$AU179*'Utility Admin'!$E$4+$AV179*'Utility Admin'!$F$4)</f>
        <v>0</v>
      </c>
      <c r="AX179" s="323" t="str">
        <f t="shared" si="82"/>
        <v/>
      </c>
      <c r="AY179" s="322" t="str">
        <f t="shared" si="23"/>
        <v/>
      </c>
      <c r="AZ179" s="319">
        <f>Baselines!$CJ423</f>
        <v>0</v>
      </c>
      <c r="BA179" s="735">
        <f>Baselines!$CK423</f>
        <v>0</v>
      </c>
      <c r="BB179" s="839">
        <f>Baselines!$CM423</f>
        <v>0</v>
      </c>
      <c r="BC179" s="466">
        <f t="shared" si="83"/>
        <v>0</v>
      </c>
      <c r="BD179" s="464">
        <f t="shared" si="98"/>
        <v>0</v>
      </c>
      <c r="BE179" s="755">
        <f t="shared" si="84"/>
        <v>0</v>
      </c>
      <c r="BF179" s="755">
        <f t="shared" si="99"/>
        <v>0</v>
      </c>
      <c r="BG179" s="466">
        <f t="shared" si="85"/>
        <v>0</v>
      </c>
      <c r="BH179" s="464">
        <f t="shared" si="86"/>
        <v>0</v>
      </c>
      <c r="BI179" s="755">
        <f t="shared" si="87"/>
        <v>0</v>
      </c>
      <c r="BJ179" s="755">
        <f t="shared" si="100"/>
        <v>0</v>
      </c>
      <c r="BK179" s="333">
        <f>IF(OR($C179&lt;&gt;"Early Retirement",$H179=""),0,IF(AND($G179&lt;&gt;"Air Cooled Chiller",$G179&lt;&gt;"Water Cooled Chiller"),VLOOKUP($H179,'Early Retirement'!$CI$6:$CL$33,2,FALSE),IF($J179&lt;&gt;"Centrifugal",VLOOKUP($H179,'Early Retirement'!$CI$6:$CL$33,3,FALSE),IF($J179="Centrifugal",VLOOKUP($H179,'Early Retirement'!$CI$6:$CL$33,4,FALSE),""))))</f>
        <v>0</v>
      </c>
      <c r="BL179" s="450">
        <f t="shared" si="88"/>
        <v>0</v>
      </c>
      <c r="BM179" s="553">
        <f>IFERROR('Utility Admin'!$I$4*((1+'Utility Admin'!$G$4)/('Utility Admin'!$H$4-'Utility Admin'!$G$4))*(1-((1+'Utility Admin'!$G$4)/(1+'Utility Admin'!$H$4))^$BK179)*$BG179,0)</f>
        <v>0</v>
      </c>
      <c r="BN179" s="553">
        <f>IFERROR('Utility Admin'!$I$4*((1+'Utility Admin'!$G$4)/('Utility Admin'!$H$4-'Utility Admin'!$G$4))*(1-((1+'Utility Admin'!$G$4)/(1+'Utility Admin'!$H$4))^$BL179)*((1+'Utility Admin'!$G$4)^$BK179/(1+'Utility Admin'!$H$4)^$BK179)*$BC179,0)</f>
        <v>0</v>
      </c>
      <c r="BO179" s="553">
        <f t="shared" si="27"/>
        <v>0</v>
      </c>
      <c r="BP179" s="553">
        <f>IFERROR('Utility Admin'!$J$4*((1+'Utility Admin'!$G$4)/('Utility Admin'!$H$4-'Utility Admin'!$G$4))*(1-((1+'Utility Admin'!$G$4)/(1+'Utility Admin'!$H$4))^$BK179)*$BJ179,0)</f>
        <v>0</v>
      </c>
      <c r="BQ179" s="553">
        <f>IFERROR('Utility Admin'!$J$4*((1+'Utility Admin'!$G$4)/('Utility Admin'!$H$4-'Utility Admin'!$G$4))*(1-((1+'Utility Admin'!$G$4)/(1+'Utility Admin'!$H$4))^$BL179)*((1+'Utility Admin'!$G$4)^$BK179/(1+'Utility Admin'!$H$4)^$BK179)*$BF179,0)</f>
        <v>0</v>
      </c>
      <c r="BR179" s="553">
        <f t="shared" si="28"/>
        <v>0</v>
      </c>
      <c r="BS179" s="553">
        <f>IFERROR('Utility Admin'!$I$4*((1+'Utility Admin'!$G$4)/('Utility Admin'!$H$4-'Utility Admin'!$G$4))*(1-((1+'Utility Admin'!$G$4)/(1+'Utility Admin'!$H$4))^$AT179),0)</f>
        <v>0</v>
      </c>
      <c r="BT179" s="553">
        <f>IFERROR('Utility Admin'!$J$4*((1+'Utility Admin'!$G$4)/('Utility Admin'!$H$4-'Utility Admin'!$G$4))*(1-((1+'Utility Admin'!$G$4)/(1+'Utility Admin'!$H$4))^$AT179),0)</f>
        <v>0</v>
      </c>
      <c r="BU179" s="459">
        <f t="shared" si="101"/>
        <v>0</v>
      </c>
      <c r="BV179" s="462">
        <f t="shared" si="102"/>
        <v>0</v>
      </c>
      <c r="BW179" s="219" t="str">
        <f t="shared" si="89"/>
        <v/>
      </c>
      <c r="BX179" s="250" t="str">
        <f t="shared" si="103"/>
        <v/>
      </c>
      <c r="BY179" s="250" t="str">
        <f t="shared" si="90"/>
        <v/>
      </c>
      <c r="BZ179" s="184">
        <f t="shared" si="104"/>
        <v>0</v>
      </c>
      <c r="CA179" s="693">
        <f t="shared" si="105"/>
        <v>0</v>
      </c>
      <c r="CB179" s="836">
        <f t="shared" si="106"/>
        <v>0</v>
      </c>
      <c r="CC179" s="693">
        <f>IF(AND($C179="Early Retirement",$H179&lt;&gt;"",$R179&lt;&gt;"",$T179&lt;&gt;""),$BZ179,Baselines!$CJ172)</f>
        <v>0</v>
      </c>
      <c r="CD179" s="693">
        <f>IF(AND($C179="Early Retirement",$H179&lt;&gt;"",$R179&lt;&gt;"",$T179&lt;&gt;""),$CA179,Baselines!$CK172)</f>
        <v>0</v>
      </c>
      <c r="CE179" s="182" t="str">
        <f>Baselines!$CL172</f>
        <v>kW/ton</v>
      </c>
      <c r="CF179" s="850" t="str">
        <f t="shared" si="91"/>
        <v/>
      </c>
      <c r="CG179" s="833">
        <f>IF(AND($C179="Early Retirement",$H179&lt;&gt;"",$R179&lt;&gt;"",$T179&lt;&gt;""),$CB179,IF(AND(Baselines!$CM172=0,OR($CL179="DX HP",$CL179="PTHP")),$BB179,Baselines!$CM172))</f>
        <v>0</v>
      </c>
      <c r="CH179" s="830" t="s">
        <v>567</v>
      </c>
      <c r="CI179" s="185" t="str">
        <f>IF(OR($C179="Replace-on-Burnout",$C179="New Construction"),$CT179,IF($BW179="","",VLOOKUP($D179,'Factor Tables'!$B$165:$H$192,MATCH($BW179,'Factor Tables'!$B$164:$H$164,0),FALSE)))</f>
        <v/>
      </c>
      <c r="CJ179" s="842" t="str">
        <f>IF(OR($C179="Replace-on-Burnout",$C179="New Construction"),$CU179,IF($BW179="","",IF($BW179="DX HP",VLOOKUP($D179,'Factor Tables'!$I$165:$Q$192,MATCH("DX HP Clg",'Factor Tables'!$I$164:$Q$164,0),FALSE),IF($BW179="PTHP",VLOOKUP($D179,'Factor Tables'!$I$165:$Q$192,MATCH("PTHP Clg",'Factor Tables'!$I$164:$Q$164,0),FALSE),IF(AND($BW179&lt;&gt;"DX HP",$BW179&lt;&gt;"PTHP"),VLOOKUP($D179,'Factor Tables'!$I$165:$Q$192,MATCH($BW179,'Factor Tables'!$I$164:$Q$164,0),FALSE),"")))))</f>
        <v/>
      </c>
      <c r="CK179" s="186" t="str">
        <f>IF(OR($C179="Replace-on-Burnout",$C179="New Construction",$CL179="DX HP",$CL179="PTHP"),$CV179,IF($BW179="","",IF($BW179="DX HP",VLOOKUP($D179,'Factor Tables'!$I$165:$Q$192,MATCH("DX HP Htg",'Factor Tables'!$I$164:$Q$164,0),FALSE),IF($BW179="PTHP",VLOOKUP($D179,'Factor Tables'!$I$165:$Q$192,MATCH("PTHP Htg",'Factor Tables'!$I$164:$Q$164,0),FALSE),0))))</f>
        <v/>
      </c>
      <c r="CL179" s="187" t="str">
        <f t="shared" si="92"/>
        <v/>
      </c>
      <c r="CM179" s="251" t="str">
        <f t="shared" si="93"/>
        <v/>
      </c>
      <c r="CN179" s="184">
        <f t="shared" si="107"/>
        <v>0</v>
      </c>
      <c r="CO179" s="693">
        <f t="shared" si="108"/>
        <v>0</v>
      </c>
      <c r="CP179" s="182" t="s">
        <v>46</v>
      </c>
      <c r="CQ179" s="852" t="str">
        <f t="shared" si="109"/>
        <v/>
      </c>
      <c r="CR179" s="833">
        <f t="shared" si="110"/>
        <v>0</v>
      </c>
      <c r="CS179" s="830" t="s">
        <v>567</v>
      </c>
      <c r="CT179" s="185" t="str">
        <f>IF($CL179="","",VLOOKUP($D179,'Factor Tables'!$B$165:$H$192,MATCH($CL179,'Factor Tables'!$B$164:$H$164,0),FALSE))</f>
        <v/>
      </c>
      <c r="CU179" s="842" t="str">
        <f>IF($CL179="","",IF(AND($CL179&lt;&gt;"DX HP",$CL179&lt;&gt;"PTHP"),VLOOKUP($D179,'Factor Tables'!$I$165:$Q$192,MATCH($CL179,'Factor Tables'!$I$164:$Q$164,0),FALSE),IF($CL179="DX HP",VLOOKUP($D179,'Factor Tables'!$I$165:$Q$192,MATCH("DX HP Clg",'Factor Tables'!$I$164:$Q$164,0),FALSE),IF($CL179="PTHP",VLOOKUP($D179,'Factor Tables'!$I$165:$Q$192,MATCH("PTHP Clg",'Factor Tables'!$I$164:$Q$164,0),FALSE),""))))</f>
        <v/>
      </c>
      <c r="CV179" s="186" t="str">
        <f>IF($CL179="","",IF(AND($CL179&lt;&gt;"DX HP",$CL179&lt;&gt;"PTHP"),0,IF($CL179="DX HP",VLOOKUP($D179,'Factor Tables'!$I$165:$Q$192,MATCH("DX HP Htg",'Factor Tables'!$I$164:$Q$164,0),FALSE),IF($CL179="PTHP",VLOOKUP($D179,'Factor Tables'!$I$165:$Q$192,MATCH("PTHP Htg",'Factor Tables'!$I$164:$Q$164,0),FALSE),""))))</f>
        <v/>
      </c>
      <c r="DD179" s="196" t="str">
        <f>IF(OR('Project Info'!$D$8="",$C19="",$D19=""),"",IF('Project Info'!$D$8="Weather Zone 5: El Paso",VLOOKUP($D19,$DI$9:$DL$37,MATCH($C19,$DI$9:$DL$9,0),FALSE),VLOOKUP($D19,$DE$9:$DH$37,MATCH($C19,$DE$9:$DH$9,0),FALSE)))</f>
        <v/>
      </c>
      <c r="DE179" s="426"/>
      <c r="DI179" s="425"/>
      <c r="DJ179" s="425"/>
      <c r="DK179" s="425"/>
      <c r="DL179" s="425"/>
      <c r="DM179" s="493" t="s">
        <v>478</v>
      </c>
    </row>
    <row r="180" spans="2:117" s="427" customFormat="1" ht="21.95" customHeight="1" x14ac:dyDescent="0.25">
      <c r="B180" s="431">
        <v>171</v>
      </c>
      <c r="C180" s="501" t="str">
        <f t="shared" si="94"/>
        <v/>
      </c>
      <c r="D180" s="502" t="str">
        <f t="shared" si="95"/>
        <v/>
      </c>
      <c r="E180" s="546"/>
      <c r="F180" s="547"/>
      <c r="G180" s="729"/>
      <c r="H180" s="729"/>
      <c r="I180" s="729"/>
      <c r="J180" s="729"/>
      <c r="K180" s="729"/>
      <c r="L180" s="729"/>
      <c r="M180" s="765"/>
      <c r="N180" s="758"/>
      <c r="O180" s="765"/>
      <c r="P180" s="758"/>
      <c r="Q180" s="1143"/>
      <c r="R180" s="1134"/>
      <c r="S180" s="775"/>
      <c r="T180" s="729"/>
      <c r="U180" s="775"/>
      <c r="V180" s="779"/>
      <c r="W180" s="557"/>
      <c r="X180" s="788"/>
      <c r="Y180" s="543"/>
      <c r="Z180" s="281"/>
      <c r="AA180" s="281"/>
      <c r="AB180" s="281"/>
      <c r="AC180" s="281"/>
      <c r="AD180" s="492"/>
      <c r="AE180" s="527">
        <f t="shared" si="39"/>
        <v>0</v>
      </c>
      <c r="AF180" s="527">
        <f t="shared" si="96"/>
        <v>0</v>
      </c>
      <c r="AG180" s="527">
        <f t="shared" si="76"/>
        <v>0</v>
      </c>
      <c r="AH180" s="527">
        <f t="shared" si="77"/>
        <v>0</v>
      </c>
      <c r="AI180" s="527">
        <f t="shared" si="78"/>
        <v>0</v>
      </c>
      <c r="AJ180" s="527">
        <f t="shared" si="79"/>
        <v>999999999</v>
      </c>
      <c r="AK180" s="471"/>
      <c r="AL180" s="765"/>
      <c r="AM180" s="758"/>
      <c r="AN180" s="281"/>
      <c r="AO180" s="775"/>
      <c r="AP180" s="775"/>
      <c r="AQ180" s="281"/>
      <c r="AR180" s="528"/>
      <c r="AS180" s="532"/>
      <c r="AT180" s="524" t="str">
        <f t="shared" si="80"/>
        <v/>
      </c>
      <c r="AU180" s="311">
        <f t="shared" si="81"/>
        <v>0</v>
      </c>
      <c r="AV180" s="288">
        <f t="shared" si="97"/>
        <v>0</v>
      </c>
      <c r="AW180" s="290">
        <f>IF(ISERROR($AU180*'Utility Admin'!$E$4+$AV180*'Utility Admin'!$F$4),0,$AU180*'Utility Admin'!$E$4+$AV180*'Utility Admin'!$F$4)</f>
        <v>0</v>
      </c>
      <c r="AX180" s="323" t="str">
        <f t="shared" si="82"/>
        <v/>
      </c>
      <c r="AY180" s="322" t="str">
        <f t="shared" si="23"/>
        <v/>
      </c>
      <c r="AZ180" s="319">
        <f>Baselines!$CJ424</f>
        <v>0</v>
      </c>
      <c r="BA180" s="735">
        <f>Baselines!$CK424</f>
        <v>0</v>
      </c>
      <c r="BB180" s="839">
        <f>Baselines!$CM424</f>
        <v>0</v>
      </c>
      <c r="BC180" s="466">
        <f t="shared" si="83"/>
        <v>0</v>
      </c>
      <c r="BD180" s="464">
        <f t="shared" si="98"/>
        <v>0</v>
      </c>
      <c r="BE180" s="755">
        <f t="shared" si="84"/>
        <v>0</v>
      </c>
      <c r="BF180" s="755">
        <f t="shared" si="99"/>
        <v>0</v>
      </c>
      <c r="BG180" s="466">
        <f t="shared" si="85"/>
        <v>0</v>
      </c>
      <c r="BH180" s="464">
        <f t="shared" si="86"/>
        <v>0</v>
      </c>
      <c r="BI180" s="755">
        <f t="shared" si="87"/>
        <v>0</v>
      </c>
      <c r="BJ180" s="755">
        <f t="shared" si="100"/>
        <v>0</v>
      </c>
      <c r="BK180" s="333">
        <f>IF(OR($C180&lt;&gt;"Early Retirement",$H180=""),0,IF(AND($G180&lt;&gt;"Air Cooled Chiller",$G180&lt;&gt;"Water Cooled Chiller"),VLOOKUP($H180,'Early Retirement'!$CI$6:$CL$33,2,FALSE),IF($J180&lt;&gt;"Centrifugal",VLOOKUP($H180,'Early Retirement'!$CI$6:$CL$33,3,FALSE),IF($J180="Centrifugal",VLOOKUP($H180,'Early Retirement'!$CI$6:$CL$33,4,FALSE),""))))</f>
        <v>0</v>
      </c>
      <c r="BL180" s="450">
        <f t="shared" si="88"/>
        <v>0</v>
      </c>
      <c r="BM180" s="553">
        <f>IFERROR('Utility Admin'!$I$4*((1+'Utility Admin'!$G$4)/('Utility Admin'!$H$4-'Utility Admin'!$G$4))*(1-((1+'Utility Admin'!$G$4)/(1+'Utility Admin'!$H$4))^$BK180)*$BG180,0)</f>
        <v>0</v>
      </c>
      <c r="BN180" s="553">
        <f>IFERROR('Utility Admin'!$I$4*((1+'Utility Admin'!$G$4)/('Utility Admin'!$H$4-'Utility Admin'!$G$4))*(1-((1+'Utility Admin'!$G$4)/(1+'Utility Admin'!$H$4))^$BL180)*((1+'Utility Admin'!$G$4)^$BK180/(1+'Utility Admin'!$H$4)^$BK180)*$BC180,0)</f>
        <v>0</v>
      </c>
      <c r="BO180" s="553">
        <f t="shared" si="27"/>
        <v>0</v>
      </c>
      <c r="BP180" s="553">
        <f>IFERROR('Utility Admin'!$J$4*((1+'Utility Admin'!$G$4)/('Utility Admin'!$H$4-'Utility Admin'!$G$4))*(1-((1+'Utility Admin'!$G$4)/(1+'Utility Admin'!$H$4))^$BK180)*$BJ180,0)</f>
        <v>0</v>
      </c>
      <c r="BQ180" s="553">
        <f>IFERROR('Utility Admin'!$J$4*((1+'Utility Admin'!$G$4)/('Utility Admin'!$H$4-'Utility Admin'!$G$4))*(1-((1+'Utility Admin'!$G$4)/(1+'Utility Admin'!$H$4))^$BL180)*((1+'Utility Admin'!$G$4)^$BK180/(1+'Utility Admin'!$H$4)^$BK180)*$BF180,0)</f>
        <v>0</v>
      </c>
      <c r="BR180" s="553">
        <f t="shared" si="28"/>
        <v>0</v>
      </c>
      <c r="BS180" s="553">
        <f>IFERROR('Utility Admin'!$I$4*((1+'Utility Admin'!$G$4)/('Utility Admin'!$H$4-'Utility Admin'!$G$4))*(1-((1+'Utility Admin'!$G$4)/(1+'Utility Admin'!$H$4))^$AT180),0)</f>
        <v>0</v>
      </c>
      <c r="BT180" s="553">
        <f>IFERROR('Utility Admin'!$J$4*((1+'Utility Admin'!$G$4)/('Utility Admin'!$H$4-'Utility Admin'!$G$4))*(1-((1+'Utility Admin'!$G$4)/(1+'Utility Admin'!$H$4))^$AT180),0)</f>
        <v>0</v>
      </c>
      <c r="BU180" s="459">
        <f t="shared" si="101"/>
        <v>0</v>
      </c>
      <c r="BV180" s="462">
        <f t="shared" si="102"/>
        <v>0</v>
      </c>
      <c r="BW180" s="219" t="str">
        <f t="shared" si="89"/>
        <v/>
      </c>
      <c r="BX180" s="250" t="str">
        <f t="shared" si="103"/>
        <v/>
      </c>
      <c r="BY180" s="250" t="str">
        <f t="shared" si="90"/>
        <v/>
      </c>
      <c r="BZ180" s="184">
        <f t="shared" si="104"/>
        <v>0</v>
      </c>
      <c r="CA180" s="693">
        <f t="shared" si="105"/>
        <v>0</v>
      </c>
      <c r="CB180" s="836">
        <f t="shared" si="106"/>
        <v>0</v>
      </c>
      <c r="CC180" s="693">
        <f>IF(AND($C180="Early Retirement",$H180&lt;&gt;"",$R180&lt;&gt;"",$T180&lt;&gt;""),$BZ180,Baselines!$CJ173)</f>
        <v>0</v>
      </c>
      <c r="CD180" s="693">
        <f>IF(AND($C180="Early Retirement",$H180&lt;&gt;"",$R180&lt;&gt;"",$T180&lt;&gt;""),$CA180,Baselines!$CK173)</f>
        <v>0</v>
      </c>
      <c r="CE180" s="182" t="str">
        <f>Baselines!$CL173</f>
        <v>kW/ton</v>
      </c>
      <c r="CF180" s="850" t="str">
        <f t="shared" si="91"/>
        <v/>
      </c>
      <c r="CG180" s="833">
        <f>IF(AND($C180="Early Retirement",$H180&lt;&gt;"",$R180&lt;&gt;"",$T180&lt;&gt;""),$CB180,IF(AND(Baselines!$CM173=0,OR($CL180="DX HP",$CL180="PTHP")),$BB180,Baselines!$CM173))</f>
        <v>0</v>
      </c>
      <c r="CH180" s="830" t="s">
        <v>567</v>
      </c>
      <c r="CI180" s="185" t="str">
        <f>IF(OR($C180="Replace-on-Burnout",$C180="New Construction"),$CT180,IF($BW180="","",VLOOKUP($D180,'Factor Tables'!$B$165:$H$192,MATCH($BW180,'Factor Tables'!$B$164:$H$164,0),FALSE)))</f>
        <v/>
      </c>
      <c r="CJ180" s="842" t="str">
        <f>IF(OR($C180="Replace-on-Burnout",$C180="New Construction"),$CU180,IF($BW180="","",IF($BW180="DX HP",VLOOKUP($D180,'Factor Tables'!$I$165:$Q$192,MATCH("DX HP Clg",'Factor Tables'!$I$164:$Q$164,0),FALSE),IF($BW180="PTHP",VLOOKUP($D180,'Factor Tables'!$I$165:$Q$192,MATCH("PTHP Clg",'Factor Tables'!$I$164:$Q$164,0),FALSE),IF(AND($BW180&lt;&gt;"DX HP",$BW180&lt;&gt;"PTHP"),VLOOKUP($D180,'Factor Tables'!$I$165:$Q$192,MATCH($BW180,'Factor Tables'!$I$164:$Q$164,0),FALSE),"")))))</f>
        <v/>
      </c>
      <c r="CK180" s="186" t="str">
        <f>IF(OR($C180="Replace-on-Burnout",$C180="New Construction",$CL180="DX HP",$CL180="PTHP"),$CV180,IF($BW180="","",IF($BW180="DX HP",VLOOKUP($D180,'Factor Tables'!$I$165:$Q$192,MATCH("DX HP Htg",'Factor Tables'!$I$164:$Q$164,0),FALSE),IF($BW180="PTHP",VLOOKUP($D180,'Factor Tables'!$I$165:$Q$192,MATCH("PTHP Htg",'Factor Tables'!$I$164:$Q$164,0),FALSE),0))))</f>
        <v/>
      </c>
      <c r="CL180" s="187" t="str">
        <f t="shared" si="92"/>
        <v/>
      </c>
      <c r="CM180" s="251" t="str">
        <f t="shared" si="93"/>
        <v/>
      </c>
      <c r="CN180" s="184">
        <f t="shared" si="107"/>
        <v>0</v>
      </c>
      <c r="CO180" s="693">
        <f t="shared" si="108"/>
        <v>0</v>
      </c>
      <c r="CP180" s="182" t="s">
        <v>46</v>
      </c>
      <c r="CQ180" s="852" t="str">
        <f t="shared" si="109"/>
        <v/>
      </c>
      <c r="CR180" s="833">
        <f t="shared" si="110"/>
        <v>0</v>
      </c>
      <c r="CS180" s="830" t="s">
        <v>567</v>
      </c>
      <c r="CT180" s="185" t="str">
        <f>IF($CL180="","",VLOOKUP($D180,'Factor Tables'!$B$165:$H$192,MATCH($CL180,'Factor Tables'!$B$164:$H$164,0),FALSE))</f>
        <v/>
      </c>
      <c r="CU180" s="842" t="str">
        <f>IF($CL180="","",IF(AND($CL180&lt;&gt;"DX HP",$CL180&lt;&gt;"PTHP"),VLOOKUP($D180,'Factor Tables'!$I$165:$Q$192,MATCH($CL180,'Factor Tables'!$I$164:$Q$164,0),FALSE),IF($CL180="DX HP",VLOOKUP($D180,'Factor Tables'!$I$165:$Q$192,MATCH("DX HP Clg",'Factor Tables'!$I$164:$Q$164,0),FALSE),IF($CL180="PTHP",VLOOKUP($D180,'Factor Tables'!$I$165:$Q$192,MATCH("PTHP Clg",'Factor Tables'!$I$164:$Q$164,0),FALSE),""))))</f>
        <v/>
      </c>
      <c r="CV180" s="186" t="str">
        <f>IF($CL180="","",IF(AND($CL180&lt;&gt;"DX HP",$CL180&lt;&gt;"PTHP"),0,IF($CL180="DX HP",VLOOKUP($D180,'Factor Tables'!$I$165:$Q$192,MATCH("DX HP Htg",'Factor Tables'!$I$164:$Q$164,0),FALSE),IF($CL180="PTHP",VLOOKUP($D180,'Factor Tables'!$I$165:$Q$192,MATCH("PTHP Htg",'Factor Tables'!$I$164:$Q$164,0),FALSE),""))))</f>
        <v/>
      </c>
      <c r="DD180" s="196" t="str">
        <f>IF(OR('Project Info'!$D$8="",$C20="",$D20=""),"",IF('Project Info'!$D$8="Weather Zone 5: El Paso",VLOOKUP($D20,$DI$9:$DL$37,MATCH($C20,$DI$9:$DL$9,0),FALSE),VLOOKUP($D20,$DE$9:$DH$37,MATCH($C20,$DE$9:$DH$9,0),FALSE)))</f>
        <v/>
      </c>
      <c r="DE180" s="426"/>
      <c r="DI180" s="425"/>
      <c r="DJ180" s="425"/>
      <c r="DK180" s="425"/>
      <c r="DL180" s="425"/>
      <c r="DM180" s="493" t="s">
        <v>478</v>
      </c>
    </row>
    <row r="181" spans="2:117" s="427" customFormat="1" ht="21.95" customHeight="1" x14ac:dyDescent="0.25">
      <c r="B181" s="432">
        <v>172</v>
      </c>
      <c r="C181" s="499" t="str">
        <f t="shared" si="94"/>
        <v/>
      </c>
      <c r="D181" s="403" t="str">
        <f t="shared" si="95"/>
        <v/>
      </c>
      <c r="E181" s="541"/>
      <c r="F181" s="785"/>
      <c r="G181" s="728"/>
      <c r="H181" s="728"/>
      <c r="I181" s="728"/>
      <c r="J181" s="728"/>
      <c r="K181" s="728"/>
      <c r="L181" s="728"/>
      <c r="M181" s="764"/>
      <c r="N181" s="728"/>
      <c r="O181" s="764"/>
      <c r="P181" s="728"/>
      <c r="Q181" s="1142"/>
      <c r="R181" s="1133"/>
      <c r="S181" s="778"/>
      <c r="T181" s="767"/>
      <c r="U181" s="778"/>
      <c r="V181" s="751"/>
      <c r="W181" s="556"/>
      <c r="X181" s="785"/>
      <c r="Y181" s="542"/>
      <c r="Z181" s="500"/>
      <c r="AA181" s="500"/>
      <c r="AB181" s="500"/>
      <c r="AC181" s="500"/>
      <c r="AD181" s="529"/>
      <c r="AE181" s="527">
        <f t="shared" si="39"/>
        <v>0</v>
      </c>
      <c r="AF181" s="527">
        <f t="shared" si="96"/>
        <v>0</v>
      </c>
      <c r="AG181" s="527">
        <f t="shared" si="76"/>
        <v>0</v>
      </c>
      <c r="AH181" s="527">
        <f t="shared" si="77"/>
        <v>0</v>
      </c>
      <c r="AI181" s="527">
        <f t="shared" si="78"/>
        <v>0</v>
      </c>
      <c r="AJ181" s="527">
        <f t="shared" si="79"/>
        <v>999999999</v>
      </c>
      <c r="AK181" s="530"/>
      <c r="AL181" s="776"/>
      <c r="AM181" s="777"/>
      <c r="AN181" s="500"/>
      <c r="AO181" s="778"/>
      <c r="AP181" s="778"/>
      <c r="AQ181" s="500"/>
      <c r="AR181" s="531"/>
      <c r="AS181" s="403"/>
      <c r="AT181" s="524" t="str">
        <f t="shared" si="80"/>
        <v/>
      </c>
      <c r="AU181" s="311">
        <f t="shared" si="81"/>
        <v>0</v>
      </c>
      <c r="AV181" s="288">
        <f t="shared" si="97"/>
        <v>0</v>
      </c>
      <c r="AW181" s="290">
        <f>IF(ISERROR($AU181*'Utility Admin'!$E$4+$AV181*'Utility Admin'!$F$4),0,$AU181*'Utility Admin'!$E$4+$AV181*'Utility Admin'!$F$4)</f>
        <v>0</v>
      </c>
      <c r="AX181" s="323" t="str">
        <f t="shared" si="82"/>
        <v/>
      </c>
      <c r="AY181" s="322" t="str">
        <f t="shared" si="23"/>
        <v/>
      </c>
      <c r="AZ181" s="319">
        <f>Baselines!$CJ425</f>
        <v>0</v>
      </c>
      <c r="BA181" s="735">
        <f>Baselines!$CK425</f>
        <v>0</v>
      </c>
      <c r="BB181" s="839">
        <f>Baselines!$CM425</f>
        <v>0</v>
      </c>
      <c r="BC181" s="466">
        <f t="shared" si="83"/>
        <v>0</v>
      </c>
      <c r="BD181" s="464">
        <f t="shared" si="98"/>
        <v>0</v>
      </c>
      <c r="BE181" s="755">
        <f t="shared" si="84"/>
        <v>0</v>
      </c>
      <c r="BF181" s="755">
        <f t="shared" si="99"/>
        <v>0</v>
      </c>
      <c r="BG181" s="466">
        <f t="shared" si="85"/>
        <v>0</v>
      </c>
      <c r="BH181" s="464">
        <f t="shared" si="86"/>
        <v>0</v>
      </c>
      <c r="BI181" s="755">
        <f t="shared" si="87"/>
        <v>0</v>
      </c>
      <c r="BJ181" s="755">
        <f t="shared" si="100"/>
        <v>0</v>
      </c>
      <c r="BK181" s="333">
        <f>IF(OR($C181&lt;&gt;"Early Retirement",$H181=""),0,IF(AND($G181&lt;&gt;"Air Cooled Chiller",$G181&lt;&gt;"Water Cooled Chiller"),VLOOKUP($H181,'Early Retirement'!$CI$6:$CL$33,2,FALSE),IF($J181&lt;&gt;"Centrifugal",VLOOKUP($H181,'Early Retirement'!$CI$6:$CL$33,3,FALSE),IF($J181="Centrifugal",VLOOKUP($H181,'Early Retirement'!$CI$6:$CL$33,4,FALSE),""))))</f>
        <v>0</v>
      </c>
      <c r="BL181" s="450">
        <f t="shared" si="88"/>
        <v>0</v>
      </c>
      <c r="BM181" s="553">
        <f>IFERROR('Utility Admin'!$I$4*((1+'Utility Admin'!$G$4)/('Utility Admin'!$H$4-'Utility Admin'!$G$4))*(1-((1+'Utility Admin'!$G$4)/(1+'Utility Admin'!$H$4))^$BK181)*$BG181,0)</f>
        <v>0</v>
      </c>
      <c r="BN181" s="553">
        <f>IFERROR('Utility Admin'!$I$4*((1+'Utility Admin'!$G$4)/('Utility Admin'!$H$4-'Utility Admin'!$G$4))*(1-((1+'Utility Admin'!$G$4)/(1+'Utility Admin'!$H$4))^$BL181)*((1+'Utility Admin'!$G$4)^$BK181/(1+'Utility Admin'!$H$4)^$BK181)*$BC181,0)</f>
        <v>0</v>
      </c>
      <c r="BO181" s="553">
        <f t="shared" si="27"/>
        <v>0</v>
      </c>
      <c r="BP181" s="553">
        <f>IFERROR('Utility Admin'!$J$4*((1+'Utility Admin'!$G$4)/('Utility Admin'!$H$4-'Utility Admin'!$G$4))*(1-((1+'Utility Admin'!$G$4)/(1+'Utility Admin'!$H$4))^$BK181)*$BJ181,0)</f>
        <v>0</v>
      </c>
      <c r="BQ181" s="553">
        <f>IFERROR('Utility Admin'!$J$4*((1+'Utility Admin'!$G$4)/('Utility Admin'!$H$4-'Utility Admin'!$G$4))*(1-((1+'Utility Admin'!$G$4)/(1+'Utility Admin'!$H$4))^$BL181)*((1+'Utility Admin'!$G$4)^$BK181/(1+'Utility Admin'!$H$4)^$BK181)*$BF181,0)</f>
        <v>0</v>
      </c>
      <c r="BR181" s="553">
        <f t="shared" si="28"/>
        <v>0</v>
      </c>
      <c r="BS181" s="553">
        <f>IFERROR('Utility Admin'!$I$4*((1+'Utility Admin'!$G$4)/('Utility Admin'!$H$4-'Utility Admin'!$G$4))*(1-((1+'Utility Admin'!$G$4)/(1+'Utility Admin'!$H$4))^$AT181),0)</f>
        <v>0</v>
      </c>
      <c r="BT181" s="553">
        <f>IFERROR('Utility Admin'!$J$4*((1+'Utility Admin'!$G$4)/('Utility Admin'!$H$4-'Utility Admin'!$G$4))*(1-((1+'Utility Admin'!$G$4)/(1+'Utility Admin'!$H$4))^$AT181),0)</f>
        <v>0</v>
      </c>
      <c r="BU181" s="459">
        <f t="shared" si="101"/>
        <v>0</v>
      </c>
      <c r="BV181" s="462">
        <f t="shared" si="102"/>
        <v>0</v>
      </c>
      <c r="BW181" s="219" t="str">
        <f t="shared" si="89"/>
        <v/>
      </c>
      <c r="BX181" s="250" t="str">
        <f t="shared" si="103"/>
        <v/>
      </c>
      <c r="BY181" s="250" t="str">
        <f t="shared" si="90"/>
        <v/>
      </c>
      <c r="BZ181" s="184">
        <f t="shared" si="104"/>
        <v>0</v>
      </c>
      <c r="CA181" s="693">
        <f t="shared" si="105"/>
        <v>0</v>
      </c>
      <c r="CB181" s="836">
        <f t="shared" si="106"/>
        <v>0</v>
      </c>
      <c r="CC181" s="693">
        <f>IF(AND($C181="Early Retirement",$H181&lt;&gt;"",$R181&lt;&gt;"",$T181&lt;&gt;""),$BZ181,Baselines!$CJ174)</f>
        <v>0</v>
      </c>
      <c r="CD181" s="693">
        <f>IF(AND($C181="Early Retirement",$H181&lt;&gt;"",$R181&lt;&gt;"",$T181&lt;&gt;""),$CA181,Baselines!$CK174)</f>
        <v>0</v>
      </c>
      <c r="CE181" s="182" t="str">
        <f>Baselines!$CL174</f>
        <v>kW/ton</v>
      </c>
      <c r="CF181" s="850" t="str">
        <f t="shared" si="91"/>
        <v/>
      </c>
      <c r="CG181" s="833">
        <f>IF(AND($C181="Early Retirement",$H181&lt;&gt;"",$R181&lt;&gt;"",$T181&lt;&gt;""),$CB181,IF(AND(Baselines!$CM174=0,OR($CL181="DX HP",$CL181="PTHP")),$BB181,Baselines!$CM174))</f>
        <v>0</v>
      </c>
      <c r="CH181" s="830" t="s">
        <v>567</v>
      </c>
      <c r="CI181" s="185" t="str">
        <f>IF(OR($C181="Replace-on-Burnout",$C181="New Construction"),$CT181,IF($BW181="","",VLOOKUP($D181,'Factor Tables'!$B$165:$H$192,MATCH($BW181,'Factor Tables'!$B$164:$H$164,0),FALSE)))</f>
        <v/>
      </c>
      <c r="CJ181" s="842" t="str">
        <f>IF(OR($C181="Replace-on-Burnout",$C181="New Construction"),$CU181,IF($BW181="","",IF($BW181="DX HP",VLOOKUP($D181,'Factor Tables'!$I$165:$Q$192,MATCH("DX HP Clg",'Factor Tables'!$I$164:$Q$164,0),FALSE),IF($BW181="PTHP",VLOOKUP($D181,'Factor Tables'!$I$165:$Q$192,MATCH("PTHP Clg",'Factor Tables'!$I$164:$Q$164,0),FALSE),IF(AND($BW181&lt;&gt;"DX HP",$BW181&lt;&gt;"PTHP"),VLOOKUP($D181,'Factor Tables'!$I$165:$Q$192,MATCH($BW181,'Factor Tables'!$I$164:$Q$164,0),FALSE),"")))))</f>
        <v/>
      </c>
      <c r="CK181" s="186" t="str">
        <f>IF(OR($C181="Replace-on-Burnout",$C181="New Construction",$CL181="DX HP",$CL181="PTHP"),$CV181,IF($BW181="","",IF($BW181="DX HP",VLOOKUP($D181,'Factor Tables'!$I$165:$Q$192,MATCH("DX HP Htg",'Factor Tables'!$I$164:$Q$164,0),FALSE),IF($BW181="PTHP",VLOOKUP($D181,'Factor Tables'!$I$165:$Q$192,MATCH("PTHP Htg",'Factor Tables'!$I$164:$Q$164,0),FALSE),0))))</f>
        <v/>
      </c>
      <c r="CL181" s="187" t="str">
        <f t="shared" si="92"/>
        <v/>
      </c>
      <c r="CM181" s="251" t="str">
        <f t="shared" si="93"/>
        <v/>
      </c>
      <c r="CN181" s="184">
        <f t="shared" si="107"/>
        <v>0</v>
      </c>
      <c r="CO181" s="693">
        <f t="shared" si="108"/>
        <v>0</v>
      </c>
      <c r="CP181" s="182" t="s">
        <v>46</v>
      </c>
      <c r="CQ181" s="852" t="str">
        <f t="shared" si="109"/>
        <v/>
      </c>
      <c r="CR181" s="833">
        <f t="shared" si="110"/>
        <v>0</v>
      </c>
      <c r="CS181" s="830" t="s">
        <v>567</v>
      </c>
      <c r="CT181" s="185" t="str">
        <f>IF($CL181="","",VLOOKUP($D181,'Factor Tables'!$B$165:$H$192,MATCH($CL181,'Factor Tables'!$B$164:$H$164,0),FALSE))</f>
        <v/>
      </c>
      <c r="CU181" s="842" t="str">
        <f>IF($CL181="","",IF(AND($CL181&lt;&gt;"DX HP",$CL181&lt;&gt;"PTHP"),VLOOKUP($D181,'Factor Tables'!$I$165:$Q$192,MATCH($CL181,'Factor Tables'!$I$164:$Q$164,0),FALSE),IF($CL181="DX HP",VLOOKUP($D181,'Factor Tables'!$I$165:$Q$192,MATCH("DX HP Clg",'Factor Tables'!$I$164:$Q$164,0),FALSE),IF($CL181="PTHP",VLOOKUP($D181,'Factor Tables'!$I$165:$Q$192,MATCH("PTHP Clg",'Factor Tables'!$I$164:$Q$164,0),FALSE),""))))</f>
        <v/>
      </c>
      <c r="CV181" s="186" t="str">
        <f>IF($CL181="","",IF(AND($CL181&lt;&gt;"DX HP",$CL181&lt;&gt;"PTHP"),0,IF($CL181="DX HP",VLOOKUP($D181,'Factor Tables'!$I$165:$Q$192,MATCH("DX HP Htg",'Factor Tables'!$I$164:$Q$164,0),FALSE),IF($CL181="PTHP",VLOOKUP($D181,'Factor Tables'!$I$165:$Q$192,MATCH("PTHP Htg",'Factor Tables'!$I$164:$Q$164,0),FALSE),""))))</f>
        <v/>
      </c>
      <c r="DD181" s="196" t="str">
        <f>IF(OR('Project Info'!$D$8="",$C21="",$D21=""),"",IF('Project Info'!$D$8="Weather Zone 5: El Paso",VLOOKUP($D21,$DI$9:$DL$37,MATCH($C21,$DI$9:$DL$9,0),FALSE),VLOOKUP($D21,$DE$9:$DH$37,MATCH($C21,$DE$9:$DH$9,0),FALSE)))</f>
        <v/>
      </c>
      <c r="DE181" s="426"/>
      <c r="DI181" s="425"/>
      <c r="DJ181" s="425"/>
      <c r="DK181" s="425"/>
      <c r="DL181" s="425"/>
      <c r="DM181" s="493" t="s">
        <v>478</v>
      </c>
    </row>
    <row r="182" spans="2:117" s="427" customFormat="1" ht="21.95" customHeight="1" x14ac:dyDescent="0.25">
      <c r="B182" s="431">
        <v>173</v>
      </c>
      <c r="C182" s="501" t="str">
        <f t="shared" si="94"/>
        <v/>
      </c>
      <c r="D182" s="502" t="str">
        <f t="shared" si="95"/>
        <v/>
      </c>
      <c r="E182" s="546"/>
      <c r="F182" s="547"/>
      <c r="G182" s="729"/>
      <c r="H182" s="729"/>
      <c r="I182" s="729"/>
      <c r="J182" s="729"/>
      <c r="K182" s="729"/>
      <c r="L182" s="729"/>
      <c r="M182" s="765"/>
      <c r="N182" s="758"/>
      <c r="O182" s="765"/>
      <c r="P182" s="758"/>
      <c r="Q182" s="1143"/>
      <c r="R182" s="1134"/>
      <c r="S182" s="775"/>
      <c r="T182" s="729"/>
      <c r="U182" s="775"/>
      <c r="V182" s="779"/>
      <c r="W182" s="557"/>
      <c r="X182" s="788"/>
      <c r="Y182" s="543"/>
      <c r="Z182" s="281"/>
      <c r="AA182" s="281"/>
      <c r="AB182" s="281"/>
      <c r="AC182" s="281"/>
      <c r="AD182" s="492"/>
      <c r="AE182" s="527">
        <f t="shared" si="39"/>
        <v>0</v>
      </c>
      <c r="AF182" s="527">
        <f t="shared" si="96"/>
        <v>0</v>
      </c>
      <c r="AG182" s="527">
        <f t="shared" si="76"/>
        <v>0</v>
      </c>
      <c r="AH182" s="527">
        <f t="shared" si="77"/>
        <v>0</v>
      </c>
      <c r="AI182" s="527">
        <f t="shared" si="78"/>
        <v>0</v>
      </c>
      <c r="AJ182" s="527">
        <f t="shared" si="79"/>
        <v>999999999</v>
      </c>
      <c r="AK182" s="471"/>
      <c r="AL182" s="765"/>
      <c r="AM182" s="758"/>
      <c r="AN182" s="281"/>
      <c r="AO182" s="775"/>
      <c r="AP182" s="775"/>
      <c r="AQ182" s="281"/>
      <c r="AR182" s="528"/>
      <c r="AS182" s="532"/>
      <c r="AT182" s="524" t="str">
        <f t="shared" si="80"/>
        <v/>
      </c>
      <c r="AU182" s="311">
        <f t="shared" si="81"/>
        <v>0</v>
      </c>
      <c r="AV182" s="288">
        <f t="shared" si="97"/>
        <v>0</v>
      </c>
      <c r="AW182" s="290">
        <f>IF(ISERROR($AU182*'Utility Admin'!$E$4+$AV182*'Utility Admin'!$F$4),0,$AU182*'Utility Admin'!$E$4+$AV182*'Utility Admin'!$F$4)</f>
        <v>0</v>
      </c>
      <c r="AX182" s="323" t="str">
        <f t="shared" si="82"/>
        <v/>
      </c>
      <c r="AY182" s="322" t="str">
        <f t="shared" si="23"/>
        <v/>
      </c>
      <c r="AZ182" s="319">
        <f>Baselines!$CJ426</f>
        <v>0</v>
      </c>
      <c r="BA182" s="735">
        <f>Baselines!$CK426</f>
        <v>0</v>
      </c>
      <c r="BB182" s="839">
        <f>Baselines!$CM426</f>
        <v>0</v>
      </c>
      <c r="BC182" s="466">
        <f t="shared" si="83"/>
        <v>0</v>
      </c>
      <c r="BD182" s="464">
        <f t="shared" si="98"/>
        <v>0</v>
      </c>
      <c r="BE182" s="755">
        <f t="shared" si="84"/>
        <v>0</v>
      </c>
      <c r="BF182" s="755">
        <f t="shared" si="99"/>
        <v>0</v>
      </c>
      <c r="BG182" s="466">
        <f t="shared" si="85"/>
        <v>0</v>
      </c>
      <c r="BH182" s="464">
        <f t="shared" si="86"/>
        <v>0</v>
      </c>
      <c r="BI182" s="755">
        <f t="shared" si="87"/>
        <v>0</v>
      </c>
      <c r="BJ182" s="755">
        <f t="shared" si="100"/>
        <v>0</v>
      </c>
      <c r="BK182" s="333">
        <f>IF(OR($C182&lt;&gt;"Early Retirement",$H182=""),0,IF(AND($G182&lt;&gt;"Air Cooled Chiller",$G182&lt;&gt;"Water Cooled Chiller"),VLOOKUP($H182,'Early Retirement'!$CI$6:$CL$33,2,FALSE),IF($J182&lt;&gt;"Centrifugal",VLOOKUP($H182,'Early Retirement'!$CI$6:$CL$33,3,FALSE),IF($J182="Centrifugal",VLOOKUP($H182,'Early Retirement'!$CI$6:$CL$33,4,FALSE),""))))</f>
        <v>0</v>
      </c>
      <c r="BL182" s="450">
        <f t="shared" si="88"/>
        <v>0</v>
      </c>
      <c r="BM182" s="553">
        <f>IFERROR('Utility Admin'!$I$4*((1+'Utility Admin'!$G$4)/('Utility Admin'!$H$4-'Utility Admin'!$G$4))*(1-((1+'Utility Admin'!$G$4)/(1+'Utility Admin'!$H$4))^$BK182)*$BG182,0)</f>
        <v>0</v>
      </c>
      <c r="BN182" s="553">
        <f>IFERROR('Utility Admin'!$I$4*((1+'Utility Admin'!$G$4)/('Utility Admin'!$H$4-'Utility Admin'!$G$4))*(1-((1+'Utility Admin'!$G$4)/(1+'Utility Admin'!$H$4))^$BL182)*((1+'Utility Admin'!$G$4)^$BK182/(1+'Utility Admin'!$H$4)^$BK182)*$BC182,0)</f>
        <v>0</v>
      </c>
      <c r="BO182" s="553">
        <f t="shared" si="27"/>
        <v>0</v>
      </c>
      <c r="BP182" s="553">
        <f>IFERROR('Utility Admin'!$J$4*((1+'Utility Admin'!$G$4)/('Utility Admin'!$H$4-'Utility Admin'!$G$4))*(1-((1+'Utility Admin'!$G$4)/(1+'Utility Admin'!$H$4))^$BK182)*$BJ182,0)</f>
        <v>0</v>
      </c>
      <c r="BQ182" s="553">
        <f>IFERROR('Utility Admin'!$J$4*((1+'Utility Admin'!$G$4)/('Utility Admin'!$H$4-'Utility Admin'!$G$4))*(1-((1+'Utility Admin'!$G$4)/(1+'Utility Admin'!$H$4))^$BL182)*((1+'Utility Admin'!$G$4)^$BK182/(1+'Utility Admin'!$H$4)^$BK182)*$BF182,0)</f>
        <v>0</v>
      </c>
      <c r="BR182" s="553">
        <f t="shared" si="28"/>
        <v>0</v>
      </c>
      <c r="BS182" s="553">
        <f>IFERROR('Utility Admin'!$I$4*((1+'Utility Admin'!$G$4)/('Utility Admin'!$H$4-'Utility Admin'!$G$4))*(1-((1+'Utility Admin'!$G$4)/(1+'Utility Admin'!$H$4))^$AT182),0)</f>
        <v>0</v>
      </c>
      <c r="BT182" s="553">
        <f>IFERROR('Utility Admin'!$J$4*((1+'Utility Admin'!$G$4)/('Utility Admin'!$H$4-'Utility Admin'!$G$4))*(1-((1+'Utility Admin'!$G$4)/(1+'Utility Admin'!$H$4))^$AT182),0)</f>
        <v>0</v>
      </c>
      <c r="BU182" s="459">
        <f t="shared" si="101"/>
        <v>0</v>
      </c>
      <c r="BV182" s="462">
        <f t="shared" si="102"/>
        <v>0</v>
      </c>
      <c r="BW182" s="219" t="str">
        <f t="shared" si="89"/>
        <v/>
      </c>
      <c r="BX182" s="250" t="str">
        <f t="shared" si="103"/>
        <v/>
      </c>
      <c r="BY182" s="250" t="str">
        <f t="shared" si="90"/>
        <v/>
      </c>
      <c r="BZ182" s="184">
        <f t="shared" si="104"/>
        <v>0</v>
      </c>
      <c r="CA182" s="693">
        <f t="shared" si="105"/>
        <v>0</v>
      </c>
      <c r="CB182" s="836">
        <f t="shared" si="106"/>
        <v>0</v>
      </c>
      <c r="CC182" s="693">
        <f>IF(AND($C182="Early Retirement",$H182&lt;&gt;"",$R182&lt;&gt;"",$T182&lt;&gt;""),$BZ182,Baselines!$CJ175)</f>
        <v>0</v>
      </c>
      <c r="CD182" s="693">
        <f>IF(AND($C182="Early Retirement",$H182&lt;&gt;"",$R182&lt;&gt;"",$T182&lt;&gt;""),$CA182,Baselines!$CK175)</f>
        <v>0</v>
      </c>
      <c r="CE182" s="182" t="str">
        <f>Baselines!$CL175</f>
        <v>kW/ton</v>
      </c>
      <c r="CF182" s="850" t="str">
        <f t="shared" si="91"/>
        <v/>
      </c>
      <c r="CG182" s="833">
        <f>IF(AND($C182="Early Retirement",$H182&lt;&gt;"",$R182&lt;&gt;"",$T182&lt;&gt;""),$CB182,IF(AND(Baselines!$CM175=0,OR($CL182="DX HP",$CL182="PTHP")),$BB182,Baselines!$CM175))</f>
        <v>0</v>
      </c>
      <c r="CH182" s="830" t="s">
        <v>567</v>
      </c>
      <c r="CI182" s="185" t="str">
        <f>IF(OR($C182="Replace-on-Burnout",$C182="New Construction"),$CT182,IF($BW182="","",VLOOKUP($D182,'Factor Tables'!$B$165:$H$192,MATCH($BW182,'Factor Tables'!$B$164:$H$164,0),FALSE)))</f>
        <v/>
      </c>
      <c r="CJ182" s="842" t="str">
        <f>IF(OR($C182="Replace-on-Burnout",$C182="New Construction"),$CU182,IF($BW182="","",IF($BW182="DX HP",VLOOKUP($D182,'Factor Tables'!$I$165:$Q$192,MATCH("DX HP Clg",'Factor Tables'!$I$164:$Q$164,0),FALSE),IF($BW182="PTHP",VLOOKUP($D182,'Factor Tables'!$I$165:$Q$192,MATCH("PTHP Clg",'Factor Tables'!$I$164:$Q$164,0),FALSE),IF(AND($BW182&lt;&gt;"DX HP",$BW182&lt;&gt;"PTHP"),VLOOKUP($D182,'Factor Tables'!$I$165:$Q$192,MATCH($BW182,'Factor Tables'!$I$164:$Q$164,0),FALSE),"")))))</f>
        <v/>
      </c>
      <c r="CK182" s="186" t="str">
        <f>IF(OR($C182="Replace-on-Burnout",$C182="New Construction",$CL182="DX HP",$CL182="PTHP"),$CV182,IF($BW182="","",IF($BW182="DX HP",VLOOKUP($D182,'Factor Tables'!$I$165:$Q$192,MATCH("DX HP Htg",'Factor Tables'!$I$164:$Q$164,0),FALSE),IF($BW182="PTHP",VLOOKUP($D182,'Factor Tables'!$I$165:$Q$192,MATCH("PTHP Htg",'Factor Tables'!$I$164:$Q$164,0),FALSE),0))))</f>
        <v/>
      </c>
      <c r="CL182" s="187" t="str">
        <f t="shared" si="92"/>
        <v/>
      </c>
      <c r="CM182" s="251" t="str">
        <f t="shared" si="93"/>
        <v/>
      </c>
      <c r="CN182" s="184">
        <f t="shared" si="107"/>
        <v>0</v>
      </c>
      <c r="CO182" s="693">
        <f t="shared" si="108"/>
        <v>0</v>
      </c>
      <c r="CP182" s="182" t="s">
        <v>46</v>
      </c>
      <c r="CQ182" s="852" t="str">
        <f t="shared" si="109"/>
        <v/>
      </c>
      <c r="CR182" s="833">
        <f t="shared" si="110"/>
        <v>0</v>
      </c>
      <c r="CS182" s="830" t="s">
        <v>567</v>
      </c>
      <c r="CT182" s="185" t="str">
        <f>IF($CL182="","",VLOOKUP($D182,'Factor Tables'!$B$165:$H$192,MATCH($CL182,'Factor Tables'!$B$164:$H$164,0),FALSE))</f>
        <v/>
      </c>
      <c r="CU182" s="842" t="str">
        <f>IF($CL182="","",IF(AND($CL182&lt;&gt;"DX HP",$CL182&lt;&gt;"PTHP"),VLOOKUP($D182,'Factor Tables'!$I$165:$Q$192,MATCH($CL182,'Factor Tables'!$I$164:$Q$164,0),FALSE),IF($CL182="DX HP",VLOOKUP($D182,'Factor Tables'!$I$165:$Q$192,MATCH("DX HP Clg",'Factor Tables'!$I$164:$Q$164,0),FALSE),IF($CL182="PTHP",VLOOKUP($D182,'Factor Tables'!$I$165:$Q$192,MATCH("PTHP Clg",'Factor Tables'!$I$164:$Q$164,0),FALSE),""))))</f>
        <v/>
      </c>
      <c r="CV182" s="186" t="str">
        <f>IF($CL182="","",IF(AND($CL182&lt;&gt;"DX HP",$CL182&lt;&gt;"PTHP"),0,IF($CL182="DX HP",VLOOKUP($D182,'Factor Tables'!$I$165:$Q$192,MATCH("DX HP Htg",'Factor Tables'!$I$164:$Q$164,0),FALSE),IF($CL182="PTHP",VLOOKUP($D182,'Factor Tables'!$I$165:$Q$192,MATCH("PTHP Htg",'Factor Tables'!$I$164:$Q$164,0),FALSE),""))))</f>
        <v/>
      </c>
      <c r="DD182" s="196" t="str">
        <f>IF(OR('Project Info'!$D$8="",$C22="",$D22=""),"",IF('Project Info'!$D$8="Weather Zone 5: El Paso",VLOOKUP($D22,$DI$9:$DL$37,MATCH($C22,$DI$9:$DL$9,0),FALSE),VLOOKUP($D22,$DE$9:$DH$37,MATCH($C22,$DE$9:$DH$9,0),FALSE)))</f>
        <v/>
      </c>
      <c r="DE182" s="426"/>
      <c r="DI182" s="425"/>
      <c r="DJ182" s="425"/>
      <c r="DK182" s="425"/>
      <c r="DL182" s="425"/>
      <c r="DM182" s="493" t="s">
        <v>478</v>
      </c>
    </row>
    <row r="183" spans="2:117" s="427" customFormat="1" ht="21.95" customHeight="1" x14ac:dyDescent="0.25">
      <c r="B183" s="432">
        <v>174</v>
      </c>
      <c r="C183" s="499" t="str">
        <f t="shared" si="94"/>
        <v/>
      </c>
      <c r="D183" s="403" t="str">
        <f t="shared" si="95"/>
        <v/>
      </c>
      <c r="E183" s="541"/>
      <c r="F183" s="785"/>
      <c r="G183" s="728"/>
      <c r="H183" s="728"/>
      <c r="I183" s="728"/>
      <c r="J183" s="728"/>
      <c r="K183" s="728"/>
      <c r="L183" s="728"/>
      <c r="M183" s="764"/>
      <c r="N183" s="728"/>
      <c r="O183" s="764"/>
      <c r="P183" s="728"/>
      <c r="Q183" s="1142"/>
      <c r="R183" s="1133"/>
      <c r="S183" s="778"/>
      <c r="T183" s="767"/>
      <c r="U183" s="778"/>
      <c r="V183" s="751"/>
      <c r="W183" s="556"/>
      <c r="X183" s="785"/>
      <c r="Y183" s="542"/>
      <c r="Z183" s="500"/>
      <c r="AA183" s="500"/>
      <c r="AB183" s="500"/>
      <c r="AC183" s="500"/>
      <c r="AD183" s="529"/>
      <c r="AE183" s="527">
        <f t="shared" si="39"/>
        <v>0</v>
      </c>
      <c r="AF183" s="527">
        <f t="shared" si="96"/>
        <v>0</v>
      </c>
      <c r="AG183" s="527">
        <f t="shared" si="76"/>
        <v>0</v>
      </c>
      <c r="AH183" s="527">
        <f t="shared" si="77"/>
        <v>0</v>
      </c>
      <c r="AI183" s="527">
        <f t="shared" si="78"/>
        <v>0</v>
      </c>
      <c r="AJ183" s="527">
        <f t="shared" si="79"/>
        <v>999999999</v>
      </c>
      <c r="AK183" s="530"/>
      <c r="AL183" s="776"/>
      <c r="AM183" s="777"/>
      <c r="AN183" s="500"/>
      <c r="AO183" s="778"/>
      <c r="AP183" s="778"/>
      <c r="AQ183" s="500"/>
      <c r="AR183" s="531"/>
      <c r="AS183" s="403"/>
      <c r="AT183" s="524" t="str">
        <f t="shared" si="80"/>
        <v/>
      </c>
      <c r="AU183" s="311">
        <f t="shared" si="81"/>
        <v>0</v>
      </c>
      <c r="AV183" s="288">
        <f t="shared" si="97"/>
        <v>0</v>
      </c>
      <c r="AW183" s="290">
        <f>IF(ISERROR($AU183*'Utility Admin'!$E$4+$AV183*'Utility Admin'!$F$4),0,$AU183*'Utility Admin'!$E$4+$AV183*'Utility Admin'!$F$4)</f>
        <v>0</v>
      </c>
      <c r="AX183" s="323" t="str">
        <f t="shared" si="82"/>
        <v/>
      </c>
      <c r="AY183" s="322" t="str">
        <f t="shared" si="23"/>
        <v/>
      </c>
      <c r="AZ183" s="319">
        <f>Baselines!$CJ427</f>
        <v>0</v>
      </c>
      <c r="BA183" s="735">
        <f>Baselines!$CK427</f>
        <v>0</v>
      </c>
      <c r="BB183" s="839">
        <f>Baselines!$CM427</f>
        <v>0</v>
      </c>
      <c r="BC183" s="466">
        <f t="shared" si="83"/>
        <v>0</v>
      </c>
      <c r="BD183" s="464">
        <f t="shared" si="98"/>
        <v>0</v>
      </c>
      <c r="BE183" s="755">
        <f t="shared" si="84"/>
        <v>0</v>
      </c>
      <c r="BF183" s="755">
        <f t="shared" si="99"/>
        <v>0</v>
      </c>
      <c r="BG183" s="466">
        <f t="shared" si="85"/>
        <v>0</v>
      </c>
      <c r="BH183" s="464">
        <f t="shared" si="86"/>
        <v>0</v>
      </c>
      <c r="BI183" s="755">
        <f t="shared" si="87"/>
        <v>0</v>
      </c>
      <c r="BJ183" s="755">
        <f t="shared" si="100"/>
        <v>0</v>
      </c>
      <c r="BK183" s="333">
        <f>IF(OR($C183&lt;&gt;"Early Retirement",$H183=""),0,IF(AND($G183&lt;&gt;"Air Cooled Chiller",$G183&lt;&gt;"Water Cooled Chiller"),VLOOKUP($H183,'Early Retirement'!$CI$6:$CL$33,2,FALSE),IF($J183&lt;&gt;"Centrifugal",VLOOKUP($H183,'Early Retirement'!$CI$6:$CL$33,3,FALSE),IF($J183="Centrifugal",VLOOKUP($H183,'Early Retirement'!$CI$6:$CL$33,4,FALSE),""))))</f>
        <v>0</v>
      </c>
      <c r="BL183" s="450">
        <f t="shared" si="88"/>
        <v>0</v>
      </c>
      <c r="BM183" s="553">
        <f>IFERROR('Utility Admin'!$I$4*((1+'Utility Admin'!$G$4)/('Utility Admin'!$H$4-'Utility Admin'!$G$4))*(1-((1+'Utility Admin'!$G$4)/(1+'Utility Admin'!$H$4))^$BK183)*$BG183,0)</f>
        <v>0</v>
      </c>
      <c r="BN183" s="553">
        <f>IFERROR('Utility Admin'!$I$4*((1+'Utility Admin'!$G$4)/('Utility Admin'!$H$4-'Utility Admin'!$G$4))*(1-((1+'Utility Admin'!$G$4)/(1+'Utility Admin'!$H$4))^$BL183)*((1+'Utility Admin'!$G$4)^$BK183/(1+'Utility Admin'!$H$4)^$BK183)*$BC183,0)</f>
        <v>0</v>
      </c>
      <c r="BO183" s="553">
        <f t="shared" si="27"/>
        <v>0</v>
      </c>
      <c r="BP183" s="553">
        <f>IFERROR('Utility Admin'!$J$4*((1+'Utility Admin'!$G$4)/('Utility Admin'!$H$4-'Utility Admin'!$G$4))*(1-((1+'Utility Admin'!$G$4)/(1+'Utility Admin'!$H$4))^$BK183)*$BJ183,0)</f>
        <v>0</v>
      </c>
      <c r="BQ183" s="553">
        <f>IFERROR('Utility Admin'!$J$4*((1+'Utility Admin'!$G$4)/('Utility Admin'!$H$4-'Utility Admin'!$G$4))*(1-((1+'Utility Admin'!$G$4)/(1+'Utility Admin'!$H$4))^$BL183)*((1+'Utility Admin'!$G$4)^$BK183/(1+'Utility Admin'!$H$4)^$BK183)*$BF183,0)</f>
        <v>0</v>
      </c>
      <c r="BR183" s="553">
        <f t="shared" si="28"/>
        <v>0</v>
      </c>
      <c r="BS183" s="553">
        <f>IFERROR('Utility Admin'!$I$4*((1+'Utility Admin'!$G$4)/('Utility Admin'!$H$4-'Utility Admin'!$G$4))*(1-((1+'Utility Admin'!$G$4)/(1+'Utility Admin'!$H$4))^$AT183),0)</f>
        <v>0</v>
      </c>
      <c r="BT183" s="553">
        <f>IFERROR('Utility Admin'!$J$4*((1+'Utility Admin'!$G$4)/('Utility Admin'!$H$4-'Utility Admin'!$G$4))*(1-((1+'Utility Admin'!$G$4)/(1+'Utility Admin'!$H$4))^$AT183),0)</f>
        <v>0</v>
      </c>
      <c r="BU183" s="459">
        <f t="shared" si="101"/>
        <v>0</v>
      </c>
      <c r="BV183" s="462">
        <f t="shared" si="102"/>
        <v>0</v>
      </c>
      <c r="BW183" s="219" t="str">
        <f t="shared" si="89"/>
        <v/>
      </c>
      <c r="BX183" s="250" t="str">
        <f t="shared" si="103"/>
        <v/>
      </c>
      <c r="BY183" s="250" t="str">
        <f t="shared" si="90"/>
        <v/>
      </c>
      <c r="BZ183" s="184">
        <f t="shared" si="104"/>
        <v>0</v>
      </c>
      <c r="CA183" s="693">
        <f t="shared" si="105"/>
        <v>0</v>
      </c>
      <c r="CB183" s="836">
        <f t="shared" si="106"/>
        <v>0</v>
      </c>
      <c r="CC183" s="693">
        <f>IF(AND($C183="Early Retirement",$H183&lt;&gt;"",$R183&lt;&gt;"",$T183&lt;&gt;""),$BZ183,Baselines!$CJ176)</f>
        <v>0</v>
      </c>
      <c r="CD183" s="693">
        <f>IF(AND($C183="Early Retirement",$H183&lt;&gt;"",$R183&lt;&gt;"",$T183&lt;&gt;""),$CA183,Baselines!$CK176)</f>
        <v>0</v>
      </c>
      <c r="CE183" s="182" t="str">
        <f>Baselines!$CL176</f>
        <v>kW/ton</v>
      </c>
      <c r="CF183" s="850" t="str">
        <f t="shared" si="91"/>
        <v/>
      </c>
      <c r="CG183" s="833">
        <f>IF(AND($C183="Early Retirement",$H183&lt;&gt;"",$R183&lt;&gt;"",$T183&lt;&gt;""),$CB183,IF(AND(Baselines!$CM176=0,OR($CL183="DX HP",$CL183="PTHP")),$BB183,Baselines!$CM176))</f>
        <v>0</v>
      </c>
      <c r="CH183" s="830" t="s">
        <v>567</v>
      </c>
      <c r="CI183" s="185" t="str">
        <f>IF(OR($C183="Replace-on-Burnout",$C183="New Construction"),$CT183,IF($BW183="","",VLOOKUP($D183,'Factor Tables'!$B$165:$H$192,MATCH($BW183,'Factor Tables'!$B$164:$H$164,0),FALSE)))</f>
        <v/>
      </c>
      <c r="CJ183" s="842" t="str">
        <f>IF(OR($C183="Replace-on-Burnout",$C183="New Construction"),$CU183,IF($BW183="","",IF($BW183="DX HP",VLOOKUP($D183,'Factor Tables'!$I$165:$Q$192,MATCH("DX HP Clg",'Factor Tables'!$I$164:$Q$164,0),FALSE),IF($BW183="PTHP",VLOOKUP($D183,'Factor Tables'!$I$165:$Q$192,MATCH("PTHP Clg",'Factor Tables'!$I$164:$Q$164,0),FALSE),IF(AND($BW183&lt;&gt;"DX HP",$BW183&lt;&gt;"PTHP"),VLOOKUP($D183,'Factor Tables'!$I$165:$Q$192,MATCH($BW183,'Factor Tables'!$I$164:$Q$164,0),FALSE),"")))))</f>
        <v/>
      </c>
      <c r="CK183" s="186" t="str">
        <f>IF(OR($C183="Replace-on-Burnout",$C183="New Construction",$CL183="DX HP",$CL183="PTHP"),$CV183,IF($BW183="","",IF($BW183="DX HP",VLOOKUP($D183,'Factor Tables'!$I$165:$Q$192,MATCH("DX HP Htg",'Factor Tables'!$I$164:$Q$164,0),FALSE),IF($BW183="PTHP",VLOOKUP($D183,'Factor Tables'!$I$165:$Q$192,MATCH("PTHP Htg",'Factor Tables'!$I$164:$Q$164,0),FALSE),0))))</f>
        <v/>
      </c>
      <c r="CL183" s="187" t="str">
        <f t="shared" si="92"/>
        <v/>
      </c>
      <c r="CM183" s="251" t="str">
        <f t="shared" si="93"/>
        <v/>
      </c>
      <c r="CN183" s="184">
        <f t="shared" si="107"/>
        <v>0</v>
      </c>
      <c r="CO183" s="693">
        <f t="shared" si="108"/>
        <v>0</v>
      </c>
      <c r="CP183" s="182" t="s">
        <v>46</v>
      </c>
      <c r="CQ183" s="852" t="str">
        <f t="shared" si="109"/>
        <v/>
      </c>
      <c r="CR183" s="833">
        <f t="shared" si="110"/>
        <v>0</v>
      </c>
      <c r="CS183" s="830" t="s">
        <v>567</v>
      </c>
      <c r="CT183" s="185" t="str">
        <f>IF($CL183="","",VLOOKUP($D183,'Factor Tables'!$B$165:$H$192,MATCH($CL183,'Factor Tables'!$B$164:$H$164,0),FALSE))</f>
        <v/>
      </c>
      <c r="CU183" s="842" t="str">
        <f>IF($CL183="","",IF(AND($CL183&lt;&gt;"DX HP",$CL183&lt;&gt;"PTHP"),VLOOKUP($D183,'Factor Tables'!$I$165:$Q$192,MATCH($CL183,'Factor Tables'!$I$164:$Q$164,0),FALSE),IF($CL183="DX HP",VLOOKUP($D183,'Factor Tables'!$I$165:$Q$192,MATCH("DX HP Clg",'Factor Tables'!$I$164:$Q$164,0),FALSE),IF($CL183="PTHP",VLOOKUP($D183,'Factor Tables'!$I$165:$Q$192,MATCH("PTHP Clg",'Factor Tables'!$I$164:$Q$164,0),FALSE),""))))</f>
        <v/>
      </c>
      <c r="CV183" s="186" t="str">
        <f>IF($CL183="","",IF(AND($CL183&lt;&gt;"DX HP",$CL183&lt;&gt;"PTHP"),0,IF($CL183="DX HP",VLOOKUP($D183,'Factor Tables'!$I$165:$Q$192,MATCH("DX HP Htg",'Factor Tables'!$I$164:$Q$164,0),FALSE),IF($CL183="PTHP",VLOOKUP($D183,'Factor Tables'!$I$165:$Q$192,MATCH("PTHP Htg",'Factor Tables'!$I$164:$Q$164,0),FALSE),""))))</f>
        <v/>
      </c>
      <c r="DD183" s="196" t="str">
        <f>IF(OR('Project Info'!$D$8="",$C23="",$D23=""),"",IF('Project Info'!$D$8="Weather Zone 5: El Paso",VLOOKUP($D23,$DI$9:$DL$37,MATCH($C23,$DI$9:$DL$9,0),FALSE),VLOOKUP($D23,$DE$9:$DH$37,MATCH($C23,$DE$9:$DH$9,0),FALSE)))</f>
        <v/>
      </c>
      <c r="DE183" s="426"/>
      <c r="DI183" s="425"/>
      <c r="DJ183" s="425"/>
      <c r="DK183" s="425"/>
      <c r="DL183" s="425"/>
      <c r="DM183" s="493" t="s">
        <v>478</v>
      </c>
    </row>
    <row r="184" spans="2:117" s="427" customFormat="1" ht="21.95" customHeight="1" x14ac:dyDescent="0.25">
      <c r="B184" s="431">
        <v>175</v>
      </c>
      <c r="C184" s="501" t="str">
        <f t="shared" si="94"/>
        <v/>
      </c>
      <c r="D184" s="502" t="str">
        <f t="shared" si="95"/>
        <v/>
      </c>
      <c r="E184" s="546"/>
      <c r="F184" s="547"/>
      <c r="G184" s="729"/>
      <c r="H184" s="729"/>
      <c r="I184" s="729"/>
      <c r="J184" s="729"/>
      <c r="K184" s="729"/>
      <c r="L184" s="729"/>
      <c r="M184" s="765"/>
      <c r="N184" s="758"/>
      <c r="O184" s="765"/>
      <c r="P184" s="758"/>
      <c r="Q184" s="1143"/>
      <c r="R184" s="1134"/>
      <c r="S184" s="775"/>
      <c r="T184" s="729"/>
      <c r="U184" s="775"/>
      <c r="V184" s="779"/>
      <c r="W184" s="557"/>
      <c r="X184" s="788"/>
      <c r="Y184" s="543"/>
      <c r="Z184" s="281"/>
      <c r="AA184" s="281"/>
      <c r="AB184" s="281"/>
      <c r="AC184" s="281"/>
      <c r="AD184" s="492"/>
      <c r="AE184" s="527">
        <f t="shared" si="39"/>
        <v>0</v>
      </c>
      <c r="AF184" s="527">
        <f t="shared" si="96"/>
        <v>0</v>
      </c>
      <c r="AG184" s="527">
        <f t="shared" si="76"/>
        <v>0</v>
      </c>
      <c r="AH184" s="527">
        <f t="shared" si="77"/>
        <v>0</v>
      </c>
      <c r="AI184" s="527">
        <f t="shared" si="78"/>
        <v>0</v>
      </c>
      <c r="AJ184" s="527">
        <f t="shared" si="79"/>
        <v>999999999</v>
      </c>
      <c r="AK184" s="471"/>
      <c r="AL184" s="765"/>
      <c r="AM184" s="758"/>
      <c r="AN184" s="281"/>
      <c r="AO184" s="775"/>
      <c r="AP184" s="775"/>
      <c r="AQ184" s="281"/>
      <c r="AR184" s="528"/>
      <c r="AS184" s="532"/>
      <c r="AT184" s="524" t="str">
        <f t="shared" si="80"/>
        <v/>
      </c>
      <c r="AU184" s="311">
        <f t="shared" si="81"/>
        <v>0</v>
      </c>
      <c r="AV184" s="288">
        <f t="shared" si="97"/>
        <v>0</v>
      </c>
      <c r="AW184" s="290">
        <f>IF(ISERROR($AU184*'Utility Admin'!$E$4+$AV184*'Utility Admin'!$F$4),0,$AU184*'Utility Admin'!$E$4+$AV184*'Utility Admin'!$F$4)</f>
        <v>0</v>
      </c>
      <c r="AX184" s="323" t="str">
        <f t="shared" si="82"/>
        <v/>
      </c>
      <c r="AY184" s="322" t="str">
        <f t="shared" si="23"/>
        <v/>
      </c>
      <c r="AZ184" s="319">
        <f>Baselines!$CJ428</f>
        <v>0</v>
      </c>
      <c r="BA184" s="735">
        <f>Baselines!$CK428</f>
        <v>0</v>
      </c>
      <c r="BB184" s="839">
        <f>Baselines!$CM428</f>
        <v>0</v>
      </c>
      <c r="BC184" s="466">
        <f t="shared" si="83"/>
        <v>0</v>
      </c>
      <c r="BD184" s="464">
        <f t="shared" si="98"/>
        <v>0</v>
      </c>
      <c r="BE184" s="755">
        <f t="shared" si="84"/>
        <v>0</v>
      </c>
      <c r="BF184" s="755">
        <f t="shared" si="99"/>
        <v>0</v>
      </c>
      <c r="BG184" s="466">
        <f t="shared" si="85"/>
        <v>0</v>
      </c>
      <c r="BH184" s="464">
        <f t="shared" si="86"/>
        <v>0</v>
      </c>
      <c r="BI184" s="755">
        <f t="shared" si="87"/>
        <v>0</v>
      </c>
      <c r="BJ184" s="755">
        <f t="shared" si="100"/>
        <v>0</v>
      </c>
      <c r="BK184" s="333">
        <f>IF(OR($C184&lt;&gt;"Early Retirement",$H184=""),0,IF(AND($G184&lt;&gt;"Air Cooled Chiller",$G184&lt;&gt;"Water Cooled Chiller"),VLOOKUP($H184,'Early Retirement'!$CI$6:$CL$33,2,FALSE),IF($J184&lt;&gt;"Centrifugal",VLOOKUP($H184,'Early Retirement'!$CI$6:$CL$33,3,FALSE),IF($J184="Centrifugal",VLOOKUP($H184,'Early Retirement'!$CI$6:$CL$33,4,FALSE),""))))</f>
        <v>0</v>
      </c>
      <c r="BL184" s="450">
        <f t="shared" si="88"/>
        <v>0</v>
      </c>
      <c r="BM184" s="553">
        <f>IFERROR('Utility Admin'!$I$4*((1+'Utility Admin'!$G$4)/('Utility Admin'!$H$4-'Utility Admin'!$G$4))*(1-((1+'Utility Admin'!$G$4)/(1+'Utility Admin'!$H$4))^$BK184)*$BG184,0)</f>
        <v>0</v>
      </c>
      <c r="BN184" s="553">
        <f>IFERROR('Utility Admin'!$I$4*((1+'Utility Admin'!$G$4)/('Utility Admin'!$H$4-'Utility Admin'!$G$4))*(1-((1+'Utility Admin'!$G$4)/(1+'Utility Admin'!$H$4))^$BL184)*((1+'Utility Admin'!$G$4)^$BK184/(1+'Utility Admin'!$H$4)^$BK184)*$BC184,0)</f>
        <v>0</v>
      </c>
      <c r="BO184" s="553">
        <f t="shared" si="27"/>
        <v>0</v>
      </c>
      <c r="BP184" s="553">
        <f>IFERROR('Utility Admin'!$J$4*((1+'Utility Admin'!$G$4)/('Utility Admin'!$H$4-'Utility Admin'!$G$4))*(1-((1+'Utility Admin'!$G$4)/(1+'Utility Admin'!$H$4))^$BK184)*$BJ184,0)</f>
        <v>0</v>
      </c>
      <c r="BQ184" s="553">
        <f>IFERROR('Utility Admin'!$J$4*((1+'Utility Admin'!$G$4)/('Utility Admin'!$H$4-'Utility Admin'!$G$4))*(1-((1+'Utility Admin'!$G$4)/(1+'Utility Admin'!$H$4))^$BL184)*((1+'Utility Admin'!$G$4)^$BK184/(1+'Utility Admin'!$H$4)^$BK184)*$BF184,0)</f>
        <v>0</v>
      </c>
      <c r="BR184" s="553">
        <f t="shared" si="28"/>
        <v>0</v>
      </c>
      <c r="BS184" s="553">
        <f>IFERROR('Utility Admin'!$I$4*((1+'Utility Admin'!$G$4)/('Utility Admin'!$H$4-'Utility Admin'!$G$4))*(1-((1+'Utility Admin'!$G$4)/(1+'Utility Admin'!$H$4))^$AT184),0)</f>
        <v>0</v>
      </c>
      <c r="BT184" s="553">
        <f>IFERROR('Utility Admin'!$J$4*((1+'Utility Admin'!$G$4)/('Utility Admin'!$H$4-'Utility Admin'!$G$4))*(1-((1+'Utility Admin'!$G$4)/(1+'Utility Admin'!$H$4))^$AT184),0)</f>
        <v>0</v>
      </c>
      <c r="BU184" s="459">
        <f t="shared" si="101"/>
        <v>0</v>
      </c>
      <c r="BV184" s="462">
        <f t="shared" si="102"/>
        <v>0</v>
      </c>
      <c r="BW184" s="219" t="str">
        <f t="shared" si="89"/>
        <v/>
      </c>
      <c r="BX184" s="250" t="str">
        <f t="shared" si="103"/>
        <v/>
      </c>
      <c r="BY184" s="250" t="str">
        <f t="shared" si="90"/>
        <v/>
      </c>
      <c r="BZ184" s="184">
        <f t="shared" si="104"/>
        <v>0</v>
      </c>
      <c r="CA184" s="693">
        <f t="shared" si="105"/>
        <v>0</v>
      </c>
      <c r="CB184" s="836">
        <f t="shared" si="106"/>
        <v>0</v>
      </c>
      <c r="CC184" s="693">
        <f>IF(AND($C184="Early Retirement",$H184&lt;&gt;"",$R184&lt;&gt;"",$T184&lt;&gt;""),$BZ184,Baselines!$CJ177)</f>
        <v>0</v>
      </c>
      <c r="CD184" s="693">
        <f>IF(AND($C184="Early Retirement",$H184&lt;&gt;"",$R184&lt;&gt;"",$T184&lt;&gt;""),$CA184,Baselines!$CK177)</f>
        <v>0</v>
      </c>
      <c r="CE184" s="182" t="str">
        <f>Baselines!$CL177</f>
        <v>kW/ton</v>
      </c>
      <c r="CF184" s="850" t="str">
        <f t="shared" si="91"/>
        <v/>
      </c>
      <c r="CG184" s="833">
        <f>IF(AND($C184="Early Retirement",$H184&lt;&gt;"",$R184&lt;&gt;"",$T184&lt;&gt;""),$CB184,IF(AND(Baselines!$CM177=0,OR($CL184="DX HP",$CL184="PTHP")),$BB184,Baselines!$CM177))</f>
        <v>0</v>
      </c>
      <c r="CH184" s="830" t="s">
        <v>567</v>
      </c>
      <c r="CI184" s="185" t="str">
        <f>IF(OR($C184="Replace-on-Burnout",$C184="New Construction"),$CT184,IF($BW184="","",VLOOKUP($D184,'Factor Tables'!$B$165:$H$192,MATCH($BW184,'Factor Tables'!$B$164:$H$164,0),FALSE)))</f>
        <v/>
      </c>
      <c r="CJ184" s="842" t="str">
        <f>IF(OR($C184="Replace-on-Burnout",$C184="New Construction"),$CU184,IF($BW184="","",IF($BW184="DX HP",VLOOKUP($D184,'Factor Tables'!$I$165:$Q$192,MATCH("DX HP Clg",'Factor Tables'!$I$164:$Q$164,0),FALSE),IF($BW184="PTHP",VLOOKUP($D184,'Factor Tables'!$I$165:$Q$192,MATCH("PTHP Clg",'Factor Tables'!$I$164:$Q$164,0),FALSE),IF(AND($BW184&lt;&gt;"DX HP",$BW184&lt;&gt;"PTHP"),VLOOKUP($D184,'Factor Tables'!$I$165:$Q$192,MATCH($BW184,'Factor Tables'!$I$164:$Q$164,0),FALSE),"")))))</f>
        <v/>
      </c>
      <c r="CK184" s="186" t="str">
        <f>IF(OR($C184="Replace-on-Burnout",$C184="New Construction",$CL184="DX HP",$CL184="PTHP"),$CV184,IF($BW184="","",IF($BW184="DX HP",VLOOKUP($D184,'Factor Tables'!$I$165:$Q$192,MATCH("DX HP Htg",'Factor Tables'!$I$164:$Q$164,0),FALSE),IF($BW184="PTHP",VLOOKUP($D184,'Factor Tables'!$I$165:$Q$192,MATCH("PTHP Htg",'Factor Tables'!$I$164:$Q$164,0),FALSE),0))))</f>
        <v/>
      </c>
      <c r="CL184" s="187" t="str">
        <f t="shared" si="92"/>
        <v/>
      </c>
      <c r="CM184" s="251" t="str">
        <f t="shared" si="93"/>
        <v/>
      </c>
      <c r="CN184" s="184">
        <f t="shared" si="107"/>
        <v>0</v>
      </c>
      <c r="CO184" s="693">
        <f t="shared" si="108"/>
        <v>0</v>
      </c>
      <c r="CP184" s="182" t="s">
        <v>46</v>
      </c>
      <c r="CQ184" s="852" t="str">
        <f t="shared" si="109"/>
        <v/>
      </c>
      <c r="CR184" s="833">
        <f t="shared" si="110"/>
        <v>0</v>
      </c>
      <c r="CS184" s="830" t="s">
        <v>567</v>
      </c>
      <c r="CT184" s="185" t="str">
        <f>IF($CL184="","",VLOOKUP($D184,'Factor Tables'!$B$165:$H$192,MATCH($CL184,'Factor Tables'!$B$164:$H$164,0),FALSE))</f>
        <v/>
      </c>
      <c r="CU184" s="842" t="str">
        <f>IF($CL184="","",IF(AND($CL184&lt;&gt;"DX HP",$CL184&lt;&gt;"PTHP"),VLOOKUP($D184,'Factor Tables'!$I$165:$Q$192,MATCH($CL184,'Factor Tables'!$I$164:$Q$164,0),FALSE),IF($CL184="DX HP",VLOOKUP($D184,'Factor Tables'!$I$165:$Q$192,MATCH("DX HP Clg",'Factor Tables'!$I$164:$Q$164,0),FALSE),IF($CL184="PTHP",VLOOKUP($D184,'Factor Tables'!$I$165:$Q$192,MATCH("PTHP Clg",'Factor Tables'!$I$164:$Q$164,0),FALSE),""))))</f>
        <v/>
      </c>
      <c r="CV184" s="186" t="str">
        <f>IF($CL184="","",IF(AND($CL184&lt;&gt;"DX HP",$CL184&lt;&gt;"PTHP"),0,IF($CL184="DX HP",VLOOKUP($D184,'Factor Tables'!$I$165:$Q$192,MATCH("DX HP Htg",'Factor Tables'!$I$164:$Q$164,0),FALSE),IF($CL184="PTHP",VLOOKUP($D184,'Factor Tables'!$I$165:$Q$192,MATCH("PTHP Htg",'Factor Tables'!$I$164:$Q$164,0),FALSE),""))))</f>
        <v/>
      </c>
      <c r="DD184" s="196" t="str">
        <f>IF(OR('Project Info'!$D$8="",$C24="",$D24=""),"",IF('Project Info'!$D$8="Weather Zone 5: El Paso",VLOOKUP($D24,$DI$9:$DL$37,MATCH($C24,$DI$9:$DL$9,0),FALSE),VLOOKUP($D24,$DE$9:$DH$37,MATCH($C24,$DE$9:$DH$9,0),FALSE)))</f>
        <v/>
      </c>
      <c r="DE184" s="426"/>
      <c r="DI184" s="425"/>
      <c r="DJ184" s="425"/>
      <c r="DK184" s="425"/>
      <c r="DL184" s="425"/>
      <c r="DM184" s="493" t="s">
        <v>478</v>
      </c>
    </row>
    <row r="185" spans="2:117" s="427" customFormat="1" ht="21.95" customHeight="1" x14ac:dyDescent="0.25">
      <c r="B185" s="432">
        <v>176</v>
      </c>
      <c r="C185" s="499" t="str">
        <f t="shared" si="94"/>
        <v/>
      </c>
      <c r="D185" s="403" t="str">
        <f t="shared" si="95"/>
        <v/>
      </c>
      <c r="E185" s="541"/>
      <c r="F185" s="785"/>
      <c r="G185" s="728"/>
      <c r="H185" s="728"/>
      <c r="I185" s="728"/>
      <c r="J185" s="728"/>
      <c r="K185" s="728"/>
      <c r="L185" s="728"/>
      <c r="M185" s="764"/>
      <c r="N185" s="728"/>
      <c r="O185" s="764"/>
      <c r="P185" s="728"/>
      <c r="Q185" s="1142"/>
      <c r="R185" s="1133"/>
      <c r="S185" s="778"/>
      <c r="T185" s="767"/>
      <c r="U185" s="778"/>
      <c r="V185" s="751"/>
      <c r="W185" s="556"/>
      <c r="X185" s="785"/>
      <c r="Y185" s="542"/>
      <c r="Z185" s="500"/>
      <c r="AA185" s="500"/>
      <c r="AB185" s="500"/>
      <c r="AC185" s="500"/>
      <c r="AD185" s="529"/>
      <c r="AE185" s="527">
        <f t="shared" si="39"/>
        <v>0</v>
      </c>
      <c r="AF185" s="527">
        <f t="shared" si="96"/>
        <v>0</v>
      </c>
      <c r="AG185" s="527">
        <f t="shared" si="76"/>
        <v>0</v>
      </c>
      <c r="AH185" s="527">
        <f t="shared" si="77"/>
        <v>0</v>
      </c>
      <c r="AI185" s="527">
        <f t="shared" si="78"/>
        <v>0</v>
      </c>
      <c r="AJ185" s="527">
        <f t="shared" si="79"/>
        <v>999999999</v>
      </c>
      <c r="AK185" s="530"/>
      <c r="AL185" s="776"/>
      <c r="AM185" s="777"/>
      <c r="AN185" s="500"/>
      <c r="AO185" s="778"/>
      <c r="AP185" s="778"/>
      <c r="AQ185" s="500"/>
      <c r="AR185" s="531"/>
      <c r="AS185" s="403"/>
      <c r="AT185" s="524" t="str">
        <f t="shared" si="80"/>
        <v/>
      </c>
      <c r="AU185" s="311">
        <f t="shared" si="81"/>
        <v>0</v>
      </c>
      <c r="AV185" s="288">
        <f t="shared" si="97"/>
        <v>0</v>
      </c>
      <c r="AW185" s="290">
        <f>IF(ISERROR($AU185*'Utility Admin'!$E$4+$AV185*'Utility Admin'!$F$4),0,$AU185*'Utility Admin'!$E$4+$AV185*'Utility Admin'!$F$4)</f>
        <v>0</v>
      </c>
      <c r="AX185" s="323" t="str">
        <f t="shared" si="82"/>
        <v/>
      </c>
      <c r="AY185" s="322" t="str">
        <f t="shared" si="23"/>
        <v/>
      </c>
      <c r="AZ185" s="319">
        <f>Baselines!$CJ429</f>
        <v>0</v>
      </c>
      <c r="BA185" s="735">
        <f>Baselines!$CK429</f>
        <v>0</v>
      </c>
      <c r="BB185" s="839">
        <f>Baselines!$CM429</f>
        <v>0</v>
      </c>
      <c r="BC185" s="466">
        <f t="shared" si="83"/>
        <v>0</v>
      </c>
      <c r="BD185" s="464">
        <f t="shared" si="98"/>
        <v>0</v>
      </c>
      <c r="BE185" s="755">
        <f t="shared" si="84"/>
        <v>0</v>
      </c>
      <c r="BF185" s="755">
        <f t="shared" si="99"/>
        <v>0</v>
      </c>
      <c r="BG185" s="466">
        <f t="shared" si="85"/>
        <v>0</v>
      </c>
      <c r="BH185" s="464">
        <f t="shared" si="86"/>
        <v>0</v>
      </c>
      <c r="BI185" s="755">
        <f t="shared" si="87"/>
        <v>0</v>
      </c>
      <c r="BJ185" s="755">
        <f t="shared" si="100"/>
        <v>0</v>
      </c>
      <c r="BK185" s="333">
        <f>IF(OR($C185&lt;&gt;"Early Retirement",$H185=""),0,IF(AND($G185&lt;&gt;"Air Cooled Chiller",$G185&lt;&gt;"Water Cooled Chiller"),VLOOKUP($H185,'Early Retirement'!$CI$6:$CL$33,2,FALSE),IF($J185&lt;&gt;"Centrifugal",VLOOKUP($H185,'Early Retirement'!$CI$6:$CL$33,3,FALSE),IF($J185="Centrifugal",VLOOKUP($H185,'Early Retirement'!$CI$6:$CL$33,4,FALSE),""))))</f>
        <v>0</v>
      </c>
      <c r="BL185" s="450">
        <f t="shared" si="88"/>
        <v>0</v>
      </c>
      <c r="BM185" s="553">
        <f>IFERROR('Utility Admin'!$I$4*((1+'Utility Admin'!$G$4)/('Utility Admin'!$H$4-'Utility Admin'!$G$4))*(1-((1+'Utility Admin'!$G$4)/(1+'Utility Admin'!$H$4))^$BK185)*$BG185,0)</f>
        <v>0</v>
      </c>
      <c r="BN185" s="553">
        <f>IFERROR('Utility Admin'!$I$4*((1+'Utility Admin'!$G$4)/('Utility Admin'!$H$4-'Utility Admin'!$G$4))*(1-((1+'Utility Admin'!$G$4)/(1+'Utility Admin'!$H$4))^$BL185)*((1+'Utility Admin'!$G$4)^$BK185/(1+'Utility Admin'!$H$4)^$BK185)*$BC185,0)</f>
        <v>0</v>
      </c>
      <c r="BO185" s="553">
        <f t="shared" si="27"/>
        <v>0</v>
      </c>
      <c r="BP185" s="553">
        <f>IFERROR('Utility Admin'!$J$4*((1+'Utility Admin'!$G$4)/('Utility Admin'!$H$4-'Utility Admin'!$G$4))*(1-((1+'Utility Admin'!$G$4)/(1+'Utility Admin'!$H$4))^$BK185)*$BJ185,0)</f>
        <v>0</v>
      </c>
      <c r="BQ185" s="553">
        <f>IFERROR('Utility Admin'!$J$4*((1+'Utility Admin'!$G$4)/('Utility Admin'!$H$4-'Utility Admin'!$G$4))*(1-((1+'Utility Admin'!$G$4)/(1+'Utility Admin'!$H$4))^$BL185)*((1+'Utility Admin'!$G$4)^$BK185/(1+'Utility Admin'!$H$4)^$BK185)*$BF185,0)</f>
        <v>0</v>
      </c>
      <c r="BR185" s="553">
        <f t="shared" si="28"/>
        <v>0</v>
      </c>
      <c r="BS185" s="553">
        <f>IFERROR('Utility Admin'!$I$4*((1+'Utility Admin'!$G$4)/('Utility Admin'!$H$4-'Utility Admin'!$G$4))*(1-((1+'Utility Admin'!$G$4)/(1+'Utility Admin'!$H$4))^$AT185),0)</f>
        <v>0</v>
      </c>
      <c r="BT185" s="553">
        <f>IFERROR('Utility Admin'!$J$4*((1+'Utility Admin'!$G$4)/('Utility Admin'!$H$4-'Utility Admin'!$G$4))*(1-((1+'Utility Admin'!$G$4)/(1+'Utility Admin'!$H$4))^$AT185),0)</f>
        <v>0</v>
      </c>
      <c r="BU185" s="459">
        <f t="shared" si="101"/>
        <v>0</v>
      </c>
      <c r="BV185" s="462">
        <f t="shared" si="102"/>
        <v>0</v>
      </c>
      <c r="BW185" s="219" t="str">
        <f t="shared" si="89"/>
        <v/>
      </c>
      <c r="BX185" s="250" t="str">
        <f t="shared" si="103"/>
        <v/>
      </c>
      <c r="BY185" s="250" t="str">
        <f t="shared" si="90"/>
        <v/>
      </c>
      <c r="BZ185" s="184">
        <f t="shared" si="104"/>
        <v>0</v>
      </c>
      <c r="CA185" s="693">
        <f t="shared" si="105"/>
        <v>0</v>
      </c>
      <c r="CB185" s="836">
        <f t="shared" si="106"/>
        <v>0</v>
      </c>
      <c r="CC185" s="693">
        <f>IF(AND($C185="Early Retirement",$H185&lt;&gt;"",$R185&lt;&gt;"",$T185&lt;&gt;""),$BZ185,Baselines!$CJ178)</f>
        <v>0</v>
      </c>
      <c r="CD185" s="693">
        <f>IF(AND($C185="Early Retirement",$H185&lt;&gt;"",$R185&lt;&gt;"",$T185&lt;&gt;""),$CA185,Baselines!$CK178)</f>
        <v>0</v>
      </c>
      <c r="CE185" s="182" t="str">
        <f>Baselines!$CL178</f>
        <v>kW/ton</v>
      </c>
      <c r="CF185" s="850" t="str">
        <f t="shared" si="91"/>
        <v/>
      </c>
      <c r="CG185" s="833">
        <f>IF(AND($C185="Early Retirement",$H185&lt;&gt;"",$R185&lt;&gt;"",$T185&lt;&gt;""),$CB185,IF(AND(Baselines!$CM178=0,OR($CL185="DX HP",$CL185="PTHP")),$BB185,Baselines!$CM178))</f>
        <v>0</v>
      </c>
      <c r="CH185" s="830" t="s">
        <v>567</v>
      </c>
      <c r="CI185" s="185" t="str">
        <f>IF(OR($C185="Replace-on-Burnout",$C185="New Construction"),$CT185,IF($BW185="","",VLOOKUP($D185,'Factor Tables'!$B$165:$H$192,MATCH($BW185,'Factor Tables'!$B$164:$H$164,0),FALSE)))</f>
        <v/>
      </c>
      <c r="CJ185" s="842" t="str">
        <f>IF(OR($C185="Replace-on-Burnout",$C185="New Construction"),$CU185,IF($BW185="","",IF($BW185="DX HP",VLOOKUP($D185,'Factor Tables'!$I$165:$Q$192,MATCH("DX HP Clg",'Factor Tables'!$I$164:$Q$164,0),FALSE),IF($BW185="PTHP",VLOOKUP($D185,'Factor Tables'!$I$165:$Q$192,MATCH("PTHP Clg",'Factor Tables'!$I$164:$Q$164,0),FALSE),IF(AND($BW185&lt;&gt;"DX HP",$BW185&lt;&gt;"PTHP"),VLOOKUP($D185,'Factor Tables'!$I$165:$Q$192,MATCH($BW185,'Factor Tables'!$I$164:$Q$164,0),FALSE),"")))))</f>
        <v/>
      </c>
      <c r="CK185" s="186" t="str">
        <f>IF(OR($C185="Replace-on-Burnout",$C185="New Construction",$CL185="DX HP",$CL185="PTHP"),$CV185,IF($BW185="","",IF($BW185="DX HP",VLOOKUP($D185,'Factor Tables'!$I$165:$Q$192,MATCH("DX HP Htg",'Factor Tables'!$I$164:$Q$164,0),FALSE),IF($BW185="PTHP",VLOOKUP($D185,'Factor Tables'!$I$165:$Q$192,MATCH("PTHP Htg",'Factor Tables'!$I$164:$Q$164,0),FALSE),0))))</f>
        <v/>
      </c>
      <c r="CL185" s="187" t="str">
        <f t="shared" si="92"/>
        <v/>
      </c>
      <c r="CM185" s="251" t="str">
        <f t="shared" si="93"/>
        <v/>
      </c>
      <c r="CN185" s="184">
        <f t="shared" si="107"/>
        <v>0</v>
      </c>
      <c r="CO185" s="693">
        <f t="shared" si="108"/>
        <v>0</v>
      </c>
      <c r="CP185" s="182" t="s">
        <v>46</v>
      </c>
      <c r="CQ185" s="852" t="str">
        <f t="shared" si="109"/>
        <v/>
      </c>
      <c r="CR185" s="833">
        <f t="shared" si="110"/>
        <v>0</v>
      </c>
      <c r="CS185" s="830" t="s">
        <v>567</v>
      </c>
      <c r="CT185" s="185" t="str">
        <f>IF($CL185="","",VLOOKUP($D185,'Factor Tables'!$B$165:$H$192,MATCH($CL185,'Factor Tables'!$B$164:$H$164,0),FALSE))</f>
        <v/>
      </c>
      <c r="CU185" s="842" t="str">
        <f>IF($CL185="","",IF(AND($CL185&lt;&gt;"DX HP",$CL185&lt;&gt;"PTHP"),VLOOKUP($D185,'Factor Tables'!$I$165:$Q$192,MATCH($CL185,'Factor Tables'!$I$164:$Q$164,0),FALSE),IF($CL185="DX HP",VLOOKUP($D185,'Factor Tables'!$I$165:$Q$192,MATCH("DX HP Clg",'Factor Tables'!$I$164:$Q$164,0),FALSE),IF($CL185="PTHP",VLOOKUP($D185,'Factor Tables'!$I$165:$Q$192,MATCH("PTHP Clg",'Factor Tables'!$I$164:$Q$164,0),FALSE),""))))</f>
        <v/>
      </c>
      <c r="CV185" s="186" t="str">
        <f>IF($CL185="","",IF(AND($CL185&lt;&gt;"DX HP",$CL185&lt;&gt;"PTHP"),0,IF($CL185="DX HP",VLOOKUP($D185,'Factor Tables'!$I$165:$Q$192,MATCH("DX HP Htg",'Factor Tables'!$I$164:$Q$164,0),FALSE),IF($CL185="PTHP",VLOOKUP($D185,'Factor Tables'!$I$165:$Q$192,MATCH("PTHP Htg",'Factor Tables'!$I$164:$Q$164,0),FALSE),""))))</f>
        <v/>
      </c>
      <c r="DD185" s="196" t="str">
        <f>IF(OR('Project Info'!$D$8="",$C25="",$D25=""),"",IF('Project Info'!$D$8="Weather Zone 5: El Paso",VLOOKUP($D25,$DI$9:$DL$37,MATCH($C25,$DI$9:$DL$9,0),FALSE),VLOOKUP($D25,$DE$9:$DH$37,MATCH($C25,$DE$9:$DH$9,0),FALSE)))</f>
        <v/>
      </c>
      <c r="DE185" s="426"/>
      <c r="DI185" s="425"/>
      <c r="DJ185" s="425"/>
      <c r="DK185" s="425"/>
      <c r="DL185" s="425"/>
      <c r="DM185" s="493" t="s">
        <v>478</v>
      </c>
    </row>
    <row r="186" spans="2:117" s="427" customFormat="1" ht="21.95" customHeight="1" x14ac:dyDescent="0.25">
      <c r="B186" s="431">
        <v>177</v>
      </c>
      <c r="C186" s="501" t="str">
        <f t="shared" si="94"/>
        <v/>
      </c>
      <c r="D186" s="502" t="str">
        <f t="shared" si="95"/>
        <v/>
      </c>
      <c r="E186" s="546"/>
      <c r="F186" s="547"/>
      <c r="G186" s="729"/>
      <c r="H186" s="729"/>
      <c r="I186" s="729"/>
      <c r="J186" s="729"/>
      <c r="K186" s="729"/>
      <c r="L186" s="729"/>
      <c r="M186" s="765"/>
      <c r="N186" s="758"/>
      <c r="O186" s="765"/>
      <c r="P186" s="758"/>
      <c r="Q186" s="1143"/>
      <c r="R186" s="1134"/>
      <c r="S186" s="775"/>
      <c r="T186" s="729"/>
      <c r="U186" s="775"/>
      <c r="V186" s="779"/>
      <c r="W186" s="557"/>
      <c r="X186" s="788"/>
      <c r="Y186" s="543"/>
      <c r="Z186" s="281"/>
      <c r="AA186" s="281"/>
      <c r="AB186" s="281"/>
      <c r="AC186" s="281"/>
      <c r="AD186" s="492"/>
      <c r="AE186" s="527">
        <f t="shared" si="39"/>
        <v>0</v>
      </c>
      <c r="AF186" s="527">
        <f t="shared" si="96"/>
        <v>0</v>
      </c>
      <c r="AG186" s="527">
        <f t="shared" si="76"/>
        <v>0</v>
      </c>
      <c r="AH186" s="527">
        <f t="shared" si="77"/>
        <v>0</v>
      </c>
      <c r="AI186" s="527">
        <f t="shared" si="78"/>
        <v>0</v>
      </c>
      <c r="AJ186" s="527">
        <f t="shared" si="79"/>
        <v>999999999</v>
      </c>
      <c r="AK186" s="471"/>
      <c r="AL186" s="765"/>
      <c r="AM186" s="758"/>
      <c r="AN186" s="281"/>
      <c r="AO186" s="775"/>
      <c r="AP186" s="775"/>
      <c r="AQ186" s="281"/>
      <c r="AR186" s="528"/>
      <c r="AS186" s="532"/>
      <c r="AT186" s="524" t="str">
        <f t="shared" si="80"/>
        <v/>
      </c>
      <c r="AU186" s="311">
        <f t="shared" si="81"/>
        <v>0</v>
      </c>
      <c r="AV186" s="288">
        <f t="shared" si="97"/>
        <v>0</v>
      </c>
      <c r="AW186" s="290">
        <f>IF(ISERROR($AU186*'Utility Admin'!$E$4+$AV186*'Utility Admin'!$F$4),0,$AU186*'Utility Admin'!$E$4+$AV186*'Utility Admin'!$F$4)</f>
        <v>0</v>
      </c>
      <c r="AX186" s="323" t="str">
        <f t="shared" si="82"/>
        <v/>
      </c>
      <c r="AY186" s="322" t="str">
        <f t="shared" si="23"/>
        <v/>
      </c>
      <c r="AZ186" s="319">
        <f>Baselines!$CJ430</f>
        <v>0</v>
      </c>
      <c r="BA186" s="735">
        <f>Baselines!$CK430</f>
        <v>0</v>
      </c>
      <c r="BB186" s="839">
        <f>Baselines!$CM430</f>
        <v>0</v>
      </c>
      <c r="BC186" s="466">
        <f t="shared" si="83"/>
        <v>0</v>
      </c>
      <c r="BD186" s="464">
        <f t="shared" si="98"/>
        <v>0</v>
      </c>
      <c r="BE186" s="755">
        <f t="shared" si="84"/>
        <v>0</v>
      </c>
      <c r="BF186" s="755">
        <f t="shared" si="99"/>
        <v>0</v>
      </c>
      <c r="BG186" s="466">
        <f t="shared" si="85"/>
        <v>0</v>
      </c>
      <c r="BH186" s="464">
        <f t="shared" si="86"/>
        <v>0</v>
      </c>
      <c r="BI186" s="755">
        <f t="shared" si="87"/>
        <v>0</v>
      </c>
      <c r="BJ186" s="755">
        <f t="shared" si="100"/>
        <v>0</v>
      </c>
      <c r="BK186" s="333">
        <f>IF(OR($C186&lt;&gt;"Early Retirement",$H186=""),0,IF(AND($G186&lt;&gt;"Air Cooled Chiller",$G186&lt;&gt;"Water Cooled Chiller"),VLOOKUP($H186,'Early Retirement'!$CI$6:$CL$33,2,FALSE),IF($J186&lt;&gt;"Centrifugal",VLOOKUP($H186,'Early Retirement'!$CI$6:$CL$33,3,FALSE),IF($J186="Centrifugal",VLOOKUP($H186,'Early Retirement'!$CI$6:$CL$33,4,FALSE),""))))</f>
        <v>0</v>
      </c>
      <c r="BL186" s="450">
        <f t="shared" si="88"/>
        <v>0</v>
      </c>
      <c r="BM186" s="553">
        <f>IFERROR('Utility Admin'!$I$4*((1+'Utility Admin'!$G$4)/('Utility Admin'!$H$4-'Utility Admin'!$G$4))*(1-((1+'Utility Admin'!$G$4)/(1+'Utility Admin'!$H$4))^$BK186)*$BG186,0)</f>
        <v>0</v>
      </c>
      <c r="BN186" s="553">
        <f>IFERROR('Utility Admin'!$I$4*((1+'Utility Admin'!$G$4)/('Utility Admin'!$H$4-'Utility Admin'!$G$4))*(1-((1+'Utility Admin'!$G$4)/(1+'Utility Admin'!$H$4))^$BL186)*((1+'Utility Admin'!$G$4)^$BK186/(1+'Utility Admin'!$H$4)^$BK186)*$BC186,0)</f>
        <v>0</v>
      </c>
      <c r="BO186" s="553">
        <f t="shared" si="27"/>
        <v>0</v>
      </c>
      <c r="BP186" s="553">
        <f>IFERROR('Utility Admin'!$J$4*((1+'Utility Admin'!$G$4)/('Utility Admin'!$H$4-'Utility Admin'!$G$4))*(1-((1+'Utility Admin'!$G$4)/(1+'Utility Admin'!$H$4))^$BK186)*$BJ186,0)</f>
        <v>0</v>
      </c>
      <c r="BQ186" s="553">
        <f>IFERROR('Utility Admin'!$J$4*((1+'Utility Admin'!$G$4)/('Utility Admin'!$H$4-'Utility Admin'!$G$4))*(1-((1+'Utility Admin'!$G$4)/(1+'Utility Admin'!$H$4))^$BL186)*((1+'Utility Admin'!$G$4)^$BK186/(1+'Utility Admin'!$H$4)^$BK186)*$BF186,0)</f>
        <v>0</v>
      </c>
      <c r="BR186" s="553">
        <f t="shared" si="28"/>
        <v>0</v>
      </c>
      <c r="BS186" s="553">
        <f>IFERROR('Utility Admin'!$I$4*((1+'Utility Admin'!$G$4)/('Utility Admin'!$H$4-'Utility Admin'!$G$4))*(1-((1+'Utility Admin'!$G$4)/(1+'Utility Admin'!$H$4))^$AT186),0)</f>
        <v>0</v>
      </c>
      <c r="BT186" s="553">
        <f>IFERROR('Utility Admin'!$J$4*((1+'Utility Admin'!$G$4)/('Utility Admin'!$H$4-'Utility Admin'!$G$4))*(1-((1+'Utility Admin'!$G$4)/(1+'Utility Admin'!$H$4))^$AT186),0)</f>
        <v>0</v>
      </c>
      <c r="BU186" s="459">
        <f t="shared" si="101"/>
        <v>0</v>
      </c>
      <c r="BV186" s="462">
        <f t="shared" si="102"/>
        <v>0</v>
      </c>
      <c r="BW186" s="219" t="str">
        <f t="shared" si="89"/>
        <v/>
      </c>
      <c r="BX186" s="250" t="str">
        <f t="shared" si="103"/>
        <v/>
      </c>
      <c r="BY186" s="250" t="str">
        <f t="shared" si="90"/>
        <v/>
      </c>
      <c r="BZ186" s="184">
        <f t="shared" si="104"/>
        <v>0</v>
      </c>
      <c r="CA186" s="693">
        <f t="shared" si="105"/>
        <v>0</v>
      </c>
      <c r="CB186" s="836">
        <f t="shared" si="106"/>
        <v>0</v>
      </c>
      <c r="CC186" s="693">
        <f>IF(AND($C186="Early Retirement",$H186&lt;&gt;"",$R186&lt;&gt;"",$T186&lt;&gt;""),$BZ186,Baselines!$CJ179)</f>
        <v>0</v>
      </c>
      <c r="CD186" s="693">
        <f>IF(AND($C186="Early Retirement",$H186&lt;&gt;"",$R186&lt;&gt;"",$T186&lt;&gt;""),$CA186,Baselines!$CK179)</f>
        <v>0</v>
      </c>
      <c r="CE186" s="182" t="str">
        <f>Baselines!$CL179</f>
        <v>kW/ton</v>
      </c>
      <c r="CF186" s="850" t="str">
        <f t="shared" si="91"/>
        <v/>
      </c>
      <c r="CG186" s="833">
        <f>IF(AND($C186="Early Retirement",$H186&lt;&gt;"",$R186&lt;&gt;"",$T186&lt;&gt;""),$CB186,IF(AND(Baselines!$CM179=0,OR($CL186="DX HP",$CL186="PTHP")),$BB186,Baselines!$CM179))</f>
        <v>0</v>
      </c>
      <c r="CH186" s="830" t="s">
        <v>567</v>
      </c>
      <c r="CI186" s="185" t="str">
        <f>IF(OR($C186="Replace-on-Burnout",$C186="New Construction"),$CT186,IF($BW186="","",VLOOKUP($D186,'Factor Tables'!$B$165:$H$192,MATCH($BW186,'Factor Tables'!$B$164:$H$164,0),FALSE)))</f>
        <v/>
      </c>
      <c r="CJ186" s="842" t="str">
        <f>IF(OR($C186="Replace-on-Burnout",$C186="New Construction"),$CU186,IF($BW186="","",IF($BW186="DX HP",VLOOKUP($D186,'Factor Tables'!$I$165:$Q$192,MATCH("DX HP Clg",'Factor Tables'!$I$164:$Q$164,0),FALSE),IF($BW186="PTHP",VLOOKUP($D186,'Factor Tables'!$I$165:$Q$192,MATCH("PTHP Clg",'Factor Tables'!$I$164:$Q$164,0),FALSE),IF(AND($BW186&lt;&gt;"DX HP",$BW186&lt;&gt;"PTHP"),VLOOKUP($D186,'Factor Tables'!$I$165:$Q$192,MATCH($BW186,'Factor Tables'!$I$164:$Q$164,0),FALSE),"")))))</f>
        <v/>
      </c>
      <c r="CK186" s="186" t="str">
        <f>IF(OR($C186="Replace-on-Burnout",$C186="New Construction",$CL186="DX HP",$CL186="PTHP"),$CV186,IF($BW186="","",IF($BW186="DX HP",VLOOKUP($D186,'Factor Tables'!$I$165:$Q$192,MATCH("DX HP Htg",'Factor Tables'!$I$164:$Q$164,0),FALSE),IF($BW186="PTHP",VLOOKUP($D186,'Factor Tables'!$I$165:$Q$192,MATCH("PTHP Htg",'Factor Tables'!$I$164:$Q$164,0),FALSE),0))))</f>
        <v/>
      </c>
      <c r="CL186" s="187" t="str">
        <f t="shared" si="92"/>
        <v/>
      </c>
      <c r="CM186" s="251" t="str">
        <f t="shared" si="93"/>
        <v/>
      </c>
      <c r="CN186" s="184">
        <f t="shared" si="107"/>
        <v>0</v>
      </c>
      <c r="CO186" s="693">
        <f t="shared" si="108"/>
        <v>0</v>
      </c>
      <c r="CP186" s="182" t="s">
        <v>46</v>
      </c>
      <c r="CQ186" s="852" t="str">
        <f t="shared" si="109"/>
        <v/>
      </c>
      <c r="CR186" s="833">
        <f t="shared" si="110"/>
        <v>0</v>
      </c>
      <c r="CS186" s="830" t="s">
        <v>567</v>
      </c>
      <c r="CT186" s="185" t="str">
        <f>IF($CL186="","",VLOOKUP($D186,'Factor Tables'!$B$165:$H$192,MATCH($CL186,'Factor Tables'!$B$164:$H$164,0),FALSE))</f>
        <v/>
      </c>
      <c r="CU186" s="842" t="str">
        <f>IF($CL186="","",IF(AND($CL186&lt;&gt;"DX HP",$CL186&lt;&gt;"PTHP"),VLOOKUP($D186,'Factor Tables'!$I$165:$Q$192,MATCH($CL186,'Factor Tables'!$I$164:$Q$164,0),FALSE),IF($CL186="DX HP",VLOOKUP($D186,'Factor Tables'!$I$165:$Q$192,MATCH("DX HP Clg",'Factor Tables'!$I$164:$Q$164,0),FALSE),IF($CL186="PTHP",VLOOKUP($D186,'Factor Tables'!$I$165:$Q$192,MATCH("PTHP Clg",'Factor Tables'!$I$164:$Q$164,0),FALSE),""))))</f>
        <v/>
      </c>
      <c r="CV186" s="186" t="str">
        <f>IF($CL186="","",IF(AND($CL186&lt;&gt;"DX HP",$CL186&lt;&gt;"PTHP"),0,IF($CL186="DX HP",VLOOKUP($D186,'Factor Tables'!$I$165:$Q$192,MATCH("DX HP Htg",'Factor Tables'!$I$164:$Q$164,0),FALSE),IF($CL186="PTHP",VLOOKUP($D186,'Factor Tables'!$I$165:$Q$192,MATCH("PTHP Htg",'Factor Tables'!$I$164:$Q$164,0),FALSE),""))))</f>
        <v/>
      </c>
      <c r="DD186" s="196" t="str">
        <f>IF(OR('Project Info'!$D$8="",$C26="",$D26=""),"",IF('Project Info'!$D$8="Weather Zone 5: El Paso",VLOOKUP($D26,$DI$9:$DL$37,MATCH($C26,$DI$9:$DL$9,0),FALSE),VLOOKUP($D26,$DE$9:$DH$37,MATCH($C26,$DE$9:$DH$9,0),FALSE)))</f>
        <v/>
      </c>
      <c r="DE186" s="426"/>
      <c r="DI186" s="425"/>
      <c r="DJ186" s="425"/>
      <c r="DK186" s="425"/>
      <c r="DL186" s="425"/>
      <c r="DM186" s="493" t="s">
        <v>478</v>
      </c>
    </row>
    <row r="187" spans="2:117" s="427" customFormat="1" ht="21.95" customHeight="1" x14ac:dyDescent="0.25">
      <c r="B187" s="432">
        <v>178</v>
      </c>
      <c r="C187" s="499" t="str">
        <f t="shared" si="94"/>
        <v/>
      </c>
      <c r="D187" s="403" t="str">
        <f t="shared" si="95"/>
        <v/>
      </c>
      <c r="E187" s="541"/>
      <c r="F187" s="785"/>
      <c r="G187" s="728"/>
      <c r="H187" s="728"/>
      <c r="I187" s="728"/>
      <c r="J187" s="728"/>
      <c r="K187" s="728"/>
      <c r="L187" s="728"/>
      <c r="M187" s="764"/>
      <c r="N187" s="728"/>
      <c r="O187" s="764"/>
      <c r="P187" s="728"/>
      <c r="Q187" s="1142"/>
      <c r="R187" s="1133"/>
      <c r="S187" s="778"/>
      <c r="T187" s="767"/>
      <c r="U187" s="778"/>
      <c r="V187" s="751"/>
      <c r="W187" s="556"/>
      <c r="X187" s="785"/>
      <c r="Y187" s="542"/>
      <c r="Z187" s="500"/>
      <c r="AA187" s="500"/>
      <c r="AB187" s="500"/>
      <c r="AC187" s="500"/>
      <c r="AD187" s="529"/>
      <c r="AE187" s="527">
        <f t="shared" si="39"/>
        <v>0</v>
      </c>
      <c r="AF187" s="527">
        <f t="shared" si="96"/>
        <v>0</v>
      </c>
      <c r="AG187" s="527">
        <f t="shared" si="76"/>
        <v>0</v>
      </c>
      <c r="AH187" s="527">
        <f t="shared" si="77"/>
        <v>0</v>
      </c>
      <c r="AI187" s="527">
        <f t="shared" si="78"/>
        <v>0</v>
      </c>
      <c r="AJ187" s="527">
        <f t="shared" si="79"/>
        <v>999999999</v>
      </c>
      <c r="AK187" s="530"/>
      <c r="AL187" s="776"/>
      <c r="AM187" s="777"/>
      <c r="AN187" s="500"/>
      <c r="AO187" s="778"/>
      <c r="AP187" s="778"/>
      <c r="AQ187" s="500"/>
      <c r="AR187" s="531"/>
      <c r="AS187" s="403"/>
      <c r="AT187" s="524" t="str">
        <f t="shared" si="80"/>
        <v/>
      </c>
      <c r="AU187" s="311">
        <f t="shared" si="81"/>
        <v>0</v>
      </c>
      <c r="AV187" s="288">
        <f t="shared" si="97"/>
        <v>0</v>
      </c>
      <c r="AW187" s="290">
        <f>IF(ISERROR($AU187*'Utility Admin'!$E$4+$AV187*'Utility Admin'!$F$4),0,$AU187*'Utility Admin'!$E$4+$AV187*'Utility Admin'!$F$4)</f>
        <v>0</v>
      </c>
      <c r="AX187" s="323" t="str">
        <f t="shared" si="82"/>
        <v/>
      </c>
      <c r="AY187" s="322" t="str">
        <f t="shared" si="23"/>
        <v/>
      </c>
      <c r="AZ187" s="319">
        <f>Baselines!$CJ431</f>
        <v>0</v>
      </c>
      <c r="BA187" s="735">
        <f>Baselines!$CK431</f>
        <v>0</v>
      </c>
      <c r="BB187" s="839">
        <f>Baselines!$CM431</f>
        <v>0</v>
      </c>
      <c r="BC187" s="466">
        <f t="shared" si="83"/>
        <v>0</v>
      </c>
      <c r="BD187" s="464">
        <f t="shared" si="98"/>
        <v>0</v>
      </c>
      <c r="BE187" s="755">
        <f t="shared" si="84"/>
        <v>0</v>
      </c>
      <c r="BF187" s="755">
        <f t="shared" si="99"/>
        <v>0</v>
      </c>
      <c r="BG187" s="466">
        <f t="shared" si="85"/>
        <v>0</v>
      </c>
      <c r="BH187" s="464">
        <f t="shared" si="86"/>
        <v>0</v>
      </c>
      <c r="BI187" s="755">
        <f t="shared" si="87"/>
        <v>0</v>
      </c>
      <c r="BJ187" s="755">
        <f t="shared" si="100"/>
        <v>0</v>
      </c>
      <c r="BK187" s="333">
        <f>IF(OR($C187&lt;&gt;"Early Retirement",$H187=""),0,IF(AND($G187&lt;&gt;"Air Cooled Chiller",$G187&lt;&gt;"Water Cooled Chiller"),VLOOKUP($H187,'Early Retirement'!$CI$6:$CL$33,2,FALSE),IF($J187&lt;&gt;"Centrifugal",VLOOKUP($H187,'Early Retirement'!$CI$6:$CL$33,3,FALSE),IF($J187="Centrifugal",VLOOKUP($H187,'Early Retirement'!$CI$6:$CL$33,4,FALSE),""))))</f>
        <v>0</v>
      </c>
      <c r="BL187" s="450">
        <f t="shared" si="88"/>
        <v>0</v>
      </c>
      <c r="BM187" s="553">
        <f>IFERROR('Utility Admin'!$I$4*((1+'Utility Admin'!$G$4)/('Utility Admin'!$H$4-'Utility Admin'!$G$4))*(1-((1+'Utility Admin'!$G$4)/(1+'Utility Admin'!$H$4))^$BK187)*$BG187,0)</f>
        <v>0</v>
      </c>
      <c r="BN187" s="553">
        <f>IFERROR('Utility Admin'!$I$4*((1+'Utility Admin'!$G$4)/('Utility Admin'!$H$4-'Utility Admin'!$G$4))*(1-((1+'Utility Admin'!$G$4)/(1+'Utility Admin'!$H$4))^$BL187)*((1+'Utility Admin'!$G$4)^$BK187/(1+'Utility Admin'!$H$4)^$BK187)*$BC187,0)</f>
        <v>0</v>
      </c>
      <c r="BO187" s="553">
        <f t="shared" si="27"/>
        <v>0</v>
      </c>
      <c r="BP187" s="553">
        <f>IFERROR('Utility Admin'!$J$4*((1+'Utility Admin'!$G$4)/('Utility Admin'!$H$4-'Utility Admin'!$G$4))*(1-((1+'Utility Admin'!$G$4)/(1+'Utility Admin'!$H$4))^$BK187)*$BJ187,0)</f>
        <v>0</v>
      </c>
      <c r="BQ187" s="553">
        <f>IFERROR('Utility Admin'!$J$4*((1+'Utility Admin'!$G$4)/('Utility Admin'!$H$4-'Utility Admin'!$G$4))*(1-((1+'Utility Admin'!$G$4)/(1+'Utility Admin'!$H$4))^$BL187)*((1+'Utility Admin'!$G$4)^$BK187/(1+'Utility Admin'!$H$4)^$BK187)*$BF187,0)</f>
        <v>0</v>
      </c>
      <c r="BR187" s="553">
        <f t="shared" si="28"/>
        <v>0</v>
      </c>
      <c r="BS187" s="553">
        <f>IFERROR('Utility Admin'!$I$4*((1+'Utility Admin'!$G$4)/('Utility Admin'!$H$4-'Utility Admin'!$G$4))*(1-((1+'Utility Admin'!$G$4)/(1+'Utility Admin'!$H$4))^$AT187),0)</f>
        <v>0</v>
      </c>
      <c r="BT187" s="553">
        <f>IFERROR('Utility Admin'!$J$4*((1+'Utility Admin'!$G$4)/('Utility Admin'!$H$4-'Utility Admin'!$G$4))*(1-((1+'Utility Admin'!$G$4)/(1+'Utility Admin'!$H$4))^$AT187),0)</f>
        <v>0</v>
      </c>
      <c r="BU187" s="459">
        <f t="shared" si="101"/>
        <v>0</v>
      </c>
      <c r="BV187" s="462">
        <f t="shared" si="102"/>
        <v>0</v>
      </c>
      <c r="BW187" s="219" t="str">
        <f t="shared" si="89"/>
        <v/>
      </c>
      <c r="BX187" s="250" t="str">
        <f t="shared" si="103"/>
        <v/>
      </c>
      <c r="BY187" s="250" t="str">
        <f t="shared" si="90"/>
        <v/>
      </c>
      <c r="BZ187" s="184">
        <f t="shared" si="104"/>
        <v>0</v>
      </c>
      <c r="CA187" s="693">
        <f t="shared" si="105"/>
        <v>0</v>
      </c>
      <c r="CB187" s="836">
        <f t="shared" si="106"/>
        <v>0</v>
      </c>
      <c r="CC187" s="693">
        <f>IF(AND($C187="Early Retirement",$H187&lt;&gt;"",$R187&lt;&gt;"",$T187&lt;&gt;""),$BZ187,Baselines!$CJ180)</f>
        <v>0</v>
      </c>
      <c r="CD187" s="693">
        <f>IF(AND($C187="Early Retirement",$H187&lt;&gt;"",$R187&lt;&gt;"",$T187&lt;&gt;""),$CA187,Baselines!$CK180)</f>
        <v>0</v>
      </c>
      <c r="CE187" s="182" t="str">
        <f>Baselines!$CL180</f>
        <v>kW/ton</v>
      </c>
      <c r="CF187" s="850" t="str">
        <f t="shared" si="91"/>
        <v/>
      </c>
      <c r="CG187" s="833">
        <f>IF(AND($C187="Early Retirement",$H187&lt;&gt;"",$R187&lt;&gt;"",$T187&lt;&gt;""),$CB187,IF(AND(Baselines!$CM180=0,OR($CL187="DX HP",$CL187="PTHP")),$BB187,Baselines!$CM180))</f>
        <v>0</v>
      </c>
      <c r="CH187" s="830" t="s">
        <v>567</v>
      </c>
      <c r="CI187" s="185" t="str">
        <f>IF(OR($C187="Replace-on-Burnout",$C187="New Construction"),$CT187,IF($BW187="","",VLOOKUP($D187,'Factor Tables'!$B$165:$H$192,MATCH($BW187,'Factor Tables'!$B$164:$H$164,0),FALSE)))</f>
        <v/>
      </c>
      <c r="CJ187" s="842" t="str">
        <f>IF(OR($C187="Replace-on-Burnout",$C187="New Construction"),$CU187,IF($BW187="","",IF($BW187="DX HP",VLOOKUP($D187,'Factor Tables'!$I$165:$Q$192,MATCH("DX HP Clg",'Factor Tables'!$I$164:$Q$164,0),FALSE),IF($BW187="PTHP",VLOOKUP($D187,'Factor Tables'!$I$165:$Q$192,MATCH("PTHP Clg",'Factor Tables'!$I$164:$Q$164,0),FALSE),IF(AND($BW187&lt;&gt;"DX HP",$BW187&lt;&gt;"PTHP"),VLOOKUP($D187,'Factor Tables'!$I$165:$Q$192,MATCH($BW187,'Factor Tables'!$I$164:$Q$164,0),FALSE),"")))))</f>
        <v/>
      </c>
      <c r="CK187" s="186" t="str">
        <f>IF(OR($C187="Replace-on-Burnout",$C187="New Construction",$CL187="DX HP",$CL187="PTHP"),$CV187,IF($BW187="","",IF($BW187="DX HP",VLOOKUP($D187,'Factor Tables'!$I$165:$Q$192,MATCH("DX HP Htg",'Factor Tables'!$I$164:$Q$164,0),FALSE),IF($BW187="PTHP",VLOOKUP($D187,'Factor Tables'!$I$165:$Q$192,MATCH("PTHP Htg",'Factor Tables'!$I$164:$Q$164,0),FALSE),0))))</f>
        <v/>
      </c>
      <c r="CL187" s="187" t="str">
        <f t="shared" si="92"/>
        <v/>
      </c>
      <c r="CM187" s="251" t="str">
        <f t="shared" si="93"/>
        <v/>
      </c>
      <c r="CN187" s="184">
        <f t="shared" si="107"/>
        <v>0</v>
      </c>
      <c r="CO187" s="693">
        <f t="shared" si="108"/>
        <v>0</v>
      </c>
      <c r="CP187" s="182" t="s">
        <v>46</v>
      </c>
      <c r="CQ187" s="852" t="str">
        <f t="shared" si="109"/>
        <v/>
      </c>
      <c r="CR187" s="833">
        <f t="shared" si="110"/>
        <v>0</v>
      </c>
      <c r="CS187" s="830" t="s">
        <v>567</v>
      </c>
      <c r="CT187" s="185" t="str">
        <f>IF($CL187="","",VLOOKUP($D187,'Factor Tables'!$B$165:$H$192,MATCH($CL187,'Factor Tables'!$B$164:$H$164,0),FALSE))</f>
        <v/>
      </c>
      <c r="CU187" s="842" t="str">
        <f>IF($CL187="","",IF(AND($CL187&lt;&gt;"DX HP",$CL187&lt;&gt;"PTHP"),VLOOKUP($D187,'Factor Tables'!$I$165:$Q$192,MATCH($CL187,'Factor Tables'!$I$164:$Q$164,0),FALSE),IF($CL187="DX HP",VLOOKUP($D187,'Factor Tables'!$I$165:$Q$192,MATCH("DX HP Clg",'Factor Tables'!$I$164:$Q$164,0),FALSE),IF($CL187="PTHP",VLOOKUP($D187,'Factor Tables'!$I$165:$Q$192,MATCH("PTHP Clg",'Factor Tables'!$I$164:$Q$164,0),FALSE),""))))</f>
        <v/>
      </c>
      <c r="CV187" s="186" t="str">
        <f>IF($CL187="","",IF(AND($CL187&lt;&gt;"DX HP",$CL187&lt;&gt;"PTHP"),0,IF($CL187="DX HP",VLOOKUP($D187,'Factor Tables'!$I$165:$Q$192,MATCH("DX HP Htg",'Factor Tables'!$I$164:$Q$164,0),FALSE),IF($CL187="PTHP",VLOOKUP($D187,'Factor Tables'!$I$165:$Q$192,MATCH("PTHP Htg",'Factor Tables'!$I$164:$Q$164,0),FALSE),""))))</f>
        <v/>
      </c>
      <c r="DD187" s="196" t="str">
        <f>IF(OR('Project Info'!$D$8="",$C27="",$D27=""),"",IF('Project Info'!$D$8="Weather Zone 5: El Paso",VLOOKUP($D27,$DI$9:$DL$37,MATCH($C27,$DI$9:$DL$9,0),FALSE),VLOOKUP($D27,$DE$9:$DH$37,MATCH($C27,$DE$9:$DH$9,0),FALSE)))</f>
        <v/>
      </c>
      <c r="DE187" s="426"/>
      <c r="DI187" s="425"/>
      <c r="DJ187" s="425"/>
      <c r="DK187" s="425"/>
      <c r="DL187" s="425"/>
      <c r="DM187" s="493" t="s">
        <v>478</v>
      </c>
    </row>
    <row r="188" spans="2:117" s="427" customFormat="1" ht="21.95" customHeight="1" x14ac:dyDescent="0.25">
      <c r="B188" s="431">
        <v>179</v>
      </c>
      <c r="C188" s="501" t="str">
        <f t="shared" si="94"/>
        <v/>
      </c>
      <c r="D188" s="502" t="str">
        <f t="shared" si="95"/>
        <v/>
      </c>
      <c r="E188" s="546"/>
      <c r="F188" s="547"/>
      <c r="G188" s="729"/>
      <c r="H188" s="729"/>
      <c r="I188" s="729"/>
      <c r="J188" s="729"/>
      <c r="K188" s="729"/>
      <c r="L188" s="729"/>
      <c r="M188" s="765"/>
      <c r="N188" s="758"/>
      <c r="O188" s="765"/>
      <c r="P188" s="758"/>
      <c r="Q188" s="1143"/>
      <c r="R188" s="1134"/>
      <c r="S188" s="775"/>
      <c r="T188" s="729"/>
      <c r="U188" s="775"/>
      <c r="V188" s="779"/>
      <c r="W188" s="557"/>
      <c r="X188" s="788"/>
      <c r="Y188" s="543"/>
      <c r="Z188" s="281"/>
      <c r="AA188" s="281"/>
      <c r="AB188" s="281"/>
      <c r="AC188" s="281"/>
      <c r="AD188" s="492"/>
      <c r="AE188" s="527">
        <f t="shared" si="39"/>
        <v>0</v>
      </c>
      <c r="AF188" s="527">
        <f t="shared" si="96"/>
        <v>0</v>
      </c>
      <c r="AG188" s="527">
        <f t="shared" si="76"/>
        <v>0</v>
      </c>
      <c r="AH188" s="527">
        <f t="shared" si="77"/>
        <v>0</v>
      </c>
      <c r="AI188" s="527">
        <f t="shared" si="78"/>
        <v>0</v>
      </c>
      <c r="AJ188" s="527">
        <f t="shared" si="79"/>
        <v>999999999</v>
      </c>
      <c r="AK188" s="471"/>
      <c r="AL188" s="765"/>
      <c r="AM188" s="758"/>
      <c r="AN188" s="281"/>
      <c r="AO188" s="775"/>
      <c r="AP188" s="775"/>
      <c r="AQ188" s="281"/>
      <c r="AR188" s="528"/>
      <c r="AS188" s="532"/>
      <c r="AT188" s="524" t="str">
        <f t="shared" si="80"/>
        <v/>
      </c>
      <c r="AU188" s="311">
        <f t="shared" si="81"/>
        <v>0</v>
      </c>
      <c r="AV188" s="288">
        <f t="shared" si="97"/>
        <v>0</v>
      </c>
      <c r="AW188" s="290">
        <f>IF(ISERROR($AU188*'Utility Admin'!$E$4+$AV188*'Utility Admin'!$F$4),0,$AU188*'Utility Admin'!$E$4+$AV188*'Utility Admin'!$F$4)</f>
        <v>0</v>
      </c>
      <c r="AX188" s="323" t="str">
        <f t="shared" si="82"/>
        <v/>
      </c>
      <c r="AY188" s="322" t="str">
        <f t="shared" si="23"/>
        <v/>
      </c>
      <c r="AZ188" s="319">
        <f>Baselines!$CJ432</f>
        <v>0</v>
      </c>
      <c r="BA188" s="735">
        <f>Baselines!$CK432</f>
        <v>0</v>
      </c>
      <c r="BB188" s="839">
        <f>Baselines!$CM432</f>
        <v>0</v>
      </c>
      <c r="BC188" s="466">
        <f t="shared" si="83"/>
        <v>0</v>
      </c>
      <c r="BD188" s="464">
        <f t="shared" si="98"/>
        <v>0</v>
      </c>
      <c r="BE188" s="755">
        <f t="shared" si="84"/>
        <v>0</v>
      </c>
      <c r="BF188" s="755">
        <f t="shared" si="99"/>
        <v>0</v>
      </c>
      <c r="BG188" s="466">
        <f t="shared" si="85"/>
        <v>0</v>
      </c>
      <c r="BH188" s="464">
        <f t="shared" si="86"/>
        <v>0</v>
      </c>
      <c r="BI188" s="755">
        <f t="shared" si="87"/>
        <v>0</v>
      </c>
      <c r="BJ188" s="755">
        <f t="shared" si="100"/>
        <v>0</v>
      </c>
      <c r="BK188" s="333">
        <f>IF(OR($C188&lt;&gt;"Early Retirement",$H188=""),0,IF(AND($G188&lt;&gt;"Air Cooled Chiller",$G188&lt;&gt;"Water Cooled Chiller"),VLOOKUP($H188,'Early Retirement'!$CI$6:$CL$33,2,FALSE),IF($J188&lt;&gt;"Centrifugal",VLOOKUP($H188,'Early Retirement'!$CI$6:$CL$33,3,FALSE),IF($J188="Centrifugal",VLOOKUP($H188,'Early Retirement'!$CI$6:$CL$33,4,FALSE),""))))</f>
        <v>0</v>
      </c>
      <c r="BL188" s="450">
        <f t="shared" si="88"/>
        <v>0</v>
      </c>
      <c r="BM188" s="553">
        <f>IFERROR('Utility Admin'!$I$4*((1+'Utility Admin'!$G$4)/('Utility Admin'!$H$4-'Utility Admin'!$G$4))*(1-((1+'Utility Admin'!$G$4)/(1+'Utility Admin'!$H$4))^$BK188)*$BG188,0)</f>
        <v>0</v>
      </c>
      <c r="BN188" s="553">
        <f>IFERROR('Utility Admin'!$I$4*((1+'Utility Admin'!$G$4)/('Utility Admin'!$H$4-'Utility Admin'!$G$4))*(1-((1+'Utility Admin'!$G$4)/(1+'Utility Admin'!$H$4))^$BL188)*((1+'Utility Admin'!$G$4)^$BK188/(1+'Utility Admin'!$H$4)^$BK188)*$BC188,0)</f>
        <v>0</v>
      </c>
      <c r="BO188" s="553">
        <f t="shared" si="27"/>
        <v>0</v>
      </c>
      <c r="BP188" s="553">
        <f>IFERROR('Utility Admin'!$J$4*((1+'Utility Admin'!$G$4)/('Utility Admin'!$H$4-'Utility Admin'!$G$4))*(1-((1+'Utility Admin'!$G$4)/(1+'Utility Admin'!$H$4))^$BK188)*$BJ188,0)</f>
        <v>0</v>
      </c>
      <c r="BQ188" s="553">
        <f>IFERROR('Utility Admin'!$J$4*((1+'Utility Admin'!$G$4)/('Utility Admin'!$H$4-'Utility Admin'!$G$4))*(1-((1+'Utility Admin'!$G$4)/(1+'Utility Admin'!$H$4))^$BL188)*((1+'Utility Admin'!$G$4)^$BK188/(1+'Utility Admin'!$H$4)^$BK188)*$BF188,0)</f>
        <v>0</v>
      </c>
      <c r="BR188" s="553">
        <f t="shared" si="28"/>
        <v>0</v>
      </c>
      <c r="BS188" s="553">
        <f>IFERROR('Utility Admin'!$I$4*((1+'Utility Admin'!$G$4)/('Utility Admin'!$H$4-'Utility Admin'!$G$4))*(1-((1+'Utility Admin'!$G$4)/(1+'Utility Admin'!$H$4))^$AT188),0)</f>
        <v>0</v>
      </c>
      <c r="BT188" s="553">
        <f>IFERROR('Utility Admin'!$J$4*((1+'Utility Admin'!$G$4)/('Utility Admin'!$H$4-'Utility Admin'!$G$4))*(1-((1+'Utility Admin'!$G$4)/(1+'Utility Admin'!$H$4))^$AT188),0)</f>
        <v>0</v>
      </c>
      <c r="BU188" s="459">
        <f t="shared" si="101"/>
        <v>0</v>
      </c>
      <c r="BV188" s="462">
        <f t="shared" si="102"/>
        <v>0</v>
      </c>
      <c r="BW188" s="219" t="str">
        <f t="shared" si="89"/>
        <v/>
      </c>
      <c r="BX188" s="250" t="str">
        <f t="shared" si="103"/>
        <v/>
      </c>
      <c r="BY188" s="250" t="str">
        <f t="shared" si="90"/>
        <v/>
      </c>
      <c r="BZ188" s="184">
        <f t="shared" si="104"/>
        <v>0</v>
      </c>
      <c r="CA188" s="693">
        <f t="shared" si="105"/>
        <v>0</v>
      </c>
      <c r="CB188" s="836">
        <f t="shared" si="106"/>
        <v>0</v>
      </c>
      <c r="CC188" s="693">
        <f>IF(AND($C188="Early Retirement",$H188&lt;&gt;"",$R188&lt;&gt;"",$T188&lt;&gt;""),$BZ188,Baselines!$CJ181)</f>
        <v>0</v>
      </c>
      <c r="CD188" s="693">
        <f>IF(AND($C188="Early Retirement",$H188&lt;&gt;"",$R188&lt;&gt;"",$T188&lt;&gt;""),$CA188,Baselines!$CK181)</f>
        <v>0</v>
      </c>
      <c r="CE188" s="182" t="str">
        <f>Baselines!$CL181</f>
        <v>kW/ton</v>
      </c>
      <c r="CF188" s="850" t="str">
        <f t="shared" si="91"/>
        <v/>
      </c>
      <c r="CG188" s="833">
        <f>IF(AND($C188="Early Retirement",$H188&lt;&gt;"",$R188&lt;&gt;"",$T188&lt;&gt;""),$CB188,IF(AND(Baselines!$CM181=0,OR($CL188="DX HP",$CL188="PTHP")),$BB188,Baselines!$CM181))</f>
        <v>0</v>
      </c>
      <c r="CH188" s="830" t="s">
        <v>567</v>
      </c>
      <c r="CI188" s="185" t="str">
        <f>IF(OR($C188="Replace-on-Burnout",$C188="New Construction"),$CT188,IF($BW188="","",VLOOKUP($D188,'Factor Tables'!$B$165:$H$192,MATCH($BW188,'Factor Tables'!$B$164:$H$164,0),FALSE)))</f>
        <v/>
      </c>
      <c r="CJ188" s="842" t="str">
        <f>IF(OR($C188="Replace-on-Burnout",$C188="New Construction"),$CU188,IF($BW188="","",IF($BW188="DX HP",VLOOKUP($D188,'Factor Tables'!$I$165:$Q$192,MATCH("DX HP Clg",'Factor Tables'!$I$164:$Q$164,0),FALSE),IF($BW188="PTHP",VLOOKUP($D188,'Factor Tables'!$I$165:$Q$192,MATCH("PTHP Clg",'Factor Tables'!$I$164:$Q$164,0),FALSE),IF(AND($BW188&lt;&gt;"DX HP",$BW188&lt;&gt;"PTHP"),VLOOKUP($D188,'Factor Tables'!$I$165:$Q$192,MATCH($BW188,'Factor Tables'!$I$164:$Q$164,0),FALSE),"")))))</f>
        <v/>
      </c>
      <c r="CK188" s="186" t="str">
        <f>IF(OR($C188="Replace-on-Burnout",$C188="New Construction",$CL188="DX HP",$CL188="PTHP"),$CV188,IF($BW188="","",IF($BW188="DX HP",VLOOKUP($D188,'Factor Tables'!$I$165:$Q$192,MATCH("DX HP Htg",'Factor Tables'!$I$164:$Q$164,0),FALSE),IF($BW188="PTHP",VLOOKUP($D188,'Factor Tables'!$I$165:$Q$192,MATCH("PTHP Htg",'Factor Tables'!$I$164:$Q$164,0),FALSE),0))))</f>
        <v/>
      </c>
      <c r="CL188" s="187" t="str">
        <f t="shared" si="92"/>
        <v/>
      </c>
      <c r="CM188" s="251" t="str">
        <f t="shared" si="93"/>
        <v/>
      </c>
      <c r="CN188" s="184">
        <f t="shared" si="107"/>
        <v>0</v>
      </c>
      <c r="CO188" s="693">
        <f t="shared" si="108"/>
        <v>0</v>
      </c>
      <c r="CP188" s="182" t="s">
        <v>46</v>
      </c>
      <c r="CQ188" s="852" t="str">
        <f t="shared" si="109"/>
        <v/>
      </c>
      <c r="CR188" s="833">
        <f t="shared" si="110"/>
        <v>0</v>
      </c>
      <c r="CS188" s="830" t="s">
        <v>567</v>
      </c>
      <c r="CT188" s="185" t="str">
        <f>IF($CL188="","",VLOOKUP($D188,'Factor Tables'!$B$165:$H$192,MATCH($CL188,'Factor Tables'!$B$164:$H$164,0),FALSE))</f>
        <v/>
      </c>
      <c r="CU188" s="842" t="str">
        <f>IF($CL188="","",IF(AND($CL188&lt;&gt;"DX HP",$CL188&lt;&gt;"PTHP"),VLOOKUP($D188,'Factor Tables'!$I$165:$Q$192,MATCH($CL188,'Factor Tables'!$I$164:$Q$164,0),FALSE),IF($CL188="DX HP",VLOOKUP($D188,'Factor Tables'!$I$165:$Q$192,MATCH("DX HP Clg",'Factor Tables'!$I$164:$Q$164,0),FALSE),IF($CL188="PTHP",VLOOKUP($D188,'Factor Tables'!$I$165:$Q$192,MATCH("PTHP Clg",'Factor Tables'!$I$164:$Q$164,0),FALSE),""))))</f>
        <v/>
      </c>
      <c r="CV188" s="186" t="str">
        <f>IF($CL188="","",IF(AND($CL188&lt;&gt;"DX HP",$CL188&lt;&gt;"PTHP"),0,IF($CL188="DX HP",VLOOKUP($D188,'Factor Tables'!$I$165:$Q$192,MATCH("DX HP Htg",'Factor Tables'!$I$164:$Q$164,0),FALSE),IF($CL188="PTHP",VLOOKUP($D188,'Factor Tables'!$I$165:$Q$192,MATCH("PTHP Htg",'Factor Tables'!$I$164:$Q$164,0),FALSE),""))))</f>
        <v/>
      </c>
      <c r="DD188" s="196" t="str">
        <f>IF(OR('Project Info'!$D$8="",$C28="",$D28=""),"",IF('Project Info'!$D$8="Weather Zone 5: El Paso",VLOOKUP($D28,$DI$9:$DL$37,MATCH($C28,$DI$9:$DL$9,0),FALSE),VLOOKUP($D28,$DE$9:$DH$37,MATCH($C28,$DE$9:$DH$9,0),FALSE)))</f>
        <v/>
      </c>
      <c r="DE188" s="426"/>
      <c r="DI188" s="425"/>
      <c r="DJ188" s="425"/>
      <c r="DK188" s="425"/>
      <c r="DL188" s="425"/>
      <c r="DM188" s="493" t="s">
        <v>478</v>
      </c>
    </row>
    <row r="189" spans="2:117" s="427" customFormat="1" ht="21.95" customHeight="1" x14ac:dyDescent="0.25">
      <c r="B189" s="432">
        <v>180</v>
      </c>
      <c r="C189" s="499" t="str">
        <f t="shared" si="94"/>
        <v/>
      </c>
      <c r="D189" s="403" t="str">
        <f t="shared" si="95"/>
        <v/>
      </c>
      <c r="E189" s="541"/>
      <c r="F189" s="785"/>
      <c r="G189" s="728"/>
      <c r="H189" s="728"/>
      <c r="I189" s="728"/>
      <c r="J189" s="728"/>
      <c r="K189" s="728"/>
      <c r="L189" s="728"/>
      <c r="M189" s="764"/>
      <c r="N189" s="728"/>
      <c r="O189" s="764"/>
      <c r="P189" s="728"/>
      <c r="Q189" s="1142"/>
      <c r="R189" s="1133"/>
      <c r="S189" s="778"/>
      <c r="T189" s="767"/>
      <c r="U189" s="778"/>
      <c r="V189" s="751"/>
      <c r="W189" s="556"/>
      <c r="X189" s="785"/>
      <c r="Y189" s="542"/>
      <c r="Z189" s="500"/>
      <c r="AA189" s="500"/>
      <c r="AB189" s="500"/>
      <c r="AC189" s="500"/>
      <c r="AD189" s="529"/>
      <c r="AE189" s="527">
        <f t="shared" si="39"/>
        <v>0</v>
      </c>
      <c r="AF189" s="527">
        <f t="shared" si="96"/>
        <v>0</v>
      </c>
      <c r="AG189" s="527">
        <f t="shared" si="76"/>
        <v>0</v>
      </c>
      <c r="AH189" s="527">
        <f t="shared" si="77"/>
        <v>0</v>
      </c>
      <c r="AI189" s="527">
        <f t="shared" si="78"/>
        <v>0</v>
      </c>
      <c r="AJ189" s="527">
        <f t="shared" si="79"/>
        <v>999999999</v>
      </c>
      <c r="AK189" s="530"/>
      <c r="AL189" s="776"/>
      <c r="AM189" s="777"/>
      <c r="AN189" s="500"/>
      <c r="AO189" s="778"/>
      <c r="AP189" s="778"/>
      <c r="AQ189" s="500"/>
      <c r="AR189" s="531"/>
      <c r="AS189" s="403"/>
      <c r="AT189" s="524" t="str">
        <f t="shared" si="80"/>
        <v/>
      </c>
      <c r="AU189" s="311">
        <f t="shared" si="81"/>
        <v>0</v>
      </c>
      <c r="AV189" s="288">
        <f t="shared" si="97"/>
        <v>0</v>
      </c>
      <c r="AW189" s="290">
        <f>IF(ISERROR($AU189*'Utility Admin'!$E$4+$AV189*'Utility Admin'!$F$4),0,$AU189*'Utility Admin'!$E$4+$AV189*'Utility Admin'!$F$4)</f>
        <v>0</v>
      </c>
      <c r="AX189" s="323" t="str">
        <f t="shared" si="82"/>
        <v/>
      </c>
      <c r="AY189" s="322" t="str">
        <f t="shared" si="23"/>
        <v/>
      </c>
      <c r="AZ189" s="319">
        <f>Baselines!$CJ433</f>
        <v>0</v>
      </c>
      <c r="BA189" s="735">
        <f>Baselines!$CK433</f>
        <v>0</v>
      </c>
      <c r="BB189" s="839">
        <f>Baselines!$CM433</f>
        <v>0</v>
      </c>
      <c r="BC189" s="466">
        <f t="shared" si="83"/>
        <v>0</v>
      </c>
      <c r="BD189" s="464">
        <f t="shared" si="98"/>
        <v>0</v>
      </c>
      <c r="BE189" s="755">
        <f t="shared" si="84"/>
        <v>0</v>
      </c>
      <c r="BF189" s="755">
        <f t="shared" si="99"/>
        <v>0</v>
      </c>
      <c r="BG189" s="466">
        <f t="shared" si="85"/>
        <v>0</v>
      </c>
      <c r="BH189" s="464">
        <f t="shared" si="86"/>
        <v>0</v>
      </c>
      <c r="BI189" s="755">
        <f t="shared" si="87"/>
        <v>0</v>
      </c>
      <c r="BJ189" s="755">
        <f t="shared" si="100"/>
        <v>0</v>
      </c>
      <c r="BK189" s="333">
        <f>IF(OR($C189&lt;&gt;"Early Retirement",$H189=""),0,IF(AND($G189&lt;&gt;"Air Cooled Chiller",$G189&lt;&gt;"Water Cooled Chiller"),VLOOKUP($H189,'Early Retirement'!$CI$6:$CL$33,2,FALSE),IF($J189&lt;&gt;"Centrifugal",VLOOKUP($H189,'Early Retirement'!$CI$6:$CL$33,3,FALSE),IF($J189="Centrifugal",VLOOKUP($H189,'Early Retirement'!$CI$6:$CL$33,4,FALSE),""))))</f>
        <v>0</v>
      </c>
      <c r="BL189" s="450">
        <f t="shared" si="88"/>
        <v>0</v>
      </c>
      <c r="BM189" s="553">
        <f>IFERROR('Utility Admin'!$I$4*((1+'Utility Admin'!$G$4)/('Utility Admin'!$H$4-'Utility Admin'!$G$4))*(1-((1+'Utility Admin'!$G$4)/(1+'Utility Admin'!$H$4))^$BK189)*$BG189,0)</f>
        <v>0</v>
      </c>
      <c r="BN189" s="553">
        <f>IFERROR('Utility Admin'!$I$4*((1+'Utility Admin'!$G$4)/('Utility Admin'!$H$4-'Utility Admin'!$G$4))*(1-((1+'Utility Admin'!$G$4)/(1+'Utility Admin'!$H$4))^$BL189)*((1+'Utility Admin'!$G$4)^$BK189/(1+'Utility Admin'!$H$4)^$BK189)*$BC189,0)</f>
        <v>0</v>
      </c>
      <c r="BO189" s="553">
        <f t="shared" si="27"/>
        <v>0</v>
      </c>
      <c r="BP189" s="553">
        <f>IFERROR('Utility Admin'!$J$4*((1+'Utility Admin'!$G$4)/('Utility Admin'!$H$4-'Utility Admin'!$G$4))*(1-((1+'Utility Admin'!$G$4)/(1+'Utility Admin'!$H$4))^$BK189)*$BJ189,0)</f>
        <v>0</v>
      </c>
      <c r="BQ189" s="553">
        <f>IFERROR('Utility Admin'!$J$4*((1+'Utility Admin'!$G$4)/('Utility Admin'!$H$4-'Utility Admin'!$G$4))*(1-((1+'Utility Admin'!$G$4)/(1+'Utility Admin'!$H$4))^$BL189)*((1+'Utility Admin'!$G$4)^$BK189/(1+'Utility Admin'!$H$4)^$BK189)*$BF189,0)</f>
        <v>0</v>
      </c>
      <c r="BR189" s="553">
        <f t="shared" si="28"/>
        <v>0</v>
      </c>
      <c r="BS189" s="553">
        <f>IFERROR('Utility Admin'!$I$4*((1+'Utility Admin'!$G$4)/('Utility Admin'!$H$4-'Utility Admin'!$G$4))*(1-((1+'Utility Admin'!$G$4)/(1+'Utility Admin'!$H$4))^$AT189),0)</f>
        <v>0</v>
      </c>
      <c r="BT189" s="553">
        <f>IFERROR('Utility Admin'!$J$4*((1+'Utility Admin'!$G$4)/('Utility Admin'!$H$4-'Utility Admin'!$G$4))*(1-((1+'Utility Admin'!$G$4)/(1+'Utility Admin'!$H$4))^$AT189),0)</f>
        <v>0</v>
      </c>
      <c r="BU189" s="459">
        <f t="shared" si="101"/>
        <v>0</v>
      </c>
      <c r="BV189" s="462">
        <f t="shared" si="102"/>
        <v>0</v>
      </c>
      <c r="BW189" s="219" t="str">
        <f t="shared" si="89"/>
        <v/>
      </c>
      <c r="BX189" s="250" t="str">
        <f t="shared" si="103"/>
        <v/>
      </c>
      <c r="BY189" s="250" t="str">
        <f t="shared" si="90"/>
        <v/>
      </c>
      <c r="BZ189" s="184">
        <f t="shared" si="104"/>
        <v>0</v>
      </c>
      <c r="CA189" s="693">
        <f t="shared" si="105"/>
        <v>0</v>
      </c>
      <c r="CB189" s="836">
        <f t="shared" si="106"/>
        <v>0</v>
      </c>
      <c r="CC189" s="693">
        <f>IF(AND($C189="Early Retirement",$H189&lt;&gt;"",$R189&lt;&gt;"",$T189&lt;&gt;""),$BZ189,Baselines!$CJ182)</f>
        <v>0</v>
      </c>
      <c r="CD189" s="693">
        <f>IF(AND($C189="Early Retirement",$H189&lt;&gt;"",$R189&lt;&gt;"",$T189&lt;&gt;""),$CA189,Baselines!$CK182)</f>
        <v>0</v>
      </c>
      <c r="CE189" s="182" t="str">
        <f>Baselines!$CL182</f>
        <v>kW/ton</v>
      </c>
      <c r="CF189" s="850" t="str">
        <f t="shared" si="91"/>
        <v/>
      </c>
      <c r="CG189" s="833">
        <f>IF(AND($C189="Early Retirement",$H189&lt;&gt;"",$R189&lt;&gt;"",$T189&lt;&gt;""),$CB189,IF(AND(Baselines!$CM182=0,OR($CL189="DX HP",$CL189="PTHP")),$BB189,Baselines!$CM182))</f>
        <v>0</v>
      </c>
      <c r="CH189" s="830" t="s">
        <v>567</v>
      </c>
      <c r="CI189" s="185" t="str">
        <f>IF(OR($C189="Replace-on-Burnout",$C189="New Construction"),$CT189,IF($BW189="","",VLOOKUP($D189,'Factor Tables'!$B$165:$H$192,MATCH($BW189,'Factor Tables'!$B$164:$H$164,0),FALSE)))</f>
        <v/>
      </c>
      <c r="CJ189" s="842" t="str">
        <f>IF(OR($C189="Replace-on-Burnout",$C189="New Construction"),$CU189,IF($BW189="","",IF($BW189="DX HP",VLOOKUP($D189,'Factor Tables'!$I$165:$Q$192,MATCH("DX HP Clg",'Factor Tables'!$I$164:$Q$164,0),FALSE),IF($BW189="PTHP",VLOOKUP($D189,'Factor Tables'!$I$165:$Q$192,MATCH("PTHP Clg",'Factor Tables'!$I$164:$Q$164,0),FALSE),IF(AND($BW189&lt;&gt;"DX HP",$BW189&lt;&gt;"PTHP"),VLOOKUP($D189,'Factor Tables'!$I$165:$Q$192,MATCH($BW189,'Factor Tables'!$I$164:$Q$164,0),FALSE),"")))))</f>
        <v/>
      </c>
      <c r="CK189" s="186" t="str">
        <f>IF(OR($C189="Replace-on-Burnout",$C189="New Construction",$CL189="DX HP",$CL189="PTHP"),$CV189,IF($BW189="","",IF($BW189="DX HP",VLOOKUP($D189,'Factor Tables'!$I$165:$Q$192,MATCH("DX HP Htg",'Factor Tables'!$I$164:$Q$164,0),FALSE),IF($BW189="PTHP",VLOOKUP($D189,'Factor Tables'!$I$165:$Q$192,MATCH("PTHP Htg",'Factor Tables'!$I$164:$Q$164,0),FALSE),0))))</f>
        <v/>
      </c>
      <c r="CL189" s="187" t="str">
        <f t="shared" si="92"/>
        <v/>
      </c>
      <c r="CM189" s="251" t="str">
        <f t="shared" si="93"/>
        <v/>
      </c>
      <c r="CN189" s="184">
        <f t="shared" si="107"/>
        <v>0</v>
      </c>
      <c r="CO189" s="693">
        <f t="shared" si="108"/>
        <v>0</v>
      </c>
      <c r="CP189" s="182" t="s">
        <v>46</v>
      </c>
      <c r="CQ189" s="852" t="str">
        <f t="shared" si="109"/>
        <v/>
      </c>
      <c r="CR189" s="833">
        <f t="shared" si="110"/>
        <v>0</v>
      </c>
      <c r="CS189" s="830" t="s">
        <v>567</v>
      </c>
      <c r="CT189" s="185" t="str">
        <f>IF($CL189="","",VLOOKUP($D189,'Factor Tables'!$B$165:$H$192,MATCH($CL189,'Factor Tables'!$B$164:$H$164,0),FALSE))</f>
        <v/>
      </c>
      <c r="CU189" s="842" t="str">
        <f>IF($CL189="","",IF(AND($CL189&lt;&gt;"DX HP",$CL189&lt;&gt;"PTHP"),VLOOKUP($D189,'Factor Tables'!$I$165:$Q$192,MATCH($CL189,'Factor Tables'!$I$164:$Q$164,0),FALSE),IF($CL189="DX HP",VLOOKUP($D189,'Factor Tables'!$I$165:$Q$192,MATCH("DX HP Clg",'Factor Tables'!$I$164:$Q$164,0),FALSE),IF($CL189="PTHP",VLOOKUP($D189,'Factor Tables'!$I$165:$Q$192,MATCH("PTHP Clg",'Factor Tables'!$I$164:$Q$164,0),FALSE),""))))</f>
        <v/>
      </c>
      <c r="CV189" s="186" t="str">
        <f>IF($CL189="","",IF(AND($CL189&lt;&gt;"DX HP",$CL189&lt;&gt;"PTHP"),0,IF($CL189="DX HP",VLOOKUP($D189,'Factor Tables'!$I$165:$Q$192,MATCH("DX HP Htg",'Factor Tables'!$I$164:$Q$164,0),FALSE),IF($CL189="PTHP",VLOOKUP($D189,'Factor Tables'!$I$165:$Q$192,MATCH("PTHP Htg",'Factor Tables'!$I$164:$Q$164,0),FALSE),""))))</f>
        <v/>
      </c>
      <c r="DD189" s="196" t="str">
        <f>IF(OR('Project Info'!$D$8="",$C29="",$D29=""),"",IF('Project Info'!$D$8="Weather Zone 5: El Paso",VLOOKUP($D29,$DI$9:$DL$37,MATCH($C29,$DI$9:$DL$9,0),FALSE),VLOOKUP($D29,$DE$9:$DH$37,MATCH($C29,$DE$9:$DH$9,0),FALSE)))</f>
        <v/>
      </c>
      <c r="DE189" s="426"/>
      <c r="DI189" s="425"/>
      <c r="DJ189" s="425"/>
      <c r="DK189" s="425"/>
      <c r="DL189" s="425"/>
      <c r="DM189" s="493" t="s">
        <v>478</v>
      </c>
    </row>
    <row r="190" spans="2:117" s="427" customFormat="1" ht="21.95" customHeight="1" x14ac:dyDescent="0.25">
      <c r="B190" s="431">
        <v>181</v>
      </c>
      <c r="C190" s="501" t="str">
        <f t="shared" si="94"/>
        <v/>
      </c>
      <c r="D190" s="502" t="str">
        <f t="shared" si="95"/>
        <v/>
      </c>
      <c r="E190" s="546"/>
      <c r="F190" s="547"/>
      <c r="G190" s="729"/>
      <c r="H190" s="729"/>
      <c r="I190" s="729"/>
      <c r="J190" s="729"/>
      <c r="K190" s="729"/>
      <c r="L190" s="729"/>
      <c r="M190" s="765"/>
      <c r="N190" s="758"/>
      <c r="O190" s="765"/>
      <c r="P190" s="758"/>
      <c r="Q190" s="1143"/>
      <c r="R190" s="1134"/>
      <c r="S190" s="775"/>
      <c r="T190" s="729"/>
      <c r="U190" s="775"/>
      <c r="V190" s="779"/>
      <c r="W190" s="557"/>
      <c r="X190" s="788"/>
      <c r="Y190" s="543"/>
      <c r="Z190" s="281"/>
      <c r="AA190" s="281"/>
      <c r="AB190" s="281"/>
      <c r="AC190" s="281"/>
      <c r="AD190" s="492"/>
      <c r="AE190" s="527">
        <f t="shared" si="39"/>
        <v>0</v>
      </c>
      <c r="AF190" s="527">
        <f t="shared" si="96"/>
        <v>0</v>
      </c>
      <c r="AG190" s="527">
        <f t="shared" si="76"/>
        <v>0</v>
      </c>
      <c r="AH190" s="527">
        <f t="shared" si="77"/>
        <v>0</v>
      </c>
      <c r="AI190" s="527">
        <f t="shared" si="78"/>
        <v>0</v>
      </c>
      <c r="AJ190" s="527">
        <f t="shared" si="79"/>
        <v>999999999</v>
      </c>
      <c r="AK190" s="471"/>
      <c r="AL190" s="765"/>
      <c r="AM190" s="758"/>
      <c r="AN190" s="281"/>
      <c r="AO190" s="775"/>
      <c r="AP190" s="775"/>
      <c r="AQ190" s="281"/>
      <c r="AR190" s="528"/>
      <c r="AS190" s="532"/>
      <c r="AT190" s="524" t="str">
        <f t="shared" si="80"/>
        <v/>
      </c>
      <c r="AU190" s="311">
        <f t="shared" si="81"/>
        <v>0</v>
      </c>
      <c r="AV190" s="288">
        <f t="shared" si="97"/>
        <v>0</v>
      </c>
      <c r="AW190" s="290">
        <f>IF(ISERROR($AU190*'Utility Admin'!$E$4+$AV190*'Utility Admin'!$F$4),0,$AU190*'Utility Admin'!$E$4+$AV190*'Utility Admin'!$F$4)</f>
        <v>0</v>
      </c>
      <c r="AX190" s="323" t="str">
        <f t="shared" si="82"/>
        <v/>
      </c>
      <c r="AY190" s="322" t="str">
        <f t="shared" si="23"/>
        <v/>
      </c>
      <c r="AZ190" s="319">
        <f>Baselines!$CJ434</f>
        <v>0</v>
      </c>
      <c r="BA190" s="735">
        <f>Baselines!$CK434</f>
        <v>0</v>
      </c>
      <c r="BB190" s="839">
        <f>Baselines!$CM434</f>
        <v>0</v>
      </c>
      <c r="BC190" s="466">
        <f t="shared" si="83"/>
        <v>0</v>
      </c>
      <c r="BD190" s="464">
        <f t="shared" si="98"/>
        <v>0</v>
      </c>
      <c r="BE190" s="755">
        <f t="shared" si="84"/>
        <v>0</v>
      </c>
      <c r="BF190" s="755">
        <f t="shared" si="99"/>
        <v>0</v>
      </c>
      <c r="BG190" s="466">
        <f t="shared" si="85"/>
        <v>0</v>
      </c>
      <c r="BH190" s="464">
        <f t="shared" si="86"/>
        <v>0</v>
      </c>
      <c r="BI190" s="755">
        <f t="shared" si="87"/>
        <v>0</v>
      </c>
      <c r="BJ190" s="755">
        <f t="shared" si="100"/>
        <v>0</v>
      </c>
      <c r="BK190" s="333">
        <f>IF(OR($C190&lt;&gt;"Early Retirement",$H190=""),0,IF(AND($G190&lt;&gt;"Air Cooled Chiller",$G190&lt;&gt;"Water Cooled Chiller"),VLOOKUP($H190,'Early Retirement'!$CI$6:$CL$33,2,FALSE),IF($J190&lt;&gt;"Centrifugal",VLOOKUP($H190,'Early Retirement'!$CI$6:$CL$33,3,FALSE),IF($J190="Centrifugal",VLOOKUP($H190,'Early Retirement'!$CI$6:$CL$33,4,FALSE),""))))</f>
        <v>0</v>
      </c>
      <c r="BL190" s="450">
        <f t="shared" si="88"/>
        <v>0</v>
      </c>
      <c r="BM190" s="553">
        <f>IFERROR('Utility Admin'!$I$4*((1+'Utility Admin'!$G$4)/('Utility Admin'!$H$4-'Utility Admin'!$G$4))*(1-((1+'Utility Admin'!$G$4)/(1+'Utility Admin'!$H$4))^$BK190)*$BG190,0)</f>
        <v>0</v>
      </c>
      <c r="BN190" s="553">
        <f>IFERROR('Utility Admin'!$I$4*((1+'Utility Admin'!$G$4)/('Utility Admin'!$H$4-'Utility Admin'!$G$4))*(1-((1+'Utility Admin'!$G$4)/(1+'Utility Admin'!$H$4))^$BL190)*((1+'Utility Admin'!$G$4)^$BK190/(1+'Utility Admin'!$H$4)^$BK190)*$BC190,0)</f>
        <v>0</v>
      </c>
      <c r="BO190" s="553">
        <f t="shared" si="27"/>
        <v>0</v>
      </c>
      <c r="BP190" s="553">
        <f>IFERROR('Utility Admin'!$J$4*((1+'Utility Admin'!$G$4)/('Utility Admin'!$H$4-'Utility Admin'!$G$4))*(1-((1+'Utility Admin'!$G$4)/(1+'Utility Admin'!$H$4))^$BK190)*$BJ190,0)</f>
        <v>0</v>
      </c>
      <c r="BQ190" s="553">
        <f>IFERROR('Utility Admin'!$J$4*((1+'Utility Admin'!$G$4)/('Utility Admin'!$H$4-'Utility Admin'!$G$4))*(1-((1+'Utility Admin'!$G$4)/(1+'Utility Admin'!$H$4))^$BL190)*((1+'Utility Admin'!$G$4)^$BK190/(1+'Utility Admin'!$H$4)^$BK190)*$BF190,0)</f>
        <v>0</v>
      </c>
      <c r="BR190" s="553">
        <f t="shared" si="28"/>
        <v>0</v>
      </c>
      <c r="BS190" s="553">
        <f>IFERROR('Utility Admin'!$I$4*((1+'Utility Admin'!$G$4)/('Utility Admin'!$H$4-'Utility Admin'!$G$4))*(1-((1+'Utility Admin'!$G$4)/(1+'Utility Admin'!$H$4))^$AT190),0)</f>
        <v>0</v>
      </c>
      <c r="BT190" s="553">
        <f>IFERROR('Utility Admin'!$J$4*((1+'Utility Admin'!$G$4)/('Utility Admin'!$H$4-'Utility Admin'!$G$4))*(1-((1+'Utility Admin'!$G$4)/(1+'Utility Admin'!$H$4))^$AT190),0)</f>
        <v>0</v>
      </c>
      <c r="BU190" s="459">
        <f t="shared" si="101"/>
        <v>0</v>
      </c>
      <c r="BV190" s="462">
        <f t="shared" si="102"/>
        <v>0</v>
      </c>
      <c r="BW190" s="219" t="str">
        <f t="shared" si="89"/>
        <v/>
      </c>
      <c r="BX190" s="250" t="str">
        <f t="shared" si="103"/>
        <v/>
      </c>
      <c r="BY190" s="250" t="str">
        <f t="shared" si="90"/>
        <v/>
      </c>
      <c r="BZ190" s="184">
        <f t="shared" si="104"/>
        <v>0</v>
      </c>
      <c r="CA190" s="693">
        <f t="shared" si="105"/>
        <v>0</v>
      </c>
      <c r="CB190" s="836">
        <f t="shared" si="106"/>
        <v>0</v>
      </c>
      <c r="CC190" s="693">
        <f>IF(AND($C190="Early Retirement",$H190&lt;&gt;"",$R190&lt;&gt;"",$T190&lt;&gt;""),$BZ190,Baselines!$CJ183)</f>
        <v>0</v>
      </c>
      <c r="CD190" s="693">
        <f>IF(AND($C190="Early Retirement",$H190&lt;&gt;"",$R190&lt;&gt;"",$T190&lt;&gt;""),$CA190,Baselines!$CK183)</f>
        <v>0</v>
      </c>
      <c r="CE190" s="182" t="str">
        <f>Baselines!$CL183</f>
        <v>kW/ton</v>
      </c>
      <c r="CF190" s="850" t="str">
        <f t="shared" si="91"/>
        <v/>
      </c>
      <c r="CG190" s="833">
        <f>IF(AND($C190="Early Retirement",$H190&lt;&gt;"",$R190&lt;&gt;"",$T190&lt;&gt;""),$CB190,IF(AND(Baselines!$CM183=0,OR($CL190="DX HP",$CL190="PTHP")),$BB190,Baselines!$CM183))</f>
        <v>0</v>
      </c>
      <c r="CH190" s="830" t="s">
        <v>567</v>
      </c>
      <c r="CI190" s="185" t="str">
        <f>IF(OR($C190="Replace-on-Burnout",$C190="New Construction"),$CT190,IF($BW190="","",VLOOKUP($D190,'Factor Tables'!$B$165:$H$192,MATCH($BW190,'Factor Tables'!$B$164:$H$164,0),FALSE)))</f>
        <v/>
      </c>
      <c r="CJ190" s="842" t="str">
        <f>IF(OR($C190="Replace-on-Burnout",$C190="New Construction"),$CU190,IF($BW190="","",IF($BW190="DX HP",VLOOKUP($D190,'Factor Tables'!$I$165:$Q$192,MATCH("DX HP Clg",'Factor Tables'!$I$164:$Q$164,0),FALSE),IF($BW190="PTHP",VLOOKUP($D190,'Factor Tables'!$I$165:$Q$192,MATCH("PTHP Clg",'Factor Tables'!$I$164:$Q$164,0),FALSE),IF(AND($BW190&lt;&gt;"DX HP",$BW190&lt;&gt;"PTHP"),VLOOKUP($D190,'Factor Tables'!$I$165:$Q$192,MATCH($BW190,'Factor Tables'!$I$164:$Q$164,0),FALSE),"")))))</f>
        <v/>
      </c>
      <c r="CK190" s="186" t="str">
        <f>IF(OR($C190="Replace-on-Burnout",$C190="New Construction",$CL190="DX HP",$CL190="PTHP"),$CV190,IF($BW190="","",IF($BW190="DX HP",VLOOKUP($D190,'Factor Tables'!$I$165:$Q$192,MATCH("DX HP Htg",'Factor Tables'!$I$164:$Q$164,0),FALSE),IF($BW190="PTHP",VLOOKUP($D190,'Factor Tables'!$I$165:$Q$192,MATCH("PTHP Htg",'Factor Tables'!$I$164:$Q$164,0),FALSE),0))))</f>
        <v/>
      </c>
      <c r="CL190" s="187" t="str">
        <f t="shared" si="92"/>
        <v/>
      </c>
      <c r="CM190" s="251" t="str">
        <f t="shared" si="93"/>
        <v/>
      </c>
      <c r="CN190" s="184">
        <f t="shared" si="107"/>
        <v>0</v>
      </c>
      <c r="CO190" s="693">
        <f t="shared" si="108"/>
        <v>0</v>
      </c>
      <c r="CP190" s="182" t="s">
        <v>46</v>
      </c>
      <c r="CQ190" s="852" t="str">
        <f t="shared" si="109"/>
        <v/>
      </c>
      <c r="CR190" s="833">
        <f t="shared" si="110"/>
        <v>0</v>
      </c>
      <c r="CS190" s="830" t="s">
        <v>567</v>
      </c>
      <c r="CT190" s="185" t="str">
        <f>IF($CL190="","",VLOOKUP($D190,'Factor Tables'!$B$165:$H$192,MATCH($CL190,'Factor Tables'!$B$164:$H$164,0),FALSE))</f>
        <v/>
      </c>
      <c r="CU190" s="842" t="str">
        <f>IF($CL190="","",IF(AND($CL190&lt;&gt;"DX HP",$CL190&lt;&gt;"PTHP"),VLOOKUP($D190,'Factor Tables'!$I$165:$Q$192,MATCH($CL190,'Factor Tables'!$I$164:$Q$164,0),FALSE),IF($CL190="DX HP",VLOOKUP($D190,'Factor Tables'!$I$165:$Q$192,MATCH("DX HP Clg",'Factor Tables'!$I$164:$Q$164,0),FALSE),IF($CL190="PTHP",VLOOKUP($D190,'Factor Tables'!$I$165:$Q$192,MATCH("PTHP Clg",'Factor Tables'!$I$164:$Q$164,0),FALSE),""))))</f>
        <v/>
      </c>
      <c r="CV190" s="186" t="str">
        <f>IF($CL190="","",IF(AND($CL190&lt;&gt;"DX HP",$CL190&lt;&gt;"PTHP"),0,IF($CL190="DX HP",VLOOKUP($D190,'Factor Tables'!$I$165:$Q$192,MATCH("DX HP Htg",'Factor Tables'!$I$164:$Q$164,0),FALSE),IF($CL190="PTHP",VLOOKUP($D190,'Factor Tables'!$I$165:$Q$192,MATCH("PTHP Htg",'Factor Tables'!$I$164:$Q$164,0),FALSE),""))))</f>
        <v/>
      </c>
      <c r="DD190" s="196" t="str">
        <f>IF(OR('Project Info'!$D$8="",$C30="",$D30=""),"",IF('Project Info'!$D$8="Weather Zone 5: El Paso",VLOOKUP($D30,$DI$9:$DL$37,MATCH($C30,$DI$9:$DL$9,0),FALSE),VLOOKUP($D30,$DE$9:$DH$37,MATCH($C30,$DE$9:$DH$9,0),FALSE)))</f>
        <v/>
      </c>
      <c r="DE190" s="426"/>
      <c r="DI190" s="425"/>
      <c r="DJ190" s="425"/>
      <c r="DK190" s="425"/>
      <c r="DL190" s="425"/>
      <c r="DM190" s="493" t="s">
        <v>478</v>
      </c>
    </row>
    <row r="191" spans="2:117" s="427" customFormat="1" ht="21.95" customHeight="1" x14ac:dyDescent="0.25">
      <c r="B191" s="432">
        <v>182</v>
      </c>
      <c r="C191" s="499" t="str">
        <f t="shared" si="94"/>
        <v/>
      </c>
      <c r="D191" s="403" t="str">
        <f t="shared" si="95"/>
        <v/>
      </c>
      <c r="E191" s="541"/>
      <c r="F191" s="785"/>
      <c r="G191" s="728"/>
      <c r="H191" s="728"/>
      <c r="I191" s="728"/>
      <c r="J191" s="728"/>
      <c r="K191" s="728"/>
      <c r="L191" s="728"/>
      <c r="M191" s="764"/>
      <c r="N191" s="728"/>
      <c r="O191" s="764"/>
      <c r="P191" s="728"/>
      <c r="Q191" s="1142"/>
      <c r="R191" s="1133"/>
      <c r="S191" s="778"/>
      <c r="T191" s="767"/>
      <c r="U191" s="778"/>
      <c r="V191" s="751"/>
      <c r="W191" s="556"/>
      <c r="X191" s="785"/>
      <c r="Y191" s="542"/>
      <c r="Z191" s="500"/>
      <c r="AA191" s="500"/>
      <c r="AB191" s="500"/>
      <c r="AC191" s="500"/>
      <c r="AD191" s="529"/>
      <c r="AE191" s="527">
        <f t="shared" si="39"/>
        <v>0</v>
      </c>
      <c r="AF191" s="527">
        <f t="shared" si="96"/>
        <v>0</v>
      </c>
      <c r="AG191" s="527">
        <f t="shared" si="76"/>
        <v>0</v>
      </c>
      <c r="AH191" s="527">
        <f t="shared" si="77"/>
        <v>0</v>
      </c>
      <c r="AI191" s="527">
        <f t="shared" si="78"/>
        <v>0</v>
      </c>
      <c r="AJ191" s="527">
        <f t="shared" si="79"/>
        <v>999999999</v>
      </c>
      <c r="AK191" s="530"/>
      <c r="AL191" s="776"/>
      <c r="AM191" s="777"/>
      <c r="AN191" s="500"/>
      <c r="AO191" s="778"/>
      <c r="AP191" s="778"/>
      <c r="AQ191" s="500"/>
      <c r="AR191" s="531"/>
      <c r="AS191" s="403"/>
      <c r="AT191" s="524" t="str">
        <f t="shared" si="80"/>
        <v/>
      </c>
      <c r="AU191" s="311">
        <f t="shared" si="81"/>
        <v>0</v>
      </c>
      <c r="AV191" s="288">
        <f t="shared" si="97"/>
        <v>0</v>
      </c>
      <c r="AW191" s="290">
        <f>IF(ISERROR($AU191*'Utility Admin'!$E$4+$AV191*'Utility Admin'!$F$4),0,$AU191*'Utility Admin'!$E$4+$AV191*'Utility Admin'!$F$4)</f>
        <v>0</v>
      </c>
      <c r="AX191" s="323" t="str">
        <f t="shared" si="82"/>
        <v/>
      </c>
      <c r="AY191" s="322" t="str">
        <f t="shared" si="23"/>
        <v/>
      </c>
      <c r="AZ191" s="319">
        <f>Baselines!$CJ435</f>
        <v>0</v>
      </c>
      <c r="BA191" s="735">
        <f>Baselines!$CK435</f>
        <v>0</v>
      </c>
      <c r="BB191" s="839">
        <f>Baselines!$CM435</f>
        <v>0</v>
      </c>
      <c r="BC191" s="466">
        <f t="shared" si="83"/>
        <v>0</v>
      </c>
      <c r="BD191" s="464">
        <f t="shared" si="98"/>
        <v>0</v>
      </c>
      <c r="BE191" s="755">
        <f t="shared" si="84"/>
        <v>0</v>
      </c>
      <c r="BF191" s="755">
        <f t="shared" si="99"/>
        <v>0</v>
      </c>
      <c r="BG191" s="466">
        <f t="shared" si="85"/>
        <v>0</v>
      </c>
      <c r="BH191" s="464">
        <f t="shared" si="86"/>
        <v>0</v>
      </c>
      <c r="BI191" s="755">
        <f t="shared" si="87"/>
        <v>0</v>
      </c>
      <c r="BJ191" s="755">
        <f t="shared" si="100"/>
        <v>0</v>
      </c>
      <c r="BK191" s="333">
        <f>IF(OR($C191&lt;&gt;"Early Retirement",$H191=""),0,IF(AND($G191&lt;&gt;"Air Cooled Chiller",$G191&lt;&gt;"Water Cooled Chiller"),VLOOKUP($H191,'Early Retirement'!$CI$6:$CL$33,2,FALSE),IF($J191&lt;&gt;"Centrifugal",VLOOKUP($H191,'Early Retirement'!$CI$6:$CL$33,3,FALSE),IF($J191="Centrifugal",VLOOKUP($H191,'Early Retirement'!$CI$6:$CL$33,4,FALSE),""))))</f>
        <v>0</v>
      </c>
      <c r="BL191" s="450">
        <f t="shared" si="88"/>
        <v>0</v>
      </c>
      <c r="BM191" s="553">
        <f>IFERROR('Utility Admin'!$I$4*((1+'Utility Admin'!$G$4)/('Utility Admin'!$H$4-'Utility Admin'!$G$4))*(1-((1+'Utility Admin'!$G$4)/(1+'Utility Admin'!$H$4))^$BK191)*$BG191,0)</f>
        <v>0</v>
      </c>
      <c r="BN191" s="553">
        <f>IFERROR('Utility Admin'!$I$4*((1+'Utility Admin'!$G$4)/('Utility Admin'!$H$4-'Utility Admin'!$G$4))*(1-((1+'Utility Admin'!$G$4)/(1+'Utility Admin'!$H$4))^$BL191)*((1+'Utility Admin'!$G$4)^$BK191/(1+'Utility Admin'!$H$4)^$BK191)*$BC191,0)</f>
        <v>0</v>
      </c>
      <c r="BO191" s="553">
        <f t="shared" si="27"/>
        <v>0</v>
      </c>
      <c r="BP191" s="553">
        <f>IFERROR('Utility Admin'!$J$4*((1+'Utility Admin'!$G$4)/('Utility Admin'!$H$4-'Utility Admin'!$G$4))*(1-((1+'Utility Admin'!$G$4)/(1+'Utility Admin'!$H$4))^$BK191)*$BJ191,0)</f>
        <v>0</v>
      </c>
      <c r="BQ191" s="553">
        <f>IFERROR('Utility Admin'!$J$4*((1+'Utility Admin'!$G$4)/('Utility Admin'!$H$4-'Utility Admin'!$G$4))*(1-((1+'Utility Admin'!$G$4)/(1+'Utility Admin'!$H$4))^$BL191)*((1+'Utility Admin'!$G$4)^$BK191/(1+'Utility Admin'!$H$4)^$BK191)*$BF191,0)</f>
        <v>0</v>
      </c>
      <c r="BR191" s="553">
        <f t="shared" si="28"/>
        <v>0</v>
      </c>
      <c r="BS191" s="553">
        <f>IFERROR('Utility Admin'!$I$4*((1+'Utility Admin'!$G$4)/('Utility Admin'!$H$4-'Utility Admin'!$G$4))*(1-((1+'Utility Admin'!$G$4)/(1+'Utility Admin'!$H$4))^$AT191),0)</f>
        <v>0</v>
      </c>
      <c r="BT191" s="553">
        <f>IFERROR('Utility Admin'!$J$4*((1+'Utility Admin'!$G$4)/('Utility Admin'!$H$4-'Utility Admin'!$G$4))*(1-((1+'Utility Admin'!$G$4)/(1+'Utility Admin'!$H$4))^$AT191),0)</f>
        <v>0</v>
      </c>
      <c r="BU191" s="459">
        <f t="shared" si="101"/>
        <v>0</v>
      </c>
      <c r="BV191" s="462">
        <f t="shared" si="102"/>
        <v>0</v>
      </c>
      <c r="BW191" s="219" t="str">
        <f t="shared" si="89"/>
        <v/>
      </c>
      <c r="BX191" s="250" t="str">
        <f t="shared" si="103"/>
        <v/>
      </c>
      <c r="BY191" s="250" t="str">
        <f t="shared" si="90"/>
        <v/>
      </c>
      <c r="BZ191" s="184">
        <f t="shared" si="104"/>
        <v>0</v>
      </c>
      <c r="CA191" s="693">
        <f t="shared" si="105"/>
        <v>0</v>
      </c>
      <c r="CB191" s="836">
        <f t="shared" si="106"/>
        <v>0</v>
      </c>
      <c r="CC191" s="693">
        <f>IF(AND($C191="Early Retirement",$H191&lt;&gt;"",$R191&lt;&gt;"",$T191&lt;&gt;""),$BZ191,Baselines!$CJ184)</f>
        <v>0</v>
      </c>
      <c r="CD191" s="693">
        <f>IF(AND($C191="Early Retirement",$H191&lt;&gt;"",$R191&lt;&gt;"",$T191&lt;&gt;""),$CA191,Baselines!$CK184)</f>
        <v>0</v>
      </c>
      <c r="CE191" s="182" t="str">
        <f>Baselines!$CL184</f>
        <v>kW/ton</v>
      </c>
      <c r="CF191" s="850" t="str">
        <f t="shared" si="91"/>
        <v/>
      </c>
      <c r="CG191" s="833">
        <f>IF(AND($C191="Early Retirement",$H191&lt;&gt;"",$R191&lt;&gt;"",$T191&lt;&gt;""),$CB191,IF(AND(Baselines!$CM184=0,OR($CL191="DX HP",$CL191="PTHP")),$BB191,Baselines!$CM184))</f>
        <v>0</v>
      </c>
      <c r="CH191" s="830" t="s">
        <v>567</v>
      </c>
      <c r="CI191" s="185" t="str">
        <f>IF(OR($C191="Replace-on-Burnout",$C191="New Construction"),$CT191,IF($BW191="","",VLOOKUP($D191,'Factor Tables'!$B$165:$H$192,MATCH($BW191,'Factor Tables'!$B$164:$H$164,0),FALSE)))</f>
        <v/>
      </c>
      <c r="CJ191" s="842" t="str">
        <f>IF(OR($C191="Replace-on-Burnout",$C191="New Construction"),$CU191,IF($BW191="","",IF($BW191="DX HP",VLOOKUP($D191,'Factor Tables'!$I$165:$Q$192,MATCH("DX HP Clg",'Factor Tables'!$I$164:$Q$164,0),FALSE),IF($BW191="PTHP",VLOOKUP($D191,'Factor Tables'!$I$165:$Q$192,MATCH("PTHP Clg",'Factor Tables'!$I$164:$Q$164,0),FALSE),IF(AND($BW191&lt;&gt;"DX HP",$BW191&lt;&gt;"PTHP"),VLOOKUP($D191,'Factor Tables'!$I$165:$Q$192,MATCH($BW191,'Factor Tables'!$I$164:$Q$164,0),FALSE),"")))))</f>
        <v/>
      </c>
      <c r="CK191" s="186" t="str">
        <f>IF(OR($C191="Replace-on-Burnout",$C191="New Construction",$CL191="DX HP",$CL191="PTHP"),$CV191,IF($BW191="","",IF($BW191="DX HP",VLOOKUP($D191,'Factor Tables'!$I$165:$Q$192,MATCH("DX HP Htg",'Factor Tables'!$I$164:$Q$164,0),FALSE),IF($BW191="PTHP",VLOOKUP($D191,'Factor Tables'!$I$165:$Q$192,MATCH("PTHP Htg",'Factor Tables'!$I$164:$Q$164,0),FALSE),0))))</f>
        <v/>
      </c>
      <c r="CL191" s="187" t="str">
        <f t="shared" si="92"/>
        <v/>
      </c>
      <c r="CM191" s="251" t="str">
        <f t="shared" si="93"/>
        <v/>
      </c>
      <c r="CN191" s="184">
        <f t="shared" si="107"/>
        <v>0</v>
      </c>
      <c r="CO191" s="693">
        <f t="shared" si="108"/>
        <v>0</v>
      </c>
      <c r="CP191" s="182" t="s">
        <v>46</v>
      </c>
      <c r="CQ191" s="852" t="str">
        <f t="shared" si="109"/>
        <v/>
      </c>
      <c r="CR191" s="833">
        <f t="shared" si="110"/>
        <v>0</v>
      </c>
      <c r="CS191" s="830" t="s">
        <v>567</v>
      </c>
      <c r="CT191" s="185" t="str">
        <f>IF($CL191="","",VLOOKUP($D191,'Factor Tables'!$B$165:$H$192,MATCH($CL191,'Factor Tables'!$B$164:$H$164,0),FALSE))</f>
        <v/>
      </c>
      <c r="CU191" s="842" t="str">
        <f>IF($CL191="","",IF(AND($CL191&lt;&gt;"DX HP",$CL191&lt;&gt;"PTHP"),VLOOKUP($D191,'Factor Tables'!$I$165:$Q$192,MATCH($CL191,'Factor Tables'!$I$164:$Q$164,0),FALSE),IF($CL191="DX HP",VLOOKUP($D191,'Factor Tables'!$I$165:$Q$192,MATCH("DX HP Clg",'Factor Tables'!$I$164:$Q$164,0),FALSE),IF($CL191="PTHP",VLOOKUP($D191,'Factor Tables'!$I$165:$Q$192,MATCH("PTHP Clg",'Factor Tables'!$I$164:$Q$164,0),FALSE),""))))</f>
        <v/>
      </c>
      <c r="CV191" s="186" t="str">
        <f>IF($CL191="","",IF(AND($CL191&lt;&gt;"DX HP",$CL191&lt;&gt;"PTHP"),0,IF($CL191="DX HP",VLOOKUP($D191,'Factor Tables'!$I$165:$Q$192,MATCH("DX HP Htg",'Factor Tables'!$I$164:$Q$164,0),FALSE),IF($CL191="PTHP",VLOOKUP($D191,'Factor Tables'!$I$165:$Q$192,MATCH("PTHP Htg",'Factor Tables'!$I$164:$Q$164,0),FALSE),""))))</f>
        <v/>
      </c>
      <c r="DD191" s="196" t="str">
        <f>IF(OR('Project Info'!$D$8="",$C31="",$D31=""),"",IF('Project Info'!$D$8="Weather Zone 5: El Paso",VLOOKUP($D31,$DI$9:$DL$37,MATCH($C31,$DI$9:$DL$9,0),FALSE),VLOOKUP($D31,$DE$9:$DH$37,MATCH($C31,$DE$9:$DH$9,0),FALSE)))</f>
        <v/>
      </c>
      <c r="DE191" s="426"/>
      <c r="DI191" s="425"/>
      <c r="DJ191" s="425"/>
      <c r="DK191" s="425"/>
      <c r="DL191" s="425"/>
      <c r="DM191" s="493" t="s">
        <v>478</v>
      </c>
    </row>
    <row r="192" spans="2:117" s="427" customFormat="1" ht="21.95" customHeight="1" x14ac:dyDescent="0.25">
      <c r="B192" s="431">
        <v>183</v>
      </c>
      <c r="C192" s="501" t="str">
        <f t="shared" si="94"/>
        <v/>
      </c>
      <c r="D192" s="502" t="str">
        <f t="shared" si="95"/>
        <v/>
      </c>
      <c r="E192" s="546"/>
      <c r="F192" s="547"/>
      <c r="G192" s="729"/>
      <c r="H192" s="729"/>
      <c r="I192" s="729"/>
      <c r="J192" s="729"/>
      <c r="K192" s="729"/>
      <c r="L192" s="729"/>
      <c r="M192" s="765"/>
      <c r="N192" s="758"/>
      <c r="O192" s="765"/>
      <c r="P192" s="758"/>
      <c r="Q192" s="1143"/>
      <c r="R192" s="1134"/>
      <c r="S192" s="775"/>
      <c r="T192" s="729"/>
      <c r="U192" s="775"/>
      <c r="V192" s="779"/>
      <c r="W192" s="557"/>
      <c r="X192" s="788"/>
      <c r="Y192" s="543"/>
      <c r="Z192" s="281"/>
      <c r="AA192" s="281"/>
      <c r="AB192" s="281"/>
      <c r="AC192" s="281"/>
      <c r="AD192" s="492"/>
      <c r="AE192" s="527">
        <f t="shared" si="39"/>
        <v>0</v>
      </c>
      <c r="AF192" s="527">
        <f t="shared" si="96"/>
        <v>0</v>
      </c>
      <c r="AG192" s="527">
        <f t="shared" si="76"/>
        <v>0</v>
      </c>
      <c r="AH192" s="527">
        <f t="shared" si="77"/>
        <v>0</v>
      </c>
      <c r="AI192" s="527">
        <f t="shared" si="78"/>
        <v>0</v>
      </c>
      <c r="AJ192" s="527">
        <f t="shared" si="79"/>
        <v>999999999</v>
      </c>
      <c r="AK192" s="471"/>
      <c r="AL192" s="765"/>
      <c r="AM192" s="758"/>
      <c r="AN192" s="281"/>
      <c r="AO192" s="775"/>
      <c r="AP192" s="775"/>
      <c r="AQ192" s="281"/>
      <c r="AR192" s="528"/>
      <c r="AS192" s="532"/>
      <c r="AT192" s="524" t="str">
        <f t="shared" si="80"/>
        <v/>
      </c>
      <c r="AU192" s="311">
        <f t="shared" si="81"/>
        <v>0</v>
      </c>
      <c r="AV192" s="288">
        <f t="shared" si="97"/>
        <v>0</v>
      </c>
      <c r="AW192" s="290">
        <f>IF(ISERROR($AU192*'Utility Admin'!$E$4+$AV192*'Utility Admin'!$F$4),0,$AU192*'Utility Admin'!$E$4+$AV192*'Utility Admin'!$F$4)</f>
        <v>0</v>
      </c>
      <c r="AX192" s="323" t="str">
        <f t="shared" si="82"/>
        <v/>
      </c>
      <c r="AY192" s="322" t="str">
        <f t="shared" si="23"/>
        <v/>
      </c>
      <c r="AZ192" s="319">
        <f>Baselines!$CJ436</f>
        <v>0</v>
      </c>
      <c r="BA192" s="735">
        <f>Baselines!$CK436</f>
        <v>0</v>
      </c>
      <c r="BB192" s="839">
        <f>Baselines!$CM436</f>
        <v>0</v>
      </c>
      <c r="BC192" s="466">
        <f t="shared" si="83"/>
        <v>0</v>
      </c>
      <c r="BD192" s="464">
        <f t="shared" si="98"/>
        <v>0</v>
      </c>
      <c r="BE192" s="755">
        <f t="shared" si="84"/>
        <v>0</v>
      </c>
      <c r="BF192" s="755">
        <f t="shared" si="99"/>
        <v>0</v>
      </c>
      <c r="BG192" s="466">
        <f t="shared" si="85"/>
        <v>0</v>
      </c>
      <c r="BH192" s="464">
        <f t="shared" si="86"/>
        <v>0</v>
      </c>
      <c r="BI192" s="755">
        <f t="shared" si="87"/>
        <v>0</v>
      </c>
      <c r="BJ192" s="755">
        <f t="shared" si="100"/>
        <v>0</v>
      </c>
      <c r="BK192" s="333">
        <f>IF(OR($C192&lt;&gt;"Early Retirement",$H192=""),0,IF(AND($G192&lt;&gt;"Air Cooled Chiller",$G192&lt;&gt;"Water Cooled Chiller"),VLOOKUP($H192,'Early Retirement'!$CI$6:$CL$33,2,FALSE),IF($J192&lt;&gt;"Centrifugal",VLOOKUP($H192,'Early Retirement'!$CI$6:$CL$33,3,FALSE),IF($J192="Centrifugal",VLOOKUP($H192,'Early Retirement'!$CI$6:$CL$33,4,FALSE),""))))</f>
        <v>0</v>
      </c>
      <c r="BL192" s="450">
        <f t="shared" si="88"/>
        <v>0</v>
      </c>
      <c r="BM192" s="553">
        <f>IFERROR('Utility Admin'!$I$4*((1+'Utility Admin'!$G$4)/('Utility Admin'!$H$4-'Utility Admin'!$G$4))*(1-((1+'Utility Admin'!$G$4)/(1+'Utility Admin'!$H$4))^$BK192)*$BG192,0)</f>
        <v>0</v>
      </c>
      <c r="BN192" s="553">
        <f>IFERROR('Utility Admin'!$I$4*((1+'Utility Admin'!$G$4)/('Utility Admin'!$H$4-'Utility Admin'!$G$4))*(1-((1+'Utility Admin'!$G$4)/(1+'Utility Admin'!$H$4))^$BL192)*((1+'Utility Admin'!$G$4)^$BK192/(1+'Utility Admin'!$H$4)^$BK192)*$BC192,0)</f>
        <v>0</v>
      </c>
      <c r="BO192" s="553">
        <f t="shared" si="27"/>
        <v>0</v>
      </c>
      <c r="BP192" s="553">
        <f>IFERROR('Utility Admin'!$J$4*((1+'Utility Admin'!$G$4)/('Utility Admin'!$H$4-'Utility Admin'!$G$4))*(1-((1+'Utility Admin'!$G$4)/(1+'Utility Admin'!$H$4))^$BK192)*$BJ192,0)</f>
        <v>0</v>
      </c>
      <c r="BQ192" s="553">
        <f>IFERROR('Utility Admin'!$J$4*((1+'Utility Admin'!$G$4)/('Utility Admin'!$H$4-'Utility Admin'!$G$4))*(1-((1+'Utility Admin'!$G$4)/(1+'Utility Admin'!$H$4))^$BL192)*((1+'Utility Admin'!$G$4)^$BK192/(1+'Utility Admin'!$H$4)^$BK192)*$BF192,0)</f>
        <v>0</v>
      </c>
      <c r="BR192" s="553">
        <f t="shared" si="28"/>
        <v>0</v>
      </c>
      <c r="BS192" s="553">
        <f>IFERROR('Utility Admin'!$I$4*((1+'Utility Admin'!$G$4)/('Utility Admin'!$H$4-'Utility Admin'!$G$4))*(1-((1+'Utility Admin'!$G$4)/(1+'Utility Admin'!$H$4))^$AT192),0)</f>
        <v>0</v>
      </c>
      <c r="BT192" s="553">
        <f>IFERROR('Utility Admin'!$J$4*((1+'Utility Admin'!$G$4)/('Utility Admin'!$H$4-'Utility Admin'!$G$4))*(1-((1+'Utility Admin'!$G$4)/(1+'Utility Admin'!$H$4))^$AT192),0)</f>
        <v>0</v>
      </c>
      <c r="BU192" s="459">
        <f t="shared" si="101"/>
        <v>0</v>
      </c>
      <c r="BV192" s="462">
        <f t="shared" si="102"/>
        <v>0</v>
      </c>
      <c r="BW192" s="219" t="str">
        <f t="shared" si="89"/>
        <v/>
      </c>
      <c r="BX192" s="250" t="str">
        <f t="shared" si="103"/>
        <v/>
      </c>
      <c r="BY192" s="250" t="str">
        <f t="shared" si="90"/>
        <v/>
      </c>
      <c r="BZ192" s="184">
        <f t="shared" si="104"/>
        <v>0</v>
      </c>
      <c r="CA192" s="693">
        <f t="shared" si="105"/>
        <v>0</v>
      </c>
      <c r="CB192" s="836">
        <f t="shared" si="106"/>
        <v>0</v>
      </c>
      <c r="CC192" s="693">
        <f>IF(AND($C192="Early Retirement",$H192&lt;&gt;"",$R192&lt;&gt;"",$T192&lt;&gt;""),$BZ192,Baselines!$CJ185)</f>
        <v>0</v>
      </c>
      <c r="CD192" s="693">
        <f>IF(AND($C192="Early Retirement",$H192&lt;&gt;"",$R192&lt;&gt;"",$T192&lt;&gt;""),$CA192,Baselines!$CK185)</f>
        <v>0</v>
      </c>
      <c r="CE192" s="182" t="str">
        <f>Baselines!$CL185</f>
        <v>kW/ton</v>
      </c>
      <c r="CF192" s="850" t="str">
        <f t="shared" si="91"/>
        <v/>
      </c>
      <c r="CG192" s="833">
        <f>IF(AND($C192="Early Retirement",$H192&lt;&gt;"",$R192&lt;&gt;"",$T192&lt;&gt;""),$CB192,IF(AND(Baselines!$CM185=0,OR($CL192="DX HP",$CL192="PTHP")),$BB192,Baselines!$CM185))</f>
        <v>0</v>
      </c>
      <c r="CH192" s="830" t="s">
        <v>567</v>
      </c>
      <c r="CI192" s="185" t="str">
        <f>IF(OR($C192="Replace-on-Burnout",$C192="New Construction"),$CT192,IF($BW192="","",VLOOKUP($D192,'Factor Tables'!$B$165:$H$192,MATCH($BW192,'Factor Tables'!$B$164:$H$164,0),FALSE)))</f>
        <v/>
      </c>
      <c r="CJ192" s="842" t="str">
        <f>IF(OR($C192="Replace-on-Burnout",$C192="New Construction"),$CU192,IF($BW192="","",IF($BW192="DX HP",VLOOKUP($D192,'Factor Tables'!$I$165:$Q$192,MATCH("DX HP Clg",'Factor Tables'!$I$164:$Q$164,0),FALSE),IF($BW192="PTHP",VLOOKUP($D192,'Factor Tables'!$I$165:$Q$192,MATCH("PTHP Clg",'Factor Tables'!$I$164:$Q$164,0),FALSE),IF(AND($BW192&lt;&gt;"DX HP",$BW192&lt;&gt;"PTHP"),VLOOKUP($D192,'Factor Tables'!$I$165:$Q$192,MATCH($BW192,'Factor Tables'!$I$164:$Q$164,0),FALSE),"")))))</f>
        <v/>
      </c>
      <c r="CK192" s="186" t="str">
        <f>IF(OR($C192="Replace-on-Burnout",$C192="New Construction",$CL192="DX HP",$CL192="PTHP"),$CV192,IF($BW192="","",IF($BW192="DX HP",VLOOKUP($D192,'Factor Tables'!$I$165:$Q$192,MATCH("DX HP Htg",'Factor Tables'!$I$164:$Q$164,0),FALSE),IF($BW192="PTHP",VLOOKUP($D192,'Factor Tables'!$I$165:$Q$192,MATCH("PTHP Htg",'Factor Tables'!$I$164:$Q$164,0),FALSE),0))))</f>
        <v/>
      </c>
      <c r="CL192" s="187" t="str">
        <f t="shared" si="92"/>
        <v/>
      </c>
      <c r="CM192" s="251" t="str">
        <f t="shared" si="93"/>
        <v/>
      </c>
      <c r="CN192" s="184">
        <f t="shared" si="107"/>
        <v>0</v>
      </c>
      <c r="CO192" s="693">
        <f t="shared" si="108"/>
        <v>0</v>
      </c>
      <c r="CP192" s="182" t="s">
        <v>46</v>
      </c>
      <c r="CQ192" s="852" t="str">
        <f t="shared" si="109"/>
        <v/>
      </c>
      <c r="CR192" s="833">
        <f t="shared" si="110"/>
        <v>0</v>
      </c>
      <c r="CS192" s="830" t="s">
        <v>567</v>
      </c>
      <c r="CT192" s="185" t="str">
        <f>IF($CL192="","",VLOOKUP($D192,'Factor Tables'!$B$165:$H$192,MATCH($CL192,'Factor Tables'!$B$164:$H$164,0),FALSE))</f>
        <v/>
      </c>
      <c r="CU192" s="842" t="str">
        <f>IF($CL192="","",IF(AND($CL192&lt;&gt;"DX HP",$CL192&lt;&gt;"PTHP"),VLOOKUP($D192,'Factor Tables'!$I$165:$Q$192,MATCH($CL192,'Factor Tables'!$I$164:$Q$164,0),FALSE),IF($CL192="DX HP",VLOOKUP($D192,'Factor Tables'!$I$165:$Q$192,MATCH("DX HP Clg",'Factor Tables'!$I$164:$Q$164,0),FALSE),IF($CL192="PTHP",VLOOKUP($D192,'Factor Tables'!$I$165:$Q$192,MATCH("PTHP Clg",'Factor Tables'!$I$164:$Q$164,0),FALSE),""))))</f>
        <v/>
      </c>
      <c r="CV192" s="186" t="str">
        <f>IF($CL192="","",IF(AND($CL192&lt;&gt;"DX HP",$CL192&lt;&gt;"PTHP"),0,IF($CL192="DX HP",VLOOKUP($D192,'Factor Tables'!$I$165:$Q$192,MATCH("DX HP Htg",'Factor Tables'!$I$164:$Q$164,0),FALSE),IF($CL192="PTHP",VLOOKUP($D192,'Factor Tables'!$I$165:$Q$192,MATCH("PTHP Htg",'Factor Tables'!$I$164:$Q$164,0),FALSE),""))))</f>
        <v/>
      </c>
      <c r="DD192" s="196" t="str">
        <f>IF(OR('Project Info'!$D$8="",$C32="",$D32=""),"",IF('Project Info'!$D$8="Weather Zone 5: El Paso",VLOOKUP($D32,$DI$9:$DL$37,MATCH($C32,$DI$9:$DL$9,0),FALSE),VLOOKUP($D32,$DE$9:$DH$37,MATCH($C32,$DE$9:$DH$9,0),FALSE)))</f>
        <v/>
      </c>
      <c r="DE192" s="426"/>
      <c r="DI192" s="425"/>
      <c r="DJ192" s="425"/>
      <c r="DK192" s="425"/>
      <c r="DL192" s="425"/>
      <c r="DM192" s="493" t="s">
        <v>478</v>
      </c>
    </row>
    <row r="193" spans="2:117" s="427" customFormat="1" ht="21.95" customHeight="1" x14ac:dyDescent="0.25">
      <c r="B193" s="432">
        <v>184</v>
      </c>
      <c r="C193" s="499" t="str">
        <f t="shared" si="94"/>
        <v/>
      </c>
      <c r="D193" s="403" t="str">
        <f t="shared" si="95"/>
        <v/>
      </c>
      <c r="E193" s="541"/>
      <c r="F193" s="785"/>
      <c r="G193" s="728"/>
      <c r="H193" s="728"/>
      <c r="I193" s="728"/>
      <c r="J193" s="728"/>
      <c r="K193" s="728"/>
      <c r="L193" s="728"/>
      <c r="M193" s="764"/>
      <c r="N193" s="728"/>
      <c r="O193" s="764"/>
      <c r="P193" s="728"/>
      <c r="Q193" s="1142"/>
      <c r="R193" s="1133"/>
      <c r="S193" s="778"/>
      <c r="T193" s="767"/>
      <c r="U193" s="778"/>
      <c r="V193" s="751"/>
      <c r="W193" s="556"/>
      <c r="X193" s="785"/>
      <c r="Y193" s="542"/>
      <c r="Z193" s="500"/>
      <c r="AA193" s="500"/>
      <c r="AB193" s="500"/>
      <c r="AC193" s="500"/>
      <c r="AD193" s="529"/>
      <c r="AE193" s="527">
        <f t="shared" si="39"/>
        <v>0</v>
      </c>
      <c r="AF193" s="527">
        <f t="shared" si="96"/>
        <v>0</v>
      </c>
      <c r="AG193" s="527">
        <f t="shared" si="76"/>
        <v>0</v>
      </c>
      <c r="AH193" s="527">
        <f t="shared" si="77"/>
        <v>0</v>
      </c>
      <c r="AI193" s="527">
        <f t="shared" si="78"/>
        <v>0</v>
      </c>
      <c r="AJ193" s="527">
        <f t="shared" si="79"/>
        <v>999999999</v>
      </c>
      <c r="AK193" s="530"/>
      <c r="AL193" s="776"/>
      <c r="AM193" s="777"/>
      <c r="AN193" s="500"/>
      <c r="AO193" s="778"/>
      <c r="AP193" s="778"/>
      <c r="AQ193" s="500"/>
      <c r="AR193" s="531"/>
      <c r="AS193" s="403"/>
      <c r="AT193" s="524" t="str">
        <f t="shared" si="80"/>
        <v/>
      </c>
      <c r="AU193" s="311">
        <f t="shared" si="81"/>
        <v>0</v>
      </c>
      <c r="AV193" s="288">
        <f t="shared" si="97"/>
        <v>0</v>
      </c>
      <c r="AW193" s="290">
        <f>IF(ISERROR($AU193*'Utility Admin'!$E$4+$AV193*'Utility Admin'!$F$4),0,$AU193*'Utility Admin'!$E$4+$AV193*'Utility Admin'!$F$4)</f>
        <v>0</v>
      </c>
      <c r="AX193" s="323" t="str">
        <f t="shared" si="82"/>
        <v/>
      </c>
      <c r="AY193" s="322" t="str">
        <f t="shared" si="23"/>
        <v/>
      </c>
      <c r="AZ193" s="319">
        <f>Baselines!$CJ437</f>
        <v>0</v>
      </c>
      <c r="BA193" s="735">
        <f>Baselines!$CK437</f>
        <v>0</v>
      </c>
      <c r="BB193" s="839">
        <f>Baselines!$CM437</f>
        <v>0</v>
      </c>
      <c r="BC193" s="466">
        <f t="shared" si="83"/>
        <v>0</v>
      </c>
      <c r="BD193" s="464">
        <f t="shared" si="98"/>
        <v>0</v>
      </c>
      <c r="BE193" s="755">
        <f t="shared" si="84"/>
        <v>0</v>
      </c>
      <c r="BF193" s="755">
        <f t="shared" si="99"/>
        <v>0</v>
      </c>
      <c r="BG193" s="466">
        <f t="shared" si="85"/>
        <v>0</v>
      </c>
      <c r="BH193" s="464">
        <f t="shared" si="86"/>
        <v>0</v>
      </c>
      <c r="BI193" s="755">
        <f t="shared" si="87"/>
        <v>0</v>
      </c>
      <c r="BJ193" s="755">
        <f t="shared" si="100"/>
        <v>0</v>
      </c>
      <c r="BK193" s="333">
        <f>IF(OR($C193&lt;&gt;"Early Retirement",$H193=""),0,IF(AND($G193&lt;&gt;"Air Cooled Chiller",$G193&lt;&gt;"Water Cooled Chiller"),VLOOKUP($H193,'Early Retirement'!$CI$6:$CL$33,2,FALSE),IF($J193&lt;&gt;"Centrifugal",VLOOKUP($H193,'Early Retirement'!$CI$6:$CL$33,3,FALSE),IF($J193="Centrifugal",VLOOKUP($H193,'Early Retirement'!$CI$6:$CL$33,4,FALSE),""))))</f>
        <v>0</v>
      </c>
      <c r="BL193" s="450">
        <f t="shared" si="88"/>
        <v>0</v>
      </c>
      <c r="BM193" s="553">
        <f>IFERROR('Utility Admin'!$I$4*((1+'Utility Admin'!$G$4)/('Utility Admin'!$H$4-'Utility Admin'!$G$4))*(1-((1+'Utility Admin'!$G$4)/(1+'Utility Admin'!$H$4))^$BK193)*$BG193,0)</f>
        <v>0</v>
      </c>
      <c r="BN193" s="553">
        <f>IFERROR('Utility Admin'!$I$4*((1+'Utility Admin'!$G$4)/('Utility Admin'!$H$4-'Utility Admin'!$G$4))*(1-((1+'Utility Admin'!$G$4)/(1+'Utility Admin'!$H$4))^$BL193)*((1+'Utility Admin'!$G$4)^$BK193/(1+'Utility Admin'!$H$4)^$BK193)*$BC193,0)</f>
        <v>0</v>
      </c>
      <c r="BO193" s="553">
        <f t="shared" si="27"/>
        <v>0</v>
      </c>
      <c r="BP193" s="553">
        <f>IFERROR('Utility Admin'!$J$4*((1+'Utility Admin'!$G$4)/('Utility Admin'!$H$4-'Utility Admin'!$G$4))*(1-((1+'Utility Admin'!$G$4)/(1+'Utility Admin'!$H$4))^$BK193)*$BJ193,0)</f>
        <v>0</v>
      </c>
      <c r="BQ193" s="553">
        <f>IFERROR('Utility Admin'!$J$4*((1+'Utility Admin'!$G$4)/('Utility Admin'!$H$4-'Utility Admin'!$G$4))*(1-((1+'Utility Admin'!$G$4)/(1+'Utility Admin'!$H$4))^$BL193)*((1+'Utility Admin'!$G$4)^$BK193/(1+'Utility Admin'!$H$4)^$BK193)*$BF193,0)</f>
        <v>0</v>
      </c>
      <c r="BR193" s="553">
        <f t="shared" si="28"/>
        <v>0</v>
      </c>
      <c r="BS193" s="553">
        <f>IFERROR('Utility Admin'!$I$4*((1+'Utility Admin'!$G$4)/('Utility Admin'!$H$4-'Utility Admin'!$G$4))*(1-((1+'Utility Admin'!$G$4)/(1+'Utility Admin'!$H$4))^$AT193),0)</f>
        <v>0</v>
      </c>
      <c r="BT193" s="553">
        <f>IFERROR('Utility Admin'!$J$4*((1+'Utility Admin'!$G$4)/('Utility Admin'!$H$4-'Utility Admin'!$G$4))*(1-((1+'Utility Admin'!$G$4)/(1+'Utility Admin'!$H$4))^$AT193),0)</f>
        <v>0</v>
      </c>
      <c r="BU193" s="459">
        <f t="shared" si="101"/>
        <v>0</v>
      </c>
      <c r="BV193" s="462">
        <f t="shared" si="102"/>
        <v>0</v>
      </c>
      <c r="BW193" s="219" t="str">
        <f t="shared" si="89"/>
        <v/>
      </c>
      <c r="BX193" s="250" t="str">
        <f t="shared" si="103"/>
        <v/>
      </c>
      <c r="BY193" s="250" t="str">
        <f t="shared" si="90"/>
        <v/>
      </c>
      <c r="BZ193" s="184">
        <f t="shared" si="104"/>
        <v>0</v>
      </c>
      <c r="CA193" s="693">
        <f t="shared" si="105"/>
        <v>0</v>
      </c>
      <c r="CB193" s="836">
        <f t="shared" si="106"/>
        <v>0</v>
      </c>
      <c r="CC193" s="693">
        <f>IF(AND($C193="Early Retirement",$H193&lt;&gt;"",$R193&lt;&gt;"",$T193&lt;&gt;""),$BZ193,Baselines!$CJ186)</f>
        <v>0</v>
      </c>
      <c r="CD193" s="693">
        <f>IF(AND($C193="Early Retirement",$H193&lt;&gt;"",$R193&lt;&gt;"",$T193&lt;&gt;""),$CA193,Baselines!$CK186)</f>
        <v>0</v>
      </c>
      <c r="CE193" s="182" t="str">
        <f>Baselines!$CL186</f>
        <v>kW/ton</v>
      </c>
      <c r="CF193" s="850" t="str">
        <f t="shared" si="91"/>
        <v/>
      </c>
      <c r="CG193" s="833">
        <f>IF(AND($C193="Early Retirement",$H193&lt;&gt;"",$R193&lt;&gt;"",$T193&lt;&gt;""),$CB193,IF(AND(Baselines!$CM186=0,OR($CL193="DX HP",$CL193="PTHP")),$BB193,Baselines!$CM186))</f>
        <v>0</v>
      </c>
      <c r="CH193" s="830" t="s">
        <v>567</v>
      </c>
      <c r="CI193" s="185" t="str">
        <f>IF(OR($C193="Replace-on-Burnout",$C193="New Construction"),$CT193,IF($BW193="","",VLOOKUP($D193,'Factor Tables'!$B$165:$H$192,MATCH($BW193,'Factor Tables'!$B$164:$H$164,0),FALSE)))</f>
        <v/>
      </c>
      <c r="CJ193" s="842" t="str">
        <f>IF(OR($C193="Replace-on-Burnout",$C193="New Construction"),$CU193,IF($BW193="","",IF($BW193="DX HP",VLOOKUP($D193,'Factor Tables'!$I$165:$Q$192,MATCH("DX HP Clg",'Factor Tables'!$I$164:$Q$164,0),FALSE),IF($BW193="PTHP",VLOOKUP($D193,'Factor Tables'!$I$165:$Q$192,MATCH("PTHP Clg",'Factor Tables'!$I$164:$Q$164,0),FALSE),IF(AND($BW193&lt;&gt;"DX HP",$BW193&lt;&gt;"PTHP"),VLOOKUP($D193,'Factor Tables'!$I$165:$Q$192,MATCH($BW193,'Factor Tables'!$I$164:$Q$164,0),FALSE),"")))))</f>
        <v/>
      </c>
      <c r="CK193" s="186" t="str">
        <f>IF(OR($C193="Replace-on-Burnout",$C193="New Construction",$CL193="DX HP",$CL193="PTHP"),$CV193,IF($BW193="","",IF($BW193="DX HP",VLOOKUP($D193,'Factor Tables'!$I$165:$Q$192,MATCH("DX HP Htg",'Factor Tables'!$I$164:$Q$164,0),FALSE),IF($BW193="PTHP",VLOOKUP($D193,'Factor Tables'!$I$165:$Q$192,MATCH("PTHP Htg",'Factor Tables'!$I$164:$Q$164,0),FALSE),0))))</f>
        <v/>
      </c>
      <c r="CL193" s="187" t="str">
        <f t="shared" si="92"/>
        <v/>
      </c>
      <c r="CM193" s="251" t="str">
        <f t="shared" si="93"/>
        <v/>
      </c>
      <c r="CN193" s="184">
        <f t="shared" si="107"/>
        <v>0</v>
      </c>
      <c r="CO193" s="693">
        <f t="shared" si="108"/>
        <v>0</v>
      </c>
      <c r="CP193" s="182" t="s">
        <v>46</v>
      </c>
      <c r="CQ193" s="852" t="str">
        <f t="shared" si="109"/>
        <v/>
      </c>
      <c r="CR193" s="833">
        <f t="shared" si="110"/>
        <v>0</v>
      </c>
      <c r="CS193" s="830" t="s">
        <v>567</v>
      </c>
      <c r="CT193" s="185" t="str">
        <f>IF($CL193="","",VLOOKUP($D193,'Factor Tables'!$B$165:$H$192,MATCH($CL193,'Factor Tables'!$B$164:$H$164,0),FALSE))</f>
        <v/>
      </c>
      <c r="CU193" s="842" t="str">
        <f>IF($CL193="","",IF(AND($CL193&lt;&gt;"DX HP",$CL193&lt;&gt;"PTHP"),VLOOKUP($D193,'Factor Tables'!$I$165:$Q$192,MATCH($CL193,'Factor Tables'!$I$164:$Q$164,0),FALSE),IF($CL193="DX HP",VLOOKUP($D193,'Factor Tables'!$I$165:$Q$192,MATCH("DX HP Clg",'Factor Tables'!$I$164:$Q$164,0),FALSE),IF($CL193="PTHP",VLOOKUP($D193,'Factor Tables'!$I$165:$Q$192,MATCH("PTHP Clg",'Factor Tables'!$I$164:$Q$164,0),FALSE),""))))</f>
        <v/>
      </c>
      <c r="CV193" s="186" t="str">
        <f>IF($CL193="","",IF(AND($CL193&lt;&gt;"DX HP",$CL193&lt;&gt;"PTHP"),0,IF($CL193="DX HP",VLOOKUP($D193,'Factor Tables'!$I$165:$Q$192,MATCH("DX HP Htg",'Factor Tables'!$I$164:$Q$164,0),FALSE),IF($CL193="PTHP",VLOOKUP($D193,'Factor Tables'!$I$165:$Q$192,MATCH("PTHP Htg",'Factor Tables'!$I$164:$Q$164,0),FALSE),""))))</f>
        <v/>
      </c>
      <c r="DD193" s="196" t="str">
        <f>IF(OR('Project Info'!$D$8="",$C33="",$D33=""),"",IF('Project Info'!$D$8="Weather Zone 5: El Paso",VLOOKUP($D33,$DI$9:$DL$37,MATCH($C33,$DI$9:$DL$9,0),FALSE),VLOOKUP($D33,$DE$9:$DH$37,MATCH($C33,$DE$9:$DH$9,0),FALSE)))</f>
        <v/>
      </c>
      <c r="DE193" s="426"/>
      <c r="DI193" s="425"/>
      <c r="DJ193" s="425"/>
      <c r="DK193" s="425"/>
      <c r="DL193" s="425"/>
      <c r="DM193" s="493" t="s">
        <v>478</v>
      </c>
    </row>
    <row r="194" spans="2:117" s="427" customFormat="1" ht="21.95" customHeight="1" x14ac:dyDescent="0.25">
      <c r="B194" s="431">
        <v>185</v>
      </c>
      <c r="C194" s="501" t="str">
        <f t="shared" si="94"/>
        <v/>
      </c>
      <c r="D194" s="502" t="str">
        <f t="shared" si="95"/>
        <v/>
      </c>
      <c r="E194" s="546"/>
      <c r="F194" s="547"/>
      <c r="G194" s="729"/>
      <c r="H194" s="729"/>
      <c r="I194" s="729"/>
      <c r="J194" s="729"/>
      <c r="K194" s="729"/>
      <c r="L194" s="729"/>
      <c r="M194" s="765"/>
      <c r="N194" s="758"/>
      <c r="O194" s="765"/>
      <c r="P194" s="758"/>
      <c r="Q194" s="1143"/>
      <c r="R194" s="1134"/>
      <c r="S194" s="775"/>
      <c r="T194" s="729"/>
      <c r="U194" s="775"/>
      <c r="V194" s="779"/>
      <c r="W194" s="557"/>
      <c r="X194" s="788"/>
      <c r="Y194" s="543"/>
      <c r="Z194" s="281"/>
      <c r="AA194" s="281"/>
      <c r="AB194" s="281"/>
      <c r="AC194" s="281"/>
      <c r="AD194" s="492"/>
      <c r="AE194" s="527">
        <f t="shared" si="39"/>
        <v>0</v>
      </c>
      <c r="AF194" s="527">
        <f t="shared" si="96"/>
        <v>0</v>
      </c>
      <c r="AG194" s="527">
        <f t="shared" si="76"/>
        <v>0</v>
      </c>
      <c r="AH194" s="527">
        <f t="shared" si="77"/>
        <v>0</v>
      </c>
      <c r="AI194" s="527">
        <f t="shared" si="78"/>
        <v>0</v>
      </c>
      <c r="AJ194" s="527">
        <f t="shared" si="79"/>
        <v>999999999</v>
      </c>
      <c r="AK194" s="471"/>
      <c r="AL194" s="765"/>
      <c r="AM194" s="758"/>
      <c r="AN194" s="281"/>
      <c r="AO194" s="775"/>
      <c r="AP194" s="775"/>
      <c r="AQ194" s="281"/>
      <c r="AR194" s="528"/>
      <c r="AS194" s="532"/>
      <c r="AT194" s="524" t="str">
        <f t="shared" si="80"/>
        <v/>
      </c>
      <c r="AU194" s="311">
        <f t="shared" si="81"/>
        <v>0</v>
      </c>
      <c r="AV194" s="288">
        <f t="shared" si="97"/>
        <v>0</v>
      </c>
      <c r="AW194" s="290">
        <f>IF(ISERROR($AU194*'Utility Admin'!$E$4+$AV194*'Utility Admin'!$F$4),0,$AU194*'Utility Admin'!$E$4+$AV194*'Utility Admin'!$F$4)</f>
        <v>0</v>
      </c>
      <c r="AX194" s="323" t="str">
        <f t="shared" si="82"/>
        <v/>
      </c>
      <c r="AY194" s="322" t="str">
        <f t="shared" si="23"/>
        <v/>
      </c>
      <c r="AZ194" s="319">
        <f>Baselines!$CJ438</f>
        <v>0</v>
      </c>
      <c r="BA194" s="735">
        <f>Baselines!$CK438</f>
        <v>0</v>
      </c>
      <c r="BB194" s="839">
        <f>Baselines!$CM438</f>
        <v>0</v>
      </c>
      <c r="BC194" s="466">
        <f t="shared" si="83"/>
        <v>0</v>
      </c>
      <c r="BD194" s="464">
        <f t="shared" si="98"/>
        <v>0</v>
      </c>
      <c r="BE194" s="755">
        <f t="shared" si="84"/>
        <v>0</v>
      </c>
      <c r="BF194" s="755">
        <f t="shared" si="99"/>
        <v>0</v>
      </c>
      <c r="BG194" s="466">
        <f t="shared" si="85"/>
        <v>0</v>
      </c>
      <c r="BH194" s="464">
        <f t="shared" si="86"/>
        <v>0</v>
      </c>
      <c r="BI194" s="755">
        <f t="shared" si="87"/>
        <v>0</v>
      </c>
      <c r="BJ194" s="755">
        <f t="shared" si="100"/>
        <v>0</v>
      </c>
      <c r="BK194" s="333">
        <f>IF(OR($C194&lt;&gt;"Early Retirement",$H194=""),0,IF(AND($G194&lt;&gt;"Air Cooled Chiller",$G194&lt;&gt;"Water Cooled Chiller"),VLOOKUP($H194,'Early Retirement'!$CI$6:$CL$33,2,FALSE),IF($J194&lt;&gt;"Centrifugal",VLOOKUP($H194,'Early Retirement'!$CI$6:$CL$33,3,FALSE),IF($J194="Centrifugal",VLOOKUP($H194,'Early Retirement'!$CI$6:$CL$33,4,FALSE),""))))</f>
        <v>0</v>
      </c>
      <c r="BL194" s="450">
        <f t="shared" si="88"/>
        <v>0</v>
      </c>
      <c r="BM194" s="553">
        <f>IFERROR('Utility Admin'!$I$4*((1+'Utility Admin'!$G$4)/('Utility Admin'!$H$4-'Utility Admin'!$G$4))*(1-((1+'Utility Admin'!$G$4)/(1+'Utility Admin'!$H$4))^$BK194)*$BG194,0)</f>
        <v>0</v>
      </c>
      <c r="BN194" s="553">
        <f>IFERROR('Utility Admin'!$I$4*((1+'Utility Admin'!$G$4)/('Utility Admin'!$H$4-'Utility Admin'!$G$4))*(1-((1+'Utility Admin'!$G$4)/(1+'Utility Admin'!$H$4))^$BL194)*((1+'Utility Admin'!$G$4)^$BK194/(1+'Utility Admin'!$H$4)^$BK194)*$BC194,0)</f>
        <v>0</v>
      </c>
      <c r="BO194" s="553">
        <f t="shared" si="27"/>
        <v>0</v>
      </c>
      <c r="BP194" s="553">
        <f>IFERROR('Utility Admin'!$J$4*((1+'Utility Admin'!$G$4)/('Utility Admin'!$H$4-'Utility Admin'!$G$4))*(1-((1+'Utility Admin'!$G$4)/(1+'Utility Admin'!$H$4))^$BK194)*$BJ194,0)</f>
        <v>0</v>
      </c>
      <c r="BQ194" s="553">
        <f>IFERROR('Utility Admin'!$J$4*((1+'Utility Admin'!$G$4)/('Utility Admin'!$H$4-'Utility Admin'!$G$4))*(1-((1+'Utility Admin'!$G$4)/(1+'Utility Admin'!$H$4))^$BL194)*((1+'Utility Admin'!$G$4)^$BK194/(1+'Utility Admin'!$H$4)^$BK194)*$BF194,0)</f>
        <v>0</v>
      </c>
      <c r="BR194" s="553">
        <f t="shared" si="28"/>
        <v>0</v>
      </c>
      <c r="BS194" s="553">
        <f>IFERROR('Utility Admin'!$I$4*((1+'Utility Admin'!$G$4)/('Utility Admin'!$H$4-'Utility Admin'!$G$4))*(1-((1+'Utility Admin'!$G$4)/(1+'Utility Admin'!$H$4))^$AT194),0)</f>
        <v>0</v>
      </c>
      <c r="BT194" s="553">
        <f>IFERROR('Utility Admin'!$J$4*((1+'Utility Admin'!$G$4)/('Utility Admin'!$H$4-'Utility Admin'!$G$4))*(1-((1+'Utility Admin'!$G$4)/(1+'Utility Admin'!$H$4))^$AT194),0)</f>
        <v>0</v>
      </c>
      <c r="BU194" s="459">
        <f t="shared" si="101"/>
        <v>0</v>
      </c>
      <c r="BV194" s="462">
        <f t="shared" si="102"/>
        <v>0</v>
      </c>
      <c r="BW194" s="219" t="str">
        <f t="shared" si="89"/>
        <v/>
      </c>
      <c r="BX194" s="250" t="str">
        <f t="shared" si="103"/>
        <v/>
      </c>
      <c r="BY194" s="250" t="str">
        <f t="shared" si="90"/>
        <v/>
      </c>
      <c r="BZ194" s="184">
        <f t="shared" si="104"/>
        <v>0</v>
      </c>
      <c r="CA194" s="693">
        <f t="shared" si="105"/>
        <v>0</v>
      </c>
      <c r="CB194" s="836">
        <f t="shared" si="106"/>
        <v>0</v>
      </c>
      <c r="CC194" s="693">
        <f>IF(AND($C194="Early Retirement",$H194&lt;&gt;"",$R194&lt;&gt;"",$T194&lt;&gt;""),$BZ194,Baselines!$CJ187)</f>
        <v>0</v>
      </c>
      <c r="CD194" s="693">
        <f>IF(AND($C194="Early Retirement",$H194&lt;&gt;"",$R194&lt;&gt;"",$T194&lt;&gt;""),$CA194,Baselines!$CK187)</f>
        <v>0</v>
      </c>
      <c r="CE194" s="182" t="str">
        <f>Baselines!$CL187</f>
        <v>kW/ton</v>
      </c>
      <c r="CF194" s="850" t="str">
        <f t="shared" si="91"/>
        <v/>
      </c>
      <c r="CG194" s="833">
        <f>IF(AND($C194="Early Retirement",$H194&lt;&gt;"",$R194&lt;&gt;"",$T194&lt;&gt;""),$CB194,IF(AND(Baselines!$CM187=0,OR($CL194="DX HP",$CL194="PTHP")),$BB194,Baselines!$CM187))</f>
        <v>0</v>
      </c>
      <c r="CH194" s="830" t="s">
        <v>567</v>
      </c>
      <c r="CI194" s="185" t="str">
        <f>IF(OR($C194="Replace-on-Burnout",$C194="New Construction"),$CT194,IF($BW194="","",VLOOKUP($D194,'Factor Tables'!$B$165:$H$192,MATCH($BW194,'Factor Tables'!$B$164:$H$164,0),FALSE)))</f>
        <v/>
      </c>
      <c r="CJ194" s="842" t="str">
        <f>IF(OR($C194="Replace-on-Burnout",$C194="New Construction"),$CU194,IF($BW194="","",IF($BW194="DX HP",VLOOKUP($D194,'Factor Tables'!$I$165:$Q$192,MATCH("DX HP Clg",'Factor Tables'!$I$164:$Q$164,0),FALSE),IF($BW194="PTHP",VLOOKUP($D194,'Factor Tables'!$I$165:$Q$192,MATCH("PTHP Clg",'Factor Tables'!$I$164:$Q$164,0),FALSE),IF(AND($BW194&lt;&gt;"DX HP",$BW194&lt;&gt;"PTHP"),VLOOKUP($D194,'Factor Tables'!$I$165:$Q$192,MATCH($BW194,'Factor Tables'!$I$164:$Q$164,0),FALSE),"")))))</f>
        <v/>
      </c>
      <c r="CK194" s="186" t="str">
        <f>IF(OR($C194="Replace-on-Burnout",$C194="New Construction",$CL194="DX HP",$CL194="PTHP"),$CV194,IF($BW194="","",IF($BW194="DX HP",VLOOKUP($D194,'Factor Tables'!$I$165:$Q$192,MATCH("DX HP Htg",'Factor Tables'!$I$164:$Q$164,0),FALSE),IF($BW194="PTHP",VLOOKUP($D194,'Factor Tables'!$I$165:$Q$192,MATCH("PTHP Htg",'Factor Tables'!$I$164:$Q$164,0),FALSE),0))))</f>
        <v/>
      </c>
      <c r="CL194" s="187" t="str">
        <f t="shared" si="92"/>
        <v/>
      </c>
      <c r="CM194" s="251" t="str">
        <f t="shared" si="93"/>
        <v/>
      </c>
      <c r="CN194" s="184">
        <f t="shared" si="107"/>
        <v>0</v>
      </c>
      <c r="CO194" s="693">
        <f t="shared" si="108"/>
        <v>0</v>
      </c>
      <c r="CP194" s="182" t="s">
        <v>46</v>
      </c>
      <c r="CQ194" s="852" t="str">
        <f t="shared" si="109"/>
        <v/>
      </c>
      <c r="CR194" s="833">
        <f t="shared" si="110"/>
        <v>0</v>
      </c>
      <c r="CS194" s="830" t="s">
        <v>567</v>
      </c>
      <c r="CT194" s="185" t="str">
        <f>IF($CL194="","",VLOOKUP($D194,'Factor Tables'!$B$165:$H$192,MATCH($CL194,'Factor Tables'!$B$164:$H$164,0),FALSE))</f>
        <v/>
      </c>
      <c r="CU194" s="842" t="str">
        <f>IF($CL194="","",IF(AND($CL194&lt;&gt;"DX HP",$CL194&lt;&gt;"PTHP"),VLOOKUP($D194,'Factor Tables'!$I$165:$Q$192,MATCH($CL194,'Factor Tables'!$I$164:$Q$164,0),FALSE),IF($CL194="DX HP",VLOOKUP($D194,'Factor Tables'!$I$165:$Q$192,MATCH("DX HP Clg",'Factor Tables'!$I$164:$Q$164,0),FALSE),IF($CL194="PTHP",VLOOKUP($D194,'Factor Tables'!$I$165:$Q$192,MATCH("PTHP Clg",'Factor Tables'!$I$164:$Q$164,0),FALSE),""))))</f>
        <v/>
      </c>
      <c r="CV194" s="186" t="str">
        <f>IF($CL194="","",IF(AND($CL194&lt;&gt;"DX HP",$CL194&lt;&gt;"PTHP"),0,IF($CL194="DX HP",VLOOKUP($D194,'Factor Tables'!$I$165:$Q$192,MATCH("DX HP Htg",'Factor Tables'!$I$164:$Q$164,0),FALSE),IF($CL194="PTHP",VLOOKUP($D194,'Factor Tables'!$I$165:$Q$192,MATCH("PTHP Htg",'Factor Tables'!$I$164:$Q$164,0),FALSE),""))))</f>
        <v/>
      </c>
      <c r="DD194" s="196" t="str">
        <f>IF(OR('Project Info'!$D$8="",$C34="",$D34=""),"",IF('Project Info'!$D$8="Weather Zone 5: El Paso",VLOOKUP($D34,$DI$9:$DL$37,MATCH($C34,$DI$9:$DL$9,0),FALSE),VLOOKUP($D34,$DE$9:$DH$37,MATCH($C34,$DE$9:$DH$9,0),FALSE)))</f>
        <v/>
      </c>
      <c r="DE194" s="426"/>
      <c r="DI194" s="425"/>
      <c r="DJ194" s="425"/>
      <c r="DK194" s="425"/>
      <c r="DL194" s="425"/>
      <c r="DM194" s="493" t="s">
        <v>478</v>
      </c>
    </row>
    <row r="195" spans="2:117" s="427" customFormat="1" ht="21.95" customHeight="1" x14ac:dyDescent="0.25">
      <c r="B195" s="432">
        <v>186</v>
      </c>
      <c r="C195" s="499" t="str">
        <f t="shared" si="94"/>
        <v/>
      </c>
      <c r="D195" s="403" t="str">
        <f t="shared" si="95"/>
        <v/>
      </c>
      <c r="E195" s="541"/>
      <c r="F195" s="785"/>
      <c r="G195" s="728"/>
      <c r="H195" s="728"/>
      <c r="I195" s="728"/>
      <c r="J195" s="728"/>
      <c r="K195" s="728"/>
      <c r="L195" s="728"/>
      <c r="M195" s="764"/>
      <c r="N195" s="728"/>
      <c r="O195" s="764"/>
      <c r="P195" s="728"/>
      <c r="Q195" s="1142"/>
      <c r="R195" s="1133"/>
      <c r="S195" s="778"/>
      <c r="T195" s="767"/>
      <c r="U195" s="778"/>
      <c r="V195" s="751"/>
      <c r="W195" s="556"/>
      <c r="X195" s="785"/>
      <c r="Y195" s="542"/>
      <c r="Z195" s="500"/>
      <c r="AA195" s="500"/>
      <c r="AB195" s="500"/>
      <c r="AC195" s="500"/>
      <c r="AD195" s="529"/>
      <c r="AE195" s="527">
        <f t="shared" si="39"/>
        <v>0</v>
      </c>
      <c r="AF195" s="527">
        <f t="shared" si="96"/>
        <v>0</v>
      </c>
      <c r="AG195" s="527">
        <f t="shared" si="76"/>
        <v>0</v>
      </c>
      <c r="AH195" s="527">
        <f t="shared" si="77"/>
        <v>0</v>
      </c>
      <c r="AI195" s="527">
        <f t="shared" si="78"/>
        <v>0</v>
      </c>
      <c r="AJ195" s="527">
        <f t="shared" si="79"/>
        <v>999999999</v>
      </c>
      <c r="AK195" s="530"/>
      <c r="AL195" s="776"/>
      <c r="AM195" s="777"/>
      <c r="AN195" s="500"/>
      <c r="AO195" s="778"/>
      <c r="AP195" s="778"/>
      <c r="AQ195" s="500"/>
      <c r="AR195" s="531"/>
      <c r="AS195" s="403"/>
      <c r="AT195" s="524" t="str">
        <f t="shared" si="80"/>
        <v/>
      </c>
      <c r="AU195" s="311">
        <f t="shared" si="81"/>
        <v>0</v>
      </c>
      <c r="AV195" s="288">
        <f t="shared" si="97"/>
        <v>0</v>
      </c>
      <c r="AW195" s="290">
        <f>IF(ISERROR($AU195*'Utility Admin'!$E$4+$AV195*'Utility Admin'!$F$4),0,$AU195*'Utility Admin'!$E$4+$AV195*'Utility Admin'!$F$4)</f>
        <v>0</v>
      </c>
      <c r="AX195" s="323" t="str">
        <f t="shared" si="82"/>
        <v/>
      </c>
      <c r="AY195" s="322" t="str">
        <f t="shared" si="23"/>
        <v/>
      </c>
      <c r="AZ195" s="319">
        <f>Baselines!$CJ439</f>
        <v>0</v>
      </c>
      <c r="BA195" s="735">
        <f>Baselines!$CK439</f>
        <v>0</v>
      </c>
      <c r="BB195" s="839">
        <f>Baselines!$CM439</f>
        <v>0</v>
      </c>
      <c r="BC195" s="466">
        <f t="shared" si="83"/>
        <v>0</v>
      </c>
      <c r="BD195" s="464">
        <f t="shared" si="98"/>
        <v>0</v>
      </c>
      <c r="BE195" s="755">
        <f t="shared" si="84"/>
        <v>0</v>
      </c>
      <c r="BF195" s="755">
        <f t="shared" si="99"/>
        <v>0</v>
      </c>
      <c r="BG195" s="466">
        <f t="shared" si="85"/>
        <v>0</v>
      </c>
      <c r="BH195" s="464">
        <f t="shared" si="86"/>
        <v>0</v>
      </c>
      <c r="BI195" s="755">
        <f t="shared" si="87"/>
        <v>0</v>
      </c>
      <c r="BJ195" s="755">
        <f t="shared" si="100"/>
        <v>0</v>
      </c>
      <c r="BK195" s="333">
        <f>IF(OR($C195&lt;&gt;"Early Retirement",$H195=""),0,IF(AND($G195&lt;&gt;"Air Cooled Chiller",$G195&lt;&gt;"Water Cooled Chiller"),VLOOKUP($H195,'Early Retirement'!$CI$6:$CL$33,2,FALSE),IF($J195&lt;&gt;"Centrifugal",VLOOKUP($H195,'Early Retirement'!$CI$6:$CL$33,3,FALSE),IF($J195="Centrifugal",VLOOKUP($H195,'Early Retirement'!$CI$6:$CL$33,4,FALSE),""))))</f>
        <v>0</v>
      </c>
      <c r="BL195" s="450">
        <f t="shared" si="88"/>
        <v>0</v>
      </c>
      <c r="BM195" s="553">
        <f>IFERROR('Utility Admin'!$I$4*((1+'Utility Admin'!$G$4)/('Utility Admin'!$H$4-'Utility Admin'!$G$4))*(1-((1+'Utility Admin'!$G$4)/(1+'Utility Admin'!$H$4))^$BK195)*$BG195,0)</f>
        <v>0</v>
      </c>
      <c r="BN195" s="553">
        <f>IFERROR('Utility Admin'!$I$4*((1+'Utility Admin'!$G$4)/('Utility Admin'!$H$4-'Utility Admin'!$G$4))*(1-((1+'Utility Admin'!$G$4)/(1+'Utility Admin'!$H$4))^$BL195)*((1+'Utility Admin'!$G$4)^$BK195/(1+'Utility Admin'!$H$4)^$BK195)*$BC195,0)</f>
        <v>0</v>
      </c>
      <c r="BO195" s="553">
        <f t="shared" si="27"/>
        <v>0</v>
      </c>
      <c r="BP195" s="553">
        <f>IFERROR('Utility Admin'!$J$4*((1+'Utility Admin'!$G$4)/('Utility Admin'!$H$4-'Utility Admin'!$G$4))*(1-((1+'Utility Admin'!$G$4)/(1+'Utility Admin'!$H$4))^$BK195)*$BJ195,0)</f>
        <v>0</v>
      </c>
      <c r="BQ195" s="553">
        <f>IFERROR('Utility Admin'!$J$4*((1+'Utility Admin'!$G$4)/('Utility Admin'!$H$4-'Utility Admin'!$G$4))*(1-((1+'Utility Admin'!$G$4)/(1+'Utility Admin'!$H$4))^$BL195)*((1+'Utility Admin'!$G$4)^$BK195/(1+'Utility Admin'!$H$4)^$BK195)*$BF195,0)</f>
        <v>0</v>
      </c>
      <c r="BR195" s="553">
        <f t="shared" si="28"/>
        <v>0</v>
      </c>
      <c r="BS195" s="553">
        <f>IFERROR('Utility Admin'!$I$4*((1+'Utility Admin'!$G$4)/('Utility Admin'!$H$4-'Utility Admin'!$G$4))*(1-((1+'Utility Admin'!$G$4)/(1+'Utility Admin'!$H$4))^$AT195),0)</f>
        <v>0</v>
      </c>
      <c r="BT195" s="553">
        <f>IFERROR('Utility Admin'!$J$4*((1+'Utility Admin'!$G$4)/('Utility Admin'!$H$4-'Utility Admin'!$G$4))*(1-((1+'Utility Admin'!$G$4)/(1+'Utility Admin'!$H$4))^$AT195),0)</f>
        <v>0</v>
      </c>
      <c r="BU195" s="459">
        <f t="shared" si="101"/>
        <v>0</v>
      </c>
      <c r="BV195" s="462">
        <f t="shared" si="102"/>
        <v>0</v>
      </c>
      <c r="BW195" s="219" t="str">
        <f t="shared" si="89"/>
        <v/>
      </c>
      <c r="BX195" s="250" t="str">
        <f t="shared" si="103"/>
        <v/>
      </c>
      <c r="BY195" s="250" t="str">
        <f t="shared" si="90"/>
        <v/>
      </c>
      <c r="BZ195" s="184">
        <f t="shared" si="104"/>
        <v>0</v>
      </c>
      <c r="CA195" s="693">
        <f t="shared" si="105"/>
        <v>0</v>
      </c>
      <c r="CB195" s="836">
        <f t="shared" si="106"/>
        <v>0</v>
      </c>
      <c r="CC195" s="693">
        <f>IF(AND($C195="Early Retirement",$H195&lt;&gt;"",$R195&lt;&gt;"",$T195&lt;&gt;""),$BZ195,Baselines!$CJ188)</f>
        <v>0</v>
      </c>
      <c r="CD195" s="693">
        <f>IF(AND($C195="Early Retirement",$H195&lt;&gt;"",$R195&lt;&gt;"",$T195&lt;&gt;""),$CA195,Baselines!$CK188)</f>
        <v>0</v>
      </c>
      <c r="CE195" s="182" t="str">
        <f>Baselines!$CL188</f>
        <v>kW/ton</v>
      </c>
      <c r="CF195" s="850" t="str">
        <f t="shared" si="91"/>
        <v/>
      </c>
      <c r="CG195" s="833">
        <f>IF(AND($C195="Early Retirement",$H195&lt;&gt;"",$R195&lt;&gt;"",$T195&lt;&gt;""),$CB195,IF(AND(Baselines!$CM188=0,OR($CL195="DX HP",$CL195="PTHP")),$BB195,Baselines!$CM188))</f>
        <v>0</v>
      </c>
      <c r="CH195" s="830" t="s">
        <v>567</v>
      </c>
      <c r="CI195" s="185" t="str">
        <f>IF(OR($C195="Replace-on-Burnout",$C195="New Construction"),$CT195,IF($BW195="","",VLOOKUP($D195,'Factor Tables'!$B$165:$H$192,MATCH($BW195,'Factor Tables'!$B$164:$H$164,0),FALSE)))</f>
        <v/>
      </c>
      <c r="CJ195" s="842" t="str">
        <f>IF(OR($C195="Replace-on-Burnout",$C195="New Construction"),$CU195,IF($BW195="","",IF($BW195="DX HP",VLOOKUP($D195,'Factor Tables'!$I$165:$Q$192,MATCH("DX HP Clg",'Factor Tables'!$I$164:$Q$164,0),FALSE),IF($BW195="PTHP",VLOOKUP($D195,'Factor Tables'!$I$165:$Q$192,MATCH("PTHP Clg",'Factor Tables'!$I$164:$Q$164,0),FALSE),IF(AND($BW195&lt;&gt;"DX HP",$BW195&lt;&gt;"PTHP"),VLOOKUP($D195,'Factor Tables'!$I$165:$Q$192,MATCH($BW195,'Factor Tables'!$I$164:$Q$164,0),FALSE),"")))))</f>
        <v/>
      </c>
      <c r="CK195" s="186" t="str">
        <f>IF(OR($C195="Replace-on-Burnout",$C195="New Construction",$CL195="DX HP",$CL195="PTHP"),$CV195,IF($BW195="","",IF($BW195="DX HP",VLOOKUP($D195,'Factor Tables'!$I$165:$Q$192,MATCH("DX HP Htg",'Factor Tables'!$I$164:$Q$164,0),FALSE),IF($BW195="PTHP",VLOOKUP($D195,'Factor Tables'!$I$165:$Q$192,MATCH("PTHP Htg",'Factor Tables'!$I$164:$Q$164,0),FALSE),0))))</f>
        <v/>
      </c>
      <c r="CL195" s="187" t="str">
        <f t="shared" si="92"/>
        <v/>
      </c>
      <c r="CM195" s="251" t="str">
        <f t="shared" si="93"/>
        <v/>
      </c>
      <c r="CN195" s="184">
        <f t="shared" si="107"/>
        <v>0</v>
      </c>
      <c r="CO195" s="693">
        <f t="shared" si="108"/>
        <v>0</v>
      </c>
      <c r="CP195" s="182" t="s">
        <v>46</v>
      </c>
      <c r="CQ195" s="852" t="str">
        <f t="shared" si="109"/>
        <v/>
      </c>
      <c r="CR195" s="833">
        <f t="shared" si="110"/>
        <v>0</v>
      </c>
      <c r="CS195" s="830" t="s">
        <v>567</v>
      </c>
      <c r="CT195" s="185" t="str">
        <f>IF($CL195="","",VLOOKUP($D195,'Factor Tables'!$B$165:$H$192,MATCH($CL195,'Factor Tables'!$B$164:$H$164,0),FALSE))</f>
        <v/>
      </c>
      <c r="CU195" s="842" t="str">
        <f>IF($CL195="","",IF(AND($CL195&lt;&gt;"DX HP",$CL195&lt;&gt;"PTHP"),VLOOKUP($D195,'Factor Tables'!$I$165:$Q$192,MATCH($CL195,'Factor Tables'!$I$164:$Q$164,0),FALSE),IF($CL195="DX HP",VLOOKUP($D195,'Factor Tables'!$I$165:$Q$192,MATCH("DX HP Clg",'Factor Tables'!$I$164:$Q$164,0),FALSE),IF($CL195="PTHP",VLOOKUP($D195,'Factor Tables'!$I$165:$Q$192,MATCH("PTHP Clg",'Factor Tables'!$I$164:$Q$164,0),FALSE),""))))</f>
        <v/>
      </c>
      <c r="CV195" s="186" t="str">
        <f>IF($CL195="","",IF(AND($CL195&lt;&gt;"DX HP",$CL195&lt;&gt;"PTHP"),0,IF($CL195="DX HP",VLOOKUP($D195,'Factor Tables'!$I$165:$Q$192,MATCH("DX HP Htg",'Factor Tables'!$I$164:$Q$164,0),FALSE),IF($CL195="PTHP",VLOOKUP($D195,'Factor Tables'!$I$165:$Q$192,MATCH("PTHP Htg",'Factor Tables'!$I$164:$Q$164,0),FALSE),""))))</f>
        <v/>
      </c>
      <c r="DD195" s="196" t="str">
        <f>IF(OR('Project Info'!$D$8="",$C35="",$D35=""),"",IF('Project Info'!$D$8="Weather Zone 5: El Paso",VLOOKUP($D35,$DI$9:$DL$37,MATCH($C35,$DI$9:$DL$9,0),FALSE),VLOOKUP($D35,$DE$9:$DH$37,MATCH($C35,$DE$9:$DH$9,0),FALSE)))</f>
        <v/>
      </c>
      <c r="DE195" s="426"/>
      <c r="DI195" s="425"/>
      <c r="DJ195" s="425"/>
      <c r="DK195" s="425"/>
      <c r="DL195" s="425"/>
      <c r="DM195" s="493" t="s">
        <v>478</v>
      </c>
    </row>
    <row r="196" spans="2:117" s="427" customFormat="1" ht="21.95" customHeight="1" x14ac:dyDescent="0.25">
      <c r="B196" s="431">
        <v>187</v>
      </c>
      <c r="C196" s="501" t="str">
        <f t="shared" si="94"/>
        <v/>
      </c>
      <c r="D196" s="502" t="str">
        <f t="shared" si="95"/>
        <v/>
      </c>
      <c r="E196" s="546"/>
      <c r="F196" s="547"/>
      <c r="G196" s="729"/>
      <c r="H196" s="729"/>
      <c r="I196" s="729"/>
      <c r="J196" s="729"/>
      <c r="K196" s="729"/>
      <c r="L196" s="729"/>
      <c r="M196" s="765"/>
      <c r="N196" s="758"/>
      <c r="O196" s="765"/>
      <c r="P196" s="758"/>
      <c r="Q196" s="1143"/>
      <c r="R196" s="1134"/>
      <c r="S196" s="775"/>
      <c r="T196" s="729"/>
      <c r="U196" s="775"/>
      <c r="V196" s="779"/>
      <c r="W196" s="557"/>
      <c r="X196" s="788"/>
      <c r="Y196" s="543"/>
      <c r="Z196" s="281"/>
      <c r="AA196" s="281"/>
      <c r="AB196" s="281"/>
      <c r="AC196" s="281"/>
      <c r="AD196" s="492"/>
      <c r="AE196" s="527">
        <f t="shared" si="39"/>
        <v>0</v>
      </c>
      <c r="AF196" s="527">
        <f t="shared" si="96"/>
        <v>0</v>
      </c>
      <c r="AG196" s="527">
        <f t="shared" si="76"/>
        <v>0</v>
      </c>
      <c r="AH196" s="527">
        <f t="shared" si="77"/>
        <v>0</v>
      </c>
      <c r="AI196" s="527">
        <f t="shared" si="78"/>
        <v>0</v>
      </c>
      <c r="AJ196" s="527">
        <f t="shared" si="79"/>
        <v>999999999</v>
      </c>
      <c r="AK196" s="471"/>
      <c r="AL196" s="765"/>
      <c r="AM196" s="758"/>
      <c r="AN196" s="281"/>
      <c r="AO196" s="775"/>
      <c r="AP196" s="775"/>
      <c r="AQ196" s="281"/>
      <c r="AR196" s="528"/>
      <c r="AS196" s="532"/>
      <c r="AT196" s="524" t="str">
        <f t="shared" si="80"/>
        <v/>
      </c>
      <c r="AU196" s="311">
        <f t="shared" si="81"/>
        <v>0</v>
      </c>
      <c r="AV196" s="288">
        <f t="shared" si="97"/>
        <v>0</v>
      </c>
      <c r="AW196" s="290">
        <f>IF(ISERROR($AU196*'Utility Admin'!$E$4+$AV196*'Utility Admin'!$F$4),0,$AU196*'Utility Admin'!$E$4+$AV196*'Utility Admin'!$F$4)</f>
        <v>0</v>
      </c>
      <c r="AX196" s="323" t="str">
        <f t="shared" si="82"/>
        <v/>
      </c>
      <c r="AY196" s="322" t="str">
        <f t="shared" si="23"/>
        <v/>
      </c>
      <c r="AZ196" s="319">
        <f>Baselines!$CJ440</f>
        <v>0</v>
      </c>
      <c r="BA196" s="735">
        <f>Baselines!$CK440</f>
        <v>0</v>
      </c>
      <c r="BB196" s="839">
        <f>Baselines!$CM440</f>
        <v>0</v>
      </c>
      <c r="BC196" s="466">
        <f t="shared" si="83"/>
        <v>0</v>
      </c>
      <c r="BD196" s="464">
        <f t="shared" si="98"/>
        <v>0</v>
      </c>
      <c r="BE196" s="755">
        <f t="shared" si="84"/>
        <v>0</v>
      </c>
      <c r="BF196" s="755">
        <f t="shared" si="99"/>
        <v>0</v>
      </c>
      <c r="BG196" s="466">
        <f t="shared" si="85"/>
        <v>0</v>
      </c>
      <c r="BH196" s="464">
        <f t="shared" si="86"/>
        <v>0</v>
      </c>
      <c r="BI196" s="755">
        <f t="shared" si="87"/>
        <v>0</v>
      </c>
      <c r="BJ196" s="755">
        <f t="shared" si="100"/>
        <v>0</v>
      </c>
      <c r="BK196" s="333">
        <f>IF(OR($C196&lt;&gt;"Early Retirement",$H196=""),0,IF(AND($G196&lt;&gt;"Air Cooled Chiller",$G196&lt;&gt;"Water Cooled Chiller"),VLOOKUP($H196,'Early Retirement'!$CI$6:$CL$33,2,FALSE),IF($J196&lt;&gt;"Centrifugal",VLOOKUP($H196,'Early Retirement'!$CI$6:$CL$33,3,FALSE),IF($J196="Centrifugal",VLOOKUP($H196,'Early Retirement'!$CI$6:$CL$33,4,FALSE),""))))</f>
        <v>0</v>
      </c>
      <c r="BL196" s="450">
        <f t="shared" si="88"/>
        <v>0</v>
      </c>
      <c r="BM196" s="553">
        <f>IFERROR('Utility Admin'!$I$4*((1+'Utility Admin'!$G$4)/('Utility Admin'!$H$4-'Utility Admin'!$G$4))*(1-((1+'Utility Admin'!$G$4)/(1+'Utility Admin'!$H$4))^$BK196)*$BG196,0)</f>
        <v>0</v>
      </c>
      <c r="BN196" s="553">
        <f>IFERROR('Utility Admin'!$I$4*((1+'Utility Admin'!$G$4)/('Utility Admin'!$H$4-'Utility Admin'!$G$4))*(1-((1+'Utility Admin'!$G$4)/(1+'Utility Admin'!$H$4))^$BL196)*((1+'Utility Admin'!$G$4)^$BK196/(1+'Utility Admin'!$H$4)^$BK196)*$BC196,0)</f>
        <v>0</v>
      </c>
      <c r="BO196" s="553">
        <f t="shared" si="27"/>
        <v>0</v>
      </c>
      <c r="BP196" s="553">
        <f>IFERROR('Utility Admin'!$J$4*((1+'Utility Admin'!$G$4)/('Utility Admin'!$H$4-'Utility Admin'!$G$4))*(1-((1+'Utility Admin'!$G$4)/(1+'Utility Admin'!$H$4))^$BK196)*$BJ196,0)</f>
        <v>0</v>
      </c>
      <c r="BQ196" s="553">
        <f>IFERROR('Utility Admin'!$J$4*((1+'Utility Admin'!$G$4)/('Utility Admin'!$H$4-'Utility Admin'!$G$4))*(1-((1+'Utility Admin'!$G$4)/(1+'Utility Admin'!$H$4))^$BL196)*((1+'Utility Admin'!$G$4)^$BK196/(1+'Utility Admin'!$H$4)^$BK196)*$BF196,0)</f>
        <v>0</v>
      </c>
      <c r="BR196" s="553">
        <f t="shared" si="28"/>
        <v>0</v>
      </c>
      <c r="BS196" s="553">
        <f>IFERROR('Utility Admin'!$I$4*((1+'Utility Admin'!$G$4)/('Utility Admin'!$H$4-'Utility Admin'!$G$4))*(1-((1+'Utility Admin'!$G$4)/(1+'Utility Admin'!$H$4))^$AT196),0)</f>
        <v>0</v>
      </c>
      <c r="BT196" s="553">
        <f>IFERROR('Utility Admin'!$J$4*((1+'Utility Admin'!$G$4)/('Utility Admin'!$H$4-'Utility Admin'!$G$4))*(1-((1+'Utility Admin'!$G$4)/(1+'Utility Admin'!$H$4))^$AT196),0)</f>
        <v>0</v>
      </c>
      <c r="BU196" s="459">
        <f t="shared" si="101"/>
        <v>0</v>
      </c>
      <c r="BV196" s="462">
        <f t="shared" si="102"/>
        <v>0</v>
      </c>
      <c r="BW196" s="219" t="str">
        <f t="shared" si="89"/>
        <v/>
      </c>
      <c r="BX196" s="250" t="str">
        <f t="shared" si="103"/>
        <v/>
      </c>
      <c r="BY196" s="250" t="str">
        <f t="shared" si="90"/>
        <v/>
      </c>
      <c r="BZ196" s="184">
        <f t="shared" si="104"/>
        <v>0</v>
      </c>
      <c r="CA196" s="693">
        <f t="shared" si="105"/>
        <v>0</v>
      </c>
      <c r="CB196" s="836">
        <f t="shared" si="106"/>
        <v>0</v>
      </c>
      <c r="CC196" s="693">
        <f>IF(AND($C196="Early Retirement",$H196&lt;&gt;"",$R196&lt;&gt;"",$T196&lt;&gt;""),$BZ196,Baselines!$CJ189)</f>
        <v>0</v>
      </c>
      <c r="CD196" s="693">
        <f>IF(AND($C196="Early Retirement",$H196&lt;&gt;"",$R196&lt;&gt;"",$T196&lt;&gt;""),$CA196,Baselines!$CK189)</f>
        <v>0</v>
      </c>
      <c r="CE196" s="182" t="str">
        <f>Baselines!$CL189</f>
        <v>kW/ton</v>
      </c>
      <c r="CF196" s="850" t="str">
        <f t="shared" si="91"/>
        <v/>
      </c>
      <c r="CG196" s="833">
        <f>IF(AND($C196="Early Retirement",$H196&lt;&gt;"",$R196&lt;&gt;"",$T196&lt;&gt;""),$CB196,IF(AND(Baselines!$CM189=0,OR($CL196="DX HP",$CL196="PTHP")),$BB196,Baselines!$CM189))</f>
        <v>0</v>
      </c>
      <c r="CH196" s="830" t="s">
        <v>567</v>
      </c>
      <c r="CI196" s="185" t="str">
        <f>IF(OR($C196="Replace-on-Burnout",$C196="New Construction"),$CT196,IF($BW196="","",VLOOKUP($D196,'Factor Tables'!$B$165:$H$192,MATCH($BW196,'Factor Tables'!$B$164:$H$164,0),FALSE)))</f>
        <v/>
      </c>
      <c r="CJ196" s="842" t="str">
        <f>IF(OR($C196="Replace-on-Burnout",$C196="New Construction"),$CU196,IF($BW196="","",IF($BW196="DX HP",VLOOKUP($D196,'Factor Tables'!$I$165:$Q$192,MATCH("DX HP Clg",'Factor Tables'!$I$164:$Q$164,0),FALSE),IF($BW196="PTHP",VLOOKUP($D196,'Factor Tables'!$I$165:$Q$192,MATCH("PTHP Clg",'Factor Tables'!$I$164:$Q$164,0),FALSE),IF(AND($BW196&lt;&gt;"DX HP",$BW196&lt;&gt;"PTHP"),VLOOKUP($D196,'Factor Tables'!$I$165:$Q$192,MATCH($BW196,'Factor Tables'!$I$164:$Q$164,0),FALSE),"")))))</f>
        <v/>
      </c>
      <c r="CK196" s="186" t="str">
        <f>IF(OR($C196="Replace-on-Burnout",$C196="New Construction",$CL196="DX HP",$CL196="PTHP"),$CV196,IF($BW196="","",IF($BW196="DX HP",VLOOKUP($D196,'Factor Tables'!$I$165:$Q$192,MATCH("DX HP Htg",'Factor Tables'!$I$164:$Q$164,0),FALSE),IF($BW196="PTHP",VLOOKUP($D196,'Factor Tables'!$I$165:$Q$192,MATCH("PTHP Htg",'Factor Tables'!$I$164:$Q$164,0),FALSE),0))))</f>
        <v/>
      </c>
      <c r="CL196" s="187" t="str">
        <f t="shared" si="92"/>
        <v/>
      </c>
      <c r="CM196" s="251" t="str">
        <f t="shared" si="93"/>
        <v/>
      </c>
      <c r="CN196" s="184">
        <f t="shared" si="107"/>
        <v>0</v>
      </c>
      <c r="CO196" s="693">
        <f t="shared" si="108"/>
        <v>0</v>
      </c>
      <c r="CP196" s="182" t="s">
        <v>46</v>
      </c>
      <c r="CQ196" s="852" t="str">
        <f t="shared" si="109"/>
        <v/>
      </c>
      <c r="CR196" s="833">
        <f t="shared" si="110"/>
        <v>0</v>
      </c>
      <c r="CS196" s="830" t="s">
        <v>567</v>
      </c>
      <c r="CT196" s="185" t="str">
        <f>IF($CL196="","",VLOOKUP($D196,'Factor Tables'!$B$165:$H$192,MATCH($CL196,'Factor Tables'!$B$164:$H$164,0),FALSE))</f>
        <v/>
      </c>
      <c r="CU196" s="842" t="str">
        <f>IF($CL196="","",IF(AND($CL196&lt;&gt;"DX HP",$CL196&lt;&gt;"PTHP"),VLOOKUP($D196,'Factor Tables'!$I$165:$Q$192,MATCH($CL196,'Factor Tables'!$I$164:$Q$164,0),FALSE),IF($CL196="DX HP",VLOOKUP($D196,'Factor Tables'!$I$165:$Q$192,MATCH("DX HP Clg",'Factor Tables'!$I$164:$Q$164,0),FALSE),IF($CL196="PTHP",VLOOKUP($D196,'Factor Tables'!$I$165:$Q$192,MATCH("PTHP Clg",'Factor Tables'!$I$164:$Q$164,0),FALSE),""))))</f>
        <v/>
      </c>
      <c r="CV196" s="186" t="str">
        <f>IF($CL196="","",IF(AND($CL196&lt;&gt;"DX HP",$CL196&lt;&gt;"PTHP"),0,IF($CL196="DX HP",VLOOKUP($D196,'Factor Tables'!$I$165:$Q$192,MATCH("DX HP Htg",'Factor Tables'!$I$164:$Q$164,0),FALSE),IF($CL196="PTHP",VLOOKUP($D196,'Factor Tables'!$I$165:$Q$192,MATCH("PTHP Htg",'Factor Tables'!$I$164:$Q$164,0),FALSE),""))))</f>
        <v/>
      </c>
      <c r="DD196" s="196" t="str">
        <f>IF(OR('Project Info'!$D$8="",$C36="",$D36=""),"",IF('Project Info'!$D$8="Weather Zone 5: El Paso",VLOOKUP($D36,$DI$9:$DL$37,MATCH($C36,$DI$9:$DL$9,0),FALSE),VLOOKUP($D36,$DE$9:$DH$37,MATCH($C36,$DE$9:$DH$9,0),FALSE)))</f>
        <v/>
      </c>
      <c r="DE196" s="426"/>
      <c r="DI196" s="425"/>
      <c r="DJ196" s="425"/>
      <c r="DK196" s="425"/>
      <c r="DL196" s="425"/>
      <c r="DM196" s="493" t="s">
        <v>478</v>
      </c>
    </row>
    <row r="197" spans="2:117" s="427" customFormat="1" ht="21.95" customHeight="1" x14ac:dyDescent="0.25">
      <c r="B197" s="432">
        <v>188</v>
      </c>
      <c r="C197" s="499" t="str">
        <f t="shared" si="94"/>
        <v/>
      </c>
      <c r="D197" s="403" t="str">
        <f t="shared" si="95"/>
        <v/>
      </c>
      <c r="E197" s="541"/>
      <c r="F197" s="785"/>
      <c r="G197" s="728"/>
      <c r="H197" s="728"/>
      <c r="I197" s="728"/>
      <c r="J197" s="728"/>
      <c r="K197" s="728"/>
      <c r="L197" s="728"/>
      <c r="M197" s="764"/>
      <c r="N197" s="728"/>
      <c r="O197" s="764"/>
      <c r="P197" s="728"/>
      <c r="Q197" s="1142"/>
      <c r="R197" s="1133"/>
      <c r="S197" s="778"/>
      <c r="T197" s="767"/>
      <c r="U197" s="778"/>
      <c r="V197" s="751"/>
      <c r="W197" s="556"/>
      <c r="X197" s="785"/>
      <c r="Y197" s="542"/>
      <c r="Z197" s="500"/>
      <c r="AA197" s="500"/>
      <c r="AB197" s="500"/>
      <c r="AC197" s="500"/>
      <c r="AD197" s="529"/>
      <c r="AE197" s="527">
        <f t="shared" si="39"/>
        <v>0</v>
      </c>
      <c r="AF197" s="527">
        <f t="shared" si="96"/>
        <v>0</v>
      </c>
      <c r="AG197" s="527">
        <f t="shared" si="76"/>
        <v>0</v>
      </c>
      <c r="AH197" s="527">
        <f t="shared" si="77"/>
        <v>0</v>
      </c>
      <c r="AI197" s="527">
        <f t="shared" si="78"/>
        <v>0</v>
      </c>
      <c r="AJ197" s="527">
        <f t="shared" si="79"/>
        <v>999999999</v>
      </c>
      <c r="AK197" s="530"/>
      <c r="AL197" s="776"/>
      <c r="AM197" s="777"/>
      <c r="AN197" s="500"/>
      <c r="AO197" s="778"/>
      <c r="AP197" s="778"/>
      <c r="AQ197" s="500"/>
      <c r="AR197" s="531"/>
      <c r="AS197" s="403"/>
      <c r="AT197" s="524" t="str">
        <f t="shared" si="80"/>
        <v/>
      </c>
      <c r="AU197" s="311">
        <f t="shared" si="81"/>
        <v>0</v>
      </c>
      <c r="AV197" s="288">
        <f t="shared" si="97"/>
        <v>0</v>
      </c>
      <c r="AW197" s="290">
        <f>IF(ISERROR($AU197*'Utility Admin'!$E$4+$AV197*'Utility Admin'!$F$4),0,$AU197*'Utility Admin'!$E$4+$AV197*'Utility Admin'!$F$4)</f>
        <v>0</v>
      </c>
      <c r="AX197" s="323" t="str">
        <f t="shared" si="82"/>
        <v/>
      </c>
      <c r="AY197" s="322" t="str">
        <f t="shared" si="23"/>
        <v/>
      </c>
      <c r="AZ197" s="319">
        <f>Baselines!$CJ441</f>
        <v>0</v>
      </c>
      <c r="BA197" s="735">
        <f>Baselines!$CK441</f>
        <v>0</v>
      </c>
      <c r="BB197" s="839">
        <f>Baselines!$CM441</f>
        <v>0</v>
      </c>
      <c r="BC197" s="466">
        <f t="shared" si="83"/>
        <v>0</v>
      </c>
      <c r="BD197" s="464">
        <f t="shared" si="98"/>
        <v>0</v>
      </c>
      <c r="BE197" s="755">
        <f t="shared" si="84"/>
        <v>0</v>
      </c>
      <c r="BF197" s="755">
        <f t="shared" si="99"/>
        <v>0</v>
      </c>
      <c r="BG197" s="466">
        <f t="shared" si="85"/>
        <v>0</v>
      </c>
      <c r="BH197" s="464">
        <f t="shared" si="86"/>
        <v>0</v>
      </c>
      <c r="BI197" s="755">
        <f t="shared" si="87"/>
        <v>0</v>
      </c>
      <c r="BJ197" s="755">
        <f t="shared" si="100"/>
        <v>0</v>
      </c>
      <c r="BK197" s="333">
        <f>IF(OR($C197&lt;&gt;"Early Retirement",$H197=""),0,IF(AND($G197&lt;&gt;"Air Cooled Chiller",$G197&lt;&gt;"Water Cooled Chiller"),VLOOKUP($H197,'Early Retirement'!$CI$6:$CL$33,2,FALSE),IF($J197&lt;&gt;"Centrifugal",VLOOKUP($H197,'Early Retirement'!$CI$6:$CL$33,3,FALSE),IF($J197="Centrifugal",VLOOKUP($H197,'Early Retirement'!$CI$6:$CL$33,4,FALSE),""))))</f>
        <v>0</v>
      </c>
      <c r="BL197" s="450">
        <f t="shared" si="88"/>
        <v>0</v>
      </c>
      <c r="BM197" s="553">
        <f>IFERROR('Utility Admin'!$I$4*((1+'Utility Admin'!$G$4)/('Utility Admin'!$H$4-'Utility Admin'!$G$4))*(1-((1+'Utility Admin'!$G$4)/(1+'Utility Admin'!$H$4))^$BK197)*$BG197,0)</f>
        <v>0</v>
      </c>
      <c r="BN197" s="553">
        <f>IFERROR('Utility Admin'!$I$4*((1+'Utility Admin'!$G$4)/('Utility Admin'!$H$4-'Utility Admin'!$G$4))*(1-((1+'Utility Admin'!$G$4)/(1+'Utility Admin'!$H$4))^$BL197)*((1+'Utility Admin'!$G$4)^$BK197/(1+'Utility Admin'!$H$4)^$BK197)*$BC197,0)</f>
        <v>0</v>
      </c>
      <c r="BO197" s="553">
        <f t="shared" si="27"/>
        <v>0</v>
      </c>
      <c r="BP197" s="553">
        <f>IFERROR('Utility Admin'!$J$4*((1+'Utility Admin'!$G$4)/('Utility Admin'!$H$4-'Utility Admin'!$G$4))*(1-((1+'Utility Admin'!$G$4)/(1+'Utility Admin'!$H$4))^$BK197)*$BJ197,0)</f>
        <v>0</v>
      </c>
      <c r="BQ197" s="553">
        <f>IFERROR('Utility Admin'!$J$4*((1+'Utility Admin'!$G$4)/('Utility Admin'!$H$4-'Utility Admin'!$G$4))*(1-((1+'Utility Admin'!$G$4)/(1+'Utility Admin'!$H$4))^$BL197)*((1+'Utility Admin'!$G$4)^$BK197/(1+'Utility Admin'!$H$4)^$BK197)*$BF197,0)</f>
        <v>0</v>
      </c>
      <c r="BR197" s="553">
        <f t="shared" si="28"/>
        <v>0</v>
      </c>
      <c r="BS197" s="553">
        <f>IFERROR('Utility Admin'!$I$4*((1+'Utility Admin'!$G$4)/('Utility Admin'!$H$4-'Utility Admin'!$G$4))*(1-((1+'Utility Admin'!$G$4)/(1+'Utility Admin'!$H$4))^$AT197),0)</f>
        <v>0</v>
      </c>
      <c r="BT197" s="553">
        <f>IFERROR('Utility Admin'!$J$4*((1+'Utility Admin'!$G$4)/('Utility Admin'!$H$4-'Utility Admin'!$G$4))*(1-((1+'Utility Admin'!$G$4)/(1+'Utility Admin'!$H$4))^$AT197),0)</f>
        <v>0</v>
      </c>
      <c r="BU197" s="459">
        <f t="shared" si="101"/>
        <v>0</v>
      </c>
      <c r="BV197" s="462">
        <f t="shared" si="102"/>
        <v>0</v>
      </c>
      <c r="BW197" s="219" t="str">
        <f t="shared" si="89"/>
        <v/>
      </c>
      <c r="BX197" s="250" t="str">
        <f t="shared" si="103"/>
        <v/>
      </c>
      <c r="BY197" s="250" t="str">
        <f t="shared" si="90"/>
        <v/>
      </c>
      <c r="BZ197" s="184">
        <f t="shared" si="104"/>
        <v>0</v>
      </c>
      <c r="CA197" s="693">
        <f t="shared" si="105"/>
        <v>0</v>
      </c>
      <c r="CB197" s="836">
        <f t="shared" si="106"/>
        <v>0</v>
      </c>
      <c r="CC197" s="693">
        <f>IF(AND($C197="Early Retirement",$H197&lt;&gt;"",$R197&lt;&gt;"",$T197&lt;&gt;""),$BZ197,Baselines!$CJ190)</f>
        <v>0</v>
      </c>
      <c r="CD197" s="693">
        <f>IF(AND($C197="Early Retirement",$H197&lt;&gt;"",$R197&lt;&gt;"",$T197&lt;&gt;""),$CA197,Baselines!$CK190)</f>
        <v>0</v>
      </c>
      <c r="CE197" s="182" t="str">
        <f>Baselines!$CL190</f>
        <v>kW/ton</v>
      </c>
      <c r="CF197" s="850" t="str">
        <f t="shared" si="91"/>
        <v/>
      </c>
      <c r="CG197" s="833">
        <f>IF(AND($C197="Early Retirement",$H197&lt;&gt;"",$R197&lt;&gt;"",$T197&lt;&gt;""),$CB197,IF(AND(Baselines!$CM190=0,OR($CL197="DX HP",$CL197="PTHP")),$BB197,Baselines!$CM190))</f>
        <v>0</v>
      </c>
      <c r="CH197" s="830" t="s">
        <v>567</v>
      </c>
      <c r="CI197" s="185" t="str">
        <f>IF(OR($C197="Replace-on-Burnout",$C197="New Construction"),$CT197,IF($BW197="","",VLOOKUP($D197,'Factor Tables'!$B$165:$H$192,MATCH($BW197,'Factor Tables'!$B$164:$H$164,0),FALSE)))</f>
        <v/>
      </c>
      <c r="CJ197" s="842" t="str">
        <f>IF(OR($C197="Replace-on-Burnout",$C197="New Construction"),$CU197,IF($BW197="","",IF($BW197="DX HP",VLOOKUP($D197,'Factor Tables'!$I$165:$Q$192,MATCH("DX HP Clg",'Factor Tables'!$I$164:$Q$164,0),FALSE),IF($BW197="PTHP",VLOOKUP($D197,'Factor Tables'!$I$165:$Q$192,MATCH("PTHP Clg",'Factor Tables'!$I$164:$Q$164,0),FALSE),IF(AND($BW197&lt;&gt;"DX HP",$BW197&lt;&gt;"PTHP"),VLOOKUP($D197,'Factor Tables'!$I$165:$Q$192,MATCH($BW197,'Factor Tables'!$I$164:$Q$164,0),FALSE),"")))))</f>
        <v/>
      </c>
      <c r="CK197" s="186" t="str">
        <f>IF(OR($C197="Replace-on-Burnout",$C197="New Construction",$CL197="DX HP",$CL197="PTHP"),$CV197,IF($BW197="","",IF($BW197="DX HP",VLOOKUP($D197,'Factor Tables'!$I$165:$Q$192,MATCH("DX HP Htg",'Factor Tables'!$I$164:$Q$164,0),FALSE),IF($BW197="PTHP",VLOOKUP($D197,'Factor Tables'!$I$165:$Q$192,MATCH("PTHP Htg",'Factor Tables'!$I$164:$Q$164,0),FALSE),0))))</f>
        <v/>
      </c>
      <c r="CL197" s="187" t="str">
        <f t="shared" si="92"/>
        <v/>
      </c>
      <c r="CM197" s="251" t="str">
        <f t="shared" si="93"/>
        <v/>
      </c>
      <c r="CN197" s="184">
        <f t="shared" si="107"/>
        <v>0</v>
      </c>
      <c r="CO197" s="693">
        <f t="shared" si="108"/>
        <v>0</v>
      </c>
      <c r="CP197" s="182" t="s">
        <v>46</v>
      </c>
      <c r="CQ197" s="852" t="str">
        <f t="shared" si="109"/>
        <v/>
      </c>
      <c r="CR197" s="833">
        <f t="shared" si="110"/>
        <v>0</v>
      </c>
      <c r="CS197" s="830" t="s">
        <v>567</v>
      </c>
      <c r="CT197" s="185" t="str">
        <f>IF($CL197="","",VLOOKUP($D197,'Factor Tables'!$B$165:$H$192,MATCH($CL197,'Factor Tables'!$B$164:$H$164,0),FALSE))</f>
        <v/>
      </c>
      <c r="CU197" s="842" t="str">
        <f>IF($CL197="","",IF(AND($CL197&lt;&gt;"DX HP",$CL197&lt;&gt;"PTHP"),VLOOKUP($D197,'Factor Tables'!$I$165:$Q$192,MATCH($CL197,'Factor Tables'!$I$164:$Q$164,0),FALSE),IF($CL197="DX HP",VLOOKUP($D197,'Factor Tables'!$I$165:$Q$192,MATCH("DX HP Clg",'Factor Tables'!$I$164:$Q$164,0),FALSE),IF($CL197="PTHP",VLOOKUP($D197,'Factor Tables'!$I$165:$Q$192,MATCH("PTHP Clg",'Factor Tables'!$I$164:$Q$164,0),FALSE),""))))</f>
        <v/>
      </c>
      <c r="CV197" s="186" t="str">
        <f>IF($CL197="","",IF(AND($CL197&lt;&gt;"DX HP",$CL197&lt;&gt;"PTHP"),0,IF($CL197="DX HP",VLOOKUP($D197,'Factor Tables'!$I$165:$Q$192,MATCH("DX HP Htg",'Factor Tables'!$I$164:$Q$164,0),FALSE),IF($CL197="PTHP",VLOOKUP($D197,'Factor Tables'!$I$165:$Q$192,MATCH("PTHP Htg",'Factor Tables'!$I$164:$Q$164,0),FALSE),""))))</f>
        <v/>
      </c>
      <c r="DD197" s="196" t="str">
        <f>IF(OR('Project Info'!$D$8="",$C37="",$D37=""),"",IF('Project Info'!$D$8="Weather Zone 5: El Paso",VLOOKUP($D37,$DI$9:$DL$37,MATCH($C37,$DI$9:$DL$9,0),FALSE),VLOOKUP($D37,$DE$9:$DH$37,MATCH($C37,$DE$9:$DH$9,0),FALSE)))</f>
        <v/>
      </c>
      <c r="DE197" s="426"/>
      <c r="DI197" s="425"/>
      <c r="DJ197" s="425"/>
      <c r="DK197" s="425"/>
      <c r="DL197" s="425"/>
      <c r="DM197" s="493" t="s">
        <v>478</v>
      </c>
    </row>
    <row r="198" spans="2:117" s="427" customFormat="1" ht="21.95" customHeight="1" x14ac:dyDescent="0.25">
      <c r="B198" s="431">
        <v>189</v>
      </c>
      <c r="C198" s="501" t="str">
        <f t="shared" si="94"/>
        <v/>
      </c>
      <c r="D198" s="502" t="str">
        <f t="shared" si="95"/>
        <v/>
      </c>
      <c r="E198" s="546"/>
      <c r="F198" s="547"/>
      <c r="G198" s="729"/>
      <c r="H198" s="729"/>
      <c r="I198" s="729"/>
      <c r="J198" s="729"/>
      <c r="K198" s="729"/>
      <c r="L198" s="729"/>
      <c r="M198" s="765"/>
      <c r="N198" s="758"/>
      <c r="O198" s="765"/>
      <c r="P198" s="758"/>
      <c r="Q198" s="1143"/>
      <c r="R198" s="1134"/>
      <c r="S198" s="775"/>
      <c r="T198" s="729"/>
      <c r="U198" s="775"/>
      <c r="V198" s="779"/>
      <c r="W198" s="557"/>
      <c r="X198" s="788"/>
      <c r="Y198" s="543"/>
      <c r="Z198" s="281"/>
      <c r="AA198" s="281"/>
      <c r="AB198" s="281"/>
      <c r="AC198" s="281"/>
      <c r="AD198" s="492"/>
      <c r="AE198" s="527">
        <f t="shared" si="39"/>
        <v>0</v>
      </c>
      <c r="AF198" s="527">
        <f t="shared" si="96"/>
        <v>0</v>
      </c>
      <c r="AG198" s="527">
        <f t="shared" si="76"/>
        <v>0</v>
      </c>
      <c r="AH198" s="527">
        <f t="shared" si="77"/>
        <v>0</v>
      </c>
      <c r="AI198" s="527">
        <f t="shared" si="78"/>
        <v>0</v>
      </c>
      <c r="AJ198" s="527">
        <f t="shared" si="79"/>
        <v>999999999</v>
      </c>
      <c r="AK198" s="471"/>
      <c r="AL198" s="765"/>
      <c r="AM198" s="758"/>
      <c r="AN198" s="281"/>
      <c r="AO198" s="775"/>
      <c r="AP198" s="775"/>
      <c r="AQ198" s="281"/>
      <c r="AR198" s="528"/>
      <c r="AS198" s="532"/>
      <c r="AT198" s="524" t="str">
        <f t="shared" si="80"/>
        <v/>
      </c>
      <c r="AU198" s="311">
        <f t="shared" si="81"/>
        <v>0</v>
      </c>
      <c r="AV198" s="288">
        <f t="shared" si="97"/>
        <v>0</v>
      </c>
      <c r="AW198" s="290">
        <f>IF(ISERROR($AU198*'Utility Admin'!$E$4+$AV198*'Utility Admin'!$F$4),0,$AU198*'Utility Admin'!$E$4+$AV198*'Utility Admin'!$F$4)</f>
        <v>0</v>
      </c>
      <c r="AX198" s="323" t="str">
        <f t="shared" si="82"/>
        <v/>
      </c>
      <c r="AY198" s="322" t="str">
        <f t="shared" si="23"/>
        <v/>
      </c>
      <c r="AZ198" s="319">
        <f>Baselines!$CJ442</f>
        <v>0</v>
      </c>
      <c r="BA198" s="735">
        <f>Baselines!$CK442</f>
        <v>0</v>
      </c>
      <c r="BB198" s="839">
        <f>Baselines!$CM442</f>
        <v>0</v>
      </c>
      <c r="BC198" s="466">
        <f t="shared" si="83"/>
        <v>0</v>
      </c>
      <c r="BD198" s="464">
        <f t="shared" si="98"/>
        <v>0</v>
      </c>
      <c r="BE198" s="755">
        <f t="shared" si="84"/>
        <v>0</v>
      </c>
      <c r="BF198" s="755">
        <f t="shared" si="99"/>
        <v>0</v>
      </c>
      <c r="BG198" s="466">
        <f t="shared" si="85"/>
        <v>0</v>
      </c>
      <c r="BH198" s="464">
        <f t="shared" si="86"/>
        <v>0</v>
      </c>
      <c r="BI198" s="755">
        <f t="shared" si="87"/>
        <v>0</v>
      </c>
      <c r="BJ198" s="755">
        <f t="shared" si="100"/>
        <v>0</v>
      </c>
      <c r="BK198" s="333">
        <f>IF(OR($C198&lt;&gt;"Early Retirement",$H198=""),0,IF(AND($G198&lt;&gt;"Air Cooled Chiller",$G198&lt;&gt;"Water Cooled Chiller"),VLOOKUP($H198,'Early Retirement'!$CI$6:$CL$33,2,FALSE),IF($J198&lt;&gt;"Centrifugal",VLOOKUP($H198,'Early Retirement'!$CI$6:$CL$33,3,FALSE),IF($J198="Centrifugal",VLOOKUP($H198,'Early Retirement'!$CI$6:$CL$33,4,FALSE),""))))</f>
        <v>0</v>
      </c>
      <c r="BL198" s="450">
        <f t="shared" si="88"/>
        <v>0</v>
      </c>
      <c r="BM198" s="553">
        <f>IFERROR('Utility Admin'!$I$4*((1+'Utility Admin'!$G$4)/('Utility Admin'!$H$4-'Utility Admin'!$G$4))*(1-((1+'Utility Admin'!$G$4)/(1+'Utility Admin'!$H$4))^$BK198)*$BG198,0)</f>
        <v>0</v>
      </c>
      <c r="BN198" s="553">
        <f>IFERROR('Utility Admin'!$I$4*((1+'Utility Admin'!$G$4)/('Utility Admin'!$H$4-'Utility Admin'!$G$4))*(1-((1+'Utility Admin'!$G$4)/(1+'Utility Admin'!$H$4))^$BL198)*((1+'Utility Admin'!$G$4)^$BK198/(1+'Utility Admin'!$H$4)^$BK198)*$BC198,0)</f>
        <v>0</v>
      </c>
      <c r="BO198" s="553">
        <f t="shared" si="27"/>
        <v>0</v>
      </c>
      <c r="BP198" s="553">
        <f>IFERROR('Utility Admin'!$J$4*((1+'Utility Admin'!$G$4)/('Utility Admin'!$H$4-'Utility Admin'!$G$4))*(1-((1+'Utility Admin'!$G$4)/(1+'Utility Admin'!$H$4))^$BK198)*$BJ198,0)</f>
        <v>0</v>
      </c>
      <c r="BQ198" s="553">
        <f>IFERROR('Utility Admin'!$J$4*((1+'Utility Admin'!$G$4)/('Utility Admin'!$H$4-'Utility Admin'!$G$4))*(1-((1+'Utility Admin'!$G$4)/(1+'Utility Admin'!$H$4))^$BL198)*((1+'Utility Admin'!$G$4)^$BK198/(1+'Utility Admin'!$H$4)^$BK198)*$BF198,0)</f>
        <v>0</v>
      </c>
      <c r="BR198" s="553">
        <f t="shared" si="28"/>
        <v>0</v>
      </c>
      <c r="BS198" s="553">
        <f>IFERROR('Utility Admin'!$I$4*((1+'Utility Admin'!$G$4)/('Utility Admin'!$H$4-'Utility Admin'!$G$4))*(1-((1+'Utility Admin'!$G$4)/(1+'Utility Admin'!$H$4))^$AT198),0)</f>
        <v>0</v>
      </c>
      <c r="BT198" s="553">
        <f>IFERROR('Utility Admin'!$J$4*((1+'Utility Admin'!$G$4)/('Utility Admin'!$H$4-'Utility Admin'!$G$4))*(1-((1+'Utility Admin'!$G$4)/(1+'Utility Admin'!$H$4))^$AT198),0)</f>
        <v>0</v>
      </c>
      <c r="BU198" s="459">
        <f t="shared" si="101"/>
        <v>0</v>
      </c>
      <c r="BV198" s="462">
        <f t="shared" si="102"/>
        <v>0</v>
      </c>
      <c r="BW198" s="219" t="str">
        <f t="shared" si="89"/>
        <v/>
      </c>
      <c r="BX198" s="250" t="str">
        <f t="shared" si="103"/>
        <v/>
      </c>
      <c r="BY198" s="250" t="str">
        <f t="shared" si="90"/>
        <v/>
      </c>
      <c r="BZ198" s="184">
        <f t="shared" si="104"/>
        <v>0</v>
      </c>
      <c r="CA198" s="693">
        <f t="shared" si="105"/>
        <v>0</v>
      </c>
      <c r="CB198" s="836">
        <f t="shared" si="106"/>
        <v>0</v>
      </c>
      <c r="CC198" s="693">
        <f>IF(AND($C198="Early Retirement",$H198&lt;&gt;"",$R198&lt;&gt;"",$T198&lt;&gt;""),$BZ198,Baselines!$CJ191)</f>
        <v>0</v>
      </c>
      <c r="CD198" s="693">
        <f>IF(AND($C198="Early Retirement",$H198&lt;&gt;"",$R198&lt;&gt;"",$T198&lt;&gt;""),$CA198,Baselines!$CK191)</f>
        <v>0</v>
      </c>
      <c r="CE198" s="182" t="str">
        <f>Baselines!$CL191</f>
        <v>kW/ton</v>
      </c>
      <c r="CF198" s="850" t="str">
        <f t="shared" si="91"/>
        <v/>
      </c>
      <c r="CG198" s="833">
        <f>IF(AND($C198="Early Retirement",$H198&lt;&gt;"",$R198&lt;&gt;"",$T198&lt;&gt;""),$CB198,IF(AND(Baselines!$CM191=0,OR($CL198="DX HP",$CL198="PTHP")),$BB198,Baselines!$CM191))</f>
        <v>0</v>
      </c>
      <c r="CH198" s="830" t="s">
        <v>567</v>
      </c>
      <c r="CI198" s="185" t="str">
        <f>IF(OR($C198="Replace-on-Burnout",$C198="New Construction"),$CT198,IF($BW198="","",VLOOKUP($D198,'Factor Tables'!$B$165:$H$192,MATCH($BW198,'Factor Tables'!$B$164:$H$164,0),FALSE)))</f>
        <v/>
      </c>
      <c r="CJ198" s="842" t="str">
        <f>IF(OR($C198="Replace-on-Burnout",$C198="New Construction"),$CU198,IF($BW198="","",IF($BW198="DX HP",VLOOKUP($D198,'Factor Tables'!$I$165:$Q$192,MATCH("DX HP Clg",'Factor Tables'!$I$164:$Q$164,0),FALSE),IF($BW198="PTHP",VLOOKUP($D198,'Factor Tables'!$I$165:$Q$192,MATCH("PTHP Clg",'Factor Tables'!$I$164:$Q$164,0),FALSE),IF(AND($BW198&lt;&gt;"DX HP",$BW198&lt;&gt;"PTHP"),VLOOKUP($D198,'Factor Tables'!$I$165:$Q$192,MATCH($BW198,'Factor Tables'!$I$164:$Q$164,0),FALSE),"")))))</f>
        <v/>
      </c>
      <c r="CK198" s="186" t="str">
        <f>IF(OR($C198="Replace-on-Burnout",$C198="New Construction",$CL198="DX HP",$CL198="PTHP"),$CV198,IF($BW198="","",IF($BW198="DX HP",VLOOKUP($D198,'Factor Tables'!$I$165:$Q$192,MATCH("DX HP Htg",'Factor Tables'!$I$164:$Q$164,0),FALSE),IF($BW198="PTHP",VLOOKUP($D198,'Factor Tables'!$I$165:$Q$192,MATCH("PTHP Htg",'Factor Tables'!$I$164:$Q$164,0),FALSE),0))))</f>
        <v/>
      </c>
      <c r="CL198" s="187" t="str">
        <f t="shared" si="92"/>
        <v/>
      </c>
      <c r="CM198" s="251" t="str">
        <f t="shared" si="93"/>
        <v/>
      </c>
      <c r="CN198" s="184">
        <f t="shared" si="107"/>
        <v>0</v>
      </c>
      <c r="CO198" s="693">
        <f t="shared" si="108"/>
        <v>0</v>
      </c>
      <c r="CP198" s="182" t="s">
        <v>46</v>
      </c>
      <c r="CQ198" s="852" t="str">
        <f t="shared" si="109"/>
        <v/>
      </c>
      <c r="CR198" s="833">
        <f t="shared" si="110"/>
        <v>0</v>
      </c>
      <c r="CS198" s="830" t="s">
        <v>567</v>
      </c>
      <c r="CT198" s="185" t="str">
        <f>IF($CL198="","",VLOOKUP($D198,'Factor Tables'!$B$165:$H$192,MATCH($CL198,'Factor Tables'!$B$164:$H$164,0),FALSE))</f>
        <v/>
      </c>
      <c r="CU198" s="842" t="str">
        <f>IF($CL198="","",IF(AND($CL198&lt;&gt;"DX HP",$CL198&lt;&gt;"PTHP"),VLOOKUP($D198,'Factor Tables'!$I$165:$Q$192,MATCH($CL198,'Factor Tables'!$I$164:$Q$164,0),FALSE),IF($CL198="DX HP",VLOOKUP($D198,'Factor Tables'!$I$165:$Q$192,MATCH("DX HP Clg",'Factor Tables'!$I$164:$Q$164,0),FALSE),IF($CL198="PTHP",VLOOKUP($D198,'Factor Tables'!$I$165:$Q$192,MATCH("PTHP Clg",'Factor Tables'!$I$164:$Q$164,0),FALSE),""))))</f>
        <v/>
      </c>
      <c r="CV198" s="186" t="str">
        <f>IF($CL198="","",IF(AND($CL198&lt;&gt;"DX HP",$CL198&lt;&gt;"PTHP"),0,IF($CL198="DX HP",VLOOKUP($D198,'Factor Tables'!$I$165:$Q$192,MATCH("DX HP Htg",'Factor Tables'!$I$164:$Q$164,0),FALSE),IF($CL198="PTHP",VLOOKUP($D198,'Factor Tables'!$I$165:$Q$192,MATCH("PTHP Htg",'Factor Tables'!$I$164:$Q$164,0),FALSE),""))))</f>
        <v/>
      </c>
      <c r="DD198" s="196" t="str">
        <f>IF(OR('Project Info'!$D$8="",$C38="",$D38=""),"",IF('Project Info'!$D$8="Weather Zone 5: El Paso",VLOOKUP($D38,$DI$9:$DL$37,MATCH($C38,$DI$9:$DL$9,0),FALSE),VLOOKUP($D38,$DE$9:$DH$37,MATCH($C38,$DE$9:$DH$9,0),FALSE)))</f>
        <v/>
      </c>
      <c r="DE198" s="426"/>
      <c r="DI198" s="425"/>
      <c r="DJ198" s="425"/>
      <c r="DK198" s="425"/>
      <c r="DL198" s="425"/>
      <c r="DM198" s="493" t="s">
        <v>478</v>
      </c>
    </row>
    <row r="199" spans="2:117" s="427" customFormat="1" ht="21.95" customHeight="1" x14ac:dyDescent="0.25">
      <c r="B199" s="432">
        <v>190</v>
      </c>
      <c r="C199" s="499" t="str">
        <f t="shared" si="94"/>
        <v/>
      </c>
      <c r="D199" s="403" t="str">
        <f t="shared" si="95"/>
        <v/>
      </c>
      <c r="E199" s="541"/>
      <c r="F199" s="785"/>
      <c r="G199" s="728"/>
      <c r="H199" s="728"/>
      <c r="I199" s="728"/>
      <c r="J199" s="728"/>
      <c r="K199" s="728"/>
      <c r="L199" s="728"/>
      <c r="M199" s="764"/>
      <c r="N199" s="728"/>
      <c r="O199" s="764"/>
      <c r="P199" s="728"/>
      <c r="Q199" s="1142"/>
      <c r="R199" s="1133"/>
      <c r="S199" s="778"/>
      <c r="T199" s="767"/>
      <c r="U199" s="778"/>
      <c r="V199" s="751"/>
      <c r="W199" s="556"/>
      <c r="X199" s="785"/>
      <c r="Y199" s="542"/>
      <c r="Z199" s="500"/>
      <c r="AA199" s="500"/>
      <c r="AB199" s="500"/>
      <c r="AC199" s="500"/>
      <c r="AD199" s="529"/>
      <c r="AE199" s="527">
        <f t="shared" si="39"/>
        <v>0</v>
      </c>
      <c r="AF199" s="527">
        <f t="shared" si="96"/>
        <v>0</v>
      </c>
      <c r="AG199" s="527">
        <f t="shared" si="76"/>
        <v>0</v>
      </c>
      <c r="AH199" s="527">
        <f t="shared" si="77"/>
        <v>0</v>
      </c>
      <c r="AI199" s="527">
        <f t="shared" si="78"/>
        <v>0</v>
      </c>
      <c r="AJ199" s="527">
        <f t="shared" si="79"/>
        <v>999999999</v>
      </c>
      <c r="AK199" s="530"/>
      <c r="AL199" s="776"/>
      <c r="AM199" s="777"/>
      <c r="AN199" s="500"/>
      <c r="AO199" s="778"/>
      <c r="AP199" s="778"/>
      <c r="AQ199" s="500"/>
      <c r="AR199" s="531"/>
      <c r="AS199" s="403"/>
      <c r="AT199" s="524" t="str">
        <f t="shared" si="80"/>
        <v/>
      </c>
      <c r="AU199" s="311">
        <f t="shared" si="81"/>
        <v>0</v>
      </c>
      <c r="AV199" s="288">
        <f t="shared" si="97"/>
        <v>0</v>
      </c>
      <c r="AW199" s="290">
        <f>IF(ISERROR($AU199*'Utility Admin'!$E$4+$AV199*'Utility Admin'!$F$4),0,$AU199*'Utility Admin'!$E$4+$AV199*'Utility Admin'!$F$4)</f>
        <v>0</v>
      </c>
      <c r="AX199" s="323" t="str">
        <f t="shared" si="82"/>
        <v/>
      </c>
      <c r="AY199" s="322" t="str">
        <f t="shared" si="23"/>
        <v/>
      </c>
      <c r="AZ199" s="319">
        <f>Baselines!$CJ443</f>
        <v>0</v>
      </c>
      <c r="BA199" s="735">
        <f>Baselines!$CK443</f>
        <v>0</v>
      </c>
      <c r="BB199" s="839">
        <f>Baselines!$CM443</f>
        <v>0</v>
      </c>
      <c r="BC199" s="466">
        <f t="shared" si="83"/>
        <v>0</v>
      </c>
      <c r="BD199" s="464">
        <f t="shared" si="98"/>
        <v>0</v>
      </c>
      <c r="BE199" s="755">
        <f t="shared" si="84"/>
        <v>0</v>
      </c>
      <c r="BF199" s="755">
        <f t="shared" si="99"/>
        <v>0</v>
      </c>
      <c r="BG199" s="466">
        <f t="shared" si="85"/>
        <v>0</v>
      </c>
      <c r="BH199" s="464">
        <f t="shared" si="86"/>
        <v>0</v>
      </c>
      <c r="BI199" s="755">
        <f t="shared" si="87"/>
        <v>0</v>
      </c>
      <c r="BJ199" s="755">
        <f t="shared" si="100"/>
        <v>0</v>
      </c>
      <c r="BK199" s="333">
        <f>IF(OR($C199&lt;&gt;"Early Retirement",$H199=""),0,IF(AND($G199&lt;&gt;"Air Cooled Chiller",$G199&lt;&gt;"Water Cooled Chiller"),VLOOKUP($H199,'Early Retirement'!$CI$6:$CL$33,2,FALSE),IF($J199&lt;&gt;"Centrifugal",VLOOKUP($H199,'Early Retirement'!$CI$6:$CL$33,3,FALSE),IF($J199="Centrifugal",VLOOKUP($H199,'Early Retirement'!$CI$6:$CL$33,4,FALSE),""))))</f>
        <v>0</v>
      </c>
      <c r="BL199" s="450">
        <f t="shared" si="88"/>
        <v>0</v>
      </c>
      <c r="BM199" s="553">
        <f>IFERROR('Utility Admin'!$I$4*((1+'Utility Admin'!$G$4)/('Utility Admin'!$H$4-'Utility Admin'!$G$4))*(1-((1+'Utility Admin'!$G$4)/(1+'Utility Admin'!$H$4))^$BK199)*$BG199,0)</f>
        <v>0</v>
      </c>
      <c r="BN199" s="553">
        <f>IFERROR('Utility Admin'!$I$4*((1+'Utility Admin'!$G$4)/('Utility Admin'!$H$4-'Utility Admin'!$G$4))*(1-((1+'Utility Admin'!$G$4)/(1+'Utility Admin'!$H$4))^$BL199)*((1+'Utility Admin'!$G$4)^$BK199/(1+'Utility Admin'!$H$4)^$BK199)*$BC199,0)</f>
        <v>0</v>
      </c>
      <c r="BO199" s="553">
        <f t="shared" si="27"/>
        <v>0</v>
      </c>
      <c r="BP199" s="553">
        <f>IFERROR('Utility Admin'!$J$4*((1+'Utility Admin'!$G$4)/('Utility Admin'!$H$4-'Utility Admin'!$G$4))*(1-((1+'Utility Admin'!$G$4)/(1+'Utility Admin'!$H$4))^$BK199)*$BJ199,0)</f>
        <v>0</v>
      </c>
      <c r="BQ199" s="553">
        <f>IFERROR('Utility Admin'!$J$4*((1+'Utility Admin'!$G$4)/('Utility Admin'!$H$4-'Utility Admin'!$G$4))*(1-((1+'Utility Admin'!$G$4)/(1+'Utility Admin'!$H$4))^$BL199)*((1+'Utility Admin'!$G$4)^$BK199/(1+'Utility Admin'!$H$4)^$BK199)*$BF199,0)</f>
        <v>0</v>
      </c>
      <c r="BR199" s="553">
        <f t="shared" si="28"/>
        <v>0</v>
      </c>
      <c r="BS199" s="553">
        <f>IFERROR('Utility Admin'!$I$4*((1+'Utility Admin'!$G$4)/('Utility Admin'!$H$4-'Utility Admin'!$G$4))*(1-((1+'Utility Admin'!$G$4)/(1+'Utility Admin'!$H$4))^$AT199),0)</f>
        <v>0</v>
      </c>
      <c r="BT199" s="553">
        <f>IFERROR('Utility Admin'!$J$4*((1+'Utility Admin'!$G$4)/('Utility Admin'!$H$4-'Utility Admin'!$G$4))*(1-((1+'Utility Admin'!$G$4)/(1+'Utility Admin'!$H$4))^$AT199),0)</f>
        <v>0</v>
      </c>
      <c r="BU199" s="459">
        <f t="shared" si="101"/>
        <v>0</v>
      </c>
      <c r="BV199" s="462">
        <f t="shared" si="102"/>
        <v>0</v>
      </c>
      <c r="BW199" s="219" t="str">
        <f t="shared" si="89"/>
        <v/>
      </c>
      <c r="BX199" s="250" t="str">
        <f t="shared" si="103"/>
        <v/>
      </c>
      <c r="BY199" s="250" t="str">
        <f t="shared" si="90"/>
        <v/>
      </c>
      <c r="BZ199" s="184">
        <f t="shared" si="104"/>
        <v>0</v>
      </c>
      <c r="CA199" s="693">
        <f t="shared" si="105"/>
        <v>0</v>
      </c>
      <c r="CB199" s="836">
        <f t="shared" si="106"/>
        <v>0</v>
      </c>
      <c r="CC199" s="693">
        <f>IF(AND($C199="Early Retirement",$H199&lt;&gt;"",$R199&lt;&gt;"",$T199&lt;&gt;""),$BZ199,Baselines!$CJ192)</f>
        <v>0</v>
      </c>
      <c r="CD199" s="693">
        <f>IF(AND($C199="Early Retirement",$H199&lt;&gt;"",$R199&lt;&gt;"",$T199&lt;&gt;""),$CA199,Baselines!$CK192)</f>
        <v>0</v>
      </c>
      <c r="CE199" s="182" t="str">
        <f>Baselines!$CL192</f>
        <v>kW/ton</v>
      </c>
      <c r="CF199" s="850" t="str">
        <f t="shared" si="91"/>
        <v/>
      </c>
      <c r="CG199" s="833">
        <f>IF(AND($C199="Early Retirement",$H199&lt;&gt;"",$R199&lt;&gt;"",$T199&lt;&gt;""),$CB199,IF(AND(Baselines!$CM192=0,OR($CL199="DX HP",$CL199="PTHP")),$BB199,Baselines!$CM192))</f>
        <v>0</v>
      </c>
      <c r="CH199" s="830" t="s">
        <v>567</v>
      </c>
      <c r="CI199" s="185" t="str">
        <f>IF(OR($C199="Replace-on-Burnout",$C199="New Construction"),$CT199,IF($BW199="","",VLOOKUP($D199,'Factor Tables'!$B$165:$H$192,MATCH($BW199,'Factor Tables'!$B$164:$H$164,0),FALSE)))</f>
        <v/>
      </c>
      <c r="CJ199" s="842" t="str">
        <f>IF(OR($C199="Replace-on-Burnout",$C199="New Construction"),$CU199,IF($BW199="","",IF($BW199="DX HP",VLOOKUP($D199,'Factor Tables'!$I$165:$Q$192,MATCH("DX HP Clg",'Factor Tables'!$I$164:$Q$164,0),FALSE),IF($BW199="PTHP",VLOOKUP($D199,'Factor Tables'!$I$165:$Q$192,MATCH("PTHP Clg",'Factor Tables'!$I$164:$Q$164,0),FALSE),IF(AND($BW199&lt;&gt;"DX HP",$BW199&lt;&gt;"PTHP"),VLOOKUP($D199,'Factor Tables'!$I$165:$Q$192,MATCH($BW199,'Factor Tables'!$I$164:$Q$164,0),FALSE),"")))))</f>
        <v/>
      </c>
      <c r="CK199" s="186" t="str">
        <f>IF(OR($C199="Replace-on-Burnout",$C199="New Construction",$CL199="DX HP",$CL199="PTHP"),$CV199,IF($BW199="","",IF($BW199="DX HP",VLOOKUP($D199,'Factor Tables'!$I$165:$Q$192,MATCH("DX HP Htg",'Factor Tables'!$I$164:$Q$164,0),FALSE),IF($BW199="PTHP",VLOOKUP($D199,'Factor Tables'!$I$165:$Q$192,MATCH("PTHP Htg",'Factor Tables'!$I$164:$Q$164,0),FALSE),0))))</f>
        <v/>
      </c>
      <c r="CL199" s="187" t="str">
        <f t="shared" si="92"/>
        <v/>
      </c>
      <c r="CM199" s="251" t="str">
        <f t="shared" si="93"/>
        <v/>
      </c>
      <c r="CN199" s="184">
        <f t="shared" si="107"/>
        <v>0</v>
      </c>
      <c r="CO199" s="693">
        <f t="shared" si="108"/>
        <v>0</v>
      </c>
      <c r="CP199" s="182" t="s">
        <v>46</v>
      </c>
      <c r="CQ199" s="852" t="str">
        <f t="shared" si="109"/>
        <v/>
      </c>
      <c r="CR199" s="833">
        <f t="shared" si="110"/>
        <v>0</v>
      </c>
      <c r="CS199" s="830" t="s">
        <v>567</v>
      </c>
      <c r="CT199" s="185" t="str">
        <f>IF($CL199="","",VLOOKUP($D199,'Factor Tables'!$B$165:$H$192,MATCH($CL199,'Factor Tables'!$B$164:$H$164,0),FALSE))</f>
        <v/>
      </c>
      <c r="CU199" s="842" t="str">
        <f>IF($CL199="","",IF(AND($CL199&lt;&gt;"DX HP",$CL199&lt;&gt;"PTHP"),VLOOKUP($D199,'Factor Tables'!$I$165:$Q$192,MATCH($CL199,'Factor Tables'!$I$164:$Q$164,0),FALSE),IF($CL199="DX HP",VLOOKUP($D199,'Factor Tables'!$I$165:$Q$192,MATCH("DX HP Clg",'Factor Tables'!$I$164:$Q$164,0),FALSE),IF($CL199="PTHP",VLOOKUP($D199,'Factor Tables'!$I$165:$Q$192,MATCH("PTHP Clg",'Factor Tables'!$I$164:$Q$164,0),FALSE),""))))</f>
        <v/>
      </c>
      <c r="CV199" s="186" t="str">
        <f>IF($CL199="","",IF(AND($CL199&lt;&gt;"DX HP",$CL199&lt;&gt;"PTHP"),0,IF($CL199="DX HP",VLOOKUP($D199,'Factor Tables'!$I$165:$Q$192,MATCH("DX HP Htg",'Factor Tables'!$I$164:$Q$164,0),FALSE),IF($CL199="PTHP",VLOOKUP($D199,'Factor Tables'!$I$165:$Q$192,MATCH("PTHP Htg",'Factor Tables'!$I$164:$Q$164,0),FALSE),""))))</f>
        <v/>
      </c>
      <c r="DD199" s="196" t="str">
        <f>IF(OR('Project Info'!$D$8="",$C39="",$D39=""),"",IF('Project Info'!$D$8="Weather Zone 5: El Paso",VLOOKUP($D39,$DI$9:$DL$37,MATCH($C39,$DI$9:$DL$9,0),FALSE),VLOOKUP($D39,$DE$9:$DH$37,MATCH($C39,$DE$9:$DH$9,0),FALSE)))</f>
        <v/>
      </c>
      <c r="DE199" s="426"/>
      <c r="DI199" s="425"/>
      <c r="DJ199" s="425"/>
      <c r="DK199" s="425"/>
      <c r="DL199" s="425"/>
      <c r="DM199" s="493" t="s">
        <v>478</v>
      </c>
    </row>
    <row r="200" spans="2:117" s="427" customFormat="1" ht="21.95" customHeight="1" x14ac:dyDescent="0.25">
      <c r="B200" s="431">
        <v>191</v>
      </c>
      <c r="C200" s="501" t="str">
        <f t="shared" si="94"/>
        <v/>
      </c>
      <c r="D200" s="502" t="str">
        <f t="shared" si="95"/>
        <v/>
      </c>
      <c r="E200" s="546"/>
      <c r="F200" s="547"/>
      <c r="G200" s="729"/>
      <c r="H200" s="729"/>
      <c r="I200" s="729"/>
      <c r="J200" s="729"/>
      <c r="K200" s="729"/>
      <c r="L200" s="729"/>
      <c r="M200" s="765"/>
      <c r="N200" s="758"/>
      <c r="O200" s="765"/>
      <c r="P200" s="758"/>
      <c r="Q200" s="1143"/>
      <c r="R200" s="1134"/>
      <c r="S200" s="775"/>
      <c r="T200" s="729"/>
      <c r="U200" s="775"/>
      <c r="V200" s="779"/>
      <c r="W200" s="557"/>
      <c r="X200" s="788"/>
      <c r="Y200" s="543"/>
      <c r="Z200" s="281"/>
      <c r="AA200" s="281"/>
      <c r="AB200" s="281"/>
      <c r="AC200" s="281"/>
      <c r="AD200" s="492"/>
      <c r="AE200" s="527">
        <f t="shared" si="39"/>
        <v>0</v>
      </c>
      <c r="AF200" s="527">
        <f t="shared" si="96"/>
        <v>0</v>
      </c>
      <c r="AG200" s="527">
        <f t="shared" si="76"/>
        <v>0</v>
      </c>
      <c r="AH200" s="527">
        <f t="shared" si="77"/>
        <v>0</v>
      </c>
      <c r="AI200" s="527">
        <f t="shared" si="78"/>
        <v>0</v>
      </c>
      <c r="AJ200" s="527">
        <f t="shared" si="79"/>
        <v>999999999</v>
      </c>
      <c r="AK200" s="471"/>
      <c r="AL200" s="765"/>
      <c r="AM200" s="758"/>
      <c r="AN200" s="281"/>
      <c r="AO200" s="775"/>
      <c r="AP200" s="775"/>
      <c r="AQ200" s="281"/>
      <c r="AR200" s="528"/>
      <c r="AS200" s="532"/>
      <c r="AT200" s="524" t="str">
        <f t="shared" si="80"/>
        <v/>
      </c>
      <c r="AU200" s="311">
        <f t="shared" si="81"/>
        <v>0</v>
      </c>
      <c r="AV200" s="288">
        <f t="shared" si="97"/>
        <v>0</v>
      </c>
      <c r="AW200" s="290">
        <f>IF(ISERROR($AU200*'Utility Admin'!$E$4+$AV200*'Utility Admin'!$F$4),0,$AU200*'Utility Admin'!$E$4+$AV200*'Utility Admin'!$F$4)</f>
        <v>0</v>
      </c>
      <c r="AX200" s="323" t="str">
        <f t="shared" si="82"/>
        <v/>
      </c>
      <c r="AY200" s="322" t="str">
        <f t="shared" si="23"/>
        <v/>
      </c>
      <c r="AZ200" s="319">
        <f>Baselines!$CJ444</f>
        <v>0</v>
      </c>
      <c r="BA200" s="735">
        <f>Baselines!$CK444</f>
        <v>0</v>
      </c>
      <c r="BB200" s="839">
        <f>Baselines!$CM444</f>
        <v>0</v>
      </c>
      <c r="BC200" s="466">
        <f t="shared" si="83"/>
        <v>0</v>
      </c>
      <c r="BD200" s="464">
        <f t="shared" si="98"/>
        <v>0</v>
      </c>
      <c r="BE200" s="755">
        <f t="shared" si="84"/>
        <v>0</v>
      </c>
      <c r="BF200" s="755">
        <f t="shared" si="99"/>
        <v>0</v>
      </c>
      <c r="BG200" s="466">
        <f t="shared" si="85"/>
        <v>0</v>
      </c>
      <c r="BH200" s="464">
        <f t="shared" si="86"/>
        <v>0</v>
      </c>
      <c r="BI200" s="755">
        <f t="shared" si="87"/>
        <v>0</v>
      </c>
      <c r="BJ200" s="755">
        <f t="shared" si="100"/>
        <v>0</v>
      </c>
      <c r="BK200" s="333">
        <f>IF(OR($C200&lt;&gt;"Early Retirement",$H200=""),0,IF(AND($G200&lt;&gt;"Air Cooled Chiller",$G200&lt;&gt;"Water Cooled Chiller"),VLOOKUP($H200,'Early Retirement'!$CI$6:$CL$33,2,FALSE),IF($J200&lt;&gt;"Centrifugal",VLOOKUP($H200,'Early Retirement'!$CI$6:$CL$33,3,FALSE),IF($J200="Centrifugal",VLOOKUP($H200,'Early Retirement'!$CI$6:$CL$33,4,FALSE),""))))</f>
        <v>0</v>
      </c>
      <c r="BL200" s="450">
        <f t="shared" si="88"/>
        <v>0</v>
      </c>
      <c r="BM200" s="553">
        <f>IFERROR('Utility Admin'!$I$4*((1+'Utility Admin'!$G$4)/('Utility Admin'!$H$4-'Utility Admin'!$G$4))*(1-((1+'Utility Admin'!$G$4)/(1+'Utility Admin'!$H$4))^$BK200)*$BG200,0)</f>
        <v>0</v>
      </c>
      <c r="BN200" s="553">
        <f>IFERROR('Utility Admin'!$I$4*((1+'Utility Admin'!$G$4)/('Utility Admin'!$H$4-'Utility Admin'!$G$4))*(1-((1+'Utility Admin'!$G$4)/(1+'Utility Admin'!$H$4))^$BL200)*((1+'Utility Admin'!$G$4)^$BK200/(1+'Utility Admin'!$H$4)^$BK200)*$BC200,0)</f>
        <v>0</v>
      </c>
      <c r="BO200" s="553">
        <f t="shared" si="27"/>
        <v>0</v>
      </c>
      <c r="BP200" s="553">
        <f>IFERROR('Utility Admin'!$J$4*((1+'Utility Admin'!$G$4)/('Utility Admin'!$H$4-'Utility Admin'!$G$4))*(1-((1+'Utility Admin'!$G$4)/(1+'Utility Admin'!$H$4))^$BK200)*$BJ200,0)</f>
        <v>0</v>
      </c>
      <c r="BQ200" s="553">
        <f>IFERROR('Utility Admin'!$J$4*((1+'Utility Admin'!$G$4)/('Utility Admin'!$H$4-'Utility Admin'!$G$4))*(1-((1+'Utility Admin'!$G$4)/(1+'Utility Admin'!$H$4))^$BL200)*((1+'Utility Admin'!$G$4)^$BK200/(1+'Utility Admin'!$H$4)^$BK200)*$BF200,0)</f>
        <v>0</v>
      </c>
      <c r="BR200" s="553">
        <f t="shared" si="28"/>
        <v>0</v>
      </c>
      <c r="BS200" s="553">
        <f>IFERROR('Utility Admin'!$I$4*((1+'Utility Admin'!$G$4)/('Utility Admin'!$H$4-'Utility Admin'!$G$4))*(1-((1+'Utility Admin'!$G$4)/(1+'Utility Admin'!$H$4))^$AT200),0)</f>
        <v>0</v>
      </c>
      <c r="BT200" s="553">
        <f>IFERROR('Utility Admin'!$J$4*((1+'Utility Admin'!$G$4)/('Utility Admin'!$H$4-'Utility Admin'!$G$4))*(1-((1+'Utility Admin'!$G$4)/(1+'Utility Admin'!$H$4))^$AT200),0)</f>
        <v>0</v>
      </c>
      <c r="BU200" s="459">
        <f t="shared" si="101"/>
        <v>0</v>
      </c>
      <c r="BV200" s="462">
        <f t="shared" si="102"/>
        <v>0</v>
      </c>
      <c r="BW200" s="219" t="str">
        <f t="shared" si="89"/>
        <v/>
      </c>
      <c r="BX200" s="250" t="str">
        <f t="shared" si="103"/>
        <v/>
      </c>
      <c r="BY200" s="250" t="str">
        <f t="shared" si="90"/>
        <v/>
      </c>
      <c r="BZ200" s="184">
        <f t="shared" si="104"/>
        <v>0</v>
      </c>
      <c r="CA200" s="693">
        <f t="shared" si="105"/>
        <v>0</v>
      </c>
      <c r="CB200" s="836">
        <f t="shared" si="106"/>
        <v>0</v>
      </c>
      <c r="CC200" s="693">
        <f>IF(AND($C200="Early Retirement",$H200&lt;&gt;"",$R200&lt;&gt;"",$T200&lt;&gt;""),$BZ200,Baselines!$CJ193)</f>
        <v>0</v>
      </c>
      <c r="CD200" s="693">
        <f>IF(AND($C200="Early Retirement",$H200&lt;&gt;"",$R200&lt;&gt;"",$T200&lt;&gt;""),$CA200,Baselines!$CK193)</f>
        <v>0</v>
      </c>
      <c r="CE200" s="182" t="str">
        <f>Baselines!$CL193</f>
        <v>kW/ton</v>
      </c>
      <c r="CF200" s="850" t="str">
        <f t="shared" si="91"/>
        <v/>
      </c>
      <c r="CG200" s="833">
        <f>IF(AND($C200="Early Retirement",$H200&lt;&gt;"",$R200&lt;&gt;"",$T200&lt;&gt;""),$CB200,IF(AND(Baselines!$CM193=0,OR($CL200="DX HP",$CL200="PTHP")),$BB200,Baselines!$CM193))</f>
        <v>0</v>
      </c>
      <c r="CH200" s="830" t="s">
        <v>567</v>
      </c>
      <c r="CI200" s="185" t="str">
        <f>IF(OR($C200="Replace-on-Burnout",$C200="New Construction"),$CT200,IF($BW200="","",VLOOKUP($D200,'Factor Tables'!$B$165:$H$192,MATCH($BW200,'Factor Tables'!$B$164:$H$164,0),FALSE)))</f>
        <v/>
      </c>
      <c r="CJ200" s="842" t="str">
        <f>IF(OR($C200="Replace-on-Burnout",$C200="New Construction"),$CU200,IF($BW200="","",IF($BW200="DX HP",VLOOKUP($D200,'Factor Tables'!$I$165:$Q$192,MATCH("DX HP Clg",'Factor Tables'!$I$164:$Q$164,0),FALSE),IF($BW200="PTHP",VLOOKUP($D200,'Factor Tables'!$I$165:$Q$192,MATCH("PTHP Clg",'Factor Tables'!$I$164:$Q$164,0),FALSE),IF(AND($BW200&lt;&gt;"DX HP",$BW200&lt;&gt;"PTHP"),VLOOKUP($D200,'Factor Tables'!$I$165:$Q$192,MATCH($BW200,'Factor Tables'!$I$164:$Q$164,0),FALSE),"")))))</f>
        <v/>
      </c>
      <c r="CK200" s="186" t="str">
        <f>IF(OR($C200="Replace-on-Burnout",$C200="New Construction",$CL200="DX HP",$CL200="PTHP"),$CV200,IF($BW200="","",IF($BW200="DX HP",VLOOKUP($D200,'Factor Tables'!$I$165:$Q$192,MATCH("DX HP Htg",'Factor Tables'!$I$164:$Q$164,0),FALSE),IF($BW200="PTHP",VLOOKUP($D200,'Factor Tables'!$I$165:$Q$192,MATCH("PTHP Htg",'Factor Tables'!$I$164:$Q$164,0),FALSE),0))))</f>
        <v/>
      </c>
      <c r="CL200" s="187" t="str">
        <f t="shared" si="92"/>
        <v/>
      </c>
      <c r="CM200" s="251" t="str">
        <f t="shared" si="93"/>
        <v/>
      </c>
      <c r="CN200" s="184">
        <f t="shared" si="107"/>
        <v>0</v>
      </c>
      <c r="CO200" s="693">
        <f t="shared" si="108"/>
        <v>0</v>
      </c>
      <c r="CP200" s="182" t="s">
        <v>46</v>
      </c>
      <c r="CQ200" s="852" t="str">
        <f t="shared" si="109"/>
        <v/>
      </c>
      <c r="CR200" s="833">
        <f t="shared" si="110"/>
        <v>0</v>
      </c>
      <c r="CS200" s="830" t="s">
        <v>567</v>
      </c>
      <c r="CT200" s="185" t="str">
        <f>IF($CL200="","",VLOOKUP($D200,'Factor Tables'!$B$165:$H$192,MATCH($CL200,'Factor Tables'!$B$164:$H$164,0),FALSE))</f>
        <v/>
      </c>
      <c r="CU200" s="842" t="str">
        <f>IF($CL200="","",IF(AND($CL200&lt;&gt;"DX HP",$CL200&lt;&gt;"PTHP"),VLOOKUP($D200,'Factor Tables'!$I$165:$Q$192,MATCH($CL200,'Factor Tables'!$I$164:$Q$164,0),FALSE),IF($CL200="DX HP",VLOOKUP($D200,'Factor Tables'!$I$165:$Q$192,MATCH("DX HP Clg",'Factor Tables'!$I$164:$Q$164,0),FALSE),IF($CL200="PTHP",VLOOKUP($D200,'Factor Tables'!$I$165:$Q$192,MATCH("PTHP Clg",'Factor Tables'!$I$164:$Q$164,0),FALSE),""))))</f>
        <v/>
      </c>
      <c r="CV200" s="186" t="str">
        <f>IF($CL200="","",IF(AND($CL200&lt;&gt;"DX HP",$CL200&lt;&gt;"PTHP"),0,IF($CL200="DX HP",VLOOKUP($D200,'Factor Tables'!$I$165:$Q$192,MATCH("DX HP Htg",'Factor Tables'!$I$164:$Q$164,0),FALSE),IF($CL200="PTHP",VLOOKUP($D200,'Factor Tables'!$I$165:$Q$192,MATCH("PTHP Htg",'Factor Tables'!$I$164:$Q$164,0),FALSE),""))))</f>
        <v/>
      </c>
      <c r="DD200" s="196" t="str">
        <f>IF(OR('Project Info'!$D$8="",$C40="",$D40=""),"",IF('Project Info'!$D$8="Weather Zone 5: El Paso",VLOOKUP($D40,$DI$9:$DL$37,MATCH($C40,$DI$9:$DL$9,0),FALSE),VLOOKUP($D40,$DE$9:$DH$37,MATCH($C40,$DE$9:$DH$9,0),FALSE)))</f>
        <v/>
      </c>
      <c r="DE200" s="426"/>
      <c r="DI200" s="425"/>
      <c r="DJ200" s="425"/>
      <c r="DK200" s="425"/>
      <c r="DL200" s="425"/>
      <c r="DM200" s="493" t="s">
        <v>478</v>
      </c>
    </row>
    <row r="201" spans="2:117" s="427" customFormat="1" ht="21.95" customHeight="1" x14ac:dyDescent="0.25">
      <c r="B201" s="432">
        <v>192</v>
      </c>
      <c r="C201" s="499" t="str">
        <f t="shared" si="94"/>
        <v/>
      </c>
      <c r="D201" s="403" t="str">
        <f t="shared" si="95"/>
        <v/>
      </c>
      <c r="E201" s="541"/>
      <c r="F201" s="785"/>
      <c r="G201" s="728"/>
      <c r="H201" s="728"/>
      <c r="I201" s="728"/>
      <c r="J201" s="728"/>
      <c r="K201" s="728"/>
      <c r="L201" s="728"/>
      <c r="M201" s="764"/>
      <c r="N201" s="728"/>
      <c r="O201" s="764"/>
      <c r="P201" s="728"/>
      <c r="Q201" s="1142"/>
      <c r="R201" s="1133"/>
      <c r="S201" s="778"/>
      <c r="T201" s="767"/>
      <c r="U201" s="778"/>
      <c r="V201" s="751"/>
      <c r="W201" s="556"/>
      <c r="X201" s="785"/>
      <c r="Y201" s="542"/>
      <c r="Z201" s="500"/>
      <c r="AA201" s="500"/>
      <c r="AB201" s="500"/>
      <c r="AC201" s="500"/>
      <c r="AD201" s="529"/>
      <c r="AE201" s="527">
        <f t="shared" si="39"/>
        <v>0</v>
      </c>
      <c r="AF201" s="527">
        <f t="shared" si="96"/>
        <v>0</v>
      </c>
      <c r="AG201" s="527">
        <f t="shared" si="76"/>
        <v>0</v>
      </c>
      <c r="AH201" s="527">
        <f t="shared" si="77"/>
        <v>0</v>
      </c>
      <c r="AI201" s="527">
        <f t="shared" si="78"/>
        <v>0</v>
      </c>
      <c r="AJ201" s="527">
        <f t="shared" si="79"/>
        <v>999999999</v>
      </c>
      <c r="AK201" s="530"/>
      <c r="AL201" s="776"/>
      <c r="AM201" s="777"/>
      <c r="AN201" s="500"/>
      <c r="AO201" s="778"/>
      <c r="AP201" s="778"/>
      <c r="AQ201" s="500"/>
      <c r="AR201" s="531"/>
      <c r="AS201" s="403"/>
      <c r="AT201" s="524" t="str">
        <f t="shared" si="80"/>
        <v/>
      </c>
      <c r="AU201" s="311">
        <f t="shared" si="81"/>
        <v>0</v>
      </c>
      <c r="AV201" s="288">
        <f t="shared" si="97"/>
        <v>0</v>
      </c>
      <c r="AW201" s="290">
        <f>IF(ISERROR($AU201*'Utility Admin'!$E$4+$AV201*'Utility Admin'!$F$4),0,$AU201*'Utility Admin'!$E$4+$AV201*'Utility Admin'!$F$4)</f>
        <v>0</v>
      </c>
      <c r="AX201" s="323" t="str">
        <f t="shared" si="82"/>
        <v/>
      </c>
      <c r="AY201" s="322" t="str">
        <f t="shared" si="23"/>
        <v/>
      </c>
      <c r="AZ201" s="319">
        <f>Baselines!$CJ445</f>
        <v>0</v>
      </c>
      <c r="BA201" s="735">
        <f>Baselines!$CK445</f>
        <v>0</v>
      </c>
      <c r="BB201" s="839">
        <f>Baselines!$CM445</f>
        <v>0</v>
      </c>
      <c r="BC201" s="466">
        <f t="shared" si="83"/>
        <v>0</v>
      </c>
      <c r="BD201" s="464">
        <f t="shared" si="98"/>
        <v>0</v>
      </c>
      <c r="BE201" s="755">
        <f t="shared" si="84"/>
        <v>0</v>
      </c>
      <c r="BF201" s="755">
        <f t="shared" si="99"/>
        <v>0</v>
      </c>
      <c r="BG201" s="466">
        <f t="shared" si="85"/>
        <v>0</v>
      </c>
      <c r="BH201" s="464">
        <f t="shared" si="86"/>
        <v>0</v>
      </c>
      <c r="BI201" s="755">
        <f t="shared" si="87"/>
        <v>0</v>
      </c>
      <c r="BJ201" s="755">
        <f t="shared" si="100"/>
        <v>0</v>
      </c>
      <c r="BK201" s="333">
        <f>IF(OR($C201&lt;&gt;"Early Retirement",$H201=""),0,IF(AND($G201&lt;&gt;"Air Cooled Chiller",$G201&lt;&gt;"Water Cooled Chiller"),VLOOKUP($H201,'Early Retirement'!$CI$6:$CL$33,2,FALSE),IF($J201&lt;&gt;"Centrifugal",VLOOKUP($H201,'Early Retirement'!$CI$6:$CL$33,3,FALSE),IF($J201="Centrifugal",VLOOKUP($H201,'Early Retirement'!$CI$6:$CL$33,4,FALSE),""))))</f>
        <v>0</v>
      </c>
      <c r="BL201" s="450">
        <f t="shared" si="88"/>
        <v>0</v>
      </c>
      <c r="BM201" s="553">
        <f>IFERROR('Utility Admin'!$I$4*((1+'Utility Admin'!$G$4)/('Utility Admin'!$H$4-'Utility Admin'!$G$4))*(1-((1+'Utility Admin'!$G$4)/(1+'Utility Admin'!$H$4))^$BK201)*$BG201,0)</f>
        <v>0</v>
      </c>
      <c r="BN201" s="553">
        <f>IFERROR('Utility Admin'!$I$4*((1+'Utility Admin'!$G$4)/('Utility Admin'!$H$4-'Utility Admin'!$G$4))*(1-((1+'Utility Admin'!$G$4)/(1+'Utility Admin'!$H$4))^$BL201)*((1+'Utility Admin'!$G$4)^$BK201/(1+'Utility Admin'!$H$4)^$BK201)*$BC201,0)</f>
        <v>0</v>
      </c>
      <c r="BO201" s="553">
        <f t="shared" si="27"/>
        <v>0</v>
      </c>
      <c r="BP201" s="553">
        <f>IFERROR('Utility Admin'!$J$4*((1+'Utility Admin'!$G$4)/('Utility Admin'!$H$4-'Utility Admin'!$G$4))*(1-((1+'Utility Admin'!$G$4)/(1+'Utility Admin'!$H$4))^$BK201)*$BJ201,0)</f>
        <v>0</v>
      </c>
      <c r="BQ201" s="553">
        <f>IFERROR('Utility Admin'!$J$4*((1+'Utility Admin'!$G$4)/('Utility Admin'!$H$4-'Utility Admin'!$G$4))*(1-((1+'Utility Admin'!$G$4)/(1+'Utility Admin'!$H$4))^$BL201)*((1+'Utility Admin'!$G$4)^$BK201/(1+'Utility Admin'!$H$4)^$BK201)*$BF201,0)</f>
        <v>0</v>
      </c>
      <c r="BR201" s="553">
        <f t="shared" si="28"/>
        <v>0</v>
      </c>
      <c r="BS201" s="553">
        <f>IFERROR('Utility Admin'!$I$4*((1+'Utility Admin'!$G$4)/('Utility Admin'!$H$4-'Utility Admin'!$G$4))*(1-((1+'Utility Admin'!$G$4)/(1+'Utility Admin'!$H$4))^$AT201),0)</f>
        <v>0</v>
      </c>
      <c r="BT201" s="553">
        <f>IFERROR('Utility Admin'!$J$4*((1+'Utility Admin'!$G$4)/('Utility Admin'!$H$4-'Utility Admin'!$G$4))*(1-((1+'Utility Admin'!$G$4)/(1+'Utility Admin'!$H$4))^$AT201),0)</f>
        <v>0</v>
      </c>
      <c r="BU201" s="459">
        <f t="shared" si="101"/>
        <v>0</v>
      </c>
      <c r="BV201" s="462">
        <f t="shared" si="102"/>
        <v>0</v>
      </c>
      <c r="BW201" s="219" t="str">
        <f t="shared" si="89"/>
        <v/>
      </c>
      <c r="BX201" s="250" t="str">
        <f t="shared" si="103"/>
        <v/>
      </c>
      <c r="BY201" s="250" t="str">
        <f t="shared" si="90"/>
        <v/>
      </c>
      <c r="BZ201" s="184">
        <f t="shared" si="104"/>
        <v>0</v>
      </c>
      <c r="CA201" s="693">
        <f t="shared" si="105"/>
        <v>0</v>
      </c>
      <c r="CB201" s="836">
        <f t="shared" si="106"/>
        <v>0</v>
      </c>
      <c r="CC201" s="693">
        <f>IF(AND($C201="Early Retirement",$H201&lt;&gt;"",$R201&lt;&gt;"",$T201&lt;&gt;""),$BZ201,Baselines!$CJ194)</f>
        <v>0</v>
      </c>
      <c r="CD201" s="693">
        <f>IF(AND($C201="Early Retirement",$H201&lt;&gt;"",$R201&lt;&gt;"",$T201&lt;&gt;""),$CA201,Baselines!$CK194)</f>
        <v>0</v>
      </c>
      <c r="CE201" s="182" t="str">
        <f>Baselines!$CL194</f>
        <v>kW/ton</v>
      </c>
      <c r="CF201" s="850" t="str">
        <f t="shared" si="91"/>
        <v/>
      </c>
      <c r="CG201" s="833">
        <f>IF(AND($C201="Early Retirement",$H201&lt;&gt;"",$R201&lt;&gt;"",$T201&lt;&gt;""),$CB201,IF(AND(Baselines!$CM194=0,OR($CL201="DX HP",$CL201="PTHP")),$BB201,Baselines!$CM194))</f>
        <v>0</v>
      </c>
      <c r="CH201" s="830" t="s">
        <v>567</v>
      </c>
      <c r="CI201" s="185" t="str">
        <f>IF(OR($C201="Replace-on-Burnout",$C201="New Construction"),$CT201,IF($BW201="","",VLOOKUP($D201,'Factor Tables'!$B$165:$H$192,MATCH($BW201,'Factor Tables'!$B$164:$H$164,0),FALSE)))</f>
        <v/>
      </c>
      <c r="CJ201" s="842" t="str">
        <f>IF(OR($C201="Replace-on-Burnout",$C201="New Construction"),$CU201,IF($BW201="","",IF($BW201="DX HP",VLOOKUP($D201,'Factor Tables'!$I$165:$Q$192,MATCH("DX HP Clg",'Factor Tables'!$I$164:$Q$164,0),FALSE),IF($BW201="PTHP",VLOOKUP($D201,'Factor Tables'!$I$165:$Q$192,MATCH("PTHP Clg",'Factor Tables'!$I$164:$Q$164,0),FALSE),IF(AND($BW201&lt;&gt;"DX HP",$BW201&lt;&gt;"PTHP"),VLOOKUP($D201,'Factor Tables'!$I$165:$Q$192,MATCH($BW201,'Factor Tables'!$I$164:$Q$164,0),FALSE),"")))))</f>
        <v/>
      </c>
      <c r="CK201" s="186" t="str">
        <f>IF(OR($C201="Replace-on-Burnout",$C201="New Construction",$CL201="DX HP",$CL201="PTHP"),$CV201,IF($BW201="","",IF($BW201="DX HP",VLOOKUP($D201,'Factor Tables'!$I$165:$Q$192,MATCH("DX HP Htg",'Factor Tables'!$I$164:$Q$164,0),FALSE),IF($BW201="PTHP",VLOOKUP($D201,'Factor Tables'!$I$165:$Q$192,MATCH("PTHP Htg",'Factor Tables'!$I$164:$Q$164,0),FALSE),0))))</f>
        <v/>
      </c>
      <c r="CL201" s="187" t="str">
        <f t="shared" si="92"/>
        <v/>
      </c>
      <c r="CM201" s="251" t="str">
        <f t="shared" si="93"/>
        <v/>
      </c>
      <c r="CN201" s="184">
        <f t="shared" si="107"/>
        <v>0</v>
      </c>
      <c r="CO201" s="693">
        <f t="shared" si="108"/>
        <v>0</v>
      </c>
      <c r="CP201" s="182" t="s">
        <v>46</v>
      </c>
      <c r="CQ201" s="852" t="str">
        <f t="shared" si="109"/>
        <v/>
      </c>
      <c r="CR201" s="833">
        <f t="shared" si="110"/>
        <v>0</v>
      </c>
      <c r="CS201" s="830" t="s">
        <v>567</v>
      </c>
      <c r="CT201" s="185" t="str">
        <f>IF($CL201="","",VLOOKUP($D201,'Factor Tables'!$B$165:$H$192,MATCH($CL201,'Factor Tables'!$B$164:$H$164,0),FALSE))</f>
        <v/>
      </c>
      <c r="CU201" s="842" t="str">
        <f>IF($CL201="","",IF(AND($CL201&lt;&gt;"DX HP",$CL201&lt;&gt;"PTHP"),VLOOKUP($D201,'Factor Tables'!$I$165:$Q$192,MATCH($CL201,'Factor Tables'!$I$164:$Q$164,0),FALSE),IF($CL201="DX HP",VLOOKUP($D201,'Factor Tables'!$I$165:$Q$192,MATCH("DX HP Clg",'Factor Tables'!$I$164:$Q$164,0),FALSE),IF($CL201="PTHP",VLOOKUP($D201,'Factor Tables'!$I$165:$Q$192,MATCH("PTHP Clg",'Factor Tables'!$I$164:$Q$164,0),FALSE),""))))</f>
        <v/>
      </c>
      <c r="CV201" s="186" t="str">
        <f>IF($CL201="","",IF(AND($CL201&lt;&gt;"DX HP",$CL201&lt;&gt;"PTHP"),0,IF($CL201="DX HP",VLOOKUP($D201,'Factor Tables'!$I$165:$Q$192,MATCH("DX HP Htg",'Factor Tables'!$I$164:$Q$164,0),FALSE),IF($CL201="PTHP",VLOOKUP($D201,'Factor Tables'!$I$165:$Q$192,MATCH("PTHP Htg",'Factor Tables'!$I$164:$Q$164,0),FALSE),""))))</f>
        <v/>
      </c>
      <c r="DD201" s="196" t="str">
        <f>IF(OR('Project Info'!$D$8="",$C41="",$D41=""),"",IF('Project Info'!$D$8="Weather Zone 5: El Paso",VLOOKUP($D41,$DI$9:$DL$37,MATCH($C41,$DI$9:$DL$9,0),FALSE),VLOOKUP($D41,$DE$9:$DH$37,MATCH($C41,$DE$9:$DH$9,0),FALSE)))</f>
        <v/>
      </c>
      <c r="DE201" s="426"/>
      <c r="DI201" s="425"/>
      <c r="DJ201" s="425"/>
      <c r="DK201" s="425"/>
      <c r="DL201" s="425"/>
      <c r="DM201" s="493" t="s">
        <v>478</v>
      </c>
    </row>
    <row r="202" spans="2:117" s="427" customFormat="1" ht="21.95" customHeight="1" x14ac:dyDescent="0.25">
      <c r="B202" s="431">
        <v>193</v>
      </c>
      <c r="C202" s="501" t="str">
        <f t="shared" si="94"/>
        <v/>
      </c>
      <c r="D202" s="502" t="str">
        <f t="shared" si="95"/>
        <v/>
      </c>
      <c r="E202" s="546"/>
      <c r="F202" s="547"/>
      <c r="G202" s="729"/>
      <c r="H202" s="729"/>
      <c r="I202" s="729"/>
      <c r="J202" s="729"/>
      <c r="K202" s="729"/>
      <c r="L202" s="729"/>
      <c r="M202" s="765"/>
      <c r="N202" s="758"/>
      <c r="O202" s="765"/>
      <c r="P202" s="758"/>
      <c r="Q202" s="1143"/>
      <c r="R202" s="1134"/>
      <c r="S202" s="775"/>
      <c r="T202" s="729"/>
      <c r="U202" s="775"/>
      <c r="V202" s="779"/>
      <c r="W202" s="557"/>
      <c r="X202" s="788"/>
      <c r="Y202" s="543"/>
      <c r="Z202" s="281"/>
      <c r="AA202" s="281"/>
      <c r="AB202" s="281"/>
      <c r="AC202" s="281"/>
      <c r="AD202" s="492"/>
      <c r="AE202" s="527">
        <f t="shared" si="39"/>
        <v>0</v>
      </c>
      <c r="AF202" s="527">
        <f t="shared" si="96"/>
        <v>0</v>
      </c>
      <c r="AG202" s="527">
        <f t="shared" ref="AG202:AG259" si="111">IF(OR($C202="New Construction",$C202="Replace-on-Burnout",$AK202="",$AN202=""),0,(0.8*$AE202*$Q202)/$AN202)</f>
        <v>0</v>
      </c>
      <c r="AH202" s="527">
        <f t="shared" ref="AH202:AH259" si="112">IF(OR($C202="New Construction",$C202="Replace-on-Burnout"),999999999,IF(OR($AK202="",$AN202=""),0,(1.2*$AE202*$Q202)/$AN202))</f>
        <v>0</v>
      </c>
      <c r="AI202" s="527">
        <f t="shared" ref="AI202:AI259" si="113">IF(OR($C202="New Construction",$C202="Replace-on-Burnout",$AK202="",$AN202=""),0,IF($AK202="Tons",$AG202,IF($AK202="Btu/hr",$AG202*12000,0)))</f>
        <v>0</v>
      </c>
      <c r="AJ202" s="527">
        <f t="shared" ref="AJ202:AJ259" si="114">IF(OR($C202="New Construction",$C202="Replace-on-Burnout",$AK202="",$AN202=""),999999999,IF($AK202="Tons",$AH202,IF($AK202="Btu/hr",$AH202*12000,0)))</f>
        <v>999999999</v>
      </c>
      <c r="AK202" s="471"/>
      <c r="AL202" s="765"/>
      <c r="AM202" s="758"/>
      <c r="AN202" s="281"/>
      <c r="AO202" s="775"/>
      <c r="AP202" s="775"/>
      <c r="AQ202" s="281"/>
      <c r="AR202" s="528"/>
      <c r="AS202" s="532"/>
      <c r="AT202" s="524" t="str">
        <f t="shared" ref="AT202:AT259" si="115">IF(OR($Z202="",AND(OR($Z202="Air Cooled Chiller",$Z202="Water Cooled Chiller"),$AA202="")),"",IF(OR($Z202="Air Cooled Chiller",$Z202="Water Cooled Chiller"),VLOOKUP(CONCATENATE($AA202," ",$Z202),$CY$10:$DB$21,4,FALSE),VLOOKUP($Z202,$CY$10:$DB$21,4,FALSE)))</f>
        <v/>
      </c>
      <c r="AU202" s="311">
        <f t="shared" ref="AU202:AU259" si="116">IF($C202="Early Retirement",$BU202,IFERROR(IF(OR($Z202="",$AD202="",$AK202="",$AN202="",$AO202="",$AQ202="",$CI202=0,$CT202=0),0,($BY202*$CC202*$CI202)-($CM202*$CN202*$CT202)),0))</f>
        <v>0</v>
      </c>
      <c r="AV202" s="288">
        <f t="shared" si="97"/>
        <v>0</v>
      </c>
      <c r="AW202" s="290">
        <f>IF(ISERROR($AU202*'Utility Admin'!$E$4+$AV202*'Utility Admin'!$F$4),0,$AU202*'Utility Admin'!$E$4+$AV202*'Utility Admin'!$F$4)</f>
        <v>0</v>
      </c>
      <c r="AX202" s="323" t="str">
        <f t="shared" ref="AX202:AX259" si="117">IF(OR($Z202="",AND(OR($Z202="Air Cooled Chiller",$Z202="Water Cooled Chiller"),$AA202="")),"",IF(OR($Z202="Air Cooled Chiller",$Z202="Water Cooled Chiller"),VLOOKUP(CONCATENATE($AA202," ",$Z202),$CY$10:$DA$21,3,FALSE),VLOOKUP($Z202,$CY$10:$DA$21,3,FALSE)))</f>
        <v/>
      </c>
      <c r="AY202" s="322" t="str">
        <f t="shared" si="23"/>
        <v/>
      </c>
      <c r="AZ202" s="319">
        <f>Baselines!$CJ446</f>
        <v>0</v>
      </c>
      <c r="BA202" s="735">
        <f>Baselines!$CK446</f>
        <v>0</v>
      </c>
      <c r="BB202" s="839">
        <f>Baselines!$CM446</f>
        <v>0</v>
      </c>
      <c r="BC202" s="466">
        <f t="shared" ref="BC202:BC259" si="118">IF(OR($D202="",$Z202="",$AD202="",$AK202="",$AN202="",$AO202="",$AQ202="",$AY202=""),0,IFERROR(IF(OR($CI202=0,$CT202=0),0,($BY202*$AZ202*$CI202)-($CM202*$CN202*$CT202)),0))</f>
        <v>0</v>
      </c>
      <c r="BD202" s="464">
        <f t="shared" si="98"/>
        <v>0</v>
      </c>
      <c r="BE202" s="755">
        <f t="shared" ref="BE202:BE259" si="119">IF(OR($D202="",$Z202="",$AL202="",$AM202="",$AN202="",$AR202="",$AS202="",$AY202=""),0,IFERROR(IF(OR($CK202=0,$CV202=0),0,(($CF202*(1/$BB202)*$CK202)-($CQ202*(1/$CR202)*$CV202))*(1/3412)),0))</f>
        <v>0</v>
      </c>
      <c r="BF202" s="755">
        <f t="shared" si="99"/>
        <v>0</v>
      </c>
      <c r="BG202" s="466">
        <f t="shared" ref="BG202:BG259" si="120">IF(OR($C202&lt;&gt;"Early Retirement",$D202="",$H202="",$Z202="",$AD202="",$AK202="",$AN202="",$AO202="",$AQ202=""),0,IF(AND($C202="Early Retirement",OR($Z202="PTAC",$Z202="PTHP"),OR($AB202&lt;&gt;"Yes",$AD202&gt;$M202)),$BC202,IFERROR(IF(OR($CI202=0,$CT202=0),0,($BY202*$CC202*$CI202)-($CM202*$CN202*$CT202)),0)))</f>
        <v>0</v>
      </c>
      <c r="BH202" s="464">
        <f t="shared" ref="BH202:BH259" si="121">IF(OR($C202&lt;&gt;"Early Retirement",$D202="",$H202="",$Z202="",$AD202="",$AK202="",$AN202="",AND($AO202="",$AP202=""),$AQ202=""),0,IF(AND($C202="Early Retirement",OR($Z202="PTAC",$Z202="PTHP"),OR($AB202&lt;&gt;"Yes",$AD202&gt;$M202)),$BD202,IFERROR(IF(OR($CJ202=0,$CU202=0),0,($BY202*$CD202*$CJ202)-($CM202*$CO202*$CU202)),0)))</f>
        <v>0</v>
      </c>
      <c r="BI202" s="755">
        <f t="shared" ref="BI202:BI259" si="122">IF(OR($C202&lt;&gt;"Early Retirement",$D202="",$H202="",$Z202="",$AL202="",$AM202="",$AN202="",$AR202="",$AS202=""),0,IF(AND($C202="Early Retirement",OR($Z202="PTAC",$Z202="PTHP"),OR($AB202&lt;&gt;"Yes",$AD202&gt;$M202)),$BE202,IFERROR(IF(OR($CK202=0,$CV202=0),0,(($CF202*(1/$CG202)*$CK202)-($CQ202*(1/$CR202)*$CV202))*(1/3412)),0)))</f>
        <v>0</v>
      </c>
      <c r="BJ202" s="755">
        <f t="shared" si="100"/>
        <v>0</v>
      </c>
      <c r="BK202" s="333">
        <f>IF(OR($C202&lt;&gt;"Early Retirement",$H202=""),0,IF(AND($G202&lt;&gt;"Air Cooled Chiller",$G202&lt;&gt;"Water Cooled Chiller"),VLOOKUP($H202,'Early Retirement'!$CI$6:$CL$33,2,FALSE),IF($J202&lt;&gt;"Centrifugal",VLOOKUP($H202,'Early Retirement'!$CI$6:$CL$33,3,FALSE),IF($J202="Centrifugal",VLOOKUP($H202,'Early Retirement'!$CI$6:$CL$33,4,FALSE),""))))</f>
        <v>0</v>
      </c>
      <c r="BL202" s="450">
        <f t="shared" ref="BL202:BL259" si="123">IF(OR($C202&lt;&gt;"Early Retirement",$H202="",$Z202="",$AT202=""),0,$AT202-$BK202)</f>
        <v>0</v>
      </c>
      <c r="BM202" s="553">
        <f>IFERROR('Utility Admin'!$I$4*((1+'Utility Admin'!$G$4)/('Utility Admin'!$H$4-'Utility Admin'!$G$4))*(1-((1+'Utility Admin'!$G$4)/(1+'Utility Admin'!$H$4))^$BK202)*$BG202,0)</f>
        <v>0</v>
      </c>
      <c r="BN202" s="553">
        <f>IFERROR('Utility Admin'!$I$4*((1+'Utility Admin'!$G$4)/('Utility Admin'!$H$4-'Utility Admin'!$G$4))*(1-((1+'Utility Admin'!$G$4)/(1+'Utility Admin'!$H$4))^$BL202)*((1+'Utility Admin'!$G$4)^$BK202/(1+'Utility Admin'!$H$4)^$BK202)*$BC202,0)</f>
        <v>0</v>
      </c>
      <c r="BO202" s="553">
        <f t="shared" si="27"/>
        <v>0</v>
      </c>
      <c r="BP202" s="553">
        <f>IFERROR('Utility Admin'!$J$4*((1+'Utility Admin'!$G$4)/('Utility Admin'!$H$4-'Utility Admin'!$G$4))*(1-((1+'Utility Admin'!$G$4)/(1+'Utility Admin'!$H$4))^$BK202)*$BJ202,0)</f>
        <v>0</v>
      </c>
      <c r="BQ202" s="553">
        <f>IFERROR('Utility Admin'!$J$4*((1+'Utility Admin'!$G$4)/('Utility Admin'!$H$4-'Utility Admin'!$G$4))*(1-((1+'Utility Admin'!$G$4)/(1+'Utility Admin'!$H$4))^$BL202)*((1+'Utility Admin'!$G$4)^$BK202/(1+'Utility Admin'!$H$4)^$BK202)*$BF202,0)</f>
        <v>0</v>
      </c>
      <c r="BR202" s="553">
        <f t="shared" si="28"/>
        <v>0</v>
      </c>
      <c r="BS202" s="553">
        <f>IFERROR('Utility Admin'!$I$4*((1+'Utility Admin'!$G$4)/('Utility Admin'!$H$4-'Utility Admin'!$G$4))*(1-((1+'Utility Admin'!$G$4)/(1+'Utility Admin'!$H$4))^$AT202),0)</f>
        <v>0</v>
      </c>
      <c r="BT202" s="553">
        <f>IFERROR('Utility Admin'!$J$4*((1+'Utility Admin'!$G$4)/('Utility Admin'!$H$4-'Utility Admin'!$G$4))*(1-((1+'Utility Admin'!$G$4)/(1+'Utility Admin'!$H$4))^$AT202),0)</f>
        <v>0</v>
      </c>
      <c r="BU202" s="459">
        <f t="shared" si="101"/>
        <v>0</v>
      </c>
      <c r="BV202" s="462">
        <f t="shared" si="102"/>
        <v>0</v>
      </c>
      <c r="BW202" s="219" t="str">
        <f t="shared" ref="BW202:BW259" si="124">IF($C202="New Construction",$CL202,IF($G202="","",VLOOKUP($G202,$CX$10:$CZ$21,3,FALSE)))</f>
        <v/>
      </c>
      <c r="BX202" s="250" t="str">
        <f t="shared" si="103"/>
        <v/>
      </c>
      <c r="BY202" s="250" t="str">
        <f t="shared" ref="BY202:BY259" si="125">IF(OR($C202="New Construction",$C202="Replace-on-Burnout"),$CM202,$BX202)</f>
        <v/>
      </c>
      <c r="BZ202" s="184">
        <f t="shared" si="104"/>
        <v>0</v>
      </c>
      <c r="CA202" s="693">
        <f t="shared" si="105"/>
        <v>0</v>
      </c>
      <c r="CB202" s="836">
        <f t="shared" si="106"/>
        <v>0</v>
      </c>
      <c r="CC202" s="693">
        <f>IF(AND($C202="Early Retirement",$H202&lt;&gt;"",$R202&lt;&gt;"",$T202&lt;&gt;""),$BZ202,Baselines!$CJ195)</f>
        <v>0</v>
      </c>
      <c r="CD202" s="693">
        <f>IF(AND($C202="Early Retirement",$H202&lt;&gt;"",$R202&lt;&gt;"",$T202&lt;&gt;""),$CA202,Baselines!$CK195)</f>
        <v>0</v>
      </c>
      <c r="CE202" s="182" t="str">
        <f>Baselines!$CL195</f>
        <v>kW/ton</v>
      </c>
      <c r="CF202" s="850" t="str">
        <f t="shared" ref="CF202:CF259" si="126">IF(OR($C202="New Construction",$C202="Replace-on-Burnout",$CL202="DX HP",$CL202="PTHP"),$CQ202,IF(OR($O202="",$P202="",$Q202=""),"",IF($P202="Tons",($O202*12000)*$Q202,IF($P202="Btu/hr",$O202*$Q202,""))))</f>
        <v/>
      </c>
      <c r="CG202" s="833">
        <f>IF(AND($C202="Early Retirement",$H202&lt;&gt;"",$R202&lt;&gt;"",$T202&lt;&gt;""),$CB202,IF(AND(Baselines!$CM195=0,OR($CL202="DX HP",$CL202="PTHP")),$BB202,Baselines!$CM195))</f>
        <v>0</v>
      </c>
      <c r="CH202" s="830" t="s">
        <v>567</v>
      </c>
      <c r="CI202" s="185" t="str">
        <f>IF(OR($C202="Replace-on-Burnout",$C202="New Construction"),$CT202,IF($BW202="","",VLOOKUP($D202,'Factor Tables'!$B$165:$H$192,MATCH($BW202,'Factor Tables'!$B$164:$H$164,0),FALSE)))</f>
        <v/>
      </c>
      <c r="CJ202" s="842" t="str">
        <f>IF(OR($C202="Replace-on-Burnout",$C202="New Construction"),$CU202,IF($BW202="","",IF($BW202="DX HP",VLOOKUP($D202,'Factor Tables'!$I$165:$Q$192,MATCH("DX HP Clg",'Factor Tables'!$I$164:$Q$164,0),FALSE),IF($BW202="PTHP",VLOOKUP($D202,'Factor Tables'!$I$165:$Q$192,MATCH("PTHP Clg",'Factor Tables'!$I$164:$Q$164,0),FALSE),IF(AND($BW202&lt;&gt;"DX HP",$BW202&lt;&gt;"PTHP"),VLOOKUP($D202,'Factor Tables'!$I$165:$Q$192,MATCH($BW202,'Factor Tables'!$I$164:$Q$164,0),FALSE),"")))))</f>
        <v/>
      </c>
      <c r="CK202" s="186" t="str">
        <f>IF(OR($C202="Replace-on-Burnout",$C202="New Construction",$CL202="DX HP",$CL202="PTHP"),$CV202,IF($BW202="","",IF($BW202="DX HP",VLOOKUP($D202,'Factor Tables'!$I$165:$Q$192,MATCH("DX HP Htg",'Factor Tables'!$I$164:$Q$164,0),FALSE),IF($BW202="PTHP",VLOOKUP($D202,'Factor Tables'!$I$165:$Q$192,MATCH("PTHP Htg",'Factor Tables'!$I$164:$Q$164,0),FALSE),0))))</f>
        <v/>
      </c>
      <c r="CL202" s="187" t="str">
        <f t="shared" ref="CL202:CL259" si="127">IF($Z202="","",VLOOKUP($Z202,$CX$10:$CZ$21,3,FALSE))</f>
        <v/>
      </c>
      <c r="CM202" s="251" t="str">
        <f t="shared" ref="CM202:CM259" si="128">IF(OR($AD202="",$AK202="",$AN202=""),"",IF($AK202="Btu/hr",($AD202/12000)*$AN202,IF($AK202="Tons",$AD202*$AN202,"")))</f>
        <v/>
      </c>
      <c r="CN202" s="184">
        <f t="shared" si="107"/>
        <v>0</v>
      </c>
      <c r="CO202" s="693">
        <f t="shared" si="108"/>
        <v>0</v>
      </c>
      <c r="CP202" s="182" t="s">
        <v>46</v>
      </c>
      <c r="CQ202" s="852" t="str">
        <f t="shared" si="109"/>
        <v/>
      </c>
      <c r="CR202" s="833">
        <f t="shared" si="110"/>
        <v>0</v>
      </c>
      <c r="CS202" s="830" t="s">
        <v>567</v>
      </c>
      <c r="CT202" s="185" t="str">
        <f>IF($CL202="","",VLOOKUP($D202,'Factor Tables'!$B$165:$H$192,MATCH($CL202,'Factor Tables'!$B$164:$H$164,0),FALSE))</f>
        <v/>
      </c>
      <c r="CU202" s="842" t="str">
        <f>IF($CL202="","",IF(AND($CL202&lt;&gt;"DX HP",$CL202&lt;&gt;"PTHP"),VLOOKUP($D202,'Factor Tables'!$I$165:$Q$192,MATCH($CL202,'Factor Tables'!$I$164:$Q$164,0),FALSE),IF($CL202="DX HP",VLOOKUP($D202,'Factor Tables'!$I$165:$Q$192,MATCH("DX HP Clg",'Factor Tables'!$I$164:$Q$164,0),FALSE),IF($CL202="PTHP",VLOOKUP($D202,'Factor Tables'!$I$165:$Q$192,MATCH("PTHP Clg",'Factor Tables'!$I$164:$Q$164,0),FALSE),""))))</f>
        <v/>
      </c>
      <c r="CV202" s="186" t="str">
        <f>IF($CL202="","",IF(AND($CL202&lt;&gt;"DX HP",$CL202&lt;&gt;"PTHP"),0,IF($CL202="DX HP",VLOOKUP($D202,'Factor Tables'!$I$165:$Q$192,MATCH("DX HP Htg",'Factor Tables'!$I$164:$Q$164,0),FALSE),IF($CL202="PTHP",VLOOKUP($D202,'Factor Tables'!$I$165:$Q$192,MATCH("PTHP Htg",'Factor Tables'!$I$164:$Q$164,0),FALSE),""))))</f>
        <v/>
      </c>
      <c r="DD202" s="196" t="str">
        <f>IF(OR('Project Info'!$D$8="",$C42="",$D42=""),"",IF('Project Info'!$D$8="Weather Zone 5: El Paso",VLOOKUP($D42,$DI$9:$DL$37,MATCH($C42,$DI$9:$DL$9,0),FALSE),VLOOKUP($D42,$DE$9:$DH$37,MATCH($C42,$DE$9:$DH$9,0),FALSE)))</f>
        <v/>
      </c>
      <c r="DE202" s="426"/>
      <c r="DI202" s="425"/>
      <c r="DJ202" s="425"/>
      <c r="DK202" s="425"/>
      <c r="DL202" s="425"/>
      <c r="DM202" s="493" t="s">
        <v>478</v>
      </c>
    </row>
    <row r="203" spans="2:117" s="427" customFormat="1" ht="21.95" customHeight="1" x14ac:dyDescent="0.25">
      <c r="B203" s="432">
        <v>194</v>
      </c>
      <c r="C203" s="499" t="str">
        <f t="shared" ref="C203:C259" si="129">IF($C202="","",$C202)</f>
        <v/>
      </c>
      <c r="D203" s="403" t="str">
        <f t="shared" ref="D203:D259" si="130">IF($D202="","",$D202)</f>
        <v/>
      </c>
      <c r="E203" s="541"/>
      <c r="F203" s="785"/>
      <c r="G203" s="728"/>
      <c r="H203" s="728"/>
      <c r="I203" s="728"/>
      <c r="J203" s="728"/>
      <c r="K203" s="728"/>
      <c r="L203" s="728"/>
      <c r="M203" s="764"/>
      <c r="N203" s="728"/>
      <c r="O203" s="764"/>
      <c r="P203" s="728"/>
      <c r="Q203" s="1142"/>
      <c r="R203" s="1133"/>
      <c r="S203" s="778"/>
      <c r="T203" s="767"/>
      <c r="U203" s="778"/>
      <c r="V203" s="751"/>
      <c r="W203" s="556"/>
      <c r="X203" s="785"/>
      <c r="Y203" s="542"/>
      <c r="Z203" s="500"/>
      <c r="AA203" s="500"/>
      <c r="AB203" s="500"/>
      <c r="AC203" s="500"/>
      <c r="AD203" s="529"/>
      <c r="AE203" s="527">
        <f t="shared" si="39"/>
        <v>0</v>
      </c>
      <c r="AF203" s="527">
        <f t="shared" ref="AF203:AF259" si="131">IF(OR($AD203="",$AK203=""),0,IF($AK203="Tons",$AD203,IF($AK203="Btu/hr",$AD203/12000,"")))</f>
        <v>0</v>
      </c>
      <c r="AG203" s="527">
        <f t="shared" si="111"/>
        <v>0</v>
      </c>
      <c r="AH203" s="527">
        <f t="shared" si="112"/>
        <v>0</v>
      </c>
      <c r="AI203" s="527">
        <f t="shared" si="113"/>
        <v>0</v>
      </c>
      <c r="AJ203" s="527">
        <f t="shared" si="114"/>
        <v>999999999</v>
      </c>
      <c r="AK203" s="530"/>
      <c r="AL203" s="776"/>
      <c r="AM203" s="777"/>
      <c r="AN203" s="500"/>
      <c r="AO203" s="778"/>
      <c r="AP203" s="778"/>
      <c r="AQ203" s="500"/>
      <c r="AR203" s="531"/>
      <c r="AS203" s="403"/>
      <c r="AT203" s="524" t="str">
        <f t="shared" si="115"/>
        <v/>
      </c>
      <c r="AU203" s="311">
        <f t="shared" si="116"/>
        <v>0</v>
      </c>
      <c r="AV203" s="288">
        <f t="shared" ref="AV203:AV259" si="132">IF($C203="Early Retirement",$BV203,IFERROR(IF(OR($Z203="",$AD203="",$AK203="",$AN203="",$AO203="",AND(OR($Z203="Air Cooled Chiller",$Z203="Water Cooled Chiller",$Z203="DX AC Air Cooled", $Z203="DX HP Air Cooled"),$AP203=""),$AQ203="",AND(OR($Z203="DX HP Air Cooled",$Z203="PTHP"),OR($AR203="",$AS203="")),$CJ203=0,$CU203=0),0,IF(OR($Z203="DX HP Air Cooled",$Z203="PTHP"),(($BY203*$CD203*$CJ203)-($CM203*$CO203*$CU203))+((($CF203*(1/$CG203)*$CK203)-($CQ203*(1/$CR203)*$CV203))*(1/3412)),($BY203*$CD203*$CJ203)-($CM203*$CO203*$CU203))),0))</f>
        <v>0</v>
      </c>
      <c r="AW203" s="290">
        <f>IF(ISERROR($AU203*'Utility Admin'!$E$4+$AV203*'Utility Admin'!$F$4),0,$AU203*'Utility Admin'!$E$4+$AV203*'Utility Admin'!$F$4)</f>
        <v>0</v>
      </c>
      <c r="AX203" s="323" t="str">
        <f t="shared" si="117"/>
        <v/>
      </c>
      <c r="AY203" s="322" t="str">
        <f t="shared" si="23"/>
        <v/>
      </c>
      <c r="AZ203" s="319">
        <f>Baselines!$CJ447</f>
        <v>0</v>
      </c>
      <c r="BA203" s="735">
        <f>Baselines!$CK447</f>
        <v>0</v>
      </c>
      <c r="BB203" s="839">
        <f>Baselines!$CM447</f>
        <v>0</v>
      </c>
      <c r="BC203" s="466">
        <f t="shared" si="118"/>
        <v>0</v>
      </c>
      <c r="BD203" s="464">
        <f t="shared" ref="BD203:BD259" si="133">IF(OR($D203="",$Z203="",$AD203="",$AK203="",$AN203="",AND($Z203&lt;&gt;"PTAC",$Z203&lt;&gt;"PTHP",$AP203=""),AND(OR($Z203="PTAC",$Z203="PTHP"),$AO203=""),$AQ203="",$AY203=""),0,IFERROR(IF(OR($CJ203=0,$CU203=0),0,($BY203*$BA203*$CJ203)-($CM203*$CO203*$CU203)),0))</f>
        <v>0</v>
      </c>
      <c r="BE203" s="755">
        <f t="shared" si="119"/>
        <v>0</v>
      </c>
      <c r="BF203" s="755">
        <f t="shared" ref="BF203:BF259" si="134">BD203+BE203</f>
        <v>0</v>
      </c>
      <c r="BG203" s="466">
        <f t="shared" si="120"/>
        <v>0</v>
      </c>
      <c r="BH203" s="464">
        <f t="shared" si="121"/>
        <v>0</v>
      </c>
      <c r="BI203" s="755">
        <f t="shared" si="122"/>
        <v>0</v>
      </c>
      <c r="BJ203" s="755">
        <f t="shared" ref="BJ203:BJ259" si="135">BH203+BI203</f>
        <v>0</v>
      </c>
      <c r="BK203" s="333">
        <f>IF(OR($C203&lt;&gt;"Early Retirement",$H203=""),0,IF(AND($G203&lt;&gt;"Air Cooled Chiller",$G203&lt;&gt;"Water Cooled Chiller"),VLOOKUP($H203,'Early Retirement'!$CI$6:$CL$33,2,FALSE),IF($J203&lt;&gt;"Centrifugal",VLOOKUP($H203,'Early Retirement'!$CI$6:$CL$33,3,FALSE),IF($J203="Centrifugal",VLOOKUP($H203,'Early Retirement'!$CI$6:$CL$33,4,FALSE),""))))</f>
        <v>0</v>
      </c>
      <c r="BL203" s="450">
        <f t="shared" si="123"/>
        <v>0</v>
      </c>
      <c r="BM203" s="553">
        <f>IFERROR('Utility Admin'!$I$4*((1+'Utility Admin'!$G$4)/('Utility Admin'!$H$4-'Utility Admin'!$G$4))*(1-((1+'Utility Admin'!$G$4)/(1+'Utility Admin'!$H$4))^$BK203)*$BG203,0)</f>
        <v>0</v>
      </c>
      <c r="BN203" s="553">
        <f>IFERROR('Utility Admin'!$I$4*((1+'Utility Admin'!$G$4)/('Utility Admin'!$H$4-'Utility Admin'!$G$4))*(1-((1+'Utility Admin'!$G$4)/(1+'Utility Admin'!$H$4))^$BL203)*((1+'Utility Admin'!$G$4)^$BK203/(1+'Utility Admin'!$H$4)^$BK203)*$BC203,0)</f>
        <v>0</v>
      </c>
      <c r="BO203" s="553">
        <f t="shared" si="27"/>
        <v>0</v>
      </c>
      <c r="BP203" s="553">
        <f>IFERROR('Utility Admin'!$J$4*((1+'Utility Admin'!$G$4)/('Utility Admin'!$H$4-'Utility Admin'!$G$4))*(1-((1+'Utility Admin'!$G$4)/(1+'Utility Admin'!$H$4))^$BK203)*$BJ203,0)</f>
        <v>0</v>
      </c>
      <c r="BQ203" s="553">
        <f>IFERROR('Utility Admin'!$J$4*((1+'Utility Admin'!$G$4)/('Utility Admin'!$H$4-'Utility Admin'!$G$4))*(1-((1+'Utility Admin'!$G$4)/(1+'Utility Admin'!$H$4))^$BL203)*((1+'Utility Admin'!$G$4)^$BK203/(1+'Utility Admin'!$H$4)^$BK203)*$BF203,0)</f>
        <v>0</v>
      </c>
      <c r="BR203" s="553">
        <f t="shared" si="28"/>
        <v>0</v>
      </c>
      <c r="BS203" s="553">
        <f>IFERROR('Utility Admin'!$I$4*((1+'Utility Admin'!$G$4)/('Utility Admin'!$H$4-'Utility Admin'!$G$4))*(1-((1+'Utility Admin'!$G$4)/(1+'Utility Admin'!$H$4))^$AT203),0)</f>
        <v>0</v>
      </c>
      <c r="BT203" s="553">
        <f>IFERROR('Utility Admin'!$J$4*((1+'Utility Admin'!$G$4)/('Utility Admin'!$H$4-'Utility Admin'!$G$4))*(1-((1+'Utility Admin'!$G$4)/(1+'Utility Admin'!$H$4))^$AT203),0)</f>
        <v>0</v>
      </c>
      <c r="BU203" s="459">
        <f t="shared" ref="BU203:BU259" si="136">IF(OR($C203&lt;&gt;"Early Retirement",$AO203="",AND($Z203&lt;&gt;"PTAC",$Z203&lt;&gt;"PTHP",$AP203=""),$AQ203=""),0,IFERROR($BO203/$BS203,0))</f>
        <v>0</v>
      </c>
      <c r="BV203" s="462">
        <f t="shared" ref="BV203:BV259" si="137">IF(OR($C203&lt;&gt;"Early Retirement",$AO203="",AND($Z203&lt;&gt;"PTAC",$Z203&lt;&gt;"PTHP",$AP203=""),$AQ203=""),0,IFERROR($BR203/$BT203,0))</f>
        <v>0</v>
      </c>
      <c r="BW203" s="219" t="str">
        <f t="shared" si="124"/>
        <v/>
      </c>
      <c r="BX203" s="250" t="str">
        <f t="shared" ref="BX203:BX259" si="138">IF(OR($M203="",$N203="",$Q203=""),"",IF($N203="Btu/hr",($M203/12000)*$Q203,IF($N203="Tons",$M203*$Q203,"")))</f>
        <v/>
      </c>
      <c r="BY203" s="250" t="str">
        <f t="shared" si="125"/>
        <v/>
      </c>
      <c r="BZ203" s="184">
        <f t="shared" ref="BZ203:BZ259" si="139">IF($T203="EER",12/$R203,IF($T203="kW/ton",$R203,0))</f>
        <v>0</v>
      </c>
      <c r="CA203" s="693">
        <f t="shared" ref="CA203:CA259" si="140">IF(AND(OR($G203="PTAC",$G203="PTHP",$G203="Room AC",$G203="Room HP"),$T203="EER"),12/$R203,IF(AND(OR($G203="PTAC",$G203="PTHP",$G203="Room AC",$G203="Room HP"),$T203="kW/ton"),$R203,IF($T203="EER",12/$S203,IF($T203="kW/ton",$S203,0))))</f>
        <v>0</v>
      </c>
      <c r="CB203" s="836">
        <f t="shared" ref="CB203:CB259" si="141">IF($V203="HSPF",$U203/3.214,IF($V203="COP",$U203,0))</f>
        <v>0</v>
      </c>
      <c r="CC203" s="693">
        <f>IF(AND($C203="Early Retirement",$H203&lt;&gt;"",$R203&lt;&gt;"",$T203&lt;&gt;""),$BZ203,Baselines!$CJ196)</f>
        <v>0</v>
      </c>
      <c r="CD203" s="693">
        <f>IF(AND($C203="Early Retirement",$H203&lt;&gt;"",$R203&lt;&gt;"",$T203&lt;&gt;""),$CA203,Baselines!$CK196)</f>
        <v>0</v>
      </c>
      <c r="CE203" s="182" t="str">
        <f>Baselines!$CL196</f>
        <v>kW/ton</v>
      </c>
      <c r="CF203" s="850" t="str">
        <f t="shared" si="126"/>
        <v/>
      </c>
      <c r="CG203" s="833">
        <f>IF(AND($C203="Early Retirement",$H203&lt;&gt;"",$R203&lt;&gt;"",$T203&lt;&gt;""),$CB203,IF(AND(Baselines!$CM196=0,OR($CL203="DX HP",$CL203="PTHP")),$BB203,Baselines!$CM196))</f>
        <v>0</v>
      </c>
      <c r="CH203" s="830" t="s">
        <v>567</v>
      </c>
      <c r="CI203" s="185" t="str">
        <f>IF(OR($C203="Replace-on-Burnout",$C203="New Construction"),$CT203,IF($BW203="","",VLOOKUP($D203,'Factor Tables'!$B$165:$H$192,MATCH($BW203,'Factor Tables'!$B$164:$H$164,0),FALSE)))</f>
        <v/>
      </c>
      <c r="CJ203" s="842" t="str">
        <f>IF(OR($C203="Replace-on-Burnout",$C203="New Construction"),$CU203,IF($BW203="","",IF($BW203="DX HP",VLOOKUP($D203,'Factor Tables'!$I$165:$Q$192,MATCH("DX HP Clg",'Factor Tables'!$I$164:$Q$164,0),FALSE),IF($BW203="PTHP",VLOOKUP($D203,'Factor Tables'!$I$165:$Q$192,MATCH("PTHP Clg",'Factor Tables'!$I$164:$Q$164,0),FALSE),IF(AND($BW203&lt;&gt;"DX HP",$BW203&lt;&gt;"PTHP"),VLOOKUP($D203,'Factor Tables'!$I$165:$Q$192,MATCH($BW203,'Factor Tables'!$I$164:$Q$164,0),FALSE),"")))))</f>
        <v/>
      </c>
      <c r="CK203" s="186" t="str">
        <f>IF(OR($C203="Replace-on-Burnout",$C203="New Construction",$CL203="DX HP",$CL203="PTHP"),$CV203,IF($BW203="","",IF($BW203="DX HP",VLOOKUP($D203,'Factor Tables'!$I$165:$Q$192,MATCH("DX HP Htg",'Factor Tables'!$I$164:$Q$164,0),FALSE),IF($BW203="PTHP",VLOOKUP($D203,'Factor Tables'!$I$165:$Q$192,MATCH("PTHP Htg",'Factor Tables'!$I$164:$Q$164,0),FALSE),0))))</f>
        <v/>
      </c>
      <c r="CL203" s="187" t="str">
        <f t="shared" si="127"/>
        <v/>
      </c>
      <c r="CM203" s="251" t="str">
        <f t="shared" si="128"/>
        <v/>
      </c>
      <c r="CN203" s="184">
        <f t="shared" ref="CN203:CN259" si="142">IF($AQ203="EER",12/$AO203,IF($AQ203="kW/ton",$AO203,0))</f>
        <v>0</v>
      </c>
      <c r="CO203" s="693">
        <f t="shared" ref="CO203:CO259" si="143">IF(AND(OR($Z203="PTAC",$Z203="PTHP",$Z203="Room AC",$Z203="Room HP"),$AQ203="EER"),12/$AO203,IF(AND(OR($Z203="PTAC",$Z203="PTHP",$Z203="Room AC",$Z203="Room HP"),$AQ203="kW/ton"),$AO203,IF($AQ203="EER",12/$AP203,IF($AQ203="kW/ton",$AP203,0))))</f>
        <v>0</v>
      </c>
      <c r="CP203" s="182" t="s">
        <v>46</v>
      </c>
      <c r="CQ203" s="852" t="str">
        <f t="shared" ref="CQ203:CQ258" si="144">IF(OR($AL203="",$AM203="",$AN203=""),"",IF($AM203="Tons",($AL203*12000)*$AN203,IF($AM203="Btu/hr",$AL203*$AN203,"")))</f>
        <v/>
      </c>
      <c r="CR203" s="833">
        <f t="shared" ref="CR203:CR259" si="145">IF($AS203="HSPF",$AR203/3.412,IF($AS203="COP",$AR203,0))</f>
        <v>0</v>
      </c>
      <c r="CS203" s="830" t="s">
        <v>567</v>
      </c>
      <c r="CT203" s="185" t="str">
        <f>IF($CL203="","",VLOOKUP($D203,'Factor Tables'!$B$165:$H$192,MATCH($CL203,'Factor Tables'!$B$164:$H$164,0),FALSE))</f>
        <v/>
      </c>
      <c r="CU203" s="842" t="str">
        <f>IF($CL203="","",IF(AND($CL203&lt;&gt;"DX HP",$CL203&lt;&gt;"PTHP"),VLOOKUP($D203,'Factor Tables'!$I$165:$Q$192,MATCH($CL203,'Factor Tables'!$I$164:$Q$164,0),FALSE),IF($CL203="DX HP",VLOOKUP($D203,'Factor Tables'!$I$165:$Q$192,MATCH("DX HP Clg",'Factor Tables'!$I$164:$Q$164,0),FALSE),IF($CL203="PTHP",VLOOKUP($D203,'Factor Tables'!$I$165:$Q$192,MATCH("PTHP Clg",'Factor Tables'!$I$164:$Q$164,0),FALSE),""))))</f>
        <v/>
      </c>
      <c r="CV203" s="186" t="str">
        <f>IF($CL203="","",IF(AND($CL203&lt;&gt;"DX HP",$CL203&lt;&gt;"PTHP"),0,IF($CL203="DX HP",VLOOKUP($D203,'Factor Tables'!$I$165:$Q$192,MATCH("DX HP Htg",'Factor Tables'!$I$164:$Q$164,0),FALSE),IF($CL203="PTHP",VLOOKUP($D203,'Factor Tables'!$I$165:$Q$192,MATCH("PTHP Htg",'Factor Tables'!$I$164:$Q$164,0),FALSE),""))))</f>
        <v/>
      </c>
      <c r="DD203" s="196" t="str">
        <f>IF(OR('Project Info'!$D$8="",$C43="",$D43=""),"",IF('Project Info'!$D$8="Weather Zone 5: El Paso",VLOOKUP($D43,$DI$9:$DL$37,MATCH($C43,$DI$9:$DL$9,0),FALSE),VLOOKUP($D43,$DE$9:$DH$37,MATCH($C43,$DE$9:$DH$9,0),FALSE)))</f>
        <v/>
      </c>
      <c r="DE203" s="426"/>
      <c r="DI203" s="425"/>
      <c r="DJ203" s="425"/>
      <c r="DK203" s="425"/>
      <c r="DL203" s="425"/>
      <c r="DM203" s="493" t="s">
        <v>478</v>
      </c>
    </row>
    <row r="204" spans="2:117" s="427" customFormat="1" ht="21.95" customHeight="1" x14ac:dyDescent="0.25">
      <c r="B204" s="431">
        <v>195</v>
      </c>
      <c r="C204" s="501" t="str">
        <f t="shared" si="129"/>
        <v/>
      </c>
      <c r="D204" s="502" t="str">
        <f t="shared" si="130"/>
        <v/>
      </c>
      <c r="E204" s="546"/>
      <c r="F204" s="547"/>
      <c r="G204" s="729"/>
      <c r="H204" s="729"/>
      <c r="I204" s="729"/>
      <c r="J204" s="729"/>
      <c r="K204" s="729"/>
      <c r="L204" s="729"/>
      <c r="M204" s="765"/>
      <c r="N204" s="758"/>
      <c r="O204" s="765"/>
      <c r="P204" s="758"/>
      <c r="Q204" s="1143"/>
      <c r="R204" s="1134"/>
      <c r="S204" s="775"/>
      <c r="T204" s="729"/>
      <c r="U204" s="775"/>
      <c r="V204" s="779"/>
      <c r="W204" s="557"/>
      <c r="X204" s="788"/>
      <c r="Y204" s="543"/>
      <c r="Z204" s="281"/>
      <c r="AA204" s="281"/>
      <c r="AB204" s="281"/>
      <c r="AC204" s="281"/>
      <c r="AD204" s="492"/>
      <c r="AE204" s="527">
        <f t="shared" si="39"/>
        <v>0</v>
      </c>
      <c r="AF204" s="527">
        <f t="shared" si="131"/>
        <v>0</v>
      </c>
      <c r="AG204" s="527">
        <f t="shared" si="111"/>
        <v>0</v>
      </c>
      <c r="AH204" s="527">
        <f t="shared" si="112"/>
        <v>0</v>
      </c>
      <c r="AI204" s="527">
        <f t="shared" si="113"/>
        <v>0</v>
      </c>
      <c r="AJ204" s="527">
        <f t="shared" si="114"/>
        <v>999999999</v>
      </c>
      <c r="AK204" s="471"/>
      <c r="AL204" s="765"/>
      <c r="AM204" s="758"/>
      <c r="AN204" s="281"/>
      <c r="AO204" s="775"/>
      <c r="AP204" s="775"/>
      <c r="AQ204" s="281"/>
      <c r="AR204" s="528"/>
      <c r="AS204" s="532"/>
      <c r="AT204" s="524" t="str">
        <f t="shared" si="115"/>
        <v/>
      </c>
      <c r="AU204" s="311">
        <f t="shared" si="116"/>
        <v>0</v>
      </c>
      <c r="AV204" s="288">
        <f t="shared" si="132"/>
        <v>0</v>
      </c>
      <c r="AW204" s="290">
        <f>IF(ISERROR($AU204*'Utility Admin'!$E$4+$AV204*'Utility Admin'!$F$4),0,$AU204*'Utility Admin'!$E$4+$AV204*'Utility Admin'!$F$4)</f>
        <v>0</v>
      </c>
      <c r="AX204" s="323" t="str">
        <f t="shared" si="117"/>
        <v/>
      </c>
      <c r="AY204" s="322" t="str">
        <f t="shared" si="23"/>
        <v/>
      </c>
      <c r="AZ204" s="319">
        <f>Baselines!$CJ448</f>
        <v>0</v>
      </c>
      <c r="BA204" s="735">
        <f>Baselines!$CK448</f>
        <v>0</v>
      </c>
      <c r="BB204" s="839">
        <f>Baselines!$CM448</f>
        <v>0</v>
      </c>
      <c r="BC204" s="466">
        <f t="shared" si="118"/>
        <v>0</v>
      </c>
      <c r="BD204" s="464">
        <f t="shared" si="133"/>
        <v>0</v>
      </c>
      <c r="BE204" s="755">
        <f t="shared" si="119"/>
        <v>0</v>
      </c>
      <c r="BF204" s="755">
        <f t="shared" si="134"/>
        <v>0</v>
      </c>
      <c r="BG204" s="466">
        <f t="shared" si="120"/>
        <v>0</v>
      </c>
      <c r="BH204" s="464">
        <f t="shared" si="121"/>
        <v>0</v>
      </c>
      <c r="BI204" s="755">
        <f t="shared" si="122"/>
        <v>0</v>
      </c>
      <c r="BJ204" s="755">
        <f t="shared" si="135"/>
        <v>0</v>
      </c>
      <c r="BK204" s="333">
        <f>IF(OR($C204&lt;&gt;"Early Retirement",$H204=""),0,IF(AND($G204&lt;&gt;"Air Cooled Chiller",$G204&lt;&gt;"Water Cooled Chiller"),VLOOKUP($H204,'Early Retirement'!$CI$6:$CL$33,2,FALSE),IF($J204&lt;&gt;"Centrifugal",VLOOKUP($H204,'Early Retirement'!$CI$6:$CL$33,3,FALSE),IF($J204="Centrifugal",VLOOKUP($H204,'Early Retirement'!$CI$6:$CL$33,4,FALSE),""))))</f>
        <v>0</v>
      </c>
      <c r="BL204" s="450">
        <f t="shared" si="123"/>
        <v>0</v>
      </c>
      <c r="BM204" s="553">
        <f>IFERROR('Utility Admin'!$I$4*((1+'Utility Admin'!$G$4)/('Utility Admin'!$H$4-'Utility Admin'!$G$4))*(1-((1+'Utility Admin'!$G$4)/(1+'Utility Admin'!$H$4))^$BK204)*$BG204,0)</f>
        <v>0</v>
      </c>
      <c r="BN204" s="553">
        <f>IFERROR('Utility Admin'!$I$4*((1+'Utility Admin'!$G$4)/('Utility Admin'!$H$4-'Utility Admin'!$G$4))*(1-((1+'Utility Admin'!$G$4)/(1+'Utility Admin'!$H$4))^$BL204)*((1+'Utility Admin'!$G$4)^$BK204/(1+'Utility Admin'!$H$4)^$BK204)*$BC204,0)</f>
        <v>0</v>
      </c>
      <c r="BO204" s="553">
        <f t="shared" si="27"/>
        <v>0</v>
      </c>
      <c r="BP204" s="553">
        <f>IFERROR('Utility Admin'!$J$4*((1+'Utility Admin'!$G$4)/('Utility Admin'!$H$4-'Utility Admin'!$G$4))*(1-((1+'Utility Admin'!$G$4)/(1+'Utility Admin'!$H$4))^$BK204)*$BJ204,0)</f>
        <v>0</v>
      </c>
      <c r="BQ204" s="553">
        <f>IFERROR('Utility Admin'!$J$4*((1+'Utility Admin'!$G$4)/('Utility Admin'!$H$4-'Utility Admin'!$G$4))*(1-((1+'Utility Admin'!$G$4)/(1+'Utility Admin'!$H$4))^$BL204)*((1+'Utility Admin'!$G$4)^$BK204/(1+'Utility Admin'!$H$4)^$BK204)*$BF204,0)</f>
        <v>0</v>
      </c>
      <c r="BR204" s="553">
        <f t="shared" si="28"/>
        <v>0</v>
      </c>
      <c r="BS204" s="553">
        <f>IFERROR('Utility Admin'!$I$4*((1+'Utility Admin'!$G$4)/('Utility Admin'!$H$4-'Utility Admin'!$G$4))*(1-((1+'Utility Admin'!$G$4)/(1+'Utility Admin'!$H$4))^$AT204),0)</f>
        <v>0</v>
      </c>
      <c r="BT204" s="553">
        <f>IFERROR('Utility Admin'!$J$4*((1+'Utility Admin'!$G$4)/('Utility Admin'!$H$4-'Utility Admin'!$G$4))*(1-((1+'Utility Admin'!$G$4)/(1+'Utility Admin'!$H$4))^$AT204),0)</f>
        <v>0</v>
      </c>
      <c r="BU204" s="459">
        <f t="shared" si="136"/>
        <v>0</v>
      </c>
      <c r="BV204" s="462">
        <f t="shared" si="137"/>
        <v>0</v>
      </c>
      <c r="BW204" s="219" t="str">
        <f t="shared" si="124"/>
        <v/>
      </c>
      <c r="BX204" s="250" t="str">
        <f t="shared" si="138"/>
        <v/>
      </c>
      <c r="BY204" s="250" t="str">
        <f t="shared" si="125"/>
        <v/>
      </c>
      <c r="BZ204" s="184">
        <f t="shared" si="139"/>
        <v>0</v>
      </c>
      <c r="CA204" s="693">
        <f t="shared" si="140"/>
        <v>0</v>
      </c>
      <c r="CB204" s="836">
        <f t="shared" si="141"/>
        <v>0</v>
      </c>
      <c r="CC204" s="693">
        <f>IF(AND($C204="Early Retirement",$H204&lt;&gt;"",$R204&lt;&gt;"",$T204&lt;&gt;""),$BZ204,Baselines!$CJ197)</f>
        <v>0</v>
      </c>
      <c r="CD204" s="693">
        <f>IF(AND($C204="Early Retirement",$H204&lt;&gt;"",$R204&lt;&gt;"",$T204&lt;&gt;""),$CA204,Baselines!$CK197)</f>
        <v>0</v>
      </c>
      <c r="CE204" s="182" t="str">
        <f>Baselines!$CL197</f>
        <v>kW/ton</v>
      </c>
      <c r="CF204" s="850" t="str">
        <f t="shared" si="126"/>
        <v/>
      </c>
      <c r="CG204" s="833">
        <f>IF(AND($C204="Early Retirement",$H204&lt;&gt;"",$R204&lt;&gt;"",$T204&lt;&gt;""),$CB204,IF(AND(Baselines!$CM197=0,OR($CL204="DX HP",$CL204="PTHP")),$BB204,Baselines!$CM197))</f>
        <v>0</v>
      </c>
      <c r="CH204" s="830" t="s">
        <v>567</v>
      </c>
      <c r="CI204" s="185" t="str">
        <f>IF(OR($C204="Replace-on-Burnout",$C204="New Construction"),$CT204,IF($BW204="","",VLOOKUP($D204,'Factor Tables'!$B$165:$H$192,MATCH($BW204,'Factor Tables'!$B$164:$H$164,0),FALSE)))</f>
        <v/>
      </c>
      <c r="CJ204" s="842" t="str">
        <f>IF(OR($C204="Replace-on-Burnout",$C204="New Construction"),$CU204,IF($BW204="","",IF($BW204="DX HP",VLOOKUP($D204,'Factor Tables'!$I$165:$Q$192,MATCH("DX HP Clg",'Factor Tables'!$I$164:$Q$164,0),FALSE),IF($BW204="PTHP",VLOOKUP($D204,'Factor Tables'!$I$165:$Q$192,MATCH("PTHP Clg",'Factor Tables'!$I$164:$Q$164,0),FALSE),IF(AND($BW204&lt;&gt;"DX HP",$BW204&lt;&gt;"PTHP"),VLOOKUP($D204,'Factor Tables'!$I$165:$Q$192,MATCH($BW204,'Factor Tables'!$I$164:$Q$164,0),FALSE),"")))))</f>
        <v/>
      </c>
      <c r="CK204" s="186" t="str">
        <f>IF(OR($C204="Replace-on-Burnout",$C204="New Construction",$CL204="DX HP",$CL204="PTHP"),$CV204,IF($BW204="","",IF($BW204="DX HP",VLOOKUP($D204,'Factor Tables'!$I$165:$Q$192,MATCH("DX HP Htg",'Factor Tables'!$I$164:$Q$164,0),FALSE),IF($BW204="PTHP",VLOOKUP($D204,'Factor Tables'!$I$165:$Q$192,MATCH("PTHP Htg",'Factor Tables'!$I$164:$Q$164,0),FALSE),0))))</f>
        <v/>
      </c>
      <c r="CL204" s="187" t="str">
        <f t="shared" si="127"/>
        <v/>
      </c>
      <c r="CM204" s="251" t="str">
        <f t="shared" si="128"/>
        <v/>
      </c>
      <c r="CN204" s="184">
        <f t="shared" si="142"/>
        <v>0</v>
      </c>
      <c r="CO204" s="693">
        <f t="shared" si="143"/>
        <v>0</v>
      </c>
      <c r="CP204" s="182" t="s">
        <v>46</v>
      </c>
      <c r="CQ204" s="852" t="str">
        <f t="shared" si="144"/>
        <v/>
      </c>
      <c r="CR204" s="833">
        <f t="shared" si="145"/>
        <v>0</v>
      </c>
      <c r="CS204" s="830" t="s">
        <v>567</v>
      </c>
      <c r="CT204" s="185" t="str">
        <f>IF($CL204="","",VLOOKUP($D204,'Factor Tables'!$B$165:$H$192,MATCH($CL204,'Factor Tables'!$B$164:$H$164,0),FALSE))</f>
        <v/>
      </c>
      <c r="CU204" s="842" t="str">
        <f>IF($CL204="","",IF(AND($CL204&lt;&gt;"DX HP",$CL204&lt;&gt;"PTHP"),VLOOKUP($D204,'Factor Tables'!$I$165:$Q$192,MATCH($CL204,'Factor Tables'!$I$164:$Q$164,0),FALSE),IF($CL204="DX HP",VLOOKUP($D204,'Factor Tables'!$I$165:$Q$192,MATCH("DX HP Clg",'Factor Tables'!$I$164:$Q$164,0),FALSE),IF($CL204="PTHP",VLOOKUP($D204,'Factor Tables'!$I$165:$Q$192,MATCH("PTHP Clg",'Factor Tables'!$I$164:$Q$164,0),FALSE),""))))</f>
        <v/>
      </c>
      <c r="CV204" s="186" t="str">
        <f>IF($CL204="","",IF(AND($CL204&lt;&gt;"DX HP",$CL204&lt;&gt;"PTHP"),0,IF($CL204="DX HP",VLOOKUP($D204,'Factor Tables'!$I$165:$Q$192,MATCH("DX HP Htg",'Factor Tables'!$I$164:$Q$164,0),FALSE),IF($CL204="PTHP",VLOOKUP($D204,'Factor Tables'!$I$165:$Q$192,MATCH("PTHP Htg",'Factor Tables'!$I$164:$Q$164,0),FALSE),""))))</f>
        <v/>
      </c>
      <c r="DD204" s="196" t="str">
        <f>IF(OR('Project Info'!$D$8="",$C44="",$D44=""),"",IF('Project Info'!$D$8="Weather Zone 5: El Paso",VLOOKUP($D44,$DI$9:$DL$37,MATCH($C44,$DI$9:$DL$9,0),FALSE),VLOOKUP($D44,$DE$9:$DH$37,MATCH($C44,$DE$9:$DH$9,0),FALSE)))</f>
        <v/>
      </c>
      <c r="DE204" s="426"/>
      <c r="DI204" s="425"/>
      <c r="DJ204" s="425"/>
      <c r="DK204" s="425"/>
      <c r="DL204" s="425"/>
      <c r="DM204" s="493" t="s">
        <v>478</v>
      </c>
    </row>
    <row r="205" spans="2:117" s="427" customFormat="1" ht="21.95" customHeight="1" x14ac:dyDescent="0.25">
      <c r="B205" s="432">
        <v>196</v>
      </c>
      <c r="C205" s="499" t="str">
        <f t="shared" si="129"/>
        <v/>
      </c>
      <c r="D205" s="403" t="str">
        <f t="shared" si="130"/>
        <v/>
      </c>
      <c r="E205" s="541"/>
      <c r="F205" s="785"/>
      <c r="G205" s="728"/>
      <c r="H205" s="728"/>
      <c r="I205" s="728"/>
      <c r="J205" s="728"/>
      <c r="K205" s="728"/>
      <c r="L205" s="728"/>
      <c r="M205" s="764"/>
      <c r="N205" s="728"/>
      <c r="O205" s="764"/>
      <c r="P205" s="728"/>
      <c r="Q205" s="1142"/>
      <c r="R205" s="1133"/>
      <c r="S205" s="778"/>
      <c r="T205" s="767"/>
      <c r="U205" s="778"/>
      <c r="V205" s="751"/>
      <c r="W205" s="556"/>
      <c r="X205" s="785"/>
      <c r="Y205" s="542"/>
      <c r="Z205" s="500"/>
      <c r="AA205" s="500"/>
      <c r="AB205" s="500"/>
      <c r="AC205" s="500"/>
      <c r="AD205" s="529"/>
      <c r="AE205" s="527">
        <f t="shared" si="39"/>
        <v>0</v>
      </c>
      <c r="AF205" s="527">
        <f t="shared" si="131"/>
        <v>0</v>
      </c>
      <c r="AG205" s="527">
        <f t="shared" si="111"/>
        <v>0</v>
      </c>
      <c r="AH205" s="527">
        <f t="shared" si="112"/>
        <v>0</v>
      </c>
      <c r="AI205" s="527">
        <f t="shared" si="113"/>
        <v>0</v>
      </c>
      <c r="AJ205" s="527">
        <f t="shared" si="114"/>
        <v>999999999</v>
      </c>
      <c r="AK205" s="530"/>
      <c r="AL205" s="776"/>
      <c r="AM205" s="777"/>
      <c r="AN205" s="500"/>
      <c r="AO205" s="778"/>
      <c r="AP205" s="778"/>
      <c r="AQ205" s="500"/>
      <c r="AR205" s="531"/>
      <c r="AS205" s="403"/>
      <c r="AT205" s="524" t="str">
        <f t="shared" si="115"/>
        <v/>
      </c>
      <c r="AU205" s="311">
        <f t="shared" si="116"/>
        <v>0</v>
      </c>
      <c r="AV205" s="288">
        <f t="shared" si="132"/>
        <v>0</v>
      </c>
      <c r="AW205" s="290">
        <f>IF(ISERROR($AU205*'Utility Admin'!$E$4+$AV205*'Utility Admin'!$F$4),0,$AU205*'Utility Admin'!$E$4+$AV205*'Utility Admin'!$F$4)</f>
        <v>0</v>
      </c>
      <c r="AX205" s="323" t="str">
        <f t="shared" si="117"/>
        <v/>
      </c>
      <c r="AY205" s="322" t="str">
        <f t="shared" si="23"/>
        <v/>
      </c>
      <c r="AZ205" s="319">
        <f>Baselines!$CJ449</f>
        <v>0</v>
      </c>
      <c r="BA205" s="735">
        <f>Baselines!$CK449</f>
        <v>0</v>
      </c>
      <c r="BB205" s="839">
        <f>Baselines!$CM449</f>
        <v>0</v>
      </c>
      <c r="BC205" s="466">
        <f t="shared" si="118"/>
        <v>0</v>
      </c>
      <c r="BD205" s="464">
        <f t="shared" si="133"/>
        <v>0</v>
      </c>
      <c r="BE205" s="755">
        <f t="shared" si="119"/>
        <v>0</v>
      </c>
      <c r="BF205" s="755">
        <f t="shared" si="134"/>
        <v>0</v>
      </c>
      <c r="BG205" s="466">
        <f t="shared" si="120"/>
        <v>0</v>
      </c>
      <c r="BH205" s="464">
        <f t="shared" si="121"/>
        <v>0</v>
      </c>
      <c r="BI205" s="755">
        <f t="shared" si="122"/>
        <v>0</v>
      </c>
      <c r="BJ205" s="755">
        <f t="shared" si="135"/>
        <v>0</v>
      </c>
      <c r="BK205" s="333">
        <f>IF(OR($C205&lt;&gt;"Early Retirement",$H205=""),0,IF(AND($G205&lt;&gt;"Air Cooled Chiller",$G205&lt;&gt;"Water Cooled Chiller"),VLOOKUP($H205,'Early Retirement'!$CI$6:$CL$33,2,FALSE),IF($J205&lt;&gt;"Centrifugal",VLOOKUP($H205,'Early Retirement'!$CI$6:$CL$33,3,FALSE),IF($J205="Centrifugal",VLOOKUP($H205,'Early Retirement'!$CI$6:$CL$33,4,FALSE),""))))</f>
        <v>0</v>
      </c>
      <c r="BL205" s="450">
        <f t="shared" si="123"/>
        <v>0</v>
      </c>
      <c r="BM205" s="553">
        <f>IFERROR('Utility Admin'!$I$4*((1+'Utility Admin'!$G$4)/('Utility Admin'!$H$4-'Utility Admin'!$G$4))*(1-((1+'Utility Admin'!$G$4)/(1+'Utility Admin'!$H$4))^$BK205)*$BG205,0)</f>
        <v>0</v>
      </c>
      <c r="BN205" s="553">
        <f>IFERROR('Utility Admin'!$I$4*((1+'Utility Admin'!$G$4)/('Utility Admin'!$H$4-'Utility Admin'!$G$4))*(1-((1+'Utility Admin'!$G$4)/(1+'Utility Admin'!$H$4))^$BL205)*((1+'Utility Admin'!$G$4)^$BK205/(1+'Utility Admin'!$H$4)^$BK205)*$BC205,0)</f>
        <v>0</v>
      </c>
      <c r="BO205" s="553">
        <f t="shared" si="27"/>
        <v>0</v>
      </c>
      <c r="BP205" s="553">
        <f>IFERROR('Utility Admin'!$J$4*((1+'Utility Admin'!$G$4)/('Utility Admin'!$H$4-'Utility Admin'!$G$4))*(1-((1+'Utility Admin'!$G$4)/(1+'Utility Admin'!$H$4))^$BK205)*$BJ205,0)</f>
        <v>0</v>
      </c>
      <c r="BQ205" s="553">
        <f>IFERROR('Utility Admin'!$J$4*((1+'Utility Admin'!$G$4)/('Utility Admin'!$H$4-'Utility Admin'!$G$4))*(1-((1+'Utility Admin'!$G$4)/(1+'Utility Admin'!$H$4))^$BL205)*((1+'Utility Admin'!$G$4)^$BK205/(1+'Utility Admin'!$H$4)^$BK205)*$BF205,0)</f>
        <v>0</v>
      </c>
      <c r="BR205" s="553">
        <f t="shared" si="28"/>
        <v>0</v>
      </c>
      <c r="BS205" s="553">
        <f>IFERROR('Utility Admin'!$I$4*((1+'Utility Admin'!$G$4)/('Utility Admin'!$H$4-'Utility Admin'!$G$4))*(1-((1+'Utility Admin'!$G$4)/(1+'Utility Admin'!$H$4))^$AT205),0)</f>
        <v>0</v>
      </c>
      <c r="BT205" s="553">
        <f>IFERROR('Utility Admin'!$J$4*((1+'Utility Admin'!$G$4)/('Utility Admin'!$H$4-'Utility Admin'!$G$4))*(1-((1+'Utility Admin'!$G$4)/(1+'Utility Admin'!$H$4))^$AT205),0)</f>
        <v>0</v>
      </c>
      <c r="BU205" s="459">
        <f t="shared" si="136"/>
        <v>0</v>
      </c>
      <c r="BV205" s="462">
        <f t="shared" si="137"/>
        <v>0</v>
      </c>
      <c r="BW205" s="219" t="str">
        <f t="shared" si="124"/>
        <v/>
      </c>
      <c r="BX205" s="250" t="str">
        <f t="shared" si="138"/>
        <v/>
      </c>
      <c r="BY205" s="250" t="str">
        <f t="shared" si="125"/>
        <v/>
      </c>
      <c r="BZ205" s="184">
        <f t="shared" si="139"/>
        <v>0</v>
      </c>
      <c r="CA205" s="693">
        <f t="shared" si="140"/>
        <v>0</v>
      </c>
      <c r="CB205" s="836">
        <f t="shared" si="141"/>
        <v>0</v>
      </c>
      <c r="CC205" s="693">
        <f>IF(AND($C205="Early Retirement",$H205&lt;&gt;"",$R205&lt;&gt;"",$T205&lt;&gt;""),$BZ205,Baselines!$CJ198)</f>
        <v>0</v>
      </c>
      <c r="CD205" s="693">
        <f>IF(AND($C205="Early Retirement",$H205&lt;&gt;"",$R205&lt;&gt;"",$T205&lt;&gt;""),$CA205,Baselines!$CK198)</f>
        <v>0</v>
      </c>
      <c r="CE205" s="182" t="str">
        <f>Baselines!$CL198</f>
        <v>kW/ton</v>
      </c>
      <c r="CF205" s="850" t="str">
        <f t="shared" si="126"/>
        <v/>
      </c>
      <c r="CG205" s="833">
        <f>IF(AND($C205="Early Retirement",$H205&lt;&gt;"",$R205&lt;&gt;"",$T205&lt;&gt;""),$CB205,IF(AND(Baselines!$CM198=0,OR($CL205="DX HP",$CL205="PTHP")),$BB205,Baselines!$CM198))</f>
        <v>0</v>
      </c>
      <c r="CH205" s="830" t="s">
        <v>567</v>
      </c>
      <c r="CI205" s="185" t="str">
        <f>IF(OR($C205="Replace-on-Burnout",$C205="New Construction"),$CT205,IF($BW205="","",VLOOKUP($D205,'Factor Tables'!$B$165:$H$192,MATCH($BW205,'Factor Tables'!$B$164:$H$164,0),FALSE)))</f>
        <v/>
      </c>
      <c r="CJ205" s="842" t="str">
        <f>IF(OR($C205="Replace-on-Burnout",$C205="New Construction"),$CU205,IF($BW205="","",IF($BW205="DX HP",VLOOKUP($D205,'Factor Tables'!$I$165:$Q$192,MATCH("DX HP Clg",'Factor Tables'!$I$164:$Q$164,0),FALSE),IF($BW205="PTHP",VLOOKUP($D205,'Factor Tables'!$I$165:$Q$192,MATCH("PTHP Clg",'Factor Tables'!$I$164:$Q$164,0),FALSE),IF(AND($BW205&lt;&gt;"DX HP",$BW205&lt;&gt;"PTHP"),VLOOKUP($D205,'Factor Tables'!$I$165:$Q$192,MATCH($BW205,'Factor Tables'!$I$164:$Q$164,0),FALSE),"")))))</f>
        <v/>
      </c>
      <c r="CK205" s="186" t="str">
        <f>IF(OR($C205="Replace-on-Burnout",$C205="New Construction",$CL205="DX HP",$CL205="PTHP"),$CV205,IF($BW205="","",IF($BW205="DX HP",VLOOKUP($D205,'Factor Tables'!$I$165:$Q$192,MATCH("DX HP Htg",'Factor Tables'!$I$164:$Q$164,0),FALSE),IF($BW205="PTHP",VLOOKUP($D205,'Factor Tables'!$I$165:$Q$192,MATCH("PTHP Htg",'Factor Tables'!$I$164:$Q$164,0),FALSE),0))))</f>
        <v/>
      </c>
      <c r="CL205" s="187" t="str">
        <f t="shared" si="127"/>
        <v/>
      </c>
      <c r="CM205" s="251" t="str">
        <f t="shared" si="128"/>
        <v/>
      </c>
      <c r="CN205" s="184">
        <f t="shared" si="142"/>
        <v>0</v>
      </c>
      <c r="CO205" s="693">
        <f t="shared" si="143"/>
        <v>0</v>
      </c>
      <c r="CP205" s="182" t="s">
        <v>46</v>
      </c>
      <c r="CQ205" s="852" t="str">
        <f t="shared" si="144"/>
        <v/>
      </c>
      <c r="CR205" s="833">
        <f t="shared" si="145"/>
        <v>0</v>
      </c>
      <c r="CS205" s="830" t="s">
        <v>567</v>
      </c>
      <c r="CT205" s="185" t="str">
        <f>IF($CL205="","",VLOOKUP($D205,'Factor Tables'!$B$165:$H$192,MATCH($CL205,'Factor Tables'!$B$164:$H$164,0),FALSE))</f>
        <v/>
      </c>
      <c r="CU205" s="842" t="str">
        <f>IF($CL205="","",IF(AND($CL205&lt;&gt;"DX HP",$CL205&lt;&gt;"PTHP"),VLOOKUP($D205,'Factor Tables'!$I$165:$Q$192,MATCH($CL205,'Factor Tables'!$I$164:$Q$164,0),FALSE),IF($CL205="DX HP",VLOOKUP($D205,'Factor Tables'!$I$165:$Q$192,MATCH("DX HP Clg",'Factor Tables'!$I$164:$Q$164,0),FALSE),IF($CL205="PTHP",VLOOKUP($D205,'Factor Tables'!$I$165:$Q$192,MATCH("PTHP Clg",'Factor Tables'!$I$164:$Q$164,0),FALSE),""))))</f>
        <v/>
      </c>
      <c r="CV205" s="186" t="str">
        <f>IF($CL205="","",IF(AND($CL205&lt;&gt;"DX HP",$CL205&lt;&gt;"PTHP"),0,IF($CL205="DX HP",VLOOKUP($D205,'Factor Tables'!$I$165:$Q$192,MATCH("DX HP Htg",'Factor Tables'!$I$164:$Q$164,0),FALSE),IF($CL205="PTHP",VLOOKUP($D205,'Factor Tables'!$I$165:$Q$192,MATCH("PTHP Htg",'Factor Tables'!$I$164:$Q$164,0),FALSE),""))))</f>
        <v/>
      </c>
      <c r="DD205" s="196" t="str">
        <f>IF(OR('Project Info'!$D$8="",$C45="",$D45=""),"",IF('Project Info'!$D$8="Weather Zone 5: El Paso",VLOOKUP($D45,$DI$9:$DL$37,MATCH($C45,$DI$9:$DL$9,0),FALSE),VLOOKUP($D45,$DE$9:$DH$37,MATCH($C45,$DE$9:$DH$9,0),FALSE)))</f>
        <v/>
      </c>
      <c r="DE205" s="426"/>
      <c r="DI205" s="425"/>
      <c r="DJ205" s="425"/>
      <c r="DK205" s="425"/>
      <c r="DL205" s="425"/>
      <c r="DM205" s="493" t="s">
        <v>478</v>
      </c>
    </row>
    <row r="206" spans="2:117" s="427" customFormat="1" ht="21.95" customHeight="1" x14ac:dyDescent="0.25">
      <c r="B206" s="431">
        <v>197</v>
      </c>
      <c r="C206" s="501" t="str">
        <f t="shared" si="129"/>
        <v/>
      </c>
      <c r="D206" s="502" t="str">
        <f t="shared" si="130"/>
        <v/>
      </c>
      <c r="E206" s="546"/>
      <c r="F206" s="547"/>
      <c r="G206" s="729"/>
      <c r="H206" s="729"/>
      <c r="I206" s="729"/>
      <c r="J206" s="729"/>
      <c r="K206" s="729"/>
      <c r="L206" s="729"/>
      <c r="M206" s="765"/>
      <c r="N206" s="758"/>
      <c r="O206" s="765"/>
      <c r="P206" s="758"/>
      <c r="Q206" s="1143"/>
      <c r="R206" s="1134"/>
      <c r="S206" s="775"/>
      <c r="T206" s="729"/>
      <c r="U206" s="775"/>
      <c r="V206" s="779"/>
      <c r="W206" s="557"/>
      <c r="X206" s="788"/>
      <c r="Y206" s="543"/>
      <c r="Z206" s="281"/>
      <c r="AA206" s="281"/>
      <c r="AB206" s="281"/>
      <c r="AC206" s="281"/>
      <c r="AD206" s="492"/>
      <c r="AE206" s="527">
        <f t="shared" si="39"/>
        <v>0</v>
      </c>
      <c r="AF206" s="527">
        <f t="shared" si="131"/>
        <v>0</v>
      </c>
      <c r="AG206" s="527">
        <f t="shared" si="111"/>
        <v>0</v>
      </c>
      <c r="AH206" s="527">
        <f t="shared" si="112"/>
        <v>0</v>
      </c>
      <c r="AI206" s="527">
        <f t="shared" si="113"/>
        <v>0</v>
      </c>
      <c r="AJ206" s="527">
        <f t="shared" si="114"/>
        <v>999999999</v>
      </c>
      <c r="AK206" s="471"/>
      <c r="AL206" s="765"/>
      <c r="AM206" s="758"/>
      <c r="AN206" s="281"/>
      <c r="AO206" s="775"/>
      <c r="AP206" s="775"/>
      <c r="AQ206" s="281"/>
      <c r="AR206" s="528"/>
      <c r="AS206" s="532"/>
      <c r="AT206" s="524" t="str">
        <f t="shared" si="115"/>
        <v/>
      </c>
      <c r="AU206" s="311">
        <f t="shared" si="116"/>
        <v>0</v>
      </c>
      <c r="AV206" s="288">
        <f t="shared" si="132"/>
        <v>0</v>
      </c>
      <c r="AW206" s="290">
        <f>IF(ISERROR($AU206*'Utility Admin'!$E$4+$AV206*'Utility Admin'!$F$4),0,$AU206*'Utility Admin'!$E$4+$AV206*'Utility Admin'!$F$4)</f>
        <v>0</v>
      </c>
      <c r="AX206" s="323" t="str">
        <f t="shared" si="117"/>
        <v/>
      </c>
      <c r="AY206" s="322" t="str">
        <f t="shared" si="23"/>
        <v/>
      </c>
      <c r="AZ206" s="319">
        <f>Baselines!$CJ450</f>
        <v>0</v>
      </c>
      <c r="BA206" s="735">
        <f>Baselines!$CK450</f>
        <v>0</v>
      </c>
      <c r="BB206" s="839">
        <f>Baselines!$CM450</f>
        <v>0</v>
      </c>
      <c r="BC206" s="466">
        <f t="shared" si="118"/>
        <v>0</v>
      </c>
      <c r="BD206" s="464">
        <f t="shared" si="133"/>
        <v>0</v>
      </c>
      <c r="BE206" s="755">
        <f t="shared" si="119"/>
        <v>0</v>
      </c>
      <c r="BF206" s="755">
        <f t="shared" si="134"/>
        <v>0</v>
      </c>
      <c r="BG206" s="466">
        <f t="shared" si="120"/>
        <v>0</v>
      </c>
      <c r="BH206" s="464">
        <f t="shared" si="121"/>
        <v>0</v>
      </c>
      <c r="BI206" s="755">
        <f t="shared" si="122"/>
        <v>0</v>
      </c>
      <c r="BJ206" s="755">
        <f t="shared" si="135"/>
        <v>0</v>
      </c>
      <c r="BK206" s="333">
        <f>IF(OR($C206&lt;&gt;"Early Retirement",$H206=""),0,IF(AND($G206&lt;&gt;"Air Cooled Chiller",$G206&lt;&gt;"Water Cooled Chiller"),VLOOKUP($H206,'Early Retirement'!$CI$6:$CL$33,2,FALSE),IF($J206&lt;&gt;"Centrifugal",VLOOKUP($H206,'Early Retirement'!$CI$6:$CL$33,3,FALSE),IF($J206="Centrifugal",VLOOKUP($H206,'Early Retirement'!$CI$6:$CL$33,4,FALSE),""))))</f>
        <v>0</v>
      </c>
      <c r="BL206" s="450">
        <f t="shared" si="123"/>
        <v>0</v>
      </c>
      <c r="BM206" s="553">
        <f>IFERROR('Utility Admin'!$I$4*((1+'Utility Admin'!$G$4)/('Utility Admin'!$H$4-'Utility Admin'!$G$4))*(1-((1+'Utility Admin'!$G$4)/(1+'Utility Admin'!$H$4))^$BK206)*$BG206,0)</f>
        <v>0</v>
      </c>
      <c r="BN206" s="553">
        <f>IFERROR('Utility Admin'!$I$4*((1+'Utility Admin'!$G$4)/('Utility Admin'!$H$4-'Utility Admin'!$G$4))*(1-((1+'Utility Admin'!$G$4)/(1+'Utility Admin'!$H$4))^$BL206)*((1+'Utility Admin'!$G$4)^$BK206/(1+'Utility Admin'!$H$4)^$BK206)*$BC206,0)</f>
        <v>0</v>
      </c>
      <c r="BO206" s="553">
        <f t="shared" si="27"/>
        <v>0</v>
      </c>
      <c r="BP206" s="553">
        <f>IFERROR('Utility Admin'!$J$4*((1+'Utility Admin'!$G$4)/('Utility Admin'!$H$4-'Utility Admin'!$G$4))*(1-((1+'Utility Admin'!$G$4)/(1+'Utility Admin'!$H$4))^$BK206)*$BJ206,0)</f>
        <v>0</v>
      </c>
      <c r="BQ206" s="553">
        <f>IFERROR('Utility Admin'!$J$4*((1+'Utility Admin'!$G$4)/('Utility Admin'!$H$4-'Utility Admin'!$G$4))*(1-((1+'Utility Admin'!$G$4)/(1+'Utility Admin'!$H$4))^$BL206)*((1+'Utility Admin'!$G$4)^$BK206/(1+'Utility Admin'!$H$4)^$BK206)*$BF206,0)</f>
        <v>0</v>
      </c>
      <c r="BR206" s="553">
        <f t="shared" si="28"/>
        <v>0</v>
      </c>
      <c r="BS206" s="553">
        <f>IFERROR('Utility Admin'!$I$4*((1+'Utility Admin'!$G$4)/('Utility Admin'!$H$4-'Utility Admin'!$G$4))*(1-((1+'Utility Admin'!$G$4)/(1+'Utility Admin'!$H$4))^$AT206),0)</f>
        <v>0</v>
      </c>
      <c r="BT206" s="553">
        <f>IFERROR('Utility Admin'!$J$4*((1+'Utility Admin'!$G$4)/('Utility Admin'!$H$4-'Utility Admin'!$G$4))*(1-((1+'Utility Admin'!$G$4)/(1+'Utility Admin'!$H$4))^$AT206),0)</f>
        <v>0</v>
      </c>
      <c r="BU206" s="459">
        <f t="shared" si="136"/>
        <v>0</v>
      </c>
      <c r="BV206" s="462">
        <f t="shared" si="137"/>
        <v>0</v>
      </c>
      <c r="BW206" s="219" t="str">
        <f t="shared" si="124"/>
        <v/>
      </c>
      <c r="BX206" s="250" t="str">
        <f t="shared" si="138"/>
        <v/>
      </c>
      <c r="BY206" s="250" t="str">
        <f t="shared" si="125"/>
        <v/>
      </c>
      <c r="BZ206" s="184">
        <f t="shared" si="139"/>
        <v>0</v>
      </c>
      <c r="CA206" s="693">
        <f t="shared" si="140"/>
        <v>0</v>
      </c>
      <c r="CB206" s="836">
        <f t="shared" si="141"/>
        <v>0</v>
      </c>
      <c r="CC206" s="693">
        <f>IF(AND($C206="Early Retirement",$H206&lt;&gt;"",$R206&lt;&gt;"",$T206&lt;&gt;""),$BZ206,Baselines!$CJ199)</f>
        <v>0</v>
      </c>
      <c r="CD206" s="693">
        <f>IF(AND($C206="Early Retirement",$H206&lt;&gt;"",$R206&lt;&gt;"",$T206&lt;&gt;""),$CA206,Baselines!$CK199)</f>
        <v>0</v>
      </c>
      <c r="CE206" s="182" t="str">
        <f>Baselines!$CL199</f>
        <v>kW/ton</v>
      </c>
      <c r="CF206" s="850" t="str">
        <f t="shared" si="126"/>
        <v/>
      </c>
      <c r="CG206" s="833">
        <f>IF(AND($C206="Early Retirement",$H206&lt;&gt;"",$R206&lt;&gt;"",$T206&lt;&gt;""),$CB206,IF(AND(Baselines!$CM199=0,OR($CL206="DX HP",$CL206="PTHP")),$BB206,Baselines!$CM199))</f>
        <v>0</v>
      </c>
      <c r="CH206" s="830" t="s">
        <v>567</v>
      </c>
      <c r="CI206" s="185" t="str">
        <f>IF(OR($C206="Replace-on-Burnout",$C206="New Construction"),$CT206,IF($BW206="","",VLOOKUP($D206,'Factor Tables'!$B$165:$H$192,MATCH($BW206,'Factor Tables'!$B$164:$H$164,0),FALSE)))</f>
        <v/>
      </c>
      <c r="CJ206" s="842" t="str">
        <f>IF(OR($C206="Replace-on-Burnout",$C206="New Construction"),$CU206,IF($BW206="","",IF($BW206="DX HP",VLOOKUP($D206,'Factor Tables'!$I$165:$Q$192,MATCH("DX HP Clg",'Factor Tables'!$I$164:$Q$164,0),FALSE),IF($BW206="PTHP",VLOOKUP($D206,'Factor Tables'!$I$165:$Q$192,MATCH("PTHP Clg",'Factor Tables'!$I$164:$Q$164,0),FALSE),IF(AND($BW206&lt;&gt;"DX HP",$BW206&lt;&gt;"PTHP"),VLOOKUP($D206,'Factor Tables'!$I$165:$Q$192,MATCH($BW206,'Factor Tables'!$I$164:$Q$164,0),FALSE),"")))))</f>
        <v/>
      </c>
      <c r="CK206" s="186" t="str">
        <f>IF(OR($C206="Replace-on-Burnout",$C206="New Construction",$CL206="DX HP",$CL206="PTHP"),$CV206,IF($BW206="","",IF($BW206="DX HP",VLOOKUP($D206,'Factor Tables'!$I$165:$Q$192,MATCH("DX HP Htg",'Factor Tables'!$I$164:$Q$164,0),FALSE),IF($BW206="PTHP",VLOOKUP($D206,'Factor Tables'!$I$165:$Q$192,MATCH("PTHP Htg",'Factor Tables'!$I$164:$Q$164,0),FALSE),0))))</f>
        <v/>
      </c>
      <c r="CL206" s="187" t="str">
        <f t="shared" si="127"/>
        <v/>
      </c>
      <c r="CM206" s="251" t="str">
        <f t="shared" si="128"/>
        <v/>
      </c>
      <c r="CN206" s="184">
        <f t="shared" si="142"/>
        <v>0</v>
      </c>
      <c r="CO206" s="693">
        <f t="shared" si="143"/>
        <v>0</v>
      </c>
      <c r="CP206" s="182" t="s">
        <v>46</v>
      </c>
      <c r="CQ206" s="852" t="str">
        <f t="shared" si="144"/>
        <v/>
      </c>
      <c r="CR206" s="833">
        <f t="shared" si="145"/>
        <v>0</v>
      </c>
      <c r="CS206" s="830" t="s">
        <v>567</v>
      </c>
      <c r="CT206" s="185" t="str">
        <f>IF($CL206="","",VLOOKUP($D206,'Factor Tables'!$B$165:$H$192,MATCH($CL206,'Factor Tables'!$B$164:$H$164,0),FALSE))</f>
        <v/>
      </c>
      <c r="CU206" s="842" t="str">
        <f>IF($CL206="","",IF(AND($CL206&lt;&gt;"DX HP",$CL206&lt;&gt;"PTHP"),VLOOKUP($D206,'Factor Tables'!$I$165:$Q$192,MATCH($CL206,'Factor Tables'!$I$164:$Q$164,0),FALSE),IF($CL206="DX HP",VLOOKUP($D206,'Factor Tables'!$I$165:$Q$192,MATCH("DX HP Clg",'Factor Tables'!$I$164:$Q$164,0),FALSE),IF($CL206="PTHP",VLOOKUP($D206,'Factor Tables'!$I$165:$Q$192,MATCH("PTHP Clg",'Factor Tables'!$I$164:$Q$164,0),FALSE),""))))</f>
        <v/>
      </c>
      <c r="CV206" s="186" t="str">
        <f>IF($CL206="","",IF(AND($CL206&lt;&gt;"DX HP",$CL206&lt;&gt;"PTHP"),0,IF($CL206="DX HP",VLOOKUP($D206,'Factor Tables'!$I$165:$Q$192,MATCH("DX HP Htg",'Factor Tables'!$I$164:$Q$164,0),FALSE),IF($CL206="PTHP",VLOOKUP($D206,'Factor Tables'!$I$165:$Q$192,MATCH("PTHP Htg",'Factor Tables'!$I$164:$Q$164,0),FALSE),""))))</f>
        <v/>
      </c>
      <c r="DD206" s="196" t="str">
        <f>IF(OR('Project Info'!$D$8="",$C46="",$D46=""),"",IF('Project Info'!$D$8="Weather Zone 5: El Paso",VLOOKUP($D46,$DI$9:$DL$37,MATCH($C46,$DI$9:$DL$9,0),FALSE),VLOOKUP($D46,$DE$9:$DH$37,MATCH($C46,$DE$9:$DH$9,0),FALSE)))</f>
        <v/>
      </c>
      <c r="DE206" s="426"/>
      <c r="DI206" s="425"/>
      <c r="DJ206" s="425"/>
      <c r="DK206" s="425"/>
      <c r="DL206" s="425"/>
      <c r="DM206" s="493" t="s">
        <v>478</v>
      </c>
    </row>
    <row r="207" spans="2:117" s="427" customFormat="1" ht="21.95" customHeight="1" x14ac:dyDescent="0.25">
      <c r="B207" s="432">
        <v>198</v>
      </c>
      <c r="C207" s="499" t="str">
        <f t="shared" si="129"/>
        <v/>
      </c>
      <c r="D207" s="403" t="str">
        <f t="shared" si="130"/>
        <v/>
      </c>
      <c r="E207" s="541"/>
      <c r="F207" s="785"/>
      <c r="G207" s="728"/>
      <c r="H207" s="728"/>
      <c r="I207" s="728"/>
      <c r="J207" s="728"/>
      <c r="K207" s="728"/>
      <c r="L207" s="728"/>
      <c r="M207" s="764"/>
      <c r="N207" s="728"/>
      <c r="O207" s="764"/>
      <c r="P207" s="728"/>
      <c r="Q207" s="1142"/>
      <c r="R207" s="1133"/>
      <c r="S207" s="778"/>
      <c r="T207" s="767"/>
      <c r="U207" s="778"/>
      <c r="V207" s="751"/>
      <c r="W207" s="556"/>
      <c r="X207" s="785"/>
      <c r="Y207" s="542"/>
      <c r="Z207" s="500"/>
      <c r="AA207" s="500"/>
      <c r="AB207" s="500"/>
      <c r="AC207" s="500"/>
      <c r="AD207" s="529"/>
      <c r="AE207" s="527">
        <f t="shared" si="39"/>
        <v>0</v>
      </c>
      <c r="AF207" s="527">
        <f t="shared" si="131"/>
        <v>0</v>
      </c>
      <c r="AG207" s="527">
        <f t="shared" si="111"/>
        <v>0</v>
      </c>
      <c r="AH207" s="527">
        <f t="shared" si="112"/>
        <v>0</v>
      </c>
      <c r="AI207" s="527">
        <f t="shared" si="113"/>
        <v>0</v>
      </c>
      <c r="AJ207" s="527">
        <f t="shared" si="114"/>
        <v>999999999</v>
      </c>
      <c r="AK207" s="530"/>
      <c r="AL207" s="776"/>
      <c r="AM207" s="777"/>
      <c r="AN207" s="500"/>
      <c r="AO207" s="778"/>
      <c r="AP207" s="778"/>
      <c r="AQ207" s="500"/>
      <c r="AR207" s="531"/>
      <c r="AS207" s="403"/>
      <c r="AT207" s="524" t="str">
        <f t="shared" si="115"/>
        <v/>
      </c>
      <c r="AU207" s="311">
        <f t="shared" si="116"/>
        <v>0</v>
      </c>
      <c r="AV207" s="288">
        <f t="shared" si="132"/>
        <v>0</v>
      </c>
      <c r="AW207" s="290">
        <f>IF(ISERROR($AU207*'Utility Admin'!$E$4+$AV207*'Utility Admin'!$F$4),0,$AU207*'Utility Admin'!$E$4+$AV207*'Utility Admin'!$F$4)</f>
        <v>0</v>
      </c>
      <c r="AX207" s="323" t="str">
        <f t="shared" si="117"/>
        <v/>
      </c>
      <c r="AY207" s="322" t="str">
        <f t="shared" si="23"/>
        <v/>
      </c>
      <c r="AZ207" s="319">
        <f>Baselines!$CJ451</f>
        <v>0</v>
      </c>
      <c r="BA207" s="735">
        <f>Baselines!$CK451</f>
        <v>0</v>
      </c>
      <c r="BB207" s="839">
        <f>Baselines!$CM451</f>
        <v>0</v>
      </c>
      <c r="BC207" s="466">
        <f t="shared" si="118"/>
        <v>0</v>
      </c>
      <c r="BD207" s="464">
        <f t="shared" si="133"/>
        <v>0</v>
      </c>
      <c r="BE207" s="755">
        <f t="shared" si="119"/>
        <v>0</v>
      </c>
      <c r="BF207" s="755">
        <f t="shared" si="134"/>
        <v>0</v>
      </c>
      <c r="BG207" s="466">
        <f t="shared" si="120"/>
        <v>0</v>
      </c>
      <c r="BH207" s="464">
        <f t="shared" si="121"/>
        <v>0</v>
      </c>
      <c r="BI207" s="755">
        <f t="shared" si="122"/>
        <v>0</v>
      </c>
      <c r="BJ207" s="755">
        <f t="shared" si="135"/>
        <v>0</v>
      </c>
      <c r="BK207" s="333">
        <f>IF(OR($C207&lt;&gt;"Early Retirement",$H207=""),0,IF(AND($G207&lt;&gt;"Air Cooled Chiller",$G207&lt;&gt;"Water Cooled Chiller"),VLOOKUP($H207,'Early Retirement'!$CI$6:$CL$33,2,FALSE),IF($J207&lt;&gt;"Centrifugal",VLOOKUP($H207,'Early Retirement'!$CI$6:$CL$33,3,FALSE),IF($J207="Centrifugal",VLOOKUP($H207,'Early Retirement'!$CI$6:$CL$33,4,FALSE),""))))</f>
        <v>0</v>
      </c>
      <c r="BL207" s="450">
        <f t="shared" si="123"/>
        <v>0</v>
      </c>
      <c r="BM207" s="553">
        <f>IFERROR('Utility Admin'!$I$4*((1+'Utility Admin'!$G$4)/('Utility Admin'!$H$4-'Utility Admin'!$G$4))*(1-((1+'Utility Admin'!$G$4)/(1+'Utility Admin'!$H$4))^$BK207)*$BG207,0)</f>
        <v>0</v>
      </c>
      <c r="BN207" s="553">
        <f>IFERROR('Utility Admin'!$I$4*((1+'Utility Admin'!$G$4)/('Utility Admin'!$H$4-'Utility Admin'!$G$4))*(1-((1+'Utility Admin'!$G$4)/(1+'Utility Admin'!$H$4))^$BL207)*((1+'Utility Admin'!$G$4)^$BK207/(1+'Utility Admin'!$H$4)^$BK207)*$BC207,0)</f>
        <v>0</v>
      </c>
      <c r="BO207" s="553">
        <f t="shared" si="27"/>
        <v>0</v>
      </c>
      <c r="BP207" s="553">
        <f>IFERROR('Utility Admin'!$J$4*((1+'Utility Admin'!$G$4)/('Utility Admin'!$H$4-'Utility Admin'!$G$4))*(1-((1+'Utility Admin'!$G$4)/(1+'Utility Admin'!$H$4))^$BK207)*$BJ207,0)</f>
        <v>0</v>
      </c>
      <c r="BQ207" s="553">
        <f>IFERROR('Utility Admin'!$J$4*((1+'Utility Admin'!$G$4)/('Utility Admin'!$H$4-'Utility Admin'!$G$4))*(1-((1+'Utility Admin'!$G$4)/(1+'Utility Admin'!$H$4))^$BL207)*((1+'Utility Admin'!$G$4)^$BK207/(1+'Utility Admin'!$H$4)^$BK207)*$BF207,0)</f>
        <v>0</v>
      </c>
      <c r="BR207" s="553">
        <f t="shared" si="28"/>
        <v>0</v>
      </c>
      <c r="BS207" s="553">
        <f>IFERROR('Utility Admin'!$I$4*((1+'Utility Admin'!$G$4)/('Utility Admin'!$H$4-'Utility Admin'!$G$4))*(1-((1+'Utility Admin'!$G$4)/(1+'Utility Admin'!$H$4))^$AT207),0)</f>
        <v>0</v>
      </c>
      <c r="BT207" s="553">
        <f>IFERROR('Utility Admin'!$J$4*((1+'Utility Admin'!$G$4)/('Utility Admin'!$H$4-'Utility Admin'!$G$4))*(1-((1+'Utility Admin'!$G$4)/(1+'Utility Admin'!$H$4))^$AT207),0)</f>
        <v>0</v>
      </c>
      <c r="BU207" s="459">
        <f t="shared" si="136"/>
        <v>0</v>
      </c>
      <c r="BV207" s="462">
        <f t="shared" si="137"/>
        <v>0</v>
      </c>
      <c r="BW207" s="219" t="str">
        <f t="shared" si="124"/>
        <v/>
      </c>
      <c r="BX207" s="250" t="str">
        <f t="shared" si="138"/>
        <v/>
      </c>
      <c r="BY207" s="250" t="str">
        <f t="shared" si="125"/>
        <v/>
      </c>
      <c r="BZ207" s="184">
        <f t="shared" si="139"/>
        <v>0</v>
      </c>
      <c r="CA207" s="693">
        <f t="shared" si="140"/>
        <v>0</v>
      </c>
      <c r="CB207" s="836">
        <f t="shared" si="141"/>
        <v>0</v>
      </c>
      <c r="CC207" s="693">
        <f>IF(AND($C207="Early Retirement",$H207&lt;&gt;"",$R207&lt;&gt;"",$T207&lt;&gt;""),$BZ207,Baselines!$CJ200)</f>
        <v>0</v>
      </c>
      <c r="CD207" s="693">
        <f>IF(AND($C207="Early Retirement",$H207&lt;&gt;"",$R207&lt;&gt;"",$T207&lt;&gt;""),$CA207,Baselines!$CK200)</f>
        <v>0</v>
      </c>
      <c r="CE207" s="182" t="str">
        <f>Baselines!$CL200</f>
        <v>kW/ton</v>
      </c>
      <c r="CF207" s="850" t="str">
        <f t="shared" si="126"/>
        <v/>
      </c>
      <c r="CG207" s="833">
        <f>IF(AND($C207="Early Retirement",$H207&lt;&gt;"",$R207&lt;&gt;"",$T207&lt;&gt;""),$CB207,IF(AND(Baselines!$CM200=0,OR($CL207="DX HP",$CL207="PTHP")),$BB207,Baselines!$CM200))</f>
        <v>0</v>
      </c>
      <c r="CH207" s="830" t="s">
        <v>567</v>
      </c>
      <c r="CI207" s="185" t="str">
        <f>IF(OR($C207="Replace-on-Burnout",$C207="New Construction"),$CT207,IF($BW207="","",VLOOKUP($D207,'Factor Tables'!$B$165:$H$192,MATCH($BW207,'Factor Tables'!$B$164:$H$164,0),FALSE)))</f>
        <v/>
      </c>
      <c r="CJ207" s="842" t="str">
        <f>IF(OR($C207="Replace-on-Burnout",$C207="New Construction"),$CU207,IF($BW207="","",IF($BW207="DX HP",VLOOKUP($D207,'Factor Tables'!$I$165:$Q$192,MATCH("DX HP Clg",'Factor Tables'!$I$164:$Q$164,0),FALSE),IF($BW207="PTHP",VLOOKUP($D207,'Factor Tables'!$I$165:$Q$192,MATCH("PTHP Clg",'Factor Tables'!$I$164:$Q$164,0),FALSE),IF(AND($BW207&lt;&gt;"DX HP",$BW207&lt;&gt;"PTHP"),VLOOKUP($D207,'Factor Tables'!$I$165:$Q$192,MATCH($BW207,'Factor Tables'!$I$164:$Q$164,0),FALSE),"")))))</f>
        <v/>
      </c>
      <c r="CK207" s="186" t="str">
        <f>IF(OR($C207="Replace-on-Burnout",$C207="New Construction",$CL207="DX HP",$CL207="PTHP"),$CV207,IF($BW207="","",IF($BW207="DX HP",VLOOKUP($D207,'Factor Tables'!$I$165:$Q$192,MATCH("DX HP Htg",'Factor Tables'!$I$164:$Q$164,0),FALSE),IF($BW207="PTHP",VLOOKUP($D207,'Factor Tables'!$I$165:$Q$192,MATCH("PTHP Htg",'Factor Tables'!$I$164:$Q$164,0),FALSE),0))))</f>
        <v/>
      </c>
      <c r="CL207" s="187" t="str">
        <f t="shared" si="127"/>
        <v/>
      </c>
      <c r="CM207" s="251" t="str">
        <f t="shared" si="128"/>
        <v/>
      </c>
      <c r="CN207" s="184">
        <f t="shared" si="142"/>
        <v>0</v>
      </c>
      <c r="CO207" s="693">
        <f t="shared" si="143"/>
        <v>0</v>
      </c>
      <c r="CP207" s="182" t="s">
        <v>46</v>
      </c>
      <c r="CQ207" s="852" t="str">
        <f t="shared" si="144"/>
        <v/>
      </c>
      <c r="CR207" s="833">
        <f t="shared" si="145"/>
        <v>0</v>
      </c>
      <c r="CS207" s="830" t="s">
        <v>567</v>
      </c>
      <c r="CT207" s="185" t="str">
        <f>IF($CL207="","",VLOOKUP($D207,'Factor Tables'!$B$165:$H$192,MATCH($CL207,'Factor Tables'!$B$164:$H$164,0),FALSE))</f>
        <v/>
      </c>
      <c r="CU207" s="842" t="str">
        <f>IF($CL207="","",IF(AND($CL207&lt;&gt;"DX HP",$CL207&lt;&gt;"PTHP"),VLOOKUP($D207,'Factor Tables'!$I$165:$Q$192,MATCH($CL207,'Factor Tables'!$I$164:$Q$164,0),FALSE),IF($CL207="DX HP",VLOOKUP($D207,'Factor Tables'!$I$165:$Q$192,MATCH("DX HP Clg",'Factor Tables'!$I$164:$Q$164,0),FALSE),IF($CL207="PTHP",VLOOKUP($D207,'Factor Tables'!$I$165:$Q$192,MATCH("PTHP Clg",'Factor Tables'!$I$164:$Q$164,0),FALSE),""))))</f>
        <v/>
      </c>
      <c r="CV207" s="186" t="str">
        <f>IF($CL207="","",IF(AND($CL207&lt;&gt;"DX HP",$CL207&lt;&gt;"PTHP"),0,IF($CL207="DX HP",VLOOKUP($D207,'Factor Tables'!$I$165:$Q$192,MATCH("DX HP Htg",'Factor Tables'!$I$164:$Q$164,0),FALSE),IF($CL207="PTHP",VLOOKUP($D207,'Factor Tables'!$I$165:$Q$192,MATCH("PTHP Htg",'Factor Tables'!$I$164:$Q$164,0),FALSE),""))))</f>
        <v/>
      </c>
      <c r="DD207" s="196" t="str">
        <f>IF(OR('Project Info'!$D$8="",$C47="",$D47=""),"",IF('Project Info'!$D$8="Weather Zone 5: El Paso",VLOOKUP($D47,$DI$9:$DL$37,MATCH($C47,$DI$9:$DL$9,0),FALSE),VLOOKUP($D47,$DE$9:$DH$37,MATCH($C47,$DE$9:$DH$9,0),FALSE)))</f>
        <v/>
      </c>
      <c r="DE207" s="426"/>
      <c r="DI207" s="425"/>
      <c r="DJ207" s="425"/>
      <c r="DK207" s="425"/>
      <c r="DL207" s="425"/>
      <c r="DM207" s="493" t="s">
        <v>478</v>
      </c>
    </row>
    <row r="208" spans="2:117" s="427" customFormat="1" ht="21.95" customHeight="1" x14ac:dyDescent="0.25">
      <c r="B208" s="431">
        <v>199</v>
      </c>
      <c r="C208" s="501" t="str">
        <f t="shared" si="129"/>
        <v/>
      </c>
      <c r="D208" s="502" t="str">
        <f t="shared" si="130"/>
        <v/>
      </c>
      <c r="E208" s="546"/>
      <c r="F208" s="547"/>
      <c r="G208" s="729"/>
      <c r="H208" s="729"/>
      <c r="I208" s="729"/>
      <c r="J208" s="729"/>
      <c r="K208" s="729"/>
      <c r="L208" s="729"/>
      <c r="M208" s="765"/>
      <c r="N208" s="758"/>
      <c r="O208" s="765"/>
      <c r="P208" s="758"/>
      <c r="Q208" s="1143"/>
      <c r="R208" s="1134"/>
      <c r="S208" s="775"/>
      <c r="T208" s="729"/>
      <c r="U208" s="775"/>
      <c r="V208" s="779"/>
      <c r="W208" s="557"/>
      <c r="X208" s="788"/>
      <c r="Y208" s="543"/>
      <c r="Z208" s="281"/>
      <c r="AA208" s="281"/>
      <c r="AB208" s="281"/>
      <c r="AC208" s="281"/>
      <c r="AD208" s="492"/>
      <c r="AE208" s="527">
        <f t="shared" si="39"/>
        <v>0</v>
      </c>
      <c r="AF208" s="527">
        <f t="shared" si="131"/>
        <v>0</v>
      </c>
      <c r="AG208" s="527">
        <f t="shared" si="111"/>
        <v>0</v>
      </c>
      <c r="AH208" s="527">
        <f t="shared" si="112"/>
        <v>0</v>
      </c>
      <c r="AI208" s="527">
        <f t="shared" si="113"/>
        <v>0</v>
      </c>
      <c r="AJ208" s="527">
        <f t="shared" si="114"/>
        <v>999999999</v>
      </c>
      <c r="AK208" s="471"/>
      <c r="AL208" s="765"/>
      <c r="AM208" s="758"/>
      <c r="AN208" s="281"/>
      <c r="AO208" s="775"/>
      <c r="AP208" s="775"/>
      <c r="AQ208" s="281"/>
      <c r="AR208" s="528"/>
      <c r="AS208" s="532"/>
      <c r="AT208" s="524" t="str">
        <f t="shared" si="115"/>
        <v/>
      </c>
      <c r="AU208" s="311">
        <f t="shared" si="116"/>
        <v>0</v>
      </c>
      <c r="AV208" s="288">
        <f t="shared" si="132"/>
        <v>0</v>
      </c>
      <c r="AW208" s="290">
        <f>IF(ISERROR($AU208*'Utility Admin'!$E$4+$AV208*'Utility Admin'!$F$4),0,$AU208*'Utility Admin'!$E$4+$AV208*'Utility Admin'!$F$4)</f>
        <v>0</v>
      </c>
      <c r="AX208" s="323" t="str">
        <f t="shared" si="117"/>
        <v/>
      </c>
      <c r="AY208" s="322" t="str">
        <f t="shared" si="23"/>
        <v/>
      </c>
      <c r="AZ208" s="319">
        <f>Baselines!$CJ452</f>
        <v>0</v>
      </c>
      <c r="BA208" s="735">
        <f>Baselines!$CK452</f>
        <v>0</v>
      </c>
      <c r="BB208" s="839">
        <f>Baselines!$CM452</f>
        <v>0</v>
      </c>
      <c r="BC208" s="466">
        <f t="shared" si="118"/>
        <v>0</v>
      </c>
      <c r="BD208" s="464">
        <f t="shared" si="133"/>
        <v>0</v>
      </c>
      <c r="BE208" s="755">
        <f t="shared" si="119"/>
        <v>0</v>
      </c>
      <c r="BF208" s="755">
        <f t="shared" si="134"/>
        <v>0</v>
      </c>
      <c r="BG208" s="466">
        <f t="shared" si="120"/>
        <v>0</v>
      </c>
      <c r="BH208" s="464">
        <f t="shared" si="121"/>
        <v>0</v>
      </c>
      <c r="BI208" s="755">
        <f t="shared" si="122"/>
        <v>0</v>
      </c>
      <c r="BJ208" s="755">
        <f t="shared" si="135"/>
        <v>0</v>
      </c>
      <c r="BK208" s="333">
        <f>IF(OR($C208&lt;&gt;"Early Retirement",$H208=""),0,IF(AND($G208&lt;&gt;"Air Cooled Chiller",$G208&lt;&gt;"Water Cooled Chiller"),VLOOKUP($H208,'Early Retirement'!$CI$6:$CL$33,2,FALSE),IF($J208&lt;&gt;"Centrifugal",VLOOKUP($H208,'Early Retirement'!$CI$6:$CL$33,3,FALSE),IF($J208="Centrifugal",VLOOKUP($H208,'Early Retirement'!$CI$6:$CL$33,4,FALSE),""))))</f>
        <v>0</v>
      </c>
      <c r="BL208" s="450">
        <f t="shared" si="123"/>
        <v>0</v>
      </c>
      <c r="BM208" s="553">
        <f>IFERROR('Utility Admin'!$I$4*((1+'Utility Admin'!$G$4)/('Utility Admin'!$H$4-'Utility Admin'!$G$4))*(1-((1+'Utility Admin'!$G$4)/(1+'Utility Admin'!$H$4))^$BK208)*$BG208,0)</f>
        <v>0</v>
      </c>
      <c r="BN208" s="553">
        <f>IFERROR('Utility Admin'!$I$4*((1+'Utility Admin'!$G$4)/('Utility Admin'!$H$4-'Utility Admin'!$G$4))*(1-((1+'Utility Admin'!$G$4)/(1+'Utility Admin'!$H$4))^$BL208)*((1+'Utility Admin'!$G$4)^$BK208/(1+'Utility Admin'!$H$4)^$BK208)*$BC208,0)</f>
        <v>0</v>
      </c>
      <c r="BO208" s="553">
        <f t="shared" si="27"/>
        <v>0</v>
      </c>
      <c r="BP208" s="553">
        <f>IFERROR('Utility Admin'!$J$4*((1+'Utility Admin'!$G$4)/('Utility Admin'!$H$4-'Utility Admin'!$G$4))*(1-((1+'Utility Admin'!$G$4)/(1+'Utility Admin'!$H$4))^$BK208)*$BJ208,0)</f>
        <v>0</v>
      </c>
      <c r="BQ208" s="553">
        <f>IFERROR('Utility Admin'!$J$4*((1+'Utility Admin'!$G$4)/('Utility Admin'!$H$4-'Utility Admin'!$G$4))*(1-((1+'Utility Admin'!$G$4)/(1+'Utility Admin'!$H$4))^$BL208)*((1+'Utility Admin'!$G$4)^$BK208/(1+'Utility Admin'!$H$4)^$BK208)*$BF208,0)</f>
        <v>0</v>
      </c>
      <c r="BR208" s="553">
        <f t="shared" si="28"/>
        <v>0</v>
      </c>
      <c r="BS208" s="553">
        <f>IFERROR('Utility Admin'!$I$4*((1+'Utility Admin'!$G$4)/('Utility Admin'!$H$4-'Utility Admin'!$G$4))*(1-((1+'Utility Admin'!$G$4)/(1+'Utility Admin'!$H$4))^$AT208),0)</f>
        <v>0</v>
      </c>
      <c r="BT208" s="553">
        <f>IFERROR('Utility Admin'!$J$4*((1+'Utility Admin'!$G$4)/('Utility Admin'!$H$4-'Utility Admin'!$G$4))*(1-((1+'Utility Admin'!$G$4)/(1+'Utility Admin'!$H$4))^$AT208),0)</f>
        <v>0</v>
      </c>
      <c r="BU208" s="459">
        <f t="shared" si="136"/>
        <v>0</v>
      </c>
      <c r="BV208" s="462">
        <f t="shared" si="137"/>
        <v>0</v>
      </c>
      <c r="BW208" s="219" t="str">
        <f t="shared" si="124"/>
        <v/>
      </c>
      <c r="BX208" s="250" t="str">
        <f t="shared" si="138"/>
        <v/>
      </c>
      <c r="BY208" s="250" t="str">
        <f t="shared" si="125"/>
        <v/>
      </c>
      <c r="BZ208" s="184">
        <f t="shared" si="139"/>
        <v>0</v>
      </c>
      <c r="CA208" s="693">
        <f t="shared" si="140"/>
        <v>0</v>
      </c>
      <c r="CB208" s="836">
        <f t="shared" si="141"/>
        <v>0</v>
      </c>
      <c r="CC208" s="693">
        <f>IF(AND($C208="Early Retirement",$H208&lt;&gt;"",$R208&lt;&gt;"",$T208&lt;&gt;""),$BZ208,Baselines!$CJ201)</f>
        <v>0</v>
      </c>
      <c r="CD208" s="693">
        <f>IF(AND($C208="Early Retirement",$H208&lt;&gt;"",$R208&lt;&gt;"",$T208&lt;&gt;""),$CA208,Baselines!$CK201)</f>
        <v>0</v>
      </c>
      <c r="CE208" s="182" t="str">
        <f>Baselines!$CL201</f>
        <v>kW/ton</v>
      </c>
      <c r="CF208" s="850" t="str">
        <f t="shared" si="126"/>
        <v/>
      </c>
      <c r="CG208" s="833">
        <f>IF(AND($C208="Early Retirement",$H208&lt;&gt;"",$R208&lt;&gt;"",$T208&lt;&gt;""),$CB208,IF(AND(Baselines!$CM201=0,OR($CL208="DX HP",$CL208="PTHP")),$BB208,Baselines!$CM201))</f>
        <v>0</v>
      </c>
      <c r="CH208" s="830" t="s">
        <v>567</v>
      </c>
      <c r="CI208" s="185" t="str">
        <f>IF(OR($C208="Replace-on-Burnout",$C208="New Construction"),$CT208,IF($BW208="","",VLOOKUP($D208,'Factor Tables'!$B$165:$H$192,MATCH($BW208,'Factor Tables'!$B$164:$H$164,0),FALSE)))</f>
        <v/>
      </c>
      <c r="CJ208" s="842" t="str">
        <f>IF(OR($C208="Replace-on-Burnout",$C208="New Construction"),$CU208,IF($BW208="","",IF($BW208="DX HP",VLOOKUP($D208,'Factor Tables'!$I$165:$Q$192,MATCH("DX HP Clg",'Factor Tables'!$I$164:$Q$164,0),FALSE),IF($BW208="PTHP",VLOOKUP($D208,'Factor Tables'!$I$165:$Q$192,MATCH("PTHP Clg",'Factor Tables'!$I$164:$Q$164,0),FALSE),IF(AND($BW208&lt;&gt;"DX HP",$BW208&lt;&gt;"PTHP"),VLOOKUP($D208,'Factor Tables'!$I$165:$Q$192,MATCH($BW208,'Factor Tables'!$I$164:$Q$164,0),FALSE),"")))))</f>
        <v/>
      </c>
      <c r="CK208" s="186" t="str">
        <f>IF(OR($C208="Replace-on-Burnout",$C208="New Construction",$CL208="DX HP",$CL208="PTHP"),$CV208,IF($BW208="","",IF($BW208="DX HP",VLOOKUP($D208,'Factor Tables'!$I$165:$Q$192,MATCH("DX HP Htg",'Factor Tables'!$I$164:$Q$164,0),FALSE),IF($BW208="PTHP",VLOOKUP($D208,'Factor Tables'!$I$165:$Q$192,MATCH("PTHP Htg",'Factor Tables'!$I$164:$Q$164,0),FALSE),0))))</f>
        <v/>
      </c>
      <c r="CL208" s="187" t="str">
        <f t="shared" si="127"/>
        <v/>
      </c>
      <c r="CM208" s="251" t="str">
        <f t="shared" si="128"/>
        <v/>
      </c>
      <c r="CN208" s="184">
        <f t="shared" si="142"/>
        <v>0</v>
      </c>
      <c r="CO208" s="693">
        <f t="shared" si="143"/>
        <v>0</v>
      </c>
      <c r="CP208" s="182" t="s">
        <v>46</v>
      </c>
      <c r="CQ208" s="852" t="str">
        <f t="shared" si="144"/>
        <v/>
      </c>
      <c r="CR208" s="833">
        <f t="shared" si="145"/>
        <v>0</v>
      </c>
      <c r="CS208" s="830" t="s">
        <v>567</v>
      </c>
      <c r="CT208" s="185" t="str">
        <f>IF($CL208="","",VLOOKUP($D208,'Factor Tables'!$B$165:$H$192,MATCH($CL208,'Factor Tables'!$B$164:$H$164,0),FALSE))</f>
        <v/>
      </c>
      <c r="CU208" s="842" t="str">
        <f>IF($CL208="","",IF(AND($CL208&lt;&gt;"DX HP",$CL208&lt;&gt;"PTHP"),VLOOKUP($D208,'Factor Tables'!$I$165:$Q$192,MATCH($CL208,'Factor Tables'!$I$164:$Q$164,0),FALSE),IF($CL208="DX HP",VLOOKUP($D208,'Factor Tables'!$I$165:$Q$192,MATCH("DX HP Clg",'Factor Tables'!$I$164:$Q$164,0),FALSE),IF($CL208="PTHP",VLOOKUP($D208,'Factor Tables'!$I$165:$Q$192,MATCH("PTHP Clg",'Factor Tables'!$I$164:$Q$164,0),FALSE),""))))</f>
        <v/>
      </c>
      <c r="CV208" s="186" t="str">
        <f>IF($CL208="","",IF(AND($CL208&lt;&gt;"DX HP",$CL208&lt;&gt;"PTHP"),0,IF($CL208="DX HP",VLOOKUP($D208,'Factor Tables'!$I$165:$Q$192,MATCH("DX HP Htg",'Factor Tables'!$I$164:$Q$164,0),FALSE),IF($CL208="PTHP",VLOOKUP($D208,'Factor Tables'!$I$165:$Q$192,MATCH("PTHP Htg",'Factor Tables'!$I$164:$Q$164,0),FALSE),""))))</f>
        <v/>
      </c>
      <c r="DD208" s="196" t="str">
        <f>IF(OR('Project Info'!$D$8="",$C48="",$D48=""),"",IF('Project Info'!$D$8="Weather Zone 5: El Paso",VLOOKUP($D48,$DI$9:$DL$37,MATCH($C48,$DI$9:$DL$9,0),FALSE),VLOOKUP($D48,$DE$9:$DH$37,MATCH($C48,$DE$9:$DH$9,0),FALSE)))</f>
        <v/>
      </c>
      <c r="DE208" s="426"/>
      <c r="DI208" s="425"/>
      <c r="DJ208" s="425"/>
      <c r="DK208" s="425"/>
      <c r="DL208" s="425"/>
      <c r="DM208" s="493" t="s">
        <v>478</v>
      </c>
    </row>
    <row r="209" spans="2:117" s="427" customFormat="1" ht="21.95" customHeight="1" x14ac:dyDescent="0.25">
      <c r="B209" s="432">
        <v>200</v>
      </c>
      <c r="C209" s="499" t="str">
        <f t="shared" si="129"/>
        <v/>
      </c>
      <c r="D209" s="403" t="str">
        <f t="shared" si="130"/>
        <v/>
      </c>
      <c r="E209" s="541"/>
      <c r="F209" s="785"/>
      <c r="G209" s="728"/>
      <c r="H209" s="728"/>
      <c r="I209" s="728"/>
      <c r="J209" s="728"/>
      <c r="K209" s="728"/>
      <c r="L209" s="728"/>
      <c r="M209" s="764"/>
      <c r="N209" s="728"/>
      <c r="O209" s="764"/>
      <c r="P209" s="728"/>
      <c r="Q209" s="1142"/>
      <c r="R209" s="1133"/>
      <c r="S209" s="778"/>
      <c r="T209" s="767"/>
      <c r="U209" s="778"/>
      <c r="V209" s="751"/>
      <c r="W209" s="556"/>
      <c r="X209" s="785"/>
      <c r="Y209" s="542"/>
      <c r="Z209" s="500"/>
      <c r="AA209" s="500"/>
      <c r="AB209" s="500"/>
      <c r="AC209" s="500"/>
      <c r="AD209" s="529"/>
      <c r="AE209" s="527">
        <f t="shared" si="39"/>
        <v>0</v>
      </c>
      <c r="AF209" s="527">
        <f t="shared" si="131"/>
        <v>0</v>
      </c>
      <c r="AG209" s="527">
        <f t="shared" si="111"/>
        <v>0</v>
      </c>
      <c r="AH209" s="527">
        <f t="shared" si="112"/>
        <v>0</v>
      </c>
      <c r="AI209" s="527">
        <f t="shared" si="113"/>
        <v>0</v>
      </c>
      <c r="AJ209" s="527">
        <f t="shared" si="114"/>
        <v>999999999</v>
      </c>
      <c r="AK209" s="530"/>
      <c r="AL209" s="776"/>
      <c r="AM209" s="777"/>
      <c r="AN209" s="500"/>
      <c r="AO209" s="778"/>
      <c r="AP209" s="778"/>
      <c r="AQ209" s="500"/>
      <c r="AR209" s="531"/>
      <c r="AS209" s="403"/>
      <c r="AT209" s="524" t="str">
        <f t="shared" si="115"/>
        <v/>
      </c>
      <c r="AU209" s="311">
        <f t="shared" si="116"/>
        <v>0</v>
      </c>
      <c r="AV209" s="288">
        <f t="shared" si="132"/>
        <v>0</v>
      </c>
      <c r="AW209" s="290">
        <f>IF(ISERROR($AU209*'Utility Admin'!$E$4+$AV209*'Utility Admin'!$F$4),0,$AU209*'Utility Admin'!$E$4+$AV209*'Utility Admin'!$F$4)</f>
        <v>0</v>
      </c>
      <c r="AX209" s="323" t="str">
        <f t="shared" si="117"/>
        <v/>
      </c>
      <c r="AY209" s="322" t="str">
        <f t="shared" si="23"/>
        <v/>
      </c>
      <c r="AZ209" s="319">
        <f>Baselines!$CJ453</f>
        <v>0</v>
      </c>
      <c r="BA209" s="735">
        <f>Baselines!$CK453</f>
        <v>0</v>
      </c>
      <c r="BB209" s="839">
        <f>Baselines!$CM453</f>
        <v>0</v>
      </c>
      <c r="BC209" s="466">
        <f t="shared" si="118"/>
        <v>0</v>
      </c>
      <c r="BD209" s="464">
        <f t="shared" si="133"/>
        <v>0</v>
      </c>
      <c r="BE209" s="755">
        <f t="shared" si="119"/>
        <v>0</v>
      </c>
      <c r="BF209" s="755">
        <f t="shared" si="134"/>
        <v>0</v>
      </c>
      <c r="BG209" s="466">
        <f t="shared" si="120"/>
        <v>0</v>
      </c>
      <c r="BH209" s="464">
        <f t="shared" si="121"/>
        <v>0</v>
      </c>
      <c r="BI209" s="755">
        <f t="shared" si="122"/>
        <v>0</v>
      </c>
      <c r="BJ209" s="755">
        <f t="shared" si="135"/>
        <v>0</v>
      </c>
      <c r="BK209" s="333">
        <f>IF(OR($C209&lt;&gt;"Early Retirement",$H209=""),0,IF(AND($G209&lt;&gt;"Air Cooled Chiller",$G209&lt;&gt;"Water Cooled Chiller"),VLOOKUP($H209,'Early Retirement'!$CI$6:$CL$33,2,FALSE),IF($J209&lt;&gt;"Centrifugal",VLOOKUP($H209,'Early Retirement'!$CI$6:$CL$33,3,FALSE),IF($J209="Centrifugal",VLOOKUP($H209,'Early Retirement'!$CI$6:$CL$33,4,FALSE),""))))</f>
        <v>0</v>
      </c>
      <c r="BL209" s="450">
        <f t="shared" si="123"/>
        <v>0</v>
      </c>
      <c r="BM209" s="553">
        <f>IFERROR('Utility Admin'!$I$4*((1+'Utility Admin'!$G$4)/('Utility Admin'!$H$4-'Utility Admin'!$G$4))*(1-((1+'Utility Admin'!$G$4)/(1+'Utility Admin'!$H$4))^$BK209)*$BG209,0)</f>
        <v>0</v>
      </c>
      <c r="BN209" s="553">
        <f>IFERROR('Utility Admin'!$I$4*((1+'Utility Admin'!$G$4)/('Utility Admin'!$H$4-'Utility Admin'!$G$4))*(1-((1+'Utility Admin'!$G$4)/(1+'Utility Admin'!$H$4))^$BL209)*((1+'Utility Admin'!$G$4)^$BK209/(1+'Utility Admin'!$H$4)^$BK209)*$BC209,0)</f>
        <v>0</v>
      </c>
      <c r="BO209" s="553">
        <f t="shared" si="27"/>
        <v>0</v>
      </c>
      <c r="BP209" s="553">
        <f>IFERROR('Utility Admin'!$J$4*((1+'Utility Admin'!$G$4)/('Utility Admin'!$H$4-'Utility Admin'!$G$4))*(1-((1+'Utility Admin'!$G$4)/(1+'Utility Admin'!$H$4))^$BK209)*$BJ209,0)</f>
        <v>0</v>
      </c>
      <c r="BQ209" s="553">
        <f>IFERROR('Utility Admin'!$J$4*((1+'Utility Admin'!$G$4)/('Utility Admin'!$H$4-'Utility Admin'!$G$4))*(1-((1+'Utility Admin'!$G$4)/(1+'Utility Admin'!$H$4))^$BL209)*((1+'Utility Admin'!$G$4)^$BK209/(1+'Utility Admin'!$H$4)^$BK209)*$BF209,0)</f>
        <v>0</v>
      </c>
      <c r="BR209" s="553">
        <f t="shared" si="28"/>
        <v>0</v>
      </c>
      <c r="BS209" s="553">
        <f>IFERROR('Utility Admin'!$I$4*((1+'Utility Admin'!$G$4)/('Utility Admin'!$H$4-'Utility Admin'!$G$4))*(1-((1+'Utility Admin'!$G$4)/(1+'Utility Admin'!$H$4))^$AT209),0)</f>
        <v>0</v>
      </c>
      <c r="BT209" s="553">
        <f>IFERROR('Utility Admin'!$J$4*((1+'Utility Admin'!$G$4)/('Utility Admin'!$H$4-'Utility Admin'!$G$4))*(1-((1+'Utility Admin'!$G$4)/(1+'Utility Admin'!$H$4))^$AT209),0)</f>
        <v>0</v>
      </c>
      <c r="BU209" s="459">
        <f t="shared" si="136"/>
        <v>0</v>
      </c>
      <c r="BV209" s="462">
        <f t="shared" si="137"/>
        <v>0</v>
      </c>
      <c r="BW209" s="219" t="str">
        <f t="shared" si="124"/>
        <v/>
      </c>
      <c r="BX209" s="250" t="str">
        <f t="shared" si="138"/>
        <v/>
      </c>
      <c r="BY209" s="250" t="str">
        <f t="shared" si="125"/>
        <v/>
      </c>
      <c r="BZ209" s="184">
        <f t="shared" si="139"/>
        <v>0</v>
      </c>
      <c r="CA209" s="693">
        <f t="shared" si="140"/>
        <v>0</v>
      </c>
      <c r="CB209" s="836">
        <f t="shared" si="141"/>
        <v>0</v>
      </c>
      <c r="CC209" s="693">
        <f>IF(AND($C209="Early Retirement",$H209&lt;&gt;"",$R209&lt;&gt;"",$T209&lt;&gt;""),$BZ209,Baselines!$CJ202)</f>
        <v>0</v>
      </c>
      <c r="CD209" s="693">
        <f>IF(AND($C209="Early Retirement",$H209&lt;&gt;"",$R209&lt;&gt;"",$T209&lt;&gt;""),$CA209,Baselines!$CK202)</f>
        <v>0</v>
      </c>
      <c r="CE209" s="182" t="str">
        <f>Baselines!$CL202</f>
        <v>kW/ton</v>
      </c>
      <c r="CF209" s="850" t="str">
        <f t="shared" si="126"/>
        <v/>
      </c>
      <c r="CG209" s="833">
        <f>IF(AND($C209="Early Retirement",$H209&lt;&gt;"",$R209&lt;&gt;"",$T209&lt;&gt;""),$CB209,IF(AND(Baselines!$CM202=0,OR($CL209="DX HP",$CL209="PTHP")),$BB209,Baselines!$CM202))</f>
        <v>0</v>
      </c>
      <c r="CH209" s="830" t="s">
        <v>567</v>
      </c>
      <c r="CI209" s="185" t="str">
        <f>IF(OR($C209="Replace-on-Burnout",$C209="New Construction"),$CT209,IF($BW209="","",VLOOKUP($D209,'Factor Tables'!$B$165:$H$192,MATCH($BW209,'Factor Tables'!$B$164:$H$164,0),FALSE)))</f>
        <v/>
      </c>
      <c r="CJ209" s="842" t="str">
        <f>IF(OR($C209="Replace-on-Burnout",$C209="New Construction"),$CU209,IF($BW209="","",IF($BW209="DX HP",VLOOKUP($D209,'Factor Tables'!$I$165:$Q$192,MATCH("DX HP Clg",'Factor Tables'!$I$164:$Q$164,0),FALSE),IF($BW209="PTHP",VLOOKUP($D209,'Factor Tables'!$I$165:$Q$192,MATCH("PTHP Clg",'Factor Tables'!$I$164:$Q$164,0),FALSE),IF(AND($BW209&lt;&gt;"DX HP",$BW209&lt;&gt;"PTHP"),VLOOKUP($D209,'Factor Tables'!$I$165:$Q$192,MATCH($BW209,'Factor Tables'!$I$164:$Q$164,0),FALSE),"")))))</f>
        <v/>
      </c>
      <c r="CK209" s="186" t="str">
        <f>IF(OR($C209="Replace-on-Burnout",$C209="New Construction",$CL209="DX HP",$CL209="PTHP"),$CV209,IF($BW209="","",IF($BW209="DX HP",VLOOKUP($D209,'Factor Tables'!$I$165:$Q$192,MATCH("DX HP Htg",'Factor Tables'!$I$164:$Q$164,0),FALSE),IF($BW209="PTHP",VLOOKUP($D209,'Factor Tables'!$I$165:$Q$192,MATCH("PTHP Htg",'Factor Tables'!$I$164:$Q$164,0),FALSE),0))))</f>
        <v/>
      </c>
      <c r="CL209" s="187" t="str">
        <f t="shared" si="127"/>
        <v/>
      </c>
      <c r="CM209" s="251" t="str">
        <f t="shared" si="128"/>
        <v/>
      </c>
      <c r="CN209" s="184">
        <f t="shared" si="142"/>
        <v>0</v>
      </c>
      <c r="CO209" s="693">
        <f t="shared" si="143"/>
        <v>0</v>
      </c>
      <c r="CP209" s="182" t="s">
        <v>46</v>
      </c>
      <c r="CQ209" s="852" t="str">
        <f t="shared" si="144"/>
        <v/>
      </c>
      <c r="CR209" s="833">
        <f t="shared" si="145"/>
        <v>0</v>
      </c>
      <c r="CS209" s="830" t="s">
        <v>567</v>
      </c>
      <c r="CT209" s="185" t="str">
        <f>IF($CL209="","",VLOOKUP($D209,'Factor Tables'!$B$165:$H$192,MATCH($CL209,'Factor Tables'!$B$164:$H$164,0),FALSE))</f>
        <v/>
      </c>
      <c r="CU209" s="842" t="str">
        <f>IF($CL209="","",IF(AND($CL209&lt;&gt;"DX HP",$CL209&lt;&gt;"PTHP"),VLOOKUP($D209,'Factor Tables'!$I$165:$Q$192,MATCH($CL209,'Factor Tables'!$I$164:$Q$164,0),FALSE),IF($CL209="DX HP",VLOOKUP($D209,'Factor Tables'!$I$165:$Q$192,MATCH("DX HP Clg",'Factor Tables'!$I$164:$Q$164,0),FALSE),IF($CL209="PTHP",VLOOKUP($D209,'Factor Tables'!$I$165:$Q$192,MATCH("PTHP Clg",'Factor Tables'!$I$164:$Q$164,0),FALSE),""))))</f>
        <v/>
      </c>
      <c r="CV209" s="186" t="str">
        <f>IF($CL209="","",IF(AND($CL209&lt;&gt;"DX HP",$CL209&lt;&gt;"PTHP"),0,IF($CL209="DX HP",VLOOKUP($D209,'Factor Tables'!$I$165:$Q$192,MATCH("DX HP Htg",'Factor Tables'!$I$164:$Q$164,0),FALSE),IF($CL209="PTHP",VLOOKUP($D209,'Factor Tables'!$I$165:$Q$192,MATCH("PTHP Htg",'Factor Tables'!$I$164:$Q$164,0),FALSE),""))))</f>
        <v/>
      </c>
      <c r="DD209" s="196" t="str">
        <f>IF(OR('Project Info'!$D$8="",$C49="",$D49=""),"",IF('Project Info'!$D$8="Weather Zone 5: El Paso",VLOOKUP($D49,$DI$9:$DL$37,MATCH($C49,$DI$9:$DL$9,0),FALSE),VLOOKUP($D49,$DE$9:$DH$37,MATCH($C49,$DE$9:$DH$9,0),FALSE)))</f>
        <v/>
      </c>
      <c r="DE209" s="426"/>
      <c r="DI209" s="425"/>
      <c r="DJ209" s="425"/>
      <c r="DK209" s="425"/>
      <c r="DL209" s="425"/>
      <c r="DM209" s="493" t="s">
        <v>478</v>
      </c>
    </row>
    <row r="210" spans="2:117" s="427" customFormat="1" ht="21.95" customHeight="1" x14ac:dyDescent="0.25">
      <c r="B210" s="431">
        <v>201</v>
      </c>
      <c r="C210" s="501" t="str">
        <f t="shared" si="129"/>
        <v/>
      </c>
      <c r="D210" s="502" t="str">
        <f t="shared" si="130"/>
        <v/>
      </c>
      <c r="E210" s="546"/>
      <c r="F210" s="547"/>
      <c r="G210" s="729"/>
      <c r="H210" s="729"/>
      <c r="I210" s="729"/>
      <c r="J210" s="729"/>
      <c r="K210" s="729"/>
      <c r="L210" s="729"/>
      <c r="M210" s="765"/>
      <c r="N210" s="758"/>
      <c r="O210" s="765"/>
      <c r="P210" s="758"/>
      <c r="Q210" s="1143"/>
      <c r="R210" s="1134"/>
      <c r="S210" s="775"/>
      <c r="T210" s="729"/>
      <c r="U210" s="775"/>
      <c r="V210" s="779"/>
      <c r="W210" s="557"/>
      <c r="X210" s="788"/>
      <c r="Y210" s="543"/>
      <c r="Z210" s="281"/>
      <c r="AA210" s="281"/>
      <c r="AB210" s="281"/>
      <c r="AC210" s="281"/>
      <c r="AD210" s="492"/>
      <c r="AE210" s="527">
        <f t="shared" si="39"/>
        <v>0</v>
      </c>
      <c r="AF210" s="527">
        <f t="shared" si="131"/>
        <v>0</v>
      </c>
      <c r="AG210" s="527">
        <f t="shared" si="111"/>
        <v>0</v>
      </c>
      <c r="AH210" s="527">
        <f t="shared" si="112"/>
        <v>0</v>
      </c>
      <c r="AI210" s="527">
        <f t="shared" si="113"/>
        <v>0</v>
      </c>
      <c r="AJ210" s="527">
        <f t="shared" si="114"/>
        <v>999999999</v>
      </c>
      <c r="AK210" s="471"/>
      <c r="AL210" s="765"/>
      <c r="AM210" s="758"/>
      <c r="AN210" s="281"/>
      <c r="AO210" s="775"/>
      <c r="AP210" s="775"/>
      <c r="AQ210" s="281"/>
      <c r="AR210" s="528"/>
      <c r="AS210" s="532"/>
      <c r="AT210" s="524" t="str">
        <f t="shared" si="115"/>
        <v/>
      </c>
      <c r="AU210" s="311">
        <f t="shared" si="116"/>
        <v>0</v>
      </c>
      <c r="AV210" s="288">
        <f t="shared" si="132"/>
        <v>0</v>
      </c>
      <c r="AW210" s="290">
        <f>IF(ISERROR($AU210*'Utility Admin'!$E$4+$AV210*'Utility Admin'!$F$4),0,$AU210*'Utility Admin'!$E$4+$AV210*'Utility Admin'!$F$4)</f>
        <v>0</v>
      </c>
      <c r="AX210" s="323" t="str">
        <f t="shared" si="117"/>
        <v/>
      </c>
      <c r="AY210" s="322" t="str">
        <f t="shared" si="23"/>
        <v/>
      </c>
      <c r="AZ210" s="319">
        <f>Baselines!$CJ454</f>
        <v>0</v>
      </c>
      <c r="BA210" s="735">
        <f>Baselines!$CK454</f>
        <v>0</v>
      </c>
      <c r="BB210" s="839">
        <f>Baselines!$CM454</f>
        <v>0</v>
      </c>
      <c r="BC210" s="466">
        <f t="shared" si="118"/>
        <v>0</v>
      </c>
      <c r="BD210" s="464">
        <f t="shared" si="133"/>
        <v>0</v>
      </c>
      <c r="BE210" s="755">
        <f t="shared" si="119"/>
        <v>0</v>
      </c>
      <c r="BF210" s="755">
        <f t="shared" si="134"/>
        <v>0</v>
      </c>
      <c r="BG210" s="466">
        <f t="shared" si="120"/>
        <v>0</v>
      </c>
      <c r="BH210" s="464">
        <f t="shared" si="121"/>
        <v>0</v>
      </c>
      <c r="BI210" s="755">
        <f t="shared" si="122"/>
        <v>0</v>
      </c>
      <c r="BJ210" s="755">
        <f t="shared" si="135"/>
        <v>0</v>
      </c>
      <c r="BK210" s="333">
        <f>IF(OR($C210&lt;&gt;"Early Retirement",$H210=""),0,IF(AND($G210&lt;&gt;"Air Cooled Chiller",$G210&lt;&gt;"Water Cooled Chiller"),VLOOKUP($H210,'Early Retirement'!$CI$6:$CL$33,2,FALSE),IF($J210&lt;&gt;"Centrifugal",VLOOKUP($H210,'Early Retirement'!$CI$6:$CL$33,3,FALSE),IF($J210="Centrifugal",VLOOKUP($H210,'Early Retirement'!$CI$6:$CL$33,4,FALSE),""))))</f>
        <v>0</v>
      </c>
      <c r="BL210" s="450">
        <f t="shared" si="123"/>
        <v>0</v>
      </c>
      <c r="BM210" s="553">
        <f>IFERROR('Utility Admin'!$I$4*((1+'Utility Admin'!$G$4)/('Utility Admin'!$H$4-'Utility Admin'!$G$4))*(1-((1+'Utility Admin'!$G$4)/(1+'Utility Admin'!$H$4))^$BK210)*$BG210,0)</f>
        <v>0</v>
      </c>
      <c r="BN210" s="553">
        <f>IFERROR('Utility Admin'!$I$4*((1+'Utility Admin'!$G$4)/('Utility Admin'!$H$4-'Utility Admin'!$G$4))*(1-((1+'Utility Admin'!$G$4)/(1+'Utility Admin'!$H$4))^$BL210)*((1+'Utility Admin'!$G$4)^$BK210/(1+'Utility Admin'!$H$4)^$BK210)*$BC210,0)</f>
        <v>0</v>
      </c>
      <c r="BO210" s="553">
        <f t="shared" si="27"/>
        <v>0</v>
      </c>
      <c r="BP210" s="553">
        <f>IFERROR('Utility Admin'!$J$4*((1+'Utility Admin'!$G$4)/('Utility Admin'!$H$4-'Utility Admin'!$G$4))*(1-((1+'Utility Admin'!$G$4)/(1+'Utility Admin'!$H$4))^$BK210)*$BJ210,0)</f>
        <v>0</v>
      </c>
      <c r="BQ210" s="553">
        <f>IFERROR('Utility Admin'!$J$4*((1+'Utility Admin'!$G$4)/('Utility Admin'!$H$4-'Utility Admin'!$G$4))*(1-((1+'Utility Admin'!$G$4)/(1+'Utility Admin'!$H$4))^$BL210)*((1+'Utility Admin'!$G$4)^$BK210/(1+'Utility Admin'!$H$4)^$BK210)*$BF210,0)</f>
        <v>0</v>
      </c>
      <c r="BR210" s="553">
        <f t="shared" si="28"/>
        <v>0</v>
      </c>
      <c r="BS210" s="553">
        <f>IFERROR('Utility Admin'!$I$4*((1+'Utility Admin'!$G$4)/('Utility Admin'!$H$4-'Utility Admin'!$G$4))*(1-((1+'Utility Admin'!$G$4)/(1+'Utility Admin'!$H$4))^$AT210),0)</f>
        <v>0</v>
      </c>
      <c r="BT210" s="553">
        <f>IFERROR('Utility Admin'!$J$4*((1+'Utility Admin'!$G$4)/('Utility Admin'!$H$4-'Utility Admin'!$G$4))*(1-((1+'Utility Admin'!$G$4)/(1+'Utility Admin'!$H$4))^$AT210),0)</f>
        <v>0</v>
      </c>
      <c r="BU210" s="459">
        <f t="shared" si="136"/>
        <v>0</v>
      </c>
      <c r="BV210" s="462">
        <f t="shared" si="137"/>
        <v>0</v>
      </c>
      <c r="BW210" s="219" t="str">
        <f t="shared" si="124"/>
        <v/>
      </c>
      <c r="BX210" s="250" t="str">
        <f t="shared" si="138"/>
        <v/>
      </c>
      <c r="BY210" s="250" t="str">
        <f t="shared" si="125"/>
        <v/>
      </c>
      <c r="BZ210" s="184">
        <f t="shared" si="139"/>
        <v>0</v>
      </c>
      <c r="CA210" s="693">
        <f t="shared" si="140"/>
        <v>0</v>
      </c>
      <c r="CB210" s="836">
        <f t="shared" si="141"/>
        <v>0</v>
      </c>
      <c r="CC210" s="693">
        <f>IF(AND($C210="Early Retirement",$H210&lt;&gt;"",$R210&lt;&gt;"",$T210&lt;&gt;""),$BZ210,Baselines!$CJ203)</f>
        <v>0</v>
      </c>
      <c r="CD210" s="693">
        <f>IF(AND($C210="Early Retirement",$H210&lt;&gt;"",$R210&lt;&gt;"",$T210&lt;&gt;""),$CA210,Baselines!$CK203)</f>
        <v>0</v>
      </c>
      <c r="CE210" s="182" t="str">
        <f>Baselines!$CL203</f>
        <v>kW/ton</v>
      </c>
      <c r="CF210" s="850" t="str">
        <f t="shared" si="126"/>
        <v/>
      </c>
      <c r="CG210" s="833">
        <f>IF(AND($C210="Early Retirement",$H210&lt;&gt;"",$R210&lt;&gt;"",$T210&lt;&gt;""),$CB210,IF(AND(Baselines!$CM203=0,OR($CL210="DX HP",$CL210="PTHP")),$BB210,Baselines!$CM203))</f>
        <v>0</v>
      </c>
      <c r="CH210" s="830" t="s">
        <v>567</v>
      </c>
      <c r="CI210" s="185" t="str">
        <f>IF(OR($C210="Replace-on-Burnout",$C210="New Construction"),$CT210,IF($BW210="","",VLOOKUP($D210,'Factor Tables'!$B$165:$H$192,MATCH($BW210,'Factor Tables'!$B$164:$H$164,0),FALSE)))</f>
        <v/>
      </c>
      <c r="CJ210" s="842" t="str">
        <f>IF(OR($C210="Replace-on-Burnout",$C210="New Construction"),$CU210,IF($BW210="","",IF($BW210="DX HP",VLOOKUP($D210,'Factor Tables'!$I$165:$Q$192,MATCH("DX HP Clg",'Factor Tables'!$I$164:$Q$164,0),FALSE),IF($BW210="PTHP",VLOOKUP($D210,'Factor Tables'!$I$165:$Q$192,MATCH("PTHP Clg",'Factor Tables'!$I$164:$Q$164,0),FALSE),IF(AND($BW210&lt;&gt;"DX HP",$BW210&lt;&gt;"PTHP"),VLOOKUP($D210,'Factor Tables'!$I$165:$Q$192,MATCH($BW210,'Factor Tables'!$I$164:$Q$164,0),FALSE),"")))))</f>
        <v/>
      </c>
      <c r="CK210" s="186" t="str">
        <f>IF(OR($C210="Replace-on-Burnout",$C210="New Construction",$CL210="DX HP",$CL210="PTHP"),$CV210,IF($BW210="","",IF($BW210="DX HP",VLOOKUP($D210,'Factor Tables'!$I$165:$Q$192,MATCH("DX HP Htg",'Factor Tables'!$I$164:$Q$164,0),FALSE),IF($BW210="PTHP",VLOOKUP($D210,'Factor Tables'!$I$165:$Q$192,MATCH("PTHP Htg",'Factor Tables'!$I$164:$Q$164,0),FALSE),0))))</f>
        <v/>
      </c>
      <c r="CL210" s="187" t="str">
        <f t="shared" si="127"/>
        <v/>
      </c>
      <c r="CM210" s="251" t="str">
        <f t="shared" si="128"/>
        <v/>
      </c>
      <c r="CN210" s="184">
        <f t="shared" si="142"/>
        <v>0</v>
      </c>
      <c r="CO210" s="693">
        <f t="shared" si="143"/>
        <v>0</v>
      </c>
      <c r="CP210" s="182" t="s">
        <v>46</v>
      </c>
      <c r="CQ210" s="852" t="str">
        <f t="shared" si="144"/>
        <v/>
      </c>
      <c r="CR210" s="833">
        <f t="shared" si="145"/>
        <v>0</v>
      </c>
      <c r="CS210" s="830" t="s">
        <v>567</v>
      </c>
      <c r="CT210" s="185" t="str">
        <f>IF($CL210="","",VLOOKUP($D210,'Factor Tables'!$B$165:$H$192,MATCH($CL210,'Factor Tables'!$B$164:$H$164,0),FALSE))</f>
        <v/>
      </c>
      <c r="CU210" s="842" t="str">
        <f>IF($CL210="","",IF(AND($CL210&lt;&gt;"DX HP",$CL210&lt;&gt;"PTHP"),VLOOKUP($D210,'Factor Tables'!$I$165:$Q$192,MATCH($CL210,'Factor Tables'!$I$164:$Q$164,0),FALSE),IF($CL210="DX HP",VLOOKUP($D210,'Factor Tables'!$I$165:$Q$192,MATCH("DX HP Clg",'Factor Tables'!$I$164:$Q$164,0),FALSE),IF($CL210="PTHP",VLOOKUP($D210,'Factor Tables'!$I$165:$Q$192,MATCH("PTHP Clg",'Factor Tables'!$I$164:$Q$164,0),FALSE),""))))</f>
        <v/>
      </c>
      <c r="CV210" s="186" t="str">
        <f>IF($CL210="","",IF(AND($CL210&lt;&gt;"DX HP",$CL210&lt;&gt;"PTHP"),0,IF($CL210="DX HP",VLOOKUP($D210,'Factor Tables'!$I$165:$Q$192,MATCH("DX HP Htg",'Factor Tables'!$I$164:$Q$164,0),FALSE),IF($CL210="PTHP",VLOOKUP($D210,'Factor Tables'!$I$165:$Q$192,MATCH("PTHP Htg",'Factor Tables'!$I$164:$Q$164,0),FALSE),""))))</f>
        <v/>
      </c>
      <c r="DD210" s="196" t="str">
        <f>IF(OR('Project Info'!$D$8="",$C50="",$D50=""),"",IF('Project Info'!$D$8="Weather Zone 5: El Paso",VLOOKUP($D50,$DI$9:$DL$37,MATCH($C50,$DI$9:$DL$9,0),FALSE),VLOOKUP($D50,$DE$9:$DH$37,MATCH($C50,$DE$9:$DH$9,0),FALSE)))</f>
        <v/>
      </c>
      <c r="DE210" s="426"/>
      <c r="DI210" s="425"/>
      <c r="DJ210" s="425"/>
      <c r="DK210" s="425"/>
      <c r="DL210" s="425"/>
      <c r="DM210" s="493" t="s">
        <v>478</v>
      </c>
    </row>
    <row r="211" spans="2:117" s="427" customFormat="1" ht="21.95" customHeight="1" x14ac:dyDescent="0.25">
      <c r="B211" s="432">
        <v>202</v>
      </c>
      <c r="C211" s="499" t="str">
        <f t="shared" si="129"/>
        <v/>
      </c>
      <c r="D211" s="403" t="str">
        <f t="shared" si="130"/>
        <v/>
      </c>
      <c r="E211" s="541"/>
      <c r="F211" s="785"/>
      <c r="G211" s="728"/>
      <c r="H211" s="728"/>
      <c r="I211" s="728"/>
      <c r="J211" s="728"/>
      <c r="K211" s="728"/>
      <c r="L211" s="728"/>
      <c r="M211" s="764"/>
      <c r="N211" s="728"/>
      <c r="O211" s="764"/>
      <c r="P211" s="728"/>
      <c r="Q211" s="1142"/>
      <c r="R211" s="1133"/>
      <c r="S211" s="778"/>
      <c r="T211" s="767"/>
      <c r="U211" s="778"/>
      <c r="V211" s="751"/>
      <c r="W211" s="556"/>
      <c r="X211" s="785"/>
      <c r="Y211" s="542"/>
      <c r="Z211" s="500"/>
      <c r="AA211" s="500"/>
      <c r="AB211" s="500"/>
      <c r="AC211" s="500"/>
      <c r="AD211" s="529"/>
      <c r="AE211" s="527">
        <f t="shared" si="39"/>
        <v>0</v>
      </c>
      <c r="AF211" s="527">
        <f t="shared" si="131"/>
        <v>0</v>
      </c>
      <c r="AG211" s="527">
        <f t="shared" si="111"/>
        <v>0</v>
      </c>
      <c r="AH211" s="527">
        <f t="shared" si="112"/>
        <v>0</v>
      </c>
      <c r="AI211" s="527">
        <f t="shared" si="113"/>
        <v>0</v>
      </c>
      <c r="AJ211" s="527">
        <f t="shared" si="114"/>
        <v>999999999</v>
      </c>
      <c r="AK211" s="530"/>
      <c r="AL211" s="776"/>
      <c r="AM211" s="777"/>
      <c r="AN211" s="500"/>
      <c r="AO211" s="778"/>
      <c r="AP211" s="778"/>
      <c r="AQ211" s="500"/>
      <c r="AR211" s="531"/>
      <c r="AS211" s="403"/>
      <c r="AT211" s="524" t="str">
        <f t="shared" si="115"/>
        <v/>
      </c>
      <c r="AU211" s="311">
        <f t="shared" si="116"/>
        <v>0</v>
      </c>
      <c r="AV211" s="288">
        <f t="shared" si="132"/>
        <v>0</v>
      </c>
      <c r="AW211" s="290">
        <f>IF(ISERROR($AU211*'Utility Admin'!$E$4+$AV211*'Utility Admin'!$F$4),0,$AU211*'Utility Admin'!$E$4+$AV211*'Utility Admin'!$F$4)</f>
        <v>0</v>
      </c>
      <c r="AX211" s="323" t="str">
        <f t="shared" si="117"/>
        <v/>
      </c>
      <c r="AY211" s="322" t="str">
        <f t="shared" si="23"/>
        <v/>
      </c>
      <c r="AZ211" s="319">
        <f>Baselines!$CJ455</f>
        <v>0</v>
      </c>
      <c r="BA211" s="735">
        <f>Baselines!$CK455</f>
        <v>0</v>
      </c>
      <c r="BB211" s="839">
        <f>Baselines!$CM455</f>
        <v>0</v>
      </c>
      <c r="BC211" s="466">
        <f t="shared" si="118"/>
        <v>0</v>
      </c>
      <c r="BD211" s="464">
        <f t="shared" si="133"/>
        <v>0</v>
      </c>
      <c r="BE211" s="755">
        <f t="shared" si="119"/>
        <v>0</v>
      </c>
      <c r="BF211" s="755">
        <f t="shared" si="134"/>
        <v>0</v>
      </c>
      <c r="BG211" s="466">
        <f t="shared" si="120"/>
        <v>0</v>
      </c>
      <c r="BH211" s="464">
        <f t="shared" si="121"/>
        <v>0</v>
      </c>
      <c r="BI211" s="755">
        <f t="shared" si="122"/>
        <v>0</v>
      </c>
      <c r="BJ211" s="755">
        <f t="shared" si="135"/>
        <v>0</v>
      </c>
      <c r="BK211" s="333">
        <f>IF(OR($C211&lt;&gt;"Early Retirement",$H211=""),0,IF(AND($G211&lt;&gt;"Air Cooled Chiller",$G211&lt;&gt;"Water Cooled Chiller"),VLOOKUP($H211,'Early Retirement'!$CI$6:$CL$33,2,FALSE),IF($J211&lt;&gt;"Centrifugal",VLOOKUP($H211,'Early Retirement'!$CI$6:$CL$33,3,FALSE),IF($J211="Centrifugal",VLOOKUP($H211,'Early Retirement'!$CI$6:$CL$33,4,FALSE),""))))</f>
        <v>0</v>
      </c>
      <c r="BL211" s="450">
        <f t="shared" si="123"/>
        <v>0</v>
      </c>
      <c r="BM211" s="553">
        <f>IFERROR('Utility Admin'!$I$4*((1+'Utility Admin'!$G$4)/('Utility Admin'!$H$4-'Utility Admin'!$G$4))*(1-((1+'Utility Admin'!$G$4)/(1+'Utility Admin'!$H$4))^$BK211)*$BG211,0)</f>
        <v>0</v>
      </c>
      <c r="BN211" s="553">
        <f>IFERROR('Utility Admin'!$I$4*((1+'Utility Admin'!$G$4)/('Utility Admin'!$H$4-'Utility Admin'!$G$4))*(1-((1+'Utility Admin'!$G$4)/(1+'Utility Admin'!$H$4))^$BL211)*((1+'Utility Admin'!$G$4)^$BK211/(1+'Utility Admin'!$H$4)^$BK211)*$BC211,0)</f>
        <v>0</v>
      </c>
      <c r="BO211" s="553">
        <f t="shared" si="27"/>
        <v>0</v>
      </c>
      <c r="BP211" s="553">
        <f>IFERROR('Utility Admin'!$J$4*((1+'Utility Admin'!$G$4)/('Utility Admin'!$H$4-'Utility Admin'!$G$4))*(1-((1+'Utility Admin'!$G$4)/(1+'Utility Admin'!$H$4))^$BK211)*$BJ211,0)</f>
        <v>0</v>
      </c>
      <c r="BQ211" s="553">
        <f>IFERROR('Utility Admin'!$J$4*((1+'Utility Admin'!$G$4)/('Utility Admin'!$H$4-'Utility Admin'!$G$4))*(1-((1+'Utility Admin'!$G$4)/(1+'Utility Admin'!$H$4))^$BL211)*((1+'Utility Admin'!$G$4)^$BK211/(1+'Utility Admin'!$H$4)^$BK211)*$BF211,0)</f>
        <v>0</v>
      </c>
      <c r="BR211" s="553">
        <f t="shared" si="28"/>
        <v>0</v>
      </c>
      <c r="BS211" s="553">
        <f>IFERROR('Utility Admin'!$I$4*((1+'Utility Admin'!$G$4)/('Utility Admin'!$H$4-'Utility Admin'!$G$4))*(1-((1+'Utility Admin'!$G$4)/(1+'Utility Admin'!$H$4))^$AT211),0)</f>
        <v>0</v>
      </c>
      <c r="BT211" s="553">
        <f>IFERROR('Utility Admin'!$J$4*((1+'Utility Admin'!$G$4)/('Utility Admin'!$H$4-'Utility Admin'!$G$4))*(1-((1+'Utility Admin'!$G$4)/(1+'Utility Admin'!$H$4))^$AT211),0)</f>
        <v>0</v>
      </c>
      <c r="BU211" s="459">
        <f t="shared" si="136"/>
        <v>0</v>
      </c>
      <c r="BV211" s="462">
        <f t="shared" si="137"/>
        <v>0</v>
      </c>
      <c r="BW211" s="219" t="str">
        <f t="shared" si="124"/>
        <v/>
      </c>
      <c r="BX211" s="250" t="str">
        <f t="shared" si="138"/>
        <v/>
      </c>
      <c r="BY211" s="250" t="str">
        <f t="shared" si="125"/>
        <v/>
      </c>
      <c r="BZ211" s="184">
        <f t="shared" si="139"/>
        <v>0</v>
      </c>
      <c r="CA211" s="693">
        <f t="shared" si="140"/>
        <v>0</v>
      </c>
      <c r="CB211" s="836">
        <f t="shared" si="141"/>
        <v>0</v>
      </c>
      <c r="CC211" s="693">
        <f>IF(AND($C211="Early Retirement",$H211&lt;&gt;"",$R211&lt;&gt;"",$T211&lt;&gt;""),$BZ211,Baselines!$CJ204)</f>
        <v>0</v>
      </c>
      <c r="CD211" s="693">
        <f>IF(AND($C211="Early Retirement",$H211&lt;&gt;"",$R211&lt;&gt;"",$T211&lt;&gt;""),$CA211,Baselines!$CK204)</f>
        <v>0</v>
      </c>
      <c r="CE211" s="182" t="str">
        <f>Baselines!$CL204</f>
        <v>kW/ton</v>
      </c>
      <c r="CF211" s="850" t="str">
        <f t="shared" si="126"/>
        <v/>
      </c>
      <c r="CG211" s="833">
        <f>IF(AND($C211="Early Retirement",$H211&lt;&gt;"",$R211&lt;&gt;"",$T211&lt;&gt;""),$CB211,IF(AND(Baselines!$CM204=0,OR($CL211="DX HP",$CL211="PTHP")),$BB211,Baselines!$CM204))</f>
        <v>0</v>
      </c>
      <c r="CH211" s="830" t="s">
        <v>567</v>
      </c>
      <c r="CI211" s="185" t="str">
        <f>IF(OR($C211="Replace-on-Burnout",$C211="New Construction"),$CT211,IF($BW211="","",VLOOKUP($D211,'Factor Tables'!$B$165:$H$192,MATCH($BW211,'Factor Tables'!$B$164:$H$164,0),FALSE)))</f>
        <v/>
      </c>
      <c r="CJ211" s="842" t="str">
        <f>IF(OR($C211="Replace-on-Burnout",$C211="New Construction"),$CU211,IF($BW211="","",IF($BW211="DX HP",VLOOKUP($D211,'Factor Tables'!$I$165:$Q$192,MATCH("DX HP Clg",'Factor Tables'!$I$164:$Q$164,0),FALSE),IF($BW211="PTHP",VLOOKUP($D211,'Factor Tables'!$I$165:$Q$192,MATCH("PTHP Clg",'Factor Tables'!$I$164:$Q$164,0),FALSE),IF(AND($BW211&lt;&gt;"DX HP",$BW211&lt;&gt;"PTHP"),VLOOKUP($D211,'Factor Tables'!$I$165:$Q$192,MATCH($BW211,'Factor Tables'!$I$164:$Q$164,0),FALSE),"")))))</f>
        <v/>
      </c>
      <c r="CK211" s="186" t="str">
        <f>IF(OR($C211="Replace-on-Burnout",$C211="New Construction",$CL211="DX HP",$CL211="PTHP"),$CV211,IF($BW211="","",IF($BW211="DX HP",VLOOKUP($D211,'Factor Tables'!$I$165:$Q$192,MATCH("DX HP Htg",'Factor Tables'!$I$164:$Q$164,0),FALSE),IF($BW211="PTHP",VLOOKUP($D211,'Factor Tables'!$I$165:$Q$192,MATCH("PTHP Htg",'Factor Tables'!$I$164:$Q$164,0),FALSE),0))))</f>
        <v/>
      </c>
      <c r="CL211" s="187" t="str">
        <f t="shared" si="127"/>
        <v/>
      </c>
      <c r="CM211" s="251" t="str">
        <f t="shared" si="128"/>
        <v/>
      </c>
      <c r="CN211" s="184">
        <f t="shared" si="142"/>
        <v>0</v>
      </c>
      <c r="CO211" s="693">
        <f t="shared" si="143"/>
        <v>0</v>
      </c>
      <c r="CP211" s="182" t="s">
        <v>46</v>
      </c>
      <c r="CQ211" s="852" t="str">
        <f t="shared" si="144"/>
        <v/>
      </c>
      <c r="CR211" s="833">
        <f t="shared" si="145"/>
        <v>0</v>
      </c>
      <c r="CS211" s="830" t="s">
        <v>567</v>
      </c>
      <c r="CT211" s="185" t="str">
        <f>IF($CL211="","",VLOOKUP($D211,'Factor Tables'!$B$165:$H$192,MATCH($CL211,'Factor Tables'!$B$164:$H$164,0),FALSE))</f>
        <v/>
      </c>
      <c r="CU211" s="842" t="str">
        <f>IF($CL211="","",IF(AND($CL211&lt;&gt;"DX HP",$CL211&lt;&gt;"PTHP"),VLOOKUP($D211,'Factor Tables'!$I$165:$Q$192,MATCH($CL211,'Factor Tables'!$I$164:$Q$164,0),FALSE),IF($CL211="DX HP",VLOOKUP($D211,'Factor Tables'!$I$165:$Q$192,MATCH("DX HP Clg",'Factor Tables'!$I$164:$Q$164,0),FALSE),IF($CL211="PTHP",VLOOKUP($D211,'Factor Tables'!$I$165:$Q$192,MATCH("PTHP Clg",'Factor Tables'!$I$164:$Q$164,0),FALSE),""))))</f>
        <v/>
      </c>
      <c r="CV211" s="186" t="str">
        <f>IF($CL211="","",IF(AND($CL211&lt;&gt;"DX HP",$CL211&lt;&gt;"PTHP"),0,IF($CL211="DX HP",VLOOKUP($D211,'Factor Tables'!$I$165:$Q$192,MATCH("DX HP Htg",'Factor Tables'!$I$164:$Q$164,0),FALSE),IF($CL211="PTHP",VLOOKUP($D211,'Factor Tables'!$I$165:$Q$192,MATCH("PTHP Htg",'Factor Tables'!$I$164:$Q$164,0),FALSE),""))))</f>
        <v/>
      </c>
      <c r="DD211" s="196" t="str">
        <f>IF(OR('Project Info'!$D$8="",$C51="",$D51=""),"",IF('Project Info'!$D$8="Weather Zone 5: El Paso",VLOOKUP($D51,$DI$9:$DL$37,MATCH($C51,$DI$9:$DL$9,0),FALSE),VLOOKUP($D51,$DE$9:$DH$37,MATCH($C51,$DE$9:$DH$9,0),FALSE)))</f>
        <v/>
      </c>
      <c r="DE211" s="426"/>
      <c r="DI211" s="425"/>
      <c r="DJ211" s="425"/>
      <c r="DK211" s="425"/>
      <c r="DL211" s="425"/>
      <c r="DM211" s="493" t="s">
        <v>478</v>
      </c>
    </row>
    <row r="212" spans="2:117" s="427" customFormat="1" ht="21.95" customHeight="1" x14ac:dyDescent="0.25">
      <c r="B212" s="431">
        <v>203</v>
      </c>
      <c r="C212" s="501" t="str">
        <f t="shared" si="129"/>
        <v/>
      </c>
      <c r="D212" s="502" t="str">
        <f t="shared" si="130"/>
        <v/>
      </c>
      <c r="E212" s="546"/>
      <c r="F212" s="547"/>
      <c r="G212" s="729"/>
      <c r="H212" s="729"/>
      <c r="I212" s="729"/>
      <c r="J212" s="729"/>
      <c r="K212" s="729"/>
      <c r="L212" s="729"/>
      <c r="M212" s="765"/>
      <c r="N212" s="758"/>
      <c r="O212" s="765"/>
      <c r="P212" s="758"/>
      <c r="Q212" s="1143"/>
      <c r="R212" s="1134"/>
      <c r="S212" s="775"/>
      <c r="T212" s="729"/>
      <c r="U212" s="775"/>
      <c r="V212" s="779"/>
      <c r="W212" s="557"/>
      <c r="X212" s="788"/>
      <c r="Y212" s="543"/>
      <c r="Z212" s="281"/>
      <c r="AA212" s="281"/>
      <c r="AB212" s="281"/>
      <c r="AC212" s="281"/>
      <c r="AD212" s="492"/>
      <c r="AE212" s="527">
        <f t="shared" si="39"/>
        <v>0</v>
      </c>
      <c r="AF212" s="527">
        <f t="shared" si="131"/>
        <v>0</v>
      </c>
      <c r="AG212" s="527">
        <f t="shared" si="111"/>
        <v>0</v>
      </c>
      <c r="AH212" s="527">
        <f t="shared" si="112"/>
        <v>0</v>
      </c>
      <c r="AI212" s="527">
        <f t="shared" si="113"/>
        <v>0</v>
      </c>
      <c r="AJ212" s="527">
        <f t="shared" si="114"/>
        <v>999999999</v>
      </c>
      <c r="AK212" s="471"/>
      <c r="AL212" s="765"/>
      <c r="AM212" s="758"/>
      <c r="AN212" s="281"/>
      <c r="AO212" s="775"/>
      <c r="AP212" s="775"/>
      <c r="AQ212" s="281"/>
      <c r="AR212" s="528"/>
      <c r="AS212" s="532"/>
      <c r="AT212" s="524" t="str">
        <f t="shared" si="115"/>
        <v/>
      </c>
      <c r="AU212" s="311">
        <f t="shared" si="116"/>
        <v>0</v>
      </c>
      <c r="AV212" s="288">
        <f t="shared" si="132"/>
        <v>0</v>
      </c>
      <c r="AW212" s="290">
        <f>IF(ISERROR($AU212*'Utility Admin'!$E$4+$AV212*'Utility Admin'!$F$4),0,$AU212*'Utility Admin'!$E$4+$AV212*'Utility Admin'!$F$4)</f>
        <v>0</v>
      </c>
      <c r="AX212" s="323" t="str">
        <f t="shared" si="117"/>
        <v/>
      </c>
      <c r="AY212" s="322" t="str">
        <f t="shared" si="23"/>
        <v/>
      </c>
      <c r="AZ212" s="319">
        <f>Baselines!$CJ456</f>
        <v>0</v>
      </c>
      <c r="BA212" s="735">
        <f>Baselines!$CK456</f>
        <v>0</v>
      </c>
      <c r="BB212" s="839">
        <f>Baselines!$CM456</f>
        <v>0</v>
      </c>
      <c r="BC212" s="466">
        <f t="shared" si="118"/>
        <v>0</v>
      </c>
      <c r="BD212" s="464">
        <f t="shared" si="133"/>
        <v>0</v>
      </c>
      <c r="BE212" s="755">
        <f t="shared" si="119"/>
        <v>0</v>
      </c>
      <c r="BF212" s="755">
        <f t="shared" si="134"/>
        <v>0</v>
      </c>
      <c r="BG212" s="466">
        <f t="shared" si="120"/>
        <v>0</v>
      </c>
      <c r="BH212" s="464">
        <f t="shared" si="121"/>
        <v>0</v>
      </c>
      <c r="BI212" s="755">
        <f t="shared" si="122"/>
        <v>0</v>
      </c>
      <c r="BJ212" s="755">
        <f t="shared" si="135"/>
        <v>0</v>
      </c>
      <c r="BK212" s="333">
        <f>IF(OR($C212&lt;&gt;"Early Retirement",$H212=""),0,IF(AND($G212&lt;&gt;"Air Cooled Chiller",$G212&lt;&gt;"Water Cooled Chiller"),VLOOKUP($H212,'Early Retirement'!$CI$6:$CL$33,2,FALSE),IF($J212&lt;&gt;"Centrifugal",VLOOKUP($H212,'Early Retirement'!$CI$6:$CL$33,3,FALSE),IF($J212="Centrifugal",VLOOKUP($H212,'Early Retirement'!$CI$6:$CL$33,4,FALSE),""))))</f>
        <v>0</v>
      </c>
      <c r="BL212" s="450">
        <f t="shared" si="123"/>
        <v>0</v>
      </c>
      <c r="BM212" s="553">
        <f>IFERROR('Utility Admin'!$I$4*((1+'Utility Admin'!$G$4)/('Utility Admin'!$H$4-'Utility Admin'!$G$4))*(1-((1+'Utility Admin'!$G$4)/(1+'Utility Admin'!$H$4))^$BK212)*$BG212,0)</f>
        <v>0</v>
      </c>
      <c r="BN212" s="553">
        <f>IFERROR('Utility Admin'!$I$4*((1+'Utility Admin'!$G$4)/('Utility Admin'!$H$4-'Utility Admin'!$G$4))*(1-((1+'Utility Admin'!$G$4)/(1+'Utility Admin'!$H$4))^$BL212)*((1+'Utility Admin'!$G$4)^$BK212/(1+'Utility Admin'!$H$4)^$BK212)*$BC212,0)</f>
        <v>0</v>
      </c>
      <c r="BO212" s="553">
        <f t="shared" si="27"/>
        <v>0</v>
      </c>
      <c r="BP212" s="553">
        <f>IFERROR('Utility Admin'!$J$4*((1+'Utility Admin'!$G$4)/('Utility Admin'!$H$4-'Utility Admin'!$G$4))*(1-((1+'Utility Admin'!$G$4)/(1+'Utility Admin'!$H$4))^$BK212)*$BJ212,0)</f>
        <v>0</v>
      </c>
      <c r="BQ212" s="553">
        <f>IFERROR('Utility Admin'!$J$4*((1+'Utility Admin'!$G$4)/('Utility Admin'!$H$4-'Utility Admin'!$G$4))*(1-((1+'Utility Admin'!$G$4)/(1+'Utility Admin'!$H$4))^$BL212)*((1+'Utility Admin'!$G$4)^$BK212/(1+'Utility Admin'!$H$4)^$BK212)*$BF212,0)</f>
        <v>0</v>
      </c>
      <c r="BR212" s="553">
        <f t="shared" si="28"/>
        <v>0</v>
      </c>
      <c r="BS212" s="553">
        <f>IFERROR('Utility Admin'!$I$4*((1+'Utility Admin'!$G$4)/('Utility Admin'!$H$4-'Utility Admin'!$G$4))*(1-((1+'Utility Admin'!$G$4)/(1+'Utility Admin'!$H$4))^$AT212),0)</f>
        <v>0</v>
      </c>
      <c r="BT212" s="553">
        <f>IFERROR('Utility Admin'!$J$4*((1+'Utility Admin'!$G$4)/('Utility Admin'!$H$4-'Utility Admin'!$G$4))*(1-((1+'Utility Admin'!$G$4)/(1+'Utility Admin'!$H$4))^$AT212),0)</f>
        <v>0</v>
      </c>
      <c r="BU212" s="459">
        <f t="shared" si="136"/>
        <v>0</v>
      </c>
      <c r="BV212" s="462">
        <f t="shared" si="137"/>
        <v>0</v>
      </c>
      <c r="BW212" s="219" t="str">
        <f t="shared" si="124"/>
        <v/>
      </c>
      <c r="BX212" s="250" t="str">
        <f t="shared" si="138"/>
        <v/>
      </c>
      <c r="BY212" s="250" t="str">
        <f t="shared" si="125"/>
        <v/>
      </c>
      <c r="BZ212" s="184">
        <f t="shared" si="139"/>
        <v>0</v>
      </c>
      <c r="CA212" s="693">
        <f t="shared" si="140"/>
        <v>0</v>
      </c>
      <c r="CB212" s="836">
        <f t="shared" si="141"/>
        <v>0</v>
      </c>
      <c r="CC212" s="693">
        <f>IF(AND($C212="Early Retirement",$H212&lt;&gt;"",$R212&lt;&gt;"",$T212&lt;&gt;""),$BZ212,Baselines!$CJ205)</f>
        <v>0</v>
      </c>
      <c r="CD212" s="693">
        <f>IF(AND($C212="Early Retirement",$H212&lt;&gt;"",$R212&lt;&gt;"",$T212&lt;&gt;""),$CA212,Baselines!$CK205)</f>
        <v>0</v>
      </c>
      <c r="CE212" s="182" t="str">
        <f>Baselines!$CL205</f>
        <v>kW/ton</v>
      </c>
      <c r="CF212" s="850" t="str">
        <f t="shared" si="126"/>
        <v/>
      </c>
      <c r="CG212" s="833">
        <f>IF(AND($C212="Early Retirement",$H212&lt;&gt;"",$R212&lt;&gt;"",$T212&lt;&gt;""),$CB212,IF(AND(Baselines!$CM205=0,OR($CL212="DX HP",$CL212="PTHP")),$BB212,Baselines!$CM205))</f>
        <v>0</v>
      </c>
      <c r="CH212" s="830" t="s">
        <v>567</v>
      </c>
      <c r="CI212" s="185" t="str">
        <f>IF(OR($C212="Replace-on-Burnout",$C212="New Construction"),$CT212,IF($BW212="","",VLOOKUP($D212,'Factor Tables'!$B$165:$H$192,MATCH($BW212,'Factor Tables'!$B$164:$H$164,0),FALSE)))</f>
        <v/>
      </c>
      <c r="CJ212" s="842" t="str">
        <f>IF(OR($C212="Replace-on-Burnout",$C212="New Construction"),$CU212,IF($BW212="","",IF($BW212="DX HP",VLOOKUP($D212,'Factor Tables'!$I$165:$Q$192,MATCH("DX HP Clg",'Factor Tables'!$I$164:$Q$164,0),FALSE),IF($BW212="PTHP",VLOOKUP($D212,'Factor Tables'!$I$165:$Q$192,MATCH("PTHP Clg",'Factor Tables'!$I$164:$Q$164,0),FALSE),IF(AND($BW212&lt;&gt;"DX HP",$BW212&lt;&gt;"PTHP"),VLOOKUP($D212,'Factor Tables'!$I$165:$Q$192,MATCH($BW212,'Factor Tables'!$I$164:$Q$164,0),FALSE),"")))))</f>
        <v/>
      </c>
      <c r="CK212" s="186" t="str">
        <f>IF(OR($C212="Replace-on-Burnout",$C212="New Construction",$CL212="DX HP",$CL212="PTHP"),$CV212,IF($BW212="","",IF($BW212="DX HP",VLOOKUP($D212,'Factor Tables'!$I$165:$Q$192,MATCH("DX HP Htg",'Factor Tables'!$I$164:$Q$164,0),FALSE),IF($BW212="PTHP",VLOOKUP($D212,'Factor Tables'!$I$165:$Q$192,MATCH("PTHP Htg",'Factor Tables'!$I$164:$Q$164,0),FALSE),0))))</f>
        <v/>
      </c>
      <c r="CL212" s="187" t="str">
        <f t="shared" si="127"/>
        <v/>
      </c>
      <c r="CM212" s="251" t="str">
        <f t="shared" si="128"/>
        <v/>
      </c>
      <c r="CN212" s="184">
        <f t="shared" si="142"/>
        <v>0</v>
      </c>
      <c r="CO212" s="693">
        <f t="shared" si="143"/>
        <v>0</v>
      </c>
      <c r="CP212" s="182" t="s">
        <v>46</v>
      </c>
      <c r="CQ212" s="852" t="str">
        <f t="shared" si="144"/>
        <v/>
      </c>
      <c r="CR212" s="833">
        <f t="shared" si="145"/>
        <v>0</v>
      </c>
      <c r="CS212" s="830" t="s">
        <v>567</v>
      </c>
      <c r="CT212" s="185" t="str">
        <f>IF($CL212="","",VLOOKUP($D212,'Factor Tables'!$B$165:$H$192,MATCH($CL212,'Factor Tables'!$B$164:$H$164,0),FALSE))</f>
        <v/>
      </c>
      <c r="CU212" s="842" t="str">
        <f>IF($CL212="","",IF(AND($CL212&lt;&gt;"DX HP",$CL212&lt;&gt;"PTHP"),VLOOKUP($D212,'Factor Tables'!$I$165:$Q$192,MATCH($CL212,'Factor Tables'!$I$164:$Q$164,0),FALSE),IF($CL212="DX HP",VLOOKUP($D212,'Factor Tables'!$I$165:$Q$192,MATCH("DX HP Clg",'Factor Tables'!$I$164:$Q$164,0),FALSE),IF($CL212="PTHP",VLOOKUP($D212,'Factor Tables'!$I$165:$Q$192,MATCH("PTHP Clg",'Factor Tables'!$I$164:$Q$164,0),FALSE),""))))</f>
        <v/>
      </c>
      <c r="CV212" s="186" t="str">
        <f>IF($CL212="","",IF(AND($CL212&lt;&gt;"DX HP",$CL212&lt;&gt;"PTHP"),0,IF($CL212="DX HP",VLOOKUP($D212,'Factor Tables'!$I$165:$Q$192,MATCH("DX HP Htg",'Factor Tables'!$I$164:$Q$164,0),FALSE),IF($CL212="PTHP",VLOOKUP($D212,'Factor Tables'!$I$165:$Q$192,MATCH("PTHP Htg",'Factor Tables'!$I$164:$Q$164,0),FALSE),""))))</f>
        <v/>
      </c>
      <c r="DD212" s="196" t="str">
        <f>IF(OR('Project Info'!$D$8="",$C52="",$D52=""),"",IF('Project Info'!$D$8="Weather Zone 5: El Paso",VLOOKUP($D52,$DI$9:$DL$37,MATCH($C52,$DI$9:$DL$9,0),FALSE),VLOOKUP($D52,$DE$9:$DH$37,MATCH($C52,$DE$9:$DH$9,0),FALSE)))</f>
        <v/>
      </c>
      <c r="DE212" s="426"/>
      <c r="DI212" s="425"/>
      <c r="DJ212" s="425"/>
      <c r="DK212" s="425"/>
      <c r="DL212" s="425"/>
      <c r="DM212" s="493" t="s">
        <v>478</v>
      </c>
    </row>
    <row r="213" spans="2:117" s="427" customFormat="1" ht="21.95" customHeight="1" x14ac:dyDescent="0.25">
      <c r="B213" s="432">
        <v>204</v>
      </c>
      <c r="C213" s="499" t="str">
        <f t="shared" si="129"/>
        <v/>
      </c>
      <c r="D213" s="403" t="str">
        <f t="shared" si="130"/>
        <v/>
      </c>
      <c r="E213" s="541"/>
      <c r="F213" s="785"/>
      <c r="G213" s="728"/>
      <c r="H213" s="728"/>
      <c r="I213" s="728"/>
      <c r="J213" s="728"/>
      <c r="K213" s="728"/>
      <c r="L213" s="728"/>
      <c r="M213" s="764"/>
      <c r="N213" s="728"/>
      <c r="O213" s="764"/>
      <c r="P213" s="728"/>
      <c r="Q213" s="1142"/>
      <c r="R213" s="1133"/>
      <c r="S213" s="778"/>
      <c r="T213" s="767"/>
      <c r="U213" s="778"/>
      <c r="V213" s="751"/>
      <c r="W213" s="556"/>
      <c r="X213" s="785"/>
      <c r="Y213" s="542"/>
      <c r="Z213" s="500"/>
      <c r="AA213" s="500"/>
      <c r="AB213" s="500"/>
      <c r="AC213" s="500"/>
      <c r="AD213" s="529"/>
      <c r="AE213" s="527">
        <f t="shared" si="39"/>
        <v>0</v>
      </c>
      <c r="AF213" s="527">
        <f t="shared" si="131"/>
        <v>0</v>
      </c>
      <c r="AG213" s="527">
        <f t="shared" si="111"/>
        <v>0</v>
      </c>
      <c r="AH213" s="527">
        <f t="shared" si="112"/>
        <v>0</v>
      </c>
      <c r="AI213" s="527">
        <f t="shared" si="113"/>
        <v>0</v>
      </c>
      <c r="AJ213" s="527">
        <f t="shared" si="114"/>
        <v>999999999</v>
      </c>
      <c r="AK213" s="530"/>
      <c r="AL213" s="776"/>
      <c r="AM213" s="777"/>
      <c r="AN213" s="500"/>
      <c r="AO213" s="778"/>
      <c r="AP213" s="778"/>
      <c r="AQ213" s="500"/>
      <c r="AR213" s="531"/>
      <c r="AS213" s="403"/>
      <c r="AT213" s="524" t="str">
        <f t="shared" si="115"/>
        <v/>
      </c>
      <c r="AU213" s="311">
        <f t="shared" si="116"/>
        <v>0</v>
      </c>
      <c r="AV213" s="288">
        <f t="shared" si="132"/>
        <v>0</v>
      </c>
      <c r="AW213" s="290">
        <f>IF(ISERROR($AU213*'Utility Admin'!$E$4+$AV213*'Utility Admin'!$F$4),0,$AU213*'Utility Admin'!$E$4+$AV213*'Utility Admin'!$F$4)</f>
        <v>0</v>
      </c>
      <c r="AX213" s="323" t="str">
        <f t="shared" si="117"/>
        <v/>
      </c>
      <c r="AY213" s="322" t="str">
        <f t="shared" si="23"/>
        <v/>
      </c>
      <c r="AZ213" s="319">
        <f>Baselines!$CJ457</f>
        <v>0</v>
      </c>
      <c r="BA213" s="735">
        <f>Baselines!$CK457</f>
        <v>0</v>
      </c>
      <c r="BB213" s="839">
        <f>Baselines!$CM457</f>
        <v>0</v>
      </c>
      <c r="BC213" s="466">
        <f t="shared" si="118"/>
        <v>0</v>
      </c>
      <c r="BD213" s="464">
        <f t="shared" si="133"/>
        <v>0</v>
      </c>
      <c r="BE213" s="755">
        <f t="shared" si="119"/>
        <v>0</v>
      </c>
      <c r="BF213" s="755">
        <f t="shared" si="134"/>
        <v>0</v>
      </c>
      <c r="BG213" s="466">
        <f t="shared" si="120"/>
        <v>0</v>
      </c>
      <c r="BH213" s="464">
        <f t="shared" si="121"/>
        <v>0</v>
      </c>
      <c r="BI213" s="755">
        <f t="shared" si="122"/>
        <v>0</v>
      </c>
      <c r="BJ213" s="755">
        <f t="shared" si="135"/>
        <v>0</v>
      </c>
      <c r="BK213" s="333">
        <f>IF(OR($C213&lt;&gt;"Early Retirement",$H213=""),0,IF(AND($G213&lt;&gt;"Air Cooled Chiller",$G213&lt;&gt;"Water Cooled Chiller"),VLOOKUP($H213,'Early Retirement'!$CI$6:$CL$33,2,FALSE),IF($J213&lt;&gt;"Centrifugal",VLOOKUP($H213,'Early Retirement'!$CI$6:$CL$33,3,FALSE),IF($J213="Centrifugal",VLOOKUP($H213,'Early Retirement'!$CI$6:$CL$33,4,FALSE),""))))</f>
        <v>0</v>
      </c>
      <c r="BL213" s="450">
        <f t="shared" si="123"/>
        <v>0</v>
      </c>
      <c r="BM213" s="553">
        <f>IFERROR('Utility Admin'!$I$4*((1+'Utility Admin'!$G$4)/('Utility Admin'!$H$4-'Utility Admin'!$G$4))*(1-((1+'Utility Admin'!$G$4)/(1+'Utility Admin'!$H$4))^$BK213)*$BG213,0)</f>
        <v>0</v>
      </c>
      <c r="BN213" s="553">
        <f>IFERROR('Utility Admin'!$I$4*((1+'Utility Admin'!$G$4)/('Utility Admin'!$H$4-'Utility Admin'!$G$4))*(1-((1+'Utility Admin'!$G$4)/(1+'Utility Admin'!$H$4))^$BL213)*((1+'Utility Admin'!$G$4)^$BK213/(1+'Utility Admin'!$H$4)^$BK213)*$BC213,0)</f>
        <v>0</v>
      </c>
      <c r="BO213" s="553">
        <f t="shared" si="27"/>
        <v>0</v>
      </c>
      <c r="BP213" s="553">
        <f>IFERROR('Utility Admin'!$J$4*((1+'Utility Admin'!$G$4)/('Utility Admin'!$H$4-'Utility Admin'!$G$4))*(1-((1+'Utility Admin'!$G$4)/(1+'Utility Admin'!$H$4))^$BK213)*$BJ213,0)</f>
        <v>0</v>
      </c>
      <c r="BQ213" s="553">
        <f>IFERROR('Utility Admin'!$J$4*((1+'Utility Admin'!$G$4)/('Utility Admin'!$H$4-'Utility Admin'!$G$4))*(1-((1+'Utility Admin'!$G$4)/(1+'Utility Admin'!$H$4))^$BL213)*((1+'Utility Admin'!$G$4)^$BK213/(1+'Utility Admin'!$H$4)^$BK213)*$BF213,0)</f>
        <v>0</v>
      </c>
      <c r="BR213" s="553">
        <f t="shared" si="28"/>
        <v>0</v>
      </c>
      <c r="BS213" s="553">
        <f>IFERROR('Utility Admin'!$I$4*((1+'Utility Admin'!$G$4)/('Utility Admin'!$H$4-'Utility Admin'!$G$4))*(1-((1+'Utility Admin'!$G$4)/(1+'Utility Admin'!$H$4))^$AT213),0)</f>
        <v>0</v>
      </c>
      <c r="BT213" s="553">
        <f>IFERROR('Utility Admin'!$J$4*((1+'Utility Admin'!$G$4)/('Utility Admin'!$H$4-'Utility Admin'!$G$4))*(1-((1+'Utility Admin'!$G$4)/(1+'Utility Admin'!$H$4))^$AT213),0)</f>
        <v>0</v>
      </c>
      <c r="BU213" s="459">
        <f t="shared" si="136"/>
        <v>0</v>
      </c>
      <c r="BV213" s="462">
        <f t="shared" si="137"/>
        <v>0</v>
      </c>
      <c r="BW213" s="219" t="str">
        <f t="shared" si="124"/>
        <v/>
      </c>
      <c r="BX213" s="250" t="str">
        <f t="shared" si="138"/>
        <v/>
      </c>
      <c r="BY213" s="250" t="str">
        <f t="shared" si="125"/>
        <v/>
      </c>
      <c r="BZ213" s="184">
        <f t="shared" si="139"/>
        <v>0</v>
      </c>
      <c r="CA213" s="693">
        <f t="shared" si="140"/>
        <v>0</v>
      </c>
      <c r="CB213" s="836">
        <f t="shared" si="141"/>
        <v>0</v>
      </c>
      <c r="CC213" s="693">
        <f>IF(AND($C213="Early Retirement",$H213&lt;&gt;"",$R213&lt;&gt;"",$T213&lt;&gt;""),$BZ213,Baselines!$CJ206)</f>
        <v>0</v>
      </c>
      <c r="CD213" s="693">
        <f>IF(AND($C213="Early Retirement",$H213&lt;&gt;"",$R213&lt;&gt;"",$T213&lt;&gt;""),$CA213,Baselines!$CK206)</f>
        <v>0</v>
      </c>
      <c r="CE213" s="182" t="str">
        <f>Baselines!$CL206</f>
        <v>kW/ton</v>
      </c>
      <c r="CF213" s="850" t="str">
        <f t="shared" si="126"/>
        <v/>
      </c>
      <c r="CG213" s="833">
        <f>IF(AND($C213="Early Retirement",$H213&lt;&gt;"",$R213&lt;&gt;"",$T213&lt;&gt;""),$CB213,IF(AND(Baselines!$CM206=0,OR($CL213="DX HP",$CL213="PTHP")),$BB213,Baselines!$CM206))</f>
        <v>0</v>
      </c>
      <c r="CH213" s="830" t="s">
        <v>567</v>
      </c>
      <c r="CI213" s="185" t="str">
        <f>IF(OR($C213="Replace-on-Burnout",$C213="New Construction"),$CT213,IF($BW213="","",VLOOKUP($D213,'Factor Tables'!$B$165:$H$192,MATCH($BW213,'Factor Tables'!$B$164:$H$164,0),FALSE)))</f>
        <v/>
      </c>
      <c r="CJ213" s="842" t="str">
        <f>IF(OR($C213="Replace-on-Burnout",$C213="New Construction"),$CU213,IF($BW213="","",IF($BW213="DX HP",VLOOKUP($D213,'Factor Tables'!$I$165:$Q$192,MATCH("DX HP Clg",'Factor Tables'!$I$164:$Q$164,0),FALSE),IF($BW213="PTHP",VLOOKUP($D213,'Factor Tables'!$I$165:$Q$192,MATCH("PTHP Clg",'Factor Tables'!$I$164:$Q$164,0),FALSE),IF(AND($BW213&lt;&gt;"DX HP",$BW213&lt;&gt;"PTHP"),VLOOKUP($D213,'Factor Tables'!$I$165:$Q$192,MATCH($BW213,'Factor Tables'!$I$164:$Q$164,0),FALSE),"")))))</f>
        <v/>
      </c>
      <c r="CK213" s="186" t="str">
        <f>IF(OR($C213="Replace-on-Burnout",$C213="New Construction",$CL213="DX HP",$CL213="PTHP"),$CV213,IF($BW213="","",IF($BW213="DX HP",VLOOKUP($D213,'Factor Tables'!$I$165:$Q$192,MATCH("DX HP Htg",'Factor Tables'!$I$164:$Q$164,0),FALSE),IF($BW213="PTHP",VLOOKUP($D213,'Factor Tables'!$I$165:$Q$192,MATCH("PTHP Htg",'Factor Tables'!$I$164:$Q$164,0),FALSE),0))))</f>
        <v/>
      </c>
      <c r="CL213" s="187" t="str">
        <f t="shared" si="127"/>
        <v/>
      </c>
      <c r="CM213" s="251" t="str">
        <f t="shared" si="128"/>
        <v/>
      </c>
      <c r="CN213" s="184">
        <f t="shared" si="142"/>
        <v>0</v>
      </c>
      <c r="CO213" s="693">
        <f t="shared" si="143"/>
        <v>0</v>
      </c>
      <c r="CP213" s="182" t="s">
        <v>46</v>
      </c>
      <c r="CQ213" s="852" t="str">
        <f t="shared" si="144"/>
        <v/>
      </c>
      <c r="CR213" s="833">
        <f t="shared" si="145"/>
        <v>0</v>
      </c>
      <c r="CS213" s="830" t="s">
        <v>567</v>
      </c>
      <c r="CT213" s="185" t="str">
        <f>IF($CL213="","",VLOOKUP($D213,'Factor Tables'!$B$165:$H$192,MATCH($CL213,'Factor Tables'!$B$164:$H$164,0),FALSE))</f>
        <v/>
      </c>
      <c r="CU213" s="842" t="str">
        <f>IF($CL213="","",IF(AND($CL213&lt;&gt;"DX HP",$CL213&lt;&gt;"PTHP"),VLOOKUP($D213,'Factor Tables'!$I$165:$Q$192,MATCH($CL213,'Factor Tables'!$I$164:$Q$164,0),FALSE),IF($CL213="DX HP",VLOOKUP($D213,'Factor Tables'!$I$165:$Q$192,MATCH("DX HP Clg",'Factor Tables'!$I$164:$Q$164,0),FALSE),IF($CL213="PTHP",VLOOKUP($D213,'Factor Tables'!$I$165:$Q$192,MATCH("PTHP Clg",'Factor Tables'!$I$164:$Q$164,0),FALSE),""))))</f>
        <v/>
      </c>
      <c r="CV213" s="186" t="str">
        <f>IF($CL213="","",IF(AND($CL213&lt;&gt;"DX HP",$CL213&lt;&gt;"PTHP"),0,IF($CL213="DX HP",VLOOKUP($D213,'Factor Tables'!$I$165:$Q$192,MATCH("DX HP Htg",'Factor Tables'!$I$164:$Q$164,0),FALSE),IF($CL213="PTHP",VLOOKUP($D213,'Factor Tables'!$I$165:$Q$192,MATCH("PTHP Htg",'Factor Tables'!$I$164:$Q$164,0),FALSE),""))))</f>
        <v/>
      </c>
      <c r="DD213" s="196" t="str">
        <f>IF(OR('Project Info'!$D$8="",$C53="",$D53=""),"",IF('Project Info'!$D$8="Weather Zone 5: El Paso",VLOOKUP($D53,$DI$9:$DL$37,MATCH($C53,$DI$9:$DL$9,0),FALSE),VLOOKUP($D53,$DE$9:$DH$37,MATCH($C53,$DE$9:$DH$9,0),FALSE)))</f>
        <v/>
      </c>
      <c r="DE213" s="426"/>
      <c r="DI213" s="425"/>
      <c r="DJ213" s="425"/>
      <c r="DK213" s="425"/>
      <c r="DL213" s="425"/>
      <c r="DM213" s="493" t="s">
        <v>478</v>
      </c>
    </row>
    <row r="214" spans="2:117" s="427" customFormat="1" ht="21.95" customHeight="1" x14ac:dyDescent="0.25">
      <c r="B214" s="431">
        <v>205</v>
      </c>
      <c r="C214" s="501" t="str">
        <f t="shared" si="129"/>
        <v/>
      </c>
      <c r="D214" s="502" t="str">
        <f t="shared" si="130"/>
        <v/>
      </c>
      <c r="E214" s="546"/>
      <c r="F214" s="547"/>
      <c r="G214" s="729"/>
      <c r="H214" s="729"/>
      <c r="I214" s="729"/>
      <c r="J214" s="729"/>
      <c r="K214" s="729"/>
      <c r="L214" s="729"/>
      <c r="M214" s="765"/>
      <c r="N214" s="758"/>
      <c r="O214" s="765"/>
      <c r="P214" s="758"/>
      <c r="Q214" s="1143"/>
      <c r="R214" s="1134"/>
      <c r="S214" s="775"/>
      <c r="T214" s="729"/>
      <c r="U214" s="775"/>
      <c r="V214" s="779"/>
      <c r="W214" s="557"/>
      <c r="X214" s="788"/>
      <c r="Y214" s="543"/>
      <c r="Z214" s="281"/>
      <c r="AA214" s="281"/>
      <c r="AB214" s="281"/>
      <c r="AC214" s="281"/>
      <c r="AD214" s="492"/>
      <c r="AE214" s="527">
        <f t="shared" si="39"/>
        <v>0</v>
      </c>
      <c r="AF214" s="527">
        <f t="shared" si="131"/>
        <v>0</v>
      </c>
      <c r="AG214" s="527">
        <f t="shared" si="111"/>
        <v>0</v>
      </c>
      <c r="AH214" s="527">
        <f t="shared" si="112"/>
        <v>0</v>
      </c>
      <c r="AI214" s="527">
        <f t="shared" si="113"/>
        <v>0</v>
      </c>
      <c r="AJ214" s="527">
        <f t="shared" si="114"/>
        <v>999999999</v>
      </c>
      <c r="AK214" s="471"/>
      <c r="AL214" s="765"/>
      <c r="AM214" s="758"/>
      <c r="AN214" s="281"/>
      <c r="AO214" s="775"/>
      <c r="AP214" s="775"/>
      <c r="AQ214" s="281"/>
      <c r="AR214" s="528"/>
      <c r="AS214" s="532"/>
      <c r="AT214" s="524" t="str">
        <f t="shared" si="115"/>
        <v/>
      </c>
      <c r="AU214" s="311">
        <f t="shared" si="116"/>
        <v>0</v>
      </c>
      <c r="AV214" s="288">
        <f t="shared" si="132"/>
        <v>0</v>
      </c>
      <c r="AW214" s="290">
        <f>IF(ISERROR($AU214*'Utility Admin'!$E$4+$AV214*'Utility Admin'!$F$4),0,$AU214*'Utility Admin'!$E$4+$AV214*'Utility Admin'!$F$4)</f>
        <v>0</v>
      </c>
      <c r="AX214" s="323" t="str">
        <f t="shared" si="117"/>
        <v/>
      </c>
      <c r="AY214" s="322" t="str">
        <f t="shared" si="23"/>
        <v/>
      </c>
      <c r="AZ214" s="319">
        <f>Baselines!$CJ458</f>
        <v>0</v>
      </c>
      <c r="BA214" s="735">
        <f>Baselines!$CK458</f>
        <v>0</v>
      </c>
      <c r="BB214" s="839">
        <f>Baselines!$CM458</f>
        <v>0</v>
      </c>
      <c r="BC214" s="466">
        <f t="shared" si="118"/>
        <v>0</v>
      </c>
      <c r="BD214" s="464">
        <f t="shared" si="133"/>
        <v>0</v>
      </c>
      <c r="BE214" s="755">
        <f t="shared" si="119"/>
        <v>0</v>
      </c>
      <c r="BF214" s="755">
        <f t="shared" si="134"/>
        <v>0</v>
      </c>
      <c r="BG214" s="466">
        <f t="shared" si="120"/>
        <v>0</v>
      </c>
      <c r="BH214" s="464">
        <f t="shared" si="121"/>
        <v>0</v>
      </c>
      <c r="BI214" s="755">
        <f t="shared" si="122"/>
        <v>0</v>
      </c>
      <c r="BJ214" s="755">
        <f t="shared" si="135"/>
        <v>0</v>
      </c>
      <c r="BK214" s="333">
        <f>IF(OR($C214&lt;&gt;"Early Retirement",$H214=""),0,IF(AND($G214&lt;&gt;"Air Cooled Chiller",$G214&lt;&gt;"Water Cooled Chiller"),VLOOKUP($H214,'Early Retirement'!$CI$6:$CL$33,2,FALSE),IF($J214&lt;&gt;"Centrifugal",VLOOKUP($H214,'Early Retirement'!$CI$6:$CL$33,3,FALSE),IF($J214="Centrifugal",VLOOKUP($H214,'Early Retirement'!$CI$6:$CL$33,4,FALSE),""))))</f>
        <v>0</v>
      </c>
      <c r="BL214" s="450">
        <f t="shared" si="123"/>
        <v>0</v>
      </c>
      <c r="BM214" s="553">
        <f>IFERROR('Utility Admin'!$I$4*((1+'Utility Admin'!$G$4)/('Utility Admin'!$H$4-'Utility Admin'!$G$4))*(1-((1+'Utility Admin'!$G$4)/(1+'Utility Admin'!$H$4))^$BK214)*$BG214,0)</f>
        <v>0</v>
      </c>
      <c r="BN214" s="553">
        <f>IFERROR('Utility Admin'!$I$4*((1+'Utility Admin'!$G$4)/('Utility Admin'!$H$4-'Utility Admin'!$G$4))*(1-((1+'Utility Admin'!$G$4)/(1+'Utility Admin'!$H$4))^$BL214)*((1+'Utility Admin'!$G$4)^$BK214/(1+'Utility Admin'!$H$4)^$BK214)*$BC214,0)</f>
        <v>0</v>
      </c>
      <c r="BO214" s="553">
        <f t="shared" si="27"/>
        <v>0</v>
      </c>
      <c r="BP214" s="553">
        <f>IFERROR('Utility Admin'!$J$4*((1+'Utility Admin'!$G$4)/('Utility Admin'!$H$4-'Utility Admin'!$G$4))*(1-((1+'Utility Admin'!$G$4)/(1+'Utility Admin'!$H$4))^$BK214)*$BJ214,0)</f>
        <v>0</v>
      </c>
      <c r="BQ214" s="553">
        <f>IFERROR('Utility Admin'!$J$4*((1+'Utility Admin'!$G$4)/('Utility Admin'!$H$4-'Utility Admin'!$G$4))*(1-((1+'Utility Admin'!$G$4)/(1+'Utility Admin'!$H$4))^$BL214)*((1+'Utility Admin'!$G$4)^$BK214/(1+'Utility Admin'!$H$4)^$BK214)*$BF214,0)</f>
        <v>0</v>
      </c>
      <c r="BR214" s="553">
        <f t="shared" si="28"/>
        <v>0</v>
      </c>
      <c r="BS214" s="553">
        <f>IFERROR('Utility Admin'!$I$4*((1+'Utility Admin'!$G$4)/('Utility Admin'!$H$4-'Utility Admin'!$G$4))*(1-((1+'Utility Admin'!$G$4)/(1+'Utility Admin'!$H$4))^$AT214),0)</f>
        <v>0</v>
      </c>
      <c r="BT214" s="553">
        <f>IFERROR('Utility Admin'!$J$4*((1+'Utility Admin'!$G$4)/('Utility Admin'!$H$4-'Utility Admin'!$G$4))*(1-((1+'Utility Admin'!$G$4)/(1+'Utility Admin'!$H$4))^$AT214),0)</f>
        <v>0</v>
      </c>
      <c r="BU214" s="459">
        <f t="shared" si="136"/>
        <v>0</v>
      </c>
      <c r="BV214" s="462">
        <f t="shared" si="137"/>
        <v>0</v>
      </c>
      <c r="BW214" s="219" t="str">
        <f t="shared" si="124"/>
        <v/>
      </c>
      <c r="BX214" s="250" t="str">
        <f t="shared" si="138"/>
        <v/>
      </c>
      <c r="BY214" s="250" t="str">
        <f t="shared" si="125"/>
        <v/>
      </c>
      <c r="BZ214" s="184">
        <f t="shared" si="139"/>
        <v>0</v>
      </c>
      <c r="CA214" s="693">
        <f t="shared" si="140"/>
        <v>0</v>
      </c>
      <c r="CB214" s="836">
        <f t="shared" si="141"/>
        <v>0</v>
      </c>
      <c r="CC214" s="693">
        <f>IF(AND($C214="Early Retirement",$H214&lt;&gt;"",$R214&lt;&gt;"",$T214&lt;&gt;""),$BZ214,Baselines!$CJ207)</f>
        <v>0</v>
      </c>
      <c r="CD214" s="693">
        <f>IF(AND($C214="Early Retirement",$H214&lt;&gt;"",$R214&lt;&gt;"",$T214&lt;&gt;""),$CA214,Baselines!$CK207)</f>
        <v>0</v>
      </c>
      <c r="CE214" s="182" t="str">
        <f>Baselines!$CL207</f>
        <v>kW/ton</v>
      </c>
      <c r="CF214" s="850" t="str">
        <f t="shared" si="126"/>
        <v/>
      </c>
      <c r="CG214" s="833">
        <f>IF(AND($C214="Early Retirement",$H214&lt;&gt;"",$R214&lt;&gt;"",$T214&lt;&gt;""),$CB214,IF(AND(Baselines!$CM207=0,OR($CL214="DX HP",$CL214="PTHP")),$BB214,Baselines!$CM207))</f>
        <v>0</v>
      </c>
      <c r="CH214" s="830" t="s">
        <v>567</v>
      </c>
      <c r="CI214" s="185" t="str">
        <f>IF(OR($C214="Replace-on-Burnout",$C214="New Construction"),$CT214,IF($BW214="","",VLOOKUP($D214,'Factor Tables'!$B$165:$H$192,MATCH($BW214,'Factor Tables'!$B$164:$H$164,0),FALSE)))</f>
        <v/>
      </c>
      <c r="CJ214" s="842" t="str">
        <f>IF(OR($C214="Replace-on-Burnout",$C214="New Construction"),$CU214,IF($BW214="","",IF($BW214="DX HP",VLOOKUP($D214,'Factor Tables'!$I$165:$Q$192,MATCH("DX HP Clg",'Factor Tables'!$I$164:$Q$164,0),FALSE),IF($BW214="PTHP",VLOOKUP($D214,'Factor Tables'!$I$165:$Q$192,MATCH("PTHP Clg",'Factor Tables'!$I$164:$Q$164,0),FALSE),IF(AND($BW214&lt;&gt;"DX HP",$BW214&lt;&gt;"PTHP"),VLOOKUP($D214,'Factor Tables'!$I$165:$Q$192,MATCH($BW214,'Factor Tables'!$I$164:$Q$164,0),FALSE),"")))))</f>
        <v/>
      </c>
      <c r="CK214" s="186" t="str">
        <f>IF(OR($C214="Replace-on-Burnout",$C214="New Construction",$CL214="DX HP",$CL214="PTHP"),$CV214,IF($BW214="","",IF($BW214="DX HP",VLOOKUP($D214,'Factor Tables'!$I$165:$Q$192,MATCH("DX HP Htg",'Factor Tables'!$I$164:$Q$164,0),FALSE),IF($BW214="PTHP",VLOOKUP($D214,'Factor Tables'!$I$165:$Q$192,MATCH("PTHP Htg",'Factor Tables'!$I$164:$Q$164,0),FALSE),0))))</f>
        <v/>
      </c>
      <c r="CL214" s="187" t="str">
        <f t="shared" si="127"/>
        <v/>
      </c>
      <c r="CM214" s="251" t="str">
        <f t="shared" si="128"/>
        <v/>
      </c>
      <c r="CN214" s="184">
        <f t="shared" si="142"/>
        <v>0</v>
      </c>
      <c r="CO214" s="693">
        <f t="shared" si="143"/>
        <v>0</v>
      </c>
      <c r="CP214" s="182" t="s">
        <v>46</v>
      </c>
      <c r="CQ214" s="852" t="str">
        <f t="shared" si="144"/>
        <v/>
      </c>
      <c r="CR214" s="833">
        <f t="shared" si="145"/>
        <v>0</v>
      </c>
      <c r="CS214" s="830" t="s">
        <v>567</v>
      </c>
      <c r="CT214" s="185" t="str">
        <f>IF($CL214="","",VLOOKUP($D214,'Factor Tables'!$B$165:$H$192,MATCH($CL214,'Factor Tables'!$B$164:$H$164,0),FALSE))</f>
        <v/>
      </c>
      <c r="CU214" s="842" t="str">
        <f>IF($CL214="","",IF(AND($CL214&lt;&gt;"DX HP",$CL214&lt;&gt;"PTHP"),VLOOKUP($D214,'Factor Tables'!$I$165:$Q$192,MATCH($CL214,'Factor Tables'!$I$164:$Q$164,0),FALSE),IF($CL214="DX HP",VLOOKUP($D214,'Factor Tables'!$I$165:$Q$192,MATCH("DX HP Clg",'Factor Tables'!$I$164:$Q$164,0),FALSE),IF($CL214="PTHP",VLOOKUP($D214,'Factor Tables'!$I$165:$Q$192,MATCH("PTHP Clg",'Factor Tables'!$I$164:$Q$164,0),FALSE),""))))</f>
        <v/>
      </c>
      <c r="CV214" s="186" t="str">
        <f>IF($CL214="","",IF(AND($CL214&lt;&gt;"DX HP",$CL214&lt;&gt;"PTHP"),0,IF($CL214="DX HP",VLOOKUP($D214,'Factor Tables'!$I$165:$Q$192,MATCH("DX HP Htg",'Factor Tables'!$I$164:$Q$164,0),FALSE),IF($CL214="PTHP",VLOOKUP($D214,'Factor Tables'!$I$165:$Q$192,MATCH("PTHP Htg",'Factor Tables'!$I$164:$Q$164,0),FALSE),""))))</f>
        <v/>
      </c>
      <c r="DD214" s="196" t="str">
        <f>IF(OR('Project Info'!$D$8="",$C54="",$D54=""),"",IF('Project Info'!$D$8="Weather Zone 5: El Paso",VLOOKUP($D54,$DI$9:$DL$37,MATCH($C54,$DI$9:$DL$9,0),FALSE),VLOOKUP($D54,$DE$9:$DH$37,MATCH($C54,$DE$9:$DH$9,0),FALSE)))</f>
        <v/>
      </c>
      <c r="DE214" s="426"/>
      <c r="DI214" s="425"/>
      <c r="DJ214" s="425"/>
      <c r="DK214" s="425"/>
      <c r="DL214" s="425"/>
      <c r="DM214" s="493" t="s">
        <v>478</v>
      </c>
    </row>
    <row r="215" spans="2:117" s="427" customFormat="1" ht="21.95" customHeight="1" x14ac:dyDescent="0.25">
      <c r="B215" s="432">
        <v>206</v>
      </c>
      <c r="C215" s="499" t="str">
        <f t="shared" si="129"/>
        <v/>
      </c>
      <c r="D215" s="403" t="str">
        <f t="shared" si="130"/>
        <v/>
      </c>
      <c r="E215" s="541"/>
      <c r="F215" s="785"/>
      <c r="G215" s="728"/>
      <c r="H215" s="728"/>
      <c r="I215" s="728"/>
      <c r="J215" s="728"/>
      <c r="K215" s="728"/>
      <c r="L215" s="728"/>
      <c r="M215" s="764"/>
      <c r="N215" s="728"/>
      <c r="O215" s="764"/>
      <c r="P215" s="728"/>
      <c r="Q215" s="1142"/>
      <c r="R215" s="1133"/>
      <c r="S215" s="778"/>
      <c r="T215" s="767"/>
      <c r="U215" s="778"/>
      <c r="V215" s="751"/>
      <c r="W215" s="556"/>
      <c r="X215" s="785"/>
      <c r="Y215" s="542"/>
      <c r="Z215" s="500"/>
      <c r="AA215" s="500"/>
      <c r="AB215" s="500"/>
      <c r="AC215" s="500"/>
      <c r="AD215" s="529"/>
      <c r="AE215" s="527">
        <f t="shared" si="39"/>
        <v>0</v>
      </c>
      <c r="AF215" s="527">
        <f t="shared" si="131"/>
        <v>0</v>
      </c>
      <c r="AG215" s="527">
        <f t="shared" si="111"/>
        <v>0</v>
      </c>
      <c r="AH215" s="527">
        <f t="shared" si="112"/>
        <v>0</v>
      </c>
      <c r="AI215" s="527">
        <f t="shared" si="113"/>
        <v>0</v>
      </c>
      <c r="AJ215" s="527">
        <f t="shared" si="114"/>
        <v>999999999</v>
      </c>
      <c r="AK215" s="530"/>
      <c r="AL215" s="776"/>
      <c r="AM215" s="777"/>
      <c r="AN215" s="500"/>
      <c r="AO215" s="778"/>
      <c r="AP215" s="778"/>
      <c r="AQ215" s="500"/>
      <c r="AR215" s="531"/>
      <c r="AS215" s="403"/>
      <c r="AT215" s="524" t="str">
        <f t="shared" si="115"/>
        <v/>
      </c>
      <c r="AU215" s="311">
        <f t="shared" si="116"/>
        <v>0</v>
      </c>
      <c r="AV215" s="288">
        <f t="shared" si="132"/>
        <v>0</v>
      </c>
      <c r="AW215" s="290">
        <f>IF(ISERROR($AU215*'Utility Admin'!$E$4+$AV215*'Utility Admin'!$F$4),0,$AU215*'Utility Admin'!$E$4+$AV215*'Utility Admin'!$F$4)</f>
        <v>0</v>
      </c>
      <c r="AX215" s="323" t="str">
        <f t="shared" si="117"/>
        <v/>
      </c>
      <c r="AY215" s="322" t="str">
        <f t="shared" si="23"/>
        <v/>
      </c>
      <c r="AZ215" s="319">
        <f>Baselines!$CJ459</f>
        <v>0</v>
      </c>
      <c r="BA215" s="735">
        <f>Baselines!$CK459</f>
        <v>0</v>
      </c>
      <c r="BB215" s="839">
        <f>Baselines!$CM459</f>
        <v>0</v>
      </c>
      <c r="BC215" s="466">
        <f t="shared" si="118"/>
        <v>0</v>
      </c>
      <c r="BD215" s="464">
        <f t="shared" si="133"/>
        <v>0</v>
      </c>
      <c r="BE215" s="755">
        <f t="shared" si="119"/>
        <v>0</v>
      </c>
      <c r="BF215" s="755">
        <f t="shared" si="134"/>
        <v>0</v>
      </c>
      <c r="BG215" s="466">
        <f t="shared" si="120"/>
        <v>0</v>
      </c>
      <c r="BH215" s="464">
        <f t="shared" si="121"/>
        <v>0</v>
      </c>
      <c r="BI215" s="755">
        <f t="shared" si="122"/>
        <v>0</v>
      </c>
      <c r="BJ215" s="755">
        <f t="shared" si="135"/>
        <v>0</v>
      </c>
      <c r="BK215" s="333">
        <f>IF(OR($C215&lt;&gt;"Early Retirement",$H215=""),0,IF(AND($G215&lt;&gt;"Air Cooled Chiller",$G215&lt;&gt;"Water Cooled Chiller"),VLOOKUP($H215,'Early Retirement'!$CI$6:$CL$33,2,FALSE),IF($J215&lt;&gt;"Centrifugal",VLOOKUP($H215,'Early Retirement'!$CI$6:$CL$33,3,FALSE),IF($J215="Centrifugal",VLOOKUP($H215,'Early Retirement'!$CI$6:$CL$33,4,FALSE),""))))</f>
        <v>0</v>
      </c>
      <c r="BL215" s="450">
        <f t="shared" si="123"/>
        <v>0</v>
      </c>
      <c r="BM215" s="553">
        <f>IFERROR('Utility Admin'!$I$4*((1+'Utility Admin'!$G$4)/('Utility Admin'!$H$4-'Utility Admin'!$G$4))*(1-((1+'Utility Admin'!$G$4)/(1+'Utility Admin'!$H$4))^$BK215)*$BG215,0)</f>
        <v>0</v>
      </c>
      <c r="BN215" s="553">
        <f>IFERROR('Utility Admin'!$I$4*((1+'Utility Admin'!$G$4)/('Utility Admin'!$H$4-'Utility Admin'!$G$4))*(1-((1+'Utility Admin'!$G$4)/(1+'Utility Admin'!$H$4))^$BL215)*((1+'Utility Admin'!$G$4)^$BK215/(1+'Utility Admin'!$H$4)^$BK215)*$BC215,0)</f>
        <v>0</v>
      </c>
      <c r="BO215" s="553">
        <f t="shared" si="27"/>
        <v>0</v>
      </c>
      <c r="BP215" s="553">
        <f>IFERROR('Utility Admin'!$J$4*((1+'Utility Admin'!$G$4)/('Utility Admin'!$H$4-'Utility Admin'!$G$4))*(1-((1+'Utility Admin'!$G$4)/(1+'Utility Admin'!$H$4))^$BK215)*$BJ215,0)</f>
        <v>0</v>
      </c>
      <c r="BQ215" s="553">
        <f>IFERROR('Utility Admin'!$J$4*((1+'Utility Admin'!$G$4)/('Utility Admin'!$H$4-'Utility Admin'!$G$4))*(1-((1+'Utility Admin'!$G$4)/(1+'Utility Admin'!$H$4))^$BL215)*((1+'Utility Admin'!$G$4)^$BK215/(1+'Utility Admin'!$H$4)^$BK215)*$BF215,0)</f>
        <v>0</v>
      </c>
      <c r="BR215" s="553">
        <f t="shared" si="28"/>
        <v>0</v>
      </c>
      <c r="BS215" s="553">
        <f>IFERROR('Utility Admin'!$I$4*((1+'Utility Admin'!$G$4)/('Utility Admin'!$H$4-'Utility Admin'!$G$4))*(1-((1+'Utility Admin'!$G$4)/(1+'Utility Admin'!$H$4))^$AT215),0)</f>
        <v>0</v>
      </c>
      <c r="BT215" s="553">
        <f>IFERROR('Utility Admin'!$J$4*((1+'Utility Admin'!$G$4)/('Utility Admin'!$H$4-'Utility Admin'!$G$4))*(1-((1+'Utility Admin'!$G$4)/(1+'Utility Admin'!$H$4))^$AT215),0)</f>
        <v>0</v>
      </c>
      <c r="BU215" s="459">
        <f t="shared" si="136"/>
        <v>0</v>
      </c>
      <c r="BV215" s="462">
        <f t="shared" si="137"/>
        <v>0</v>
      </c>
      <c r="BW215" s="219" t="str">
        <f t="shared" si="124"/>
        <v/>
      </c>
      <c r="BX215" s="250" t="str">
        <f t="shared" si="138"/>
        <v/>
      </c>
      <c r="BY215" s="250" t="str">
        <f t="shared" si="125"/>
        <v/>
      </c>
      <c r="BZ215" s="184">
        <f t="shared" si="139"/>
        <v>0</v>
      </c>
      <c r="CA215" s="693">
        <f t="shared" si="140"/>
        <v>0</v>
      </c>
      <c r="CB215" s="836">
        <f t="shared" si="141"/>
        <v>0</v>
      </c>
      <c r="CC215" s="693">
        <f>IF(AND($C215="Early Retirement",$H215&lt;&gt;"",$R215&lt;&gt;"",$T215&lt;&gt;""),$BZ215,Baselines!$CJ208)</f>
        <v>0</v>
      </c>
      <c r="CD215" s="693">
        <f>IF(AND($C215="Early Retirement",$H215&lt;&gt;"",$R215&lt;&gt;"",$T215&lt;&gt;""),$CA215,Baselines!$CK208)</f>
        <v>0</v>
      </c>
      <c r="CE215" s="182" t="str">
        <f>Baselines!$CL208</f>
        <v>kW/ton</v>
      </c>
      <c r="CF215" s="850" t="str">
        <f t="shared" si="126"/>
        <v/>
      </c>
      <c r="CG215" s="833">
        <f>IF(AND($C215="Early Retirement",$H215&lt;&gt;"",$R215&lt;&gt;"",$T215&lt;&gt;""),$CB215,IF(AND(Baselines!$CM208=0,OR($CL215="DX HP",$CL215="PTHP")),$BB215,Baselines!$CM208))</f>
        <v>0</v>
      </c>
      <c r="CH215" s="830" t="s">
        <v>567</v>
      </c>
      <c r="CI215" s="185" t="str">
        <f>IF(OR($C215="Replace-on-Burnout",$C215="New Construction"),$CT215,IF($BW215="","",VLOOKUP($D215,'Factor Tables'!$B$165:$H$192,MATCH($BW215,'Factor Tables'!$B$164:$H$164,0),FALSE)))</f>
        <v/>
      </c>
      <c r="CJ215" s="842" t="str">
        <f>IF(OR($C215="Replace-on-Burnout",$C215="New Construction"),$CU215,IF($BW215="","",IF($BW215="DX HP",VLOOKUP($D215,'Factor Tables'!$I$165:$Q$192,MATCH("DX HP Clg",'Factor Tables'!$I$164:$Q$164,0),FALSE),IF($BW215="PTHP",VLOOKUP($D215,'Factor Tables'!$I$165:$Q$192,MATCH("PTHP Clg",'Factor Tables'!$I$164:$Q$164,0),FALSE),IF(AND($BW215&lt;&gt;"DX HP",$BW215&lt;&gt;"PTHP"),VLOOKUP($D215,'Factor Tables'!$I$165:$Q$192,MATCH($BW215,'Factor Tables'!$I$164:$Q$164,0),FALSE),"")))))</f>
        <v/>
      </c>
      <c r="CK215" s="186" t="str">
        <f>IF(OR($C215="Replace-on-Burnout",$C215="New Construction",$CL215="DX HP",$CL215="PTHP"),$CV215,IF($BW215="","",IF($BW215="DX HP",VLOOKUP($D215,'Factor Tables'!$I$165:$Q$192,MATCH("DX HP Htg",'Factor Tables'!$I$164:$Q$164,0),FALSE),IF($BW215="PTHP",VLOOKUP($D215,'Factor Tables'!$I$165:$Q$192,MATCH("PTHP Htg",'Factor Tables'!$I$164:$Q$164,0),FALSE),0))))</f>
        <v/>
      </c>
      <c r="CL215" s="187" t="str">
        <f t="shared" si="127"/>
        <v/>
      </c>
      <c r="CM215" s="251" t="str">
        <f t="shared" si="128"/>
        <v/>
      </c>
      <c r="CN215" s="184">
        <f t="shared" si="142"/>
        <v>0</v>
      </c>
      <c r="CO215" s="693">
        <f t="shared" si="143"/>
        <v>0</v>
      </c>
      <c r="CP215" s="182" t="s">
        <v>46</v>
      </c>
      <c r="CQ215" s="852" t="str">
        <f t="shared" si="144"/>
        <v/>
      </c>
      <c r="CR215" s="833">
        <f t="shared" si="145"/>
        <v>0</v>
      </c>
      <c r="CS215" s="830" t="s">
        <v>567</v>
      </c>
      <c r="CT215" s="185" t="str">
        <f>IF($CL215="","",VLOOKUP($D215,'Factor Tables'!$B$165:$H$192,MATCH($CL215,'Factor Tables'!$B$164:$H$164,0),FALSE))</f>
        <v/>
      </c>
      <c r="CU215" s="842" t="str">
        <f>IF($CL215="","",IF(AND($CL215&lt;&gt;"DX HP",$CL215&lt;&gt;"PTHP"),VLOOKUP($D215,'Factor Tables'!$I$165:$Q$192,MATCH($CL215,'Factor Tables'!$I$164:$Q$164,0),FALSE),IF($CL215="DX HP",VLOOKUP($D215,'Factor Tables'!$I$165:$Q$192,MATCH("DX HP Clg",'Factor Tables'!$I$164:$Q$164,0),FALSE),IF($CL215="PTHP",VLOOKUP($D215,'Factor Tables'!$I$165:$Q$192,MATCH("PTHP Clg",'Factor Tables'!$I$164:$Q$164,0),FALSE),""))))</f>
        <v/>
      </c>
      <c r="CV215" s="186" t="str">
        <f>IF($CL215="","",IF(AND($CL215&lt;&gt;"DX HP",$CL215&lt;&gt;"PTHP"),0,IF($CL215="DX HP",VLOOKUP($D215,'Factor Tables'!$I$165:$Q$192,MATCH("DX HP Htg",'Factor Tables'!$I$164:$Q$164,0),FALSE),IF($CL215="PTHP",VLOOKUP($D215,'Factor Tables'!$I$165:$Q$192,MATCH("PTHP Htg",'Factor Tables'!$I$164:$Q$164,0),FALSE),""))))</f>
        <v/>
      </c>
      <c r="DD215" s="196" t="str">
        <f>IF(OR('Project Info'!$D$8="",$C55="",$D55=""),"",IF('Project Info'!$D$8="Weather Zone 5: El Paso",VLOOKUP($D55,$DI$9:$DL$37,MATCH($C55,$DI$9:$DL$9,0),FALSE),VLOOKUP($D55,$DE$9:$DH$37,MATCH($C55,$DE$9:$DH$9,0),FALSE)))</f>
        <v/>
      </c>
      <c r="DE215" s="426"/>
      <c r="DI215" s="425"/>
      <c r="DJ215" s="425"/>
      <c r="DK215" s="425"/>
      <c r="DL215" s="425"/>
      <c r="DM215" s="493" t="s">
        <v>478</v>
      </c>
    </row>
    <row r="216" spans="2:117" s="427" customFormat="1" ht="21.95" customHeight="1" x14ac:dyDescent="0.25">
      <c r="B216" s="431">
        <v>207</v>
      </c>
      <c r="C216" s="501" t="str">
        <f t="shared" si="129"/>
        <v/>
      </c>
      <c r="D216" s="502" t="str">
        <f t="shared" si="130"/>
        <v/>
      </c>
      <c r="E216" s="546"/>
      <c r="F216" s="547"/>
      <c r="G216" s="729"/>
      <c r="H216" s="729"/>
      <c r="I216" s="729"/>
      <c r="J216" s="729"/>
      <c r="K216" s="729"/>
      <c r="L216" s="729"/>
      <c r="M216" s="765"/>
      <c r="N216" s="758"/>
      <c r="O216" s="765"/>
      <c r="P216" s="758"/>
      <c r="Q216" s="1143"/>
      <c r="R216" s="1134"/>
      <c r="S216" s="775"/>
      <c r="T216" s="729"/>
      <c r="U216" s="775"/>
      <c r="V216" s="779"/>
      <c r="W216" s="557"/>
      <c r="X216" s="788"/>
      <c r="Y216" s="543"/>
      <c r="Z216" s="281"/>
      <c r="AA216" s="281"/>
      <c r="AB216" s="281"/>
      <c r="AC216" s="281"/>
      <c r="AD216" s="492"/>
      <c r="AE216" s="527">
        <f t="shared" si="39"/>
        <v>0</v>
      </c>
      <c r="AF216" s="527">
        <f t="shared" si="131"/>
        <v>0</v>
      </c>
      <c r="AG216" s="527">
        <f t="shared" si="111"/>
        <v>0</v>
      </c>
      <c r="AH216" s="527">
        <f t="shared" si="112"/>
        <v>0</v>
      </c>
      <c r="AI216" s="527">
        <f t="shared" si="113"/>
        <v>0</v>
      </c>
      <c r="AJ216" s="527">
        <f t="shared" si="114"/>
        <v>999999999</v>
      </c>
      <c r="AK216" s="471"/>
      <c r="AL216" s="765"/>
      <c r="AM216" s="758"/>
      <c r="AN216" s="281"/>
      <c r="AO216" s="775"/>
      <c r="AP216" s="775"/>
      <c r="AQ216" s="281"/>
      <c r="AR216" s="528"/>
      <c r="AS216" s="532"/>
      <c r="AT216" s="524" t="str">
        <f t="shared" si="115"/>
        <v/>
      </c>
      <c r="AU216" s="311">
        <f t="shared" si="116"/>
        <v>0</v>
      </c>
      <c r="AV216" s="288">
        <f t="shared" si="132"/>
        <v>0</v>
      </c>
      <c r="AW216" s="290">
        <f>IF(ISERROR($AU216*'Utility Admin'!$E$4+$AV216*'Utility Admin'!$F$4),0,$AU216*'Utility Admin'!$E$4+$AV216*'Utility Admin'!$F$4)</f>
        <v>0</v>
      </c>
      <c r="AX216" s="323" t="str">
        <f t="shared" si="117"/>
        <v/>
      </c>
      <c r="AY216" s="322" t="str">
        <f t="shared" si="23"/>
        <v/>
      </c>
      <c r="AZ216" s="319">
        <f>Baselines!$CJ460</f>
        <v>0</v>
      </c>
      <c r="BA216" s="735">
        <f>Baselines!$CK460</f>
        <v>0</v>
      </c>
      <c r="BB216" s="839">
        <f>Baselines!$CM460</f>
        <v>0</v>
      </c>
      <c r="BC216" s="466">
        <f t="shared" si="118"/>
        <v>0</v>
      </c>
      <c r="BD216" s="464">
        <f t="shared" si="133"/>
        <v>0</v>
      </c>
      <c r="BE216" s="755">
        <f t="shared" si="119"/>
        <v>0</v>
      </c>
      <c r="BF216" s="755">
        <f t="shared" si="134"/>
        <v>0</v>
      </c>
      <c r="BG216" s="466">
        <f t="shared" si="120"/>
        <v>0</v>
      </c>
      <c r="BH216" s="464">
        <f t="shared" si="121"/>
        <v>0</v>
      </c>
      <c r="BI216" s="755">
        <f t="shared" si="122"/>
        <v>0</v>
      </c>
      <c r="BJ216" s="755">
        <f t="shared" si="135"/>
        <v>0</v>
      </c>
      <c r="BK216" s="333">
        <f>IF(OR($C216&lt;&gt;"Early Retirement",$H216=""),0,IF(AND($G216&lt;&gt;"Air Cooled Chiller",$G216&lt;&gt;"Water Cooled Chiller"),VLOOKUP($H216,'Early Retirement'!$CI$6:$CL$33,2,FALSE),IF($J216&lt;&gt;"Centrifugal",VLOOKUP($H216,'Early Retirement'!$CI$6:$CL$33,3,FALSE),IF($J216="Centrifugal",VLOOKUP($H216,'Early Retirement'!$CI$6:$CL$33,4,FALSE),""))))</f>
        <v>0</v>
      </c>
      <c r="BL216" s="450">
        <f t="shared" si="123"/>
        <v>0</v>
      </c>
      <c r="BM216" s="553">
        <f>IFERROR('Utility Admin'!$I$4*((1+'Utility Admin'!$G$4)/('Utility Admin'!$H$4-'Utility Admin'!$G$4))*(1-((1+'Utility Admin'!$G$4)/(1+'Utility Admin'!$H$4))^$BK216)*$BG216,0)</f>
        <v>0</v>
      </c>
      <c r="BN216" s="553">
        <f>IFERROR('Utility Admin'!$I$4*((1+'Utility Admin'!$G$4)/('Utility Admin'!$H$4-'Utility Admin'!$G$4))*(1-((1+'Utility Admin'!$G$4)/(1+'Utility Admin'!$H$4))^$BL216)*((1+'Utility Admin'!$G$4)^$BK216/(1+'Utility Admin'!$H$4)^$BK216)*$BC216,0)</f>
        <v>0</v>
      </c>
      <c r="BO216" s="553">
        <f t="shared" si="27"/>
        <v>0</v>
      </c>
      <c r="BP216" s="553">
        <f>IFERROR('Utility Admin'!$J$4*((1+'Utility Admin'!$G$4)/('Utility Admin'!$H$4-'Utility Admin'!$G$4))*(1-((1+'Utility Admin'!$G$4)/(1+'Utility Admin'!$H$4))^$BK216)*$BJ216,0)</f>
        <v>0</v>
      </c>
      <c r="BQ216" s="553">
        <f>IFERROR('Utility Admin'!$J$4*((1+'Utility Admin'!$G$4)/('Utility Admin'!$H$4-'Utility Admin'!$G$4))*(1-((1+'Utility Admin'!$G$4)/(1+'Utility Admin'!$H$4))^$BL216)*((1+'Utility Admin'!$G$4)^$BK216/(1+'Utility Admin'!$H$4)^$BK216)*$BF216,0)</f>
        <v>0</v>
      </c>
      <c r="BR216" s="553">
        <f t="shared" si="28"/>
        <v>0</v>
      </c>
      <c r="BS216" s="553">
        <f>IFERROR('Utility Admin'!$I$4*((1+'Utility Admin'!$G$4)/('Utility Admin'!$H$4-'Utility Admin'!$G$4))*(1-((1+'Utility Admin'!$G$4)/(1+'Utility Admin'!$H$4))^$AT216),0)</f>
        <v>0</v>
      </c>
      <c r="BT216" s="553">
        <f>IFERROR('Utility Admin'!$J$4*((1+'Utility Admin'!$G$4)/('Utility Admin'!$H$4-'Utility Admin'!$G$4))*(1-((1+'Utility Admin'!$G$4)/(1+'Utility Admin'!$H$4))^$AT216),0)</f>
        <v>0</v>
      </c>
      <c r="BU216" s="459">
        <f t="shared" si="136"/>
        <v>0</v>
      </c>
      <c r="BV216" s="462">
        <f t="shared" si="137"/>
        <v>0</v>
      </c>
      <c r="BW216" s="219" t="str">
        <f t="shared" si="124"/>
        <v/>
      </c>
      <c r="BX216" s="250" t="str">
        <f t="shared" si="138"/>
        <v/>
      </c>
      <c r="BY216" s="250" t="str">
        <f t="shared" si="125"/>
        <v/>
      </c>
      <c r="BZ216" s="184">
        <f t="shared" si="139"/>
        <v>0</v>
      </c>
      <c r="CA216" s="693">
        <f t="shared" si="140"/>
        <v>0</v>
      </c>
      <c r="CB216" s="836">
        <f t="shared" si="141"/>
        <v>0</v>
      </c>
      <c r="CC216" s="693">
        <f>IF(AND($C216="Early Retirement",$H216&lt;&gt;"",$R216&lt;&gt;"",$T216&lt;&gt;""),$BZ216,Baselines!$CJ209)</f>
        <v>0</v>
      </c>
      <c r="CD216" s="693">
        <f>IF(AND($C216="Early Retirement",$H216&lt;&gt;"",$R216&lt;&gt;"",$T216&lt;&gt;""),$CA216,Baselines!$CK209)</f>
        <v>0</v>
      </c>
      <c r="CE216" s="182" t="str">
        <f>Baselines!$CL209</f>
        <v>kW/ton</v>
      </c>
      <c r="CF216" s="850" t="str">
        <f t="shared" si="126"/>
        <v/>
      </c>
      <c r="CG216" s="833">
        <f>IF(AND($C216="Early Retirement",$H216&lt;&gt;"",$R216&lt;&gt;"",$T216&lt;&gt;""),$CB216,IF(AND(Baselines!$CM209=0,OR($CL216="DX HP",$CL216="PTHP")),$BB216,Baselines!$CM209))</f>
        <v>0</v>
      </c>
      <c r="CH216" s="830" t="s">
        <v>567</v>
      </c>
      <c r="CI216" s="185" t="str">
        <f>IF(OR($C216="Replace-on-Burnout",$C216="New Construction"),$CT216,IF($BW216="","",VLOOKUP($D216,'Factor Tables'!$B$165:$H$192,MATCH($BW216,'Factor Tables'!$B$164:$H$164,0),FALSE)))</f>
        <v/>
      </c>
      <c r="CJ216" s="842" t="str">
        <f>IF(OR($C216="Replace-on-Burnout",$C216="New Construction"),$CU216,IF($BW216="","",IF($BW216="DX HP",VLOOKUP($D216,'Factor Tables'!$I$165:$Q$192,MATCH("DX HP Clg",'Factor Tables'!$I$164:$Q$164,0),FALSE),IF($BW216="PTHP",VLOOKUP($D216,'Factor Tables'!$I$165:$Q$192,MATCH("PTHP Clg",'Factor Tables'!$I$164:$Q$164,0),FALSE),IF(AND($BW216&lt;&gt;"DX HP",$BW216&lt;&gt;"PTHP"),VLOOKUP($D216,'Factor Tables'!$I$165:$Q$192,MATCH($BW216,'Factor Tables'!$I$164:$Q$164,0),FALSE),"")))))</f>
        <v/>
      </c>
      <c r="CK216" s="186" t="str">
        <f>IF(OR($C216="Replace-on-Burnout",$C216="New Construction",$CL216="DX HP",$CL216="PTHP"),$CV216,IF($BW216="","",IF($BW216="DX HP",VLOOKUP($D216,'Factor Tables'!$I$165:$Q$192,MATCH("DX HP Htg",'Factor Tables'!$I$164:$Q$164,0),FALSE),IF($BW216="PTHP",VLOOKUP($D216,'Factor Tables'!$I$165:$Q$192,MATCH("PTHP Htg",'Factor Tables'!$I$164:$Q$164,0),FALSE),0))))</f>
        <v/>
      </c>
      <c r="CL216" s="187" t="str">
        <f t="shared" si="127"/>
        <v/>
      </c>
      <c r="CM216" s="251" t="str">
        <f t="shared" si="128"/>
        <v/>
      </c>
      <c r="CN216" s="184">
        <f t="shared" si="142"/>
        <v>0</v>
      </c>
      <c r="CO216" s="693">
        <f t="shared" si="143"/>
        <v>0</v>
      </c>
      <c r="CP216" s="182" t="s">
        <v>46</v>
      </c>
      <c r="CQ216" s="852" t="str">
        <f t="shared" si="144"/>
        <v/>
      </c>
      <c r="CR216" s="833">
        <f t="shared" si="145"/>
        <v>0</v>
      </c>
      <c r="CS216" s="830" t="s">
        <v>567</v>
      </c>
      <c r="CT216" s="185" t="str">
        <f>IF($CL216="","",VLOOKUP($D216,'Factor Tables'!$B$165:$H$192,MATCH($CL216,'Factor Tables'!$B$164:$H$164,0),FALSE))</f>
        <v/>
      </c>
      <c r="CU216" s="842" t="str">
        <f>IF($CL216="","",IF(AND($CL216&lt;&gt;"DX HP",$CL216&lt;&gt;"PTHP"),VLOOKUP($D216,'Factor Tables'!$I$165:$Q$192,MATCH($CL216,'Factor Tables'!$I$164:$Q$164,0),FALSE),IF($CL216="DX HP",VLOOKUP($D216,'Factor Tables'!$I$165:$Q$192,MATCH("DX HP Clg",'Factor Tables'!$I$164:$Q$164,0),FALSE),IF($CL216="PTHP",VLOOKUP($D216,'Factor Tables'!$I$165:$Q$192,MATCH("PTHP Clg",'Factor Tables'!$I$164:$Q$164,0),FALSE),""))))</f>
        <v/>
      </c>
      <c r="CV216" s="186" t="str">
        <f>IF($CL216="","",IF(AND($CL216&lt;&gt;"DX HP",$CL216&lt;&gt;"PTHP"),0,IF($CL216="DX HP",VLOOKUP($D216,'Factor Tables'!$I$165:$Q$192,MATCH("DX HP Htg",'Factor Tables'!$I$164:$Q$164,0),FALSE),IF($CL216="PTHP",VLOOKUP($D216,'Factor Tables'!$I$165:$Q$192,MATCH("PTHP Htg",'Factor Tables'!$I$164:$Q$164,0),FALSE),""))))</f>
        <v/>
      </c>
      <c r="DD216" s="196" t="str">
        <f>IF(OR('Project Info'!$D$8="",$C56="",$D56=""),"",IF('Project Info'!$D$8="Weather Zone 5: El Paso",VLOOKUP($D56,$DI$9:$DL$37,MATCH($C56,$DI$9:$DL$9,0),FALSE),VLOOKUP($D56,$DE$9:$DH$37,MATCH($C56,$DE$9:$DH$9,0),FALSE)))</f>
        <v/>
      </c>
      <c r="DE216" s="426"/>
      <c r="DI216" s="425"/>
      <c r="DJ216" s="425"/>
      <c r="DK216" s="425"/>
      <c r="DL216" s="425"/>
      <c r="DM216" s="493" t="s">
        <v>478</v>
      </c>
    </row>
    <row r="217" spans="2:117" s="427" customFormat="1" ht="21.95" customHeight="1" x14ac:dyDescent="0.25">
      <c r="B217" s="432">
        <v>208</v>
      </c>
      <c r="C217" s="499" t="str">
        <f t="shared" si="129"/>
        <v/>
      </c>
      <c r="D217" s="403" t="str">
        <f t="shared" si="130"/>
        <v/>
      </c>
      <c r="E217" s="541"/>
      <c r="F217" s="785"/>
      <c r="G217" s="728"/>
      <c r="H217" s="728"/>
      <c r="I217" s="728"/>
      <c r="J217" s="728"/>
      <c r="K217" s="728"/>
      <c r="L217" s="728"/>
      <c r="M217" s="764"/>
      <c r="N217" s="728"/>
      <c r="O217" s="764"/>
      <c r="P217" s="728"/>
      <c r="Q217" s="1142"/>
      <c r="R217" s="1133"/>
      <c r="S217" s="778"/>
      <c r="T217" s="767"/>
      <c r="U217" s="778"/>
      <c r="V217" s="751"/>
      <c r="W217" s="556"/>
      <c r="X217" s="785"/>
      <c r="Y217" s="542"/>
      <c r="Z217" s="500"/>
      <c r="AA217" s="500"/>
      <c r="AB217" s="500"/>
      <c r="AC217" s="500"/>
      <c r="AD217" s="529"/>
      <c r="AE217" s="527">
        <f t="shared" si="39"/>
        <v>0</v>
      </c>
      <c r="AF217" s="527">
        <f t="shared" si="131"/>
        <v>0</v>
      </c>
      <c r="AG217" s="527">
        <f t="shared" si="111"/>
        <v>0</v>
      </c>
      <c r="AH217" s="527">
        <f t="shared" si="112"/>
        <v>0</v>
      </c>
      <c r="AI217" s="527">
        <f t="shared" si="113"/>
        <v>0</v>
      </c>
      <c r="AJ217" s="527">
        <f t="shared" si="114"/>
        <v>999999999</v>
      </c>
      <c r="AK217" s="530"/>
      <c r="AL217" s="776"/>
      <c r="AM217" s="777"/>
      <c r="AN217" s="500"/>
      <c r="AO217" s="778"/>
      <c r="AP217" s="778"/>
      <c r="AQ217" s="500"/>
      <c r="AR217" s="531"/>
      <c r="AS217" s="403"/>
      <c r="AT217" s="524" t="str">
        <f t="shared" si="115"/>
        <v/>
      </c>
      <c r="AU217" s="311">
        <f t="shared" si="116"/>
        <v>0</v>
      </c>
      <c r="AV217" s="288">
        <f t="shared" si="132"/>
        <v>0</v>
      </c>
      <c r="AW217" s="290">
        <f>IF(ISERROR($AU217*'Utility Admin'!$E$4+$AV217*'Utility Admin'!$F$4),0,$AU217*'Utility Admin'!$E$4+$AV217*'Utility Admin'!$F$4)</f>
        <v>0</v>
      </c>
      <c r="AX217" s="323" t="str">
        <f t="shared" si="117"/>
        <v/>
      </c>
      <c r="AY217" s="322" t="str">
        <f t="shared" si="23"/>
        <v/>
      </c>
      <c r="AZ217" s="319">
        <f>Baselines!$CJ461</f>
        <v>0</v>
      </c>
      <c r="BA217" s="735">
        <f>Baselines!$CK461</f>
        <v>0</v>
      </c>
      <c r="BB217" s="839">
        <f>Baselines!$CM461</f>
        <v>0</v>
      </c>
      <c r="BC217" s="466">
        <f t="shared" si="118"/>
        <v>0</v>
      </c>
      <c r="BD217" s="464">
        <f t="shared" si="133"/>
        <v>0</v>
      </c>
      <c r="BE217" s="755">
        <f t="shared" si="119"/>
        <v>0</v>
      </c>
      <c r="BF217" s="755">
        <f t="shared" si="134"/>
        <v>0</v>
      </c>
      <c r="BG217" s="466">
        <f t="shared" si="120"/>
        <v>0</v>
      </c>
      <c r="BH217" s="464">
        <f t="shared" si="121"/>
        <v>0</v>
      </c>
      <c r="BI217" s="755">
        <f t="shared" si="122"/>
        <v>0</v>
      </c>
      <c r="BJ217" s="755">
        <f t="shared" si="135"/>
        <v>0</v>
      </c>
      <c r="BK217" s="333">
        <f>IF(OR($C217&lt;&gt;"Early Retirement",$H217=""),0,IF(AND($G217&lt;&gt;"Air Cooled Chiller",$G217&lt;&gt;"Water Cooled Chiller"),VLOOKUP($H217,'Early Retirement'!$CI$6:$CL$33,2,FALSE),IF($J217&lt;&gt;"Centrifugal",VLOOKUP($H217,'Early Retirement'!$CI$6:$CL$33,3,FALSE),IF($J217="Centrifugal",VLOOKUP($H217,'Early Retirement'!$CI$6:$CL$33,4,FALSE),""))))</f>
        <v>0</v>
      </c>
      <c r="BL217" s="450">
        <f t="shared" si="123"/>
        <v>0</v>
      </c>
      <c r="BM217" s="553">
        <f>IFERROR('Utility Admin'!$I$4*((1+'Utility Admin'!$G$4)/('Utility Admin'!$H$4-'Utility Admin'!$G$4))*(1-((1+'Utility Admin'!$G$4)/(1+'Utility Admin'!$H$4))^$BK217)*$BG217,0)</f>
        <v>0</v>
      </c>
      <c r="BN217" s="553">
        <f>IFERROR('Utility Admin'!$I$4*((1+'Utility Admin'!$G$4)/('Utility Admin'!$H$4-'Utility Admin'!$G$4))*(1-((1+'Utility Admin'!$G$4)/(1+'Utility Admin'!$H$4))^$BL217)*((1+'Utility Admin'!$G$4)^$BK217/(1+'Utility Admin'!$H$4)^$BK217)*$BC217,0)</f>
        <v>0</v>
      </c>
      <c r="BO217" s="553">
        <f t="shared" si="27"/>
        <v>0</v>
      </c>
      <c r="BP217" s="553">
        <f>IFERROR('Utility Admin'!$J$4*((1+'Utility Admin'!$G$4)/('Utility Admin'!$H$4-'Utility Admin'!$G$4))*(1-((1+'Utility Admin'!$G$4)/(1+'Utility Admin'!$H$4))^$BK217)*$BJ217,0)</f>
        <v>0</v>
      </c>
      <c r="BQ217" s="553">
        <f>IFERROR('Utility Admin'!$J$4*((1+'Utility Admin'!$G$4)/('Utility Admin'!$H$4-'Utility Admin'!$G$4))*(1-((1+'Utility Admin'!$G$4)/(1+'Utility Admin'!$H$4))^$BL217)*((1+'Utility Admin'!$G$4)^$BK217/(1+'Utility Admin'!$H$4)^$BK217)*$BF217,0)</f>
        <v>0</v>
      </c>
      <c r="BR217" s="553">
        <f t="shared" si="28"/>
        <v>0</v>
      </c>
      <c r="BS217" s="553">
        <f>IFERROR('Utility Admin'!$I$4*((1+'Utility Admin'!$G$4)/('Utility Admin'!$H$4-'Utility Admin'!$G$4))*(1-((1+'Utility Admin'!$G$4)/(1+'Utility Admin'!$H$4))^$AT217),0)</f>
        <v>0</v>
      </c>
      <c r="BT217" s="553">
        <f>IFERROR('Utility Admin'!$J$4*((1+'Utility Admin'!$G$4)/('Utility Admin'!$H$4-'Utility Admin'!$G$4))*(1-((1+'Utility Admin'!$G$4)/(1+'Utility Admin'!$H$4))^$AT217),0)</f>
        <v>0</v>
      </c>
      <c r="BU217" s="459">
        <f t="shared" si="136"/>
        <v>0</v>
      </c>
      <c r="BV217" s="462">
        <f t="shared" si="137"/>
        <v>0</v>
      </c>
      <c r="BW217" s="219" t="str">
        <f t="shared" si="124"/>
        <v/>
      </c>
      <c r="BX217" s="250" t="str">
        <f t="shared" si="138"/>
        <v/>
      </c>
      <c r="BY217" s="250" t="str">
        <f t="shared" si="125"/>
        <v/>
      </c>
      <c r="BZ217" s="184">
        <f t="shared" si="139"/>
        <v>0</v>
      </c>
      <c r="CA217" s="693">
        <f t="shared" si="140"/>
        <v>0</v>
      </c>
      <c r="CB217" s="836">
        <f t="shared" si="141"/>
        <v>0</v>
      </c>
      <c r="CC217" s="693">
        <f>IF(AND($C217="Early Retirement",$H217&lt;&gt;"",$R217&lt;&gt;"",$T217&lt;&gt;""),$BZ217,Baselines!$CJ210)</f>
        <v>0</v>
      </c>
      <c r="CD217" s="693">
        <f>IF(AND($C217="Early Retirement",$H217&lt;&gt;"",$R217&lt;&gt;"",$T217&lt;&gt;""),$CA217,Baselines!$CK210)</f>
        <v>0</v>
      </c>
      <c r="CE217" s="182" t="str">
        <f>Baselines!$CL210</f>
        <v>kW/ton</v>
      </c>
      <c r="CF217" s="850" t="str">
        <f t="shared" si="126"/>
        <v/>
      </c>
      <c r="CG217" s="833">
        <f>IF(AND($C217="Early Retirement",$H217&lt;&gt;"",$R217&lt;&gt;"",$T217&lt;&gt;""),$CB217,IF(AND(Baselines!$CM210=0,OR($CL217="DX HP",$CL217="PTHP")),$BB217,Baselines!$CM210))</f>
        <v>0</v>
      </c>
      <c r="CH217" s="830" t="s">
        <v>567</v>
      </c>
      <c r="CI217" s="185" t="str">
        <f>IF(OR($C217="Replace-on-Burnout",$C217="New Construction"),$CT217,IF($BW217="","",VLOOKUP($D217,'Factor Tables'!$B$165:$H$192,MATCH($BW217,'Factor Tables'!$B$164:$H$164,0),FALSE)))</f>
        <v/>
      </c>
      <c r="CJ217" s="842" t="str">
        <f>IF(OR($C217="Replace-on-Burnout",$C217="New Construction"),$CU217,IF($BW217="","",IF($BW217="DX HP",VLOOKUP($D217,'Factor Tables'!$I$165:$Q$192,MATCH("DX HP Clg",'Factor Tables'!$I$164:$Q$164,0),FALSE),IF($BW217="PTHP",VLOOKUP($D217,'Factor Tables'!$I$165:$Q$192,MATCH("PTHP Clg",'Factor Tables'!$I$164:$Q$164,0),FALSE),IF(AND($BW217&lt;&gt;"DX HP",$BW217&lt;&gt;"PTHP"),VLOOKUP($D217,'Factor Tables'!$I$165:$Q$192,MATCH($BW217,'Factor Tables'!$I$164:$Q$164,0),FALSE),"")))))</f>
        <v/>
      </c>
      <c r="CK217" s="186" t="str">
        <f>IF(OR($C217="Replace-on-Burnout",$C217="New Construction",$CL217="DX HP",$CL217="PTHP"),$CV217,IF($BW217="","",IF($BW217="DX HP",VLOOKUP($D217,'Factor Tables'!$I$165:$Q$192,MATCH("DX HP Htg",'Factor Tables'!$I$164:$Q$164,0),FALSE),IF($BW217="PTHP",VLOOKUP($D217,'Factor Tables'!$I$165:$Q$192,MATCH("PTHP Htg",'Factor Tables'!$I$164:$Q$164,0),FALSE),0))))</f>
        <v/>
      </c>
      <c r="CL217" s="187" t="str">
        <f t="shared" si="127"/>
        <v/>
      </c>
      <c r="CM217" s="251" t="str">
        <f t="shared" si="128"/>
        <v/>
      </c>
      <c r="CN217" s="184">
        <f t="shared" si="142"/>
        <v>0</v>
      </c>
      <c r="CO217" s="693">
        <f t="shared" si="143"/>
        <v>0</v>
      </c>
      <c r="CP217" s="182" t="s">
        <v>46</v>
      </c>
      <c r="CQ217" s="852" t="str">
        <f t="shared" si="144"/>
        <v/>
      </c>
      <c r="CR217" s="833">
        <f t="shared" si="145"/>
        <v>0</v>
      </c>
      <c r="CS217" s="830" t="s">
        <v>567</v>
      </c>
      <c r="CT217" s="185" t="str">
        <f>IF($CL217="","",VLOOKUP($D217,'Factor Tables'!$B$165:$H$192,MATCH($CL217,'Factor Tables'!$B$164:$H$164,0),FALSE))</f>
        <v/>
      </c>
      <c r="CU217" s="842" t="str">
        <f>IF($CL217="","",IF(AND($CL217&lt;&gt;"DX HP",$CL217&lt;&gt;"PTHP"),VLOOKUP($D217,'Factor Tables'!$I$165:$Q$192,MATCH($CL217,'Factor Tables'!$I$164:$Q$164,0),FALSE),IF($CL217="DX HP",VLOOKUP($D217,'Factor Tables'!$I$165:$Q$192,MATCH("DX HP Clg",'Factor Tables'!$I$164:$Q$164,0),FALSE),IF($CL217="PTHP",VLOOKUP($D217,'Factor Tables'!$I$165:$Q$192,MATCH("PTHP Clg",'Factor Tables'!$I$164:$Q$164,0),FALSE),""))))</f>
        <v/>
      </c>
      <c r="CV217" s="186" t="str">
        <f>IF($CL217="","",IF(AND($CL217&lt;&gt;"DX HP",$CL217&lt;&gt;"PTHP"),0,IF($CL217="DX HP",VLOOKUP($D217,'Factor Tables'!$I$165:$Q$192,MATCH("DX HP Htg",'Factor Tables'!$I$164:$Q$164,0),FALSE),IF($CL217="PTHP",VLOOKUP($D217,'Factor Tables'!$I$165:$Q$192,MATCH("PTHP Htg",'Factor Tables'!$I$164:$Q$164,0),FALSE),""))))</f>
        <v/>
      </c>
      <c r="DD217" s="196" t="str">
        <f>IF(OR('Project Info'!$D$8="",$C57="",$D57=""),"",IF('Project Info'!$D$8="Weather Zone 5: El Paso",VLOOKUP($D57,$DI$9:$DL$37,MATCH($C57,$DI$9:$DL$9,0),FALSE),VLOOKUP($D57,$DE$9:$DH$37,MATCH($C57,$DE$9:$DH$9,0),FALSE)))</f>
        <v/>
      </c>
      <c r="DE217" s="426"/>
      <c r="DI217" s="425"/>
      <c r="DJ217" s="425"/>
      <c r="DK217" s="425"/>
      <c r="DL217" s="425"/>
      <c r="DM217" s="493" t="s">
        <v>478</v>
      </c>
    </row>
    <row r="218" spans="2:117" s="427" customFormat="1" ht="21.95" customHeight="1" x14ac:dyDescent="0.25">
      <c r="B218" s="431">
        <v>209</v>
      </c>
      <c r="C218" s="501" t="str">
        <f t="shared" si="129"/>
        <v/>
      </c>
      <c r="D218" s="502" t="str">
        <f t="shared" si="130"/>
        <v/>
      </c>
      <c r="E218" s="546"/>
      <c r="F218" s="547"/>
      <c r="G218" s="729"/>
      <c r="H218" s="729"/>
      <c r="I218" s="729"/>
      <c r="J218" s="729"/>
      <c r="K218" s="729"/>
      <c r="L218" s="729"/>
      <c r="M218" s="765"/>
      <c r="N218" s="758"/>
      <c r="O218" s="765"/>
      <c r="P218" s="758"/>
      <c r="Q218" s="1143"/>
      <c r="R218" s="1134"/>
      <c r="S218" s="775"/>
      <c r="T218" s="729"/>
      <c r="U218" s="775"/>
      <c r="V218" s="779"/>
      <c r="W218" s="557"/>
      <c r="X218" s="788"/>
      <c r="Y218" s="543"/>
      <c r="Z218" s="281"/>
      <c r="AA218" s="281"/>
      <c r="AB218" s="281"/>
      <c r="AC218" s="281"/>
      <c r="AD218" s="492"/>
      <c r="AE218" s="527">
        <f t="shared" si="39"/>
        <v>0</v>
      </c>
      <c r="AF218" s="527">
        <f t="shared" si="131"/>
        <v>0</v>
      </c>
      <c r="AG218" s="527">
        <f t="shared" si="111"/>
        <v>0</v>
      </c>
      <c r="AH218" s="527">
        <f t="shared" si="112"/>
        <v>0</v>
      </c>
      <c r="AI218" s="527">
        <f t="shared" si="113"/>
        <v>0</v>
      </c>
      <c r="AJ218" s="527">
        <f t="shared" si="114"/>
        <v>999999999</v>
      </c>
      <c r="AK218" s="471"/>
      <c r="AL218" s="765"/>
      <c r="AM218" s="758"/>
      <c r="AN218" s="281"/>
      <c r="AO218" s="775"/>
      <c r="AP218" s="775"/>
      <c r="AQ218" s="281"/>
      <c r="AR218" s="528"/>
      <c r="AS218" s="532"/>
      <c r="AT218" s="524" t="str">
        <f t="shared" si="115"/>
        <v/>
      </c>
      <c r="AU218" s="311">
        <f t="shared" si="116"/>
        <v>0</v>
      </c>
      <c r="AV218" s="288">
        <f t="shared" si="132"/>
        <v>0</v>
      </c>
      <c r="AW218" s="290">
        <f>IF(ISERROR($AU218*'Utility Admin'!$E$4+$AV218*'Utility Admin'!$F$4),0,$AU218*'Utility Admin'!$E$4+$AV218*'Utility Admin'!$F$4)</f>
        <v>0</v>
      </c>
      <c r="AX218" s="323" t="str">
        <f t="shared" si="117"/>
        <v/>
      </c>
      <c r="AY218" s="322" t="str">
        <f t="shared" si="23"/>
        <v/>
      </c>
      <c r="AZ218" s="319">
        <f>Baselines!$CJ462</f>
        <v>0</v>
      </c>
      <c r="BA218" s="735">
        <f>Baselines!$CK462</f>
        <v>0</v>
      </c>
      <c r="BB218" s="839">
        <f>Baselines!$CM462</f>
        <v>0</v>
      </c>
      <c r="BC218" s="466">
        <f t="shared" si="118"/>
        <v>0</v>
      </c>
      <c r="BD218" s="464">
        <f t="shared" si="133"/>
        <v>0</v>
      </c>
      <c r="BE218" s="755">
        <f t="shared" si="119"/>
        <v>0</v>
      </c>
      <c r="BF218" s="755">
        <f t="shared" si="134"/>
        <v>0</v>
      </c>
      <c r="BG218" s="466">
        <f t="shared" si="120"/>
        <v>0</v>
      </c>
      <c r="BH218" s="464">
        <f t="shared" si="121"/>
        <v>0</v>
      </c>
      <c r="BI218" s="755">
        <f t="shared" si="122"/>
        <v>0</v>
      </c>
      <c r="BJ218" s="755">
        <f t="shared" si="135"/>
        <v>0</v>
      </c>
      <c r="BK218" s="333">
        <f>IF(OR($C218&lt;&gt;"Early Retirement",$H218=""),0,IF(AND($G218&lt;&gt;"Air Cooled Chiller",$G218&lt;&gt;"Water Cooled Chiller"),VLOOKUP($H218,'Early Retirement'!$CI$6:$CL$33,2,FALSE),IF($J218&lt;&gt;"Centrifugal",VLOOKUP($H218,'Early Retirement'!$CI$6:$CL$33,3,FALSE),IF($J218="Centrifugal",VLOOKUP($H218,'Early Retirement'!$CI$6:$CL$33,4,FALSE),""))))</f>
        <v>0</v>
      </c>
      <c r="BL218" s="450">
        <f t="shared" si="123"/>
        <v>0</v>
      </c>
      <c r="BM218" s="553">
        <f>IFERROR('Utility Admin'!$I$4*((1+'Utility Admin'!$G$4)/('Utility Admin'!$H$4-'Utility Admin'!$G$4))*(1-((1+'Utility Admin'!$G$4)/(1+'Utility Admin'!$H$4))^$BK218)*$BG218,0)</f>
        <v>0</v>
      </c>
      <c r="BN218" s="553">
        <f>IFERROR('Utility Admin'!$I$4*((1+'Utility Admin'!$G$4)/('Utility Admin'!$H$4-'Utility Admin'!$G$4))*(1-((1+'Utility Admin'!$G$4)/(1+'Utility Admin'!$H$4))^$BL218)*((1+'Utility Admin'!$G$4)^$BK218/(1+'Utility Admin'!$H$4)^$BK218)*$BC218,0)</f>
        <v>0</v>
      </c>
      <c r="BO218" s="553">
        <f t="shared" si="27"/>
        <v>0</v>
      </c>
      <c r="BP218" s="553">
        <f>IFERROR('Utility Admin'!$J$4*((1+'Utility Admin'!$G$4)/('Utility Admin'!$H$4-'Utility Admin'!$G$4))*(1-((1+'Utility Admin'!$G$4)/(1+'Utility Admin'!$H$4))^$BK218)*$BJ218,0)</f>
        <v>0</v>
      </c>
      <c r="BQ218" s="553">
        <f>IFERROR('Utility Admin'!$J$4*((1+'Utility Admin'!$G$4)/('Utility Admin'!$H$4-'Utility Admin'!$G$4))*(1-((1+'Utility Admin'!$G$4)/(1+'Utility Admin'!$H$4))^$BL218)*((1+'Utility Admin'!$G$4)^$BK218/(1+'Utility Admin'!$H$4)^$BK218)*$BF218,0)</f>
        <v>0</v>
      </c>
      <c r="BR218" s="553">
        <f t="shared" si="28"/>
        <v>0</v>
      </c>
      <c r="BS218" s="553">
        <f>IFERROR('Utility Admin'!$I$4*((1+'Utility Admin'!$G$4)/('Utility Admin'!$H$4-'Utility Admin'!$G$4))*(1-((1+'Utility Admin'!$G$4)/(1+'Utility Admin'!$H$4))^$AT218),0)</f>
        <v>0</v>
      </c>
      <c r="BT218" s="553">
        <f>IFERROR('Utility Admin'!$J$4*((1+'Utility Admin'!$G$4)/('Utility Admin'!$H$4-'Utility Admin'!$G$4))*(1-((1+'Utility Admin'!$G$4)/(1+'Utility Admin'!$H$4))^$AT218),0)</f>
        <v>0</v>
      </c>
      <c r="BU218" s="459">
        <f t="shared" si="136"/>
        <v>0</v>
      </c>
      <c r="BV218" s="462">
        <f t="shared" si="137"/>
        <v>0</v>
      </c>
      <c r="BW218" s="219" t="str">
        <f t="shared" si="124"/>
        <v/>
      </c>
      <c r="BX218" s="250" t="str">
        <f t="shared" si="138"/>
        <v/>
      </c>
      <c r="BY218" s="250" t="str">
        <f t="shared" si="125"/>
        <v/>
      </c>
      <c r="BZ218" s="184">
        <f t="shared" si="139"/>
        <v>0</v>
      </c>
      <c r="CA218" s="693">
        <f t="shared" si="140"/>
        <v>0</v>
      </c>
      <c r="CB218" s="836">
        <f t="shared" si="141"/>
        <v>0</v>
      </c>
      <c r="CC218" s="693">
        <f>IF(AND($C218="Early Retirement",$H218&lt;&gt;"",$R218&lt;&gt;"",$T218&lt;&gt;""),$BZ218,Baselines!$CJ211)</f>
        <v>0</v>
      </c>
      <c r="CD218" s="693">
        <f>IF(AND($C218="Early Retirement",$H218&lt;&gt;"",$R218&lt;&gt;"",$T218&lt;&gt;""),$CA218,Baselines!$CK211)</f>
        <v>0</v>
      </c>
      <c r="CE218" s="182" t="str">
        <f>Baselines!$CL211</f>
        <v>kW/ton</v>
      </c>
      <c r="CF218" s="850" t="str">
        <f t="shared" si="126"/>
        <v/>
      </c>
      <c r="CG218" s="833">
        <f>IF(AND($C218="Early Retirement",$H218&lt;&gt;"",$R218&lt;&gt;"",$T218&lt;&gt;""),$CB218,IF(AND(Baselines!$CM211=0,OR($CL218="DX HP",$CL218="PTHP")),$BB218,Baselines!$CM211))</f>
        <v>0</v>
      </c>
      <c r="CH218" s="830" t="s">
        <v>567</v>
      </c>
      <c r="CI218" s="185" t="str">
        <f>IF(OR($C218="Replace-on-Burnout",$C218="New Construction"),$CT218,IF($BW218="","",VLOOKUP($D218,'Factor Tables'!$B$165:$H$192,MATCH($BW218,'Factor Tables'!$B$164:$H$164,0),FALSE)))</f>
        <v/>
      </c>
      <c r="CJ218" s="842" t="str">
        <f>IF(OR($C218="Replace-on-Burnout",$C218="New Construction"),$CU218,IF($BW218="","",IF($BW218="DX HP",VLOOKUP($D218,'Factor Tables'!$I$165:$Q$192,MATCH("DX HP Clg",'Factor Tables'!$I$164:$Q$164,0),FALSE),IF($BW218="PTHP",VLOOKUP($D218,'Factor Tables'!$I$165:$Q$192,MATCH("PTHP Clg",'Factor Tables'!$I$164:$Q$164,0),FALSE),IF(AND($BW218&lt;&gt;"DX HP",$BW218&lt;&gt;"PTHP"),VLOOKUP($D218,'Factor Tables'!$I$165:$Q$192,MATCH($BW218,'Factor Tables'!$I$164:$Q$164,0),FALSE),"")))))</f>
        <v/>
      </c>
      <c r="CK218" s="186" t="str">
        <f>IF(OR($C218="Replace-on-Burnout",$C218="New Construction",$CL218="DX HP",$CL218="PTHP"),$CV218,IF($BW218="","",IF($BW218="DX HP",VLOOKUP($D218,'Factor Tables'!$I$165:$Q$192,MATCH("DX HP Htg",'Factor Tables'!$I$164:$Q$164,0),FALSE),IF($BW218="PTHP",VLOOKUP($D218,'Factor Tables'!$I$165:$Q$192,MATCH("PTHP Htg",'Factor Tables'!$I$164:$Q$164,0),FALSE),0))))</f>
        <v/>
      </c>
      <c r="CL218" s="187" t="str">
        <f t="shared" si="127"/>
        <v/>
      </c>
      <c r="CM218" s="251" t="str">
        <f t="shared" si="128"/>
        <v/>
      </c>
      <c r="CN218" s="184">
        <f t="shared" si="142"/>
        <v>0</v>
      </c>
      <c r="CO218" s="693">
        <f t="shared" si="143"/>
        <v>0</v>
      </c>
      <c r="CP218" s="182" t="s">
        <v>46</v>
      </c>
      <c r="CQ218" s="852" t="str">
        <f t="shared" si="144"/>
        <v/>
      </c>
      <c r="CR218" s="833">
        <f t="shared" si="145"/>
        <v>0</v>
      </c>
      <c r="CS218" s="830" t="s">
        <v>567</v>
      </c>
      <c r="CT218" s="185" t="str">
        <f>IF($CL218="","",VLOOKUP($D218,'Factor Tables'!$B$165:$H$192,MATCH($CL218,'Factor Tables'!$B$164:$H$164,0),FALSE))</f>
        <v/>
      </c>
      <c r="CU218" s="842" t="str">
        <f>IF($CL218="","",IF(AND($CL218&lt;&gt;"DX HP",$CL218&lt;&gt;"PTHP"),VLOOKUP($D218,'Factor Tables'!$I$165:$Q$192,MATCH($CL218,'Factor Tables'!$I$164:$Q$164,0),FALSE),IF($CL218="DX HP",VLOOKUP($D218,'Factor Tables'!$I$165:$Q$192,MATCH("DX HP Clg",'Factor Tables'!$I$164:$Q$164,0),FALSE),IF($CL218="PTHP",VLOOKUP($D218,'Factor Tables'!$I$165:$Q$192,MATCH("PTHP Clg",'Factor Tables'!$I$164:$Q$164,0),FALSE),""))))</f>
        <v/>
      </c>
      <c r="CV218" s="186" t="str">
        <f>IF($CL218="","",IF(AND($CL218&lt;&gt;"DX HP",$CL218&lt;&gt;"PTHP"),0,IF($CL218="DX HP",VLOOKUP($D218,'Factor Tables'!$I$165:$Q$192,MATCH("DX HP Htg",'Factor Tables'!$I$164:$Q$164,0),FALSE),IF($CL218="PTHP",VLOOKUP($D218,'Factor Tables'!$I$165:$Q$192,MATCH("PTHP Htg",'Factor Tables'!$I$164:$Q$164,0),FALSE),""))))</f>
        <v/>
      </c>
      <c r="DD218" s="196" t="str">
        <f>IF(OR('Project Info'!$D$8="",$C58="",$D58=""),"",IF('Project Info'!$D$8="Weather Zone 5: El Paso",VLOOKUP($D58,$DI$9:$DL$37,MATCH($C58,$DI$9:$DL$9,0),FALSE),VLOOKUP($D58,$DE$9:$DH$37,MATCH($C58,$DE$9:$DH$9,0),FALSE)))</f>
        <v/>
      </c>
      <c r="DE218" s="426"/>
      <c r="DI218" s="425"/>
      <c r="DJ218" s="425"/>
      <c r="DK218" s="425"/>
      <c r="DL218" s="425"/>
      <c r="DM218" s="493" t="s">
        <v>478</v>
      </c>
    </row>
    <row r="219" spans="2:117" s="427" customFormat="1" ht="21.95" customHeight="1" x14ac:dyDescent="0.25">
      <c r="B219" s="432">
        <v>210</v>
      </c>
      <c r="C219" s="499" t="str">
        <f t="shared" si="129"/>
        <v/>
      </c>
      <c r="D219" s="403" t="str">
        <f t="shared" si="130"/>
        <v/>
      </c>
      <c r="E219" s="541"/>
      <c r="F219" s="785"/>
      <c r="G219" s="728"/>
      <c r="H219" s="728"/>
      <c r="I219" s="728"/>
      <c r="J219" s="728"/>
      <c r="K219" s="728"/>
      <c r="L219" s="728"/>
      <c r="M219" s="764"/>
      <c r="N219" s="728"/>
      <c r="O219" s="764"/>
      <c r="P219" s="728"/>
      <c r="Q219" s="1142"/>
      <c r="R219" s="1133"/>
      <c r="S219" s="778"/>
      <c r="T219" s="767"/>
      <c r="U219" s="778"/>
      <c r="V219" s="751"/>
      <c r="W219" s="556"/>
      <c r="X219" s="785"/>
      <c r="Y219" s="542"/>
      <c r="Z219" s="500"/>
      <c r="AA219" s="500"/>
      <c r="AB219" s="500"/>
      <c r="AC219" s="500"/>
      <c r="AD219" s="529"/>
      <c r="AE219" s="527">
        <f t="shared" si="39"/>
        <v>0</v>
      </c>
      <c r="AF219" s="527">
        <f t="shared" si="131"/>
        <v>0</v>
      </c>
      <c r="AG219" s="527">
        <f t="shared" si="111"/>
        <v>0</v>
      </c>
      <c r="AH219" s="527">
        <f t="shared" si="112"/>
        <v>0</v>
      </c>
      <c r="AI219" s="527">
        <f t="shared" si="113"/>
        <v>0</v>
      </c>
      <c r="AJ219" s="527">
        <f t="shared" si="114"/>
        <v>999999999</v>
      </c>
      <c r="AK219" s="530"/>
      <c r="AL219" s="776"/>
      <c r="AM219" s="777"/>
      <c r="AN219" s="500"/>
      <c r="AO219" s="778"/>
      <c r="AP219" s="778"/>
      <c r="AQ219" s="500"/>
      <c r="AR219" s="531"/>
      <c r="AS219" s="403"/>
      <c r="AT219" s="524" t="str">
        <f t="shared" si="115"/>
        <v/>
      </c>
      <c r="AU219" s="311">
        <f t="shared" si="116"/>
        <v>0</v>
      </c>
      <c r="AV219" s="288">
        <f t="shared" si="132"/>
        <v>0</v>
      </c>
      <c r="AW219" s="290">
        <f>IF(ISERROR($AU219*'Utility Admin'!$E$4+$AV219*'Utility Admin'!$F$4),0,$AU219*'Utility Admin'!$E$4+$AV219*'Utility Admin'!$F$4)</f>
        <v>0</v>
      </c>
      <c r="AX219" s="323" t="str">
        <f t="shared" si="117"/>
        <v/>
      </c>
      <c r="AY219" s="322" t="str">
        <f t="shared" si="23"/>
        <v/>
      </c>
      <c r="AZ219" s="319">
        <f>Baselines!$CJ463</f>
        <v>0</v>
      </c>
      <c r="BA219" s="735">
        <f>Baselines!$CK463</f>
        <v>0</v>
      </c>
      <c r="BB219" s="839">
        <f>Baselines!$CM463</f>
        <v>0</v>
      </c>
      <c r="BC219" s="466">
        <f t="shared" si="118"/>
        <v>0</v>
      </c>
      <c r="BD219" s="464">
        <f t="shared" si="133"/>
        <v>0</v>
      </c>
      <c r="BE219" s="755">
        <f t="shared" si="119"/>
        <v>0</v>
      </c>
      <c r="BF219" s="755">
        <f t="shared" si="134"/>
        <v>0</v>
      </c>
      <c r="BG219" s="466">
        <f t="shared" si="120"/>
        <v>0</v>
      </c>
      <c r="BH219" s="464">
        <f t="shared" si="121"/>
        <v>0</v>
      </c>
      <c r="BI219" s="755">
        <f t="shared" si="122"/>
        <v>0</v>
      </c>
      <c r="BJ219" s="755">
        <f t="shared" si="135"/>
        <v>0</v>
      </c>
      <c r="BK219" s="333">
        <f>IF(OR($C219&lt;&gt;"Early Retirement",$H219=""),0,IF(AND($G219&lt;&gt;"Air Cooled Chiller",$G219&lt;&gt;"Water Cooled Chiller"),VLOOKUP($H219,'Early Retirement'!$CI$6:$CL$33,2,FALSE),IF($J219&lt;&gt;"Centrifugal",VLOOKUP($H219,'Early Retirement'!$CI$6:$CL$33,3,FALSE),IF($J219="Centrifugal",VLOOKUP($H219,'Early Retirement'!$CI$6:$CL$33,4,FALSE),""))))</f>
        <v>0</v>
      </c>
      <c r="BL219" s="450">
        <f t="shared" si="123"/>
        <v>0</v>
      </c>
      <c r="BM219" s="553">
        <f>IFERROR('Utility Admin'!$I$4*((1+'Utility Admin'!$G$4)/('Utility Admin'!$H$4-'Utility Admin'!$G$4))*(1-((1+'Utility Admin'!$G$4)/(1+'Utility Admin'!$H$4))^$BK219)*$BG219,0)</f>
        <v>0</v>
      </c>
      <c r="BN219" s="553">
        <f>IFERROR('Utility Admin'!$I$4*((1+'Utility Admin'!$G$4)/('Utility Admin'!$H$4-'Utility Admin'!$G$4))*(1-((1+'Utility Admin'!$G$4)/(1+'Utility Admin'!$H$4))^$BL219)*((1+'Utility Admin'!$G$4)^$BK219/(1+'Utility Admin'!$H$4)^$BK219)*$BC219,0)</f>
        <v>0</v>
      </c>
      <c r="BO219" s="553">
        <f t="shared" si="27"/>
        <v>0</v>
      </c>
      <c r="BP219" s="553">
        <f>IFERROR('Utility Admin'!$J$4*((1+'Utility Admin'!$G$4)/('Utility Admin'!$H$4-'Utility Admin'!$G$4))*(1-((1+'Utility Admin'!$G$4)/(1+'Utility Admin'!$H$4))^$BK219)*$BJ219,0)</f>
        <v>0</v>
      </c>
      <c r="BQ219" s="553">
        <f>IFERROR('Utility Admin'!$J$4*((1+'Utility Admin'!$G$4)/('Utility Admin'!$H$4-'Utility Admin'!$G$4))*(1-((1+'Utility Admin'!$G$4)/(1+'Utility Admin'!$H$4))^$BL219)*((1+'Utility Admin'!$G$4)^$BK219/(1+'Utility Admin'!$H$4)^$BK219)*$BF219,0)</f>
        <v>0</v>
      </c>
      <c r="BR219" s="553">
        <f t="shared" si="28"/>
        <v>0</v>
      </c>
      <c r="BS219" s="553">
        <f>IFERROR('Utility Admin'!$I$4*((1+'Utility Admin'!$G$4)/('Utility Admin'!$H$4-'Utility Admin'!$G$4))*(1-((1+'Utility Admin'!$G$4)/(1+'Utility Admin'!$H$4))^$AT219),0)</f>
        <v>0</v>
      </c>
      <c r="BT219" s="553">
        <f>IFERROR('Utility Admin'!$J$4*((1+'Utility Admin'!$G$4)/('Utility Admin'!$H$4-'Utility Admin'!$G$4))*(1-((1+'Utility Admin'!$G$4)/(1+'Utility Admin'!$H$4))^$AT219),0)</f>
        <v>0</v>
      </c>
      <c r="BU219" s="459">
        <f t="shared" si="136"/>
        <v>0</v>
      </c>
      <c r="BV219" s="462">
        <f t="shared" si="137"/>
        <v>0</v>
      </c>
      <c r="BW219" s="219" t="str">
        <f t="shared" si="124"/>
        <v/>
      </c>
      <c r="BX219" s="250" t="str">
        <f t="shared" si="138"/>
        <v/>
      </c>
      <c r="BY219" s="250" t="str">
        <f t="shared" si="125"/>
        <v/>
      </c>
      <c r="BZ219" s="184">
        <f t="shared" si="139"/>
        <v>0</v>
      </c>
      <c r="CA219" s="693">
        <f t="shared" si="140"/>
        <v>0</v>
      </c>
      <c r="CB219" s="836">
        <f t="shared" si="141"/>
        <v>0</v>
      </c>
      <c r="CC219" s="693">
        <f>IF(AND($C219="Early Retirement",$H219&lt;&gt;"",$R219&lt;&gt;"",$T219&lt;&gt;""),$BZ219,Baselines!$CJ212)</f>
        <v>0</v>
      </c>
      <c r="CD219" s="693">
        <f>IF(AND($C219="Early Retirement",$H219&lt;&gt;"",$R219&lt;&gt;"",$T219&lt;&gt;""),$CA219,Baselines!$CK212)</f>
        <v>0</v>
      </c>
      <c r="CE219" s="182" t="str">
        <f>Baselines!$CL212</f>
        <v>kW/ton</v>
      </c>
      <c r="CF219" s="850" t="str">
        <f t="shared" si="126"/>
        <v/>
      </c>
      <c r="CG219" s="833">
        <f>IF(AND($C219="Early Retirement",$H219&lt;&gt;"",$R219&lt;&gt;"",$T219&lt;&gt;""),$CB219,IF(AND(Baselines!$CM212=0,OR($CL219="DX HP",$CL219="PTHP")),$BB219,Baselines!$CM212))</f>
        <v>0</v>
      </c>
      <c r="CH219" s="830" t="s">
        <v>567</v>
      </c>
      <c r="CI219" s="185" t="str">
        <f>IF(OR($C219="Replace-on-Burnout",$C219="New Construction"),$CT219,IF($BW219="","",VLOOKUP($D219,'Factor Tables'!$B$165:$H$192,MATCH($BW219,'Factor Tables'!$B$164:$H$164,0),FALSE)))</f>
        <v/>
      </c>
      <c r="CJ219" s="842" t="str">
        <f>IF(OR($C219="Replace-on-Burnout",$C219="New Construction"),$CU219,IF($BW219="","",IF($BW219="DX HP",VLOOKUP($D219,'Factor Tables'!$I$165:$Q$192,MATCH("DX HP Clg",'Factor Tables'!$I$164:$Q$164,0),FALSE),IF($BW219="PTHP",VLOOKUP($D219,'Factor Tables'!$I$165:$Q$192,MATCH("PTHP Clg",'Factor Tables'!$I$164:$Q$164,0),FALSE),IF(AND($BW219&lt;&gt;"DX HP",$BW219&lt;&gt;"PTHP"),VLOOKUP($D219,'Factor Tables'!$I$165:$Q$192,MATCH($BW219,'Factor Tables'!$I$164:$Q$164,0),FALSE),"")))))</f>
        <v/>
      </c>
      <c r="CK219" s="186" t="str">
        <f>IF(OR($C219="Replace-on-Burnout",$C219="New Construction",$CL219="DX HP",$CL219="PTHP"),$CV219,IF($BW219="","",IF($BW219="DX HP",VLOOKUP($D219,'Factor Tables'!$I$165:$Q$192,MATCH("DX HP Htg",'Factor Tables'!$I$164:$Q$164,0),FALSE),IF($BW219="PTHP",VLOOKUP($D219,'Factor Tables'!$I$165:$Q$192,MATCH("PTHP Htg",'Factor Tables'!$I$164:$Q$164,0),FALSE),0))))</f>
        <v/>
      </c>
      <c r="CL219" s="187" t="str">
        <f t="shared" si="127"/>
        <v/>
      </c>
      <c r="CM219" s="251" t="str">
        <f t="shared" si="128"/>
        <v/>
      </c>
      <c r="CN219" s="184">
        <f t="shared" si="142"/>
        <v>0</v>
      </c>
      <c r="CO219" s="693">
        <f t="shared" si="143"/>
        <v>0</v>
      </c>
      <c r="CP219" s="182" t="s">
        <v>46</v>
      </c>
      <c r="CQ219" s="852" t="str">
        <f t="shared" si="144"/>
        <v/>
      </c>
      <c r="CR219" s="833">
        <f t="shared" si="145"/>
        <v>0</v>
      </c>
      <c r="CS219" s="830" t="s">
        <v>567</v>
      </c>
      <c r="CT219" s="185" t="str">
        <f>IF($CL219="","",VLOOKUP($D219,'Factor Tables'!$B$165:$H$192,MATCH($CL219,'Factor Tables'!$B$164:$H$164,0),FALSE))</f>
        <v/>
      </c>
      <c r="CU219" s="842" t="str">
        <f>IF($CL219="","",IF(AND($CL219&lt;&gt;"DX HP",$CL219&lt;&gt;"PTHP"),VLOOKUP($D219,'Factor Tables'!$I$165:$Q$192,MATCH($CL219,'Factor Tables'!$I$164:$Q$164,0),FALSE),IF($CL219="DX HP",VLOOKUP($D219,'Factor Tables'!$I$165:$Q$192,MATCH("DX HP Clg",'Factor Tables'!$I$164:$Q$164,0),FALSE),IF($CL219="PTHP",VLOOKUP($D219,'Factor Tables'!$I$165:$Q$192,MATCH("PTHP Clg",'Factor Tables'!$I$164:$Q$164,0),FALSE),""))))</f>
        <v/>
      </c>
      <c r="CV219" s="186" t="str">
        <f>IF($CL219="","",IF(AND($CL219&lt;&gt;"DX HP",$CL219&lt;&gt;"PTHP"),0,IF($CL219="DX HP",VLOOKUP($D219,'Factor Tables'!$I$165:$Q$192,MATCH("DX HP Htg",'Factor Tables'!$I$164:$Q$164,0),FALSE),IF($CL219="PTHP",VLOOKUP($D219,'Factor Tables'!$I$165:$Q$192,MATCH("PTHP Htg",'Factor Tables'!$I$164:$Q$164,0),FALSE),""))))</f>
        <v/>
      </c>
      <c r="DD219" s="196" t="str">
        <f>IF(OR('Project Info'!$D$8="",$C59="",$D59=""),"",IF('Project Info'!$D$8="Weather Zone 5: El Paso",VLOOKUP($D59,$DI$9:$DL$37,MATCH($C59,$DI$9:$DL$9,0),FALSE),VLOOKUP($D59,$DE$9:$DH$37,MATCH($C59,$DE$9:$DH$9,0),FALSE)))</f>
        <v/>
      </c>
      <c r="DE219" s="426"/>
      <c r="DI219" s="425"/>
      <c r="DJ219" s="425"/>
      <c r="DK219" s="425"/>
      <c r="DL219" s="425"/>
      <c r="DM219" s="493" t="s">
        <v>478</v>
      </c>
    </row>
    <row r="220" spans="2:117" s="427" customFormat="1" ht="21.95" customHeight="1" x14ac:dyDescent="0.25">
      <c r="B220" s="431">
        <v>211</v>
      </c>
      <c r="C220" s="501" t="str">
        <f t="shared" si="129"/>
        <v/>
      </c>
      <c r="D220" s="502" t="str">
        <f t="shared" si="130"/>
        <v/>
      </c>
      <c r="E220" s="546"/>
      <c r="F220" s="547"/>
      <c r="G220" s="729"/>
      <c r="H220" s="729"/>
      <c r="I220" s="729"/>
      <c r="J220" s="729"/>
      <c r="K220" s="729"/>
      <c r="L220" s="729"/>
      <c r="M220" s="765"/>
      <c r="N220" s="758"/>
      <c r="O220" s="765"/>
      <c r="P220" s="758"/>
      <c r="Q220" s="1143"/>
      <c r="R220" s="1134"/>
      <c r="S220" s="775"/>
      <c r="T220" s="729"/>
      <c r="U220" s="775"/>
      <c r="V220" s="779"/>
      <c r="W220" s="557"/>
      <c r="X220" s="788"/>
      <c r="Y220" s="543"/>
      <c r="Z220" s="281"/>
      <c r="AA220" s="281"/>
      <c r="AB220" s="281"/>
      <c r="AC220" s="281"/>
      <c r="AD220" s="492"/>
      <c r="AE220" s="527">
        <f t="shared" si="39"/>
        <v>0</v>
      </c>
      <c r="AF220" s="527">
        <f t="shared" si="131"/>
        <v>0</v>
      </c>
      <c r="AG220" s="527">
        <f t="shared" si="111"/>
        <v>0</v>
      </c>
      <c r="AH220" s="527">
        <f t="shared" si="112"/>
        <v>0</v>
      </c>
      <c r="AI220" s="527">
        <f t="shared" si="113"/>
        <v>0</v>
      </c>
      <c r="AJ220" s="527">
        <f t="shared" si="114"/>
        <v>999999999</v>
      </c>
      <c r="AK220" s="471"/>
      <c r="AL220" s="765"/>
      <c r="AM220" s="758"/>
      <c r="AN220" s="281"/>
      <c r="AO220" s="775"/>
      <c r="AP220" s="775"/>
      <c r="AQ220" s="281"/>
      <c r="AR220" s="528"/>
      <c r="AS220" s="532"/>
      <c r="AT220" s="524" t="str">
        <f t="shared" si="115"/>
        <v/>
      </c>
      <c r="AU220" s="311">
        <f t="shared" si="116"/>
        <v>0</v>
      </c>
      <c r="AV220" s="288">
        <f t="shared" si="132"/>
        <v>0</v>
      </c>
      <c r="AW220" s="290">
        <f>IF(ISERROR($AU220*'Utility Admin'!$E$4+$AV220*'Utility Admin'!$F$4),0,$AU220*'Utility Admin'!$E$4+$AV220*'Utility Admin'!$F$4)</f>
        <v>0</v>
      </c>
      <c r="AX220" s="323" t="str">
        <f t="shared" si="117"/>
        <v/>
      </c>
      <c r="AY220" s="322" t="str">
        <f t="shared" si="23"/>
        <v/>
      </c>
      <c r="AZ220" s="319">
        <f>Baselines!$CJ464</f>
        <v>0</v>
      </c>
      <c r="BA220" s="735">
        <f>Baselines!$CK464</f>
        <v>0</v>
      </c>
      <c r="BB220" s="839">
        <f>Baselines!$CM464</f>
        <v>0</v>
      </c>
      <c r="BC220" s="466">
        <f t="shared" si="118"/>
        <v>0</v>
      </c>
      <c r="BD220" s="464">
        <f t="shared" si="133"/>
        <v>0</v>
      </c>
      <c r="BE220" s="755">
        <f t="shared" si="119"/>
        <v>0</v>
      </c>
      <c r="BF220" s="755">
        <f t="shared" si="134"/>
        <v>0</v>
      </c>
      <c r="BG220" s="466">
        <f t="shared" si="120"/>
        <v>0</v>
      </c>
      <c r="BH220" s="464">
        <f t="shared" si="121"/>
        <v>0</v>
      </c>
      <c r="BI220" s="755">
        <f t="shared" si="122"/>
        <v>0</v>
      </c>
      <c r="BJ220" s="755">
        <f t="shared" si="135"/>
        <v>0</v>
      </c>
      <c r="BK220" s="333">
        <f>IF(OR($C220&lt;&gt;"Early Retirement",$H220=""),0,IF(AND($G220&lt;&gt;"Air Cooled Chiller",$G220&lt;&gt;"Water Cooled Chiller"),VLOOKUP($H220,'Early Retirement'!$CI$6:$CL$33,2,FALSE),IF($J220&lt;&gt;"Centrifugal",VLOOKUP($H220,'Early Retirement'!$CI$6:$CL$33,3,FALSE),IF($J220="Centrifugal",VLOOKUP($H220,'Early Retirement'!$CI$6:$CL$33,4,FALSE),""))))</f>
        <v>0</v>
      </c>
      <c r="BL220" s="450">
        <f t="shared" si="123"/>
        <v>0</v>
      </c>
      <c r="BM220" s="553">
        <f>IFERROR('Utility Admin'!$I$4*((1+'Utility Admin'!$G$4)/('Utility Admin'!$H$4-'Utility Admin'!$G$4))*(1-((1+'Utility Admin'!$G$4)/(1+'Utility Admin'!$H$4))^$BK220)*$BG220,0)</f>
        <v>0</v>
      </c>
      <c r="BN220" s="553">
        <f>IFERROR('Utility Admin'!$I$4*((1+'Utility Admin'!$G$4)/('Utility Admin'!$H$4-'Utility Admin'!$G$4))*(1-((1+'Utility Admin'!$G$4)/(1+'Utility Admin'!$H$4))^$BL220)*((1+'Utility Admin'!$G$4)^$BK220/(1+'Utility Admin'!$H$4)^$BK220)*$BC220,0)</f>
        <v>0</v>
      </c>
      <c r="BO220" s="553">
        <f t="shared" si="27"/>
        <v>0</v>
      </c>
      <c r="BP220" s="553">
        <f>IFERROR('Utility Admin'!$J$4*((1+'Utility Admin'!$G$4)/('Utility Admin'!$H$4-'Utility Admin'!$G$4))*(1-((1+'Utility Admin'!$G$4)/(1+'Utility Admin'!$H$4))^$BK220)*$BJ220,0)</f>
        <v>0</v>
      </c>
      <c r="BQ220" s="553">
        <f>IFERROR('Utility Admin'!$J$4*((1+'Utility Admin'!$G$4)/('Utility Admin'!$H$4-'Utility Admin'!$G$4))*(1-((1+'Utility Admin'!$G$4)/(1+'Utility Admin'!$H$4))^$BL220)*((1+'Utility Admin'!$G$4)^$BK220/(1+'Utility Admin'!$H$4)^$BK220)*$BF220,0)</f>
        <v>0</v>
      </c>
      <c r="BR220" s="553">
        <f t="shared" si="28"/>
        <v>0</v>
      </c>
      <c r="BS220" s="553">
        <f>IFERROR('Utility Admin'!$I$4*((1+'Utility Admin'!$G$4)/('Utility Admin'!$H$4-'Utility Admin'!$G$4))*(1-((1+'Utility Admin'!$G$4)/(1+'Utility Admin'!$H$4))^$AT220),0)</f>
        <v>0</v>
      </c>
      <c r="BT220" s="553">
        <f>IFERROR('Utility Admin'!$J$4*((1+'Utility Admin'!$G$4)/('Utility Admin'!$H$4-'Utility Admin'!$G$4))*(1-((1+'Utility Admin'!$G$4)/(1+'Utility Admin'!$H$4))^$AT220),0)</f>
        <v>0</v>
      </c>
      <c r="BU220" s="459">
        <f t="shared" si="136"/>
        <v>0</v>
      </c>
      <c r="BV220" s="462">
        <f t="shared" si="137"/>
        <v>0</v>
      </c>
      <c r="BW220" s="219" t="str">
        <f t="shared" si="124"/>
        <v/>
      </c>
      <c r="BX220" s="250" t="str">
        <f t="shared" si="138"/>
        <v/>
      </c>
      <c r="BY220" s="250" t="str">
        <f t="shared" si="125"/>
        <v/>
      </c>
      <c r="BZ220" s="184">
        <f t="shared" si="139"/>
        <v>0</v>
      </c>
      <c r="CA220" s="693">
        <f t="shared" si="140"/>
        <v>0</v>
      </c>
      <c r="CB220" s="836">
        <f t="shared" si="141"/>
        <v>0</v>
      </c>
      <c r="CC220" s="693">
        <f>IF(AND($C220="Early Retirement",$H220&lt;&gt;"",$R220&lt;&gt;"",$T220&lt;&gt;""),$BZ220,Baselines!$CJ213)</f>
        <v>0</v>
      </c>
      <c r="CD220" s="693">
        <f>IF(AND($C220="Early Retirement",$H220&lt;&gt;"",$R220&lt;&gt;"",$T220&lt;&gt;""),$CA220,Baselines!$CK213)</f>
        <v>0</v>
      </c>
      <c r="CE220" s="182" t="str">
        <f>Baselines!$CL213</f>
        <v>kW/ton</v>
      </c>
      <c r="CF220" s="850" t="str">
        <f t="shared" si="126"/>
        <v/>
      </c>
      <c r="CG220" s="833">
        <f>IF(AND($C220="Early Retirement",$H220&lt;&gt;"",$R220&lt;&gt;"",$T220&lt;&gt;""),$CB220,IF(AND(Baselines!$CM213=0,OR($CL220="DX HP",$CL220="PTHP")),$BB220,Baselines!$CM213))</f>
        <v>0</v>
      </c>
      <c r="CH220" s="830" t="s">
        <v>567</v>
      </c>
      <c r="CI220" s="185" t="str">
        <f>IF(OR($C220="Replace-on-Burnout",$C220="New Construction"),$CT220,IF($BW220="","",VLOOKUP($D220,'Factor Tables'!$B$165:$H$192,MATCH($BW220,'Factor Tables'!$B$164:$H$164,0),FALSE)))</f>
        <v/>
      </c>
      <c r="CJ220" s="842" t="str">
        <f>IF(OR($C220="Replace-on-Burnout",$C220="New Construction"),$CU220,IF($BW220="","",IF($BW220="DX HP",VLOOKUP($D220,'Factor Tables'!$I$165:$Q$192,MATCH("DX HP Clg",'Factor Tables'!$I$164:$Q$164,0),FALSE),IF($BW220="PTHP",VLOOKUP($D220,'Factor Tables'!$I$165:$Q$192,MATCH("PTHP Clg",'Factor Tables'!$I$164:$Q$164,0),FALSE),IF(AND($BW220&lt;&gt;"DX HP",$BW220&lt;&gt;"PTHP"),VLOOKUP($D220,'Factor Tables'!$I$165:$Q$192,MATCH($BW220,'Factor Tables'!$I$164:$Q$164,0),FALSE),"")))))</f>
        <v/>
      </c>
      <c r="CK220" s="186" t="str">
        <f>IF(OR($C220="Replace-on-Burnout",$C220="New Construction",$CL220="DX HP",$CL220="PTHP"),$CV220,IF($BW220="","",IF($BW220="DX HP",VLOOKUP($D220,'Factor Tables'!$I$165:$Q$192,MATCH("DX HP Htg",'Factor Tables'!$I$164:$Q$164,0),FALSE),IF($BW220="PTHP",VLOOKUP($D220,'Factor Tables'!$I$165:$Q$192,MATCH("PTHP Htg",'Factor Tables'!$I$164:$Q$164,0),FALSE),0))))</f>
        <v/>
      </c>
      <c r="CL220" s="187" t="str">
        <f t="shared" si="127"/>
        <v/>
      </c>
      <c r="CM220" s="251" t="str">
        <f t="shared" si="128"/>
        <v/>
      </c>
      <c r="CN220" s="184">
        <f t="shared" si="142"/>
        <v>0</v>
      </c>
      <c r="CO220" s="693">
        <f t="shared" si="143"/>
        <v>0</v>
      </c>
      <c r="CP220" s="182" t="s">
        <v>46</v>
      </c>
      <c r="CQ220" s="852" t="str">
        <f t="shared" si="144"/>
        <v/>
      </c>
      <c r="CR220" s="833">
        <f t="shared" si="145"/>
        <v>0</v>
      </c>
      <c r="CS220" s="830" t="s">
        <v>567</v>
      </c>
      <c r="CT220" s="185" t="str">
        <f>IF($CL220="","",VLOOKUP($D220,'Factor Tables'!$B$165:$H$192,MATCH($CL220,'Factor Tables'!$B$164:$H$164,0),FALSE))</f>
        <v/>
      </c>
      <c r="CU220" s="842" t="str">
        <f>IF($CL220="","",IF(AND($CL220&lt;&gt;"DX HP",$CL220&lt;&gt;"PTHP"),VLOOKUP($D220,'Factor Tables'!$I$165:$Q$192,MATCH($CL220,'Factor Tables'!$I$164:$Q$164,0),FALSE),IF($CL220="DX HP",VLOOKUP($D220,'Factor Tables'!$I$165:$Q$192,MATCH("DX HP Clg",'Factor Tables'!$I$164:$Q$164,0),FALSE),IF($CL220="PTHP",VLOOKUP($D220,'Factor Tables'!$I$165:$Q$192,MATCH("PTHP Clg",'Factor Tables'!$I$164:$Q$164,0),FALSE),""))))</f>
        <v/>
      </c>
      <c r="CV220" s="186" t="str">
        <f>IF($CL220="","",IF(AND($CL220&lt;&gt;"DX HP",$CL220&lt;&gt;"PTHP"),0,IF($CL220="DX HP",VLOOKUP($D220,'Factor Tables'!$I$165:$Q$192,MATCH("DX HP Htg",'Factor Tables'!$I$164:$Q$164,0),FALSE),IF($CL220="PTHP",VLOOKUP($D220,'Factor Tables'!$I$165:$Q$192,MATCH("PTHP Htg",'Factor Tables'!$I$164:$Q$164,0),FALSE),""))))</f>
        <v/>
      </c>
      <c r="DD220" s="196" t="str">
        <f>IF(OR('Project Info'!$D$8="",$C60="",$D60=""),"",IF('Project Info'!$D$8="Weather Zone 5: El Paso",VLOOKUP($D60,$DI$9:$DL$37,MATCH($C60,$DI$9:$DL$9,0),FALSE),VLOOKUP($D60,$DE$9:$DH$37,MATCH($C60,$DE$9:$DH$9,0),FALSE)))</f>
        <v/>
      </c>
      <c r="DE220" s="426"/>
      <c r="DI220" s="425"/>
      <c r="DJ220" s="425"/>
      <c r="DK220" s="425"/>
      <c r="DL220" s="425"/>
      <c r="DM220" s="493" t="s">
        <v>478</v>
      </c>
    </row>
    <row r="221" spans="2:117" s="427" customFormat="1" ht="21.95" customHeight="1" x14ac:dyDescent="0.25">
      <c r="B221" s="432">
        <v>212</v>
      </c>
      <c r="C221" s="499" t="str">
        <f t="shared" si="129"/>
        <v/>
      </c>
      <c r="D221" s="403" t="str">
        <f t="shared" si="130"/>
        <v/>
      </c>
      <c r="E221" s="541"/>
      <c r="F221" s="785"/>
      <c r="G221" s="728"/>
      <c r="H221" s="728"/>
      <c r="I221" s="728"/>
      <c r="J221" s="728"/>
      <c r="K221" s="728"/>
      <c r="L221" s="728"/>
      <c r="M221" s="764"/>
      <c r="N221" s="728"/>
      <c r="O221" s="764"/>
      <c r="P221" s="728"/>
      <c r="Q221" s="1142"/>
      <c r="R221" s="1133"/>
      <c r="S221" s="778"/>
      <c r="T221" s="767"/>
      <c r="U221" s="778"/>
      <c r="V221" s="751"/>
      <c r="W221" s="556"/>
      <c r="X221" s="785"/>
      <c r="Y221" s="542"/>
      <c r="Z221" s="500"/>
      <c r="AA221" s="500"/>
      <c r="AB221" s="500"/>
      <c r="AC221" s="500"/>
      <c r="AD221" s="529"/>
      <c r="AE221" s="527">
        <f t="shared" si="39"/>
        <v>0</v>
      </c>
      <c r="AF221" s="527">
        <f t="shared" si="131"/>
        <v>0</v>
      </c>
      <c r="AG221" s="527">
        <f t="shared" si="111"/>
        <v>0</v>
      </c>
      <c r="AH221" s="527">
        <f t="shared" si="112"/>
        <v>0</v>
      </c>
      <c r="AI221" s="527">
        <f t="shared" si="113"/>
        <v>0</v>
      </c>
      <c r="AJ221" s="527">
        <f t="shared" si="114"/>
        <v>999999999</v>
      </c>
      <c r="AK221" s="530"/>
      <c r="AL221" s="776"/>
      <c r="AM221" s="777"/>
      <c r="AN221" s="500"/>
      <c r="AO221" s="778"/>
      <c r="AP221" s="778"/>
      <c r="AQ221" s="500"/>
      <c r="AR221" s="531"/>
      <c r="AS221" s="403"/>
      <c r="AT221" s="524" t="str">
        <f t="shared" si="115"/>
        <v/>
      </c>
      <c r="AU221" s="311">
        <f t="shared" si="116"/>
        <v>0</v>
      </c>
      <c r="AV221" s="288">
        <f t="shared" si="132"/>
        <v>0</v>
      </c>
      <c r="AW221" s="290">
        <f>IF(ISERROR($AU221*'Utility Admin'!$E$4+$AV221*'Utility Admin'!$F$4),0,$AU221*'Utility Admin'!$E$4+$AV221*'Utility Admin'!$F$4)</f>
        <v>0</v>
      </c>
      <c r="AX221" s="323" t="str">
        <f t="shared" si="117"/>
        <v/>
      </c>
      <c r="AY221" s="322" t="str">
        <f t="shared" si="23"/>
        <v/>
      </c>
      <c r="AZ221" s="319">
        <f>Baselines!$CJ465</f>
        <v>0</v>
      </c>
      <c r="BA221" s="735">
        <f>Baselines!$CK465</f>
        <v>0</v>
      </c>
      <c r="BB221" s="839">
        <f>Baselines!$CM465</f>
        <v>0</v>
      </c>
      <c r="BC221" s="466">
        <f t="shared" si="118"/>
        <v>0</v>
      </c>
      <c r="BD221" s="464">
        <f t="shared" si="133"/>
        <v>0</v>
      </c>
      <c r="BE221" s="755">
        <f t="shared" si="119"/>
        <v>0</v>
      </c>
      <c r="BF221" s="755">
        <f t="shared" si="134"/>
        <v>0</v>
      </c>
      <c r="BG221" s="466">
        <f t="shared" si="120"/>
        <v>0</v>
      </c>
      <c r="BH221" s="464">
        <f t="shared" si="121"/>
        <v>0</v>
      </c>
      <c r="BI221" s="755">
        <f t="shared" si="122"/>
        <v>0</v>
      </c>
      <c r="BJ221" s="755">
        <f t="shared" si="135"/>
        <v>0</v>
      </c>
      <c r="BK221" s="333">
        <f>IF(OR($C221&lt;&gt;"Early Retirement",$H221=""),0,IF(AND($G221&lt;&gt;"Air Cooled Chiller",$G221&lt;&gt;"Water Cooled Chiller"),VLOOKUP($H221,'Early Retirement'!$CI$6:$CL$33,2,FALSE),IF($J221&lt;&gt;"Centrifugal",VLOOKUP($H221,'Early Retirement'!$CI$6:$CL$33,3,FALSE),IF($J221="Centrifugal",VLOOKUP($H221,'Early Retirement'!$CI$6:$CL$33,4,FALSE),""))))</f>
        <v>0</v>
      </c>
      <c r="BL221" s="450">
        <f t="shared" si="123"/>
        <v>0</v>
      </c>
      <c r="BM221" s="553">
        <f>IFERROR('Utility Admin'!$I$4*((1+'Utility Admin'!$G$4)/('Utility Admin'!$H$4-'Utility Admin'!$G$4))*(1-((1+'Utility Admin'!$G$4)/(1+'Utility Admin'!$H$4))^$BK221)*$BG221,0)</f>
        <v>0</v>
      </c>
      <c r="BN221" s="553">
        <f>IFERROR('Utility Admin'!$I$4*((1+'Utility Admin'!$G$4)/('Utility Admin'!$H$4-'Utility Admin'!$G$4))*(1-((1+'Utility Admin'!$G$4)/(1+'Utility Admin'!$H$4))^$BL221)*((1+'Utility Admin'!$G$4)^$BK221/(1+'Utility Admin'!$H$4)^$BK221)*$BC221,0)</f>
        <v>0</v>
      </c>
      <c r="BO221" s="553">
        <f t="shared" si="27"/>
        <v>0</v>
      </c>
      <c r="BP221" s="553">
        <f>IFERROR('Utility Admin'!$J$4*((1+'Utility Admin'!$G$4)/('Utility Admin'!$H$4-'Utility Admin'!$G$4))*(1-((1+'Utility Admin'!$G$4)/(1+'Utility Admin'!$H$4))^$BK221)*$BJ221,0)</f>
        <v>0</v>
      </c>
      <c r="BQ221" s="553">
        <f>IFERROR('Utility Admin'!$J$4*((1+'Utility Admin'!$G$4)/('Utility Admin'!$H$4-'Utility Admin'!$G$4))*(1-((1+'Utility Admin'!$G$4)/(1+'Utility Admin'!$H$4))^$BL221)*((1+'Utility Admin'!$G$4)^$BK221/(1+'Utility Admin'!$H$4)^$BK221)*$BF221,0)</f>
        <v>0</v>
      </c>
      <c r="BR221" s="553">
        <f t="shared" si="28"/>
        <v>0</v>
      </c>
      <c r="BS221" s="553">
        <f>IFERROR('Utility Admin'!$I$4*((1+'Utility Admin'!$G$4)/('Utility Admin'!$H$4-'Utility Admin'!$G$4))*(1-((1+'Utility Admin'!$G$4)/(1+'Utility Admin'!$H$4))^$AT221),0)</f>
        <v>0</v>
      </c>
      <c r="BT221" s="553">
        <f>IFERROR('Utility Admin'!$J$4*((1+'Utility Admin'!$G$4)/('Utility Admin'!$H$4-'Utility Admin'!$G$4))*(1-((1+'Utility Admin'!$G$4)/(1+'Utility Admin'!$H$4))^$AT221),0)</f>
        <v>0</v>
      </c>
      <c r="BU221" s="459">
        <f t="shared" si="136"/>
        <v>0</v>
      </c>
      <c r="BV221" s="462">
        <f t="shared" si="137"/>
        <v>0</v>
      </c>
      <c r="BW221" s="219" t="str">
        <f t="shared" si="124"/>
        <v/>
      </c>
      <c r="BX221" s="250" t="str">
        <f t="shared" si="138"/>
        <v/>
      </c>
      <c r="BY221" s="250" t="str">
        <f t="shared" si="125"/>
        <v/>
      </c>
      <c r="BZ221" s="184">
        <f t="shared" si="139"/>
        <v>0</v>
      </c>
      <c r="CA221" s="693">
        <f t="shared" si="140"/>
        <v>0</v>
      </c>
      <c r="CB221" s="836">
        <f t="shared" si="141"/>
        <v>0</v>
      </c>
      <c r="CC221" s="693">
        <f>IF(AND($C221="Early Retirement",$H221&lt;&gt;"",$R221&lt;&gt;"",$T221&lt;&gt;""),$BZ221,Baselines!$CJ214)</f>
        <v>0</v>
      </c>
      <c r="CD221" s="693">
        <f>IF(AND($C221="Early Retirement",$H221&lt;&gt;"",$R221&lt;&gt;"",$T221&lt;&gt;""),$CA221,Baselines!$CK214)</f>
        <v>0</v>
      </c>
      <c r="CE221" s="182" t="str">
        <f>Baselines!$CL214</f>
        <v>kW/ton</v>
      </c>
      <c r="CF221" s="850" t="str">
        <f t="shared" si="126"/>
        <v/>
      </c>
      <c r="CG221" s="833">
        <f>IF(AND($C221="Early Retirement",$H221&lt;&gt;"",$R221&lt;&gt;"",$T221&lt;&gt;""),$CB221,IF(AND(Baselines!$CM214=0,OR($CL221="DX HP",$CL221="PTHP")),$BB221,Baselines!$CM214))</f>
        <v>0</v>
      </c>
      <c r="CH221" s="830" t="s">
        <v>567</v>
      </c>
      <c r="CI221" s="185" t="str">
        <f>IF(OR($C221="Replace-on-Burnout",$C221="New Construction"),$CT221,IF($BW221="","",VLOOKUP($D221,'Factor Tables'!$B$165:$H$192,MATCH($BW221,'Factor Tables'!$B$164:$H$164,0),FALSE)))</f>
        <v/>
      </c>
      <c r="CJ221" s="842" t="str">
        <f>IF(OR($C221="Replace-on-Burnout",$C221="New Construction"),$CU221,IF($BW221="","",IF($BW221="DX HP",VLOOKUP($D221,'Factor Tables'!$I$165:$Q$192,MATCH("DX HP Clg",'Factor Tables'!$I$164:$Q$164,0),FALSE),IF($BW221="PTHP",VLOOKUP($D221,'Factor Tables'!$I$165:$Q$192,MATCH("PTHP Clg",'Factor Tables'!$I$164:$Q$164,0),FALSE),IF(AND($BW221&lt;&gt;"DX HP",$BW221&lt;&gt;"PTHP"),VLOOKUP($D221,'Factor Tables'!$I$165:$Q$192,MATCH($BW221,'Factor Tables'!$I$164:$Q$164,0),FALSE),"")))))</f>
        <v/>
      </c>
      <c r="CK221" s="186" t="str">
        <f>IF(OR($C221="Replace-on-Burnout",$C221="New Construction",$CL221="DX HP",$CL221="PTHP"),$CV221,IF($BW221="","",IF($BW221="DX HP",VLOOKUP($D221,'Factor Tables'!$I$165:$Q$192,MATCH("DX HP Htg",'Factor Tables'!$I$164:$Q$164,0),FALSE),IF($BW221="PTHP",VLOOKUP($D221,'Factor Tables'!$I$165:$Q$192,MATCH("PTHP Htg",'Factor Tables'!$I$164:$Q$164,0),FALSE),0))))</f>
        <v/>
      </c>
      <c r="CL221" s="187" t="str">
        <f t="shared" si="127"/>
        <v/>
      </c>
      <c r="CM221" s="251" t="str">
        <f t="shared" si="128"/>
        <v/>
      </c>
      <c r="CN221" s="184">
        <f t="shared" si="142"/>
        <v>0</v>
      </c>
      <c r="CO221" s="693">
        <f t="shared" si="143"/>
        <v>0</v>
      </c>
      <c r="CP221" s="182" t="s">
        <v>46</v>
      </c>
      <c r="CQ221" s="852" t="str">
        <f t="shared" si="144"/>
        <v/>
      </c>
      <c r="CR221" s="833">
        <f t="shared" si="145"/>
        <v>0</v>
      </c>
      <c r="CS221" s="830" t="s">
        <v>567</v>
      </c>
      <c r="CT221" s="185" t="str">
        <f>IF($CL221="","",VLOOKUP($D221,'Factor Tables'!$B$165:$H$192,MATCH($CL221,'Factor Tables'!$B$164:$H$164,0),FALSE))</f>
        <v/>
      </c>
      <c r="CU221" s="842" t="str">
        <f>IF($CL221="","",IF(AND($CL221&lt;&gt;"DX HP",$CL221&lt;&gt;"PTHP"),VLOOKUP($D221,'Factor Tables'!$I$165:$Q$192,MATCH($CL221,'Factor Tables'!$I$164:$Q$164,0),FALSE),IF($CL221="DX HP",VLOOKUP($D221,'Factor Tables'!$I$165:$Q$192,MATCH("DX HP Clg",'Factor Tables'!$I$164:$Q$164,0),FALSE),IF($CL221="PTHP",VLOOKUP($D221,'Factor Tables'!$I$165:$Q$192,MATCH("PTHP Clg",'Factor Tables'!$I$164:$Q$164,0),FALSE),""))))</f>
        <v/>
      </c>
      <c r="CV221" s="186" t="str">
        <f>IF($CL221="","",IF(AND($CL221&lt;&gt;"DX HP",$CL221&lt;&gt;"PTHP"),0,IF($CL221="DX HP",VLOOKUP($D221,'Factor Tables'!$I$165:$Q$192,MATCH("DX HP Htg",'Factor Tables'!$I$164:$Q$164,0),FALSE),IF($CL221="PTHP",VLOOKUP($D221,'Factor Tables'!$I$165:$Q$192,MATCH("PTHP Htg",'Factor Tables'!$I$164:$Q$164,0),FALSE),""))))</f>
        <v/>
      </c>
      <c r="DD221" s="196" t="str">
        <f>IF(OR('Project Info'!$D$8="",$C61="",$D61=""),"",IF('Project Info'!$D$8="Weather Zone 5: El Paso",VLOOKUP($D61,$DI$9:$DL$37,MATCH($C61,$DI$9:$DL$9,0),FALSE),VLOOKUP($D61,$DE$9:$DH$37,MATCH($C61,$DE$9:$DH$9,0),FALSE)))</f>
        <v/>
      </c>
      <c r="DE221" s="426"/>
      <c r="DI221" s="425"/>
      <c r="DJ221" s="425"/>
      <c r="DK221" s="425"/>
      <c r="DL221" s="425"/>
      <c r="DM221" s="493" t="s">
        <v>478</v>
      </c>
    </row>
    <row r="222" spans="2:117" s="427" customFormat="1" ht="21.95" customHeight="1" x14ac:dyDescent="0.25">
      <c r="B222" s="431">
        <v>213</v>
      </c>
      <c r="C222" s="501" t="str">
        <f t="shared" si="129"/>
        <v/>
      </c>
      <c r="D222" s="502" t="str">
        <f t="shared" si="130"/>
        <v/>
      </c>
      <c r="E222" s="546"/>
      <c r="F222" s="547"/>
      <c r="G222" s="729"/>
      <c r="H222" s="729"/>
      <c r="I222" s="729"/>
      <c r="J222" s="729"/>
      <c r="K222" s="729"/>
      <c r="L222" s="729"/>
      <c r="M222" s="765"/>
      <c r="N222" s="758"/>
      <c r="O222" s="765"/>
      <c r="P222" s="758"/>
      <c r="Q222" s="1143"/>
      <c r="R222" s="1134"/>
      <c r="S222" s="775"/>
      <c r="T222" s="729"/>
      <c r="U222" s="775"/>
      <c r="V222" s="779"/>
      <c r="W222" s="557"/>
      <c r="X222" s="788"/>
      <c r="Y222" s="543"/>
      <c r="Z222" s="281"/>
      <c r="AA222" s="281"/>
      <c r="AB222" s="281"/>
      <c r="AC222" s="281"/>
      <c r="AD222" s="492"/>
      <c r="AE222" s="527">
        <f t="shared" si="39"/>
        <v>0</v>
      </c>
      <c r="AF222" s="527">
        <f t="shared" si="131"/>
        <v>0</v>
      </c>
      <c r="AG222" s="527">
        <f t="shared" si="111"/>
        <v>0</v>
      </c>
      <c r="AH222" s="527">
        <f t="shared" si="112"/>
        <v>0</v>
      </c>
      <c r="AI222" s="527">
        <f t="shared" si="113"/>
        <v>0</v>
      </c>
      <c r="AJ222" s="527">
        <f t="shared" si="114"/>
        <v>999999999</v>
      </c>
      <c r="AK222" s="471"/>
      <c r="AL222" s="765"/>
      <c r="AM222" s="758"/>
      <c r="AN222" s="281"/>
      <c r="AO222" s="775"/>
      <c r="AP222" s="775"/>
      <c r="AQ222" s="281"/>
      <c r="AR222" s="528"/>
      <c r="AS222" s="532"/>
      <c r="AT222" s="524" t="str">
        <f t="shared" si="115"/>
        <v/>
      </c>
      <c r="AU222" s="311">
        <f t="shared" si="116"/>
        <v>0</v>
      </c>
      <c r="AV222" s="288">
        <f t="shared" si="132"/>
        <v>0</v>
      </c>
      <c r="AW222" s="290">
        <f>IF(ISERROR($AU222*'Utility Admin'!$E$4+$AV222*'Utility Admin'!$F$4),0,$AU222*'Utility Admin'!$E$4+$AV222*'Utility Admin'!$F$4)</f>
        <v>0</v>
      </c>
      <c r="AX222" s="323" t="str">
        <f t="shared" si="117"/>
        <v/>
      </c>
      <c r="AY222" s="322" t="str">
        <f t="shared" si="23"/>
        <v/>
      </c>
      <c r="AZ222" s="319">
        <f>Baselines!$CJ466</f>
        <v>0</v>
      </c>
      <c r="BA222" s="735">
        <f>Baselines!$CK466</f>
        <v>0</v>
      </c>
      <c r="BB222" s="839">
        <f>Baselines!$CM466</f>
        <v>0</v>
      </c>
      <c r="BC222" s="466">
        <f t="shared" si="118"/>
        <v>0</v>
      </c>
      <c r="BD222" s="464">
        <f t="shared" si="133"/>
        <v>0</v>
      </c>
      <c r="BE222" s="755">
        <f t="shared" si="119"/>
        <v>0</v>
      </c>
      <c r="BF222" s="755">
        <f t="shared" si="134"/>
        <v>0</v>
      </c>
      <c r="BG222" s="466">
        <f t="shared" si="120"/>
        <v>0</v>
      </c>
      <c r="BH222" s="464">
        <f t="shared" si="121"/>
        <v>0</v>
      </c>
      <c r="BI222" s="755">
        <f t="shared" si="122"/>
        <v>0</v>
      </c>
      <c r="BJ222" s="755">
        <f t="shared" si="135"/>
        <v>0</v>
      </c>
      <c r="BK222" s="333">
        <f>IF(OR($C222&lt;&gt;"Early Retirement",$H222=""),0,IF(AND($G222&lt;&gt;"Air Cooled Chiller",$G222&lt;&gt;"Water Cooled Chiller"),VLOOKUP($H222,'Early Retirement'!$CI$6:$CL$33,2,FALSE),IF($J222&lt;&gt;"Centrifugal",VLOOKUP($H222,'Early Retirement'!$CI$6:$CL$33,3,FALSE),IF($J222="Centrifugal",VLOOKUP($H222,'Early Retirement'!$CI$6:$CL$33,4,FALSE),""))))</f>
        <v>0</v>
      </c>
      <c r="BL222" s="450">
        <f t="shared" si="123"/>
        <v>0</v>
      </c>
      <c r="BM222" s="553">
        <f>IFERROR('Utility Admin'!$I$4*((1+'Utility Admin'!$G$4)/('Utility Admin'!$H$4-'Utility Admin'!$G$4))*(1-((1+'Utility Admin'!$G$4)/(1+'Utility Admin'!$H$4))^$BK222)*$BG222,0)</f>
        <v>0</v>
      </c>
      <c r="BN222" s="553">
        <f>IFERROR('Utility Admin'!$I$4*((1+'Utility Admin'!$G$4)/('Utility Admin'!$H$4-'Utility Admin'!$G$4))*(1-((1+'Utility Admin'!$G$4)/(1+'Utility Admin'!$H$4))^$BL222)*((1+'Utility Admin'!$G$4)^$BK222/(1+'Utility Admin'!$H$4)^$BK222)*$BC222,0)</f>
        <v>0</v>
      </c>
      <c r="BO222" s="553">
        <f t="shared" si="27"/>
        <v>0</v>
      </c>
      <c r="BP222" s="553">
        <f>IFERROR('Utility Admin'!$J$4*((1+'Utility Admin'!$G$4)/('Utility Admin'!$H$4-'Utility Admin'!$G$4))*(1-((1+'Utility Admin'!$G$4)/(1+'Utility Admin'!$H$4))^$BK222)*$BJ222,0)</f>
        <v>0</v>
      </c>
      <c r="BQ222" s="553">
        <f>IFERROR('Utility Admin'!$J$4*((1+'Utility Admin'!$G$4)/('Utility Admin'!$H$4-'Utility Admin'!$G$4))*(1-((1+'Utility Admin'!$G$4)/(1+'Utility Admin'!$H$4))^$BL222)*((1+'Utility Admin'!$G$4)^$BK222/(1+'Utility Admin'!$H$4)^$BK222)*$BF222,0)</f>
        <v>0</v>
      </c>
      <c r="BR222" s="553">
        <f t="shared" si="28"/>
        <v>0</v>
      </c>
      <c r="BS222" s="553">
        <f>IFERROR('Utility Admin'!$I$4*((1+'Utility Admin'!$G$4)/('Utility Admin'!$H$4-'Utility Admin'!$G$4))*(1-((1+'Utility Admin'!$G$4)/(1+'Utility Admin'!$H$4))^$AT222),0)</f>
        <v>0</v>
      </c>
      <c r="BT222" s="553">
        <f>IFERROR('Utility Admin'!$J$4*((1+'Utility Admin'!$G$4)/('Utility Admin'!$H$4-'Utility Admin'!$G$4))*(1-((1+'Utility Admin'!$G$4)/(1+'Utility Admin'!$H$4))^$AT222),0)</f>
        <v>0</v>
      </c>
      <c r="BU222" s="459">
        <f t="shared" si="136"/>
        <v>0</v>
      </c>
      <c r="BV222" s="462">
        <f t="shared" si="137"/>
        <v>0</v>
      </c>
      <c r="BW222" s="219" t="str">
        <f t="shared" si="124"/>
        <v/>
      </c>
      <c r="BX222" s="250" t="str">
        <f t="shared" si="138"/>
        <v/>
      </c>
      <c r="BY222" s="250" t="str">
        <f t="shared" si="125"/>
        <v/>
      </c>
      <c r="BZ222" s="184">
        <f t="shared" si="139"/>
        <v>0</v>
      </c>
      <c r="CA222" s="693">
        <f t="shared" si="140"/>
        <v>0</v>
      </c>
      <c r="CB222" s="836">
        <f t="shared" si="141"/>
        <v>0</v>
      </c>
      <c r="CC222" s="693">
        <f>IF(AND($C222="Early Retirement",$H222&lt;&gt;"",$R222&lt;&gt;"",$T222&lt;&gt;""),$BZ222,Baselines!$CJ215)</f>
        <v>0</v>
      </c>
      <c r="CD222" s="693">
        <f>IF(AND($C222="Early Retirement",$H222&lt;&gt;"",$R222&lt;&gt;"",$T222&lt;&gt;""),$CA222,Baselines!$CK215)</f>
        <v>0</v>
      </c>
      <c r="CE222" s="182" t="str">
        <f>Baselines!$CL215</f>
        <v>kW/ton</v>
      </c>
      <c r="CF222" s="850" t="str">
        <f t="shared" si="126"/>
        <v/>
      </c>
      <c r="CG222" s="833">
        <f>IF(AND($C222="Early Retirement",$H222&lt;&gt;"",$R222&lt;&gt;"",$T222&lt;&gt;""),$CB222,IF(AND(Baselines!$CM215=0,OR($CL222="DX HP",$CL222="PTHP")),$BB222,Baselines!$CM215))</f>
        <v>0</v>
      </c>
      <c r="CH222" s="830" t="s">
        <v>567</v>
      </c>
      <c r="CI222" s="185" t="str">
        <f>IF(OR($C222="Replace-on-Burnout",$C222="New Construction"),$CT222,IF($BW222="","",VLOOKUP($D222,'Factor Tables'!$B$165:$H$192,MATCH($BW222,'Factor Tables'!$B$164:$H$164,0),FALSE)))</f>
        <v/>
      </c>
      <c r="CJ222" s="842" t="str">
        <f>IF(OR($C222="Replace-on-Burnout",$C222="New Construction"),$CU222,IF($BW222="","",IF($BW222="DX HP",VLOOKUP($D222,'Factor Tables'!$I$165:$Q$192,MATCH("DX HP Clg",'Factor Tables'!$I$164:$Q$164,0),FALSE),IF($BW222="PTHP",VLOOKUP($D222,'Factor Tables'!$I$165:$Q$192,MATCH("PTHP Clg",'Factor Tables'!$I$164:$Q$164,0),FALSE),IF(AND($BW222&lt;&gt;"DX HP",$BW222&lt;&gt;"PTHP"),VLOOKUP($D222,'Factor Tables'!$I$165:$Q$192,MATCH($BW222,'Factor Tables'!$I$164:$Q$164,0),FALSE),"")))))</f>
        <v/>
      </c>
      <c r="CK222" s="186" t="str">
        <f>IF(OR($C222="Replace-on-Burnout",$C222="New Construction",$CL222="DX HP",$CL222="PTHP"),$CV222,IF($BW222="","",IF($BW222="DX HP",VLOOKUP($D222,'Factor Tables'!$I$165:$Q$192,MATCH("DX HP Htg",'Factor Tables'!$I$164:$Q$164,0),FALSE),IF($BW222="PTHP",VLOOKUP($D222,'Factor Tables'!$I$165:$Q$192,MATCH("PTHP Htg",'Factor Tables'!$I$164:$Q$164,0),FALSE),0))))</f>
        <v/>
      </c>
      <c r="CL222" s="187" t="str">
        <f t="shared" si="127"/>
        <v/>
      </c>
      <c r="CM222" s="251" t="str">
        <f t="shared" si="128"/>
        <v/>
      </c>
      <c r="CN222" s="184">
        <f t="shared" si="142"/>
        <v>0</v>
      </c>
      <c r="CO222" s="693">
        <f t="shared" si="143"/>
        <v>0</v>
      </c>
      <c r="CP222" s="182" t="s">
        <v>46</v>
      </c>
      <c r="CQ222" s="852" t="str">
        <f t="shared" si="144"/>
        <v/>
      </c>
      <c r="CR222" s="833">
        <f t="shared" si="145"/>
        <v>0</v>
      </c>
      <c r="CS222" s="830" t="s">
        <v>567</v>
      </c>
      <c r="CT222" s="185" t="str">
        <f>IF($CL222="","",VLOOKUP($D222,'Factor Tables'!$B$165:$H$192,MATCH($CL222,'Factor Tables'!$B$164:$H$164,0),FALSE))</f>
        <v/>
      </c>
      <c r="CU222" s="842" t="str">
        <f>IF($CL222="","",IF(AND($CL222&lt;&gt;"DX HP",$CL222&lt;&gt;"PTHP"),VLOOKUP($D222,'Factor Tables'!$I$165:$Q$192,MATCH($CL222,'Factor Tables'!$I$164:$Q$164,0),FALSE),IF($CL222="DX HP",VLOOKUP($D222,'Factor Tables'!$I$165:$Q$192,MATCH("DX HP Clg",'Factor Tables'!$I$164:$Q$164,0),FALSE),IF($CL222="PTHP",VLOOKUP($D222,'Factor Tables'!$I$165:$Q$192,MATCH("PTHP Clg",'Factor Tables'!$I$164:$Q$164,0),FALSE),""))))</f>
        <v/>
      </c>
      <c r="CV222" s="186" t="str">
        <f>IF($CL222="","",IF(AND($CL222&lt;&gt;"DX HP",$CL222&lt;&gt;"PTHP"),0,IF($CL222="DX HP",VLOOKUP($D222,'Factor Tables'!$I$165:$Q$192,MATCH("DX HP Htg",'Factor Tables'!$I$164:$Q$164,0),FALSE),IF($CL222="PTHP",VLOOKUP($D222,'Factor Tables'!$I$165:$Q$192,MATCH("PTHP Htg",'Factor Tables'!$I$164:$Q$164,0),FALSE),""))))</f>
        <v/>
      </c>
      <c r="DD222" s="196" t="str">
        <f>IF(OR('Project Info'!$D$8="",$C62="",$D62=""),"",IF('Project Info'!$D$8="Weather Zone 5: El Paso",VLOOKUP($D62,$DI$9:$DL$37,MATCH($C62,$DI$9:$DL$9,0),FALSE),VLOOKUP($D62,$DE$9:$DH$37,MATCH($C62,$DE$9:$DH$9,0),FALSE)))</f>
        <v/>
      </c>
      <c r="DE222" s="426"/>
      <c r="DI222" s="425"/>
      <c r="DJ222" s="425"/>
      <c r="DK222" s="425"/>
      <c r="DL222" s="425"/>
      <c r="DM222" s="493" t="s">
        <v>478</v>
      </c>
    </row>
    <row r="223" spans="2:117" s="427" customFormat="1" ht="21.95" customHeight="1" x14ac:dyDescent="0.25">
      <c r="B223" s="432">
        <v>214</v>
      </c>
      <c r="C223" s="499" t="str">
        <f t="shared" si="129"/>
        <v/>
      </c>
      <c r="D223" s="403" t="str">
        <f t="shared" si="130"/>
        <v/>
      </c>
      <c r="E223" s="541"/>
      <c r="F223" s="785"/>
      <c r="G223" s="728"/>
      <c r="H223" s="728"/>
      <c r="I223" s="728"/>
      <c r="J223" s="728"/>
      <c r="K223" s="728"/>
      <c r="L223" s="728"/>
      <c r="M223" s="764"/>
      <c r="N223" s="728"/>
      <c r="O223" s="764"/>
      <c r="P223" s="728"/>
      <c r="Q223" s="1142"/>
      <c r="R223" s="1133"/>
      <c r="S223" s="778"/>
      <c r="T223" s="767"/>
      <c r="U223" s="778"/>
      <c r="V223" s="751"/>
      <c r="W223" s="556"/>
      <c r="X223" s="785"/>
      <c r="Y223" s="542"/>
      <c r="Z223" s="500"/>
      <c r="AA223" s="500"/>
      <c r="AB223" s="500"/>
      <c r="AC223" s="500"/>
      <c r="AD223" s="529"/>
      <c r="AE223" s="527">
        <f t="shared" si="39"/>
        <v>0</v>
      </c>
      <c r="AF223" s="527">
        <f t="shared" si="131"/>
        <v>0</v>
      </c>
      <c r="AG223" s="527">
        <f t="shared" si="111"/>
        <v>0</v>
      </c>
      <c r="AH223" s="527">
        <f t="shared" si="112"/>
        <v>0</v>
      </c>
      <c r="AI223" s="527">
        <f t="shared" si="113"/>
        <v>0</v>
      </c>
      <c r="AJ223" s="527">
        <f t="shared" si="114"/>
        <v>999999999</v>
      </c>
      <c r="AK223" s="530"/>
      <c r="AL223" s="776"/>
      <c r="AM223" s="777"/>
      <c r="AN223" s="500"/>
      <c r="AO223" s="778"/>
      <c r="AP223" s="778"/>
      <c r="AQ223" s="500"/>
      <c r="AR223" s="531"/>
      <c r="AS223" s="403"/>
      <c r="AT223" s="524" t="str">
        <f t="shared" si="115"/>
        <v/>
      </c>
      <c r="AU223" s="311">
        <f t="shared" si="116"/>
        <v>0</v>
      </c>
      <c r="AV223" s="288">
        <f t="shared" si="132"/>
        <v>0</v>
      </c>
      <c r="AW223" s="290">
        <f>IF(ISERROR($AU223*'Utility Admin'!$E$4+$AV223*'Utility Admin'!$F$4),0,$AU223*'Utility Admin'!$E$4+$AV223*'Utility Admin'!$F$4)</f>
        <v>0</v>
      </c>
      <c r="AX223" s="323" t="str">
        <f t="shared" si="117"/>
        <v/>
      </c>
      <c r="AY223" s="322" t="str">
        <f t="shared" si="23"/>
        <v/>
      </c>
      <c r="AZ223" s="319">
        <f>Baselines!$CJ467</f>
        <v>0</v>
      </c>
      <c r="BA223" s="735">
        <f>Baselines!$CK467</f>
        <v>0</v>
      </c>
      <c r="BB223" s="839">
        <f>Baselines!$CM467</f>
        <v>0</v>
      </c>
      <c r="BC223" s="466">
        <f t="shared" si="118"/>
        <v>0</v>
      </c>
      <c r="BD223" s="464">
        <f t="shared" si="133"/>
        <v>0</v>
      </c>
      <c r="BE223" s="755">
        <f t="shared" si="119"/>
        <v>0</v>
      </c>
      <c r="BF223" s="755">
        <f t="shared" si="134"/>
        <v>0</v>
      </c>
      <c r="BG223" s="466">
        <f t="shared" si="120"/>
        <v>0</v>
      </c>
      <c r="BH223" s="464">
        <f t="shared" si="121"/>
        <v>0</v>
      </c>
      <c r="BI223" s="755">
        <f t="shared" si="122"/>
        <v>0</v>
      </c>
      <c r="BJ223" s="755">
        <f t="shared" si="135"/>
        <v>0</v>
      </c>
      <c r="BK223" s="333">
        <f>IF(OR($C223&lt;&gt;"Early Retirement",$H223=""),0,IF(AND($G223&lt;&gt;"Air Cooled Chiller",$G223&lt;&gt;"Water Cooled Chiller"),VLOOKUP($H223,'Early Retirement'!$CI$6:$CL$33,2,FALSE),IF($J223&lt;&gt;"Centrifugal",VLOOKUP($H223,'Early Retirement'!$CI$6:$CL$33,3,FALSE),IF($J223="Centrifugal",VLOOKUP($H223,'Early Retirement'!$CI$6:$CL$33,4,FALSE),""))))</f>
        <v>0</v>
      </c>
      <c r="BL223" s="450">
        <f t="shared" si="123"/>
        <v>0</v>
      </c>
      <c r="BM223" s="553">
        <f>IFERROR('Utility Admin'!$I$4*((1+'Utility Admin'!$G$4)/('Utility Admin'!$H$4-'Utility Admin'!$G$4))*(1-((1+'Utility Admin'!$G$4)/(1+'Utility Admin'!$H$4))^$BK223)*$BG223,0)</f>
        <v>0</v>
      </c>
      <c r="BN223" s="553">
        <f>IFERROR('Utility Admin'!$I$4*((1+'Utility Admin'!$G$4)/('Utility Admin'!$H$4-'Utility Admin'!$G$4))*(1-((1+'Utility Admin'!$G$4)/(1+'Utility Admin'!$H$4))^$BL223)*((1+'Utility Admin'!$G$4)^$BK223/(1+'Utility Admin'!$H$4)^$BK223)*$BC223,0)</f>
        <v>0</v>
      </c>
      <c r="BO223" s="553">
        <f t="shared" si="27"/>
        <v>0</v>
      </c>
      <c r="BP223" s="553">
        <f>IFERROR('Utility Admin'!$J$4*((1+'Utility Admin'!$G$4)/('Utility Admin'!$H$4-'Utility Admin'!$G$4))*(1-((1+'Utility Admin'!$G$4)/(1+'Utility Admin'!$H$4))^$BK223)*$BJ223,0)</f>
        <v>0</v>
      </c>
      <c r="BQ223" s="553">
        <f>IFERROR('Utility Admin'!$J$4*((1+'Utility Admin'!$G$4)/('Utility Admin'!$H$4-'Utility Admin'!$G$4))*(1-((1+'Utility Admin'!$G$4)/(1+'Utility Admin'!$H$4))^$BL223)*((1+'Utility Admin'!$G$4)^$BK223/(1+'Utility Admin'!$H$4)^$BK223)*$BF223,0)</f>
        <v>0</v>
      </c>
      <c r="BR223" s="553">
        <f t="shared" si="28"/>
        <v>0</v>
      </c>
      <c r="BS223" s="553">
        <f>IFERROR('Utility Admin'!$I$4*((1+'Utility Admin'!$G$4)/('Utility Admin'!$H$4-'Utility Admin'!$G$4))*(1-((1+'Utility Admin'!$G$4)/(1+'Utility Admin'!$H$4))^$AT223),0)</f>
        <v>0</v>
      </c>
      <c r="BT223" s="553">
        <f>IFERROR('Utility Admin'!$J$4*((1+'Utility Admin'!$G$4)/('Utility Admin'!$H$4-'Utility Admin'!$G$4))*(1-((1+'Utility Admin'!$G$4)/(1+'Utility Admin'!$H$4))^$AT223),0)</f>
        <v>0</v>
      </c>
      <c r="BU223" s="459">
        <f t="shared" si="136"/>
        <v>0</v>
      </c>
      <c r="BV223" s="462">
        <f t="shared" si="137"/>
        <v>0</v>
      </c>
      <c r="BW223" s="219" t="str">
        <f t="shared" si="124"/>
        <v/>
      </c>
      <c r="BX223" s="250" t="str">
        <f t="shared" si="138"/>
        <v/>
      </c>
      <c r="BY223" s="250" t="str">
        <f t="shared" si="125"/>
        <v/>
      </c>
      <c r="BZ223" s="184">
        <f t="shared" si="139"/>
        <v>0</v>
      </c>
      <c r="CA223" s="693">
        <f t="shared" si="140"/>
        <v>0</v>
      </c>
      <c r="CB223" s="836">
        <f t="shared" si="141"/>
        <v>0</v>
      </c>
      <c r="CC223" s="693">
        <f>IF(AND($C223="Early Retirement",$H223&lt;&gt;"",$R223&lt;&gt;"",$T223&lt;&gt;""),$BZ223,Baselines!$CJ216)</f>
        <v>0</v>
      </c>
      <c r="CD223" s="693">
        <f>IF(AND($C223="Early Retirement",$H223&lt;&gt;"",$R223&lt;&gt;"",$T223&lt;&gt;""),$CA223,Baselines!$CK216)</f>
        <v>0</v>
      </c>
      <c r="CE223" s="182" t="str">
        <f>Baselines!$CL216</f>
        <v>kW/ton</v>
      </c>
      <c r="CF223" s="850" t="str">
        <f t="shared" si="126"/>
        <v/>
      </c>
      <c r="CG223" s="833">
        <f>IF(AND($C223="Early Retirement",$H223&lt;&gt;"",$R223&lt;&gt;"",$T223&lt;&gt;""),$CB223,IF(AND(Baselines!$CM216=0,OR($CL223="DX HP",$CL223="PTHP")),$BB223,Baselines!$CM216))</f>
        <v>0</v>
      </c>
      <c r="CH223" s="830" t="s">
        <v>567</v>
      </c>
      <c r="CI223" s="185" t="str">
        <f>IF(OR($C223="Replace-on-Burnout",$C223="New Construction"),$CT223,IF($BW223="","",VLOOKUP($D223,'Factor Tables'!$B$165:$H$192,MATCH($BW223,'Factor Tables'!$B$164:$H$164,0),FALSE)))</f>
        <v/>
      </c>
      <c r="CJ223" s="842" t="str">
        <f>IF(OR($C223="Replace-on-Burnout",$C223="New Construction"),$CU223,IF($BW223="","",IF($BW223="DX HP",VLOOKUP($D223,'Factor Tables'!$I$165:$Q$192,MATCH("DX HP Clg",'Factor Tables'!$I$164:$Q$164,0),FALSE),IF($BW223="PTHP",VLOOKUP($D223,'Factor Tables'!$I$165:$Q$192,MATCH("PTHP Clg",'Factor Tables'!$I$164:$Q$164,0),FALSE),IF(AND($BW223&lt;&gt;"DX HP",$BW223&lt;&gt;"PTHP"),VLOOKUP($D223,'Factor Tables'!$I$165:$Q$192,MATCH($BW223,'Factor Tables'!$I$164:$Q$164,0),FALSE),"")))))</f>
        <v/>
      </c>
      <c r="CK223" s="186" t="str">
        <f>IF(OR($C223="Replace-on-Burnout",$C223="New Construction",$CL223="DX HP",$CL223="PTHP"),$CV223,IF($BW223="","",IF($BW223="DX HP",VLOOKUP($D223,'Factor Tables'!$I$165:$Q$192,MATCH("DX HP Htg",'Factor Tables'!$I$164:$Q$164,0),FALSE),IF($BW223="PTHP",VLOOKUP($D223,'Factor Tables'!$I$165:$Q$192,MATCH("PTHP Htg",'Factor Tables'!$I$164:$Q$164,0),FALSE),0))))</f>
        <v/>
      </c>
      <c r="CL223" s="187" t="str">
        <f t="shared" si="127"/>
        <v/>
      </c>
      <c r="CM223" s="251" t="str">
        <f t="shared" si="128"/>
        <v/>
      </c>
      <c r="CN223" s="184">
        <f t="shared" si="142"/>
        <v>0</v>
      </c>
      <c r="CO223" s="693">
        <f t="shared" si="143"/>
        <v>0</v>
      </c>
      <c r="CP223" s="182" t="s">
        <v>46</v>
      </c>
      <c r="CQ223" s="852" t="str">
        <f t="shared" si="144"/>
        <v/>
      </c>
      <c r="CR223" s="833">
        <f t="shared" si="145"/>
        <v>0</v>
      </c>
      <c r="CS223" s="830" t="s">
        <v>567</v>
      </c>
      <c r="CT223" s="185" t="str">
        <f>IF($CL223="","",VLOOKUP($D223,'Factor Tables'!$B$165:$H$192,MATCH($CL223,'Factor Tables'!$B$164:$H$164,0),FALSE))</f>
        <v/>
      </c>
      <c r="CU223" s="842" t="str">
        <f>IF($CL223="","",IF(AND($CL223&lt;&gt;"DX HP",$CL223&lt;&gt;"PTHP"),VLOOKUP($D223,'Factor Tables'!$I$165:$Q$192,MATCH($CL223,'Factor Tables'!$I$164:$Q$164,0),FALSE),IF($CL223="DX HP",VLOOKUP($D223,'Factor Tables'!$I$165:$Q$192,MATCH("DX HP Clg",'Factor Tables'!$I$164:$Q$164,0),FALSE),IF($CL223="PTHP",VLOOKUP($D223,'Factor Tables'!$I$165:$Q$192,MATCH("PTHP Clg",'Factor Tables'!$I$164:$Q$164,0),FALSE),""))))</f>
        <v/>
      </c>
      <c r="CV223" s="186" t="str">
        <f>IF($CL223="","",IF(AND($CL223&lt;&gt;"DX HP",$CL223&lt;&gt;"PTHP"),0,IF($CL223="DX HP",VLOOKUP($D223,'Factor Tables'!$I$165:$Q$192,MATCH("DX HP Htg",'Factor Tables'!$I$164:$Q$164,0),FALSE),IF($CL223="PTHP",VLOOKUP($D223,'Factor Tables'!$I$165:$Q$192,MATCH("PTHP Htg",'Factor Tables'!$I$164:$Q$164,0),FALSE),""))))</f>
        <v/>
      </c>
      <c r="DD223" s="196" t="str">
        <f>IF(OR('Project Info'!$D$8="",$C63="",$D63=""),"",IF('Project Info'!$D$8="Weather Zone 5: El Paso",VLOOKUP($D63,$DI$9:$DL$37,MATCH($C63,$DI$9:$DL$9,0),FALSE),VLOOKUP($D63,$DE$9:$DH$37,MATCH($C63,$DE$9:$DH$9,0),FALSE)))</f>
        <v/>
      </c>
      <c r="DE223" s="426"/>
      <c r="DI223" s="425"/>
      <c r="DJ223" s="425"/>
      <c r="DK223" s="425"/>
      <c r="DL223" s="425"/>
      <c r="DM223" s="493" t="s">
        <v>478</v>
      </c>
    </row>
    <row r="224" spans="2:117" s="427" customFormat="1" ht="21.95" customHeight="1" x14ac:dyDescent="0.25">
      <c r="B224" s="431">
        <v>215</v>
      </c>
      <c r="C224" s="501" t="str">
        <f t="shared" si="129"/>
        <v/>
      </c>
      <c r="D224" s="502" t="str">
        <f t="shared" si="130"/>
        <v/>
      </c>
      <c r="E224" s="546"/>
      <c r="F224" s="547"/>
      <c r="G224" s="729"/>
      <c r="H224" s="729"/>
      <c r="I224" s="729"/>
      <c r="J224" s="729"/>
      <c r="K224" s="729"/>
      <c r="L224" s="729"/>
      <c r="M224" s="765"/>
      <c r="N224" s="758"/>
      <c r="O224" s="765"/>
      <c r="P224" s="758"/>
      <c r="Q224" s="1143"/>
      <c r="R224" s="1134"/>
      <c r="S224" s="775"/>
      <c r="T224" s="729"/>
      <c r="U224" s="775"/>
      <c r="V224" s="779"/>
      <c r="W224" s="557"/>
      <c r="X224" s="788"/>
      <c r="Y224" s="543"/>
      <c r="Z224" s="281"/>
      <c r="AA224" s="281"/>
      <c r="AB224" s="281"/>
      <c r="AC224" s="281"/>
      <c r="AD224" s="492"/>
      <c r="AE224" s="527">
        <f t="shared" si="39"/>
        <v>0</v>
      </c>
      <c r="AF224" s="527">
        <f t="shared" si="131"/>
        <v>0</v>
      </c>
      <c r="AG224" s="527">
        <f t="shared" si="111"/>
        <v>0</v>
      </c>
      <c r="AH224" s="527">
        <f t="shared" si="112"/>
        <v>0</v>
      </c>
      <c r="AI224" s="527">
        <f t="shared" si="113"/>
        <v>0</v>
      </c>
      <c r="AJ224" s="527">
        <f t="shared" si="114"/>
        <v>999999999</v>
      </c>
      <c r="AK224" s="471"/>
      <c r="AL224" s="765"/>
      <c r="AM224" s="758"/>
      <c r="AN224" s="281"/>
      <c r="AO224" s="775"/>
      <c r="AP224" s="775"/>
      <c r="AQ224" s="281"/>
      <c r="AR224" s="528"/>
      <c r="AS224" s="532"/>
      <c r="AT224" s="524" t="str">
        <f t="shared" si="115"/>
        <v/>
      </c>
      <c r="AU224" s="311">
        <f t="shared" si="116"/>
        <v>0</v>
      </c>
      <c r="AV224" s="288">
        <f t="shared" si="132"/>
        <v>0</v>
      </c>
      <c r="AW224" s="290">
        <f>IF(ISERROR($AU224*'Utility Admin'!$E$4+$AV224*'Utility Admin'!$F$4),0,$AU224*'Utility Admin'!$E$4+$AV224*'Utility Admin'!$F$4)</f>
        <v>0</v>
      </c>
      <c r="AX224" s="323" t="str">
        <f t="shared" si="117"/>
        <v/>
      </c>
      <c r="AY224" s="322" t="str">
        <f t="shared" si="23"/>
        <v/>
      </c>
      <c r="AZ224" s="319">
        <f>Baselines!$CJ468</f>
        <v>0</v>
      </c>
      <c r="BA224" s="735">
        <f>Baselines!$CK468</f>
        <v>0</v>
      </c>
      <c r="BB224" s="839">
        <f>Baselines!$CM468</f>
        <v>0</v>
      </c>
      <c r="BC224" s="466">
        <f t="shared" si="118"/>
        <v>0</v>
      </c>
      <c r="BD224" s="464">
        <f t="shared" si="133"/>
        <v>0</v>
      </c>
      <c r="BE224" s="755">
        <f t="shared" si="119"/>
        <v>0</v>
      </c>
      <c r="BF224" s="755">
        <f t="shared" si="134"/>
        <v>0</v>
      </c>
      <c r="BG224" s="466">
        <f t="shared" si="120"/>
        <v>0</v>
      </c>
      <c r="BH224" s="464">
        <f t="shared" si="121"/>
        <v>0</v>
      </c>
      <c r="BI224" s="755">
        <f t="shared" si="122"/>
        <v>0</v>
      </c>
      <c r="BJ224" s="755">
        <f t="shared" si="135"/>
        <v>0</v>
      </c>
      <c r="BK224" s="333">
        <f>IF(OR($C224&lt;&gt;"Early Retirement",$H224=""),0,IF(AND($G224&lt;&gt;"Air Cooled Chiller",$G224&lt;&gt;"Water Cooled Chiller"),VLOOKUP($H224,'Early Retirement'!$CI$6:$CL$33,2,FALSE),IF($J224&lt;&gt;"Centrifugal",VLOOKUP($H224,'Early Retirement'!$CI$6:$CL$33,3,FALSE),IF($J224="Centrifugal",VLOOKUP($H224,'Early Retirement'!$CI$6:$CL$33,4,FALSE),""))))</f>
        <v>0</v>
      </c>
      <c r="BL224" s="450">
        <f t="shared" si="123"/>
        <v>0</v>
      </c>
      <c r="BM224" s="553">
        <f>IFERROR('Utility Admin'!$I$4*((1+'Utility Admin'!$G$4)/('Utility Admin'!$H$4-'Utility Admin'!$G$4))*(1-((1+'Utility Admin'!$G$4)/(1+'Utility Admin'!$H$4))^$BK224)*$BG224,0)</f>
        <v>0</v>
      </c>
      <c r="BN224" s="553">
        <f>IFERROR('Utility Admin'!$I$4*((1+'Utility Admin'!$G$4)/('Utility Admin'!$H$4-'Utility Admin'!$G$4))*(1-((1+'Utility Admin'!$G$4)/(1+'Utility Admin'!$H$4))^$BL224)*((1+'Utility Admin'!$G$4)^$BK224/(1+'Utility Admin'!$H$4)^$BK224)*$BC224,0)</f>
        <v>0</v>
      </c>
      <c r="BO224" s="553">
        <f t="shared" si="27"/>
        <v>0</v>
      </c>
      <c r="BP224" s="553">
        <f>IFERROR('Utility Admin'!$J$4*((1+'Utility Admin'!$G$4)/('Utility Admin'!$H$4-'Utility Admin'!$G$4))*(1-((1+'Utility Admin'!$G$4)/(1+'Utility Admin'!$H$4))^$BK224)*$BJ224,0)</f>
        <v>0</v>
      </c>
      <c r="BQ224" s="553">
        <f>IFERROR('Utility Admin'!$J$4*((1+'Utility Admin'!$G$4)/('Utility Admin'!$H$4-'Utility Admin'!$G$4))*(1-((1+'Utility Admin'!$G$4)/(1+'Utility Admin'!$H$4))^$BL224)*((1+'Utility Admin'!$G$4)^$BK224/(1+'Utility Admin'!$H$4)^$BK224)*$BF224,0)</f>
        <v>0</v>
      </c>
      <c r="BR224" s="553">
        <f t="shared" si="28"/>
        <v>0</v>
      </c>
      <c r="BS224" s="553">
        <f>IFERROR('Utility Admin'!$I$4*((1+'Utility Admin'!$G$4)/('Utility Admin'!$H$4-'Utility Admin'!$G$4))*(1-((1+'Utility Admin'!$G$4)/(1+'Utility Admin'!$H$4))^$AT224),0)</f>
        <v>0</v>
      </c>
      <c r="BT224" s="553">
        <f>IFERROR('Utility Admin'!$J$4*((1+'Utility Admin'!$G$4)/('Utility Admin'!$H$4-'Utility Admin'!$G$4))*(1-((1+'Utility Admin'!$G$4)/(1+'Utility Admin'!$H$4))^$AT224),0)</f>
        <v>0</v>
      </c>
      <c r="BU224" s="459">
        <f t="shared" si="136"/>
        <v>0</v>
      </c>
      <c r="BV224" s="462">
        <f t="shared" si="137"/>
        <v>0</v>
      </c>
      <c r="BW224" s="219" t="str">
        <f t="shared" si="124"/>
        <v/>
      </c>
      <c r="BX224" s="250" t="str">
        <f t="shared" si="138"/>
        <v/>
      </c>
      <c r="BY224" s="250" t="str">
        <f t="shared" si="125"/>
        <v/>
      </c>
      <c r="BZ224" s="184">
        <f t="shared" si="139"/>
        <v>0</v>
      </c>
      <c r="CA224" s="693">
        <f t="shared" si="140"/>
        <v>0</v>
      </c>
      <c r="CB224" s="836">
        <f t="shared" si="141"/>
        <v>0</v>
      </c>
      <c r="CC224" s="693">
        <f>IF(AND($C224="Early Retirement",$H224&lt;&gt;"",$R224&lt;&gt;"",$T224&lt;&gt;""),$BZ224,Baselines!$CJ217)</f>
        <v>0</v>
      </c>
      <c r="CD224" s="693">
        <f>IF(AND($C224="Early Retirement",$H224&lt;&gt;"",$R224&lt;&gt;"",$T224&lt;&gt;""),$CA224,Baselines!$CK217)</f>
        <v>0</v>
      </c>
      <c r="CE224" s="182" t="str">
        <f>Baselines!$CL217</f>
        <v>kW/ton</v>
      </c>
      <c r="CF224" s="850" t="str">
        <f t="shared" si="126"/>
        <v/>
      </c>
      <c r="CG224" s="833">
        <f>IF(AND($C224="Early Retirement",$H224&lt;&gt;"",$R224&lt;&gt;"",$T224&lt;&gt;""),$CB224,IF(AND(Baselines!$CM217=0,OR($CL224="DX HP",$CL224="PTHP")),$BB224,Baselines!$CM217))</f>
        <v>0</v>
      </c>
      <c r="CH224" s="830" t="s">
        <v>567</v>
      </c>
      <c r="CI224" s="185" t="str">
        <f>IF(OR($C224="Replace-on-Burnout",$C224="New Construction"),$CT224,IF($BW224="","",VLOOKUP($D224,'Factor Tables'!$B$165:$H$192,MATCH($BW224,'Factor Tables'!$B$164:$H$164,0),FALSE)))</f>
        <v/>
      </c>
      <c r="CJ224" s="842" t="str">
        <f>IF(OR($C224="Replace-on-Burnout",$C224="New Construction"),$CU224,IF($BW224="","",IF($BW224="DX HP",VLOOKUP($D224,'Factor Tables'!$I$165:$Q$192,MATCH("DX HP Clg",'Factor Tables'!$I$164:$Q$164,0),FALSE),IF($BW224="PTHP",VLOOKUP($D224,'Factor Tables'!$I$165:$Q$192,MATCH("PTHP Clg",'Factor Tables'!$I$164:$Q$164,0),FALSE),IF(AND($BW224&lt;&gt;"DX HP",$BW224&lt;&gt;"PTHP"),VLOOKUP($D224,'Factor Tables'!$I$165:$Q$192,MATCH($BW224,'Factor Tables'!$I$164:$Q$164,0),FALSE),"")))))</f>
        <v/>
      </c>
      <c r="CK224" s="186" t="str">
        <f>IF(OR($C224="Replace-on-Burnout",$C224="New Construction",$CL224="DX HP",$CL224="PTHP"),$CV224,IF($BW224="","",IF($BW224="DX HP",VLOOKUP($D224,'Factor Tables'!$I$165:$Q$192,MATCH("DX HP Htg",'Factor Tables'!$I$164:$Q$164,0),FALSE),IF($BW224="PTHP",VLOOKUP($D224,'Factor Tables'!$I$165:$Q$192,MATCH("PTHP Htg",'Factor Tables'!$I$164:$Q$164,0),FALSE),0))))</f>
        <v/>
      </c>
      <c r="CL224" s="187" t="str">
        <f t="shared" si="127"/>
        <v/>
      </c>
      <c r="CM224" s="251" t="str">
        <f t="shared" si="128"/>
        <v/>
      </c>
      <c r="CN224" s="184">
        <f t="shared" si="142"/>
        <v>0</v>
      </c>
      <c r="CO224" s="693">
        <f t="shared" si="143"/>
        <v>0</v>
      </c>
      <c r="CP224" s="182" t="s">
        <v>46</v>
      </c>
      <c r="CQ224" s="852" t="str">
        <f t="shared" si="144"/>
        <v/>
      </c>
      <c r="CR224" s="833">
        <f t="shared" si="145"/>
        <v>0</v>
      </c>
      <c r="CS224" s="830" t="s">
        <v>567</v>
      </c>
      <c r="CT224" s="185" t="str">
        <f>IF($CL224="","",VLOOKUP($D224,'Factor Tables'!$B$165:$H$192,MATCH($CL224,'Factor Tables'!$B$164:$H$164,0),FALSE))</f>
        <v/>
      </c>
      <c r="CU224" s="842" t="str">
        <f>IF($CL224="","",IF(AND($CL224&lt;&gt;"DX HP",$CL224&lt;&gt;"PTHP"),VLOOKUP($D224,'Factor Tables'!$I$165:$Q$192,MATCH($CL224,'Factor Tables'!$I$164:$Q$164,0),FALSE),IF($CL224="DX HP",VLOOKUP($D224,'Factor Tables'!$I$165:$Q$192,MATCH("DX HP Clg",'Factor Tables'!$I$164:$Q$164,0),FALSE),IF($CL224="PTHP",VLOOKUP($D224,'Factor Tables'!$I$165:$Q$192,MATCH("PTHP Clg",'Factor Tables'!$I$164:$Q$164,0),FALSE),""))))</f>
        <v/>
      </c>
      <c r="CV224" s="186" t="str">
        <f>IF($CL224="","",IF(AND($CL224&lt;&gt;"DX HP",$CL224&lt;&gt;"PTHP"),0,IF($CL224="DX HP",VLOOKUP($D224,'Factor Tables'!$I$165:$Q$192,MATCH("DX HP Htg",'Factor Tables'!$I$164:$Q$164,0),FALSE),IF($CL224="PTHP",VLOOKUP($D224,'Factor Tables'!$I$165:$Q$192,MATCH("PTHP Htg",'Factor Tables'!$I$164:$Q$164,0),FALSE),""))))</f>
        <v/>
      </c>
      <c r="DD224" s="196" t="str">
        <f>IF(OR('Project Info'!$D$8="",$C64="",$D64=""),"",IF('Project Info'!$D$8="Weather Zone 5: El Paso",VLOOKUP($D64,$DI$9:$DL$37,MATCH($C64,$DI$9:$DL$9,0),FALSE),VLOOKUP($D64,$DE$9:$DH$37,MATCH($C64,$DE$9:$DH$9,0),FALSE)))</f>
        <v/>
      </c>
      <c r="DE224" s="426"/>
      <c r="DI224" s="425"/>
      <c r="DJ224" s="425"/>
      <c r="DK224" s="425"/>
      <c r="DL224" s="425"/>
      <c r="DM224" s="493" t="s">
        <v>478</v>
      </c>
    </row>
    <row r="225" spans="2:117" s="427" customFormat="1" ht="21.95" customHeight="1" x14ac:dyDescent="0.25">
      <c r="B225" s="432">
        <v>216</v>
      </c>
      <c r="C225" s="499" t="str">
        <f t="shared" si="129"/>
        <v/>
      </c>
      <c r="D225" s="403" t="str">
        <f t="shared" si="130"/>
        <v/>
      </c>
      <c r="E225" s="541"/>
      <c r="F225" s="785"/>
      <c r="G225" s="728"/>
      <c r="H225" s="728"/>
      <c r="I225" s="728"/>
      <c r="J225" s="728"/>
      <c r="K225" s="728"/>
      <c r="L225" s="728"/>
      <c r="M225" s="764"/>
      <c r="N225" s="728"/>
      <c r="O225" s="764"/>
      <c r="P225" s="728"/>
      <c r="Q225" s="1142"/>
      <c r="R225" s="1133"/>
      <c r="S225" s="778"/>
      <c r="T225" s="767"/>
      <c r="U225" s="778"/>
      <c r="V225" s="751"/>
      <c r="W225" s="556"/>
      <c r="X225" s="785"/>
      <c r="Y225" s="542"/>
      <c r="Z225" s="500"/>
      <c r="AA225" s="500"/>
      <c r="AB225" s="500"/>
      <c r="AC225" s="500"/>
      <c r="AD225" s="529"/>
      <c r="AE225" s="527">
        <f t="shared" si="39"/>
        <v>0</v>
      </c>
      <c r="AF225" s="527">
        <f t="shared" si="131"/>
        <v>0</v>
      </c>
      <c r="AG225" s="527">
        <f t="shared" si="111"/>
        <v>0</v>
      </c>
      <c r="AH225" s="527">
        <f t="shared" si="112"/>
        <v>0</v>
      </c>
      <c r="AI225" s="527">
        <f t="shared" si="113"/>
        <v>0</v>
      </c>
      <c r="AJ225" s="527">
        <f t="shared" si="114"/>
        <v>999999999</v>
      </c>
      <c r="AK225" s="530"/>
      <c r="AL225" s="776"/>
      <c r="AM225" s="777"/>
      <c r="AN225" s="500"/>
      <c r="AO225" s="778"/>
      <c r="AP225" s="778"/>
      <c r="AQ225" s="500"/>
      <c r="AR225" s="531"/>
      <c r="AS225" s="403"/>
      <c r="AT225" s="524" t="str">
        <f t="shared" si="115"/>
        <v/>
      </c>
      <c r="AU225" s="311">
        <f t="shared" si="116"/>
        <v>0</v>
      </c>
      <c r="AV225" s="288">
        <f t="shared" si="132"/>
        <v>0</v>
      </c>
      <c r="AW225" s="290">
        <f>IF(ISERROR($AU225*'Utility Admin'!$E$4+$AV225*'Utility Admin'!$F$4),0,$AU225*'Utility Admin'!$E$4+$AV225*'Utility Admin'!$F$4)</f>
        <v>0</v>
      </c>
      <c r="AX225" s="323" t="str">
        <f t="shared" si="117"/>
        <v/>
      </c>
      <c r="AY225" s="322" t="str">
        <f t="shared" si="23"/>
        <v/>
      </c>
      <c r="AZ225" s="319">
        <f>Baselines!$CJ469</f>
        <v>0</v>
      </c>
      <c r="BA225" s="735">
        <f>Baselines!$CK469</f>
        <v>0</v>
      </c>
      <c r="BB225" s="839">
        <f>Baselines!$CM469</f>
        <v>0</v>
      </c>
      <c r="BC225" s="466">
        <f t="shared" si="118"/>
        <v>0</v>
      </c>
      <c r="BD225" s="464">
        <f t="shared" si="133"/>
        <v>0</v>
      </c>
      <c r="BE225" s="755">
        <f t="shared" si="119"/>
        <v>0</v>
      </c>
      <c r="BF225" s="755">
        <f t="shared" si="134"/>
        <v>0</v>
      </c>
      <c r="BG225" s="466">
        <f t="shared" si="120"/>
        <v>0</v>
      </c>
      <c r="BH225" s="464">
        <f t="shared" si="121"/>
        <v>0</v>
      </c>
      <c r="BI225" s="755">
        <f t="shared" si="122"/>
        <v>0</v>
      </c>
      <c r="BJ225" s="755">
        <f t="shared" si="135"/>
        <v>0</v>
      </c>
      <c r="BK225" s="333">
        <f>IF(OR($C225&lt;&gt;"Early Retirement",$H225=""),0,IF(AND($G225&lt;&gt;"Air Cooled Chiller",$G225&lt;&gt;"Water Cooled Chiller"),VLOOKUP($H225,'Early Retirement'!$CI$6:$CL$33,2,FALSE),IF($J225&lt;&gt;"Centrifugal",VLOOKUP($H225,'Early Retirement'!$CI$6:$CL$33,3,FALSE),IF($J225="Centrifugal",VLOOKUP($H225,'Early Retirement'!$CI$6:$CL$33,4,FALSE),""))))</f>
        <v>0</v>
      </c>
      <c r="BL225" s="450">
        <f t="shared" si="123"/>
        <v>0</v>
      </c>
      <c r="BM225" s="553">
        <f>IFERROR('Utility Admin'!$I$4*((1+'Utility Admin'!$G$4)/('Utility Admin'!$H$4-'Utility Admin'!$G$4))*(1-((1+'Utility Admin'!$G$4)/(1+'Utility Admin'!$H$4))^$BK225)*$BG225,0)</f>
        <v>0</v>
      </c>
      <c r="BN225" s="553">
        <f>IFERROR('Utility Admin'!$I$4*((1+'Utility Admin'!$G$4)/('Utility Admin'!$H$4-'Utility Admin'!$G$4))*(1-((1+'Utility Admin'!$G$4)/(1+'Utility Admin'!$H$4))^$BL225)*((1+'Utility Admin'!$G$4)^$BK225/(1+'Utility Admin'!$H$4)^$BK225)*$BC225,0)</f>
        <v>0</v>
      </c>
      <c r="BO225" s="553">
        <f t="shared" si="27"/>
        <v>0</v>
      </c>
      <c r="BP225" s="553">
        <f>IFERROR('Utility Admin'!$J$4*((1+'Utility Admin'!$G$4)/('Utility Admin'!$H$4-'Utility Admin'!$G$4))*(1-((1+'Utility Admin'!$G$4)/(1+'Utility Admin'!$H$4))^$BK225)*$BJ225,0)</f>
        <v>0</v>
      </c>
      <c r="BQ225" s="553">
        <f>IFERROR('Utility Admin'!$J$4*((1+'Utility Admin'!$G$4)/('Utility Admin'!$H$4-'Utility Admin'!$G$4))*(1-((1+'Utility Admin'!$G$4)/(1+'Utility Admin'!$H$4))^$BL225)*((1+'Utility Admin'!$G$4)^$BK225/(1+'Utility Admin'!$H$4)^$BK225)*$BF225,0)</f>
        <v>0</v>
      </c>
      <c r="BR225" s="553">
        <f t="shared" si="28"/>
        <v>0</v>
      </c>
      <c r="BS225" s="553">
        <f>IFERROR('Utility Admin'!$I$4*((1+'Utility Admin'!$G$4)/('Utility Admin'!$H$4-'Utility Admin'!$G$4))*(1-((1+'Utility Admin'!$G$4)/(1+'Utility Admin'!$H$4))^$AT225),0)</f>
        <v>0</v>
      </c>
      <c r="BT225" s="553">
        <f>IFERROR('Utility Admin'!$J$4*((1+'Utility Admin'!$G$4)/('Utility Admin'!$H$4-'Utility Admin'!$G$4))*(1-((1+'Utility Admin'!$G$4)/(1+'Utility Admin'!$H$4))^$AT225),0)</f>
        <v>0</v>
      </c>
      <c r="BU225" s="459">
        <f t="shared" si="136"/>
        <v>0</v>
      </c>
      <c r="BV225" s="462">
        <f t="shared" si="137"/>
        <v>0</v>
      </c>
      <c r="BW225" s="219" t="str">
        <f t="shared" si="124"/>
        <v/>
      </c>
      <c r="BX225" s="250" t="str">
        <f t="shared" si="138"/>
        <v/>
      </c>
      <c r="BY225" s="250" t="str">
        <f t="shared" si="125"/>
        <v/>
      </c>
      <c r="BZ225" s="184">
        <f t="shared" si="139"/>
        <v>0</v>
      </c>
      <c r="CA225" s="693">
        <f t="shared" si="140"/>
        <v>0</v>
      </c>
      <c r="CB225" s="836">
        <f t="shared" si="141"/>
        <v>0</v>
      </c>
      <c r="CC225" s="693">
        <f>IF(AND($C225="Early Retirement",$H225&lt;&gt;"",$R225&lt;&gt;"",$T225&lt;&gt;""),$BZ225,Baselines!$CJ218)</f>
        <v>0</v>
      </c>
      <c r="CD225" s="693">
        <f>IF(AND($C225="Early Retirement",$H225&lt;&gt;"",$R225&lt;&gt;"",$T225&lt;&gt;""),$CA225,Baselines!$CK218)</f>
        <v>0</v>
      </c>
      <c r="CE225" s="182" t="str">
        <f>Baselines!$CL218</f>
        <v>kW/ton</v>
      </c>
      <c r="CF225" s="850" t="str">
        <f t="shared" si="126"/>
        <v/>
      </c>
      <c r="CG225" s="833">
        <f>IF(AND($C225="Early Retirement",$H225&lt;&gt;"",$R225&lt;&gt;"",$T225&lt;&gt;""),$CB225,IF(AND(Baselines!$CM218=0,OR($CL225="DX HP",$CL225="PTHP")),$BB225,Baselines!$CM218))</f>
        <v>0</v>
      </c>
      <c r="CH225" s="830" t="s">
        <v>567</v>
      </c>
      <c r="CI225" s="185" t="str">
        <f>IF(OR($C225="Replace-on-Burnout",$C225="New Construction"),$CT225,IF($BW225="","",VLOOKUP($D225,'Factor Tables'!$B$165:$H$192,MATCH($BW225,'Factor Tables'!$B$164:$H$164,0),FALSE)))</f>
        <v/>
      </c>
      <c r="CJ225" s="842" t="str">
        <f>IF(OR($C225="Replace-on-Burnout",$C225="New Construction"),$CU225,IF($BW225="","",IF($BW225="DX HP",VLOOKUP($D225,'Factor Tables'!$I$165:$Q$192,MATCH("DX HP Clg",'Factor Tables'!$I$164:$Q$164,0),FALSE),IF($BW225="PTHP",VLOOKUP($D225,'Factor Tables'!$I$165:$Q$192,MATCH("PTHP Clg",'Factor Tables'!$I$164:$Q$164,0),FALSE),IF(AND($BW225&lt;&gt;"DX HP",$BW225&lt;&gt;"PTHP"),VLOOKUP($D225,'Factor Tables'!$I$165:$Q$192,MATCH($BW225,'Factor Tables'!$I$164:$Q$164,0),FALSE),"")))))</f>
        <v/>
      </c>
      <c r="CK225" s="186" t="str">
        <f>IF(OR($C225="Replace-on-Burnout",$C225="New Construction",$CL225="DX HP",$CL225="PTHP"),$CV225,IF($BW225="","",IF($BW225="DX HP",VLOOKUP($D225,'Factor Tables'!$I$165:$Q$192,MATCH("DX HP Htg",'Factor Tables'!$I$164:$Q$164,0),FALSE),IF($BW225="PTHP",VLOOKUP($D225,'Factor Tables'!$I$165:$Q$192,MATCH("PTHP Htg",'Factor Tables'!$I$164:$Q$164,0),FALSE),0))))</f>
        <v/>
      </c>
      <c r="CL225" s="187" t="str">
        <f t="shared" si="127"/>
        <v/>
      </c>
      <c r="CM225" s="251" t="str">
        <f t="shared" si="128"/>
        <v/>
      </c>
      <c r="CN225" s="184">
        <f t="shared" si="142"/>
        <v>0</v>
      </c>
      <c r="CO225" s="693">
        <f t="shared" si="143"/>
        <v>0</v>
      </c>
      <c r="CP225" s="182" t="s">
        <v>46</v>
      </c>
      <c r="CQ225" s="852" t="str">
        <f t="shared" si="144"/>
        <v/>
      </c>
      <c r="CR225" s="833">
        <f t="shared" si="145"/>
        <v>0</v>
      </c>
      <c r="CS225" s="830" t="s">
        <v>567</v>
      </c>
      <c r="CT225" s="185" t="str">
        <f>IF($CL225="","",VLOOKUP($D225,'Factor Tables'!$B$165:$H$192,MATCH($CL225,'Factor Tables'!$B$164:$H$164,0),FALSE))</f>
        <v/>
      </c>
      <c r="CU225" s="842" t="str">
        <f>IF($CL225="","",IF(AND($CL225&lt;&gt;"DX HP",$CL225&lt;&gt;"PTHP"),VLOOKUP($D225,'Factor Tables'!$I$165:$Q$192,MATCH($CL225,'Factor Tables'!$I$164:$Q$164,0),FALSE),IF($CL225="DX HP",VLOOKUP($D225,'Factor Tables'!$I$165:$Q$192,MATCH("DX HP Clg",'Factor Tables'!$I$164:$Q$164,0),FALSE),IF($CL225="PTHP",VLOOKUP($D225,'Factor Tables'!$I$165:$Q$192,MATCH("PTHP Clg",'Factor Tables'!$I$164:$Q$164,0),FALSE),""))))</f>
        <v/>
      </c>
      <c r="CV225" s="186" t="str">
        <f>IF($CL225="","",IF(AND($CL225&lt;&gt;"DX HP",$CL225&lt;&gt;"PTHP"),0,IF($CL225="DX HP",VLOOKUP($D225,'Factor Tables'!$I$165:$Q$192,MATCH("DX HP Htg",'Factor Tables'!$I$164:$Q$164,0),FALSE),IF($CL225="PTHP",VLOOKUP($D225,'Factor Tables'!$I$165:$Q$192,MATCH("PTHP Htg",'Factor Tables'!$I$164:$Q$164,0),FALSE),""))))</f>
        <v/>
      </c>
      <c r="DD225" s="196" t="str">
        <f>IF(OR('Project Info'!$D$8="",$C65="",$D65=""),"",IF('Project Info'!$D$8="Weather Zone 5: El Paso",VLOOKUP($D65,$DI$9:$DL$37,MATCH($C65,$DI$9:$DL$9,0),FALSE),VLOOKUP($D65,$DE$9:$DH$37,MATCH($C65,$DE$9:$DH$9,0),FALSE)))</f>
        <v/>
      </c>
      <c r="DE225" s="426"/>
      <c r="DI225" s="425"/>
      <c r="DJ225" s="425"/>
      <c r="DK225" s="425"/>
      <c r="DL225" s="425"/>
      <c r="DM225" s="493" t="s">
        <v>478</v>
      </c>
    </row>
    <row r="226" spans="2:117" s="427" customFormat="1" ht="21.95" customHeight="1" x14ac:dyDescent="0.25">
      <c r="B226" s="431">
        <v>217</v>
      </c>
      <c r="C226" s="501" t="str">
        <f t="shared" si="129"/>
        <v/>
      </c>
      <c r="D226" s="502" t="str">
        <f t="shared" si="130"/>
        <v/>
      </c>
      <c r="E226" s="546"/>
      <c r="F226" s="547"/>
      <c r="G226" s="729"/>
      <c r="H226" s="729"/>
      <c r="I226" s="729"/>
      <c r="J226" s="729"/>
      <c r="K226" s="729"/>
      <c r="L226" s="729"/>
      <c r="M226" s="765"/>
      <c r="N226" s="758"/>
      <c r="O226" s="765"/>
      <c r="P226" s="758"/>
      <c r="Q226" s="1143"/>
      <c r="R226" s="1134"/>
      <c r="S226" s="775"/>
      <c r="T226" s="729"/>
      <c r="U226" s="775"/>
      <c r="V226" s="779"/>
      <c r="W226" s="557"/>
      <c r="X226" s="788"/>
      <c r="Y226" s="543"/>
      <c r="Z226" s="281"/>
      <c r="AA226" s="281"/>
      <c r="AB226" s="281"/>
      <c r="AC226" s="281"/>
      <c r="AD226" s="492"/>
      <c r="AE226" s="527">
        <f t="shared" si="39"/>
        <v>0</v>
      </c>
      <c r="AF226" s="527">
        <f t="shared" si="131"/>
        <v>0</v>
      </c>
      <c r="AG226" s="527">
        <f t="shared" si="111"/>
        <v>0</v>
      </c>
      <c r="AH226" s="527">
        <f t="shared" si="112"/>
        <v>0</v>
      </c>
      <c r="AI226" s="527">
        <f t="shared" si="113"/>
        <v>0</v>
      </c>
      <c r="AJ226" s="527">
        <f t="shared" si="114"/>
        <v>999999999</v>
      </c>
      <c r="AK226" s="471"/>
      <c r="AL226" s="765"/>
      <c r="AM226" s="758"/>
      <c r="AN226" s="281"/>
      <c r="AO226" s="775"/>
      <c r="AP226" s="775"/>
      <c r="AQ226" s="281"/>
      <c r="AR226" s="528"/>
      <c r="AS226" s="532"/>
      <c r="AT226" s="524" t="str">
        <f t="shared" si="115"/>
        <v/>
      </c>
      <c r="AU226" s="311">
        <f t="shared" si="116"/>
        <v>0</v>
      </c>
      <c r="AV226" s="288">
        <f t="shared" si="132"/>
        <v>0</v>
      </c>
      <c r="AW226" s="290">
        <f>IF(ISERROR($AU226*'Utility Admin'!$E$4+$AV226*'Utility Admin'!$F$4),0,$AU226*'Utility Admin'!$E$4+$AV226*'Utility Admin'!$F$4)</f>
        <v>0</v>
      </c>
      <c r="AX226" s="323" t="str">
        <f t="shared" si="117"/>
        <v/>
      </c>
      <c r="AY226" s="322" t="str">
        <f t="shared" si="23"/>
        <v/>
      </c>
      <c r="AZ226" s="319">
        <f>Baselines!$CJ470</f>
        <v>0</v>
      </c>
      <c r="BA226" s="735">
        <f>Baselines!$CK470</f>
        <v>0</v>
      </c>
      <c r="BB226" s="839">
        <f>Baselines!$CM470</f>
        <v>0</v>
      </c>
      <c r="BC226" s="466">
        <f t="shared" si="118"/>
        <v>0</v>
      </c>
      <c r="BD226" s="464">
        <f t="shared" si="133"/>
        <v>0</v>
      </c>
      <c r="BE226" s="755">
        <f t="shared" si="119"/>
        <v>0</v>
      </c>
      <c r="BF226" s="755">
        <f t="shared" si="134"/>
        <v>0</v>
      </c>
      <c r="BG226" s="466">
        <f t="shared" si="120"/>
        <v>0</v>
      </c>
      <c r="BH226" s="464">
        <f t="shared" si="121"/>
        <v>0</v>
      </c>
      <c r="BI226" s="755">
        <f t="shared" si="122"/>
        <v>0</v>
      </c>
      <c r="BJ226" s="755">
        <f t="shared" si="135"/>
        <v>0</v>
      </c>
      <c r="BK226" s="333">
        <f>IF(OR($C226&lt;&gt;"Early Retirement",$H226=""),0,IF(AND($G226&lt;&gt;"Air Cooled Chiller",$G226&lt;&gt;"Water Cooled Chiller"),VLOOKUP($H226,'Early Retirement'!$CI$6:$CL$33,2,FALSE),IF($J226&lt;&gt;"Centrifugal",VLOOKUP($H226,'Early Retirement'!$CI$6:$CL$33,3,FALSE),IF($J226="Centrifugal",VLOOKUP($H226,'Early Retirement'!$CI$6:$CL$33,4,FALSE),""))))</f>
        <v>0</v>
      </c>
      <c r="BL226" s="450">
        <f t="shared" si="123"/>
        <v>0</v>
      </c>
      <c r="BM226" s="553">
        <f>IFERROR('Utility Admin'!$I$4*((1+'Utility Admin'!$G$4)/('Utility Admin'!$H$4-'Utility Admin'!$G$4))*(1-((1+'Utility Admin'!$G$4)/(1+'Utility Admin'!$H$4))^$BK226)*$BG226,0)</f>
        <v>0</v>
      </c>
      <c r="BN226" s="553">
        <f>IFERROR('Utility Admin'!$I$4*((1+'Utility Admin'!$G$4)/('Utility Admin'!$H$4-'Utility Admin'!$G$4))*(1-((1+'Utility Admin'!$G$4)/(1+'Utility Admin'!$H$4))^$BL226)*((1+'Utility Admin'!$G$4)^$BK226/(1+'Utility Admin'!$H$4)^$BK226)*$BC226,0)</f>
        <v>0</v>
      </c>
      <c r="BO226" s="553">
        <f t="shared" si="27"/>
        <v>0</v>
      </c>
      <c r="BP226" s="553">
        <f>IFERROR('Utility Admin'!$J$4*((1+'Utility Admin'!$G$4)/('Utility Admin'!$H$4-'Utility Admin'!$G$4))*(1-((1+'Utility Admin'!$G$4)/(1+'Utility Admin'!$H$4))^$BK226)*$BJ226,0)</f>
        <v>0</v>
      </c>
      <c r="BQ226" s="553">
        <f>IFERROR('Utility Admin'!$J$4*((1+'Utility Admin'!$G$4)/('Utility Admin'!$H$4-'Utility Admin'!$G$4))*(1-((1+'Utility Admin'!$G$4)/(1+'Utility Admin'!$H$4))^$BL226)*((1+'Utility Admin'!$G$4)^$BK226/(1+'Utility Admin'!$H$4)^$BK226)*$BF226,0)</f>
        <v>0</v>
      </c>
      <c r="BR226" s="553">
        <f t="shared" si="28"/>
        <v>0</v>
      </c>
      <c r="BS226" s="553">
        <f>IFERROR('Utility Admin'!$I$4*((1+'Utility Admin'!$G$4)/('Utility Admin'!$H$4-'Utility Admin'!$G$4))*(1-((1+'Utility Admin'!$G$4)/(1+'Utility Admin'!$H$4))^$AT226),0)</f>
        <v>0</v>
      </c>
      <c r="BT226" s="553">
        <f>IFERROR('Utility Admin'!$J$4*((1+'Utility Admin'!$G$4)/('Utility Admin'!$H$4-'Utility Admin'!$G$4))*(1-((1+'Utility Admin'!$G$4)/(1+'Utility Admin'!$H$4))^$AT226),0)</f>
        <v>0</v>
      </c>
      <c r="BU226" s="459">
        <f t="shared" si="136"/>
        <v>0</v>
      </c>
      <c r="BV226" s="462">
        <f t="shared" si="137"/>
        <v>0</v>
      </c>
      <c r="BW226" s="219" t="str">
        <f t="shared" si="124"/>
        <v/>
      </c>
      <c r="BX226" s="250" t="str">
        <f t="shared" si="138"/>
        <v/>
      </c>
      <c r="BY226" s="250" t="str">
        <f t="shared" si="125"/>
        <v/>
      </c>
      <c r="BZ226" s="184">
        <f t="shared" si="139"/>
        <v>0</v>
      </c>
      <c r="CA226" s="693">
        <f t="shared" si="140"/>
        <v>0</v>
      </c>
      <c r="CB226" s="836">
        <f t="shared" si="141"/>
        <v>0</v>
      </c>
      <c r="CC226" s="693">
        <f>IF(AND($C226="Early Retirement",$H226&lt;&gt;"",$R226&lt;&gt;"",$T226&lt;&gt;""),$BZ226,Baselines!$CJ219)</f>
        <v>0</v>
      </c>
      <c r="CD226" s="693">
        <f>IF(AND($C226="Early Retirement",$H226&lt;&gt;"",$R226&lt;&gt;"",$T226&lt;&gt;""),$CA226,Baselines!$CK219)</f>
        <v>0</v>
      </c>
      <c r="CE226" s="182" t="str">
        <f>Baselines!$CL219</f>
        <v>kW/ton</v>
      </c>
      <c r="CF226" s="850" t="str">
        <f t="shared" si="126"/>
        <v/>
      </c>
      <c r="CG226" s="833">
        <f>IF(AND($C226="Early Retirement",$H226&lt;&gt;"",$R226&lt;&gt;"",$T226&lt;&gt;""),$CB226,IF(AND(Baselines!$CM219=0,OR($CL226="DX HP",$CL226="PTHP")),$BB226,Baselines!$CM219))</f>
        <v>0</v>
      </c>
      <c r="CH226" s="830" t="s">
        <v>567</v>
      </c>
      <c r="CI226" s="185" t="str">
        <f>IF(OR($C226="Replace-on-Burnout",$C226="New Construction"),$CT226,IF($BW226="","",VLOOKUP($D226,'Factor Tables'!$B$165:$H$192,MATCH($BW226,'Factor Tables'!$B$164:$H$164,0),FALSE)))</f>
        <v/>
      </c>
      <c r="CJ226" s="842" t="str">
        <f>IF(OR($C226="Replace-on-Burnout",$C226="New Construction"),$CU226,IF($BW226="","",IF($BW226="DX HP",VLOOKUP($D226,'Factor Tables'!$I$165:$Q$192,MATCH("DX HP Clg",'Factor Tables'!$I$164:$Q$164,0),FALSE),IF($BW226="PTHP",VLOOKUP($D226,'Factor Tables'!$I$165:$Q$192,MATCH("PTHP Clg",'Factor Tables'!$I$164:$Q$164,0),FALSE),IF(AND($BW226&lt;&gt;"DX HP",$BW226&lt;&gt;"PTHP"),VLOOKUP($D226,'Factor Tables'!$I$165:$Q$192,MATCH($BW226,'Factor Tables'!$I$164:$Q$164,0),FALSE),"")))))</f>
        <v/>
      </c>
      <c r="CK226" s="186" t="str">
        <f>IF(OR($C226="Replace-on-Burnout",$C226="New Construction",$CL226="DX HP",$CL226="PTHP"),$CV226,IF($BW226="","",IF($BW226="DX HP",VLOOKUP($D226,'Factor Tables'!$I$165:$Q$192,MATCH("DX HP Htg",'Factor Tables'!$I$164:$Q$164,0),FALSE),IF($BW226="PTHP",VLOOKUP($D226,'Factor Tables'!$I$165:$Q$192,MATCH("PTHP Htg",'Factor Tables'!$I$164:$Q$164,0),FALSE),0))))</f>
        <v/>
      </c>
      <c r="CL226" s="187" t="str">
        <f t="shared" si="127"/>
        <v/>
      </c>
      <c r="CM226" s="251" t="str">
        <f t="shared" si="128"/>
        <v/>
      </c>
      <c r="CN226" s="184">
        <f t="shared" si="142"/>
        <v>0</v>
      </c>
      <c r="CO226" s="693">
        <f t="shared" si="143"/>
        <v>0</v>
      </c>
      <c r="CP226" s="182" t="s">
        <v>46</v>
      </c>
      <c r="CQ226" s="852" t="str">
        <f t="shared" si="144"/>
        <v/>
      </c>
      <c r="CR226" s="833">
        <f t="shared" si="145"/>
        <v>0</v>
      </c>
      <c r="CS226" s="830" t="s">
        <v>567</v>
      </c>
      <c r="CT226" s="185" t="str">
        <f>IF($CL226="","",VLOOKUP($D226,'Factor Tables'!$B$165:$H$192,MATCH($CL226,'Factor Tables'!$B$164:$H$164,0),FALSE))</f>
        <v/>
      </c>
      <c r="CU226" s="842" t="str">
        <f>IF($CL226="","",IF(AND($CL226&lt;&gt;"DX HP",$CL226&lt;&gt;"PTHP"),VLOOKUP($D226,'Factor Tables'!$I$165:$Q$192,MATCH($CL226,'Factor Tables'!$I$164:$Q$164,0),FALSE),IF($CL226="DX HP",VLOOKUP($D226,'Factor Tables'!$I$165:$Q$192,MATCH("DX HP Clg",'Factor Tables'!$I$164:$Q$164,0),FALSE),IF($CL226="PTHP",VLOOKUP($D226,'Factor Tables'!$I$165:$Q$192,MATCH("PTHP Clg",'Factor Tables'!$I$164:$Q$164,0),FALSE),""))))</f>
        <v/>
      </c>
      <c r="CV226" s="186" t="str">
        <f>IF($CL226="","",IF(AND($CL226&lt;&gt;"DX HP",$CL226&lt;&gt;"PTHP"),0,IF($CL226="DX HP",VLOOKUP($D226,'Factor Tables'!$I$165:$Q$192,MATCH("DX HP Htg",'Factor Tables'!$I$164:$Q$164,0),FALSE),IF($CL226="PTHP",VLOOKUP($D226,'Factor Tables'!$I$165:$Q$192,MATCH("PTHP Htg",'Factor Tables'!$I$164:$Q$164,0),FALSE),""))))</f>
        <v/>
      </c>
      <c r="DD226" s="196" t="str">
        <f>IF(OR('Project Info'!$D$8="",$C66="",$D66=""),"",IF('Project Info'!$D$8="Weather Zone 5: El Paso",VLOOKUP($D66,$DI$9:$DL$37,MATCH($C66,$DI$9:$DL$9,0),FALSE),VLOOKUP($D66,$DE$9:$DH$37,MATCH($C66,$DE$9:$DH$9,0),FALSE)))</f>
        <v/>
      </c>
      <c r="DE226" s="426"/>
      <c r="DI226" s="425"/>
      <c r="DJ226" s="425"/>
      <c r="DK226" s="425"/>
      <c r="DL226" s="425"/>
      <c r="DM226" s="493" t="s">
        <v>478</v>
      </c>
    </row>
    <row r="227" spans="2:117" s="427" customFormat="1" ht="21.95" customHeight="1" x14ac:dyDescent="0.25">
      <c r="B227" s="432">
        <v>218</v>
      </c>
      <c r="C227" s="499" t="str">
        <f t="shared" si="129"/>
        <v/>
      </c>
      <c r="D227" s="403" t="str">
        <f t="shared" si="130"/>
        <v/>
      </c>
      <c r="E227" s="541"/>
      <c r="F227" s="785"/>
      <c r="G227" s="728"/>
      <c r="H227" s="728"/>
      <c r="I227" s="728"/>
      <c r="J227" s="728"/>
      <c r="K227" s="728"/>
      <c r="L227" s="728"/>
      <c r="M227" s="764"/>
      <c r="N227" s="728"/>
      <c r="O227" s="764"/>
      <c r="P227" s="728"/>
      <c r="Q227" s="1142"/>
      <c r="R227" s="1133"/>
      <c r="S227" s="778"/>
      <c r="T227" s="767"/>
      <c r="U227" s="778"/>
      <c r="V227" s="751"/>
      <c r="W227" s="556"/>
      <c r="X227" s="785"/>
      <c r="Y227" s="542"/>
      <c r="Z227" s="500"/>
      <c r="AA227" s="500"/>
      <c r="AB227" s="500"/>
      <c r="AC227" s="500"/>
      <c r="AD227" s="529"/>
      <c r="AE227" s="527">
        <f t="shared" si="39"/>
        <v>0</v>
      </c>
      <c r="AF227" s="527">
        <f t="shared" si="131"/>
        <v>0</v>
      </c>
      <c r="AG227" s="527">
        <f t="shared" si="111"/>
        <v>0</v>
      </c>
      <c r="AH227" s="527">
        <f t="shared" si="112"/>
        <v>0</v>
      </c>
      <c r="AI227" s="527">
        <f t="shared" si="113"/>
        <v>0</v>
      </c>
      <c r="AJ227" s="527">
        <f t="shared" si="114"/>
        <v>999999999</v>
      </c>
      <c r="AK227" s="530"/>
      <c r="AL227" s="776"/>
      <c r="AM227" s="777"/>
      <c r="AN227" s="500"/>
      <c r="AO227" s="778"/>
      <c r="AP227" s="778"/>
      <c r="AQ227" s="500"/>
      <c r="AR227" s="531"/>
      <c r="AS227" s="403"/>
      <c r="AT227" s="524" t="str">
        <f t="shared" si="115"/>
        <v/>
      </c>
      <c r="AU227" s="311">
        <f t="shared" si="116"/>
        <v>0</v>
      </c>
      <c r="AV227" s="288">
        <f t="shared" si="132"/>
        <v>0</v>
      </c>
      <c r="AW227" s="290">
        <f>IF(ISERROR($AU227*'Utility Admin'!$E$4+$AV227*'Utility Admin'!$F$4),0,$AU227*'Utility Admin'!$E$4+$AV227*'Utility Admin'!$F$4)</f>
        <v>0</v>
      </c>
      <c r="AX227" s="323" t="str">
        <f t="shared" si="117"/>
        <v/>
      </c>
      <c r="AY227" s="322" t="str">
        <f t="shared" si="23"/>
        <v/>
      </c>
      <c r="AZ227" s="319">
        <f>Baselines!$CJ471</f>
        <v>0</v>
      </c>
      <c r="BA227" s="735">
        <f>Baselines!$CK471</f>
        <v>0</v>
      </c>
      <c r="BB227" s="839">
        <f>Baselines!$CM471</f>
        <v>0</v>
      </c>
      <c r="BC227" s="466">
        <f t="shared" si="118"/>
        <v>0</v>
      </c>
      <c r="BD227" s="464">
        <f t="shared" si="133"/>
        <v>0</v>
      </c>
      <c r="BE227" s="755">
        <f t="shared" si="119"/>
        <v>0</v>
      </c>
      <c r="BF227" s="755">
        <f t="shared" si="134"/>
        <v>0</v>
      </c>
      <c r="BG227" s="466">
        <f t="shared" si="120"/>
        <v>0</v>
      </c>
      <c r="BH227" s="464">
        <f t="shared" si="121"/>
        <v>0</v>
      </c>
      <c r="BI227" s="755">
        <f t="shared" si="122"/>
        <v>0</v>
      </c>
      <c r="BJ227" s="755">
        <f t="shared" si="135"/>
        <v>0</v>
      </c>
      <c r="BK227" s="333">
        <f>IF(OR($C227&lt;&gt;"Early Retirement",$H227=""),0,IF(AND($G227&lt;&gt;"Air Cooled Chiller",$G227&lt;&gt;"Water Cooled Chiller"),VLOOKUP($H227,'Early Retirement'!$CI$6:$CL$33,2,FALSE),IF($J227&lt;&gt;"Centrifugal",VLOOKUP($H227,'Early Retirement'!$CI$6:$CL$33,3,FALSE),IF($J227="Centrifugal",VLOOKUP($H227,'Early Retirement'!$CI$6:$CL$33,4,FALSE),""))))</f>
        <v>0</v>
      </c>
      <c r="BL227" s="450">
        <f t="shared" si="123"/>
        <v>0</v>
      </c>
      <c r="BM227" s="553">
        <f>IFERROR('Utility Admin'!$I$4*((1+'Utility Admin'!$G$4)/('Utility Admin'!$H$4-'Utility Admin'!$G$4))*(1-((1+'Utility Admin'!$G$4)/(1+'Utility Admin'!$H$4))^$BK227)*$BG227,0)</f>
        <v>0</v>
      </c>
      <c r="BN227" s="553">
        <f>IFERROR('Utility Admin'!$I$4*((1+'Utility Admin'!$G$4)/('Utility Admin'!$H$4-'Utility Admin'!$G$4))*(1-((1+'Utility Admin'!$G$4)/(1+'Utility Admin'!$H$4))^$BL227)*((1+'Utility Admin'!$G$4)^$BK227/(1+'Utility Admin'!$H$4)^$BK227)*$BC227,0)</f>
        <v>0</v>
      </c>
      <c r="BO227" s="553">
        <f t="shared" si="27"/>
        <v>0</v>
      </c>
      <c r="BP227" s="553">
        <f>IFERROR('Utility Admin'!$J$4*((1+'Utility Admin'!$G$4)/('Utility Admin'!$H$4-'Utility Admin'!$G$4))*(1-((1+'Utility Admin'!$G$4)/(1+'Utility Admin'!$H$4))^$BK227)*$BJ227,0)</f>
        <v>0</v>
      </c>
      <c r="BQ227" s="553">
        <f>IFERROR('Utility Admin'!$J$4*((1+'Utility Admin'!$G$4)/('Utility Admin'!$H$4-'Utility Admin'!$G$4))*(1-((1+'Utility Admin'!$G$4)/(1+'Utility Admin'!$H$4))^$BL227)*((1+'Utility Admin'!$G$4)^$BK227/(1+'Utility Admin'!$H$4)^$BK227)*$BF227,0)</f>
        <v>0</v>
      </c>
      <c r="BR227" s="553">
        <f t="shared" si="28"/>
        <v>0</v>
      </c>
      <c r="BS227" s="553">
        <f>IFERROR('Utility Admin'!$I$4*((1+'Utility Admin'!$G$4)/('Utility Admin'!$H$4-'Utility Admin'!$G$4))*(1-((1+'Utility Admin'!$G$4)/(1+'Utility Admin'!$H$4))^$AT227),0)</f>
        <v>0</v>
      </c>
      <c r="BT227" s="553">
        <f>IFERROR('Utility Admin'!$J$4*((1+'Utility Admin'!$G$4)/('Utility Admin'!$H$4-'Utility Admin'!$G$4))*(1-((1+'Utility Admin'!$G$4)/(1+'Utility Admin'!$H$4))^$AT227),0)</f>
        <v>0</v>
      </c>
      <c r="BU227" s="459">
        <f t="shared" si="136"/>
        <v>0</v>
      </c>
      <c r="BV227" s="462">
        <f t="shared" si="137"/>
        <v>0</v>
      </c>
      <c r="BW227" s="219" t="str">
        <f t="shared" si="124"/>
        <v/>
      </c>
      <c r="BX227" s="250" t="str">
        <f t="shared" si="138"/>
        <v/>
      </c>
      <c r="BY227" s="250" t="str">
        <f t="shared" si="125"/>
        <v/>
      </c>
      <c r="BZ227" s="184">
        <f t="shared" si="139"/>
        <v>0</v>
      </c>
      <c r="CA227" s="693">
        <f t="shared" si="140"/>
        <v>0</v>
      </c>
      <c r="CB227" s="836">
        <f t="shared" si="141"/>
        <v>0</v>
      </c>
      <c r="CC227" s="693">
        <f>IF(AND($C227="Early Retirement",$H227&lt;&gt;"",$R227&lt;&gt;"",$T227&lt;&gt;""),$BZ227,Baselines!$CJ220)</f>
        <v>0</v>
      </c>
      <c r="CD227" s="693">
        <f>IF(AND($C227="Early Retirement",$H227&lt;&gt;"",$R227&lt;&gt;"",$T227&lt;&gt;""),$CA227,Baselines!$CK220)</f>
        <v>0</v>
      </c>
      <c r="CE227" s="182" t="str">
        <f>Baselines!$CL220</f>
        <v>kW/ton</v>
      </c>
      <c r="CF227" s="850" t="str">
        <f t="shared" si="126"/>
        <v/>
      </c>
      <c r="CG227" s="833">
        <f>IF(AND($C227="Early Retirement",$H227&lt;&gt;"",$R227&lt;&gt;"",$T227&lt;&gt;""),$CB227,IF(AND(Baselines!$CM220=0,OR($CL227="DX HP",$CL227="PTHP")),$BB227,Baselines!$CM220))</f>
        <v>0</v>
      </c>
      <c r="CH227" s="830" t="s">
        <v>567</v>
      </c>
      <c r="CI227" s="185" t="str">
        <f>IF(OR($C227="Replace-on-Burnout",$C227="New Construction"),$CT227,IF($BW227="","",VLOOKUP($D227,'Factor Tables'!$B$165:$H$192,MATCH($BW227,'Factor Tables'!$B$164:$H$164,0),FALSE)))</f>
        <v/>
      </c>
      <c r="CJ227" s="842" t="str">
        <f>IF(OR($C227="Replace-on-Burnout",$C227="New Construction"),$CU227,IF($BW227="","",IF($BW227="DX HP",VLOOKUP($D227,'Factor Tables'!$I$165:$Q$192,MATCH("DX HP Clg",'Factor Tables'!$I$164:$Q$164,0),FALSE),IF($BW227="PTHP",VLOOKUP($D227,'Factor Tables'!$I$165:$Q$192,MATCH("PTHP Clg",'Factor Tables'!$I$164:$Q$164,0),FALSE),IF(AND($BW227&lt;&gt;"DX HP",$BW227&lt;&gt;"PTHP"),VLOOKUP($D227,'Factor Tables'!$I$165:$Q$192,MATCH($BW227,'Factor Tables'!$I$164:$Q$164,0),FALSE),"")))))</f>
        <v/>
      </c>
      <c r="CK227" s="186" t="str">
        <f>IF(OR($C227="Replace-on-Burnout",$C227="New Construction",$CL227="DX HP",$CL227="PTHP"),$CV227,IF($BW227="","",IF($BW227="DX HP",VLOOKUP($D227,'Factor Tables'!$I$165:$Q$192,MATCH("DX HP Htg",'Factor Tables'!$I$164:$Q$164,0),FALSE),IF($BW227="PTHP",VLOOKUP($D227,'Factor Tables'!$I$165:$Q$192,MATCH("PTHP Htg",'Factor Tables'!$I$164:$Q$164,0),FALSE),0))))</f>
        <v/>
      </c>
      <c r="CL227" s="187" t="str">
        <f t="shared" si="127"/>
        <v/>
      </c>
      <c r="CM227" s="251" t="str">
        <f t="shared" si="128"/>
        <v/>
      </c>
      <c r="CN227" s="184">
        <f t="shared" si="142"/>
        <v>0</v>
      </c>
      <c r="CO227" s="693">
        <f t="shared" si="143"/>
        <v>0</v>
      </c>
      <c r="CP227" s="182" t="s">
        <v>46</v>
      </c>
      <c r="CQ227" s="852" t="str">
        <f t="shared" si="144"/>
        <v/>
      </c>
      <c r="CR227" s="833">
        <f t="shared" si="145"/>
        <v>0</v>
      </c>
      <c r="CS227" s="830" t="s">
        <v>567</v>
      </c>
      <c r="CT227" s="185" t="str">
        <f>IF($CL227="","",VLOOKUP($D227,'Factor Tables'!$B$165:$H$192,MATCH($CL227,'Factor Tables'!$B$164:$H$164,0),FALSE))</f>
        <v/>
      </c>
      <c r="CU227" s="842" t="str">
        <f>IF($CL227="","",IF(AND($CL227&lt;&gt;"DX HP",$CL227&lt;&gt;"PTHP"),VLOOKUP($D227,'Factor Tables'!$I$165:$Q$192,MATCH($CL227,'Factor Tables'!$I$164:$Q$164,0),FALSE),IF($CL227="DX HP",VLOOKUP($D227,'Factor Tables'!$I$165:$Q$192,MATCH("DX HP Clg",'Factor Tables'!$I$164:$Q$164,0),FALSE),IF($CL227="PTHP",VLOOKUP($D227,'Factor Tables'!$I$165:$Q$192,MATCH("PTHP Clg",'Factor Tables'!$I$164:$Q$164,0),FALSE),""))))</f>
        <v/>
      </c>
      <c r="CV227" s="186" t="str">
        <f>IF($CL227="","",IF(AND($CL227&lt;&gt;"DX HP",$CL227&lt;&gt;"PTHP"),0,IF($CL227="DX HP",VLOOKUP($D227,'Factor Tables'!$I$165:$Q$192,MATCH("DX HP Htg",'Factor Tables'!$I$164:$Q$164,0),FALSE),IF($CL227="PTHP",VLOOKUP($D227,'Factor Tables'!$I$165:$Q$192,MATCH("PTHP Htg",'Factor Tables'!$I$164:$Q$164,0),FALSE),""))))</f>
        <v/>
      </c>
      <c r="DD227" s="196" t="str">
        <f>IF(OR('Project Info'!$D$8="",$C67="",$D67=""),"",IF('Project Info'!$D$8="Weather Zone 5: El Paso",VLOOKUP($D67,$DI$9:$DL$37,MATCH($C67,$DI$9:$DL$9,0),FALSE),VLOOKUP($D67,$DE$9:$DH$37,MATCH($C67,$DE$9:$DH$9,0),FALSE)))</f>
        <v/>
      </c>
      <c r="DE227" s="426"/>
      <c r="DI227" s="425"/>
      <c r="DJ227" s="425"/>
      <c r="DK227" s="425"/>
      <c r="DL227" s="425"/>
      <c r="DM227" s="493" t="s">
        <v>478</v>
      </c>
    </row>
    <row r="228" spans="2:117" s="427" customFormat="1" ht="21.95" customHeight="1" x14ac:dyDescent="0.25">
      <c r="B228" s="431">
        <v>219</v>
      </c>
      <c r="C228" s="501" t="str">
        <f t="shared" si="129"/>
        <v/>
      </c>
      <c r="D228" s="502" t="str">
        <f t="shared" si="130"/>
        <v/>
      </c>
      <c r="E228" s="546"/>
      <c r="F228" s="547"/>
      <c r="G228" s="729"/>
      <c r="H228" s="729"/>
      <c r="I228" s="729"/>
      <c r="J228" s="729"/>
      <c r="K228" s="729"/>
      <c r="L228" s="729"/>
      <c r="M228" s="765"/>
      <c r="N228" s="758"/>
      <c r="O228" s="765"/>
      <c r="P228" s="758"/>
      <c r="Q228" s="1143"/>
      <c r="R228" s="1134"/>
      <c r="S228" s="775"/>
      <c r="T228" s="729"/>
      <c r="U228" s="775"/>
      <c r="V228" s="779"/>
      <c r="W228" s="557"/>
      <c r="X228" s="788"/>
      <c r="Y228" s="543"/>
      <c r="Z228" s="281"/>
      <c r="AA228" s="281"/>
      <c r="AB228" s="281"/>
      <c r="AC228" s="281"/>
      <c r="AD228" s="492"/>
      <c r="AE228" s="527">
        <f t="shared" si="39"/>
        <v>0</v>
      </c>
      <c r="AF228" s="527">
        <f t="shared" si="131"/>
        <v>0</v>
      </c>
      <c r="AG228" s="527">
        <f t="shared" si="111"/>
        <v>0</v>
      </c>
      <c r="AH228" s="527">
        <f t="shared" si="112"/>
        <v>0</v>
      </c>
      <c r="AI228" s="527">
        <f t="shared" si="113"/>
        <v>0</v>
      </c>
      <c r="AJ228" s="527">
        <f t="shared" si="114"/>
        <v>999999999</v>
      </c>
      <c r="AK228" s="471"/>
      <c r="AL228" s="765"/>
      <c r="AM228" s="758"/>
      <c r="AN228" s="281"/>
      <c r="AO228" s="775"/>
      <c r="AP228" s="775"/>
      <c r="AQ228" s="281"/>
      <c r="AR228" s="528"/>
      <c r="AS228" s="532"/>
      <c r="AT228" s="524" t="str">
        <f t="shared" si="115"/>
        <v/>
      </c>
      <c r="AU228" s="311">
        <f t="shared" si="116"/>
        <v>0</v>
      </c>
      <c r="AV228" s="288">
        <f t="shared" si="132"/>
        <v>0</v>
      </c>
      <c r="AW228" s="290">
        <f>IF(ISERROR($AU228*'Utility Admin'!$E$4+$AV228*'Utility Admin'!$F$4),0,$AU228*'Utility Admin'!$E$4+$AV228*'Utility Admin'!$F$4)</f>
        <v>0</v>
      </c>
      <c r="AX228" s="323" t="str">
        <f t="shared" si="117"/>
        <v/>
      </c>
      <c r="AY228" s="322" t="str">
        <f t="shared" si="23"/>
        <v/>
      </c>
      <c r="AZ228" s="319">
        <f>Baselines!$CJ472</f>
        <v>0</v>
      </c>
      <c r="BA228" s="735">
        <f>Baselines!$CK472</f>
        <v>0</v>
      </c>
      <c r="BB228" s="839">
        <f>Baselines!$CM472</f>
        <v>0</v>
      </c>
      <c r="BC228" s="466">
        <f t="shared" si="118"/>
        <v>0</v>
      </c>
      <c r="BD228" s="464">
        <f t="shared" si="133"/>
        <v>0</v>
      </c>
      <c r="BE228" s="755">
        <f t="shared" si="119"/>
        <v>0</v>
      </c>
      <c r="BF228" s="755">
        <f t="shared" si="134"/>
        <v>0</v>
      </c>
      <c r="BG228" s="466">
        <f t="shared" si="120"/>
        <v>0</v>
      </c>
      <c r="BH228" s="464">
        <f t="shared" si="121"/>
        <v>0</v>
      </c>
      <c r="BI228" s="755">
        <f t="shared" si="122"/>
        <v>0</v>
      </c>
      <c r="BJ228" s="755">
        <f t="shared" si="135"/>
        <v>0</v>
      </c>
      <c r="BK228" s="333">
        <f>IF(OR($C228&lt;&gt;"Early Retirement",$H228=""),0,IF(AND($G228&lt;&gt;"Air Cooled Chiller",$G228&lt;&gt;"Water Cooled Chiller"),VLOOKUP($H228,'Early Retirement'!$CI$6:$CL$33,2,FALSE),IF($J228&lt;&gt;"Centrifugal",VLOOKUP($H228,'Early Retirement'!$CI$6:$CL$33,3,FALSE),IF($J228="Centrifugal",VLOOKUP($H228,'Early Retirement'!$CI$6:$CL$33,4,FALSE),""))))</f>
        <v>0</v>
      </c>
      <c r="BL228" s="450">
        <f t="shared" si="123"/>
        <v>0</v>
      </c>
      <c r="BM228" s="553">
        <f>IFERROR('Utility Admin'!$I$4*((1+'Utility Admin'!$G$4)/('Utility Admin'!$H$4-'Utility Admin'!$G$4))*(1-((1+'Utility Admin'!$G$4)/(1+'Utility Admin'!$H$4))^$BK228)*$BG228,0)</f>
        <v>0</v>
      </c>
      <c r="BN228" s="553">
        <f>IFERROR('Utility Admin'!$I$4*((1+'Utility Admin'!$G$4)/('Utility Admin'!$H$4-'Utility Admin'!$G$4))*(1-((1+'Utility Admin'!$G$4)/(1+'Utility Admin'!$H$4))^$BL228)*((1+'Utility Admin'!$G$4)^$BK228/(1+'Utility Admin'!$H$4)^$BK228)*$BC228,0)</f>
        <v>0</v>
      </c>
      <c r="BO228" s="553">
        <f t="shared" si="27"/>
        <v>0</v>
      </c>
      <c r="BP228" s="553">
        <f>IFERROR('Utility Admin'!$J$4*((1+'Utility Admin'!$G$4)/('Utility Admin'!$H$4-'Utility Admin'!$G$4))*(1-((1+'Utility Admin'!$G$4)/(1+'Utility Admin'!$H$4))^$BK228)*$BJ228,0)</f>
        <v>0</v>
      </c>
      <c r="BQ228" s="553">
        <f>IFERROR('Utility Admin'!$J$4*((1+'Utility Admin'!$G$4)/('Utility Admin'!$H$4-'Utility Admin'!$G$4))*(1-((1+'Utility Admin'!$G$4)/(1+'Utility Admin'!$H$4))^$BL228)*((1+'Utility Admin'!$G$4)^$BK228/(1+'Utility Admin'!$H$4)^$BK228)*$BF228,0)</f>
        <v>0</v>
      </c>
      <c r="BR228" s="553">
        <f t="shared" si="28"/>
        <v>0</v>
      </c>
      <c r="BS228" s="553">
        <f>IFERROR('Utility Admin'!$I$4*((1+'Utility Admin'!$G$4)/('Utility Admin'!$H$4-'Utility Admin'!$G$4))*(1-((1+'Utility Admin'!$G$4)/(1+'Utility Admin'!$H$4))^$AT228),0)</f>
        <v>0</v>
      </c>
      <c r="BT228" s="553">
        <f>IFERROR('Utility Admin'!$J$4*((1+'Utility Admin'!$G$4)/('Utility Admin'!$H$4-'Utility Admin'!$G$4))*(1-((1+'Utility Admin'!$G$4)/(1+'Utility Admin'!$H$4))^$AT228),0)</f>
        <v>0</v>
      </c>
      <c r="BU228" s="459">
        <f t="shared" si="136"/>
        <v>0</v>
      </c>
      <c r="BV228" s="462">
        <f t="shared" si="137"/>
        <v>0</v>
      </c>
      <c r="BW228" s="219" t="str">
        <f t="shared" si="124"/>
        <v/>
      </c>
      <c r="BX228" s="250" t="str">
        <f t="shared" si="138"/>
        <v/>
      </c>
      <c r="BY228" s="250" t="str">
        <f t="shared" si="125"/>
        <v/>
      </c>
      <c r="BZ228" s="184">
        <f t="shared" si="139"/>
        <v>0</v>
      </c>
      <c r="CA228" s="693">
        <f t="shared" si="140"/>
        <v>0</v>
      </c>
      <c r="CB228" s="836">
        <f t="shared" si="141"/>
        <v>0</v>
      </c>
      <c r="CC228" s="693">
        <f>IF(AND($C228="Early Retirement",$H228&lt;&gt;"",$R228&lt;&gt;"",$T228&lt;&gt;""),$BZ228,Baselines!$CJ221)</f>
        <v>0</v>
      </c>
      <c r="CD228" s="693">
        <f>IF(AND($C228="Early Retirement",$H228&lt;&gt;"",$R228&lt;&gt;"",$T228&lt;&gt;""),$CA228,Baselines!$CK221)</f>
        <v>0</v>
      </c>
      <c r="CE228" s="182" t="str">
        <f>Baselines!$CL221</f>
        <v>kW/ton</v>
      </c>
      <c r="CF228" s="850" t="str">
        <f t="shared" si="126"/>
        <v/>
      </c>
      <c r="CG228" s="833">
        <f>IF(AND($C228="Early Retirement",$H228&lt;&gt;"",$R228&lt;&gt;"",$T228&lt;&gt;""),$CB228,IF(AND(Baselines!$CM221=0,OR($CL228="DX HP",$CL228="PTHP")),$BB228,Baselines!$CM221))</f>
        <v>0</v>
      </c>
      <c r="CH228" s="830" t="s">
        <v>567</v>
      </c>
      <c r="CI228" s="185" t="str">
        <f>IF(OR($C228="Replace-on-Burnout",$C228="New Construction"),$CT228,IF($BW228="","",VLOOKUP($D228,'Factor Tables'!$B$165:$H$192,MATCH($BW228,'Factor Tables'!$B$164:$H$164,0),FALSE)))</f>
        <v/>
      </c>
      <c r="CJ228" s="842" t="str">
        <f>IF(OR($C228="Replace-on-Burnout",$C228="New Construction"),$CU228,IF($BW228="","",IF($BW228="DX HP",VLOOKUP($D228,'Factor Tables'!$I$165:$Q$192,MATCH("DX HP Clg",'Factor Tables'!$I$164:$Q$164,0),FALSE),IF($BW228="PTHP",VLOOKUP($D228,'Factor Tables'!$I$165:$Q$192,MATCH("PTHP Clg",'Factor Tables'!$I$164:$Q$164,0),FALSE),IF(AND($BW228&lt;&gt;"DX HP",$BW228&lt;&gt;"PTHP"),VLOOKUP($D228,'Factor Tables'!$I$165:$Q$192,MATCH($BW228,'Factor Tables'!$I$164:$Q$164,0),FALSE),"")))))</f>
        <v/>
      </c>
      <c r="CK228" s="186" t="str">
        <f>IF(OR($C228="Replace-on-Burnout",$C228="New Construction",$CL228="DX HP",$CL228="PTHP"),$CV228,IF($BW228="","",IF($BW228="DX HP",VLOOKUP($D228,'Factor Tables'!$I$165:$Q$192,MATCH("DX HP Htg",'Factor Tables'!$I$164:$Q$164,0),FALSE),IF($BW228="PTHP",VLOOKUP($D228,'Factor Tables'!$I$165:$Q$192,MATCH("PTHP Htg",'Factor Tables'!$I$164:$Q$164,0),FALSE),0))))</f>
        <v/>
      </c>
      <c r="CL228" s="187" t="str">
        <f t="shared" si="127"/>
        <v/>
      </c>
      <c r="CM228" s="251" t="str">
        <f t="shared" si="128"/>
        <v/>
      </c>
      <c r="CN228" s="184">
        <f t="shared" si="142"/>
        <v>0</v>
      </c>
      <c r="CO228" s="693">
        <f t="shared" si="143"/>
        <v>0</v>
      </c>
      <c r="CP228" s="182" t="s">
        <v>46</v>
      </c>
      <c r="CQ228" s="852" t="str">
        <f t="shared" si="144"/>
        <v/>
      </c>
      <c r="CR228" s="833">
        <f t="shared" si="145"/>
        <v>0</v>
      </c>
      <c r="CS228" s="830" t="s">
        <v>567</v>
      </c>
      <c r="CT228" s="185" t="str">
        <f>IF($CL228="","",VLOOKUP($D228,'Factor Tables'!$B$165:$H$192,MATCH($CL228,'Factor Tables'!$B$164:$H$164,0),FALSE))</f>
        <v/>
      </c>
      <c r="CU228" s="842" t="str">
        <f>IF($CL228="","",IF(AND($CL228&lt;&gt;"DX HP",$CL228&lt;&gt;"PTHP"),VLOOKUP($D228,'Factor Tables'!$I$165:$Q$192,MATCH($CL228,'Factor Tables'!$I$164:$Q$164,0),FALSE),IF($CL228="DX HP",VLOOKUP($D228,'Factor Tables'!$I$165:$Q$192,MATCH("DX HP Clg",'Factor Tables'!$I$164:$Q$164,0),FALSE),IF($CL228="PTHP",VLOOKUP($D228,'Factor Tables'!$I$165:$Q$192,MATCH("PTHP Clg",'Factor Tables'!$I$164:$Q$164,0),FALSE),""))))</f>
        <v/>
      </c>
      <c r="CV228" s="186" t="str">
        <f>IF($CL228="","",IF(AND($CL228&lt;&gt;"DX HP",$CL228&lt;&gt;"PTHP"),0,IF($CL228="DX HP",VLOOKUP($D228,'Factor Tables'!$I$165:$Q$192,MATCH("DX HP Htg",'Factor Tables'!$I$164:$Q$164,0),FALSE),IF($CL228="PTHP",VLOOKUP($D228,'Factor Tables'!$I$165:$Q$192,MATCH("PTHP Htg",'Factor Tables'!$I$164:$Q$164,0),FALSE),""))))</f>
        <v/>
      </c>
      <c r="DD228" s="196" t="str">
        <f>IF(OR('Project Info'!$D$8="",$C68="",$D68=""),"",IF('Project Info'!$D$8="Weather Zone 5: El Paso",VLOOKUP($D68,$DI$9:$DL$37,MATCH($C68,$DI$9:$DL$9,0),FALSE),VLOOKUP($D68,$DE$9:$DH$37,MATCH($C68,$DE$9:$DH$9,0),FALSE)))</f>
        <v/>
      </c>
      <c r="DE228" s="426"/>
      <c r="DI228" s="425"/>
      <c r="DJ228" s="425"/>
      <c r="DK228" s="425"/>
      <c r="DL228" s="425"/>
      <c r="DM228" s="493" t="s">
        <v>478</v>
      </c>
    </row>
    <row r="229" spans="2:117" s="427" customFormat="1" ht="21.95" customHeight="1" x14ac:dyDescent="0.25">
      <c r="B229" s="432">
        <v>220</v>
      </c>
      <c r="C229" s="499" t="str">
        <f t="shared" si="129"/>
        <v/>
      </c>
      <c r="D229" s="403" t="str">
        <f t="shared" si="130"/>
        <v/>
      </c>
      <c r="E229" s="541"/>
      <c r="F229" s="785"/>
      <c r="G229" s="728"/>
      <c r="H229" s="728"/>
      <c r="I229" s="728"/>
      <c r="J229" s="728"/>
      <c r="K229" s="728"/>
      <c r="L229" s="728"/>
      <c r="M229" s="764"/>
      <c r="N229" s="728"/>
      <c r="O229" s="764"/>
      <c r="P229" s="728"/>
      <c r="Q229" s="1142"/>
      <c r="R229" s="1133"/>
      <c r="S229" s="778"/>
      <c r="T229" s="767"/>
      <c r="U229" s="778"/>
      <c r="V229" s="751"/>
      <c r="W229" s="556"/>
      <c r="X229" s="785"/>
      <c r="Y229" s="542"/>
      <c r="Z229" s="500"/>
      <c r="AA229" s="500"/>
      <c r="AB229" s="500"/>
      <c r="AC229" s="500"/>
      <c r="AD229" s="529"/>
      <c r="AE229" s="527">
        <f t="shared" si="39"/>
        <v>0</v>
      </c>
      <c r="AF229" s="527">
        <f t="shared" si="131"/>
        <v>0</v>
      </c>
      <c r="AG229" s="527">
        <f t="shared" si="111"/>
        <v>0</v>
      </c>
      <c r="AH229" s="527">
        <f t="shared" si="112"/>
        <v>0</v>
      </c>
      <c r="AI229" s="527">
        <f t="shared" si="113"/>
        <v>0</v>
      </c>
      <c r="AJ229" s="527">
        <f t="shared" si="114"/>
        <v>999999999</v>
      </c>
      <c r="AK229" s="530"/>
      <c r="AL229" s="776"/>
      <c r="AM229" s="777"/>
      <c r="AN229" s="500"/>
      <c r="AO229" s="778"/>
      <c r="AP229" s="778"/>
      <c r="AQ229" s="500"/>
      <c r="AR229" s="531"/>
      <c r="AS229" s="403"/>
      <c r="AT229" s="524" t="str">
        <f t="shared" si="115"/>
        <v/>
      </c>
      <c r="AU229" s="311">
        <f t="shared" si="116"/>
        <v>0</v>
      </c>
      <c r="AV229" s="288">
        <f t="shared" si="132"/>
        <v>0</v>
      </c>
      <c r="AW229" s="290">
        <f>IF(ISERROR($AU229*'Utility Admin'!$E$4+$AV229*'Utility Admin'!$F$4),0,$AU229*'Utility Admin'!$E$4+$AV229*'Utility Admin'!$F$4)</f>
        <v>0</v>
      </c>
      <c r="AX229" s="323" t="str">
        <f t="shared" si="117"/>
        <v/>
      </c>
      <c r="AY229" s="322" t="str">
        <f t="shared" si="23"/>
        <v/>
      </c>
      <c r="AZ229" s="319">
        <f>Baselines!$CJ473</f>
        <v>0</v>
      </c>
      <c r="BA229" s="735">
        <f>Baselines!$CK473</f>
        <v>0</v>
      </c>
      <c r="BB229" s="839">
        <f>Baselines!$CM473</f>
        <v>0</v>
      </c>
      <c r="BC229" s="466">
        <f t="shared" si="118"/>
        <v>0</v>
      </c>
      <c r="BD229" s="464">
        <f t="shared" si="133"/>
        <v>0</v>
      </c>
      <c r="BE229" s="755">
        <f t="shared" si="119"/>
        <v>0</v>
      </c>
      <c r="BF229" s="755">
        <f t="shared" si="134"/>
        <v>0</v>
      </c>
      <c r="BG229" s="466">
        <f t="shared" si="120"/>
        <v>0</v>
      </c>
      <c r="BH229" s="464">
        <f t="shared" si="121"/>
        <v>0</v>
      </c>
      <c r="BI229" s="755">
        <f t="shared" si="122"/>
        <v>0</v>
      </c>
      <c r="BJ229" s="755">
        <f t="shared" si="135"/>
        <v>0</v>
      </c>
      <c r="BK229" s="333">
        <f>IF(OR($C229&lt;&gt;"Early Retirement",$H229=""),0,IF(AND($G229&lt;&gt;"Air Cooled Chiller",$G229&lt;&gt;"Water Cooled Chiller"),VLOOKUP($H229,'Early Retirement'!$CI$6:$CL$33,2,FALSE),IF($J229&lt;&gt;"Centrifugal",VLOOKUP($H229,'Early Retirement'!$CI$6:$CL$33,3,FALSE),IF($J229="Centrifugal",VLOOKUP($H229,'Early Retirement'!$CI$6:$CL$33,4,FALSE),""))))</f>
        <v>0</v>
      </c>
      <c r="BL229" s="450">
        <f t="shared" si="123"/>
        <v>0</v>
      </c>
      <c r="BM229" s="553">
        <f>IFERROR('Utility Admin'!$I$4*((1+'Utility Admin'!$G$4)/('Utility Admin'!$H$4-'Utility Admin'!$G$4))*(1-((1+'Utility Admin'!$G$4)/(1+'Utility Admin'!$H$4))^$BK229)*$BG229,0)</f>
        <v>0</v>
      </c>
      <c r="BN229" s="553">
        <f>IFERROR('Utility Admin'!$I$4*((1+'Utility Admin'!$G$4)/('Utility Admin'!$H$4-'Utility Admin'!$G$4))*(1-((1+'Utility Admin'!$G$4)/(1+'Utility Admin'!$H$4))^$BL229)*((1+'Utility Admin'!$G$4)^$BK229/(1+'Utility Admin'!$H$4)^$BK229)*$BC229,0)</f>
        <v>0</v>
      </c>
      <c r="BO229" s="553">
        <f t="shared" si="27"/>
        <v>0</v>
      </c>
      <c r="BP229" s="553">
        <f>IFERROR('Utility Admin'!$J$4*((1+'Utility Admin'!$G$4)/('Utility Admin'!$H$4-'Utility Admin'!$G$4))*(1-((1+'Utility Admin'!$G$4)/(1+'Utility Admin'!$H$4))^$BK229)*$BJ229,0)</f>
        <v>0</v>
      </c>
      <c r="BQ229" s="553">
        <f>IFERROR('Utility Admin'!$J$4*((1+'Utility Admin'!$G$4)/('Utility Admin'!$H$4-'Utility Admin'!$G$4))*(1-((1+'Utility Admin'!$G$4)/(1+'Utility Admin'!$H$4))^$BL229)*((1+'Utility Admin'!$G$4)^$BK229/(1+'Utility Admin'!$H$4)^$BK229)*$BF229,0)</f>
        <v>0</v>
      </c>
      <c r="BR229" s="553">
        <f t="shared" si="28"/>
        <v>0</v>
      </c>
      <c r="BS229" s="553">
        <f>IFERROR('Utility Admin'!$I$4*((1+'Utility Admin'!$G$4)/('Utility Admin'!$H$4-'Utility Admin'!$G$4))*(1-((1+'Utility Admin'!$G$4)/(1+'Utility Admin'!$H$4))^$AT229),0)</f>
        <v>0</v>
      </c>
      <c r="BT229" s="553">
        <f>IFERROR('Utility Admin'!$J$4*((1+'Utility Admin'!$G$4)/('Utility Admin'!$H$4-'Utility Admin'!$G$4))*(1-((1+'Utility Admin'!$G$4)/(1+'Utility Admin'!$H$4))^$AT229),0)</f>
        <v>0</v>
      </c>
      <c r="BU229" s="459">
        <f t="shared" si="136"/>
        <v>0</v>
      </c>
      <c r="BV229" s="462">
        <f t="shared" si="137"/>
        <v>0</v>
      </c>
      <c r="BW229" s="219" t="str">
        <f t="shared" si="124"/>
        <v/>
      </c>
      <c r="BX229" s="250" t="str">
        <f t="shared" si="138"/>
        <v/>
      </c>
      <c r="BY229" s="250" t="str">
        <f t="shared" si="125"/>
        <v/>
      </c>
      <c r="BZ229" s="184">
        <f t="shared" si="139"/>
        <v>0</v>
      </c>
      <c r="CA229" s="693">
        <f t="shared" si="140"/>
        <v>0</v>
      </c>
      <c r="CB229" s="836">
        <f t="shared" si="141"/>
        <v>0</v>
      </c>
      <c r="CC229" s="693">
        <f>IF(AND($C229="Early Retirement",$H229&lt;&gt;"",$R229&lt;&gt;"",$T229&lt;&gt;""),$BZ229,Baselines!$CJ222)</f>
        <v>0</v>
      </c>
      <c r="CD229" s="693">
        <f>IF(AND($C229="Early Retirement",$H229&lt;&gt;"",$R229&lt;&gt;"",$T229&lt;&gt;""),$CA229,Baselines!$CK222)</f>
        <v>0</v>
      </c>
      <c r="CE229" s="182" t="str">
        <f>Baselines!$CL222</f>
        <v>kW/ton</v>
      </c>
      <c r="CF229" s="850" t="str">
        <f t="shared" si="126"/>
        <v/>
      </c>
      <c r="CG229" s="833">
        <f>IF(AND($C229="Early Retirement",$H229&lt;&gt;"",$R229&lt;&gt;"",$T229&lt;&gt;""),$CB229,IF(AND(Baselines!$CM222=0,OR($CL229="DX HP",$CL229="PTHP")),$BB229,Baselines!$CM222))</f>
        <v>0</v>
      </c>
      <c r="CH229" s="830" t="s">
        <v>567</v>
      </c>
      <c r="CI229" s="185" t="str">
        <f>IF(OR($C229="Replace-on-Burnout",$C229="New Construction"),$CT229,IF($BW229="","",VLOOKUP($D229,'Factor Tables'!$B$165:$H$192,MATCH($BW229,'Factor Tables'!$B$164:$H$164,0),FALSE)))</f>
        <v/>
      </c>
      <c r="CJ229" s="842" t="str">
        <f>IF(OR($C229="Replace-on-Burnout",$C229="New Construction"),$CU229,IF($BW229="","",IF($BW229="DX HP",VLOOKUP($D229,'Factor Tables'!$I$165:$Q$192,MATCH("DX HP Clg",'Factor Tables'!$I$164:$Q$164,0),FALSE),IF($BW229="PTHP",VLOOKUP($D229,'Factor Tables'!$I$165:$Q$192,MATCH("PTHP Clg",'Factor Tables'!$I$164:$Q$164,0),FALSE),IF(AND($BW229&lt;&gt;"DX HP",$BW229&lt;&gt;"PTHP"),VLOOKUP($D229,'Factor Tables'!$I$165:$Q$192,MATCH($BW229,'Factor Tables'!$I$164:$Q$164,0),FALSE),"")))))</f>
        <v/>
      </c>
      <c r="CK229" s="186" t="str">
        <f>IF(OR($C229="Replace-on-Burnout",$C229="New Construction",$CL229="DX HP",$CL229="PTHP"),$CV229,IF($BW229="","",IF($BW229="DX HP",VLOOKUP($D229,'Factor Tables'!$I$165:$Q$192,MATCH("DX HP Htg",'Factor Tables'!$I$164:$Q$164,0),FALSE),IF($BW229="PTHP",VLOOKUP($D229,'Factor Tables'!$I$165:$Q$192,MATCH("PTHP Htg",'Factor Tables'!$I$164:$Q$164,0),FALSE),0))))</f>
        <v/>
      </c>
      <c r="CL229" s="187" t="str">
        <f t="shared" si="127"/>
        <v/>
      </c>
      <c r="CM229" s="251" t="str">
        <f t="shared" si="128"/>
        <v/>
      </c>
      <c r="CN229" s="184">
        <f t="shared" si="142"/>
        <v>0</v>
      </c>
      <c r="CO229" s="693">
        <f t="shared" si="143"/>
        <v>0</v>
      </c>
      <c r="CP229" s="182" t="s">
        <v>46</v>
      </c>
      <c r="CQ229" s="852" t="str">
        <f t="shared" si="144"/>
        <v/>
      </c>
      <c r="CR229" s="833">
        <f t="shared" si="145"/>
        <v>0</v>
      </c>
      <c r="CS229" s="830" t="s">
        <v>567</v>
      </c>
      <c r="CT229" s="185" t="str">
        <f>IF($CL229="","",VLOOKUP($D229,'Factor Tables'!$B$165:$H$192,MATCH($CL229,'Factor Tables'!$B$164:$H$164,0),FALSE))</f>
        <v/>
      </c>
      <c r="CU229" s="842" t="str">
        <f>IF($CL229="","",IF(AND($CL229&lt;&gt;"DX HP",$CL229&lt;&gt;"PTHP"),VLOOKUP($D229,'Factor Tables'!$I$165:$Q$192,MATCH($CL229,'Factor Tables'!$I$164:$Q$164,0),FALSE),IF($CL229="DX HP",VLOOKUP($D229,'Factor Tables'!$I$165:$Q$192,MATCH("DX HP Clg",'Factor Tables'!$I$164:$Q$164,0),FALSE),IF($CL229="PTHP",VLOOKUP($D229,'Factor Tables'!$I$165:$Q$192,MATCH("PTHP Clg",'Factor Tables'!$I$164:$Q$164,0),FALSE),""))))</f>
        <v/>
      </c>
      <c r="CV229" s="186" t="str">
        <f>IF($CL229="","",IF(AND($CL229&lt;&gt;"DX HP",$CL229&lt;&gt;"PTHP"),0,IF($CL229="DX HP",VLOOKUP($D229,'Factor Tables'!$I$165:$Q$192,MATCH("DX HP Htg",'Factor Tables'!$I$164:$Q$164,0),FALSE),IF($CL229="PTHP",VLOOKUP($D229,'Factor Tables'!$I$165:$Q$192,MATCH("PTHP Htg",'Factor Tables'!$I$164:$Q$164,0),FALSE),""))))</f>
        <v/>
      </c>
      <c r="DD229" s="196" t="str">
        <f>IF(OR('Project Info'!$D$8="",$C69="",$D69=""),"",IF('Project Info'!$D$8="Weather Zone 5: El Paso",VLOOKUP($D69,$DI$9:$DL$37,MATCH($C69,$DI$9:$DL$9,0),FALSE),VLOOKUP($D69,$DE$9:$DH$37,MATCH($C69,$DE$9:$DH$9,0),FALSE)))</f>
        <v/>
      </c>
      <c r="DE229" s="426"/>
      <c r="DI229" s="425"/>
      <c r="DJ229" s="425"/>
      <c r="DK229" s="425"/>
      <c r="DL229" s="425"/>
      <c r="DM229" s="493" t="s">
        <v>478</v>
      </c>
    </row>
    <row r="230" spans="2:117" s="427" customFormat="1" ht="21.95" customHeight="1" x14ac:dyDescent="0.25">
      <c r="B230" s="431">
        <v>221</v>
      </c>
      <c r="C230" s="501" t="str">
        <f t="shared" si="129"/>
        <v/>
      </c>
      <c r="D230" s="502" t="str">
        <f t="shared" si="130"/>
        <v/>
      </c>
      <c r="E230" s="546"/>
      <c r="F230" s="547"/>
      <c r="G230" s="729"/>
      <c r="H230" s="729"/>
      <c r="I230" s="729"/>
      <c r="J230" s="729"/>
      <c r="K230" s="729"/>
      <c r="L230" s="729"/>
      <c r="M230" s="765"/>
      <c r="N230" s="758"/>
      <c r="O230" s="765"/>
      <c r="P230" s="758"/>
      <c r="Q230" s="1143"/>
      <c r="R230" s="1134"/>
      <c r="S230" s="775"/>
      <c r="T230" s="729"/>
      <c r="U230" s="775"/>
      <c r="V230" s="779"/>
      <c r="W230" s="557"/>
      <c r="X230" s="788"/>
      <c r="Y230" s="543"/>
      <c r="Z230" s="281"/>
      <c r="AA230" s="281"/>
      <c r="AB230" s="281"/>
      <c r="AC230" s="281"/>
      <c r="AD230" s="492"/>
      <c r="AE230" s="527">
        <f t="shared" si="39"/>
        <v>0</v>
      </c>
      <c r="AF230" s="527">
        <f t="shared" si="131"/>
        <v>0</v>
      </c>
      <c r="AG230" s="527">
        <f t="shared" si="111"/>
        <v>0</v>
      </c>
      <c r="AH230" s="527">
        <f t="shared" si="112"/>
        <v>0</v>
      </c>
      <c r="AI230" s="527">
        <f t="shared" si="113"/>
        <v>0</v>
      </c>
      <c r="AJ230" s="527">
        <f t="shared" si="114"/>
        <v>999999999</v>
      </c>
      <c r="AK230" s="471"/>
      <c r="AL230" s="765"/>
      <c r="AM230" s="758"/>
      <c r="AN230" s="281"/>
      <c r="AO230" s="775"/>
      <c r="AP230" s="775"/>
      <c r="AQ230" s="281"/>
      <c r="AR230" s="528"/>
      <c r="AS230" s="532"/>
      <c r="AT230" s="524" t="str">
        <f t="shared" si="115"/>
        <v/>
      </c>
      <c r="AU230" s="311">
        <f t="shared" si="116"/>
        <v>0</v>
      </c>
      <c r="AV230" s="288">
        <f t="shared" si="132"/>
        <v>0</v>
      </c>
      <c r="AW230" s="290">
        <f>IF(ISERROR($AU230*'Utility Admin'!$E$4+$AV230*'Utility Admin'!$F$4),0,$AU230*'Utility Admin'!$E$4+$AV230*'Utility Admin'!$F$4)</f>
        <v>0</v>
      </c>
      <c r="AX230" s="323" t="str">
        <f t="shared" si="117"/>
        <v/>
      </c>
      <c r="AY230" s="322" t="str">
        <f t="shared" si="23"/>
        <v/>
      </c>
      <c r="AZ230" s="319">
        <f>Baselines!$CJ474</f>
        <v>0</v>
      </c>
      <c r="BA230" s="735">
        <f>Baselines!$CK474</f>
        <v>0</v>
      </c>
      <c r="BB230" s="839">
        <f>Baselines!$CM474</f>
        <v>0</v>
      </c>
      <c r="BC230" s="466">
        <f t="shared" si="118"/>
        <v>0</v>
      </c>
      <c r="BD230" s="464">
        <f t="shared" si="133"/>
        <v>0</v>
      </c>
      <c r="BE230" s="755">
        <f t="shared" si="119"/>
        <v>0</v>
      </c>
      <c r="BF230" s="755">
        <f t="shared" si="134"/>
        <v>0</v>
      </c>
      <c r="BG230" s="466">
        <f t="shared" si="120"/>
        <v>0</v>
      </c>
      <c r="BH230" s="464">
        <f t="shared" si="121"/>
        <v>0</v>
      </c>
      <c r="BI230" s="755">
        <f t="shared" si="122"/>
        <v>0</v>
      </c>
      <c r="BJ230" s="755">
        <f t="shared" si="135"/>
        <v>0</v>
      </c>
      <c r="BK230" s="333">
        <f>IF(OR($C230&lt;&gt;"Early Retirement",$H230=""),0,IF(AND($G230&lt;&gt;"Air Cooled Chiller",$G230&lt;&gt;"Water Cooled Chiller"),VLOOKUP($H230,'Early Retirement'!$CI$6:$CL$33,2,FALSE),IF($J230&lt;&gt;"Centrifugal",VLOOKUP($H230,'Early Retirement'!$CI$6:$CL$33,3,FALSE),IF($J230="Centrifugal",VLOOKUP($H230,'Early Retirement'!$CI$6:$CL$33,4,FALSE),""))))</f>
        <v>0</v>
      </c>
      <c r="BL230" s="450">
        <f t="shared" si="123"/>
        <v>0</v>
      </c>
      <c r="BM230" s="553">
        <f>IFERROR('Utility Admin'!$I$4*((1+'Utility Admin'!$G$4)/('Utility Admin'!$H$4-'Utility Admin'!$G$4))*(1-((1+'Utility Admin'!$G$4)/(1+'Utility Admin'!$H$4))^$BK230)*$BG230,0)</f>
        <v>0</v>
      </c>
      <c r="BN230" s="553">
        <f>IFERROR('Utility Admin'!$I$4*((1+'Utility Admin'!$G$4)/('Utility Admin'!$H$4-'Utility Admin'!$G$4))*(1-((1+'Utility Admin'!$G$4)/(1+'Utility Admin'!$H$4))^$BL230)*((1+'Utility Admin'!$G$4)^$BK230/(1+'Utility Admin'!$H$4)^$BK230)*$BC230,0)</f>
        <v>0</v>
      </c>
      <c r="BO230" s="553">
        <f t="shared" si="27"/>
        <v>0</v>
      </c>
      <c r="BP230" s="553">
        <f>IFERROR('Utility Admin'!$J$4*((1+'Utility Admin'!$G$4)/('Utility Admin'!$H$4-'Utility Admin'!$G$4))*(1-((1+'Utility Admin'!$G$4)/(1+'Utility Admin'!$H$4))^$BK230)*$BJ230,0)</f>
        <v>0</v>
      </c>
      <c r="BQ230" s="553">
        <f>IFERROR('Utility Admin'!$J$4*((1+'Utility Admin'!$G$4)/('Utility Admin'!$H$4-'Utility Admin'!$G$4))*(1-((1+'Utility Admin'!$G$4)/(1+'Utility Admin'!$H$4))^$BL230)*((1+'Utility Admin'!$G$4)^$BK230/(1+'Utility Admin'!$H$4)^$BK230)*$BF230,0)</f>
        <v>0</v>
      </c>
      <c r="BR230" s="553">
        <f t="shared" si="28"/>
        <v>0</v>
      </c>
      <c r="BS230" s="553">
        <f>IFERROR('Utility Admin'!$I$4*((1+'Utility Admin'!$G$4)/('Utility Admin'!$H$4-'Utility Admin'!$G$4))*(1-((1+'Utility Admin'!$G$4)/(1+'Utility Admin'!$H$4))^$AT230),0)</f>
        <v>0</v>
      </c>
      <c r="BT230" s="553">
        <f>IFERROR('Utility Admin'!$J$4*((1+'Utility Admin'!$G$4)/('Utility Admin'!$H$4-'Utility Admin'!$G$4))*(1-((1+'Utility Admin'!$G$4)/(1+'Utility Admin'!$H$4))^$AT230),0)</f>
        <v>0</v>
      </c>
      <c r="BU230" s="459">
        <f t="shared" si="136"/>
        <v>0</v>
      </c>
      <c r="BV230" s="462">
        <f t="shared" si="137"/>
        <v>0</v>
      </c>
      <c r="BW230" s="219" t="str">
        <f t="shared" si="124"/>
        <v/>
      </c>
      <c r="BX230" s="250" t="str">
        <f t="shared" si="138"/>
        <v/>
      </c>
      <c r="BY230" s="250" t="str">
        <f t="shared" si="125"/>
        <v/>
      </c>
      <c r="BZ230" s="184">
        <f t="shared" si="139"/>
        <v>0</v>
      </c>
      <c r="CA230" s="693">
        <f t="shared" si="140"/>
        <v>0</v>
      </c>
      <c r="CB230" s="836">
        <f t="shared" si="141"/>
        <v>0</v>
      </c>
      <c r="CC230" s="693">
        <f>IF(AND($C230="Early Retirement",$H230&lt;&gt;"",$R230&lt;&gt;"",$T230&lt;&gt;""),$BZ230,Baselines!$CJ223)</f>
        <v>0</v>
      </c>
      <c r="CD230" s="693">
        <f>IF(AND($C230="Early Retirement",$H230&lt;&gt;"",$R230&lt;&gt;"",$T230&lt;&gt;""),$CA230,Baselines!$CK223)</f>
        <v>0</v>
      </c>
      <c r="CE230" s="182" t="str">
        <f>Baselines!$CL223</f>
        <v>kW/ton</v>
      </c>
      <c r="CF230" s="850" t="str">
        <f t="shared" si="126"/>
        <v/>
      </c>
      <c r="CG230" s="833">
        <f>IF(AND($C230="Early Retirement",$H230&lt;&gt;"",$R230&lt;&gt;"",$T230&lt;&gt;""),$CB230,IF(AND(Baselines!$CM223=0,OR($CL230="DX HP",$CL230="PTHP")),$BB230,Baselines!$CM223))</f>
        <v>0</v>
      </c>
      <c r="CH230" s="830" t="s">
        <v>567</v>
      </c>
      <c r="CI230" s="185" t="str">
        <f>IF(OR($C230="Replace-on-Burnout",$C230="New Construction"),$CT230,IF($BW230="","",VLOOKUP($D230,'Factor Tables'!$B$165:$H$192,MATCH($BW230,'Factor Tables'!$B$164:$H$164,0),FALSE)))</f>
        <v/>
      </c>
      <c r="CJ230" s="842" t="str">
        <f>IF(OR($C230="Replace-on-Burnout",$C230="New Construction"),$CU230,IF($BW230="","",IF($BW230="DX HP",VLOOKUP($D230,'Factor Tables'!$I$165:$Q$192,MATCH("DX HP Clg",'Factor Tables'!$I$164:$Q$164,0),FALSE),IF($BW230="PTHP",VLOOKUP($D230,'Factor Tables'!$I$165:$Q$192,MATCH("PTHP Clg",'Factor Tables'!$I$164:$Q$164,0),FALSE),IF(AND($BW230&lt;&gt;"DX HP",$BW230&lt;&gt;"PTHP"),VLOOKUP($D230,'Factor Tables'!$I$165:$Q$192,MATCH($BW230,'Factor Tables'!$I$164:$Q$164,0),FALSE),"")))))</f>
        <v/>
      </c>
      <c r="CK230" s="186" t="str">
        <f>IF(OR($C230="Replace-on-Burnout",$C230="New Construction",$CL230="DX HP",$CL230="PTHP"),$CV230,IF($BW230="","",IF($BW230="DX HP",VLOOKUP($D230,'Factor Tables'!$I$165:$Q$192,MATCH("DX HP Htg",'Factor Tables'!$I$164:$Q$164,0),FALSE),IF($BW230="PTHP",VLOOKUP($D230,'Factor Tables'!$I$165:$Q$192,MATCH("PTHP Htg",'Factor Tables'!$I$164:$Q$164,0),FALSE),0))))</f>
        <v/>
      </c>
      <c r="CL230" s="187" t="str">
        <f t="shared" si="127"/>
        <v/>
      </c>
      <c r="CM230" s="251" t="str">
        <f t="shared" si="128"/>
        <v/>
      </c>
      <c r="CN230" s="184">
        <f t="shared" si="142"/>
        <v>0</v>
      </c>
      <c r="CO230" s="693">
        <f t="shared" si="143"/>
        <v>0</v>
      </c>
      <c r="CP230" s="182" t="s">
        <v>46</v>
      </c>
      <c r="CQ230" s="852" t="str">
        <f t="shared" si="144"/>
        <v/>
      </c>
      <c r="CR230" s="833">
        <f t="shared" si="145"/>
        <v>0</v>
      </c>
      <c r="CS230" s="830" t="s">
        <v>567</v>
      </c>
      <c r="CT230" s="185" t="str">
        <f>IF($CL230="","",VLOOKUP($D230,'Factor Tables'!$B$165:$H$192,MATCH($CL230,'Factor Tables'!$B$164:$H$164,0),FALSE))</f>
        <v/>
      </c>
      <c r="CU230" s="842" t="str">
        <f>IF($CL230="","",IF(AND($CL230&lt;&gt;"DX HP",$CL230&lt;&gt;"PTHP"),VLOOKUP($D230,'Factor Tables'!$I$165:$Q$192,MATCH($CL230,'Factor Tables'!$I$164:$Q$164,0),FALSE),IF($CL230="DX HP",VLOOKUP($D230,'Factor Tables'!$I$165:$Q$192,MATCH("DX HP Clg",'Factor Tables'!$I$164:$Q$164,0),FALSE),IF($CL230="PTHP",VLOOKUP($D230,'Factor Tables'!$I$165:$Q$192,MATCH("PTHP Clg",'Factor Tables'!$I$164:$Q$164,0),FALSE),""))))</f>
        <v/>
      </c>
      <c r="CV230" s="186" t="str">
        <f>IF($CL230="","",IF(AND($CL230&lt;&gt;"DX HP",$CL230&lt;&gt;"PTHP"),0,IF($CL230="DX HP",VLOOKUP($D230,'Factor Tables'!$I$165:$Q$192,MATCH("DX HP Htg",'Factor Tables'!$I$164:$Q$164,0),FALSE),IF($CL230="PTHP",VLOOKUP($D230,'Factor Tables'!$I$165:$Q$192,MATCH("PTHP Htg",'Factor Tables'!$I$164:$Q$164,0),FALSE),""))))</f>
        <v/>
      </c>
      <c r="DD230" s="196" t="str">
        <f>IF(OR('Project Info'!$D$8="",$C70="",$D70=""),"",IF('Project Info'!$D$8="Weather Zone 5: El Paso",VLOOKUP($D70,$DI$9:$DL$37,MATCH($C70,$DI$9:$DL$9,0),FALSE),VLOOKUP($D70,$DE$9:$DH$37,MATCH($C70,$DE$9:$DH$9,0),FALSE)))</f>
        <v/>
      </c>
      <c r="DE230" s="426"/>
      <c r="DI230" s="425"/>
      <c r="DJ230" s="425"/>
      <c r="DK230" s="425"/>
      <c r="DL230" s="425"/>
      <c r="DM230" s="493" t="s">
        <v>478</v>
      </c>
    </row>
    <row r="231" spans="2:117" s="427" customFormat="1" ht="21.95" customHeight="1" x14ac:dyDescent="0.25">
      <c r="B231" s="432">
        <v>222</v>
      </c>
      <c r="C231" s="499" t="str">
        <f t="shared" si="129"/>
        <v/>
      </c>
      <c r="D231" s="403" t="str">
        <f t="shared" si="130"/>
        <v/>
      </c>
      <c r="E231" s="541"/>
      <c r="F231" s="785"/>
      <c r="G231" s="728"/>
      <c r="H231" s="728"/>
      <c r="I231" s="728"/>
      <c r="J231" s="728"/>
      <c r="K231" s="728"/>
      <c r="L231" s="728"/>
      <c r="M231" s="764"/>
      <c r="N231" s="728"/>
      <c r="O231" s="764"/>
      <c r="P231" s="728"/>
      <c r="Q231" s="1142"/>
      <c r="R231" s="1133"/>
      <c r="S231" s="778"/>
      <c r="T231" s="767"/>
      <c r="U231" s="778"/>
      <c r="V231" s="751"/>
      <c r="W231" s="556"/>
      <c r="X231" s="785"/>
      <c r="Y231" s="542"/>
      <c r="Z231" s="500"/>
      <c r="AA231" s="500"/>
      <c r="AB231" s="500"/>
      <c r="AC231" s="500"/>
      <c r="AD231" s="529"/>
      <c r="AE231" s="527">
        <f t="shared" si="39"/>
        <v>0</v>
      </c>
      <c r="AF231" s="527">
        <f t="shared" si="131"/>
        <v>0</v>
      </c>
      <c r="AG231" s="527">
        <f t="shared" si="111"/>
        <v>0</v>
      </c>
      <c r="AH231" s="527">
        <f t="shared" si="112"/>
        <v>0</v>
      </c>
      <c r="AI231" s="527">
        <f t="shared" si="113"/>
        <v>0</v>
      </c>
      <c r="AJ231" s="527">
        <f t="shared" si="114"/>
        <v>999999999</v>
      </c>
      <c r="AK231" s="530"/>
      <c r="AL231" s="776"/>
      <c r="AM231" s="777"/>
      <c r="AN231" s="500"/>
      <c r="AO231" s="778"/>
      <c r="AP231" s="778"/>
      <c r="AQ231" s="500"/>
      <c r="AR231" s="531"/>
      <c r="AS231" s="403"/>
      <c r="AT231" s="524" t="str">
        <f t="shared" si="115"/>
        <v/>
      </c>
      <c r="AU231" s="311">
        <f t="shared" si="116"/>
        <v>0</v>
      </c>
      <c r="AV231" s="288">
        <f t="shared" si="132"/>
        <v>0</v>
      </c>
      <c r="AW231" s="290">
        <f>IF(ISERROR($AU231*'Utility Admin'!$E$4+$AV231*'Utility Admin'!$F$4),0,$AU231*'Utility Admin'!$E$4+$AV231*'Utility Admin'!$F$4)</f>
        <v>0</v>
      </c>
      <c r="AX231" s="323" t="str">
        <f t="shared" si="117"/>
        <v/>
      </c>
      <c r="AY231" s="322" t="str">
        <f t="shared" si="23"/>
        <v/>
      </c>
      <c r="AZ231" s="319">
        <f>Baselines!$CJ475</f>
        <v>0</v>
      </c>
      <c r="BA231" s="735">
        <f>Baselines!$CK475</f>
        <v>0</v>
      </c>
      <c r="BB231" s="839">
        <f>Baselines!$CM475</f>
        <v>0</v>
      </c>
      <c r="BC231" s="466">
        <f t="shared" si="118"/>
        <v>0</v>
      </c>
      <c r="BD231" s="464">
        <f t="shared" si="133"/>
        <v>0</v>
      </c>
      <c r="BE231" s="755">
        <f t="shared" si="119"/>
        <v>0</v>
      </c>
      <c r="BF231" s="755">
        <f t="shared" si="134"/>
        <v>0</v>
      </c>
      <c r="BG231" s="466">
        <f t="shared" si="120"/>
        <v>0</v>
      </c>
      <c r="BH231" s="464">
        <f t="shared" si="121"/>
        <v>0</v>
      </c>
      <c r="BI231" s="755">
        <f t="shared" si="122"/>
        <v>0</v>
      </c>
      <c r="BJ231" s="755">
        <f t="shared" si="135"/>
        <v>0</v>
      </c>
      <c r="BK231" s="333">
        <f>IF(OR($C231&lt;&gt;"Early Retirement",$H231=""),0,IF(AND($G231&lt;&gt;"Air Cooled Chiller",$G231&lt;&gt;"Water Cooled Chiller"),VLOOKUP($H231,'Early Retirement'!$CI$6:$CL$33,2,FALSE),IF($J231&lt;&gt;"Centrifugal",VLOOKUP($H231,'Early Retirement'!$CI$6:$CL$33,3,FALSE),IF($J231="Centrifugal",VLOOKUP($H231,'Early Retirement'!$CI$6:$CL$33,4,FALSE),""))))</f>
        <v>0</v>
      </c>
      <c r="BL231" s="450">
        <f t="shared" si="123"/>
        <v>0</v>
      </c>
      <c r="BM231" s="553">
        <f>IFERROR('Utility Admin'!$I$4*((1+'Utility Admin'!$G$4)/('Utility Admin'!$H$4-'Utility Admin'!$G$4))*(1-((1+'Utility Admin'!$G$4)/(1+'Utility Admin'!$H$4))^$BK231)*$BG231,0)</f>
        <v>0</v>
      </c>
      <c r="BN231" s="553">
        <f>IFERROR('Utility Admin'!$I$4*((1+'Utility Admin'!$G$4)/('Utility Admin'!$H$4-'Utility Admin'!$G$4))*(1-((1+'Utility Admin'!$G$4)/(1+'Utility Admin'!$H$4))^$BL231)*((1+'Utility Admin'!$G$4)^$BK231/(1+'Utility Admin'!$H$4)^$BK231)*$BC231,0)</f>
        <v>0</v>
      </c>
      <c r="BO231" s="553">
        <f t="shared" si="27"/>
        <v>0</v>
      </c>
      <c r="BP231" s="553">
        <f>IFERROR('Utility Admin'!$J$4*((1+'Utility Admin'!$G$4)/('Utility Admin'!$H$4-'Utility Admin'!$G$4))*(1-((1+'Utility Admin'!$G$4)/(1+'Utility Admin'!$H$4))^$BK231)*$BJ231,0)</f>
        <v>0</v>
      </c>
      <c r="BQ231" s="553">
        <f>IFERROR('Utility Admin'!$J$4*((1+'Utility Admin'!$G$4)/('Utility Admin'!$H$4-'Utility Admin'!$G$4))*(1-((1+'Utility Admin'!$G$4)/(1+'Utility Admin'!$H$4))^$BL231)*((1+'Utility Admin'!$G$4)^$BK231/(1+'Utility Admin'!$H$4)^$BK231)*$BF231,0)</f>
        <v>0</v>
      </c>
      <c r="BR231" s="553">
        <f t="shared" si="28"/>
        <v>0</v>
      </c>
      <c r="BS231" s="553">
        <f>IFERROR('Utility Admin'!$I$4*((1+'Utility Admin'!$G$4)/('Utility Admin'!$H$4-'Utility Admin'!$G$4))*(1-((1+'Utility Admin'!$G$4)/(1+'Utility Admin'!$H$4))^$AT231),0)</f>
        <v>0</v>
      </c>
      <c r="BT231" s="553">
        <f>IFERROR('Utility Admin'!$J$4*((1+'Utility Admin'!$G$4)/('Utility Admin'!$H$4-'Utility Admin'!$G$4))*(1-((1+'Utility Admin'!$G$4)/(1+'Utility Admin'!$H$4))^$AT231),0)</f>
        <v>0</v>
      </c>
      <c r="BU231" s="459">
        <f t="shared" si="136"/>
        <v>0</v>
      </c>
      <c r="BV231" s="462">
        <f t="shared" si="137"/>
        <v>0</v>
      </c>
      <c r="BW231" s="219" t="str">
        <f t="shared" si="124"/>
        <v/>
      </c>
      <c r="BX231" s="250" t="str">
        <f t="shared" si="138"/>
        <v/>
      </c>
      <c r="BY231" s="250" t="str">
        <f t="shared" si="125"/>
        <v/>
      </c>
      <c r="BZ231" s="184">
        <f t="shared" si="139"/>
        <v>0</v>
      </c>
      <c r="CA231" s="693">
        <f t="shared" si="140"/>
        <v>0</v>
      </c>
      <c r="CB231" s="836">
        <f t="shared" si="141"/>
        <v>0</v>
      </c>
      <c r="CC231" s="693">
        <f>IF(AND($C231="Early Retirement",$H231&lt;&gt;"",$R231&lt;&gt;"",$T231&lt;&gt;""),$BZ231,Baselines!$CJ224)</f>
        <v>0</v>
      </c>
      <c r="CD231" s="693">
        <f>IF(AND($C231="Early Retirement",$H231&lt;&gt;"",$R231&lt;&gt;"",$T231&lt;&gt;""),$CA231,Baselines!$CK224)</f>
        <v>0</v>
      </c>
      <c r="CE231" s="182" t="str">
        <f>Baselines!$CL224</f>
        <v>kW/ton</v>
      </c>
      <c r="CF231" s="850" t="str">
        <f t="shared" si="126"/>
        <v/>
      </c>
      <c r="CG231" s="833">
        <f>IF(AND($C231="Early Retirement",$H231&lt;&gt;"",$R231&lt;&gt;"",$T231&lt;&gt;""),$CB231,IF(AND(Baselines!$CM224=0,OR($CL231="DX HP",$CL231="PTHP")),$BB231,Baselines!$CM224))</f>
        <v>0</v>
      </c>
      <c r="CH231" s="830" t="s">
        <v>567</v>
      </c>
      <c r="CI231" s="185" t="str">
        <f>IF(OR($C231="Replace-on-Burnout",$C231="New Construction"),$CT231,IF($BW231="","",VLOOKUP($D231,'Factor Tables'!$B$165:$H$192,MATCH($BW231,'Factor Tables'!$B$164:$H$164,0),FALSE)))</f>
        <v/>
      </c>
      <c r="CJ231" s="842" t="str">
        <f>IF(OR($C231="Replace-on-Burnout",$C231="New Construction"),$CU231,IF($BW231="","",IF($BW231="DX HP",VLOOKUP($D231,'Factor Tables'!$I$165:$Q$192,MATCH("DX HP Clg",'Factor Tables'!$I$164:$Q$164,0),FALSE),IF($BW231="PTHP",VLOOKUP($D231,'Factor Tables'!$I$165:$Q$192,MATCH("PTHP Clg",'Factor Tables'!$I$164:$Q$164,0),FALSE),IF(AND($BW231&lt;&gt;"DX HP",$BW231&lt;&gt;"PTHP"),VLOOKUP($D231,'Factor Tables'!$I$165:$Q$192,MATCH($BW231,'Factor Tables'!$I$164:$Q$164,0),FALSE),"")))))</f>
        <v/>
      </c>
      <c r="CK231" s="186" t="str">
        <f>IF(OR($C231="Replace-on-Burnout",$C231="New Construction",$CL231="DX HP",$CL231="PTHP"),$CV231,IF($BW231="","",IF($BW231="DX HP",VLOOKUP($D231,'Factor Tables'!$I$165:$Q$192,MATCH("DX HP Htg",'Factor Tables'!$I$164:$Q$164,0),FALSE),IF($BW231="PTHP",VLOOKUP($D231,'Factor Tables'!$I$165:$Q$192,MATCH("PTHP Htg",'Factor Tables'!$I$164:$Q$164,0),FALSE),0))))</f>
        <v/>
      </c>
      <c r="CL231" s="187" t="str">
        <f t="shared" si="127"/>
        <v/>
      </c>
      <c r="CM231" s="251" t="str">
        <f t="shared" si="128"/>
        <v/>
      </c>
      <c r="CN231" s="184">
        <f t="shared" si="142"/>
        <v>0</v>
      </c>
      <c r="CO231" s="693">
        <f t="shared" si="143"/>
        <v>0</v>
      </c>
      <c r="CP231" s="182" t="s">
        <v>46</v>
      </c>
      <c r="CQ231" s="852" t="str">
        <f t="shared" si="144"/>
        <v/>
      </c>
      <c r="CR231" s="833">
        <f t="shared" si="145"/>
        <v>0</v>
      </c>
      <c r="CS231" s="830" t="s">
        <v>567</v>
      </c>
      <c r="CT231" s="185" t="str">
        <f>IF($CL231="","",VLOOKUP($D231,'Factor Tables'!$B$165:$H$192,MATCH($CL231,'Factor Tables'!$B$164:$H$164,0),FALSE))</f>
        <v/>
      </c>
      <c r="CU231" s="842" t="str">
        <f>IF($CL231="","",IF(AND($CL231&lt;&gt;"DX HP",$CL231&lt;&gt;"PTHP"),VLOOKUP($D231,'Factor Tables'!$I$165:$Q$192,MATCH($CL231,'Factor Tables'!$I$164:$Q$164,0),FALSE),IF($CL231="DX HP",VLOOKUP($D231,'Factor Tables'!$I$165:$Q$192,MATCH("DX HP Clg",'Factor Tables'!$I$164:$Q$164,0),FALSE),IF($CL231="PTHP",VLOOKUP($D231,'Factor Tables'!$I$165:$Q$192,MATCH("PTHP Clg",'Factor Tables'!$I$164:$Q$164,0),FALSE),""))))</f>
        <v/>
      </c>
      <c r="CV231" s="186" t="str">
        <f>IF($CL231="","",IF(AND($CL231&lt;&gt;"DX HP",$CL231&lt;&gt;"PTHP"),0,IF($CL231="DX HP",VLOOKUP($D231,'Factor Tables'!$I$165:$Q$192,MATCH("DX HP Htg",'Factor Tables'!$I$164:$Q$164,0),FALSE),IF($CL231="PTHP",VLOOKUP($D231,'Factor Tables'!$I$165:$Q$192,MATCH("PTHP Htg",'Factor Tables'!$I$164:$Q$164,0),FALSE),""))))</f>
        <v/>
      </c>
      <c r="DD231" s="196" t="str">
        <f>IF(OR('Project Info'!$D$8="",$C71="",$D71=""),"",IF('Project Info'!$D$8="Weather Zone 5: El Paso",VLOOKUP($D71,$DI$9:$DL$37,MATCH($C71,$DI$9:$DL$9,0),FALSE),VLOOKUP($D71,$DE$9:$DH$37,MATCH($C71,$DE$9:$DH$9,0),FALSE)))</f>
        <v/>
      </c>
      <c r="DE231" s="426"/>
      <c r="DI231" s="425"/>
      <c r="DJ231" s="425"/>
      <c r="DK231" s="425"/>
      <c r="DL231" s="425"/>
      <c r="DM231" s="493" t="s">
        <v>478</v>
      </c>
    </row>
    <row r="232" spans="2:117" s="427" customFormat="1" ht="21.95" customHeight="1" x14ac:dyDescent="0.25">
      <c r="B232" s="431">
        <v>223</v>
      </c>
      <c r="C232" s="501" t="str">
        <f t="shared" si="129"/>
        <v/>
      </c>
      <c r="D232" s="502" t="str">
        <f t="shared" si="130"/>
        <v/>
      </c>
      <c r="E232" s="546"/>
      <c r="F232" s="547"/>
      <c r="G232" s="729"/>
      <c r="H232" s="729"/>
      <c r="I232" s="729"/>
      <c r="J232" s="729"/>
      <c r="K232" s="729"/>
      <c r="L232" s="729"/>
      <c r="M232" s="765"/>
      <c r="N232" s="758"/>
      <c r="O232" s="765"/>
      <c r="P232" s="758"/>
      <c r="Q232" s="1143"/>
      <c r="R232" s="1134"/>
      <c r="S232" s="775"/>
      <c r="T232" s="729"/>
      <c r="U232" s="775"/>
      <c r="V232" s="779"/>
      <c r="W232" s="557"/>
      <c r="X232" s="788"/>
      <c r="Y232" s="543"/>
      <c r="Z232" s="281"/>
      <c r="AA232" s="281"/>
      <c r="AB232" s="281"/>
      <c r="AC232" s="281"/>
      <c r="AD232" s="492"/>
      <c r="AE232" s="527">
        <f t="shared" si="39"/>
        <v>0</v>
      </c>
      <c r="AF232" s="527">
        <f t="shared" si="131"/>
        <v>0</v>
      </c>
      <c r="AG232" s="527">
        <f t="shared" si="111"/>
        <v>0</v>
      </c>
      <c r="AH232" s="527">
        <f t="shared" si="112"/>
        <v>0</v>
      </c>
      <c r="AI232" s="527">
        <f t="shared" si="113"/>
        <v>0</v>
      </c>
      <c r="AJ232" s="527">
        <f t="shared" si="114"/>
        <v>999999999</v>
      </c>
      <c r="AK232" s="471"/>
      <c r="AL232" s="765"/>
      <c r="AM232" s="758"/>
      <c r="AN232" s="281"/>
      <c r="AO232" s="775"/>
      <c r="AP232" s="775"/>
      <c r="AQ232" s="281"/>
      <c r="AR232" s="528"/>
      <c r="AS232" s="532"/>
      <c r="AT232" s="524" t="str">
        <f t="shared" si="115"/>
        <v/>
      </c>
      <c r="AU232" s="311">
        <f t="shared" si="116"/>
        <v>0</v>
      </c>
      <c r="AV232" s="288">
        <f t="shared" si="132"/>
        <v>0</v>
      </c>
      <c r="AW232" s="290">
        <f>IF(ISERROR($AU232*'Utility Admin'!$E$4+$AV232*'Utility Admin'!$F$4),0,$AU232*'Utility Admin'!$E$4+$AV232*'Utility Admin'!$F$4)</f>
        <v>0</v>
      </c>
      <c r="AX232" s="323" t="str">
        <f t="shared" si="117"/>
        <v/>
      </c>
      <c r="AY232" s="322" t="str">
        <f t="shared" si="23"/>
        <v/>
      </c>
      <c r="AZ232" s="319">
        <f>Baselines!$CJ476</f>
        <v>0</v>
      </c>
      <c r="BA232" s="735">
        <f>Baselines!$CK476</f>
        <v>0</v>
      </c>
      <c r="BB232" s="839">
        <f>Baselines!$CM476</f>
        <v>0</v>
      </c>
      <c r="BC232" s="466">
        <f t="shared" si="118"/>
        <v>0</v>
      </c>
      <c r="BD232" s="464">
        <f t="shared" si="133"/>
        <v>0</v>
      </c>
      <c r="BE232" s="755">
        <f t="shared" si="119"/>
        <v>0</v>
      </c>
      <c r="BF232" s="755">
        <f t="shared" si="134"/>
        <v>0</v>
      </c>
      <c r="BG232" s="466">
        <f t="shared" si="120"/>
        <v>0</v>
      </c>
      <c r="BH232" s="464">
        <f t="shared" si="121"/>
        <v>0</v>
      </c>
      <c r="BI232" s="755">
        <f t="shared" si="122"/>
        <v>0</v>
      </c>
      <c r="BJ232" s="755">
        <f t="shared" si="135"/>
        <v>0</v>
      </c>
      <c r="BK232" s="333">
        <f>IF(OR($C232&lt;&gt;"Early Retirement",$H232=""),0,IF(AND($G232&lt;&gt;"Air Cooled Chiller",$G232&lt;&gt;"Water Cooled Chiller"),VLOOKUP($H232,'Early Retirement'!$CI$6:$CL$33,2,FALSE),IF($J232&lt;&gt;"Centrifugal",VLOOKUP($H232,'Early Retirement'!$CI$6:$CL$33,3,FALSE),IF($J232="Centrifugal",VLOOKUP($H232,'Early Retirement'!$CI$6:$CL$33,4,FALSE),""))))</f>
        <v>0</v>
      </c>
      <c r="BL232" s="450">
        <f t="shared" si="123"/>
        <v>0</v>
      </c>
      <c r="BM232" s="553">
        <f>IFERROR('Utility Admin'!$I$4*((1+'Utility Admin'!$G$4)/('Utility Admin'!$H$4-'Utility Admin'!$G$4))*(1-((1+'Utility Admin'!$G$4)/(1+'Utility Admin'!$H$4))^$BK232)*$BG232,0)</f>
        <v>0</v>
      </c>
      <c r="BN232" s="553">
        <f>IFERROR('Utility Admin'!$I$4*((1+'Utility Admin'!$G$4)/('Utility Admin'!$H$4-'Utility Admin'!$G$4))*(1-((1+'Utility Admin'!$G$4)/(1+'Utility Admin'!$H$4))^$BL232)*((1+'Utility Admin'!$G$4)^$BK232/(1+'Utility Admin'!$H$4)^$BK232)*$BC232,0)</f>
        <v>0</v>
      </c>
      <c r="BO232" s="553">
        <f t="shared" si="27"/>
        <v>0</v>
      </c>
      <c r="BP232" s="553">
        <f>IFERROR('Utility Admin'!$J$4*((1+'Utility Admin'!$G$4)/('Utility Admin'!$H$4-'Utility Admin'!$G$4))*(1-((1+'Utility Admin'!$G$4)/(1+'Utility Admin'!$H$4))^$BK232)*$BJ232,0)</f>
        <v>0</v>
      </c>
      <c r="BQ232" s="553">
        <f>IFERROR('Utility Admin'!$J$4*((1+'Utility Admin'!$G$4)/('Utility Admin'!$H$4-'Utility Admin'!$G$4))*(1-((1+'Utility Admin'!$G$4)/(1+'Utility Admin'!$H$4))^$BL232)*((1+'Utility Admin'!$G$4)^$BK232/(1+'Utility Admin'!$H$4)^$BK232)*$BF232,0)</f>
        <v>0</v>
      </c>
      <c r="BR232" s="553">
        <f t="shared" si="28"/>
        <v>0</v>
      </c>
      <c r="BS232" s="553">
        <f>IFERROR('Utility Admin'!$I$4*((1+'Utility Admin'!$G$4)/('Utility Admin'!$H$4-'Utility Admin'!$G$4))*(1-((1+'Utility Admin'!$G$4)/(1+'Utility Admin'!$H$4))^$AT232),0)</f>
        <v>0</v>
      </c>
      <c r="BT232" s="553">
        <f>IFERROR('Utility Admin'!$J$4*((1+'Utility Admin'!$G$4)/('Utility Admin'!$H$4-'Utility Admin'!$G$4))*(1-((1+'Utility Admin'!$G$4)/(1+'Utility Admin'!$H$4))^$AT232),0)</f>
        <v>0</v>
      </c>
      <c r="BU232" s="459">
        <f t="shared" si="136"/>
        <v>0</v>
      </c>
      <c r="BV232" s="462">
        <f t="shared" si="137"/>
        <v>0</v>
      </c>
      <c r="BW232" s="219" t="str">
        <f t="shared" si="124"/>
        <v/>
      </c>
      <c r="BX232" s="250" t="str">
        <f t="shared" si="138"/>
        <v/>
      </c>
      <c r="BY232" s="250" t="str">
        <f t="shared" si="125"/>
        <v/>
      </c>
      <c r="BZ232" s="184">
        <f t="shared" si="139"/>
        <v>0</v>
      </c>
      <c r="CA232" s="693">
        <f t="shared" si="140"/>
        <v>0</v>
      </c>
      <c r="CB232" s="836">
        <f t="shared" si="141"/>
        <v>0</v>
      </c>
      <c r="CC232" s="693">
        <f>IF(AND($C232="Early Retirement",$H232&lt;&gt;"",$R232&lt;&gt;"",$T232&lt;&gt;""),$BZ232,Baselines!$CJ225)</f>
        <v>0</v>
      </c>
      <c r="CD232" s="693">
        <f>IF(AND($C232="Early Retirement",$H232&lt;&gt;"",$R232&lt;&gt;"",$T232&lt;&gt;""),$CA232,Baselines!$CK225)</f>
        <v>0</v>
      </c>
      <c r="CE232" s="182" t="str">
        <f>Baselines!$CL225</f>
        <v>kW/ton</v>
      </c>
      <c r="CF232" s="850" t="str">
        <f t="shared" si="126"/>
        <v/>
      </c>
      <c r="CG232" s="833">
        <f>IF(AND($C232="Early Retirement",$H232&lt;&gt;"",$R232&lt;&gt;"",$T232&lt;&gt;""),$CB232,IF(AND(Baselines!$CM225=0,OR($CL232="DX HP",$CL232="PTHP")),$BB232,Baselines!$CM225))</f>
        <v>0</v>
      </c>
      <c r="CH232" s="830" t="s">
        <v>567</v>
      </c>
      <c r="CI232" s="185" t="str">
        <f>IF(OR($C232="Replace-on-Burnout",$C232="New Construction"),$CT232,IF($BW232="","",VLOOKUP($D232,'Factor Tables'!$B$165:$H$192,MATCH($BW232,'Factor Tables'!$B$164:$H$164,0),FALSE)))</f>
        <v/>
      </c>
      <c r="CJ232" s="842" t="str">
        <f>IF(OR($C232="Replace-on-Burnout",$C232="New Construction"),$CU232,IF($BW232="","",IF($BW232="DX HP",VLOOKUP($D232,'Factor Tables'!$I$165:$Q$192,MATCH("DX HP Clg",'Factor Tables'!$I$164:$Q$164,0),FALSE),IF($BW232="PTHP",VLOOKUP($D232,'Factor Tables'!$I$165:$Q$192,MATCH("PTHP Clg",'Factor Tables'!$I$164:$Q$164,0),FALSE),IF(AND($BW232&lt;&gt;"DX HP",$BW232&lt;&gt;"PTHP"),VLOOKUP($D232,'Factor Tables'!$I$165:$Q$192,MATCH($BW232,'Factor Tables'!$I$164:$Q$164,0),FALSE),"")))))</f>
        <v/>
      </c>
      <c r="CK232" s="186" t="str">
        <f>IF(OR($C232="Replace-on-Burnout",$C232="New Construction",$CL232="DX HP",$CL232="PTHP"),$CV232,IF($BW232="","",IF($BW232="DX HP",VLOOKUP($D232,'Factor Tables'!$I$165:$Q$192,MATCH("DX HP Htg",'Factor Tables'!$I$164:$Q$164,0),FALSE),IF($BW232="PTHP",VLOOKUP($D232,'Factor Tables'!$I$165:$Q$192,MATCH("PTHP Htg",'Factor Tables'!$I$164:$Q$164,0),FALSE),0))))</f>
        <v/>
      </c>
      <c r="CL232" s="187" t="str">
        <f t="shared" si="127"/>
        <v/>
      </c>
      <c r="CM232" s="251" t="str">
        <f t="shared" si="128"/>
        <v/>
      </c>
      <c r="CN232" s="184">
        <f t="shared" si="142"/>
        <v>0</v>
      </c>
      <c r="CO232" s="693">
        <f t="shared" si="143"/>
        <v>0</v>
      </c>
      <c r="CP232" s="182" t="s">
        <v>46</v>
      </c>
      <c r="CQ232" s="852" t="str">
        <f t="shared" si="144"/>
        <v/>
      </c>
      <c r="CR232" s="833">
        <f t="shared" si="145"/>
        <v>0</v>
      </c>
      <c r="CS232" s="830" t="s">
        <v>567</v>
      </c>
      <c r="CT232" s="185" t="str">
        <f>IF($CL232="","",VLOOKUP($D232,'Factor Tables'!$B$165:$H$192,MATCH($CL232,'Factor Tables'!$B$164:$H$164,0),FALSE))</f>
        <v/>
      </c>
      <c r="CU232" s="842" t="str">
        <f>IF($CL232="","",IF(AND($CL232&lt;&gt;"DX HP",$CL232&lt;&gt;"PTHP"),VLOOKUP($D232,'Factor Tables'!$I$165:$Q$192,MATCH($CL232,'Factor Tables'!$I$164:$Q$164,0),FALSE),IF($CL232="DX HP",VLOOKUP($D232,'Factor Tables'!$I$165:$Q$192,MATCH("DX HP Clg",'Factor Tables'!$I$164:$Q$164,0),FALSE),IF($CL232="PTHP",VLOOKUP($D232,'Factor Tables'!$I$165:$Q$192,MATCH("PTHP Clg",'Factor Tables'!$I$164:$Q$164,0),FALSE),""))))</f>
        <v/>
      </c>
      <c r="CV232" s="186" t="str">
        <f>IF($CL232="","",IF(AND($CL232&lt;&gt;"DX HP",$CL232&lt;&gt;"PTHP"),0,IF($CL232="DX HP",VLOOKUP($D232,'Factor Tables'!$I$165:$Q$192,MATCH("DX HP Htg",'Factor Tables'!$I$164:$Q$164,0),FALSE),IF($CL232="PTHP",VLOOKUP($D232,'Factor Tables'!$I$165:$Q$192,MATCH("PTHP Htg",'Factor Tables'!$I$164:$Q$164,0),FALSE),""))))</f>
        <v/>
      </c>
      <c r="DD232" s="196" t="str">
        <f>IF(OR('Project Info'!$D$8="",$C72="",$D72=""),"",IF('Project Info'!$D$8="Weather Zone 5: El Paso",VLOOKUP($D72,$DI$9:$DL$37,MATCH($C72,$DI$9:$DL$9,0),FALSE),VLOOKUP($D72,$DE$9:$DH$37,MATCH($C72,$DE$9:$DH$9,0),FALSE)))</f>
        <v/>
      </c>
      <c r="DE232" s="426"/>
      <c r="DI232" s="425"/>
      <c r="DJ232" s="425"/>
      <c r="DK232" s="425"/>
      <c r="DL232" s="425"/>
      <c r="DM232" s="493" t="s">
        <v>478</v>
      </c>
    </row>
    <row r="233" spans="2:117" s="427" customFormat="1" ht="21.95" customHeight="1" x14ac:dyDescent="0.25">
      <c r="B233" s="432">
        <v>224</v>
      </c>
      <c r="C233" s="499" t="str">
        <f t="shared" si="129"/>
        <v/>
      </c>
      <c r="D233" s="403" t="str">
        <f t="shared" si="130"/>
        <v/>
      </c>
      <c r="E233" s="541"/>
      <c r="F233" s="785"/>
      <c r="G233" s="728"/>
      <c r="H233" s="728"/>
      <c r="I233" s="728"/>
      <c r="J233" s="728"/>
      <c r="K233" s="728"/>
      <c r="L233" s="728"/>
      <c r="M233" s="764"/>
      <c r="N233" s="728"/>
      <c r="O233" s="764"/>
      <c r="P233" s="728"/>
      <c r="Q233" s="1142"/>
      <c r="R233" s="1133"/>
      <c r="S233" s="778"/>
      <c r="T233" s="767"/>
      <c r="U233" s="778"/>
      <c r="V233" s="751"/>
      <c r="W233" s="556"/>
      <c r="X233" s="785"/>
      <c r="Y233" s="542"/>
      <c r="Z233" s="500"/>
      <c r="AA233" s="500"/>
      <c r="AB233" s="500"/>
      <c r="AC233" s="500"/>
      <c r="AD233" s="529"/>
      <c r="AE233" s="527">
        <f t="shared" si="39"/>
        <v>0</v>
      </c>
      <c r="AF233" s="527">
        <f t="shared" si="131"/>
        <v>0</v>
      </c>
      <c r="AG233" s="527">
        <f t="shared" si="111"/>
        <v>0</v>
      </c>
      <c r="AH233" s="527">
        <f t="shared" si="112"/>
        <v>0</v>
      </c>
      <c r="AI233" s="527">
        <f t="shared" si="113"/>
        <v>0</v>
      </c>
      <c r="AJ233" s="527">
        <f t="shared" si="114"/>
        <v>999999999</v>
      </c>
      <c r="AK233" s="530"/>
      <c r="AL233" s="776"/>
      <c r="AM233" s="777"/>
      <c r="AN233" s="500"/>
      <c r="AO233" s="778"/>
      <c r="AP233" s="778"/>
      <c r="AQ233" s="500"/>
      <c r="AR233" s="531"/>
      <c r="AS233" s="403"/>
      <c r="AT233" s="524" t="str">
        <f t="shared" si="115"/>
        <v/>
      </c>
      <c r="AU233" s="311">
        <f t="shared" si="116"/>
        <v>0</v>
      </c>
      <c r="AV233" s="288">
        <f t="shared" si="132"/>
        <v>0</v>
      </c>
      <c r="AW233" s="290">
        <f>IF(ISERROR($AU233*'Utility Admin'!$E$4+$AV233*'Utility Admin'!$F$4),0,$AU233*'Utility Admin'!$E$4+$AV233*'Utility Admin'!$F$4)</f>
        <v>0</v>
      </c>
      <c r="AX233" s="323" t="str">
        <f t="shared" si="117"/>
        <v/>
      </c>
      <c r="AY233" s="322" t="str">
        <f t="shared" si="23"/>
        <v/>
      </c>
      <c r="AZ233" s="319">
        <f>Baselines!$CJ477</f>
        <v>0</v>
      </c>
      <c r="BA233" s="735">
        <f>Baselines!$CK477</f>
        <v>0</v>
      </c>
      <c r="BB233" s="839">
        <f>Baselines!$CM477</f>
        <v>0</v>
      </c>
      <c r="BC233" s="466">
        <f t="shared" si="118"/>
        <v>0</v>
      </c>
      <c r="BD233" s="464">
        <f t="shared" si="133"/>
        <v>0</v>
      </c>
      <c r="BE233" s="755">
        <f t="shared" si="119"/>
        <v>0</v>
      </c>
      <c r="BF233" s="755">
        <f t="shared" si="134"/>
        <v>0</v>
      </c>
      <c r="BG233" s="466">
        <f t="shared" si="120"/>
        <v>0</v>
      </c>
      <c r="BH233" s="464">
        <f t="shared" si="121"/>
        <v>0</v>
      </c>
      <c r="BI233" s="755">
        <f t="shared" si="122"/>
        <v>0</v>
      </c>
      <c r="BJ233" s="755">
        <f t="shared" si="135"/>
        <v>0</v>
      </c>
      <c r="BK233" s="333">
        <f>IF(OR($C233&lt;&gt;"Early Retirement",$H233=""),0,IF(AND($G233&lt;&gt;"Air Cooled Chiller",$G233&lt;&gt;"Water Cooled Chiller"),VLOOKUP($H233,'Early Retirement'!$CI$6:$CL$33,2,FALSE),IF($J233&lt;&gt;"Centrifugal",VLOOKUP($H233,'Early Retirement'!$CI$6:$CL$33,3,FALSE),IF($J233="Centrifugal",VLOOKUP($H233,'Early Retirement'!$CI$6:$CL$33,4,FALSE),""))))</f>
        <v>0</v>
      </c>
      <c r="BL233" s="450">
        <f t="shared" si="123"/>
        <v>0</v>
      </c>
      <c r="BM233" s="553">
        <f>IFERROR('Utility Admin'!$I$4*((1+'Utility Admin'!$G$4)/('Utility Admin'!$H$4-'Utility Admin'!$G$4))*(1-((1+'Utility Admin'!$G$4)/(1+'Utility Admin'!$H$4))^$BK233)*$BG233,0)</f>
        <v>0</v>
      </c>
      <c r="BN233" s="553">
        <f>IFERROR('Utility Admin'!$I$4*((1+'Utility Admin'!$G$4)/('Utility Admin'!$H$4-'Utility Admin'!$G$4))*(1-((1+'Utility Admin'!$G$4)/(1+'Utility Admin'!$H$4))^$BL233)*((1+'Utility Admin'!$G$4)^$BK233/(1+'Utility Admin'!$H$4)^$BK233)*$BC233,0)</f>
        <v>0</v>
      </c>
      <c r="BO233" s="553">
        <f t="shared" si="27"/>
        <v>0</v>
      </c>
      <c r="BP233" s="553">
        <f>IFERROR('Utility Admin'!$J$4*((1+'Utility Admin'!$G$4)/('Utility Admin'!$H$4-'Utility Admin'!$G$4))*(1-((1+'Utility Admin'!$G$4)/(1+'Utility Admin'!$H$4))^$BK233)*$BJ233,0)</f>
        <v>0</v>
      </c>
      <c r="BQ233" s="553">
        <f>IFERROR('Utility Admin'!$J$4*((1+'Utility Admin'!$G$4)/('Utility Admin'!$H$4-'Utility Admin'!$G$4))*(1-((1+'Utility Admin'!$G$4)/(1+'Utility Admin'!$H$4))^$BL233)*((1+'Utility Admin'!$G$4)^$BK233/(1+'Utility Admin'!$H$4)^$BK233)*$BF233,0)</f>
        <v>0</v>
      </c>
      <c r="BR233" s="553">
        <f t="shared" si="28"/>
        <v>0</v>
      </c>
      <c r="BS233" s="553">
        <f>IFERROR('Utility Admin'!$I$4*((1+'Utility Admin'!$G$4)/('Utility Admin'!$H$4-'Utility Admin'!$G$4))*(1-((1+'Utility Admin'!$G$4)/(1+'Utility Admin'!$H$4))^$AT233),0)</f>
        <v>0</v>
      </c>
      <c r="BT233" s="553">
        <f>IFERROR('Utility Admin'!$J$4*((1+'Utility Admin'!$G$4)/('Utility Admin'!$H$4-'Utility Admin'!$G$4))*(1-((1+'Utility Admin'!$G$4)/(1+'Utility Admin'!$H$4))^$AT233),0)</f>
        <v>0</v>
      </c>
      <c r="BU233" s="459">
        <f t="shared" si="136"/>
        <v>0</v>
      </c>
      <c r="BV233" s="462">
        <f t="shared" si="137"/>
        <v>0</v>
      </c>
      <c r="BW233" s="219" t="str">
        <f t="shared" si="124"/>
        <v/>
      </c>
      <c r="BX233" s="250" t="str">
        <f t="shared" si="138"/>
        <v/>
      </c>
      <c r="BY233" s="250" t="str">
        <f t="shared" si="125"/>
        <v/>
      </c>
      <c r="BZ233" s="184">
        <f t="shared" si="139"/>
        <v>0</v>
      </c>
      <c r="CA233" s="693">
        <f t="shared" si="140"/>
        <v>0</v>
      </c>
      <c r="CB233" s="836">
        <f t="shared" si="141"/>
        <v>0</v>
      </c>
      <c r="CC233" s="693">
        <f>IF(AND($C233="Early Retirement",$H233&lt;&gt;"",$R233&lt;&gt;"",$T233&lt;&gt;""),$BZ233,Baselines!$CJ226)</f>
        <v>0</v>
      </c>
      <c r="CD233" s="693">
        <f>IF(AND($C233="Early Retirement",$H233&lt;&gt;"",$R233&lt;&gt;"",$T233&lt;&gt;""),$CA233,Baselines!$CK226)</f>
        <v>0</v>
      </c>
      <c r="CE233" s="182" t="str">
        <f>Baselines!$CL226</f>
        <v>kW/ton</v>
      </c>
      <c r="CF233" s="850" t="str">
        <f t="shared" si="126"/>
        <v/>
      </c>
      <c r="CG233" s="833">
        <f>IF(AND($C233="Early Retirement",$H233&lt;&gt;"",$R233&lt;&gt;"",$T233&lt;&gt;""),$CB233,IF(AND(Baselines!$CM226=0,OR($CL233="DX HP",$CL233="PTHP")),$BB233,Baselines!$CM226))</f>
        <v>0</v>
      </c>
      <c r="CH233" s="830" t="s">
        <v>567</v>
      </c>
      <c r="CI233" s="185" t="str">
        <f>IF(OR($C233="Replace-on-Burnout",$C233="New Construction"),$CT233,IF($BW233="","",VLOOKUP($D233,'Factor Tables'!$B$165:$H$192,MATCH($BW233,'Factor Tables'!$B$164:$H$164,0),FALSE)))</f>
        <v/>
      </c>
      <c r="CJ233" s="842" t="str">
        <f>IF(OR($C233="Replace-on-Burnout",$C233="New Construction"),$CU233,IF($BW233="","",IF($BW233="DX HP",VLOOKUP($D233,'Factor Tables'!$I$165:$Q$192,MATCH("DX HP Clg",'Factor Tables'!$I$164:$Q$164,0),FALSE),IF($BW233="PTHP",VLOOKUP($D233,'Factor Tables'!$I$165:$Q$192,MATCH("PTHP Clg",'Factor Tables'!$I$164:$Q$164,0),FALSE),IF(AND($BW233&lt;&gt;"DX HP",$BW233&lt;&gt;"PTHP"),VLOOKUP($D233,'Factor Tables'!$I$165:$Q$192,MATCH($BW233,'Factor Tables'!$I$164:$Q$164,0),FALSE),"")))))</f>
        <v/>
      </c>
      <c r="CK233" s="186" t="str">
        <f>IF(OR($C233="Replace-on-Burnout",$C233="New Construction",$CL233="DX HP",$CL233="PTHP"),$CV233,IF($BW233="","",IF($BW233="DX HP",VLOOKUP($D233,'Factor Tables'!$I$165:$Q$192,MATCH("DX HP Htg",'Factor Tables'!$I$164:$Q$164,0),FALSE),IF($BW233="PTHP",VLOOKUP($D233,'Factor Tables'!$I$165:$Q$192,MATCH("PTHP Htg",'Factor Tables'!$I$164:$Q$164,0),FALSE),0))))</f>
        <v/>
      </c>
      <c r="CL233" s="187" t="str">
        <f t="shared" si="127"/>
        <v/>
      </c>
      <c r="CM233" s="251" t="str">
        <f t="shared" si="128"/>
        <v/>
      </c>
      <c r="CN233" s="184">
        <f t="shared" si="142"/>
        <v>0</v>
      </c>
      <c r="CO233" s="693">
        <f t="shared" si="143"/>
        <v>0</v>
      </c>
      <c r="CP233" s="182" t="s">
        <v>46</v>
      </c>
      <c r="CQ233" s="852" t="str">
        <f t="shared" si="144"/>
        <v/>
      </c>
      <c r="CR233" s="833">
        <f t="shared" si="145"/>
        <v>0</v>
      </c>
      <c r="CS233" s="830" t="s">
        <v>567</v>
      </c>
      <c r="CT233" s="185" t="str">
        <f>IF($CL233="","",VLOOKUP($D233,'Factor Tables'!$B$165:$H$192,MATCH($CL233,'Factor Tables'!$B$164:$H$164,0),FALSE))</f>
        <v/>
      </c>
      <c r="CU233" s="842" t="str">
        <f>IF($CL233="","",IF(AND($CL233&lt;&gt;"DX HP",$CL233&lt;&gt;"PTHP"),VLOOKUP($D233,'Factor Tables'!$I$165:$Q$192,MATCH($CL233,'Factor Tables'!$I$164:$Q$164,0),FALSE),IF($CL233="DX HP",VLOOKUP($D233,'Factor Tables'!$I$165:$Q$192,MATCH("DX HP Clg",'Factor Tables'!$I$164:$Q$164,0),FALSE),IF($CL233="PTHP",VLOOKUP($D233,'Factor Tables'!$I$165:$Q$192,MATCH("PTHP Clg",'Factor Tables'!$I$164:$Q$164,0),FALSE),""))))</f>
        <v/>
      </c>
      <c r="CV233" s="186" t="str">
        <f>IF($CL233="","",IF(AND($CL233&lt;&gt;"DX HP",$CL233&lt;&gt;"PTHP"),0,IF($CL233="DX HP",VLOOKUP($D233,'Factor Tables'!$I$165:$Q$192,MATCH("DX HP Htg",'Factor Tables'!$I$164:$Q$164,0),FALSE),IF($CL233="PTHP",VLOOKUP($D233,'Factor Tables'!$I$165:$Q$192,MATCH("PTHP Htg",'Factor Tables'!$I$164:$Q$164,0),FALSE),""))))</f>
        <v/>
      </c>
      <c r="DD233" s="196" t="str">
        <f>IF(OR('Project Info'!$D$8="",$C73="",$D73=""),"",IF('Project Info'!$D$8="Weather Zone 5: El Paso",VLOOKUP($D73,$DI$9:$DL$37,MATCH($C73,$DI$9:$DL$9,0),FALSE),VLOOKUP($D73,$DE$9:$DH$37,MATCH($C73,$DE$9:$DH$9,0),FALSE)))</f>
        <v/>
      </c>
      <c r="DE233" s="426"/>
      <c r="DI233" s="425"/>
      <c r="DJ233" s="425"/>
      <c r="DK233" s="425"/>
      <c r="DL233" s="425"/>
      <c r="DM233" s="493" t="s">
        <v>478</v>
      </c>
    </row>
    <row r="234" spans="2:117" s="427" customFormat="1" ht="21.95" customHeight="1" x14ac:dyDescent="0.25">
      <c r="B234" s="431">
        <v>225</v>
      </c>
      <c r="C234" s="501" t="str">
        <f t="shared" si="129"/>
        <v/>
      </c>
      <c r="D234" s="502" t="str">
        <f t="shared" si="130"/>
        <v/>
      </c>
      <c r="E234" s="546"/>
      <c r="F234" s="547"/>
      <c r="G234" s="729"/>
      <c r="H234" s="729"/>
      <c r="I234" s="729"/>
      <c r="J234" s="729"/>
      <c r="K234" s="729"/>
      <c r="L234" s="729"/>
      <c r="M234" s="765"/>
      <c r="N234" s="758"/>
      <c r="O234" s="765"/>
      <c r="P234" s="758"/>
      <c r="Q234" s="1143"/>
      <c r="R234" s="1134"/>
      <c r="S234" s="775"/>
      <c r="T234" s="729"/>
      <c r="U234" s="775"/>
      <c r="V234" s="779"/>
      <c r="W234" s="557"/>
      <c r="X234" s="788"/>
      <c r="Y234" s="543"/>
      <c r="Z234" s="281"/>
      <c r="AA234" s="281"/>
      <c r="AB234" s="281"/>
      <c r="AC234" s="281"/>
      <c r="AD234" s="492"/>
      <c r="AE234" s="527">
        <f t="shared" si="39"/>
        <v>0</v>
      </c>
      <c r="AF234" s="527">
        <f t="shared" si="131"/>
        <v>0</v>
      </c>
      <c r="AG234" s="527">
        <f t="shared" si="111"/>
        <v>0</v>
      </c>
      <c r="AH234" s="527">
        <f t="shared" si="112"/>
        <v>0</v>
      </c>
      <c r="AI234" s="527">
        <f t="shared" si="113"/>
        <v>0</v>
      </c>
      <c r="AJ234" s="527">
        <f t="shared" si="114"/>
        <v>999999999</v>
      </c>
      <c r="AK234" s="471"/>
      <c r="AL234" s="765"/>
      <c r="AM234" s="758"/>
      <c r="AN234" s="281"/>
      <c r="AO234" s="775"/>
      <c r="AP234" s="775"/>
      <c r="AQ234" s="281"/>
      <c r="AR234" s="528"/>
      <c r="AS234" s="532"/>
      <c r="AT234" s="524" t="str">
        <f t="shared" si="115"/>
        <v/>
      </c>
      <c r="AU234" s="311">
        <f t="shared" si="116"/>
        <v>0</v>
      </c>
      <c r="AV234" s="288">
        <f t="shared" si="132"/>
        <v>0</v>
      </c>
      <c r="AW234" s="290">
        <f>IF(ISERROR($AU234*'Utility Admin'!$E$4+$AV234*'Utility Admin'!$F$4),0,$AU234*'Utility Admin'!$E$4+$AV234*'Utility Admin'!$F$4)</f>
        <v>0</v>
      </c>
      <c r="AX234" s="323" t="str">
        <f t="shared" si="117"/>
        <v/>
      </c>
      <c r="AY234" s="322" t="str">
        <f t="shared" si="23"/>
        <v/>
      </c>
      <c r="AZ234" s="319">
        <f>Baselines!$CJ478</f>
        <v>0</v>
      </c>
      <c r="BA234" s="735">
        <f>Baselines!$CK478</f>
        <v>0</v>
      </c>
      <c r="BB234" s="839">
        <f>Baselines!$CM478</f>
        <v>0</v>
      </c>
      <c r="BC234" s="466">
        <f t="shared" si="118"/>
        <v>0</v>
      </c>
      <c r="BD234" s="464">
        <f t="shared" si="133"/>
        <v>0</v>
      </c>
      <c r="BE234" s="755">
        <f t="shared" si="119"/>
        <v>0</v>
      </c>
      <c r="BF234" s="755">
        <f t="shared" si="134"/>
        <v>0</v>
      </c>
      <c r="BG234" s="466">
        <f t="shared" si="120"/>
        <v>0</v>
      </c>
      <c r="BH234" s="464">
        <f t="shared" si="121"/>
        <v>0</v>
      </c>
      <c r="BI234" s="755">
        <f t="shared" si="122"/>
        <v>0</v>
      </c>
      <c r="BJ234" s="755">
        <f t="shared" si="135"/>
        <v>0</v>
      </c>
      <c r="BK234" s="333">
        <f>IF(OR($C234&lt;&gt;"Early Retirement",$H234=""),0,IF(AND($G234&lt;&gt;"Air Cooled Chiller",$G234&lt;&gt;"Water Cooled Chiller"),VLOOKUP($H234,'Early Retirement'!$CI$6:$CL$33,2,FALSE),IF($J234&lt;&gt;"Centrifugal",VLOOKUP($H234,'Early Retirement'!$CI$6:$CL$33,3,FALSE),IF($J234="Centrifugal",VLOOKUP($H234,'Early Retirement'!$CI$6:$CL$33,4,FALSE),""))))</f>
        <v>0</v>
      </c>
      <c r="BL234" s="450">
        <f t="shared" si="123"/>
        <v>0</v>
      </c>
      <c r="BM234" s="553">
        <f>IFERROR('Utility Admin'!$I$4*((1+'Utility Admin'!$G$4)/('Utility Admin'!$H$4-'Utility Admin'!$G$4))*(1-((1+'Utility Admin'!$G$4)/(1+'Utility Admin'!$H$4))^$BK234)*$BG234,0)</f>
        <v>0</v>
      </c>
      <c r="BN234" s="553">
        <f>IFERROR('Utility Admin'!$I$4*((1+'Utility Admin'!$G$4)/('Utility Admin'!$H$4-'Utility Admin'!$G$4))*(1-((1+'Utility Admin'!$G$4)/(1+'Utility Admin'!$H$4))^$BL234)*((1+'Utility Admin'!$G$4)^$BK234/(1+'Utility Admin'!$H$4)^$BK234)*$BC234,0)</f>
        <v>0</v>
      </c>
      <c r="BO234" s="553">
        <f t="shared" si="27"/>
        <v>0</v>
      </c>
      <c r="BP234" s="553">
        <f>IFERROR('Utility Admin'!$J$4*((1+'Utility Admin'!$G$4)/('Utility Admin'!$H$4-'Utility Admin'!$G$4))*(1-((1+'Utility Admin'!$G$4)/(1+'Utility Admin'!$H$4))^$BK234)*$BJ234,0)</f>
        <v>0</v>
      </c>
      <c r="BQ234" s="553">
        <f>IFERROR('Utility Admin'!$J$4*((1+'Utility Admin'!$G$4)/('Utility Admin'!$H$4-'Utility Admin'!$G$4))*(1-((1+'Utility Admin'!$G$4)/(1+'Utility Admin'!$H$4))^$BL234)*((1+'Utility Admin'!$G$4)^$BK234/(1+'Utility Admin'!$H$4)^$BK234)*$BF234,0)</f>
        <v>0</v>
      </c>
      <c r="BR234" s="553">
        <f t="shared" si="28"/>
        <v>0</v>
      </c>
      <c r="BS234" s="553">
        <f>IFERROR('Utility Admin'!$I$4*((1+'Utility Admin'!$G$4)/('Utility Admin'!$H$4-'Utility Admin'!$G$4))*(1-((1+'Utility Admin'!$G$4)/(1+'Utility Admin'!$H$4))^$AT234),0)</f>
        <v>0</v>
      </c>
      <c r="BT234" s="553">
        <f>IFERROR('Utility Admin'!$J$4*((1+'Utility Admin'!$G$4)/('Utility Admin'!$H$4-'Utility Admin'!$G$4))*(1-((1+'Utility Admin'!$G$4)/(1+'Utility Admin'!$H$4))^$AT234),0)</f>
        <v>0</v>
      </c>
      <c r="BU234" s="459">
        <f t="shared" si="136"/>
        <v>0</v>
      </c>
      <c r="BV234" s="462">
        <f t="shared" si="137"/>
        <v>0</v>
      </c>
      <c r="BW234" s="219" t="str">
        <f t="shared" si="124"/>
        <v/>
      </c>
      <c r="BX234" s="250" t="str">
        <f t="shared" si="138"/>
        <v/>
      </c>
      <c r="BY234" s="250" t="str">
        <f t="shared" si="125"/>
        <v/>
      </c>
      <c r="BZ234" s="184">
        <f t="shared" si="139"/>
        <v>0</v>
      </c>
      <c r="CA234" s="693">
        <f t="shared" si="140"/>
        <v>0</v>
      </c>
      <c r="CB234" s="836">
        <f t="shared" si="141"/>
        <v>0</v>
      </c>
      <c r="CC234" s="693">
        <f>IF(AND($C234="Early Retirement",$H234&lt;&gt;"",$R234&lt;&gt;"",$T234&lt;&gt;""),$BZ234,Baselines!$CJ227)</f>
        <v>0</v>
      </c>
      <c r="CD234" s="693">
        <f>IF(AND($C234="Early Retirement",$H234&lt;&gt;"",$R234&lt;&gt;"",$T234&lt;&gt;""),$CA234,Baselines!$CK227)</f>
        <v>0</v>
      </c>
      <c r="CE234" s="182" t="str">
        <f>Baselines!$CL227</f>
        <v>kW/ton</v>
      </c>
      <c r="CF234" s="850" t="str">
        <f t="shared" si="126"/>
        <v/>
      </c>
      <c r="CG234" s="833">
        <f>IF(AND($C234="Early Retirement",$H234&lt;&gt;"",$R234&lt;&gt;"",$T234&lt;&gt;""),$CB234,IF(AND(Baselines!$CM227=0,OR($CL234="DX HP",$CL234="PTHP")),$BB234,Baselines!$CM227))</f>
        <v>0</v>
      </c>
      <c r="CH234" s="830" t="s">
        <v>567</v>
      </c>
      <c r="CI234" s="185" t="str">
        <f>IF(OR($C234="Replace-on-Burnout",$C234="New Construction"),$CT234,IF($BW234="","",VLOOKUP($D234,'Factor Tables'!$B$165:$H$192,MATCH($BW234,'Factor Tables'!$B$164:$H$164,0),FALSE)))</f>
        <v/>
      </c>
      <c r="CJ234" s="842" t="str">
        <f>IF(OR($C234="Replace-on-Burnout",$C234="New Construction"),$CU234,IF($BW234="","",IF($BW234="DX HP",VLOOKUP($D234,'Factor Tables'!$I$165:$Q$192,MATCH("DX HP Clg",'Factor Tables'!$I$164:$Q$164,0),FALSE),IF($BW234="PTHP",VLOOKUP($D234,'Factor Tables'!$I$165:$Q$192,MATCH("PTHP Clg",'Factor Tables'!$I$164:$Q$164,0),FALSE),IF(AND($BW234&lt;&gt;"DX HP",$BW234&lt;&gt;"PTHP"),VLOOKUP($D234,'Factor Tables'!$I$165:$Q$192,MATCH($BW234,'Factor Tables'!$I$164:$Q$164,0),FALSE),"")))))</f>
        <v/>
      </c>
      <c r="CK234" s="186" t="str">
        <f>IF(OR($C234="Replace-on-Burnout",$C234="New Construction",$CL234="DX HP",$CL234="PTHP"),$CV234,IF($BW234="","",IF($BW234="DX HP",VLOOKUP($D234,'Factor Tables'!$I$165:$Q$192,MATCH("DX HP Htg",'Factor Tables'!$I$164:$Q$164,0),FALSE),IF($BW234="PTHP",VLOOKUP($D234,'Factor Tables'!$I$165:$Q$192,MATCH("PTHP Htg",'Factor Tables'!$I$164:$Q$164,0),FALSE),0))))</f>
        <v/>
      </c>
      <c r="CL234" s="187" t="str">
        <f t="shared" si="127"/>
        <v/>
      </c>
      <c r="CM234" s="251" t="str">
        <f t="shared" si="128"/>
        <v/>
      </c>
      <c r="CN234" s="184">
        <f t="shared" si="142"/>
        <v>0</v>
      </c>
      <c r="CO234" s="693">
        <f t="shared" si="143"/>
        <v>0</v>
      </c>
      <c r="CP234" s="182" t="s">
        <v>46</v>
      </c>
      <c r="CQ234" s="852" t="str">
        <f t="shared" si="144"/>
        <v/>
      </c>
      <c r="CR234" s="833">
        <f t="shared" si="145"/>
        <v>0</v>
      </c>
      <c r="CS234" s="830" t="s">
        <v>567</v>
      </c>
      <c r="CT234" s="185" t="str">
        <f>IF($CL234="","",VLOOKUP($D234,'Factor Tables'!$B$165:$H$192,MATCH($CL234,'Factor Tables'!$B$164:$H$164,0),FALSE))</f>
        <v/>
      </c>
      <c r="CU234" s="842" t="str">
        <f>IF($CL234="","",IF(AND($CL234&lt;&gt;"DX HP",$CL234&lt;&gt;"PTHP"),VLOOKUP($D234,'Factor Tables'!$I$165:$Q$192,MATCH($CL234,'Factor Tables'!$I$164:$Q$164,0),FALSE),IF($CL234="DX HP",VLOOKUP($D234,'Factor Tables'!$I$165:$Q$192,MATCH("DX HP Clg",'Factor Tables'!$I$164:$Q$164,0),FALSE),IF($CL234="PTHP",VLOOKUP($D234,'Factor Tables'!$I$165:$Q$192,MATCH("PTHP Clg",'Factor Tables'!$I$164:$Q$164,0),FALSE),""))))</f>
        <v/>
      </c>
      <c r="CV234" s="186" t="str">
        <f>IF($CL234="","",IF(AND($CL234&lt;&gt;"DX HP",$CL234&lt;&gt;"PTHP"),0,IF($CL234="DX HP",VLOOKUP($D234,'Factor Tables'!$I$165:$Q$192,MATCH("DX HP Htg",'Factor Tables'!$I$164:$Q$164,0),FALSE),IF($CL234="PTHP",VLOOKUP($D234,'Factor Tables'!$I$165:$Q$192,MATCH("PTHP Htg",'Factor Tables'!$I$164:$Q$164,0),FALSE),""))))</f>
        <v/>
      </c>
      <c r="DD234" s="196" t="str">
        <f>IF(OR('Project Info'!$D$8="",$C74="",$D74=""),"",IF('Project Info'!$D$8="Weather Zone 5: El Paso",VLOOKUP($D74,$DI$9:$DL$37,MATCH($C74,$DI$9:$DL$9,0),FALSE),VLOOKUP($D74,$DE$9:$DH$37,MATCH($C74,$DE$9:$DH$9,0),FALSE)))</f>
        <v/>
      </c>
      <c r="DE234" s="426"/>
      <c r="DI234" s="425"/>
      <c r="DJ234" s="425"/>
      <c r="DK234" s="425"/>
      <c r="DL234" s="425"/>
      <c r="DM234" s="493" t="s">
        <v>478</v>
      </c>
    </row>
    <row r="235" spans="2:117" s="427" customFormat="1" ht="21.95" customHeight="1" x14ac:dyDescent="0.25">
      <c r="B235" s="432">
        <v>226</v>
      </c>
      <c r="C235" s="499" t="str">
        <f t="shared" si="129"/>
        <v/>
      </c>
      <c r="D235" s="403" t="str">
        <f t="shared" si="130"/>
        <v/>
      </c>
      <c r="E235" s="541"/>
      <c r="F235" s="785"/>
      <c r="G235" s="728"/>
      <c r="H235" s="728"/>
      <c r="I235" s="728"/>
      <c r="J235" s="728"/>
      <c r="K235" s="728"/>
      <c r="L235" s="728"/>
      <c r="M235" s="764"/>
      <c r="N235" s="728"/>
      <c r="O235" s="764"/>
      <c r="P235" s="728"/>
      <c r="Q235" s="1142"/>
      <c r="R235" s="1133"/>
      <c r="S235" s="778"/>
      <c r="T235" s="767"/>
      <c r="U235" s="778"/>
      <c r="V235" s="751"/>
      <c r="W235" s="556"/>
      <c r="X235" s="785"/>
      <c r="Y235" s="542"/>
      <c r="Z235" s="500"/>
      <c r="AA235" s="500"/>
      <c r="AB235" s="500"/>
      <c r="AC235" s="500"/>
      <c r="AD235" s="529"/>
      <c r="AE235" s="527">
        <f t="shared" si="39"/>
        <v>0</v>
      </c>
      <c r="AF235" s="527">
        <f t="shared" si="131"/>
        <v>0</v>
      </c>
      <c r="AG235" s="527">
        <f t="shared" si="111"/>
        <v>0</v>
      </c>
      <c r="AH235" s="527">
        <f t="shared" si="112"/>
        <v>0</v>
      </c>
      <c r="AI235" s="527">
        <f t="shared" si="113"/>
        <v>0</v>
      </c>
      <c r="AJ235" s="527">
        <f t="shared" si="114"/>
        <v>999999999</v>
      </c>
      <c r="AK235" s="530"/>
      <c r="AL235" s="776"/>
      <c r="AM235" s="777"/>
      <c r="AN235" s="500"/>
      <c r="AO235" s="778"/>
      <c r="AP235" s="778"/>
      <c r="AQ235" s="500"/>
      <c r="AR235" s="531"/>
      <c r="AS235" s="403"/>
      <c r="AT235" s="524" t="str">
        <f t="shared" si="115"/>
        <v/>
      </c>
      <c r="AU235" s="311">
        <f t="shared" si="116"/>
        <v>0</v>
      </c>
      <c r="AV235" s="288">
        <f t="shared" si="132"/>
        <v>0</v>
      </c>
      <c r="AW235" s="290">
        <f>IF(ISERROR($AU235*'Utility Admin'!$E$4+$AV235*'Utility Admin'!$F$4),0,$AU235*'Utility Admin'!$E$4+$AV235*'Utility Admin'!$F$4)</f>
        <v>0</v>
      </c>
      <c r="AX235" s="323" t="str">
        <f t="shared" si="117"/>
        <v/>
      </c>
      <c r="AY235" s="322" t="str">
        <f t="shared" si="23"/>
        <v/>
      </c>
      <c r="AZ235" s="319">
        <f>Baselines!$CJ479</f>
        <v>0</v>
      </c>
      <c r="BA235" s="735">
        <f>Baselines!$CK479</f>
        <v>0</v>
      </c>
      <c r="BB235" s="839">
        <f>Baselines!$CM479</f>
        <v>0</v>
      </c>
      <c r="BC235" s="466">
        <f t="shared" si="118"/>
        <v>0</v>
      </c>
      <c r="BD235" s="464">
        <f t="shared" si="133"/>
        <v>0</v>
      </c>
      <c r="BE235" s="755">
        <f t="shared" si="119"/>
        <v>0</v>
      </c>
      <c r="BF235" s="755">
        <f t="shared" si="134"/>
        <v>0</v>
      </c>
      <c r="BG235" s="466">
        <f t="shared" si="120"/>
        <v>0</v>
      </c>
      <c r="BH235" s="464">
        <f t="shared" si="121"/>
        <v>0</v>
      </c>
      <c r="BI235" s="755">
        <f t="shared" si="122"/>
        <v>0</v>
      </c>
      <c r="BJ235" s="755">
        <f t="shared" si="135"/>
        <v>0</v>
      </c>
      <c r="BK235" s="333">
        <f>IF(OR($C235&lt;&gt;"Early Retirement",$H235=""),0,IF(AND($G235&lt;&gt;"Air Cooled Chiller",$G235&lt;&gt;"Water Cooled Chiller"),VLOOKUP($H235,'Early Retirement'!$CI$6:$CL$33,2,FALSE),IF($J235&lt;&gt;"Centrifugal",VLOOKUP($H235,'Early Retirement'!$CI$6:$CL$33,3,FALSE),IF($J235="Centrifugal",VLOOKUP($H235,'Early Retirement'!$CI$6:$CL$33,4,FALSE),""))))</f>
        <v>0</v>
      </c>
      <c r="BL235" s="450">
        <f t="shared" si="123"/>
        <v>0</v>
      </c>
      <c r="BM235" s="553">
        <f>IFERROR('Utility Admin'!$I$4*((1+'Utility Admin'!$G$4)/('Utility Admin'!$H$4-'Utility Admin'!$G$4))*(1-((1+'Utility Admin'!$G$4)/(1+'Utility Admin'!$H$4))^$BK235)*$BG235,0)</f>
        <v>0</v>
      </c>
      <c r="BN235" s="553">
        <f>IFERROR('Utility Admin'!$I$4*((1+'Utility Admin'!$G$4)/('Utility Admin'!$H$4-'Utility Admin'!$G$4))*(1-((1+'Utility Admin'!$G$4)/(1+'Utility Admin'!$H$4))^$BL235)*((1+'Utility Admin'!$G$4)^$BK235/(1+'Utility Admin'!$H$4)^$BK235)*$BC235,0)</f>
        <v>0</v>
      </c>
      <c r="BO235" s="553">
        <f t="shared" si="27"/>
        <v>0</v>
      </c>
      <c r="BP235" s="553">
        <f>IFERROR('Utility Admin'!$J$4*((1+'Utility Admin'!$G$4)/('Utility Admin'!$H$4-'Utility Admin'!$G$4))*(1-((1+'Utility Admin'!$G$4)/(1+'Utility Admin'!$H$4))^$BK235)*$BJ235,0)</f>
        <v>0</v>
      </c>
      <c r="BQ235" s="553">
        <f>IFERROR('Utility Admin'!$J$4*((1+'Utility Admin'!$G$4)/('Utility Admin'!$H$4-'Utility Admin'!$G$4))*(1-((1+'Utility Admin'!$G$4)/(1+'Utility Admin'!$H$4))^$BL235)*((1+'Utility Admin'!$G$4)^$BK235/(1+'Utility Admin'!$H$4)^$BK235)*$BF235,0)</f>
        <v>0</v>
      </c>
      <c r="BR235" s="553">
        <f t="shared" si="28"/>
        <v>0</v>
      </c>
      <c r="BS235" s="553">
        <f>IFERROR('Utility Admin'!$I$4*((1+'Utility Admin'!$G$4)/('Utility Admin'!$H$4-'Utility Admin'!$G$4))*(1-((1+'Utility Admin'!$G$4)/(1+'Utility Admin'!$H$4))^$AT235),0)</f>
        <v>0</v>
      </c>
      <c r="BT235" s="553">
        <f>IFERROR('Utility Admin'!$J$4*((1+'Utility Admin'!$G$4)/('Utility Admin'!$H$4-'Utility Admin'!$G$4))*(1-((1+'Utility Admin'!$G$4)/(1+'Utility Admin'!$H$4))^$AT235),0)</f>
        <v>0</v>
      </c>
      <c r="BU235" s="459">
        <f t="shared" si="136"/>
        <v>0</v>
      </c>
      <c r="BV235" s="462">
        <f t="shared" si="137"/>
        <v>0</v>
      </c>
      <c r="BW235" s="219" t="str">
        <f t="shared" si="124"/>
        <v/>
      </c>
      <c r="BX235" s="250" t="str">
        <f t="shared" si="138"/>
        <v/>
      </c>
      <c r="BY235" s="250" t="str">
        <f t="shared" si="125"/>
        <v/>
      </c>
      <c r="BZ235" s="184">
        <f t="shared" si="139"/>
        <v>0</v>
      </c>
      <c r="CA235" s="693">
        <f t="shared" si="140"/>
        <v>0</v>
      </c>
      <c r="CB235" s="836">
        <f t="shared" si="141"/>
        <v>0</v>
      </c>
      <c r="CC235" s="693">
        <f>IF(AND($C235="Early Retirement",$H235&lt;&gt;"",$R235&lt;&gt;"",$T235&lt;&gt;""),$BZ235,Baselines!$CJ228)</f>
        <v>0</v>
      </c>
      <c r="CD235" s="693">
        <f>IF(AND($C235="Early Retirement",$H235&lt;&gt;"",$R235&lt;&gt;"",$T235&lt;&gt;""),$CA235,Baselines!$CK228)</f>
        <v>0</v>
      </c>
      <c r="CE235" s="182" t="str">
        <f>Baselines!$CL228</f>
        <v>kW/ton</v>
      </c>
      <c r="CF235" s="850" t="str">
        <f t="shared" si="126"/>
        <v/>
      </c>
      <c r="CG235" s="833">
        <f>IF(AND($C235="Early Retirement",$H235&lt;&gt;"",$R235&lt;&gt;"",$T235&lt;&gt;""),$CB235,IF(AND(Baselines!$CM228=0,OR($CL235="DX HP",$CL235="PTHP")),$BB235,Baselines!$CM228))</f>
        <v>0</v>
      </c>
      <c r="CH235" s="830" t="s">
        <v>567</v>
      </c>
      <c r="CI235" s="185" t="str">
        <f>IF(OR($C235="Replace-on-Burnout",$C235="New Construction"),$CT235,IF($BW235="","",VLOOKUP($D235,'Factor Tables'!$B$165:$H$192,MATCH($BW235,'Factor Tables'!$B$164:$H$164,0),FALSE)))</f>
        <v/>
      </c>
      <c r="CJ235" s="842" t="str">
        <f>IF(OR($C235="Replace-on-Burnout",$C235="New Construction"),$CU235,IF($BW235="","",IF($BW235="DX HP",VLOOKUP($D235,'Factor Tables'!$I$165:$Q$192,MATCH("DX HP Clg",'Factor Tables'!$I$164:$Q$164,0),FALSE),IF($BW235="PTHP",VLOOKUP($D235,'Factor Tables'!$I$165:$Q$192,MATCH("PTHP Clg",'Factor Tables'!$I$164:$Q$164,0),FALSE),IF(AND($BW235&lt;&gt;"DX HP",$BW235&lt;&gt;"PTHP"),VLOOKUP($D235,'Factor Tables'!$I$165:$Q$192,MATCH($BW235,'Factor Tables'!$I$164:$Q$164,0),FALSE),"")))))</f>
        <v/>
      </c>
      <c r="CK235" s="186" t="str">
        <f>IF(OR($C235="Replace-on-Burnout",$C235="New Construction",$CL235="DX HP",$CL235="PTHP"),$CV235,IF($BW235="","",IF($BW235="DX HP",VLOOKUP($D235,'Factor Tables'!$I$165:$Q$192,MATCH("DX HP Htg",'Factor Tables'!$I$164:$Q$164,0),FALSE),IF($BW235="PTHP",VLOOKUP($D235,'Factor Tables'!$I$165:$Q$192,MATCH("PTHP Htg",'Factor Tables'!$I$164:$Q$164,0),FALSE),0))))</f>
        <v/>
      </c>
      <c r="CL235" s="187" t="str">
        <f t="shared" si="127"/>
        <v/>
      </c>
      <c r="CM235" s="251" t="str">
        <f t="shared" si="128"/>
        <v/>
      </c>
      <c r="CN235" s="184">
        <f t="shared" si="142"/>
        <v>0</v>
      </c>
      <c r="CO235" s="693">
        <f t="shared" si="143"/>
        <v>0</v>
      </c>
      <c r="CP235" s="182" t="s">
        <v>46</v>
      </c>
      <c r="CQ235" s="852" t="str">
        <f t="shared" si="144"/>
        <v/>
      </c>
      <c r="CR235" s="833">
        <f t="shared" si="145"/>
        <v>0</v>
      </c>
      <c r="CS235" s="830" t="s">
        <v>567</v>
      </c>
      <c r="CT235" s="185" t="str">
        <f>IF($CL235="","",VLOOKUP($D235,'Factor Tables'!$B$165:$H$192,MATCH($CL235,'Factor Tables'!$B$164:$H$164,0),FALSE))</f>
        <v/>
      </c>
      <c r="CU235" s="842" t="str">
        <f>IF($CL235="","",IF(AND($CL235&lt;&gt;"DX HP",$CL235&lt;&gt;"PTHP"),VLOOKUP($D235,'Factor Tables'!$I$165:$Q$192,MATCH($CL235,'Factor Tables'!$I$164:$Q$164,0),FALSE),IF($CL235="DX HP",VLOOKUP($D235,'Factor Tables'!$I$165:$Q$192,MATCH("DX HP Clg",'Factor Tables'!$I$164:$Q$164,0),FALSE),IF($CL235="PTHP",VLOOKUP($D235,'Factor Tables'!$I$165:$Q$192,MATCH("PTHP Clg",'Factor Tables'!$I$164:$Q$164,0),FALSE),""))))</f>
        <v/>
      </c>
      <c r="CV235" s="186" t="str">
        <f>IF($CL235="","",IF(AND($CL235&lt;&gt;"DX HP",$CL235&lt;&gt;"PTHP"),0,IF($CL235="DX HP",VLOOKUP($D235,'Factor Tables'!$I$165:$Q$192,MATCH("DX HP Htg",'Factor Tables'!$I$164:$Q$164,0),FALSE),IF($CL235="PTHP",VLOOKUP($D235,'Factor Tables'!$I$165:$Q$192,MATCH("PTHP Htg",'Factor Tables'!$I$164:$Q$164,0),FALSE),""))))</f>
        <v/>
      </c>
      <c r="DD235" s="196" t="str">
        <f>IF(OR('Project Info'!$D$8="",$C75="",$D75=""),"",IF('Project Info'!$D$8="Weather Zone 5: El Paso",VLOOKUP($D75,$DI$9:$DL$37,MATCH($C75,$DI$9:$DL$9,0),FALSE),VLOOKUP($D75,$DE$9:$DH$37,MATCH($C75,$DE$9:$DH$9,0),FALSE)))</f>
        <v/>
      </c>
      <c r="DE235" s="426"/>
      <c r="DI235" s="425"/>
      <c r="DJ235" s="425"/>
      <c r="DK235" s="425"/>
      <c r="DL235" s="425"/>
      <c r="DM235" s="493" t="s">
        <v>478</v>
      </c>
    </row>
    <row r="236" spans="2:117" s="427" customFormat="1" ht="21.95" customHeight="1" x14ac:dyDescent="0.25">
      <c r="B236" s="431">
        <v>227</v>
      </c>
      <c r="C236" s="501" t="str">
        <f t="shared" si="129"/>
        <v/>
      </c>
      <c r="D236" s="502" t="str">
        <f t="shared" si="130"/>
        <v/>
      </c>
      <c r="E236" s="546"/>
      <c r="F236" s="547"/>
      <c r="G236" s="729"/>
      <c r="H236" s="729"/>
      <c r="I236" s="729"/>
      <c r="J236" s="729"/>
      <c r="K236" s="729"/>
      <c r="L236" s="729"/>
      <c r="M236" s="765"/>
      <c r="N236" s="758"/>
      <c r="O236" s="765"/>
      <c r="P236" s="758"/>
      <c r="Q236" s="1143"/>
      <c r="R236" s="1134"/>
      <c r="S236" s="775"/>
      <c r="T236" s="729"/>
      <c r="U236" s="775"/>
      <c r="V236" s="779"/>
      <c r="W236" s="557"/>
      <c r="X236" s="788"/>
      <c r="Y236" s="543"/>
      <c r="Z236" s="281"/>
      <c r="AA236" s="281"/>
      <c r="AB236" s="281"/>
      <c r="AC236" s="281"/>
      <c r="AD236" s="492"/>
      <c r="AE236" s="527">
        <f t="shared" si="39"/>
        <v>0</v>
      </c>
      <c r="AF236" s="527">
        <f t="shared" si="131"/>
        <v>0</v>
      </c>
      <c r="AG236" s="527">
        <f t="shared" si="111"/>
        <v>0</v>
      </c>
      <c r="AH236" s="527">
        <f t="shared" si="112"/>
        <v>0</v>
      </c>
      <c r="AI236" s="527">
        <f t="shared" si="113"/>
        <v>0</v>
      </c>
      <c r="AJ236" s="527">
        <f t="shared" si="114"/>
        <v>999999999</v>
      </c>
      <c r="AK236" s="471"/>
      <c r="AL236" s="765"/>
      <c r="AM236" s="758"/>
      <c r="AN236" s="281"/>
      <c r="AO236" s="775"/>
      <c r="AP236" s="775"/>
      <c r="AQ236" s="281"/>
      <c r="AR236" s="528"/>
      <c r="AS236" s="532"/>
      <c r="AT236" s="524" t="str">
        <f t="shared" si="115"/>
        <v/>
      </c>
      <c r="AU236" s="311">
        <f t="shared" si="116"/>
        <v>0</v>
      </c>
      <c r="AV236" s="288">
        <f t="shared" si="132"/>
        <v>0</v>
      </c>
      <c r="AW236" s="290">
        <f>IF(ISERROR($AU236*'Utility Admin'!$E$4+$AV236*'Utility Admin'!$F$4),0,$AU236*'Utility Admin'!$E$4+$AV236*'Utility Admin'!$F$4)</f>
        <v>0</v>
      </c>
      <c r="AX236" s="323" t="str">
        <f t="shared" si="117"/>
        <v/>
      </c>
      <c r="AY236" s="322" t="str">
        <f t="shared" si="23"/>
        <v/>
      </c>
      <c r="AZ236" s="319">
        <f>Baselines!$CJ480</f>
        <v>0</v>
      </c>
      <c r="BA236" s="735">
        <f>Baselines!$CK480</f>
        <v>0</v>
      </c>
      <c r="BB236" s="839">
        <f>Baselines!$CM480</f>
        <v>0</v>
      </c>
      <c r="BC236" s="466">
        <f t="shared" si="118"/>
        <v>0</v>
      </c>
      <c r="BD236" s="464">
        <f t="shared" si="133"/>
        <v>0</v>
      </c>
      <c r="BE236" s="755">
        <f t="shared" si="119"/>
        <v>0</v>
      </c>
      <c r="BF236" s="755">
        <f t="shared" si="134"/>
        <v>0</v>
      </c>
      <c r="BG236" s="466">
        <f t="shared" si="120"/>
        <v>0</v>
      </c>
      <c r="BH236" s="464">
        <f t="shared" si="121"/>
        <v>0</v>
      </c>
      <c r="BI236" s="755">
        <f t="shared" si="122"/>
        <v>0</v>
      </c>
      <c r="BJ236" s="755">
        <f t="shared" si="135"/>
        <v>0</v>
      </c>
      <c r="BK236" s="333">
        <f>IF(OR($C236&lt;&gt;"Early Retirement",$H236=""),0,IF(AND($G236&lt;&gt;"Air Cooled Chiller",$G236&lt;&gt;"Water Cooled Chiller"),VLOOKUP($H236,'Early Retirement'!$CI$6:$CL$33,2,FALSE),IF($J236&lt;&gt;"Centrifugal",VLOOKUP($H236,'Early Retirement'!$CI$6:$CL$33,3,FALSE),IF($J236="Centrifugal",VLOOKUP($H236,'Early Retirement'!$CI$6:$CL$33,4,FALSE),""))))</f>
        <v>0</v>
      </c>
      <c r="BL236" s="450">
        <f t="shared" si="123"/>
        <v>0</v>
      </c>
      <c r="BM236" s="553">
        <f>IFERROR('Utility Admin'!$I$4*((1+'Utility Admin'!$G$4)/('Utility Admin'!$H$4-'Utility Admin'!$G$4))*(1-((1+'Utility Admin'!$G$4)/(1+'Utility Admin'!$H$4))^$BK236)*$BG236,0)</f>
        <v>0</v>
      </c>
      <c r="BN236" s="553">
        <f>IFERROR('Utility Admin'!$I$4*((1+'Utility Admin'!$G$4)/('Utility Admin'!$H$4-'Utility Admin'!$G$4))*(1-((1+'Utility Admin'!$G$4)/(1+'Utility Admin'!$H$4))^$BL236)*((1+'Utility Admin'!$G$4)^$BK236/(1+'Utility Admin'!$H$4)^$BK236)*$BC236,0)</f>
        <v>0</v>
      </c>
      <c r="BO236" s="553">
        <f t="shared" si="27"/>
        <v>0</v>
      </c>
      <c r="BP236" s="553">
        <f>IFERROR('Utility Admin'!$J$4*((1+'Utility Admin'!$G$4)/('Utility Admin'!$H$4-'Utility Admin'!$G$4))*(1-((1+'Utility Admin'!$G$4)/(1+'Utility Admin'!$H$4))^$BK236)*$BJ236,0)</f>
        <v>0</v>
      </c>
      <c r="BQ236" s="553">
        <f>IFERROR('Utility Admin'!$J$4*((1+'Utility Admin'!$G$4)/('Utility Admin'!$H$4-'Utility Admin'!$G$4))*(1-((1+'Utility Admin'!$G$4)/(1+'Utility Admin'!$H$4))^$BL236)*((1+'Utility Admin'!$G$4)^$BK236/(1+'Utility Admin'!$H$4)^$BK236)*$BF236,0)</f>
        <v>0</v>
      </c>
      <c r="BR236" s="553">
        <f t="shared" si="28"/>
        <v>0</v>
      </c>
      <c r="BS236" s="553">
        <f>IFERROR('Utility Admin'!$I$4*((1+'Utility Admin'!$G$4)/('Utility Admin'!$H$4-'Utility Admin'!$G$4))*(1-((1+'Utility Admin'!$G$4)/(1+'Utility Admin'!$H$4))^$AT236),0)</f>
        <v>0</v>
      </c>
      <c r="BT236" s="553">
        <f>IFERROR('Utility Admin'!$J$4*((1+'Utility Admin'!$G$4)/('Utility Admin'!$H$4-'Utility Admin'!$G$4))*(1-((1+'Utility Admin'!$G$4)/(1+'Utility Admin'!$H$4))^$AT236),0)</f>
        <v>0</v>
      </c>
      <c r="BU236" s="459">
        <f t="shared" si="136"/>
        <v>0</v>
      </c>
      <c r="BV236" s="462">
        <f t="shared" si="137"/>
        <v>0</v>
      </c>
      <c r="BW236" s="219" t="str">
        <f t="shared" si="124"/>
        <v/>
      </c>
      <c r="BX236" s="250" t="str">
        <f t="shared" si="138"/>
        <v/>
      </c>
      <c r="BY236" s="250" t="str">
        <f t="shared" si="125"/>
        <v/>
      </c>
      <c r="BZ236" s="184">
        <f t="shared" si="139"/>
        <v>0</v>
      </c>
      <c r="CA236" s="693">
        <f t="shared" si="140"/>
        <v>0</v>
      </c>
      <c r="CB236" s="836">
        <f t="shared" si="141"/>
        <v>0</v>
      </c>
      <c r="CC236" s="693">
        <f>IF(AND($C236="Early Retirement",$H236&lt;&gt;"",$R236&lt;&gt;"",$T236&lt;&gt;""),$BZ236,Baselines!$CJ229)</f>
        <v>0</v>
      </c>
      <c r="CD236" s="693">
        <f>IF(AND($C236="Early Retirement",$H236&lt;&gt;"",$R236&lt;&gt;"",$T236&lt;&gt;""),$CA236,Baselines!$CK229)</f>
        <v>0</v>
      </c>
      <c r="CE236" s="182" t="str">
        <f>Baselines!$CL229</f>
        <v>kW/ton</v>
      </c>
      <c r="CF236" s="850" t="str">
        <f t="shared" si="126"/>
        <v/>
      </c>
      <c r="CG236" s="833">
        <f>IF(AND($C236="Early Retirement",$H236&lt;&gt;"",$R236&lt;&gt;"",$T236&lt;&gt;""),$CB236,IF(AND(Baselines!$CM229=0,OR($CL236="DX HP",$CL236="PTHP")),$BB236,Baselines!$CM229))</f>
        <v>0</v>
      </c>
      <c r="CH236" s="830" t="s">
        <v>567</v>
      </c>
      <c r="CI236" s="185" t="str">
        <f>IF(OR($C236="Replace-on-Burnout",$C236="New Construction"),$CT236,IF($BW236="","",VLOOKUP($D236,'Factor Tables'!$B$165:$H$192,MATCH($BW236,'Factor Tables'!$B$164:$H$164,0),FALSE)))</f>
        <v/>
      </c>
      <c r="CJ236" s="842" t="str">
        <f>IF(OR($C236="Replace-on-Burnout",$C236="New Construction"),$CU236,IF($BW236="","",IF($BW236="DX HP",VLOOKUP($D236,'Factor Tables'!$I$165:$Q$192,MATCH("DX HP Clg",'Factor Tables'!$I$164:$Q$164,0),FALSE),IF($BW236="PTHP",VLOOKUP($D236,'Factor Tables'!$I$165:$Q$192,MATCH("PTHP Clg",'Factor Tables'!$I$164:$Q$164,0),FALSE),IF(AND($BW236&lt;&gt;"DX HP",$BW236&lt;&gt;"PTHP"),VLOOKUP($D236,'Factor Tables'!$I$165:$Q$192,MATCH($BW236,'Factor Tables'!$I$164:$Q$164,0),FALSE),"")))))</f>
        <v/>
      </c>
      <c r="CK236" s="186" t="str">
        <f>IF(OR($C236="Replace-on-Burnout",$C236="New Construction",$CL236="DX HP",$CL236="PTHP"),$CV236,IF($BW236="","",IF($BW236="DX HP",VLOOKUP($D236,'Factor Tables'!$I$165:$Q$192,MATCH("DX HP Htg",'Factor Tables'!$I$164:$Q$164,0),FALSE),IF($BW236="PTHP",VLOOKUP($D236,'Factor Tables'!$I$165:$Q$192,MATCH("PTHP Htg",'Factor Tables'!$I$164:$Q$164,0),FALSE),0))))</f>
        <v/>
      </c>
      <c r="CL236" s="187" t="str">
        <f t="shared" si="127"/>
        <v/>
      </c>
      <c r="CM236" s="251" t="str">
        <f t="shared" si="128"/>
        <v/>
      </c>
      <c r="CN236" s="184">
        <f t="shared" si="142"/>
        <v>0</v>
      </c>
      <c r="CO236" s="693">
        <f t="shared" si="143"/>
        <v>0</v>
      </c>
      <c r="CP236" s="182" t="s">
        <v>46</v>
      </c>
      <c r="CQ236" s="852" t="str">
        <f t="shared" si="144"/>
        <v/>
      </c>
      <c r="CR236" s="833">
        <f t="shared" si="145"/>
        <v>0</v>
      </c>
      <c r="CS236" s="830" t="s">
        <v>567</v>
      </c>
      <c r="CT236" s="185" t="str">
        <f>IF($CL236="","",VLOOKUP($D236,'Factor Tables'!$B$165:$H$192,MATCH($CL236,'Factor Tables'!$B$164:$H$164,0),FALSE))</f>
        <v/>
      </c>
      <c r="CU236" s="842" t="str">
        <f>IF($CL236="","",IF(AND($CL236&lt;&gt;"DX HP",$CL236&lt;&gt;"PTHP"),VLOOKUP($D236,'Factor Tables'!$I$165:$Q$192,MATCH($CL236,'Factor Tables'!$I$164:$Q$164,0),FALSE),IF($CL236="DX HP",VLOOKUP($D236,'Factor Tables'!$I$165:$Q$192,MATCH("DX HP Clg",'Factor Tables'!$I$164:$Q$164,0),FALSE),IF($CL236="PTHP",VLOOKUP($D236,'Factor Tables'!$I$165:$Q$192,MATCH("PTHP Clg",'Factor Tables'!$I$164:$Q$164,0),FALSE),""))))</f>
        <v/>
      </c>
      <c r="CV236" s="186" t="str">
        <f>IF($CL236="","",IF(AND($CL236&lt;&gt;"DX HP",$CL236&lt;&gt;"PTHP"),0,IF($CL236="DX HP",VLOOKUP($D236,'Factor Tables'!$I$165:$Q$192,MATCH("DX HP Htg",'Factor Tables'!$I$164:$Q$164,0),FALSE),IF($CL236="PTHP",VLOOKUP($D236,'Factor Tables'!$I$165:$Q$192,MATCH("PTHP Htg",'Factor Tables'!$I$164:$Q$164,0),FALSE),""))))</f>
        <v/>
      </c>
      <c r="DD236" s="196" t="str">
        <f>IF(OR('Project Info'!$D$8="",$C76="",$D76=""),"",IF('Project Info'!$D$8="Weather Zone 5: El Paso",VLOOKUP($D76,$DI$9:$DL$37,MATCH($C76,$DI$9:$DL$9,0),FALSE),VLOOKUP($D76,$DE$9:$DH$37,MATCH($C76,$DE$9:$DH$9,0),FALSE)))</f>
        <v/>
      </c>
      <c r="DE236" s="426"/>
      <c r="DI236" s="425"/>
      <c r="DJ236" s="425"/>
      <c r="DK236" s="425"/>
      <c r="DL236" s="425"/>
      <c r="DM236" s="493" t="s">
        <v>478</v>
      </c>
    </row>
    <row r="237" spans="2:117" s="427" customFormat="1" ht="21.95" customHeight="1" x14ac:dyDescent="0.25">
      <c r="B237" s="432">
        <v>228</v>
      </c>
      <c r="C237" s="499" t="str">
        <f t="shared" si="129"/>
        <v/>
      </c>
      <c r="D237" s="403" t="str">
        <f t="shared" si="130"/>
        <v/>
      </c>
      <c r="E237" s="541"/>
      <c r="F237" s="785"/>
      <c r="G237" s="728"/>
      <c r="H237" s="728"/>
      <c r="I237" s="728"/>
      <c r="J237" s="728"/>
      <c r="K237" s="728"/>
      <c r="L237" s="728"/>
      <c r="M237" s="764"/>
      <c r="N237" s="728"/>
      <c r="O237" s="764"/>
      <c r="P237" s="728"/>
      <c r="Q237" s="1142"/>
      <c r="R237" s="1133"/>
      <c r="S237" s="778"/>
      <c r="T237" s="767"/>
      <c r="U237" s="778"/>
      <c r="V237" s="751"/>
      <c r="W237" s="556"/>
      <c r="X237" s="785"/>
      <c r="Y237" s="542"/>
      <c r="Z237" s="500"/>
      <c r="AA237" s="500"/>
      <c r="AB237" s="500"/>
      <c r="AC237" s="500"/>
      <c r="AD237" s="529"/>
      <c r="AE237" s="527">
        <f t="shared" si="39"/>
        <v>0</v>
      </c>
      <c r="AF237" s="527">
        <f t="shared" si="131"/>
        <v>0</v>
      </c>
      <c r="AG237" s="527">
        <f t="shared" si="111"/>
        <v>0</v>
      </c>
      <c r="AH237" s="527">
        <f t="shared" si="112"/>
        <v>0</v>
      </c>
      <c r="AI237" s="527">
        <f t="shared" si="113"/>
        <v>0</v>
      </c>
      <c r="AJ237" s="527">
        <f t="shared" si="114"/>
        <v>999999999</v>
      </c>
      <c r="AK237" s="530"/>
      <c r="AL237" s="776"/>
      <c r="AM237" s="777"/>
      <c r="AN237" s="500"/>
      <c r="AO237" s="778"/>
      <c r="AP237" s="778"/>
      <c r="AQ237" s="500"/>
      <c r="AR237" s="531"/>
      <c r="AS237" s="403"/>
      <c r="AT237" s="524" t="str">
        <f t="shared" si="115"/>
        <v/>
      </c>
      <c r="AU237" s="311">
        <f t="shared" si="116"/>
        <v>0</v>
      </c>
      <c r="AV237" s="288">
        <f t="shared" si="132"/>
        <v>0</v>
      </c>
      <c r="AW237" s="290">
        <f>IF(ISERROR($AU237*'Utility Admin'!$E$4+$AV237*'Utility Admin'!$F$4),0,$AU237*'Utility Admin'!$E$4+$AV237*'Utility Admin'!$F$4)</f>
        <v>0</v>
      </c>
      <c r="AX237" s="323" t="str">
        <f t="shared" si="117"/>
        <v/>
      </c>
      <c r="AY237" s="322" t="str">
        <f t="shared" si="23"/>
        <v/>
      </c>
      <c r="AZ237" s="319">
        <f>Baselines!$CJ481</f>
        <v>0</v>
      </c>
      <c r="BA237" s="735">
        <f>Baselines!$CK481</f>
        <v>0</v>
      </c>
      <c r="BB237" s="839">
        <f>Baselines!$CM481</f>
        <v>0</v>
      </c>
      <c r="BC237" s="466">
        <f t="shared" si="118"/>
        <v>0</v>
      </c>
      <c r="BD237" s="464">
        <f t="shared" si="133"/>
        <v>0</v>
      </c>
      <c r="BE237" s="755">
        <f t="shared" si="119"/>
        <v>0</v>
      </c>
      <c r="BF237" s="755">
        <f t="shared" si="134"/>
        <v>0</v>
      </c>
      <c r="BG237" s="466">
        <f t="shared" si="120"/>
        <v>0</v>
      </c>
      <c r="BH237" s="464">
        <f t="shared" si="121"/>
        <v>0</v>
      </c>
      <c r="BI237" s="755">
        <f t="shared" si="122"/>
        <v>0</v>
      </c>
      <c r="BJ237" s="755">
        <f t="shared" si="135"/>
        <v>0</v>
      </c>
      <c r="BK237" s="333">
        <f>IF(OR($C237&lt;&gt;"Early Retirement",$H237=""),0,IF(AND($G237&lt;&gt;"Air Cooled Chiller",$G237&lt;&gt;"Water Cooled Chiller"),VLOOKUP($H237,'Early Retirement'!$CI$6:$CL$33,2,FALSE),IF($J237&lt;&gt;"Centrifugal",VLOOKUP($H237,'Early Retirement'!$CI$6:$CL$33,3,FALSE),IF($J237="Centrifugal",VLOOKUP($H237,'Early Retirement'!$CI$6:$CL$33,4,FALSE),""))))</f>
        <v>0</v>
      </c>
      <c r="BL237" s="450">
        <f t="shared" si="123"/>
        <v>0</v>
      </c>
      <c r="BM237" s="553">
        <f>IFERROR('Utility Admin'!$I$4*((1+'Utility Admin'!$G$4)/('Utility Admin'!$H$4-'Utility Admin'!$G$4))*(1-((1+'Utility Admin'!$G$4)/(1+'Utility Admin'!$H$4))^$BK237)*$BG237,0)</f>
        <v>0</v>
      </c>
      <c r="BN237" s="553">
        <f>IFERROR('Utility Admin'!$I$4*((1+'Utility Admin'!$G$4)/('Utility Admin'!$H$4-'Utility Admin'!$G$4))*(1-((1+'Utility Admin'!$G$4)/(1+'Utility Admin'!$H$4))^$BL237)*((1+'Utility Admin'!$G$4)^$BK237/(1+'Utility Admin'!$H$4)^$BK237)*$BC237,0)</f>
        <v>0</v>
      </c>
      <c r="BO237" s="553">
        <f t="shared" si="27"/>
        <v>0</v>
      </c>
      <c r="BP237" s="553">
        <f>IFERROR('Utility Admin'!$J$4*((1+'Utility Admin'!$G$4)/('Utility Admin'!$H$4-'Utility Admin'!$G$4))*(1-((1+'Utility Admin'!$G$4)/(1+'Utility Admin'!$H$4))^$BK237)*$BJ237,0)</f>
        <v>0</v>
      </c>
      <c r="BQ237" s="553">
        <f>IFERROR('Utility Admin'!$J$4*((1+'Utility Admin'!$G$4)/('Utility Admin'!$H$4-'Utility Admin'!$G$4))*(1-((1+'Utility Admin'!$G$4)/(1+'Utility Admin'!$H$4))^$BL237)*((1+'Utility Admin'!$G$4)^$BK237/(1+'Utility Admin'!$H$4)^$BK237)*$BF237,0)</f>
        <v>0</v>
      </c>
      <c r="BR237" s="553">
        <f t="shared" si="28"/>
        <v>0</v>
      </c>
      <c r="BS237" s="553">
        <f>IFERROR('Utility Admin'!$I$4*((1+'Utility Admin'!$G$4)/('Utility Admin'!$H$4-'Utility Admin'!$G$4))*(1-((1+'Utility Admin'!$G$4)/(1+'Utility Admin'!$H$4))^$AT237),0)</f>
        <v>0</v>
      </c>
      <c r="BT237" s="553">
        <f>IFERROR('Utility Admin'!$J$4*((1+'Utility Admin'!$G$4)/('Utility Admin'!$H$4-'Utility Admin'!$G$4))*(1-((1+'Utility Admin'!$G$4)/(1+'Utility Admin'!$H$4))^$AT237),0)</f>
        <v>0</v>
      </c>
      <c r="BU237" s="459">
        <f t="shared" si="136"/>
        <v>0</v>
      </c>
      <c r="BV237" s="462">
        <f t="shared" si="137"/>
        <v>0</v>
      </c>
      <c r="BW237" s="219" t="str">
        <f t="shared" si="124"/>
        <v/>
      </c>
      <c r="BX237" s="250" t="str">
        <f t="shared" si="138"/>
        <v/>
      </c>
      <c r="BY237" s="250" t="str">
        <f t="shared" si="125"/>
        <v/>
      </c>
      <c r="BZ237" s="184">
        <f t="shared" si="139"/>
        <v>0</v>
      </c>
      <c r="CA237" s="693">
        <f t="shared" si="140"/>
        <v>0</v>
      </c>
      <c r="CB237" s="836">
        <f t="shared" si="141"/>
        <v>0</v>
      </c>
      <c r="CC237" s="693">
        <f>IF(AND($C237="Early Retirement",$H237&lt;&gt;"",$R237&lt;&gt;"",$T237&lt;&gt;""),$BZ237,Baselines!$CJ230)</f>
        <v>0</v>
      </c>
      <c r="CD237" s="693">
        <f>IF(AND($C237="Early Retirement",$H237&lt;&gt;"",$R237&lt;&gt;"",$T237&lt;&gt;""),$CA237,Baselines!$CK230)</f>
        <v>0</v>
      </c>
      <c r="CE237" s="182" t="str">
        <f>Baselines!$CL230</f>
        <v>kW/ton</v>
      </c>
      <c r="CF237" s="850" t="str">
        <f t="shared" si="126"/>
        <v/>
      </c>
      <c r="CG237" s="833">
        <f>IF(AND($C237="Early Retirement",$H237&lt;&gt;"",$R237&lt;&gt;"",$T237&lt;&gt;""),$CB237,IF(AND(Baselines!$CM230=0,OR($CL237="DX HP",$CL237="PTHP")),$BB237,Baselines!$CM230))</f>
        <v>0</v>
      </c>
      <c r="CH237" s="830" t="s">
        <v>567</v>
      </c>
      <c r="CI237" s="185" t="str">
        <f>IF(OR($C237="Replace-on-Burnout",$C237="New Construction"),$CT237,IF($BW237="","",VLOOKUP($D237,'Factor Tables'!$B$165:$H$192,MATCH($BW237,'Factor Tables'!$B$164:$H$164,0),FALSE)))</f>
        <v/>
      </c>
      <c r="CJ237" s="842" t="str">
        <f>IF(OR($C237="Replace-on-Burnout",$C237="New Construction"),$CU237,IF($BW237="","",IF($BW237="DX HP",VLOOKUP($D237,'Factor Tables'!$I$165:$Q$192,MATCH("DX HP Clg",'Factor Tables'!$I$164:$Q$164,0),FALSE),IF($BW237="PTHP",VLOOKUP($D237,'Factor Tables'!$I$165:$Q$192,MATCH("PTHP Clg",'Factor Tables'!$I$164:$Q$164,0),FALSE),IF(AND($BW237&lt;&gt;"DX HP",$BW237&lt;&gt;"PTHP"),VLOOKUP($D237,'Factor Tables'!$I$165:$Q$192,MATCH($BW237,'Factor Tables'!$I$164:$Q$164,0),FALSE),"")))))</f>
        <v/>
      </c>
      <c r="CK237" s="186" t="str">
        <f>IF(OR($C237="Replace-on-Burnout",$C237="New Construction",$CL237="DX HP",$CL237="PTHP"),$CV237,IF($BW237="","",IF($BW237="DX HP",VLOOKUP($D237,'Factor Tables'!$I$165:$Q$192,MATCH("DX HP Htg",'Factor Tables'!$I$164:$Q$164,0),FALSE),IF($BW237="PTHP",VLOOKUP($D237,'Factor Tables'!$I$165:$Q$192,MATCH("PTHP Htg",'Factor Tables'!$I$164:$Q$164,0),FALSE),0))))</f>
        <v/>
      </c>
      <c r="CL237" s="187" t="str">
        <f t="shared" si="127"/>
        <v/>
      </c>
      <c r="CM237" s="251" t="str">
        <f t="shared" si="128"/>
        <v/>
      </c>
      <c r="CN237" s="184">
        <f t="shared" si="142"/>
        <v>0</v>
      </c>
      <c r="CO237" s="693">
        <f t="shared" si="143"/>
        <v>0</v>
      </c>
      <c r="CP237" s="182" t="s">
        <v>46</v>
      </c>
      <c r="CQ237" s="852" t="str">
        <f t="shared" si="144"/>
        <v/>
      </c>
      <c r="CR237" s="833">
        <f t="shared" si="145"/>
        <v>0</v>
      </c>
      <c r="CS237" s="830" t="s">
        <v>567</v>
      </c>
      <c r="CT237" s="185" t="str">
        <f>IF($CL237="","",VLOOKUP($D237,'Factor Tables'!$B$165:$H$192,MATCH($CL237,'Factor Tables'!$B$164:$H$164,0),FALSE))</f>
        <v/>
      </c>
      <c r="CU237" s="842" t="str">
        <f>IF($CL237="","",IF(AND($CL237&lt;&gt;"DX HP",$CL237&lt;&gt;"PTHP"),VLOOKUP($D237,'Factor Tables'!$I$165:$Q$192,MATCH($CL237,'Factor Tables'!$I$164:$Q$164,0),FALSE),IF($CL237="DX HP",VLOOKUP($D237,'Factor Tables'!$I$165:$Q$192,MATCH("DX HP Clg",'Factor Tables'!$I$164:$Q$164,0),FALSE),IF($CL237="PTHP",VLOOKUP($D237,'Factor Tables'!$I$165:$Q$192,MATCH("PTHP Clg",'Factor Tables'!$I$164:$Q$164,0),FALSE),""))))</f>
        <v/>
      </c>
      <c r="CV237" s="186" t="str">
        <f>IF($CL237="","",IF(AND($CL237&lt;&gt;"DX HP",$CL237&lt;&gt;"PTHP"),0,IF($CL237="DX HP",VLOOKUP($D237,'Factor Tables'!$I$165:$Q$192,MATCH("DX HP Htg",'Factor Tables'!$I$164:$Q$164,0),FALSE),IF($CL237="PTHP",VLOOKUP($D237,'Factor Tables'!$I$165:$Q$192,MATCH("PTHP Htg",'Factor Tables'!$I$164:$Q$164,0),FALSE),""))))</f>
        <v/>
      </c>
      <c r="DD237" s="196" t="str">
        <f>IF(OR('Project Info'!$D$8="",$C77="",$D77=""),"",IF('Project Info'!$D$8="Weather Zone 5: El Paso",VLOOKUP($D77,$DI$9:$DL$37,MATCH($C77,$DI$9:$DL$9,0),FALSE),VLOOKUP($D77,$DE$9:$DH$37,MATCH($C77,$DE$9:$DH$9,0),FALSE)))</f>
        <v/>
      </c>
      <c r="DE237" s="426"/>
      <c r="DI237" s="425"/>
      <c r="DJ237" s="425"/>
      <c r="DK237" s="425"/>
      <c r="DL237" s="425"/>
      <c r="DM237" s="493" t="s">
        <v>478</v>
      </c>
    </row>
    <row r="238" spans="2:117" s="427" customFormat="1" ht="21.95" customHeight="1" x14ac:dyDescent="0.25">
      <c r="B238" s="431">
        <v>229</v>
      </c>
      <c r="C238" s="501" t="str">
        <f t="shared" si="129"/>
        <v/>
      </c>
      <c r="D238" s="502" t="str">
        <f t="shared" si="130"/>
        <v/>
      </c>
      <c r="E238" s="546"/>
      <c r="F238" s="547"/>
      <c r="G238" s="729"/>
      <c r="H238" s="729"/>
      <c r="I238" s="729"/>
      <c r="J238" s="729"/>
      <c r="K238" s="729"/>
      <c r="L238" s="729"/>
      <c r="M238" s="765"/>
      <c r="N238" s="758"/>
      <c r="O238" s="765"/>
      <c r="P238" s="758"/>
      <c r="Q238" s="1143"/>
      <c r="R238" s="1134"/>
      <c r="S238" s="775"/>
      <c r="T238" s="729"/>
      <c r="U238" s="775"/>
      <c r="V238" s="779"/>
      <c r="W238" s="557"/>
      <c r="X238" s="788"/>
      <c r="Y238" s="543"/>
      <c r="Z238" s="281"/>
      <c r="AA238" s="281"/>
      <c r="AB238" s="281"/>
      <c r="AC238" s="281"/>
      <c r="AD238" s="492"/>
      <c r="AE238" s="527">
        <f t="shared" si="39"/>
        <v>0</v>
      </c>
      <c r="AF238" s="527">
        <f t="shared" si="131"/>
        <v>0</v>
      </c>
      <c r="AG238" s="527">
        <f t="shared" si="111"/>
        <v>0</v>
      </c>
      <c r="AH238" s="527">
        <f t="shared" si="112"/>
        <v>0</v>
      </c>
      <c r="AI238" s="527">
        <f t="shared" si="113"/>
        <v>0</v>
      </c>
      <c r="AJ238" s="527">
        <f t="shared" si="114"/>
        <v>999999999</v>
      </c>
      <c r="AK238" s="471"/>
      <c r="AL238" s="765"/>
      <c r="AM238" s="758"/>
      <c r="AN238" s="281"/>
      <c r="AO238" s="775"/>
      <c r="AP238" s="775"/>
      <c r="AQ238" s="281"/>
      <c r="AR238" s="528"/>
      <c r="AS238" s="532"/>
      <c r="AT238" s="524" t="str">
        <f t="shared" si="115"/>
        <v/>
      </c>
      <c r="AU238" s="311">
        <f t="shared" si="116"/>
        <v>0</v>
      </c>
      <c r="AV238" s="288">
        <f t="shared" si="132"/>
        <v>0</v>
      </c>
      <c r="AW238" s="290">
        <f>IF(ISERROR($AU238*'Utility Admin'!$E$4+$AV238*'Utility Admin'!$F$4),0,$AU238*'Utility Admin'!$E$4+$AV238*'Utility Admin'!$F$4)</f>
        <v>0</v>
      </c>
      <c r="AX238" s="323" t="str">
        <f t="shared" si="117"/>
        <v/>
      </c>
      <c r="AY238" s="322" t="str">
        <f t="shared" si="23"/>
        <v/>
      </c>
      <c r="AZ238" s="319">
        <f>Baselines!$CJ482</f>
        <v>0</v>
      </c>
      <c r="BA238" s="735">
        <f>Baselines!$CK482</f>
        <v>0</v>
      </c>
      <c r="BB238" s="839">
        <f>Baselines!$CM482</f>
        <v>0</v>
      </c>
      <c r="BC238" s="466">
        <f t="shared" si="118"/>
        <v>0</v>
      </c>
      <c r="BD238" s="464">
        <f t="shared" si="133"/>
        <v>0</v>
      </c>
      <c r="BE238" s="755">
        <f t="shared" si="119"/>
        <v>0</v>
      </c>
      <c r="BF238" s="755">
        <f t="shared" si="134"/>
        <v>0</v>
      </c>
      <c r="BG238" s="466">
        <f t="shared" si="120"/>
        <v>0</v>
      </c>
      <c r="BH238" s="464">
        <f t="shared" si="121"/>
        <v>0</v>
      </c>
      <c r="BI238" s="755">
        <f t="shared" si="122"/>
        <v>0</v>
      </c>
      <c r="BJ238" s="755">
        <f t="shared" si="135"/>
        <v>0</v>
      </c>
      <c r="BK238" s="333">
        <f>IF(OR($C238&lt;&gt;"Early Retirement",$H238=""),0,IF(AND($G238&lt;&gt;"Air Cooled Chiller",$G238&lt;&gt;"Water Cooled Chiller"),VLOOKUP($H238,'Early Retirement'!$CI$6:$CL$33,2,FALSE),IF($J238&lt;&gt;"Centrifugal",VLOOKUP($H238,'Early Retirement'!$CI$6:$CL$33,3,FALSE),IF($J238="Centrifugal",VLOOKUP($H238,'Early Retirement'!$CI$6:$CL$33,4,FALSE),""))))</f>
        <v>0</v>
      </c>
      <c r="BL238" s="450">
        <f t="shared" si="123"/>
        <v>0</v>
      </c>
      <c r="BM238" s="553">
        <f>IFERROR('Utility Admin'!$I$4*((1+'Utility Admin'!$G$4)/('Utility Admin'!$H$4-'Utility Admin'!$G$4))*(1-((1+'Utility Admin'!$G$4)/(1+'Utility Admin'!$H$4))^$BK238)*$BG238,0)</f>
        <v>0</v>
      </c>
      <c r="BN238" s="553">
        <f>IFERROR('Utility Admin'!$I$4*((1+'Utility Admin'!$G$4)/('Utility Admin'!$H$4-'Utility Admin'!$G$4))*(1-((1+'Utility Admin'!$G$4)/(1+'Utility Admin'!$H$4))^$BL238)*((1+'Utility Admin'!$G$4)^$BK238/(1+'Utility Admin'!$H$4)^$BK238)*$BC238,0)</f>
        <v>0</v>
      </c>
      <c r="BO238" s="553">
        <f t="shared" si="27"/>
        <v>0</v>
      </c>
      <c r="BP238" s="553">
        <f>IFERROR('Utility Admin'!$J$4*((1+'Utility Admin'!$G$4)/('Utility Admin'!$H$4-'Utility Admin'!$G$4))*(1-((1+'Utility Admin'!$G$4)/(1+'Utility Admin'!$H$4))^$BK238)*$BJ238,0)</f>
        <v>0</v>
      </c>
      <c r="BQ238" s="553">
        <f>IFERROR('Utility Admin'!$J$4*((1+'Utility Admin'!$G$4)/('Utility Admin'!$H$4-'Utility Admin'!$G$4))*(1-((1+'Utility Admin'!$G$4)/(1+'Utility Admin'!$H$4))^$BL238)*((1+'Utility Admin'!$G$4)^$BK238/(1+'Utility Admin'!$H$4)^$BK238)*$BF238,0)</f>
        <v>0</v>
      </c>
      <c r="BR238" s="553">
        <f t="shared" si="28"/>
        <v>0</v>
      </c>
      <c r="BS238" s="553">
        <f>IFERROR('Utility Admin'!$I$4*((1+'Utility Admin'!$G$4)/('Utility Admin'!$H$4-'Utility Admin'!$G$4))*(1-((1+'Utility Admin'!$G$4)/(1+'Utility Admin'!$H$4))^$AT238),0)</f>
        <v>0</v>
      </c>
      <c r="BT238" s="553">
        <f>IFERROR('Utility Admin'!$J$4*((1+'Utility Admin'!$G$4)/('Utility Admin'!$H$4-'Utility Admin'!$G$4))*(1-((1+'Utility Admin'!$G$4)/(1+'Utility Admin'!$H$4))^$AT238),0)</f>
        <v>0</v>
      </c>
      <c r="BU238" s="459">
        <f t="shared" si="136"/>
        <v>0</v>
      </c>
      <c r="BV238" s="462">
        <f t="shared" si="137"/>
        <v>0</v>
      </c>
      <c r="BW238" s="219" t="str">
        <f t="shared" si="124"/>
        <v/>
      </c>
      <c r="BX238" s="250" t="str">
        <f t="shared" si="138"/>
        <v/>
      </c>
      <c r="BY238" s="250" t="str">
        <f t="shared" si="125"/>
        <v/>
      </c>
      <c r="BZ238" s="184">
        <f t="shared" si="139"/>
        <v>0</v>
      </c>
      <c r="CA238" s="693">
        <f t="shared" si="140"/>
        <v>0</v>
      </c>
      <c r="CB238" s="836">
        <f t="shared" si="141"/>
        <v>0</v>
      </c>
      <c r="CC238" s="693">
        <f>IF(AND($C238="Early Retirement",$H238&lt;&gt;"",$R238&lt;&gt;"",$T238&lt;&gt;""),$BZ238,Baselines!$CJ231)</f>
        <v>0</v>
      </c>
      <c r="CD238" s="693">
        <f>IF(AND($C238="Early Retirement",$H238&lt;&gt;"",$R238&lt;&gt;"",$T238&lt;&gt;""),$CA238,Baselines!$CK231)</f>
        <v>0</v>
      </c>
      <c r="CE238" s="182" t="str">
        <f>Baselines!$CL231</f>
        <v>kW/ton</v>
      </c>
      <c r="CF238" s="850" t="str">
        <f t="shared" si="126"/>
        <v/>
      </c>
      <c r="CG238" s="833">
        <f>IF(AND($C238="Early Retirement",$H238&lt;&gt;"",$R238&lt;&gt;"",$T238&lt;&gt;""),$CB238,IF(AND(Baselines!$CM231=0,OR($CL238="DX HP",$CL238="PTHP")),$BB238,Baselines!$CM231))</f>
        <v>0</v>
      </c>
      <c r="CH238" s="830" t="s">
        <v>567</v>
      </c>
      <c r="CI238" s="185" t="str">
        <f>IF(OR($C238="Replace-on-Burnout",$C238="New Construction"),$CT238,IF($BW238="","",VLOOKUP($D238,'Factor Tables'!$B$165:$H$192,MATCH($BW238,'Factor Tables'!$B$164:$H$164,0),FALSE)))</f>
        <v/>
      </c>
      <c r="CJ238" s="842" t="str">
        <f>IF(OR($C238="Replace-on-Burnout",$C238="New Construction"),$CU238,IF($BW238="","",IF($BW238="DX HP",VLOOKUP($D238,'Factor Tables'!$I$165:$Q$192,MATCH("DX HP Clg",'Factor Tables'!$I$164:$Q$164,0),FALSE),IF($BW238="PTHP",VLOOKUP($D238,'Factor Tables'!$I$165:$Q$192,MATCH("PTHP Clg",'Factor Tables'!$I$164:$Q$164,0),FALSE),IF(AND($BW238&lt;&gt;"DX HP",$BW238&lt;&gt;"PTHP"),VLOOKUP($D238,'Factor Tables'!$I$165:$Q$192,MATCH($BW238,'Factor Tables'!$I$164:$Q$164,0),FALSE),"")))))</f>
        <v/>
      </c>
      <c r="CK238" s="186" t="str">
        <f>IF(OR($C238="Replace-on-Burnout",$C238="New Construction",$CL238="DX HP",$CL238="PTHP"),$CV238,IF($BW238="","",IF($BW238="DX HP",VLOOKUP($D238,'Factor Tables'!$I$165:$Q$192,MATCH("DX HP Htg",'Factor Tables'!$I$164:$Q$164,0),FALSE),IF($BW238="PTHP",VLOOKUP($D238,'Factor Tables'!$I$165:$Q$192,MATCH("PTHP Htg",'Factor Tables'!$I$164:$Q$164,0),FALSE),0))))</f>
        <v/>
      </c>
      <c r="CL238" s="187" t="str">
        <f t="shared" si="127"/>
        <v/>
      </c>
      <c r="CM238" s="251" t="str">
        <f t="shared" si="128"/>
        <v/>
      </c>
      <c r="CN238" s="184">
        <f t="shared" si="142"/>
        <v>0</v>
      </c>
      <c r="CO238" s="693">
        <f t="shared" si="143"/>
        <v>0</v>
      </c>
      <c r="CP238" s="182" t="s">
        <v>46</v>
      </c>
      <c r="CQ238" s="852" t="str">
        <f t="shared" si="144"/>
        <v/>
      </c>
      <c r="CR238" s="833">
        <f t="shared" si="145"/>
        <v>0</v>
      </c>
      <c r="CS238" s="830" t="s">
        <v>567</v>
      </c>
      <c r="CT238" s="185" t="str">
        <f>IF($CL238="","",VLOOKUP($D238,'Factor Tables'!$B$165:$H$192,MATCH($CL238,'Factor Tables'!$B$164:$H$164,0),FALSE))</f>
        <v/>
      </c>
      <c r="CU238" s="842" t="str">
        <f>IF($CL238="","",IF(AND($CL238&lt;&gt;"DX HP",$CL238&lt;&gt;"PTHP"),VLOOKUP($D238,'Factor Tables'!$I$165:$Q$192,MATCH($CL238,'Factor Tables'!$I$164:$Q$164,0),FALSE),IF($CL238="DX HP",VLOOKUP($D238,'Factor Tables'!$I$165:$Q$192,MATCH("DX HP Clg",'Factor Tables'!$I$164:$Q$164,0),FALSE),IF($CL238="PTHP",VLOOKUP($D238,'Factor Tables'!$I$165:$Q$192,MATCH("PTHP Clg",'Factor Tables'!$I$164:$Q$164,0),FALSE),""))))</f>
        <v/>
      </c>
      <c r="CV238" s="186" t="str">
        <f>IF($CL238="","",IF(AND($CL238&lt;&gt;"DX HP",$CL238&lt;&gt;"PTHP"),0,IF($CL238="DX HP",VLOOKUP($D238,'Factor Tables'!$I$165:$Q$192,MATCH("DX HP Htg",'Factor Tables'!$I$164:$Q$164,0),FALSE),IF($CL238="PTHP",VLOOKUP($D238,'Factor Tables'!$I$165:$Q$192,MATCH("PTHP Htg",'Factor Tables'!$I$164:$Q$164,0),FALSE),""))))</f>
        <v/>
      </c>
      <c r="DD238" s="196" t="str">
        <f>IF(OR('Project Info'!$D$8="",$C78="",$D78=""),"",IF('Project Info'!$D$8="Weather Zone 5: El Paso",VLOOKUP($D78,$DI$9:$DL$37,MATCH($C78,$DI$9:$DL$9,0),FALSE),VLOOKUP($D78,$DE$9:$DH$37,MATCH($C78,$DE$9:$DH$9,0),FALSE)))</f>
        <v/>
      </c>
      <c r="DE238" s="426"/>
      <c r="DI238" s="425"/>
      <c r="DJ238" s="425"/>
      <c r="DK238" s="425"/>
      <c r="DL238" s="425"/>
      <c r="DM238" s="493" t="s">
        <v>478</v>
      </c>
    </row>
    <row r="239" spans="2:117" s="427" customFormat="1" ht="21.95" customHeight="1" x14ac:dyDescent="0.25">
      <c r="B239" s="432">
        <v>230</v>
      </c>
      <c r="C239" s="499" t="str">
        <f t="shared" si="129"/>
        <v/>
      </c>
      <c r="D239" s="403" t="str">
        <f t="shared" si="130"/>
        <v/>
      </c>
      <c r="E239" s="541"/>
      <c r="F239" s="785"/>
      <c r="G239" s="728"/>
      <c r="H239" s="728"/>
      <c r="I239" s="728"/>
      <c r="J239" s="728"/>
      <c r="K239" s="728"/>
      <c r="L239" s="728"/>
      <c r="M239" s="764"/>
      <c r="N239" s="728"/>
      <c r="O239" s="764"/>
      <c r="P239" s="728"/>
      <c r="Q239" s="1142"/>
      <c r="R239" s="1133"/>
      <c r="S239" s="778"/>
      <c r="T239" s="767"/>
      <c r="U239" s="778"/>
      <c r="V239" s="751"/>
      <c r="W239" s="556"/>
      <c r="X239" s="785"/>
      <c r="Y239" s="542"/>
      <c r="Z239" s="500"/>
      <c r="AA239" s="500"/>
      <c r="AB239" s="500"/>
      <c r="AC239" s="500"/>
      <c r="AD239" s="529"/>
      <c r="AE239" s="527">
        <f t="shared" si="39"/>
        <v>0</v>
      </c>
      <c r="AF239" s="527">
        <f t="shared" si="131"/>
        <v>0</v>
      </c>
      <c r="AG239" s="527">
        <f t="shared" si="111"/>
        <v>0</v>
      </c>
      <c r="AH239" s="527">
        <f t="shared" si="112"/>
        <v>0</v>
      </c>
      <c r="AI239" s="527">
        <f t="shared" si="113"/>
        <v>0</v>
      </c>
      <c r="AJ239" s="527">
        <f t="shared" si="114"/>
        <v>999999999</v>
      </c>
      <c r="AK239" s="530"/>
      <c r="AL239" s="776"/>
      <c r="AM239" s="777"/>
      <c r="AN239" s="500"/>
      <c r="AO239" s="778"/>
      <c r="AP239" s="778"/>
      <c r="AQ239" s="500"/>
      <c r="AR239" s="531"/>
      <c r="AS239" s="403"/>
      <c r="AT239" s="524" t="str">
        <f t="shared" si="115"/>
        <v/>
      </c>
      <c r="AU239" s="311">
        <f t="shared" si="116"/>
        <v>0</v>
      </c>
      <c r="AV239" s="288">
        <f t="shared" si="132"/>
        <v>0</v>
      </c>
      <c r="AW239" s="290">
        <f>IF(ISERROR($AU239*'Utility Admin'!$E$4+$AV239*'Utility Admin'!$F$4),0,$AU239*'Utility Admin'!$E$4+$AV239*'Utility Admin'!$F$4)</f>
        <v>0</v>
      </c>
      <c r="AX239" s="323" t="str">
        <f t="shared" si="117"/>
        <v/>
      </c>
      <c r="AY239" s="322" t="str">
        <f t="shared" si="23"/>
        <v/>
      </c>
      <c r="AZ239" s="319">
        <f>Baselines!$CJ483</f>
        <v>0</v>
      </c>
      <c r="BA239" s="735">
        <f>Baselines!$CK483</f>
        <v>0</v>
      </c>
      <c r="BB239" s="839">
        <f>Baselines!$CM483</f>
        <v>0</v>
      </c>
      <c r="BC239" s="466">
        <f t="shared" si="118"/>
        <v>0</v>
      </c>
      <c r="BD239" s="464">
        <f t="shared" si="133"/>
        <v>0</v>
      </c>
      <c r="BE239" s="755">
        <f t="shared" si="119"/>
        <v>0</v>
      </c>
      <c r="BF239" s="755">
        <f t="shared" si="134"/>
        <v>0</v>
      </c>
      <c r="BG239" s="466">
        <f t="shared" si="120"/>
        <v>0</v>
      </c>
      <c r="BH239" s="464">
        <f t="shared" si="121"/>
        <v>0</v>
      </c>
      <c r="BI239" s="755">
        <f t="shared" si="122"/>
        <v>0</v>
      </c>
      <c r="BJ239" s="755">
        <f t="shared" si="135"/>
        <v>0</v>
      </c>
      <c r="BK239" s="333">
        <f>IF(OR($C239&lt;&gt;"Early Retirement",$H239=""),0,IF(AND($G239&lt;&gt;"Air Cooled Chiller",$G239&lt;&gt;"Water Cooled Chiller"),VLOOKUP($H239,'Early Retirement'!$CI$6:$CL$33,2,FALSE),IF($J239&lt;&gt;"Centrifugal",VLOOKUP($H239,'Early Retirement'!$CI$6:$CL$33,3,FALSE),IF($J239="Centrifugal",VLOOKUP($H239,'Early Retirement'!$CI$6:$CL$33,4,FALSE),""))))</f>
        <v>0</v>
      </c>
      <c r="BL239" s="450">
        <f t="shared" si="123"/>
        <v>0</v>
      </c>
      <c r="BM239" s="553">
        <f>IFERROR('Utility Admin'!$I$4*((1+'Utility Admin'!$G$4)/('Utility Admin'!$H$4-'Utility Admin'!$G$4))*(1-((1+'Utility Admin'!$G$4)/(1+'Utility Admin'!$H$4))^$BK239)*$BG239,0)</f>
        <v>0</v>
      </c>
      <c r="BN239" s="553">
        <f>IFERROR('Utility Admin'!$I$4*((1+'Utility Admin'!$G$4)/('Utility Admin'!$H$4-'Utility Admin'!$G$4))*(1-((1+'Utility Admin'!$G$4)/(1+'Utility Admin'!$H$4))^$BL239)*((1+'Utility Admin'!$G$4)^$BK239/(1+'Utility Admin'!$H$4)^$BK239)*$BC239,0)</f>
        <v>0</v>
      </c>
      <c r="BO239" s="553">
        <f t="shared" si="27"/>
        <v>0</v>
      </c>
      <c r="BP239" s="553">
        <f>IFERROR('Utility Admin'!$J$4*((1+'Utility Admin'!$G$4)/('Utility Admin'!$H$4-'Utility Admin'!$G$4))*(1-((1+'Utility Admin'!$G$4)/(1+'Utility Admin'!$H$4))^$BK239)*$BJ239,0)</f>
        <v>0</v>
      </c>
      <c r="BQ239" s="553">
        <f>IFERROR('Utility Admin'!$J$4*((1+'Utility Admin'!$G$4)/('Utility Admin'!$H$4-'Utility Admin'!$G$4))*(1-((1+'Utility Admin'!$G$4)/(1+'Utility Admin'!$H$4))^$BL239)*((1+'Utility Admin'!$G$4)^$BK239/(1+'Utility Admin'!$H$4)^$BK239)*$BF239,0)</f>
        <v>0</v>
      </c>
      <c r="BR239" s="553">
        <f t="shared" si="28"/>
        <v>0</v>
      </c>
      <c r="BS239" s="553">
        <f>IFERROR('Utility Admin'!$I$4*((1+'Utility Admin'!$G$4)/('Utility Admin'!$H$4-'Utility Admin'!$G$4))*(1-((1+'Utility Admin'!$G$4)/(1+'Utility Admin'!$H$4))^$AT239),0)</f>
        <v>0</v>
      </c>
      <c r="BT239" s="553">
        <f>IFERROR('Utility Admin'!$J$4*((1+'Utility Admin'!$G$4)/('Utility Admin'!$H$4-'Utility Admin'!$G$4))*(1-((1+'Utility Admin'!$G$4)/(1+'Utility Admin'!$H$4))^$AT239),0)</f>
        <v>0</v>
      </c>
      <c r="BU239" s="459">
        <f t="shared" si="136"/>
        <v>0</v>
      </c>
      <c r="BV239" s="462">
        <f t="shared" si="137"/>
        <v>0</v>
      </c>
      <c r="BW239" s="219" t="str">
        <f t="shared" si="124"/>
        <v/>
      </c>
      <c r="BX239" s="250" t="str">
        <f t="shared" si="138"/>
        <v/>
      </c>
      <c r="BY239" s="250" t="str">
        <f t="shared" si="125"/>
        <v/>
      </c>
      <c r="BZ239" s="184">
        <f t="shared" si="139"/>
        <v>0</v>
      </c>
      <c r="CA239" s="693">
        <f t="shared" si="140"/>
        <v>0</v>
      </c>
      <c r="CB239" s="836">
        <f t="shared" si="141"/>
        <v>0</v>
      </c>
      <c r="CC239" s="693">
        <f>IF(AND($C239="Early Retirement",$H239&lt;&gt;"",$R239&lt;&gt;"",$T239&lt;&gt;""),$BZ239,Baselines!$CJ232)</f>
        <v>0</v>
      </c>
      <c r="CD239" s="693">
        <f>IF(AND($C239="Early Retirement",$H239&lt;&gt;"",$R239&lt;&gt;"",$T239&lt;&gt;""),$CA239,Baselines!$CK232)</f>
        <v>0</v>
      </c>
      <c r="CE239" s="182" t="str">
        <f>Baselines!$CL232</f>
        <v>kW/ton</v>
      </c>
      <c r="CF239" s="850" t="str">
        <f t="shared" si="126"/>
        <v/>
      </c>
      <c r="CG239" s="833">
        <f>IF(AND($C239="Early Retirement",$H239&lt;&gt;"",$R239&lt;&gt;"",$T239&lt;&gt;""),$CB239,IF(AND(Baselines!$CM232=0,OR($CL239="DX HP",$CL239="PTHP")),$BB239,Baselines!$CM232))</f>
        <v>0</v>
      </c>
      <c r="CH239" s="830" t="s">
        <v>567</v>
      </c>
      <c r="CI239" s="185" t="str">
        <f>IF(OR($C239="Replace-on-Burnout",$C239="New Construction"),$CT239,IF($BW239="","",VLOOKUP($D239,'Factor Tables'!$B$165:$H$192,MATCH($BW239,'Factor Tables'!$B$164:$H$164,0),FALSE)))</f>
        <v/>
      </c>
      <c r="CJ239" s="842" t="str">
        <f>IF(OR($C239="Replace-on-Burnout",$C239="New Construction"),$CU239,IF($BW239="","",IF($BW239="DX HP",VLOOKUP($D239,'Factor Tables'!$I$165:$Q$192,MATCH("DX HP Clg",'Factor Tables'!$I$164:$Q$164,0),FALSE),IF($BW239="PTHP",VLOOKUP($D239,'Factor Tables'!$I$165:$Q$192,MATCH("PTHP Clg",'Factor Tables'!$I$164:$Q$164,0),FALSE),IF(AND($BW239&lt;&gt;"DX HP",$BW239&lt;&gt;"PTHP"),VLOOKUP($D239,'Factor Tables'!$I$165:$Q$192,MATCH($BW239,'Factor Tables'!$I$164:$Q$164,0),FALSE),"")))))</f>
        <v/>
      </c>
      <c r="CK239" s="186" t="str">
        <f>IF(OR($C239="Replace-on-Burnout",$C239="New Construction",$CL239="DX HP",$CL239="PTHP"),$CV239,IF($BW239="","",IF($BW239="DX HP",VLOOKUP($D239,'Factor Tables'!$I$165:$Q$192,MATCH("DX HP Htg",'Factor Tables'!$I$164:$Q$164,0),FALSE),IF($BW239="PTHP",VLOOKUP($D239,'Factor Tables'!$I$165:$Q$192,MATCH("PTHP Htg",'Factor Tables'!$I$164:$Q$164,0),FALSE),0))))</f>
        <v/>
      </c>
      <c r="CL239" s="187" t="str">
        <f t="shared" si="127"/>
        <v/>
      </c>
      <c r="CM239" s="251" t="str">
        <f t="shared" si="128"/>
        <v/>
      </c>
      <c r="CN239" s="184">
        <f t="shared" si="142"/>
        <v>0</v>
      </c>
      <c r="CO239" s="693">
        <f t="shared" si="143"/>
        <v>0</v>
      </c>
      <c r="CP239" s="182" t="s">
        <v>46</v>
      </c>
      <c r="CQ239" s="852" t="str">
        <f t="shared" si="144"/>
        <v/>
      </c>
      <c r="CR239" s="833">
        <f t="shared" si="145"/>
        <v>0</v>
      </c>
      <c r="CS239" s="830" t="s">
        <v>567</v>
      </c>
      <c r="CT239" s="185" t="str">
        <f>IF($CL239="","",VLOOKUP($D239,'Factor Tables'!$B$165:$H$192,MATCH($CL239,'Factor Tables'!$B$164:$H$164,0),FALSE))</f>
        <v/>
      </c>
      <c r="CU239" s="842" t="str">
        <f>IF($CL239="","",IF(AND($CL239&lt;&gt;"DX HP",$CL239&lt;&gt;"PTHP"),VLOOKUP($D239,'Factor Tables'!$I$165:$Q$192,MATCH($CL239,'Factor Tables'!$I$164:$Q$164,0),FALSE),IF($CL239="DX HP",VLOOKUP($D239,'Factor Tables'!$I$165:$Q$192,MATCH("DX HP Clg",'Factor Tables'!$I$164:$Q$164,0),FALSE),IF($CL239="PTHP",VLOOKUP($D239,'Factor Tables'!$I$165:$Q$192,MATCH("PTHP Clg",'Factor Tables'!$I$164:$Q$164,0),FALSE),""))))</f>
        <v/>
      </c>
      <c r="CV239" s="186" t="str">
        <f>IF($CL239="","",IF(AND($CL239&lt;&gt;"DX HP",$CL239&lt;&gt;"PTHP"),0,IF($CL239="DX HP",VLOOKUP($D239,'Factor Tables'!$I$165:$Q$192,MATCH("DX HP Htg",'Factor Tables'!$I$164:$Q$164,0),FALSE),IF($CL239="PTHP",VLOOKUP($D239,'Factor Tables'!$I$165:$Q$192,MATCH("PTHP Htg",'Factor Tables'!$I$164:$Q$164,0),FALSE),""))))</f>
        <v/>
      </c>
      <c r="DD239" s="196" t="str">
        <f>IF(OR('Project Info'!$D$8="",$C79="",$D79=""),"",IF('Project Info'!$D$8="Weather Zone 5: El Paso",VLOOKUP($D79,$DI$9:$DL$37,MATCH($C79,$DI$9:$DL$9,0),FALSE),VLOOKUP($D79,$DE$9:$DH$37,MATCH($C79,$DE$9:$DH$9,0),FALSE)))</f>
        <v/>
      </c>
      <c r="DE239" s="426"/>
      <c r="DI239" s="425"/>
      <c r="DJ239" s="425"/>
      <c r="DK239" s="425"/>
      <c r="DL239" s="425"/>
      <c r="DM239" s="493" t="s">
        <v>478</v>
      </c>
    </row>
    <row r="240" spans="2:117" s="427" customFormat="1" ht="21.95" customHeight="1" x14ac:dyDescent="0.25">
      <c r="B240" s="431">
        <v>231</v>
      </c>
      <c r="C240" s="501" t="str">
        <f t="shared" si="129"/>
        <v/>
      </c>
      <c r="D240" s="502" t="str">
        <f t="shared" si="130"/>
        <v/>
      </c>
      <c r="E240" s="546"/>
      <c r="F240" s="547"/>
      <c r="G240" s="729"/>
      <c r="H240" s="729"/>
      <c r="I240" s="729"/>
      <c r="J240" s="729"/>
      <c r="K240" s="729"/>
      <c r="L240" s="729"/>
      <c r="M240" s="765"/>
      <c r="N240" s="758"/>
      <c r="O240" s="765"/>
      <c r="P240" s="758"/>
      <c r="Q240" s="1143"/>
      <c r="R240" s="1134"/>
      <c r="S240" s="775"/>
      <c r="T240" s="729"/>
      <c r="U240" s="775"/>
      <c r="V240" s="779"/>
      <c r="W240" s="557"/>
      <c r="X240" s="788"/>
      <c r="Y240" s="543"/>
      <c r="Z240" s="281"/>
      <c r="AA240" s="281"/>
      <c r="AB240" s="281"/>
      <c r="AC240" s="281"/>
      <c r="AD240" s="492"/>
      <c r="AE240" s="527">
        <f t="shared" si="39"/>
        <v>0</v>
      </c>
      <c r="AF240" s="527">
        <f t="shared" si="131"/>
        <v>0</v>
      </c>
      <c r="AG240" s="527">
        <f t="shared" si="111"/>
        <v>0</v>
      </c>
      <c r="AH240" s="527">
        <f t="shared" si="112"/>
        <v>0</v>
      </c>
      <c r="AI240" s="527">
        <f t="shared" si="113"/>
        <v>0</v>
      </c>
      <c r="AJ240" s="527">
        <f t="shared" si="114"/>
        <v>999999999</v>
      </c>
      <c r="AK240" s="471"/>
      <c r="AL240" s="765"/>
      <c r="AM240" s="758"/>
      <c r="AN240" s="281"/>
      <c r="AO240" s="775"/>
      <c r="AP240" s="775"/>
      <c r="AQ240" s="281"/>
      <c r="AR240" s="528"/>
      <c r="AS240" s="532"/>
      <c r="AT240" s="524" t="str">
        <f t="shared" si="115"/>
        <v/>
      </c>
      <c r="AU240" s="311">
        <f t="shared" si="116"/>
        <v>0</v>
      </c>
      <c r="AV240" s="288">
        <f t="shared" si="132"/>
        <v>0</v>
      </c>
      <c r="AW240" s="290">
        <f>IF(ISERROR($AU240*'Utility Admin'!$E$4+$AV240*'Utility Admin'!$F$4),0,$AU240*'Utility Admin'!$E$4+$AV240*'Utility Admin'!$F$4)</f>
        <v>0</v>
      </c>
      <c r="AX240" s="323" t="str">
        <f t="shared" si="117"/>
        <v/>
      </c>
      <c r="AY240" s="322" t="str">
        <f t="shared" si="23"/>
        <v/>
      </c>
      <c r="AZ240" s="319">
        <f>Baselines!$CJ484</f>
        <v>0</v>
      </c>
      <c r="BA240" s="735">
        <f>Baselines!$CK484</f>
        <v>0</v>
      </c>
      <c r="BB240" s="839">
        <f>Baselines!$CM484</f>
        <v>0</v>
      </c>
      <c r="BC240" s="466">
        <f t="shared" si="118"/>
        <v>0</v>
      </c>
      <c r="BD240" s="464">
        <f t="shared" si="133"/>
        <v>0</v>
      </c>
      <c r="BE240" s="755">
        <f t="shared" si="119"/>
        <v>0</v>
      </c>
      <c r="BF240" s="755">
        <f t="shared" si="134"/>
        <v>0</v>
      </c>
      <c r="BG240" s="466">
        <f t="shared" si="120"/>
        <v>0</v>
      </c>
      <c r="BH240" s="464">
        <f t="shared" si="121"/>
        <v>0</v>
      </c>
      <c r="BI240" s="755">
        <f t="shared" si="122"/>
        <v>0</v>
      </c>
      <c r="BJ240" s="755">
        <f t="shared" si="135"/>
        <v>0</v>
      </c>
      <c r="BK240" s="333">
        <f>IF(OR($C240&lt;&gt;"Early Retirement",$H240=""),0,IF(AND($G240&lt;&gt;"Air Cooled Chiller",$G240&lt;&gt;"Water Cooled Chiller"),VLOOKUP($H240,'Early Retirement'!$CI$6:$CL$33,2,FALSE),IF($J240&lt;&gt;"Centrifugal",VLOOKUP($H240,'Early Retirement'!$CI$6:$CL$33,3,FALSE),IF($J240="Centrifugal",VLOOKUP($H240,'Early Retirement'!$CI$6:$CL$33,4,FALSE),""))))</f>
        <v>0</v>
      </c>
      <c r="BL240" s="450">
        <f t="shared" si="123"/>
        <v>0</v>
      </c>
      <c r="BM240" s="553">
        <f>IFERROR('Utility Admin'!$I$4*((1+'Utility Admin'!$G$4)/('Utility Admin'!$H$4-'Utility Admin'!$G$4))*(1-((1+'Utility Admin'!$G$4)/(1+'Utility Admin'!$H$4))^$BK240)*$BG240,0)</f>
        <v>0</v>
      </c>
      <c r="BN240" s="553">
        <f>IFERROR('Utility Admin'!$I$4*((1+'Utility Admin'!$G$4)/('Utility Admin'!$H$4-'Utility Admin'!$G$4))*(1-((1+'Utility Admin'!$G$4)/(1+'Utility Admin'!$H$4))^$BL240)*((1+'Utility Admin'!$G$4)^$BK240/(1+'Utility Admin'!$H$4)^$BK240)*$BC240,0)</f>
        <v>0</v>
      </c>
      <c r="BO240" s="553">
        <f t="shared" si="27"/>
        <v>0</v>
      </c>
      <c r="BP240" s="553">
        <f>IFERROR('Utility Admin'!$J$4*((1+'Utility Admin'!$G$4)/('Utility Admin'!$H$4-'Utility Admin'!$G$4))*(1-((1+'Utility Admin'!$G$4)/(1+'Utility Admin'!$H$4))^$BK240)*$BJ240,0)</f>
        <v>0</v>
      </c>
      <c r="BQ240" s="553">
        <f>IFERROR('Utility Admin'!$J$4*((1+'Utility Admin'!$G$4)/('Utility Admin'!$H$4-'Utility Admin'!$G$4))*(1-((1+'Utility Admin'!$G$4)/(1+'Utility Admin'!$H$4))^$BL240)*((1+'Utility Admin'!$G$4)^$BK240/(1+'Utility Admin'!$H$4)^$BK240)*$BF240,0)</f>
        <v>0</v>
      </c>
      <c r="BR240" s="553">
        <f t="shared" si="28"/>
        <v>0</v>
      </c>
      <c r="BS240" s="553">
        <f>IFERROR('Utility Admin'!$I$4*((1+'Utility Admin'!$G$4)/('Utility Admin'!$H$4-'Utility Admin'!$G$4))*(1-((1+'Utility Admin'!$G$4)/(1+'Utility Admin'!$H$4))^$AT240),0)</f>
        <v>0</v>
      </c>
      <c r="BT240" s="553">
        <f>IFERROR('Utility Admin'!$J$4*((1+'Utility Admin'!$G$4)/('Utility Admin'!$H$4-'Utility Admin'!$G$4))*(1-((1+'Utility Admin'!$G$4)/(1+'Utility Admin'!$H$4))^$AT240),0)</f>
        <v>0</v>
      </c>
      <c r="BU240" s="459">
        <f t="shared" si="136"/>
        <v>0</v>
      </c>
      <c r="BV240" s="462">
        <f t="shared" si="137"/>
        <v>0</v>
      </c>
      <c r="BW240" s="219" t="str">
        <f t="shared" si="124"/>
        <v/>
      </c>
      <c r="BX240" s="250" t="str">
        <f t="shared" si="138"/>
        <v/>
      </c>
      <c r="BY240" s="250" t="str">
        <f t="shared" si="125"/>
        <v/>
      </c>
      <c r="BZ240" s="184">
        <f t="shared" si="139"/>
        <v>0</v>
      </c>
      <c r="CA240" s="693">
        <f t="shared" si="140"/>
        <v>0</v>
      </c>
      <c r="CB240" s="836">
        <f t="shared" si="141"/>
        <v>0</v>
      </c>
      <c r="CC240" s="693">
        <f>IF(AND($C240="Early Retirement",$H240&lt;&gt;"",$R240&lt;&gt;"",$T240&lt;&gt;""),$BZ240,Baselines!$CJ233)</f>
        <v>0</v>
      </c>
      <c r="CD240" s="693">
        <f>IF(AND($C240="Early Retirement",$H240&lt;&gt;"",$R240&lt;&gt;"",$T240&lt;&gt;""),$CA240,Baselines!$CK233)</f>
        <v>0</v>
      </c>
      <c r="CE240" s="182" t="str">
        <f>Baselines!$CL233</f>
        <v>kW/ton</v>
      </c>
      <c r="CF240" s="850" t="str">
        <f t="shared" si="126"/>
        <v/>
      </c>
      <c r="CG240" s="833">
        <f>IF(AND($C240="Early Retirement",$H240&lt;&gt;"",$R240&lt;&gt;"",$T240&lt;&gt;""),$CB240,IF(AND(Baselines!$CM233=0,OR($CL240="DX HP",$CL240="PTHP")),$BB240,Baselines!$CM233))</f>
        <v>0</v>
      </c>
      <c r="CH240" s="830" t="s">
        <v>567</v>
      </c>
      <c r="CI240" s="185" t="str">
        <f>IF(OR($C240="Replace-on-Burnout",$C240="New Construction"),$CT240,IF($BW240="","",VLOOKUP($D240,'Factor Tables'!$B$165:$H$192,MATCH($BW240,'Factor Tables'!$B$164:$H$164,0),FALSE)))</f>
        <v/>
      </c>
      <c r="CJ240" s="842" t="str">
        <f>IF(OR($C240="Replace-on-Burnout",$C240="New Construction"),$CU240,IF($BW240="","",IF($BW240="DX HP",VLOOKUP($D240,'Factor Tables'!$I$165:$Q$192,MATCH("DX HP Clg",'Factor Tables'!$I$164:$Q$164,0),FALSE),IF($BW240="PTHP",VLOOKUP($D240,'Factor Tables'!$I$165:$Q$192,MATCH("PTHP Clg",'Factor Tables'!$I$164:$Q$164,0),FALSE),IF(AND($BW240&lt;&gt;"DX HP",$BW240&lt;&gt;"PTHP"),VLOOKUP($D240,'Factor Tables'!$I$165:$Q$192,MATCH($BW240,'Factor Tables'!$I$164:$Q$164,0),FALSE),"")))))</f>
        <v/>
      </c>
      <c r="CK240" s="186" t="str">
        <f>IF(OR($C240="Replace-on-Burnout",$C240="New Construction",$CL240="DX HP",$CL240="PTHP"),$CV240,IF($BW240="","",IF($BW240="DX HP",VLOOKUP($D240,'Factor Tables'!$I$165:$Q$192,MATCH("DX HP Htg",'Factor Tables'!$I$164:$Q$164,0),FALSE),IF($BW240="PTHP",VLOOKUP($D240,'Factor Tables'!$I$165:$Q$192,MATCH("PTHP Htg",'Factor Tables'!$I$164:$Q$164,0),FALSE),0))))</f>
        <v/>
      </c>
      <c r="CL240" s="187" t="str">
        <f t="shared" si="127"/>
        <v/>
      </c>
      <c r="CM240" s="251" t="str">
        <f t="shared" si="128"/>
        <v/>
      </c>
      <c r="CN240" s="184">
        <f t="shared" si="142"/>
        <v>0</v>
      </c>
      <c r="CO240" s="693">
        <f t="shared" si="143"/>
        <v>0</v>
      </c>
      <c r="CP240" s="182" t="s">
        <v>46</v>
      </c>
      <c r="CQ240" s="852" t="str">
        <f t="shared" si="144"/>
        <v/>
      </c>
      <c r="CR240" s="833">
        <f t="shared" si="145"/>
        <v>0</v>
      </c>
      <c r="CS240" s="830" t="s">
        <v>567</v>
      </c>
      <c r="CT240" s="185" t="str">
        <f>IF($CL240="","",VLOOKUP($D240,'Factor Tables'!$B$165:$H$192,MATCH($CL240,'Factor Tables'!$B$164:$H$164,0),FALSE))</f>
        <v/>
      </c>
      <c r="CU240" s="842" t="str">
        <f>IF($CL240="","",IF(AND($CL240&lt;&gt;"DX HP",$CL240&lt;&gt;"PTHP"),VLOOKUP($D240,'Factor Tables'!$I$165:$Q$192,MATCH($CL240,'Factor Tables'!$I$164:$Q$164,0),FALSE),IF($CL240="DX HP",VLOOKUP($D240,'Factor Tables'!$I$165:$Q$192,MATCH("DX HP Clg",'Factor Tables'!$I$164:$Q$164,0),FALSE),IF($CL240="PTHP",VLOOKUP($D240,'Factor Tables'!$I$165:$Q$192,MATCH("PTHP Clg",'Factor Tables'!$I$164:$Q$164,0),FALSE),""))))</f>
        <v/>
      </c>
      <c r="CV240" s="186" t="str">
        <f>IF($CL240="","",IF(AND($CL240&lt;&gt;"DX HP",$CL240&lt;&gt;"PTHP"),0,IF($CL240="DX HP",VLOOKUP($D240,'Factor Tables'!$I$165:$Q$192,MATCH("DX HP Htg",'Factor Tables'!$I$164:$Q$164,0),FALSE),IF($CL240="PTHP",VLOOKUP($D240,'Factor Tables'!$I$165:$Q$192,MATCH("PTHP Htg",'Factor Tables'!$I$164:$Q$164,0),FALSE),""))))</f>
        <v/>
      </c>
      <c r="DD240" s="196" t="str">
        <f>IF(OR('Project Info'!$D$8="",$C80="",$D80=""),"",IF('Project Info'!$D$8="Weather Zone 5: El Paso",VLOOKUP($D80,$DI$9:$DL$37,MATCH($C80,$DI$9:$DL$9,0),FALSE),VLOOKUP($D80,$DE$9:$DH$37,MATCH($C80,$DE$9:$DH$9,0),FALSE)))</f>
        <v/>
      </c>
      <c r="DE240" s="426"/>
      <c r="DI240" s="425"/>
      <c r="DJ240" s="425"/>
      <c r="DK240" s="425"/>
      <c r="DL240" s="425"/>
      <c r="DM240" s="493" t="s">
        <v>478</v>
      </c>
    </row>
    <row r="241" spans="2:117" s="427" customFormat="1" ht="21.95" customHeight="1" x14ac:dyDescent="0.25">
      <c r="B241" s="432">
        <v>232</v>
      </c>
      <c r="C241" s="499" t="str">
        <f t="shared" si="129"/>
        <v/>
      </c>
      <c r="D241" s="403" t="str">
        <f t="shared" si="130"/>
        <v/>
      </c>
      <c r="E241" s="541"/>
      <c r="F241" s="785"/>
      <c r="G241" s="728"/>
      <c r="H241" s="728"/>
      <c r="I241" s="728"/>
      <c r="J241" s="728"/>
      <c r="K241" s="728"/>
      <c r="L241" s="728"/>
      <c r="M241" s="764"/>
      <c r="N241" s="728"/>
      <c r="O241" s="764"/>
      <c r="P241" s="728"/>
      <c r="Q241" s="1142"/>
      <c r="R241" s="1133"/>
      <c r="S241" s="778"/>
      <c r="T241" s="767"/>
      <c r="U241" s="778"/>
      <c r="V241" s="751"/>
      <c r="W241" s="556"/>
      <c r="X241" s="785"/>
      <c r="Y241" s="542"/>
      <c r="Z241" s="500"/>
      <c r="AA241" s="500"/>
      <c r="AB241" s="500"/>
      <c r="AC241" s="500"/>
      <c r="AD241" s="529"/>
      <c r="AE241" s="527">
        <f t="shared" si="39"/>
        <v>0</v>
      </c>
      <c r="AF241" s="527">
        <f t="shared" si="131"/>
        <v>0</v>
      </c>
      <c r="AG241" s="527">
        <f t="shared" si="111"/>
        <v>0</v>
      </c>
      <c r="AH241" s="527">
        <f t="shared" si="112"/>
        <v>0</v>
      </c>
      <c r="AI241" s="527">
        <f t="shared" si="113"/>
        <v>0</v>
      </c>
      <c r="AJ241" s="527">
        <f t="shared" si="114"/>
        <v>999999999</v>
      </c>
      <c r="AK241" s="530"/>
      <c r="AL241" s="776"/>
      <c r="AM241" s="777"/>
      <c r="AN241" s="500"/>
      <c r="AO241" s="778"/>
      <c r="AP241" s="778"/>
      <c r="AQ241" s="500"/>
      <c r="AR241" s="531"/>
      <c r="AS241" s="403"/>
      <c r="AT241" s="524" t="str">
        <f t="shared" si="115"/>
        <v/>
      </c>
      <c r="AU241" s="311">
        <f t="shared" si="116"/>
        <v>0</v>
      </c>
      <c r="AV241" s="288">
        <f t="shared" si="132"/>
        <v>0</v>
      </c>
      <c r="AW241" s="290">
        <f>IF(ISERROR($AU241*'Utility Admin'!$E$4+$AV241*'Utility Admin'!$F$4),0,$AU241*'Utility Admin'!$E$4+$AV241*'Utility Admin'!$F$4)</f>
        <v>0</v>
      </c>
      <c r="AX241" s="323" t="str">
        <f t="shared" si="117"/>
        <v/>
      </c>
      <c r="AY241" s="322" t="str">
        <f t="shared" si="23"/>
        <v/>
      </c>
      <c r="AZ241" s="319">
        <f>Baselines!$CJ485</f>
        <v>0</v>
      </c>
      <c r="BA241" s="735">
        <f>Baselines!$CK485</f>
        <v>0</v>
      </c>
      <c r="BB241" s="839">
        <f>Baselines!$CM485</f>
        <v>0</v>
      </c>
      <c r="BC241" s="466">
        <f t="shared" si="118"/>
        <v>0</v>
      </c>
      <c r="BD241" s="464">
        <f t="shared" si="133"/>
        <v>0</v>
      </c>
      <c r="BE241" s="755">
        <f t="shared" si="119"/>
        <v>0</v>
      </c>
      <c r="BF241" s="755">
        <f t="shared" si="134"/>
        <v>0</v>
      </c>
      <c r="BG241" s="466">
        <f t="shared" si="120"/>
        <v>0</v>
      </c>
      <c r="BH241" s="464">
        <f t="shared" si="121"/>
        <v>0</v>
      </c>
      <c r="BI241" s="755">
        <f t="shared" si="122"/>
        <v>0</v>
      </c>
      <c r="BJ241" s="755">
        <f t="shared" si="135"/>
        <v>0</v>
      </c>
      <c r="BK241" s="333">
        <f>IF(OR($C241&lt;&gt;"Early Retirement",$H241=""),0,IF(AND($G241&lt;&gt;"Air Cooled Chiller",$G241&lt;&gt;"Water Cooled Chiller"),VLOOKUP($H241,'Early Retirement'!$CI$6:$CL$33,2,FALSE),IF($J241&lt;&gt;"Centrifugal",VLOOKUP($H241,'Early Retirement'!$CI$6:$CL$33,3,FALSE),IF($J241="Centrifugal",VLOOKUP($H241,'Early Retirement'!$CI$6:$CL$33,4,FALSE),""))))</f>
        <v>0</v>
      </c>
      <c r="BL241" s="450">
        <f t="shared" si="123"/>
        <v>0</v>
      </c>
      <c r="BM241" s="553">
        <f>IFERROR('Utility Admin'!$I$4*((1+'Utility Admin'!$G$4)/('Utility Admin'!$H$4-'Utility Admin'!$G$4))*(1-((1+'Utility Admin'!$G$4)/(1+'Utility Admin'!$H$4))^$BK241)*$BG241,0)</f>
        <v>0</v>
      </c>
      <c r="BN241" s="553">
        <f>IFERROR('Utility Admin'!$I$4*((1+'Utility Admin'!$G$4)/('Utility Admin'!$H$4-'Utility Admin'!$G$4))*(1-((1+'Utility Admin'!$G$4)/(1+'Utility Admin'!$H$4))^$BL241)*((1+'Utility Admin'!$G$4)^$BK241/(1+'Utility Admin'!$H$4)^$BK241)*$BC241,0)</f>
        <v>0</v>
      </c>
      <c r="BO241" s="553">
        <f t="shared" si="27"/>
        <v>0</v>
      </c>
      <c r="BP241" s="553">
        <f>IFERROR('Utility Admin'!$J$4*((1+'Utility Admin'!$G$4)/('Utility Admin'!$H$4-'Utility Admin'!$G$4))*(1-((1+'Utility Admin'!$G$4)/(1+'Utility Admin'!$H$4))^$BK241)*$BJ241,0)</f>
        <v>0</v>
      </c>
      <c r="BQ241" s="553">
        <f>IFERROR('Utility Admin'!$J$4*((1+'Utility Admin'!$G$4)/('Utility Admin'!$H$4-'Utility Admin'!$G$4))*(1-((1+'Utility Admin'!$G$4)/(1+'Utility Admin'!$H$4))^$BL241)*((1+'Utility Admin'!$G$4)^$BK241/(1+'Utility Admin'!$H$4)^$BK241)*$BF241,0)</f>
        <v>0</v>
      </c>
      <c r="BR241" s="553">
        <f t="shared" si="28"/>
        <v>0</v>
      </c>
      <c r="BS241" s="553">
        <f>IFERROR('Utility Admin'!$I$4*((1+'Utility Admin'!$G$4)/('Utility Admin'!$H$4-'Utility Admin'!$G$4))*(1-((1+'Utility Admin'!$G$4)/(1+'Utility Admin'!$H$4))^$AT241),0)</f>
        <v>0</v>
      </c>
      <c r="BT241" s="553">
        <f>IFERROR('Utility Admin'!$J$4*((1+'Utility Admin'!$G$4)/('Utility Admin'!$H$4-'Utility Admin'!$G$4))*(1-((1+'Utility Admin'!$G$4)/(1+'Utility Admin'!$H$4))^$AT241),0)</f>
        <v>0</v>
      </c>
      <c r="BU241" s="459">
        <f t="shared" si="136"/>
        <v>0</v>
      </c>
      <c r="BV241" s="462">
        <f t="shared" si="137"/>
        <v>0</v>
      </c>
      <c r="BW241" s="219" t="str">
        <f t="shared" si="124"/>
        <v/>
      </c>
      <c r="BX241" s="250" t="str">
        <f t="shared" si="138"/>
        <v/>
      </c>
      <c r="BY241" s="250" t="str">
        <f t="shared" si="125"/>
        <v/>
      </c>
      <c r="BZ241" s="184">
        <f t="shared" si="139"/>
        <v>0</v>
      </c>
      <c r="CA241" s="693">
        <f t="shared" si="140"/>
        <v>0</v>
      </c>
      <c r="CB241" s="836">
        <f t="shared" si="141"/>
        <v>0</v>
      </c>
      <c r="CC241" s="693">
        <f>IF(AND($C241="Early Retirement",$H241&lt;&gt;"",$R241&lt;&gt;"",$T241&lt;&gt;""),$BZ241,Baselines!$CJ234)</f>
        <v>0</v>
      </c>
      <c r="CD241" s="693">
        <f>IF(AND($C241="Early Retirement",$H241&lt;&gt;"",$R241&lt;&gt;"",$T241&lt;&gt;""),$CA241,Baselines!$CK234)</f>
        <v>0</v>
      </c>
      <c r="CE241" s="182" t="str">
        <f>Baselines!$CL234</f>
        <v>kW/ton</v>
      </c>
      <c r="CF241" s="850" t="str">
        <f t="shared" si="126"/>
        <v/>
      </c>
      <c r="CG241" s="833">
        <f>IF(AND($C241="Early Retirement",$H241&lt;&gt;"",$R241&lt;&gt;"",$T241&lt;&gt;""),$CB241,IF(AND(Baselines!$CM234=0,OR($CL241="DX HP",$CL241="PTHP")),$BB241,Baselines!$CM234))</f>
        <v>0</v>
      </c>
      <c r="CH241" s="830" t="s">
        <v>567</v>
      </c>
      <c r="CI241" s="185" t="str">
        <f>IF(OR($C241="Replace-on-Burnout",$C241="New Construction"),$CT241,IF($BW241="","",VLOOKUP($D241,'Factor Tables'!$B$165:$H$192,MATCH($BW241,'Factor Tables'!$B$164:$H$164,0),FALSE)))</f>
        <v/>
      </c>
      <c r="CJ241" s="842" t="str">
        <f>IF(OR($C241="Replace-on-Burnout",$C241="New Construction"),$CU241,IF($BW241="","",IF($BW241="DX HP",VLOOKUP($D241,'Factor Tables'!$I$165:$Q$192,MATCH("DX HP Clg",'Factor Tables'!$I$164:$Q$164,0),FALSE),IF($BW241="PTHP",VLOOKUP($D241,'Factor Tables'!$I$165:$Q$192,MATCH("PTHP Clg",'Factor Tables'!$I$164:$Q$164,0),FALSE),IF(AND($BW241&lt;&gt;"DX HP",$BW241&lt;&gt;"PTHP"),VLOOKUP($D241,'Factor Tables'!$I$165:$Q$192,MATCH($BW241,'Factor Tables'!$I$164:$Q$164,0),FALSE),"")))))</f>
        <v/>
      </c>
      <c r="CK241" s="186" t="str">
        <f>IF(OR($C241="Replace-on-Burnout",$C241="New Construction",$CL241="DX HP",$CL241="PTHP"),$CV241,IF($BW241="","",IF($BW241="DX HP",VLOOKUP($D241,'Factor Tables'!$I$165:$Q$192,MATCH("DX HP Htg",'Factor Tables'!$I$164:$Q$164,0),FALSE),IF($BW241="PTHP",VLOOKUP($D241,'Factor Tables'!$I$165:$Q$192,MATCH("PTHP Htg",'Factor Tables'!$I$164:$Q$164,0),FALSE),0))))</f>
        <v/>
      </c>
      <c r="CL241" s="187" t="str">
        <f t="shared" si="127"/>
        <v/>
      </c>
      <c r="CM241" s="251" t="str">
        <f t="shared" si="128"/>
        <v/>
      </c>
      <c r="CN241" s="184">
        <f t="shared" si="142"/>
        <v>0</v>
      </c>
      <c r="CO241" s="693">
        <f t="shared" si="143"/>
        <v>0</v>
      </c>
      <c r="CP241" s="182" t="s">
        <v>46</v>
      </c>
      <c r="CQ241" s="852" t="str">
        <f t="shared" si="144"/>
        <v/>
      </c>
      <c r="CR241" s="833">
        <f t="shared" si="145"/>
        <v>0</v>
      </c>
      <c r="CS241" s="830" t="s">
        <v>567</v>
      </c>
      <c r="CT241" s="185" t="str">
        <f>IF($CL241="","",VLOOKUP($D241,'Factor Tables'!$B$165:$H$192,MATCH($CL241,'Factor Tables'!$B$164:$H$164,0),FALSE))</f>
        <v/>
      </c>
      <c r="CU241" s="842" t="str">
        <f>IF($CL241="","",IF(AND($CL241&lt;&gt;"DX HP",$CL241&lt;&gt;"PTHP"),VLOOKUP($D241,'Factor Tables'!$I$165:$Q$192,MATCH($CL241,'Factor Tables'!$I$164:$Q$164,0),FALSE),IF($CL241="DX HP",VLOOKUP($D241,'Factor Tables'!$I$165:$Q$192,MATCH("DX HP Clg",'Factor Tables'!$I$164:$Q$164,0),FALSE),IF($CL241="PTHP",VLOOKUP($D241,'Factor Tables'!$I$165:$Q$192,MATCH("PTHP Clg",'Factor Tables'!$I$164:$Q$164,0),FALSE),""))))</f>
        <v/>
      </c>
      <c r="CV241" s="186" t="str">
        <f>IF($CL241="","",IF(AND($CL241&lt;&gt;"DX HP",$CL241&lt;&gt;"PTHP"),0,IF($CL241="DX HP",VLOOKUP($D241,'Factor Tables'!$I$165:$Q$192,MATCH("DX HP Htg",'Factor Tables'!$I$164:$Q$164,0),FALSE),IF($CL241="PTHP",VLOOKUP($D241,'Factor Tables'!$I$165:$Q$192,MATCH("PTHP Htg",'Factor Tables'!$I$164:$Q$164,0),FALSE),""))))</f>
        <v/>
      </c>
      <c r="DD241" s="196" t="str">
        <f>IF(OR('Project Info'!$D$8="",$C81="",$D81=""),"",IF('Project Info'!$D$8="Weather Zone 5: El Paso",VLOOKUP($D81,$DI$9:$DL$37,MATCH($C81,$DI$9:$DL$9,0),FALSE),VLOOKUP($D81,$DE$9:$DH$37,MATCH($C81,$DE$9:$DH$9,0),FALSE)))</f>
        <v/>
      </c>
      <c r="DE241" s="426"/>
      <c r="DI241" s="425"/>
      <c r="DJ241" s="425"/>
      <c r="DK241" s="425"/>
      <c r="DL241" s="425"/>
      <c r="DM241" s="493" t="s">
        <v>478</v>
      </c>
    </row>
    <row r="242" spans="2:117" s="427" customFormat="1" ht="21.95" customHeight="1" x14ac:dyDescent="0.25">
      <c r="B242" s="431">
        <v>233</v>
      </c>
      <c r="C242" s="501" t="str">
        <f t="shared" si="129"/>
        <v/>
      </c>
      <c r="D242" s="502" t="str">
        <f t="shared" si="130"/>
        <v/>
      </c>
      <c r="E242" s="546"/>
      <c r="F242" s="547"/>
      <c r="G242" s="729"/>
      <c r="H242" s="729"/>
      <c r="I242" s="729"/>
      <c r="J242" s="729"/>
      <c r="K242" s="729"/>
      <c r="L242" s="729"/>
      <c r="M242" s="765"/>
      <c r="N242" s="758"/>
      <c r="O242" s="765"/>
      <c r="P242" s="758"/>
      <c r="Q242" s="1143"/>
      <c r="R242" s="1134"/>
      <c r="S242" s="775"/>
      <c r="T242" s="729"/>
      <c r="U242" s="775"/>
      <c r="V242" s="779"/>
      <c r="W242" s="557"/>
      <c r="X242" s="788"/>
      <c r="Y242" s="543"/>
      <c r="Z242" s="281"/>
      <c r="AA242" s="281"/>
      <c r="AB242" s="281"/>
      <c r="AC242" s="281"/>
      <c r="AD242" s="492"/>
      <c r="AE242" s="527">
        <f t="shared" si="39"/>
        <v>0</v>
      </c>
      <c r="AF242" s="527">
        <f t="shared" si="131"/>
        <v>0</v>
      </c>
      <c r="AG242" s="527">
        <f t="shared" si="111"/>
        <v>0</v>
      </c>
      <c r="AH242" s="527">
        <f t="shared" si="112"/>
        <v>0</v>
      </c>
      <c r="AI242" s="527">
        <f t="shared" si="113"/>
        <v>0</v>
      </c>
      <c r="AJ242" s="527">
        <f t="shared" si="114"/>
        <v>999999999</v>
      </c>
      <c r="AK242" s="471"/>
      <c r="AL242" s="765"/>
      <c r="AM242" s="758"/>
      <c r="AN242" s="281"/>
      <c r="AO242" s="775"/>
      <c r="AP242" s="775"/>
      <c r="AQ242" s="281"/>
      <c r="AR242" s="528"/>
      <c r="AS242" s="532"/>
      <c r="AT242" s="524" t="str">
        <f t="shared" si="115"/>
        <v/>
      </c>
      <c r="AU242" s="311">
        <f t="shared" si="116"/>
        <v>0</v>
      </c>
      <c r="AV242" s="288">
        <f t="shared" si="132"/>
        <v>0</v>
      </c>
      <c r="AW242" s="290">
        <f>IF(ISERROR($AU242*'Utility Admin'!$E$4+$AV242*'Utility Admin'!$F$4),0,$AU242*'Utility Admin'!$E$4+$AV242*'Utility Admin'!$F$4)</f>
        <v>0</v>
      </c>
      <c r="AX242" s="323" t="str">
        <f t="shared" si="117"/>
        <v/>
      </c>
      <c r="AY242" s="322" t="str">
        <f t="shared" si="23"/>
        <v/>
      </c>
      <c r="AZ242" s="319">
        <f>Baselines!$CJ486</f>
        <v>0</v>
      </c>
      <c r="BA242" s="735">
        <f>Baselines!$CK486</f>
        <v>0</v>
      </c>
      <c r="BB242" s="839">
        <f>Baselines!$CM486</f>
        <v>0</v>
      </c>
      <c r="BC242" s="466">
        <f t="shared" si="118"/>
        <v>0</v>
      </c>
      <c r="BD242" s="464">
        <f t="shared" si="133"/>
        <v>0</v>
      </c>
      <c r="BE242" s="755">
        <f t="shared" si="119"/>
        <v>0</v>
      </c>
      <c r="BF242" s="755">
        <f t="shared" si="134"/>
        <v>0</v>
      </c>
      <c r="BG242" s="466">
        <f t="shared" si="120"/>
        <v>0</v>
      </c>
      <c r="BH242" s="464">
        <f t="shared" si="121"/>
        <v>0</v>
      </c>
      <c r="BI242" s="755">
        <f t="shared" si="122"/>
        <v>0</v>
      </c>
      <c r="BJ242" s="755">
        <f t="shared" si="135"/>
        <v>0</v>
      </c>
      <c r="BK242" s="333">
        <f>IF(OR($C242&lt;&gt;"Early Retirement",$H242=""),0,IF(AND($G242&lt;&gt;"Air Cooled Chiller",$G242&lt;&gt;"Water Cooled Chiller"),VLOOKUP($H242,'Early Retirement'!$CI$6:$CL$33,2,FALSE),IF($J242&lt;&gt;"Centrifugal",VLOOKUP($H242,'Early Retirement'!$CI$6:$CL$33,3,FALSE),IF($J242="Centrifugal",VLOOKUP($H242,'Early Retirement'!$CI$6:$CL$33,4,FALSE),""))))</f>
        <v>0</v>
      </c>
      <c r="BL242" s="450">
        <f t="shared" si="123"/>
        <v>0</v>
      </c>
      <c r="BM242" s="553">
        <f>IFERROR('Utility Admin'!$I$4*((1+'Utility Admin'!$G$4)/('Utility Admin'!$H$4-'Utility Admin'!$G$4))*(1-((1+'Utility Admin'!$G$4)/(1+'Utility Admin'!$H$4))^$BK242)*$BG242,0)</f>
        <v>0</v>
      </c>
      <c r="BN242" s="553">
        <f>IFERROR('Utility Admin'!$I$4*((1+'Utility Admin'!$G$4)/('Utility Admin'!$H$4-'Utility Admin'!$G$4))*(1-((1+'Utility Admin'!$G$4)/(1+'Utility Admin'!$H$4))^$BL242)*((1+'Utility Admin'!$G$4)^$BK242/(1+'Utility Admin'!$H$4)^$BK242)*$BC242,0)</f>
        <v>0</v>
      </c>
      <c r="BO242" s="553">
        <f t="shared" si="27"/>
        <v>0</v>
      </c>
      <c r="BP242" s="553">
        <f>IFERROR('Utility Admin'!$J$4*((1+'Utility Admin'!$G$4)/('Utility Admin'!$H$4-'Utility Admin'!$G$4))*(1-((1+'Utility Admin'!$G$4)/(1+'Utility Admin'!$H$4))^$BK242)*$BJ242,0)</f>
        <v>0</v>
      </c>
      <c r="BQ242" s="553">
        <f>IFERROR('Utility Admin'!$J$4*((1+'Utility Admin'!$G$4)/('Utility Admin'!$H$4-'Utility Admin'!$G$4))*(1-((1+'Utility Admin'!$G$4)/(1+'Utility Admin'!$H$4))^$BL242)*((1+'Utility Admin'!$G$4)^$BK242/(1+'Utility Admin'!$H$4)^$BK242)*$BF242,0)</f>
        <v>0</v>
      </c>
      <c r="BR242" s="553">
        <f t="shared" si="28"/>
        <v>0</v>
      </c>
      <c r="BS242" s="553">
        <f>IFERROR('Utility Admin'!$I$4*((1+'Utility Admin'!$G$4)/('Utility Admin'!$H$4-'Utility Admin'!$G$4))*(1-((1+'Utility Admin'!$G$4)/(1+'Utility Admin'!$H$4))^$AT242),0)</f>
        <v>0</v>
      </c>
      <c r="BT242" s="553">
        <f>IFERROR('Utility Admin'!$J$4*((1+'Utility Admin'!$G$4)/('Utility Admin'!$H$4-'Utility Admin'!$G$4))*(1-((1+'Utility Admin'!$G$4)/(1+'Utility Admin'!$H$4))^$AT242),0)</f>
        <v>0</v>
      </c>
      <c r="BU242" s="459">
        <f t="shared" si="136"/>
        <v>0</v>
      </c>
      <c r="BV242" s="462">
        <f t="shared" si="137"/>
        <v>0</v>
      </c>
      <c r="BW242" s="219" t="str">
        <f t="shared" si="124"/>
        <v/>
      </c>
      <c r="BX242" s="250" t="str">
        <f t="shared" si="138"/>
        <v/>
      </c>
      <c r="BY242" s="250" t="str">
        <f t="shared" si="125"/>
        <v/>
      </c>
      <c r="BZ242" s="184">
        <f t="shared" si="139"/>
        <v>0</v>
      </c>
      <c r="CA242" s="693">
        <f t="shared" si="140"/>
        <v>0</v>
      </c>
      <c r="CB242" s="836">
        <f t="shared" si="141"/>
        <v>0</v>
      </c>
      <c r="CC242" s="693">
        <f>IF(AND($C242="Early Retirement",$H242&lt;&gt;"",$R242&lt;&gt;"",$T242&lt;&gt;""),$BZ242,Baselines!$CJ235)</f>
        <v>0</v>
      </c>
      <c r="CD242" s="693">
        <f>IF(AND($C242="Early Retirement",$H242&lt;&gt;"",$R242&lt;&gt;"",$T242&lt;&gt;""),$CA242,Baselines!$CK235)</f>
        <v>0</v>
      </c>
      <c r="CE242" s="182" t="str">
        <f>Baselines!$CL235</f>
        <v>kW/ton</v>
      </c>
      <c r="CF242" s="850" t="str">
        <f t="shared" si="126"/>
        <v/>
      </c>
      <c r="CG242" s="833">
        <f>IF(AND($C242="Early Retirement",$H242&lt;&gt;"",$R242&lt;&gt;"",$T242&lt;&gt;""),$CB242,IF(AND(Baselines!$CM235=0,OR($CL242="DX HP",$CL242="PTHP")),$BB242,Baselines!$CM235))</f>
        <v>0</v>
      </c>
      <c r="CH242" s="830" t="s">
        <v>567</v>
      </c>
      <c r="CI242" s="185" t="str">
        <f>IF(OR($C242="Replace-on-Burnout",$C242="New Construction"),$CT242,IF($BW242="","",VLOOKUP($D242,'Factor Tables'!$B$165:$H$192,MATCH($BW242,'Factor Tables'!$B$164:$H$164,0),FALSE)))</f>
        <v/>
      </c>
      <c r="CJ242" s="842" t="str">
        <f>IF(OR($C242="Replace-on-Burnout",$C242="New Construction"),$CU242,IF($BW242="","",IF($BW242="DX HP",VLOOKUP($D242,'Factor Tables'!$I$165:$Q$192,MATCH("DX HP Clg",'Factor Tables'!$I$164:$Q$164,0),FALSE),IF($BW242="PTHP",VLOOKUP($D242,'Factor Tables'!$I$165:$Q$192,MATCH("PTHP Clg",'Factor Tables'!$I$164:$Q$164,0),FALSE),IF(AND($BW242&lt;&gt;"DX HP",$BW242&lt;&gt;"PTHP"),VLOOKUP($D242,'Factor Tables'!$I$165:$Q$192,MATCH($BW242,'Factor Tables'!$I$164:$Q$164,0),FALSE),"")))))</f>
        <v/>
      </c>
      <c r="CK242" s="186" t="str">
        <f>IF(OR($C242="Replace-on-Burnout",$C242="New Construction",$CL242="DX HP",$CL242="PTHP"),$CV242,IF($BW242="","",IF($BW242="DX HP",VLOOKUP($D242,'Factor Tables'!$I$165:$Q$192,MATCH("DX HP Htg",'Factor Tables'!$I$164:$Q$164,0),FALSE),IF($BW242="PTHP",VLOOKUP($D242,'Factor Tables'!$I$165:$Q$192,MATCH("PTHP Htg",'Factor Tables'!$I$164:$Q$164,0),FALSE),0))))</f>
        <v/>
      </c>
      <c r="CL242" s="187" t="str">
        <f t="shared" si="127"/>
        <v/>
      </c>
      <c r="CM242" s="251" t="str">
        <f t="shared" si="128"/>
        <v/>
      </c>
      <c r="CN242" s="184">
        <f t="shared" si="142"/>
        <v>0</v>
      </c>
      <c r="CO242" s="693">
        <f t="shared" si="143"/>
        <v>0</v>
      </c>
      <c r="CP242" s="182" t="s">
        <v>46</v>
      </c>
      <c r="CQ242" s="852" t="str">
        <f t="shared" si="144"/>
        <v/>
      </c>
      <c r="CR242" s="833">
        <f t="shared" si="145"/>
        <v>0</v>
      </c>
      <c r="CS242" s="830" t="s">
        <v>567</v>
      </c>
      <c r="CT242" s="185" t="str">
        <f>IF($CL242="","",VLOOKUP($D242,'Factor Tables'!$B$165:$H$192,MATCH($CL242,'Factor Tables'!$B$164:$H$164,0),FALSE))</f>
        <v/>
      </c>
      <c r="CU242" s="842" t="str">
        <f>IF($CL242="","",IF(AND($CL242&lt;&gt;"DX HP",$CL242&lt;&gt;"PTHP"),VLOOKUP($D242,'Factor Tables'!$I$165:$Q$192,MATCH($CL242,'Factor Tables'!$I$164:$Q$164,0),FALSE),IF($CL242="DX HP",VLOOKUP($D242,'Factor Tables'!$I$165:$Q$192,MATCH("DX HP Clg",'Factor Tables'!$I$164:$Q$164,0),FALSE),IF($CL242="PTHP",VLOOKUP($D242,'Factor Tables'!$I$165:$Q$192,MATCH("PTHP Clg",'Factor Tables'!$I$164:$Q$164,0),FALSE),""))))</f>
        <v/>
      </c>
      <c r="CV242" s="186" t="str">
        <f>IF($CL242="","",IF(AND($CL242&lt;&gt;"DX HP",$CL242&lt;&gt;"PTHP"),0,IF($CL242="DX HP",VLOOKUP($D242,'Factor Tables'!$I$165:$Q$192,MATCH("DX HP Htg",'Factor Tables'!$I$164:$Q$164,0),FALSE),IF($CL242="PTHP",VLOOKUP($D242,'Factor Tables'!$I$165:$Q$192,MATCH("PTHP Htg",'Factor Tables'!$I$164:$Q$164,0),FALSE),""))))</f>
        <v/>
      </c>
      <c r="DD242" s="196" t="str">
        <f>IF(OR('Project Info'!$D$8="",$C82="",$D82=""),"",IF('Project Info'!$D$8="Weather Zone 5: El Paso",VLOOKUP($D82,$DI$9:$DL$37,MATCH($C82,$DI$9:$DL$9,0),FALSE),VLOOKUP($D82,$DE$9:$DH$37,MATCH($C82,$DE$9:$DH$9,0),FALSE)))</f>
        <v/>
      </c>
      <c r="DE242" s="426"/>
      <c r="DI242" s="425"/>
      <c r="DJ242" s="425"/>
      <c r="DK242" s="425"/>
      <c r="DL242" s="425"/>
      <c r="DM242" s="493" t="s">
        <v>478</v>
      </c>
    </row>
    <row r="243" spans="2:117" s="427" customFormat="1" ht="21.95" customHeight="1" x14ac:dyDescent="0.25">
      <c r="B243" s="432">
        <v>234</v>
      </c>
      <c r="C243" s="499" t="str">
        <f t="shared" si="129"/>
        <v/>
      </c>
      <c r="D243" s="403" t="str">
        <f t="shared" si="130"/>
        <v/>
      </c>
      <c r="E243" s="541"/>
      <c r="F243" s="785"/>
      <c r="G243" s="728"/>
      <c r="H243" s="728"/>
      <c r="I243" s="728"/>
      <c r="J243" s="728"/>
      <c r="K243" s="728"/>
      <c r="L243" s="728"/>
      <c r="M243" s="764"/>
      <c r="N243" s="728"/>
      <c r="O243" s="764"/>
      <c r="P243" s="728"/>
      <c r="Q243" s="1142"/>
      <c r="R243" s="1133"/>
      <c r="S243" s="778"/>
      <c r="T243" s="767"/>
      <c r="U243" s="778"/>
      <c r="V243" s="751"/>
      <c r="W243" s="556"/>
      <c r="X243" s="785"/>
      <c r="Y243" s="542"/>
      <c r="Z243" s="500"/>
      <c r="AA243" s="500"/>
      <c r="AB243" s="500"/>
      <c r="AC243" s="500"/>
      <c r="AD243" s="529"/>
      <c r="AE243" s="527">
        <f t="shared" si="39"/>
        <v>0</v>
      </c>
      <c r="AF243" s="527">
        <f t="shared" si="131"/>
        <v>0</v>
      </c>
      <c r="AG243" s="527">
        <f t="shared" si="111"/>
        <v>0</v>
      </c>
      <c r="AH243" s="527">
        <f t="shared" si="112"/>
        <v>0</v>
      </c>
      <c r="AI243" s="527">
        <f t="shared" si="113"/>
        <v>0</v>
      </c>
      <c r="AJ243" s="527">
        <f t="shared" si="114"/>
        <v>999999999</v>
      </c>
      <c r="AK243" s="530"/>
      <c r="AL243" s="776"/>
      <c r="AM243" s="777"/>
      <c r="AN243" s="500"/>
      <c r="AO243" s="778"/>
      <c r="AP243" s="778"/>
      <c r="AQ243" s="500"/>
      <c r="AR243" s="531"/>
      <c r="AS243" s="403"/>
      <c r="AT243" s="524" t="str">
        <f t="shared" si="115"/>
        <v/>
      </c>
      <c r="AU243" s="311">
        <f t="shared" si="116"/>
        <v>0</v>
      </c>
      <c r="AV243" s="288">
        <f t="shared" si="132"/>
        <v>0</v>
      </c>
      <c r="AW243" s="290">
        <f>IF(ISERROR($AU243*'Utility Admin'!$E$4+$AV243*'Utility Admin'!$F$4),0,$AU243*'Utility Admin'!$E$4+$AV243*'Utility Admin'!$F$4)</f>
        <v>0</v>
      </c>
      <c r="AX243" s="323" t="str">
        <f t="shared" si="117"/>
        <v/>
      </c>
      <c r="AY243" s="322" t="str">
        <f t="shared" si="23"/>
        <v/>
      </c>
      <c r="AZ243" s="319">
        <f>Baselines!$CJ487</f>
        <v>0</v>
      </c>
      <c r="BA243" s="735">
        <f>Baselines!$CK487</f>
        <v>0</v>
      </c>
      <c r="BB243" s="839">
        <f>Baselines!$CM487</f>
        <v>0</v>
      </c>
      <c r="BC243" s="466">
        <f t="shared" si="118"/>
        <v>0</v>
      </c>
      <c r="BD243" s="464">
        <f t="shared" si="133"/>
        <v>0</v>
      </c>
      <c r="BE243" s="755">
        <f t="shared" si="119"/>
        <v>0</v>
      </c>
      <c r="BF243" s="755">
        <f t="shared" si="134"/>
        <v>0</v>
      </c>
      <c r="BG243" s="466">
        <f t="shared" si="120"/>
        <v>0</v>
      </c>
      <c r="BH243" s="464">
        <f t="shared" si="121"/>
        <v>0</v>
      </c>
      <c r="BI243" s="755">
        <f t="shared" si="122"/>
        <v>0</v>
      </c>
      <c r="BJ243" s="755">
        <f t="shared" si="135"/>
        <v>0</v>
      </c>
      <c r="BK243" s="333">
        <f>IF(OR($C243&lt;&gt;"Early Retirement",$H243=""),0,IF(AND($G243&lt;&gt;"Air Cooled Chiller",$G243&lt;&gt;"Water Cooled Chiller"),VLOOKUP($H243,'Early Retirement'!$CI$6:$CL$33,2,FALSE),IF($J243&lt;&gt;"Centrifugal",VLOOKUP($H243,'Early Retirement'!$CI$6:$CL$33,3,FALSE),IF($J243="Centrifugal",VLOOKUP($H243,'Early Retirement'!$CI$6:$CL$33,4,FALSE),""))))</f>
        <v>0</v>
      </c>
      <c r="BL243" s="450">
        <f t="shared" si="123"/>
        <v>0</v>
      </c>
      <c r="BM243" s="553">
        <f>IFERROR('Utility Admin'!$I$4*((1+'Utility Admin'!$G$4)/('Utility Admin'!$H$4-'Utility Admin'!$G$4))*(1-((1+'Utility Admin'!$G$4)/(1+'Utility Admin'!$H$4))^$BK243)*$BG243,0)</f>
        <v>0</v>
      </c>
      <c r="BN243" s="553">
        <f>IFERROR('Utility Admin'!$I$4*((1+'Utility Admin'!$G$4)/('Utility Admin'!$H$4-'Utility Admin'!$G$4))*(1-((1+'Utility Admin'!$G$4)/(1+'Utility Admin'!$H$4))^$BL243)*((1+'Utility Admin'!$G$4)^$BK243/(1+'Utility Admin'!$H$4)^$BK243)*$BC243,0)</f>
        <v>0</v>
      </c>
      <c r="BO243" s="553">
        <f t="shared" si="27"/>
        <v>0</v>
      </c>
      <c r="BP243" s="553">
        <f>IFERROR('Utility Admin'!$J$4*((1+'Utility Admin'!$G$4)/('Utility Admin'!$H$4-'Utility Admin'!$G$4))*(1-((1+'Utility Admin'!$G$4)/(1+'Utility Admin'!$H$4))^$BK243)*$BJ243,0)</f>
        <v>0</v>
      </c>
      <c r="BQ243" s="553">
        <f>IFERROR('Utility Admin'!$J$4*((1+'Utility Admin'!$G$4)/('Utility Admin'!$H$4-'Utility Admin'!$G$4))*(1-((1+'Utility Admin'!$G$4)/(1+'Utility Admin'!$H$4))^$BL243)*((1+'Utility Admin'!$G$4)^$BK243/(1+'Utility Admin'!$H$4)^$BK243)*$BF243,0)</f>
        <v>0</v>
      </c>
      <c r="BR243" s="553">
        <f t="shared" si="28"/>
        <v>0</v>
      </c>
      <c r="BS243" s="553">
        <f>IFERROR('Utility Admin'!$I$4*((1+'Utility Admin'!$G$4)/('Utility Admin'!$H$4-'Utility Admin'!$G$4))*(1-((1+'Utility Admin'!$G$4)/(1+'Utility Admin'!$H$4))^$AT243),0)</f>
        <v>0</v>
      </c>
      <c r="BT243" s="553">
        <f>IFERROR('Utility Admin'!$J$4*((1+'Utility Admin'!$G$4)/('Utility Admin'!$H$4-'Utility Admin'!$G$4))*(1-((1+'Utility Admin'!$G$4)/(1+'Utility Admin'!$H$4))^$AT243),0)</f>
        <v>0</v>
      </c>
      <c r="BU243" s="459">
        <f t="shared" si="136"/>
        <v>0</v>
      </c>
      <c r="BV243" s="462">
        <f t="shared" si="137"/>
        <v>0</v>
      </c>
      <c r="BW243" s="219" t="str">
        <f t="shared" si="124"/>
        <v/>
      </c>
      <c r="BX243" s="250" t="str">
        <f t="shared" si="138"/>
        <v/>
      </c>
      <c r="BY243" s="250" t="str">
        <f t="shared" si="125"/>
        <v/>
      </c>
      <c r="BZ243" s="184">
        <f t="shared" si="139"/>
        <v>0</v>
      </c>
      <c r="CA243" s="693">
        <f t="shared" si="140"/>
        <v>0</v>
      </c>
      <c r="CB243" s="836">
        <f t="shared" si="141"/>
        <v>0</v>
      </c>
      <c r="CC243" s="693">
        <f>IF(AND($C243="Early Retirement",$H243&lt;&gt;"",$R243&lt;&gt;"",$T243&lt;&gt;""),$BZ243,Baselines!$CJ236)</f>
        <v>0</v>
      </c>
      <c r="CD243" s="693">
        <f>IF(AND($C243="Early Retirement",$H243&lt;&gt;"",$R243&lt;&gt;"",$T243&lt;&gt;""),$CA243,Baselines!$CK236)</f>
        <v>0</v>
      </c>
      <c r="CE243" s="182" t="str">
        <f>Baselines!$CL236</f>
        <v>kW/ton</v>
      </c>
      <c r="CF243" s="850" t="str">
        <f t="shared" si="126"/>
        <v/>
      </c>
      <c r="CG243" s="833">
        <f>IF(AND($C243="Early Retirement",$H243&lt;&gt;"",$R243&lt;&gt;"",$T243&lt;&gt;""),$CB243,IF(AND(Baselines!$CM236=0,OR($CL243="DX HP",$CL243="PTHP")),$BB243,Baselines!$CM236))</f>
        <v>0</v>
      </c>
      <c r="CH243" s="830" t="s">
        <v>567</v>
      </c>
      <c r="CI243" s="185" t="str">
        <f>IF(OR($C243="Replace-on-Burnout",$C243="New Construction"),$CT243,IF($BW243="","",VLOOKUP($D243,'Factor Tables'!$B$165:$H$192,MATCH($BW243,'Factor Tables'!$B$164:$H$164,0),FALSE)))</f>
        <v/>
      </c>
      <c r="CJ243" s="842" t="str">
        <f>IF(OR($C243="Replace-on-Burnout",$C243="New Construction"),$CU243,IF($BW243="","",IF($BW243="DX HP",VLOOKUP($D243,'Factor Tables'!$I$165:$Q$192,MATCH("DX HP Clg",'Factor Tables'!$I$164:$Q$164,0),FALSE),IF($BW243="PTHP",VLOOKUP($D243,'Factor Tables'!$I$165:$Q$192,MATCH("PTHP Clg",'Factor Tables'!$I$164:$Q$164,0),FALSE),IF(AND($BW243&lt;&gt;"DX HP",$BW243&lt;&gt;"PTHP"),VLOOKUP($D243,'Factor Tables'!$I$165:$Q$192,MATCH($BW243,'Factor Tables'!$I$164:$Q$164,0),FALSE),"")))))</f>
        <v/>
      </c>
      <c r="CK243" s="186" t="str">
        <f>IF(OR($C243="Replace-on-Burnout",$C243="New Construction",$CL243="DX HP",$CL243="PTHP"),$CV243,IF($BW243="","",IF($BW243="DX HP",VLOOKUP($D243,'Factor Tables'!$I$165:$Q$192,MATCH("DX HP Htg",'Factor Tables'!$I$164:$Q$164,0),FALSE),IF($BW243="PTHP",VLOOKUP($D243,'Factor Tables'!$I$165:$Q$192,MATCH("PTHP Htg",'Factor Tables'!$I$164:$Q$164,0),FALSE),0))))</f>
        <v/>
      </c>
      <c r="CL243" s="187" t="str">
        <f t="shared" si="127"/>
        <v/>
      </c>
      <c r="CM243" s="251" t="str">
        <f t="shared" si="128"/>
        <v/>
      </c>
      <c r="CN243" s="184">
        <f t="shared" si="142"/>
        <v>0</v>
      </c>
      <c r="CO243" s="693">
        <f t="shared" si="143"/>
        <v>0</v>
      </c>
      <c r="CP243" s="182" t="s">
        <v>46</v>
      </c>
      <c r="CQ243" s="852" t="str">
        <f t="shared" si="144"/>
        <v/>
      </c>
      <c r="CR243" s="833">
        <f t="shared" si="145"/>
        <v>0</v>
      </c>
      <c r="CS243" s="830" t="s">
        <v>567</v>
      </c>
      <c r="CT243" s="185" t="str">
        <f>IF($CL243="","",VLOOKUP($D243,'Factor Tables'!$B$165:$H$192,MATCH($CL243,'Factor Tables'!$B$164:$H$164,0),FALSE))</f>
        <v/>
      </c>
      <c r="CU243" s="842" t="str">
        <f>IF($CL243="","",IF(AND($CL243&lt;&gt;"DX HP",$CL243&lt;&gt;"PTHP"),VLOOKUP($D243,'Factor Tables'!$I$165:$Q$192,MATCH($CL243,'Factor Tables'!$I$164:$Q$164,0),FALSE),IF($CL243="DX HP",VLOOKUP($D243,'Factor Tables'!$I$165:$Q$192,MATCH("DX HP Clg",'Factor Tables'!$I$164:$Q$164,0),FALSE),IF($CL243="PTHP",VLOOKUP($D243,'Factor Tables'!$I$165:$Q$192,MATCH("PTHP Clg",'Factor Tables'!$I$164:$Q$164,0),FALSE),""))))</f>
        <v/>
      </c>
      <c r="CV243" s="186" t="str">
        <f>IF($CL243="","",IF(AND($CL243&lt;&gt;"DX HP",$CL243&lt;&gt;"PTHP"),0,IF($CL243="DX HP",VLOOKUP($D243,'Factor Tables'!$I$165:$Q$192,MATCH("DX HP Htg",'Factor Tables'!$I$164:$Q$164,0),FALSE),IF($CL243="PTHP",VLOOKUP($D243,'Factor Tables'!$I$165:$Q$192,MATCH("PTHP Htg",'Factor Tables'!$I$164:$Q$164,0),FALSE),""))))</f>
        <v/>
      </c>
      <c r="DD243" s="196" t="str">
        <f>IF(OR('Project Info'!$D$8="",$C83="",$D83=""),"",IF('Project Info'!$D$8="Weather Zone 5: El Paso",VLOOKUP($D83,$DI$9:$DL$37,MATCH($C83,$DI$9:$DL$9,0),FALSE),VLOOKUP($D83,$DE$9:$DH$37,MATCH($C83,$DE$9:$DH$9,0),FALSE)))</f>
        <v/>
      </c>
      <c r="DE243" s="426"/>
      <c r="DI243" s="425"/>
      <c r="DJ243" s="425"/>
      <c r="DK243" s="425"/>
      <c r="DL243" s="425"/>
      <c r="DM243" s="493" t="s">
        <v>478</v>
      </c>
    </row>
    <row r="244" spans="2:117" s="427" customFormat="1" ht="21.95" customHeight="1" x14ac:dyDescent="0.25">
      <c r="B244" s="431">
        <v>235</v>
      </c>
      <c r="C244" s="501" t="str">
        <f t="shared" si="129"/>
        <v/>
      </c>
      <c r="D244" s="502" t="str">
        <f t="shared" si="130"/>
        <v/>
      </c>
      <c r="E244" s="546"/>
      <c r="F244" s="547"/>
      <c r="G244" s="729"/>
      <c r="H244" s="729"/>
      <c r="I244" s="729"/>
      <c r="J244" s="729"/>
      <c r="K244" s="729"/>
      <c r="L244" s="729"/>
      <c r="M244" s="765"/>
      <c r="N244" s="758"/>
      <c r="O244" s="765"/>
      <c r="P244" s="758"/>
      <c r="Q244" s="1143"/>
      <c r="R244" s="1134"/>
      <c r="S244" s="775"/>
      <c r="T244" s="729"/>
      <c r="U244" s="775"/>
      <c r="V244" s="779"/>
      <c r="W244" s="557"/>
      <c r="X244" s="788"/>
      <c r="Y244" s="543"/>
      <c r="Z244" s="281"/>
      <c r="AA244" s="281"/>
      <c r="AB244" s="281"/>
      <c r="AC244" s="281"/>
      <c r="AD244" s="492"/>
      <c r="AE244" s="527">
        <f t="shared" si="39"/>
        <v>0</v>
      </c>
      <c r="AF244" s="527">
        <f t="shared" si="131"/>
        <v>0</v>
      </c>
      <c r="AG244" s="527">
        <f t="shared" si="111"/>
        <v>0</v>
      </c>
      <c r="AH244" s="527">
        <f t="shared" si="112"/>
        <v>0</v>
      </c>
      <c r="AI244" s="527">
        <f t="shared" si="113"/>
        <v>0</v>
      </c>
      <c r="AJ244" s="527">
        <f t="shared" si="114"/>
        <v>999999999</v>
      </c>
      <c r="AK244" s="471"/>
      <c r="AL244" s="765"/>
      <c r="AM244" s="758"/>
      <c r="AN244" s="281"/>
      <c r="AO244" s="775"/>
      <c r="AP244" s="775"/>
      <c r="AQ244" s="281"/>
      <c r="AR244" s="528"/>
      <c r="AS244" s="532"/>
      <c r="AT244" s="524" t="str">
        <f t="shared" si="115"/>
        <v/>
      </c>
      <c r="AU244" s="311">
        <f t="shared" si="116"/>
        <v>0</v>
      </c>
      <c r="AV244" s="288">
        <f t="shared" si="132"/>
        <v>0</v>
      </c>
      <c r="AW244" s="290">
        <f>IF(ISERROR($AU244*'Utility Admin'!$E$4+$AV244*'Utility Admin'!$F$4),0,$AU244*'Utility Admin'!$E$4+$AV244*'Utility Admin'!$F$4)</f>
        <v>0</v>
      </c>
      <c r="AX244" s="323" t="str">
        <f t="shared" si="117"/>
        <v/>
      </c>
      <c r="AY244" s="322" t="str">
        <f t="shared" si="23"/>
        <v/>
      </c>
      <c r="AZ244" s="319">
        <f>Baselines!$CJ488</f>
        <v>0</v>
      </c>
      <c r="BA244" s="735">
        <f>Baselines!$CK488</f>
        <v>0</v>
      </c>
      <c r="BB244" s="839">
        <f>Baselines!$CM488</f>
        <v>0</v>
      </c>
      <c r="BC244" s="466">
        <f t="shared" si="118"/>
        <v>0</v>
      </c>
      <c r="BD244" s="464">
        <f t="shared" si="133"/>
        <v>0</v>
      </c>
      <c r="BE244" s="755">
        <f t="shared" si="119"/>
        <v>0</v>
      </c>
      <c r="BF244" s="755">
        <f t="shared" si="134"/>
        <v>0</v>
      </c>
      <c r="BG244" s="466">
        <f t="shared" si="120"/>
        <v>0</v>
      </c>
      <c r="BH244" s="464">
        <f t="shared" si="121"/>
        <v>0</v>
      </c>
      <c r="BI244" s="755">
        <f t="shared" si="122"/>
        <v>0</v>
      </c>
      <c r="BJ244" s="755">
        <f t="shared" si="135"/>
        <v>0</v>
      </c>
      <c r="BK244" s="333">
        <f>IF(OR($C244&lt;&gt;"Early Retirement",$H244=""),0,IF(AND($G244&lt;&gt;"Air Cooled Chiller",$G244&lt;&gt;"Water Cooled Chiller"),VLOOKUP($H244,'Early Retirement'!$CI$6:$CL$33,2,FALSE),IF($J244&lt;&gt;"Centrifugal",VLOOKUP($H244,'Early Retirement'!$CI$6:$CL$33,3,FALSE),IF($J244="Centrifugal",VLOOKUP($H244,'Early Retirement'!$CI$6:$CL$33,4,FALSE),""))))</f>
        <v>0</v>
      </c>
      <c r="BL244" s="450">
        <f t="shared" si="123"/>
        <v>0</v>
      </c>
      <c r="BM244" s="553">
        <f>IFERROR('Utility Admin'!$I$4*((1+'Utility Admin'!$G$4)/('Utility Admin'!$H$4-'Utility Admin'!$G$4))*(1-((1+'Utility Admin'!$G$4)/(1+'Utility Admin'!$H$4))^$BK244)*$BG244,0)</f>
        <v>0</v>
      </c>
      <c r="BN244" s="553">
        <f>IFERROR('Utility Admin'!$I$4*((1+'Utility Admin'!$G$4)/('Utility Admin'!$H$4-'Utility Admin'!$G$4))*(1-((1+'Utility Admin'!$G$4)/(1+'Utility Admin'!$H$4))^$BL244)*((1+'Utility Admin'!$G$4)^$BK244/(1+'Utility Admin'!$H$4)^$BK244)*$BC244,0)</f>
        <v>0</v>
      </c>
      <c r="BO244" s="553">
        <f t="shared" si="27"/>
        <v>0</v>
      </c>
      <c r="BP244" s="553">
        <f>IFERROR('Utility Admin'!$J$4*((1+'Utility Admin'!$G$4)/('Utility Admin'!$H$4-'Utility Admin'!$G$4))*(1-((1+'Utility Admin'!$G$4)/(1+'Utility Admin'!$H$4))^$BK244)*$BJ244,0)</f>
        <v>0</v>
      </c>
      <c r="BQ244" s="553">
        <f>IFERROR('Utility Admin'!$J$4*((1+'Utility Admin'!$G$4)/('Utility Admin'!$H$4-'Utility Admin'!$G$4))*(1-((1+'Utility Admin'!$G$4)/(1+'Utility Admin'!$H$4))^$BL244)*((1+'Utility Admin'!$G$4)^$BK244/(1+'Utility Admin'!$H$4)^$BK244)*$BF244,0)</f>
        <v>0</v>
      </c>
      <c r="BR244" s="553">
        <f t="shared" si="28"/>
        <v>0</v>
      </c>
      <c r="BS244" s="553">
        <f>IFERROR('Utility Admin'!$I$4*((1+'Utility Admin'!$G$4)/('Utility Admin'!$H$4-'Utility Admin'!$G$4))*(1-((1+'Utility Admin'!$G$4)/(1+'Utility Admin'!$H$4))^$AT244),0)</f>
        <v>0</v>
      </c>
      <c r="BT244" s="553">
        <f>IFERROR('Utility Admin'!$J$4*((1+'Utility Admin'!$G$4)/('Utility Admin'!$H$4-'Utility Admin'!$G$4))*(1-((1+'Utility Admin'!$G$4)/(1+'Utility Admin'!$H$4))^$AT244),0)</f>
        <v>0</v>
      </c>
      <c r="BU244" s="459">
        <f t="shared" si="136"/>
        <v>0</v>
      </c>
      <c r="BV244" s="462">
        <f t="shared" si="137"/>
        <v>0</v>
      </c>
      <c r="BW244" s="219" t="str">
        <f t="shared" si="124"/>
        <v/>
      </c>
      <c r="BX244" s="250" t="str">
        <f t="shared" si="138"/>
        <v/>
      </c>
      <c r="BY244" s="250" t="str">
        <f t="shared" si="125"/>
        <v/>
      </c>
      <c r="BZ244" s="184">
        <f t="shared" si="139"/>
        <v>0</v>
      </c>
      <c r="CA244" s="693">
        <f t="shared" si="140"/>
        <v>0</v>
      </c>
      <c r="CB244" s="836">
        <f t="shared" si="141"/>
        <v>0</v>
      </c>
      <c r="CC244" s="693">
        <f>IF(AND($C244="Early Retirement",$H244&lt;&gt;"",$R244&lt;&gt;"",$T244&lt;&gt;""),$BZ244,Baselines!$CJ237)</f>
        <v>0</v>
      </c>
      <c r="CD244" s="693">
        <f>IF(AND($C244="Early Retirement",$H244&lt;&gt;"",$R244&lt;&gt;"",$T244&lt;&gt;""),$CA244,Baselines!$CK237)</f>
        <v>0</v>
      </c>
      <c r="CE244" s="182" t="str">
        <f>Baselines!$CL237</f>
        <v>kW/ton</v>
      </c>
      <c r="CF244" s="850" t="str">
        <f t="shared" si="126"/>
        <v/>
      </c>
      <c r="CG244" s="833">
        <f>IF(AND($C244="Early Retirement",$H244&lt;&gt;"",$R244&lt;&gt;"",$T244&lt;&gt;""),$CB244,IF(AND(Baselines!$CM237=0,OR($CL244="DX HP",$CL244="PTHP")),$BB244,Baselines!$CM237))</f>
        <v>0</v>
      </c>
      <c r="CH244" s="830" t="s">
        <v>567</v>
      </c>
      <c r="CI244" s="185" t="str">
        <f>IF(OR($C244="Replace-on-Burnout",$C244="New Construction"),$CT244,IF($BW244="","",VLOOKUP($D244,'Factor Tables'!$B$165:$H$192,MATCH($BW244,'Factor Tables'!$B$164:$H$164,0),FALSE)))</f>
        <v/>
      </c>
      <c r="CJ244" s="842" t="str">
        <f>IF(OR($C244="Replace-on-Burnout",$C244="New Construction"),$CU244,IF($BW244="","",IF($BW244="DX HP",VLOOKUP($D244,'Factor Tables'!$I$165:$Q$192,MATCH("DX HP Clg",'Factor Tables'!$I$164:$Q$164,0),FALSE),IF($BW244="PTHP",VLOOKUP($D244,'Factor Tables'!$I$165:$Q$192,MATCH("PTHP Clg",'Factor Tables'!$I$164:$Q$164,0),FALSE),IF(AND($BW244&lt;&gt;"DX HP",$BW244&lt;&gt;"PTHP"),VLOOKUP($D244,'Factor Tables'!$I$165:$Q$192,MATCH($BW244,'Factor Tables'!$I$164:$Q$164,0),FALSE),"")))))</f>
        <v/>
      </c>
      <c r="CK244" s="186" t="str">
        <f>IF(OR($C244="Replace-on-Burnout",$C244="New Construction",$CL244="DX HP",$CL244="PTHP"),$CV244,IF($BW244="","",IF($BW244="DX HP",VLOOKUP($D244,'Factor Tables'!$I$165:$Q$192,MATCH("DX HP Htg",'Factor Tables'!$I$164:$Q$164,0),FALSE),IF($BW244="PTHP",VLOOKUP($D244,'Factor Tables'!$I$165:$Q$192,MATCH("PTHP Htg",'Factor Tables'!$I$164:$Q$164,0),FALSE),0))))</f>
        <v/>
      </c>
      <c r="CL244" s="187" t="str">
        <f t="shared" si="127"/>
        <v/>
      </c>
      <c r="CM244" s="251" t="str">
        <f t="shared" si="128"/>
        <v/>
      </c>
      <c r="CN244" s="184">
        <f t="shared" si="142"/>
        <v>0</v>
      </c>
      <c r="CO244" s="693">
        <f t="shared" si="143"/>
        <v>0</v>
      </c>
      <c r="CP244" s="182" t="s">
        <v>46</v>
      </c>
      <c r="CQ244" s="852" t="str">
        <f t="shared" si="144"/>
        <v/>
      </c>
      <c r="CR244" s="833">
        <f t="shared" si="145"/>
        <v>0</v>
      </c>
      <c r="CS244" s="830" t="s">
        <v>567</v>
      </c>
      <c r="CT244" s="185" t="str">
        <f>IF($CL244="","",VLOOKUP($D244,'Factor Tables'!$B$165:$H$192,MATCH($CL244,'Factor Tables'!$B$164:$H$164,0),FALSE))</f>
        <v/>
      </c>
      <c r="CU244" s="842" t="str">
        <f>IF($CL244="","",IF(AND($CL244&lt;&gt;"DX HP",$CL244&lt;&gt;"PTHP"),VLOOKUP($D244,'Factor Tables'!$I$165:$Q$192,MATCH($CL244,'Factor Tables'!$I$164:$Q$164,0),FALSE),IF($CL244="DX HP",VLOOKUP($D244,'Factor Tables'!$I$165:$Q$192,MATCH("DX HP Clg",'Factor Tables'!$I$164:$Q$164,0),FALSE),IF($CL244="PTHP",VLOOKUP($D244,'Factor Tables'!$I$165:$Q$192,MATCH("PTHP Clg",'Factor Tables'!$I$164:$Q$164,0),FALSE),""))))</f>
        <v/>
      </c>
      <c r="CV244" s="186" t="str">
        <f>IF($CL244="","",IF(AND($CL244&lt;&gt;"DX HP",$CL244&lt;&gt;"PTHP"),0,IF($CL244="DX HP",VLOOKUP($D244,'Factor Tables'!$I$165:$Q$192,MATCH("DX HP Htg",'Factor Tables'!$I$164:$Q$164,0),FALSE),IF($CL244="PTHP",VLOOKUP($D244,'Factor Tables'!$I$165:$Q$192,MATCH("PTHP Htg",'Factor Tables'!$I$164:$Q$164,0),FALSE),""))))</f>
        <v/>
      </c>
      <c r="DD244" s="196" t="str">
        <f>IF(OR('Project Info'!$D$8="",$C84="",$D84=""),"",IF('Project Info'!$D$8="Weather Zone 5: El Paso",VLOOKUP($D84,$DI$9:$DL$37,MATCH($C84,$DI$9:$DL$9,0),FALSE),VLOOKUP($D84,$DE$9:$DH$37,MATCH($C84,$DE$9:$DH$9,0),FALSE)))</f>
        <v/>
      </c>
      <c r="DE244" s="426"/>
      <c r="DI244" s="425"/>
      <c r="DJ244" s="425"/>
      <c r="DK244" s="425"/>
      <c r="DL244" s="425"/>
      <c r="DM244" s="493" t="s">
        <v>478</v>
      </c>
    </row>
    <row r="245" spans="2:117" s="427" customFormat="1" ht="21.95" customHeight="1" x14ac:dyDescent="0.25">
      <c r="B245" s="432">
        <v>236</v>
      </c>
      <c r="C245" s="499" t="str">
        <f t="shared" si="129"/>
        <v/>
      </c>
      <c r="D245" s="403" t="str">
        <f t="shared" si="130"/>
        <v/>
      </c>
      <c r="E245" s="541"/>
      <c r="F245" s="785"/>
      <c r="G245" s="728"/>
      <c r="H245" s="728"/>
      <c r="I245" s="728"/>
      <c r="J245" s="728"/>
      <c r="K245" s="728"/>
      <c r="L245" s="728"/>
      <c r="M245" s="764"/>
      <c r="N245" s="728"/>
      <c r="O245" s="764"/>
      <c r="P245" s="728"/>
      <c r="Q245" s="1142"/>
      <c r="R245" s="1133"/>
      <c r="S245" s="778"/>
      <c r="T245" s="767"/>
      <c r="U245" s="778"/>
      <c r="V245" s="751"/>
      <c r="W245" s="556"/>
      <c r="X245" s="785"/>
      <c r="Y245" s="542"/>
      <c r="Z245" s="500"/>
      <c r="AA245" s="500"/>
      <c r="AB245" s="500"/>
      <c r="AC245" s="500"/>
      <c r="AD245" s="529"/>
      <c r="AE245" s="527">
        <f t="shared" si="39"/>
        <v>0</v>
      </c>
      <c r="AF245" s="527">
        <f t="shared" si="131"/>
        <v>0</v>
      </c>
      <c r="AG245" s="527">
        <f t="shared" si="111"/>
        <v>0</v>
      </c>
      <c r="AH245" s="527">
        <f t="shared" si="112"/>
        <v>0</v>
      </c>
      <c r="AI245" s="527">
        <f t="shared" si="113"/>
        <v>0</v>
      </c>
      <c r="AJ245" s="527">
        <f t="shared" si="114"/>
        <v>999999999</v>
      </c>
      <c r="AK245" s="530"/>
      <c r="AL245" s="776"/>
      <c r="AM245" s="777"/>
      <c r="AN245" s="500"/>
      <c r="AO245" s="778"/>
      <c r="AP245" s="778"/>
      <c r="AQ245" s="500"/>
      <c r="AR245" s="531"/>
      <c r="AS245" s="403"/>
      <c r="AT245" s="524" t="str">
        <f t="shared" si="115"/>
        <v/>
      </c>
      <c r="AU245" s="311">
        <f t="shared" si="116"/>
        <v>0</v>
      </c>
      <c r="AV245" s="288">
        <f t="shared" si="132"/>
        <v>0</v>
      </c>
      <c r="AW245" s="290">
        <f>IF(ISERROR($AU245*'Utility Admin'!$E$4+$AV245*'Utility Admin'!$F$4),0,$AU245*'Utility Admin'!$E$4+$AV245*'Utility Admin'!$F$4)</f>
        <v>0</v>
      </c>
      <c r="AX245" s="323" t="str">
        <f t="shared" si="117"/>
        <v/>
      </c>
      <c r="AY245" s="322" t="str">
        <f t="shared" si="23"/>
        <v/>
      </c>
      <c r="AZ245" s="319">
        <f>Baselines!$CJ489</f>
        <v>0</v>
      </c>
      <c r="BA245" s="735">
        <f>Baselines!$CK489</f>
        <v>0</v>
      </c>
      <c r="BB245" s="839">
        <f>Baselines!$CM489</f>
        <v>0</v>
      </c>
      <c r="BC245" s="466">
        <f t="shared" si="118"/>
        <v>0</v>
      </c>
      <c r="BD245" s="464">
        <f t="shared" si="133"/>
        <v>0</v>
      </c>
      <c r="BE245" s="755">
        <f t="shared" si="119"/>
        <v>0</v>
      </c>
      <c r="BF245" s="755">
        <f t="shared" si="134"/>
        <v>0</v>
      </c>
      <c r="BG245" s="466">
        <f t="shared" si="120"/>
        <v>0</v>
      </c>
      <c r="BH245" s="464">
        <f t="shared" si="121"/>
        <v>0</v>
      </c>
      <c r="BI245" s="755">
        <f t="shared" si="122"/>
        <v>0</v>
      </c>
      <c r="BJ245" s="755">
        <f t="shared" si="135"/>
        <v>0</v>
      </c>
      <c r="BK245" s="333">
        <f>IF(OR($C245&lt;&gt;"Early Retirement",$H245=""),0,IF(AND($G245&lt;&gt;"Air Cooled Chiller",$G245&lt;&gt;"Water Cooled Chiller"),VLOOKUP($H245,'Early Retirement'!$CI$6:$CL$33,2,FALSE),IF($J245&lt;&gt;"Centrifugal",VLOOKUP($H245,'Early Retirement'!$CI$6:$CL$33,3,FALSE),IF($J245="Centrifugal",VLOOKUP($H245,'Early Retirement'!$CI$6:$CL$33,4,FALSE),""))))</f>
        <v>0</v>
      </c>
      <c r="BL245" s="450">
        <f t="shared" si="123"/>
        <v>0</v>
      </c>
      <c r="BM245" s="553">
        <f>IFERROR('Utility Admin'!$I$4*((1+'Utility Admin'!$G$4)/('Utility Admin'!$H$4-'Utility Admin'!$G$4))*(1-((1+'Utility Admin'!$G$4)/(1+'Utility Admin'!$H$4))^$BK245)*$BG245,0)</f>
        <v>0</v>
      </c>
      <c r="BN245" s="553">
        <f>IFERROR('Utility Admin'!$I$4*((1+'Utility Admin'!$G$4)/('Utility Admin'!$H$4-'Utility Admin'!$G$4))*(1-((1+'Utility Admin'!$G$4)/(1+'Utility Admin'!$H$4))^$BL245)*((1+'Utility Admin'!$G$4)^$BK245/(1+'Utility Admin'!$H$4)^$BK245)*$BC245,0)</f>
        <v>0</v>
      </c>
      <c r="BO245" s="553">
        <f t="shared" si="27"/>
        <v>0</v>
      </c>
      <c r="BP245" s="553">
        <f>IFERROR('Utility Admin'!$J$4*((1+'Utility Admin'!$G$4)/('Utility Admin'!$H$4-'Utility Admin'!$G$4))*(1-((1+'Utility Admin'!$G$4)/(1+'Utility Admin'!$H$4))^$BK245)*$BJ245,0)</f>
        <v>0</v>
      </c>
      <c r="BQ245" s="553">
        <f>IFERROR('Utility Admin'!$J$4*((1+'Utility Admin'!$G$4)/('Utility Admin'!$H$4-'Utility Admin'!$G$4))*(1-((1+'Utility Admin'!$G$4)/(1+'Utility Admin'!$H$4))^$BL245)*((1+'Utility Admin'!$G$4)^$BK245/(1+'Utility Admin'!$H$4)^$BK245)*$BF245,0)</f>
        <v>0</v>
      </c>
      <c r="BR245" s="553">
        <f t="shared" si="28"/>
        <v>0</v>
      </c>
      <c r="BS245" s="553">
        <f>IFERROR('Utility Admin'!$I$4*((1+'Utility Admin'!$G$4)/('Utility Admin'!$H$4-'Utility Admin'!$G$4))*(1-((1+'Utility Admin'!$G$4)/(1+'Utility Admin'!$H$4))^$AT245),0)</f>
        <v>0</v>
      </c>
      <c r="BT245" s="553">
        <f>IFERROR('Utility Admin'!$J$4*((1+'Utility Admin'!$G$4)/('Utility Admin'!$H$4-'Utility Admin'!$G$4))*(1-((1+'Utility Admin'!$G$4)/(1+'Utility Admin'!$H$4))^$AT245),0)</f>
        <v>0</v>
      </c>
      <c r="BU245" s="459">
        <f t="shared" si="136"/>
        <v>0</v>
      </c>
      <c r="BV245" s="462">
        <f t="shared" si="137"/>
        <v>0</v>
      </c>
      <c r="BW245" s="219" t="str">
        <f t="shared" si="124"/>
        <v/>
      </c>
      <c r="BX245" s="250" t="str">
        <f t="shared" si="138"/>
        <v/>
      </c>
      <c r="BY245" s="250" t="str">
        <f t="shared" si="125"/>
        <v/>
      </c>
      <c r="BZ245" s="184">
        <f t="shared" si="139"/>
        <v>0</v>
      </c>
      <c r="CA245" s="693">
        <f t="shared" si="140"/>
        <v>0</v>
      </c>
      <c r="CB245" s="836">
        <f t="shared" si="141"/>
        <v>0</v>
      </c>
      <c r="CC245" s="693">
        <f>IF(AND($C245="Early Retirement",$H245&lt;&gt;"",$R245&lt;&gt;"",$T245&lt;&gt;""),$BZ245,Baselines!$CJ238)</f>
        <v>0</v>
      </c>
      <c r="CD245" s="693">
        <f>IF(AND($C245="Early Retirement",$H245&lt;&gt;"",$R245&lt;&gt;"",$T245&lt;&gt;""),$CA245,Baselines!$CK238)</f>
        <v>0</v>
      </c>
      <c r="CE245" s="182" t="str">
        <f>Baselines!$CL238</f>
        <v>kW/ton</v>
      </c>
      <c r="CF245" s="850" t="str">
        <f t="shared" si="126"/>
        <v/>
      </c>
      <c r="CG245" s="833">
        <f>IF(AND($C245="Early Retirement",$H245&lt;&gt;"",$R245&lt;&gt;"",$T245&lt;&gt;""),$CB245,IF(AND(Baselines!$CM238=0,OR($CL245="DX HP",$CL245="PTHP")),$BB245,Baselines!$CM238))</f>
        <v>0</v>
      </c>
      <c r="CH245" s="830" t="s">
        <v>567</v>
      </c>
      <c r="CI245" s="185" t="str">
        <f>IF(OR($C245="Replace-on-Burnout",$C245="New Construction"),$CT245,IF($BW245="","",VLOOKUP($D245,'Factor Tables'!$B$165:$H$192,MATCH($BW245,'Factor Tables'!$B$164:$H$164,0),FALSE)))</f>
        <v/>
      </c>
      <c r="CJ245" s="842" t="str">
        <f>IF(OR($C245="Replace-on-Burnout",$C245="New Construction"),$CU245,IF($BW245="","",IF($BW245="DX HP",VLOOKUP($D245,'Factor Tables'!$I$165:$Q$192,MATCH("DX HP Clg",'Factor Tables'!$I$164:$Q$164,0),FALSE),IF($BW245="PTHP",VLOOKUP($D245,'Factor Tables'!$I$165:$Q$192,MATCH("PTHP Clg",'Factor Tables'!$I$164:$Q$164,0),FALSE),IF(AND($BW245&lt;&gt;"DX HP",$BW245&lt;&gt;"PTHP"),VLOOKUP($D245,'Factor Tables'!$I$165:$Q$192,MATCH($BW245,'Factor Tables'!$I$164:$Q$164,0),FALSE),"")))))</f>
        <v/>
      </c>
      <c r="CK245" s="186" t="str">
        <f>IF(OR($C245="Replace-on-Burnout",$C245="New Construction",$CL245="DX HP",$CL245="PTHP"),$CV245,IF($BW245="","",IF($BW245="DX HP",VLOOKUP($D245,'Factor Tables'!$I$165:$Q$192,MATCH("DX HP Htg",'Factor Tables'!$I$164:$Q$164,0),FALSE),IF($BW245="PTHP",VLOOKUP($D245,'Factor Tables'!$I$165:$Q$192,MATCH("PTHP Htg",'Factor Tables'!$I$164:$Q$164,0),FALSE),0))))</f>
        <v/>
      </c>
      <c r="CL245" s="187" t="str">
        <f t="shared" si="127"/>
        <v/>
      </c>
      <c r="CM245" s="251" t="str">
        <f t="shared" si="128"/>
        <v/>
      </c>
      <c r="CN245" s="184">
        <f t="shared" si="142"/>
        <v>0</v>
      </c>
      <c r="CO245" s="693">
        <f t="shared" si="143"/>
        <v>0</v>
      </c>
      <c r="CP245" s="182" t="s">
        <v>46</v>
      </c>
      <c r="CQ245" s="852" t="str">
        <f t="shared" si="144"/>
        <v/>
      </c>
      <c r="CR245" s="833">
        <f t="shared" si="145"/>
        <v>0</v>
      </c>
      <c r="CS245" s="830" t="s">
        <v>567</v>
      </c>
      <c r="CT245" s="185" t="str">
        <f>IF($CL245="","",VLOOKUP($D245,'Factor Tables'!$B$165:$H$192,MATCH($CL245,'Factor Tables'!$B$164:$H$164,0),FALSE))</f>
        <v/>
      </c>
      <c r="CU245" s="842" t="str">
        <f>IF($CL245="","",IF(AND($CL245&lt;&gt;"DX HP",$CL245&lt;&gt;"PTHP"),VLOOKUP($D245,'Factor Tables'!$I$165:$Q$192,MATCH($CL245,'Factor Tables'!$I$164:$Q$164,0),FALSE),IF($CL245="DX HP",VLOOKUP($D245,'Factor Tables'!$I$165:$Q$192,MATCH("DX HP Clg",'Factor Tables'!$I$164:$Q$164,0),FALSE),IF($CL245="PTHP",VLOOKUP($D245,'Factor Tables'!$I$165:$Q$192,MATCH("PTHP Clg",'Factor Tables'!$I$164:$Q$164,0),FALSE),""))))</f>
        <v/>
      </c>
      <c r="CV245" s="186" t="str">
        <f>IF($CL245="","",IF(AND($CL245&lt;&gt;"DX HP",$CL245&lt;&gt;"PTHP"),0,IF($CL245="DX HP",VLOOKUP($D245,'Factor Tables'!$I$165:$Q$192,MATCH("DX HP Htg",'Factor Tables'!$I$164:$Q$164,0),FALSE),IF($CL245="PTHP",VLOOKUP($D245,'Factor Tables'!$I$165:$Q$192,MATCH("PTHP Htg",'Factor Tables'!$I$164:$Q$164,0),FALSE),""))))</f>
        <v/>
      </c>
      <c r="DD245" s="196" t="str">
        <f>IF(OR('Project Info'!$D$8="",$C85="",$D85=""),"",IF('Project Info'!$D$8="Weather Zone 5: El Paso",VLOOKUP($D85,$DI$9:$DL$37,MATCH($C85,$DI$9:$DL$9,0),FALSE),VLOOKUP($D85,$DE$9:$DH$37,MATCH($C85,$DE$9:$DH$9,0),FALSE)))</f>
        <v/>
      </c>
      <c r="DE245" s="426"/>
      <c r="DI245" s="425"/>
      <c r="DJ245" s="425"/>
      <c r="DK245" s="425"/>
      <c r="DL245" s="425"/>
      <c r="DM245" s="493" t="s">
        <v>478</v>
      </c>
    </row>
    <row r="246" spans="2:117" s="427" customFormat="1" ht="21.95" customHeight="1" x14ac:dyDescent="0.25">
      <c r="B246" s="431">
        <v>237</v>
      </c>
      <c r="C246" s="501" t="str">
        <f t="shared" si="129"/>
        <v/>
      </c>
      <c r="D246" s="502" t="str">
        <f t="shared" si="130"/>
        <v/>
      </c>
      <c r="E246" s="546"/>
      <c r="F246" s="547"/>
      <c r="G246" s="729"/>
      <c r="H246" s="729"/>
      <c r="I246" s="729"/>
      <c r="J246" s="729"/>
      <c r="K246" s="729"/>
      <c r="L246" s="729"/>
      <c r="M246" s="765"/>
      <c r="N246" s="758"/>
      <c r="O246" s="765"/>
      <c r="P246" s="758"/>
      <c r="Q246" s="1143"/>
      <c r="R246" s="1134"/>
      <c r="S246" s="775"/>
      <c r="T246" s="729"/>
      <c r="U246" s="775"/>
      <c r="V246" s="779"/>
      <c r="W246" s="557"/>
      <c r="X246" s="788"/>
      <c r="Y246" s="543"/>
      <c r="Z246" s="281"/>
      <c r="AA246" s="281"/>
      <c r="AB246" s="281"/>
      <c r="AC246" s="281"/>
      <c r="AD246" s="492"/>
      <c r="AE246" s="527">
        <f t="shared" si="39"/>
        <v>0</v>
      </c>
      <c r="AF246" s="527">
        <f t="shared" si="131"/>
        <v>0</v>
      </c>
      <c r="AG246" s="527">
        <f t="shared" si="111"/>
        <v>0</v>
      </c>
      <c r="AH246" s="527">
        <f t="shared" si="112"/>
        <v>0</v>
      </c>
      <c r="AI246" s="527">
        <f t="shared" si="113"/>
        <v>0</v>
      </c>
      <c r="AJ246" s="527">
        <f t="shared" si="114"/>
        <v>999999999</v>
      </c>
      <c r="AK246" s="471"/>
      <c r="AL246" s="765"/>
      <c r="AM246" s="758"/>
      <c r="AN246" s="281"/>
      <c r="AO246" s="775"/>
      <c r="AP246" s="775"/>
      <c r="AQ246" s="281"/>
      <c r="AR246" s="528"/>
      <c r="AS246" s="532"/>
      <c r="AT246" s="524" t="str">
        <f t="shared" si="115"/>
        <v/>
      </c>
      <c r="AU246" s="311">
        <f t="shared" si="116"/>
        <v>0</v>
      </c>
      <c r="AV246" s="288">
        <f t="shared" si="132"/>
        <v>0</v>
      </c>
      <c r="AW246" s="290">
        <f>IF(ISERROR($AU246*'Utility Admin'!$E$4+$AV246*'Utility Admin'!$F$4),0,$AU246*'Utility Admin'!$E$4+$AV246*'Utility Admin'!$F$4)</f>
        <v>0</v>
      </c>
      <c r="AX246" s="323" t="str">
        <f t="shared" si="117"/>
        <v/>
      </c>
      <c r="AY246" s="322" t="str">
        <f t="shared" si="23"/>
        <v/>
      </c>
      <c r="AZ246" s="319">
        <f>Baselines!$CJ490</f>
        <v>0</v>
      </c>
      <c r="BA246" s="735">
        <f>Baselines!$CK490</f>
        <v>0</v>
      </c>
      <c r="BB246" s="839">
        <f>Baselines!$CM490</f>
        <v>0</v>
      </c>
      <c r="BC246" s="466">
        <f t="shared" si="118"/>
        <v>0</v>
      </c>
      <c r="BD246" s="464">
        <f t="shared" si="133"/>
        <v>0</v>
      </c>
      <c r="BE246" s="755">
        <f t="shared" si="119"/>
        <v>0</v>
      </c>
      <c r="BF246" s="755">
        <f t="shared" si="134"/>
        <v>0</v>
      </c>
      <c r="BG246" s="466">
        <f t="shared" si="120"/>
        <v>0</v>
      </c>
      <c r="BH246" s="464">
        <f t="shared" si="121"/>
        <v>0</v>
      </c>
      <c r="BI246" s="755">
        <f t="shared" si="122"/>
        <v>0</v>
      </c>
      <c r="BJ246" s="755">
        <f t="shared" si="135"/>
        <v>0</v>
      </c>
      <c r="BK246" s="333">
        <f>IF(OR($C246&lt;&gt;"Early Retirement",$H246=""),0,IF(AND($G246&lt;&gt;"Air Cooled Chiller",$G246&lt;&gt;"Water Cooled Chiller"),VLOOKUP($H246,'Early Retirement'!$CI$6:$CL$33,2,FALSE),IF($J246&lt;&gt;"Centrifugal",VLOOKUP($H246,'Early Retirement'!$CI$6:$CL$33,3,FALSE),IF($J246="Centrifugal",VLOOKUP($H246,'Early Retirement'!$CI$6:$CL$33,4,FALSE),""))))</f>
        <v>0</v>
      </c>
      <c r="BL246" s="450">
        <f t="shared" si="123"/>
        <v>0</v>
      </c>
      <c r="BM246" s="553">
        <f>IFERROR('Utility Admin'!$I$4*((1+'Utility Admin'!$G$4)/('Utility Admin'!$H$4-'Utility Admin'!$G$4))*(1-((1+'Utility Admin'!$G$4)/(1+'Utility Admin'!$H$4))^$BK246)*$BG246,0)</f>
        <v>0</v>
      </c>
      <c r="BN246" s="553">
        <f>IFERROR('Utility Admin'!$I$4*((1+'Utility Admin'!$G$4)/('Utility Admin'!$H$4-'Utility Admin'!$G$4))*(1-((1+'Utility Admin'!$G$4)/(1+'Utility Admin'!$H$4))^$BL246)*((1+'Utility Admin'!$G$4)^$BK246/(1+'Utility Admin'!$H$4)^$BK246)*$BC246,0)</f>
        <v>0</v>
      </c>
      <c r="BO246" s="553">
        <f t="shared" si="27"/>
        <v>0</v>
      </c>
      <c r="BP246" s="553">
        <f>IFERROR('Utility Admin'!$J$4*((1+'Utility Admin'!$G$4)/('Utility Admin'!$H$4-'Utility Admin'!$G$4))*(1-((1+'Utility Admin'!$G$4)/(1+'Utility Admin'!$H$4))^$BK246)*$BJ246,0)</f>
        <v>0</v>
      </c>
      <c r="BQ246" s="553">
        <f>IFERROR('Utility Admin'!$J$4*((1+'Utility Admin'!$G$4)/('Utility Admin'!$H$4-'Utility Admin'!$G$4))*(1-((1+'Utility Admin'!$G$4)/(1+'Utility Admin'!$H$4))^$BL246)*((1+'Utility Admin'!$G$4)^$BK246/(1+'Utility Admin'!$H$4)^$BK246)*$BF246,0)</f>
        <v>0</v>
      </c>
      <c r="BR246" s="553">
        <f t="shared" si="28"/>
        <v>0</v>
      </c>
      <c r="BS246" s="553">
        <f>IFERROR('Utility Admin'!$I$4*((1+'Utility Admin'!$G$4)/('Utility Admin'!$H$4-'Utility Admin'!$G$4))*(1-((1+'Utility Admin'!$G$4)/(1+'Utility Admin'!$H$4))^$AT246),0)</f>
        <v>0</v>
      </c>
      <c r="BT246" s="553">
        <f>IFERROR('Utility Admin'!$J$4*((1+'Utility Admin'!$G$4)/('Utility Admin'!$H$4-'Utility Admin'!$G$4))*(1-((1+'Utility Admin'!$G$4)/(1+'Utility Admin'!$H$4))^$AT246),0)</f>
        <v>0</v>
      </c>
      <c r="BU246" s="459">
        <f t="shared" si="136"/>
        <v>0</v>
      </c>
      <c r="BV246" s="462">
        <f t="shared" si="137"/>
        <v>0</v>
      </c>
      <c r="BW246" s="219" t="str">
        <f t="shared" si="124"/>
        <v/>
      </c>
      <c r="BX246" s="250" t="str">
        <f t="shared" si="138"/>
        <v/>
      </c>
      <c r="BY246" s="250" t="str">
        <f t="shared" si="125"/>
        <v/>
      </c>
      <c r="BZ246" s="184">
        <f t="shared" si="139"/>
        <v>0</v>
      </c>
      <c r="CA246" s="693">
        <f t="shared" si="140"/>
        <v>0</v>
      </c>
      <c r="CB246" s="836">
        <f t="shared" si="141"/>
        <v>0</v>
      </c>
      <c r="CC246" s="693">
        <f>IF(AND($C246="Early Retirement",$H246&lt;&gt;"",$R246&lt;&gt;"",$T246&lt;&gt;""),$BZ246,Baselines!$CJ239)</f>
        <v>0</v>
      </c>
      <c r="CD246" s="693">
        <f>IF(AND($C246="Early Retirement",$H246&lt;&gt;"",$R246&lt;&gt;"",$T246&lt;&gt;""),$CA246,Baselines!$CK239)</f>
        <v>0</v>
      </c>
      <c r="CE246" s="182" t="str">
        <f>Baselines!$CL239</f>
        <v>kW/ton</v>
      </c>
      <c r="CF246" s="850" t="str">
        <f t="shared" si="126"/>
        <v/>
      </c>
      <c r="CG246" s="833">
        <f>IF(AND($C246="Early Retirement",$H246&lt;&gt;"",$R246&lt;&gt;"",$T246&lt;&gt;""),$CB246,IF(AND(Baselines!$CM239=0,OR($CL246="DX HP",$CL246="PTHP")),$BB246,Baselines!$CM239))</f>
        <v>0</v>
      </c>
      <c r="CH246" s="830" t="s">
        <v>567</v>
      </c>
      <c r="CI246" s="185" t="str">
        <f>IF(OR($C246="Replace-on-Burnout",$C246="New Construction"),$CT246,IF($BW246="","",VLOOKUP($D246,'Factor Tables'!$B$165:$H$192,MATCH($BW246,'Factor Tables'!$B$164:$H$164,0),FALSE)))</f>
        <v/>
      </c>
      <c r="CJ246" s="842" t="str">
        <f>IF(OR($C246="Replace-on-Burnout",$C246="New Construction"),$CU246,IF($BW246="","",IF($BW246="DX HP",VLOOKUP($D246,'Factor Tables'!$I$165:$Q$192,MATCH("DX HP Clg",'Factor Tables'!$I$164:$Q$164,0),FALSE),IF($BW246="PTHP",VLOOKUP($D246,'Factor Tables'!$I$165:$Q$192,MATCH("PTHP Clg",'Factor Tables'!$I$164:$Q$164,0),FALSE),IF(AND($BW246&lt;&gt;"DX HP",$BW246&lt;&gt;"PTHP"),VLOOKUP($D246,'Factor Tables'!$I$165:$Q$192,MATCH($BW246,'Factor Tables'!$I$164:$Q$164,0),FALSE),"")))))</f>
        <v/>
      </c>
      <c r="CK246" s="186" t="str">
        <f>IF(OR($C246="Replace-on-Burnout",$C246="New Construction",$CL246="DX HP",$CL246="PTHP"),$CV246,IF($BW246="","",IF($BW246="DX HP",VLOOKUP($D246,'Factor Tables'!$I$165:$Q$192,MATCH("DX HP Htg",'Factor Tables'!$I$164:$Q$164,0),FALSE),IF($BW246="PTHP",VLOOKUP($D246,'Factor Tables'!$I$165:$Q$192,MATCH("PTHP Htg",'Factor Tables'!$I$164:$Q$164,0),FALSE),0))))</f>
        <v/>
      </c>
      <c r="CL246" s="187" t="str">
        <f t="shared" si="127"/>
        <v/>
      </c>
      <c r="CM246" s="251" t="str">
        <f t="shared" si="128"/>
        <v/>
      </c>
      <c r="CN246" s="184">
        <f t="shared" si="142"/>
        <v>0</v>
      </c>
      <c r="CO246" s="693">
        <f t="shared" si="143"/>
        <v>0</v>
      </c>
      <c r="CP246" s="182" t="s">
        <v>46</v>
      </c>
      <c r="CQ246" s="852" t="str">
        <f t="shared" si="144"/>
        <v/>
      </c>
      <c r="CR246" s="833">
        <f t="shared" si="145"/>
        <v>0</v>
      </c>
      <c r="CS246" s="830" t="s">
        <v>567</v>
      </c>
      <c r="CT246" s="185" t="str">
        <f>IF($CL246="","",VLOOKUP($D246,'Factor Tables'!$B$165:$H$192,MATCH($CL246,'Factor Tables'!$B$164:$H$164,0),FALSE))</f>
        <v/>
      </c>
      <c r="CU246" s="842" t="str">
        <f>IF($CL246="","",IF(AND($CL246&lt;&gt;"DX HP",$CL246&lt;&gt;"PTHP"),VLOOKUP($D246,'Factor Tables'!$I$165:$Q$192,MATCH($CL246,'Factor Tables'!$I$164:$Q$164,0),FALSE),IF($CL246="DX HP",VLOOKUP($D246,'Factor Tables'!$I$165:$Q$192,MATCH("DX HP Clg",'Factor Tables'!$I$164:$Q$164,0),FALSE),IF($CL246="PTHP",VLOOKUP($D246,'Factor Tables'!$I$165:$Q$192,MATCH("PTHP Clg",'Factor Tables'!$I$164:$Q$164,0),FALSE),""))))</f>
        <v/>
      </c>
      <c r="CV246" s="186" t="str">
        <f>IF($CL246="","",IF(AND($CL246&lt;&gt;"DX HP",$CL246&lt;&gt;"PTHP"),0,IF($CL246="DX HP",VLOOKUP($D246,'Factor Tables'!$I$165:$Q$192,MATCH("DX HP Htg",'Factor Tables'!$I$164:$Q$164,0),FALSE),IF($CL246="PTHP",VLOOKUP($D246,'Factor Tables'!$I$165:$Q$192,MATCH("PTHP Htg",'Factor Tables'!$I$164:$Q$164,0),FALSE),""))))</f>
        <v/>
      </c>
      <c r="DD246" s="196" t="str">
        <f>IF(OR('Project Info'!$D$8="",$C86="",$D86=""),"",IF('Project Info'!$D$8="Weather Zone 5: El Paso",VLOOKUP($D86,$DI$9:$DL$37,MATCH($C86,$DI$9:$DL$9,0),FALSE),VLOOKUP($D86,$DE$9:$DH$37,MATCH($C86,$DE$9:$DH$9,0),FALSE)))</f>
        <v/>
      </c>
      <c r="DE246" s="426"/>
      <c r="DI246" s="425"/>
      <c r="DJ246" s="425"/>
      <c r="DK246" s="425"/>
      <c r="DL246" s="425"/>
      <c r="DM246" s="493" t="s">
        <v>478</v>
      </c>
    </row>
    <row r="247" spans="2:117" s="427" customFormat="1" ht="21.95" customHeight="1" x14ac:dyDescent="0.25">
      <c r="B247" s="432">
        <v>238</v>
      </c>
      <c r="C247" s="499" t="str">
        <f t="shared" si="129"/>
        <v/>
      </c>
      <c r="D247" s="403" t="str">
        <f t="shared" si="130"/>
        <v/>
      </c>
      <c r="E247" s="541"/>
      <c r="F247" s="785"/>
      <c r="G247" s="728"/>
      <c r="H247" s="728"/>
      <c r="I247" s="728"/>
      <c r="J247" s="728"/>
      <c r="K247" s="728"/>
      <c r="L247" s="728"/>
      <c r="M247" s="764"/>
      <c r="N247" s="728"/>
      <c r="O247" s="764"/>
      <c r="P247" s="728"/>
      <c r="Q247" s="1142"/>
      <c r="R247" s="1133"/>
      <c r="S247" s="778"/>
      <c r="T247" s="767"/>
      <c r="U247" s="778"/>
      <c r="V247" s="751"/>
      <c r="W247" s="556"/>
      <c r="X247" s="785"/>
      <c r="Y247" s="542"/>
      <c r="Z247" s="500"/>
      <c r="AA247" s="500"/>
      <c r="AB247" s="500"/>
      <c r="AC247" s="500"/>
      <c r="AD247" s="529"/>
      <c r="AE247" s="527">
        <f t="shared" si="39"/>
        <v>0</v>
      </c>
      <c r="AF247" s="527">
        <f t="shared" si="131"/>
        <v>0</v>
      </c>
      <c r="AG247" s="527">
        <f t="shared" si="111"/>
        <v>0</v>
      </c>
      <c r="AH247" s="527">
        <f t="shared" si="112"/>
        <v>0</v>
      </c>
      <c r="AI247" s="527">
        <f t="shared" si="113"/>
        <v>0</v>
      </c>
      <c r="AJ247" s="527">
        <f t="shared" si="114"/>
        <v>999999999</v>
      </c>
      <c r="AK247" s="530"/>
      <c r="AL247" s="776"/>
      <c r="AM247" s="777"/>
      <c r="AN247" s="500"/>
      <c r="AO247" s="778"/>
      <c r="AP247" s="778"/>
      <c r="AQ247" s="500"/>
      <c r="AR247" s="531"/>
      <c r="AS247" s="403"/>
      <c r="AT247" s="524" t="str">
        <f t="shared" si="115"/>
        <v/>
      </c>
      <c r="AU247" s="311">
        <f t="shared" si="116"/>
        <v>0</v>
      </c>
      <c r="AV247" s="288">
        <f t="shared" si="132"/>
        <v>0</v>
      </c>
      <c r="AW247" s="290">
        <f>IF(ISERROR($AU247*'Utility Admin'!$E$4+$AV247*'Utility Admin'!$F$4),0,$AU247*'Utility Admin'!$E$4+$AV247*'Utility Admin'!$F$4)</f>
        <v>0</v>
      </c>
      <c r="AX247" s="323" t="str">
        <f t="shared" si="117"/>
        <v/>
      </c>
      <c r="AY247" s="322" t="str">
        <f t="shared" si="23"/>
        <v/>
      </c>
      <c r="AZ247" s="319">
        <f>Baselines!$CJ491</f>
        <v>0</v>
      </c>
      <c r="BA247" s="735">
        <f>Baselines!$CK491</f>
        <v>0</v>
      </c>
      <c r="BB247" s="839">
        <f>Baselines!$CM491</f>
        <v>0</v>
      </c>
      <c r="BC247" s="466">
        <f t="shared" si="118"/>
        <v>0</v>
      </c>
      <c r="BD247" s="464">
        <f t="shared" si="133"/>
        <v>0</v>
      </c>
      <c r="BE247" s="755">
        <f t="shared" si="119"/>
        <v>0</v>
      </c>
      <c r="BF247" s="755">
        <f t="shared" si="134"/>
        <v>0</v>
      </c>
      <c r="BG247" s="466">
        <f t="shared" si="120"/>
        <v>0</v>
      </c>
      <c r="BH247" s="464">
        <f t="shared" si="121"/>
        <v>0</v>
      </c>
      <c r="BI247" s="755">
        <f t="shared" si="122"/>
        <v>0</v>
      </c>
      <c r="BJ247" s="755">
        <f t="shared" si="135"/>
        <v>0</v>
      </c>
      <c r="BK247" s="333">
        <f>IF(OR($C247&lt;&gt;"Early Retirement",$H247=""),0,IF(AND($G247&lt;&gt;"Air Cooled Chiller",$G247&lt;&gt;"Water Cooled Chiller"),VLOOKUP($H247,'Early Retirement'!$CI$6:$CL$33,2,FALSE),IF($J247&lt;&gt;"Centrifugal",VLOOKUP($H247,'Early Retirement'!$CI$6:$CL$33,3,FALSE),IF($J247="Centrifugal",VLOOKUP($H247,'Early Retirement'!$CI$6:$CL$33,4,FALSE),""))))</f>
        <v>0</v>
      </c>
      <c r="BL247" s="450">
        <f t="shared" si="123"/>
        <v>0</v>
      </c>
      <c r="BM247" s="553">
        <f>IFERROR('Utility Admin'!$I$4*((1+'Utility Admin'!$G$4)/('Utility Admin'!$H$4-'Utility Admin'!$G$4))*(1-((1+'Utility Admin'!$G$4)/(1+'Utility Admin'!$H$4))^$BK247)*$BG247,0)</f>
        <v>0</v>
      </c>
      <c r="BN247" s="553">
        <f>IFERROR('Utility Admin'!$I$4*((1+'Utility Admin'!$G$4)/('Utility Admin'!$H$4-'Utility Admin'!$G$4))*(1-((1+'Utility Admin'!$G$4)/(1+'Utility Admin'!$H$4))^$BL247)*((1+'Utility Admin'!$G$4)^$BK247/(1+'Utility Admin'!$H$4)^$BK247)*$BC247,0)</f>
        <v>0</v>
      </c>
      <c r="BO247" s="553">
        <f t="shared" si="27"/>
        <v>0</v>
      </c>
      <c r="BP247" s="553">
        <f>IFERROR('Utility Admin'!$J$4*((1+'Utility Admin'!$G$4)/('Utility Admin'!$H$4-'Utility Admin'!$G$4))*(1-((1+'Utility Admin'!$G$4)/(1+'Utility Admin'!$H$4))^$BK247)*$BJ247,0)</f>
        <v>0</v>
      </c>
      <c r="BQ247" s="553">
        <f>IFERROR('Utility Admin'!$J$4*((1+'Utility Admin'!$G$4)/('Utility Admin'!$H$4-'Utility Admin'!$G$4))*(1-((1+'Utility Admin'!$G$4)/(1+'Utility Admin'!$H$4))^$BL247)*((1+'Utility Admin'!$G$4)^$BK247/(1+'Utility Admin'!$H$4)^$BK247)*$BF247,0)</f>
        <v>0</v>
      </c>
      <c r="BR247" s="553">
        <f t="shared" si="28"/>
        <v>0</v>
      </c>
      <c r="BS247" s="553">
        <f>IFERROR('Utility Admin'!$I$4*((1+'Utility Admin'!$G$4)/('Utility Admin'!$H$4-'Utility Admin'!$G$4))*(1-((1+'Utility Admin'!$G$4)/(1+'Utility Admin'!$H$4))^$AT247),0)</f>
        <v>0</v>
      </c>
      <c r="BT247" s="553">
        <f>IFERROR('Utility Admin'!$J$4*((1+'Utility Admin'!$G$4)/('Utility Admin'!$H$4-'Utility Admin'!$G$4))*(1-((1+'Utility Admin'!$G$4)/(1+'Utility Admin'!$H$4))^$AT247),0)</f>
        <v>0</v>
      </c>
      <c r="BU247" s="459">
        <f t="shared" si="136"/>
        <v>0</v>
      </c>
      <c r="BV247" s="462">
        <f t="shared" si="137"/>
        <v>0</v>
      </c>
      <c r="BW247" s="219" t="str">
        <f t="shared" si="124"/>
        <v/>
      </c>
      <c r="BX247" s="250" t="str">
        <f t="shared" si="138"/>
        <v/>
      </c>
      <c r="BY247" s="250" t="str">
        <f t="shared" si="125"/>
        <v/>
      </c>
      <c r="BZ247" s="184">
        <f t="shared" si="139"/>
        <v>0</v>
      </c>
      <c r="CA247" s="693">
        <f t="shared" si="140"/>
        <v>0</v>
      </c>
      <c r="CB247" s="836">
        <f t="shared" si="141"/>
        <v>0</v>
      </c>
      <c r="CC247" s="693">
        <f>IF(AND($C247="Early Retirement",$H247&lt;&gt;"",$R247&lt;&gt;"",$T247&lt;&gt;""),$BZ247,Baselines!$CJ240)</f>
        <v>0</v>
      </c>
      <c r="CD247" s="693">
        <f>IF(AND($C247="Early Retirement",$H247&lt;&gt;"",$R247&lt;&gt;"",$T247&lt;&gt;""),$CA247,Baselines!$CK240)</f>
        <v>0</v>
      </c>
      <c r="CE247" s="182" t="str">
        <f>Baselines!$CL240</f>
        <v>kW/ton</v>
      </c>
      <c r="CF247" s="850" t="str">
        <f t="shared" si="126"/>
        <v/>
      </c>
      <c r="CG247" s="833">
        <f>IF(AND($C247="Early Retirement",$H247&lt;&gt;"",$R247&lt;&gt;"",$T247&lt;&gt;""),$CB247,IF(AND(Baselines!$CM240=0,OR($CL247="DX HP",$CL247="PTHP")),$BB247,Baselines!$CM240))</f>
        <v>0</v>
      </c>
      <c r="CH247" s="830" t="s">
        <v>567</v>
      </c>
      <c r="CI247" s="185" t="str">
        <f>IF(OR($C247="Replace-on-Burnout",$C247="New Construction"),$CT247,IF($BW247="","",VLOOKUP($D247,'Factor Tables'!$B$165:$H$192,MATCH($BW247,'Factor Tables'!$B$164:$H$164,0),FALSE)))</f>
        <v/>
      </c>
      <c r="CJ247" s="842" t="str">
        <f>IF(OR($C247="Replace-on-Burnout",$C247="New Construction"),$CU247,IF($BW247="","",IF($BW247="DX HP",VLOOKUP($D247,'Factor Tables'!$I$165:$Q$192,MATCH("DX HP Clg",'Factor Tables'!$I$164:$Q$164,0),FALSE),IF($BW247="PTHP",VLOOKUP($D247,'Factor Tables'!$I$165:$Q$192,MATCH("PTHP Clg",'Factor Tables'!$I$164:$Q$164,0),FALSE),IF(AND($BW247&lt;&gt;"DX HP",$BW247&lt;&gt;"PTHP"),VLOOKUP($D247,'Factor Tables'!$I$165:$Q$192,MATCH($BW247,'Factor Tables'!$I$164:$Q$164,0),FALSE),"")))))</f>
        <v/>
      </c>
      <c r="CK247" s="186" t="str">
        <f>IF(OR($C247="Replace-on-Burnout",$C247="New Construction",$CL247="DX HP",$CL247="PTHP"),$CV247,IF($BW247="","",IF($BW247="DX HP",VLOOKUP($D247,'Factor Tables'!$I$165:$Q$192,MATCH("DX HP Htg",'Factor Tables'!$I$164:$Q$164,0),FALSE),IF($BW247="PTHP",VLOOKUP($D247,'Factor Tables'!$I$165:$Q$192,MATCH("PTHP Htg",'Factor Tables'!$I$164:$Q$164,0),FALSE),0))))</f>
        <v/>
      </c>
      <c r="CL247" s="187" t="str">
        <f t="shared" si="127"/>
        <v/>
      </c>
      <c r="CM247" s="251" t="str">
        <f t="shared" si="128"/>
        <v/>
      </c>
      <c r="CN247" s="184">
        <f t="shared" si="142"/>
        <v>0</v>
      </c>
      <c r="CO247" s="693">
        <f t="shared" si="143"/>
        <v>0</v>
      </c>
      <c r="CP247" s="182" t="s">
        <v>46</v>
      </c>
      <c r="CQ247" s="852" t="str">
        <f t="shared" si="144"/>
        <v/>
      </c>
      <c r="CR247" s="833">
        <f t="shared" si="145"/>
        <v>0</v>
      </c>
      <c r="CS247" s="830" t="s">
        <v>567</v>
      </c>
      <c r="CT247" s="185" t="str">
        <f>IF($CL247="","",VLOOKUP($D247,'Factor Tables'!$B$165:$H$192,MATCH($CL247,'Factor Tables'!$B$164:$H$164,0),FALSE))</f>
        <v/>
      </c>
      <c r="CU247" s="842" t="str">
        <f>IF($CL247="","",IF(AND($CL247&lt;&gt;"DX HP",$CL247&lt;&gt;"PTHP"),VLOOKUP($D247,'Factor Tables'!$I$165:$Q$192,MATCH($CL247,'Factor Tables'!$I$164:$Q$164,0),FALSE),IF($CL247="DX HP",VLOOKUP($D247,'Factor Tables'!$I$165:$Q$192,MATCH("DX HP Clg",'Factor Tables'!$I$164:$Q$164,0),FALSE),IF($CL247="PTHP",VLOOKUP($D247,'Factor Tables'!$I$165:$Q$192,MATCH("PTHP Clg",'Factor Tables'!$I$164:$Q$164,0),FALSE),""))))</f>
        <v/>
      </c>
      <c r="CV247" s="186" t="str">
        <f>IF($CL247="","",IF(AND($CL247&lt;&gt;"DX HP",$CL247&lt;&gt;"PTHP"),0,IF($CL247="DX HP",VLOOKUP($D247,'Factor Tables'!$I$165:$Q$192,MATCH("DX HP Htg",'Factor Tables'!$I$164:$Q$164,0),FALSE),IF($CL247="PTHP",VLOOKUP($D247,'Factor Tables'!$I$165:$Q$192,MATCH("PTHP Htg",'Factor Tables'!$I$164:$Q$164,0),FALSE),""))))</f>
        <v/>
      </c>
      <c r="DD247" s="196" t="str">
        <f>IF(OR('Project Info'!$D$8="",$C87="",$D87=""),"",IF('Project Info'!$D$8="Weather Zone 5: El Paso",VLOOKUP($D87,$DI$9:$DL$37,MATCH($C87,$DI$9:$DL$9,0),FALSE),VLOOKUP($D87,$DE$9:$DH$37,MATCH($C87,$DE$9:$DH$9,0),FALSE)))</f>
        <v/>
      </c>
      <c r="DE247" s="426"/>
      <c r="DI247" s="425"/>
      <c r="DJ247" s="425"/>
      <c r="DK247" s="425"/>
      <c r="DL247" s="425"/>
      <c r="DM247" s="493" t="s">
        <v>478</v>
      </c>
    </row>
    <row r="248" spans="2:117" s="427" customFormat="1" ht="21.95" customHeight="1" x14ac:dyDescent="0.25">
      <c r="B248" s="431">
        <v>239</v>
      </c>
      <c r="C248" s="501" t="str">
        <f t="shared" si="129"/>
        <v/>
      </c>
      <c r="D248" s="502" t="str">
        <f t="shared" si="130"/>
        <v/>
      </c>
      <c r="E248" s="546"/>
      <c r="F248" s="547"/>
      <c r="G248" s="729"/>
      <c r="H248" s="729"/>
      <c r="I248" s="729"/>
      <c r="J248" s="729"/>
      <c r="K248" s="729"/>
      <c r="L248" s="729"/>
      <c r="M248" s="765"/>
      <c r="N248" s="758"/>
      <c r="O248" s="765"/>
      <c r="P248" s="758"/>
      <c r="Q248" s="1143"/>
      <c r="R248" s="1134"/>
      <c r="S248" s="775"/>
      <c r="T248" s="729"/>
      <c r="U248" s="775"/>
      <c r="V248" s="779"/>
      <c r="W248" s="557"/>
      <c r="X248" s="788"/>
      <c r="Y248" s="543"/>
      <c r="Z248" s="281"/>
      <c r="AA248" s="281"/>
      <c r="AB248" s="281"/>
      <c r="AC248" s="281"/>
      <c r="AD248" s="492"/>
      <c r="AE248" s="527">
        <f t="shared" si="39"/>
        <v>0</v>
      </c>
      <c r="AF248" s="527">
        <f t="shared" si="131"/>
        <v>0</v>
      </c>
      <c r="AG248" s="527">
        <f t="shared" si="111"/>
        <v>0</v>
      </c>
      <c r="AH248" s="527">
        <f t="shared" si="112"/>
        <v>0</v>
      </c>
      <c r="AI248" s="527">
        <f t="shared" si="113"/>
        <v>0</v>
      </c>
      <c r="AJ248" s="527">
        <f t="shared" si="114"/>
        <v>999999999</v>
      </c>
      <c r="AK248" s="471"/>
      <c r="AL248" s="765"/>
      <c r="AM248" s="758"/>
      <c r="AN248" s="281"/>
      <c r="AO248" s="775"/>
      <c r="AP248" s="775"/>
      <c r="AQ248" s="281"/>
      <c r="AR248" s="528"/>
      <c r="AS248" s="532"/>
      <c r="AT248" s="524" t="str">
        <f t="shared" si="115"/>
        <v/>
      </c>
      <c r="AU248" s="311">
        <f t="shared" si="116"/>
        <v>0</v>
      </c>
      <c r="AV248" s="288">
        <f t="shared" si="132"/>
        <v>0</v>
      </c>
      <c r="AW248" s="290">
        <f>IF(ISERROR($AU248*'Utility Admin'!$E$4+$AV248*'Utility Admin'!$F$4),0,$AU248*'Utility Admin'!$E$4+$AV248*'Utility Admin'!$F$4)</f>
        <v>0</v>
      </c>
      <c r="AX248" s="323" t="str">
        <f t="shared" si="117"/>
        <v/>
      </c>
      <c r="AY248" s="322" t="str">
        <f t="shared" si="23"/>
        <v/>
      </c>
      <c r="AZ248" s="319">
        <f>Baselines!$CJ492</f>
        <v>0</v>
      </c>
      <c r="BA248" s="735">
        <f>Baselines!$CK492</f>
        <v>0</v>
      </c>
      <c r="BB248" s="839">
        <f>Baselines!$CM492</f>
        <v>0</v>
      </c>
      <c r="BC248" s="466">
        <f t="shared" si="118"/>
        <v>0</v>
      </c>
      <c r="BD248" s="464">
        <f t="shared" si="133"/>
        <v>0</v>
      </c>
      <c r="BE248" s="755">
        <f t="shared" si="119"/>
        <v>0</v>
      </c>
      <c r="BF248" s="755">
        <f t="shared" si="134"/>
        <v>0</v>
      </c>
      <c r="BG248" s="466">
        <f t="shared" si="120"/>
        <v>0</v>
      </c>
      <c r="BH248" s="464">
        <f t="shared" si="121"/>
        <v>0</v>
      </c>
      <c r="BI248" s="755">
        <f t="shared" si="122"/>
        <v>0</v>
      </c>
      <c r="BJ248" s="755">
        <f t="shared" si="135"/>
        <v>0</v>
      </c>
      <c r="BK248" s="333">
        <f>IF(OR($C248&lt;&gt;"Early Retirement",$H248=""),0,IF(AND($G248&lt;&gt;"Air Cooled Chiller",$G248&lt;&gt;"Water Cooled Chiller"),VLOOKUP($H248,'Early Retirement'!$CI$6:$CL$33,2,FALSE),IF($J248&lt;&gt;"Centrifugal",VLOOKUP($H248,'Early Retirement'!$CI$6:$CL$33,3,FALSE),IF($J248="Centrifugal",VLOOKUP($H248,'Early Retirement'!$CI$6:$CL$33,4,FALSE),""))))</f>
        <v>0</v>
      </c>
      <c r="BL248" s="450">
        <f t="shared" si="123"/>
        <v>0</v>
      </c>
      <c r="BM248" s="553">
        <f>IFERROR('Utility Admin'!$I$4*((1+'Utility Admin'!$G$4)/('Utility Admin'!$H$4-'Utility Admin'!$G$4))*(1-((1+'Utility Admin'!$G$4)/(1+'Utility Admin'!$H$4))^$BK248)*$BG248,0)</f>
        <v>0</v>
      </c>
      <c r="BN248" s="553">
        <f>IFERROR('Utility Admin'!$I$4*((1+'Utility Admin'!$G$4)/('Utility Admin'!$H$4-'Utility Admin'!$G$4))*(1-((1+'Utility Admin'!$G$4)/(1+'Utility Admin'!$H$4))^$BL248)*((1+'Utility Admin'!$G$4)^$BK248/(1+'Utility Admin'!$H$4)^$BK248)*$BC248,0)</f>
        <v>0</v>
      </c>
      <c r="BO248" s="553">
        <f t="shared" si="27"/>
        <v>0</v>
      </c>
      <c r="BP248" s="553">
        <f>IFERROR('Utility Admin'!$J$4*((1+'Utility Admin'!$G$4)/('Utility Admin'!$H$4-'Utility Admin'!$G$4))*(1-((1+'Utility Admin'!$G$4)/(1+'Utility Admin'!$H$4))^$BK248)*$BJ248,0)</f>
        <v>0</v>
      </c>
      <c r="BQ248" s="553">
        <f>IFERROR('Utility Admin'!$J$4*((1+'Utility Admin'!$G$4)/('Utility Admin'!$H$4-'Utility Admin'!$G$4))*(1-((1+'Utility Admin'!$G$4)/(1+'Utility Admin'!$H$4))^$BL248)*((1+'Utility Admin'!$G$4)^$BK248/(1+'Utility Admin'!$H$4)^$BK248)*$BF248,0)</f>
        <v>0</v>
      </c>
      <c r="BR248" s="553">
        <f t="shared" si="28"/>
        <v>0</v>
      </c>
      <c r="BS248" s="553">
        <f>IFERROR('Utility Admin'!$I$4*((1+'Utility Admin'!$G$4)/('Utility Admin'!$H$4-'Utility Admin'!$G$4))*(1-((1+'Utility Admin'!$G$4)/(1+'Utility Admin'!$H$4))^$AT248),0)</f>
        <v>0</v>
      </c>
      <c r="BT248" s="553">
        <f>IFERROR('Utility Admin'!$J$4*((1+'Utility Admin'!$G$4)/('Utility Admin'!$H$4-'Utility Admin'!$G$4))*(1-((1+'Utility Admin'!$G$4)/(1+'Utility Admin'!$H$4))^$AT248),0)</f>
        <v>0</v>
      </c>
      <c r="BU248" s="459">
        <f t="shared" si="136"/>
        <v>0</v>
      </c>
      <c r="BV248" s="462">
        <f t="shared" si="137"/>
        <v>0</v>
      </c>
      <c r="BW248" s="219" t="str">
        <f t="shared" si="124"/>
        <v/>
      </c>
      <c r="BX248" s="250" t="str">
        <f t="shared" si="138"/>
        <v/>
      </c>
      <c r="BY248" s="250" t="str">
        <f t="shared" si="125"/>
        <v/>
      </c>
      <c r="BZ248" s="184">
        <f t="shared" si="139"/>
        <v>0</v>
      </c>
      <c r="CA248" s="693">
        <f t="shared" si="140"/>
        <v>0</v>
      </c>
      <c r="CB248" s="836">
        <f t="shared" si="141"/>
        <v>0</v>
      </c>
      <c r="CC248" s="693">
        <f>IF(AND($C248="Early Retirement",$H248&lt;&gt;"",$R248&lt;&gt;"",$T248&lt;&gt;""),$BZ248,Baselines!$CJ241)</f>
        <v>0</v>
      </c>
      <c r="CD248" s="693">
        <f>IF(AND($C248="Early Retirement",$H248&lt;&gt;"",$R248&lt;&gt;"",$T248&lt;&gt;""),$CA248,Baselines!$CK241)</f>
        <v>0</v>
      </c>
      <c r="CE248" s="182" t="str">
        <f>Baselines!$CL241</f>
        <v>kW/ton</v>
      </c>
      <c r="CF248" s="850" t="str">
        <f t="shared" si="126"/>
        <v/>
      </c>
      <c r="CG248" s="833">
        <f>IF(AND($C248="Early Retirement",$H248&lt;&gt;"",$R248&lt;&gt;"",$T248&lt;&gt;""),$CB248,IF(AND(Baselines!$CM241=0,OR($CL248="DX HP",$CL248="PTHP")),$BB248,Baselines!$CM241))</f>
        <v>0</v>
      </c>
      <c r="CH248" s="830" t="s">
        <v>567</v>
      </c>
      <c r="CI248" s="185" t="str">
        <f>IF(OR($C248="Replace-on-Burnout",$C248="New Construction"),$CT248,IF($BW248="","",VLOOKUP($D248,'Factor Tables'!$B$165:$H$192,MATCH($BW248,'Factor Tables'!$B$164:$H$164,0),FALSE)))</f>
        <v/>
      </c>
      <c r="CJ248" s="842" t="str">
        <f>IF(OR($C248="Replace-on-Burnout",$C248="New Construction"),$CU248,IF($BW248="","",IF($BW248="DX HP",VLOOKUP($D248,'Factor Tables'!$I$165:$Q$192,MATCH("DX HP Clg",'Factor Tables'!$I$164:$Q$164,0),FALSE),IF($BW248="PTHP",VLOOKUP($D248,'Factor Tables'!$I$165:$Q$192,MATCH("PTHP Clg",'Factor Tables'!$I$164:$Q$164,0),FALSE),IF(AND($BW248&lt;&gt;"DX HP",$BW248&lt;&gt;"PTHP"),VLOOKUP($D248,'Factor Tables'!$I$165:$Q$192,MATCH($BW248,'Factor Tables'!$I$164:$Q$164,0),FALSE),"")))))</f>
        <v/>
      </c>
      <c r="CK248" s="186" t="str">
        <f>IF(OR($C248="Replace-on-Burnout",$C248="New Construction",$CL248="DX HP",$CL248="PTHP"),$CV248,IF($BW248="","",IF($BW248="DX HP",VLOOKUP($D248,'Factor Tables'!$I$165:$Q$192,MATCH("DX HP Htg",'Factor Tables'!$I$164:$Q$164,0),FALSE),IF($BW248="PTHP",VLOOKUP($D248,'Factor Tables'!$I$165:$Q$192,MATCH("PTHP Htg",'Factor Tables'!$I$164:$Q$164,0),FALSE),0))))</f>
        <v/>
      </c>
      <c r="CL248" s="187" t="str">
        <f t="shared" si="127"/>
        <v/>
      </c>
      <c r="CM248" s="251" t="str">
        <f t="shared" si="128"/>
        <v/>
      </c>
      <c r="CN248" s="184">
        <f t="shared" si="142"/>
        <v>0</v>
      </c>
      <c r="CO248" s="693">
        <f t="shared" si="143"/>
        <v>0</v>
      </c>
      <c r="CP248" s="182" t="s">
        <v>46</v>
      </c>
      <c r="CQ248" s="852" t="str">
        <f t="shared" si="144"/>
        <v/>
      </c>
      <c r="CR248" s="833">
        <f t="shared" si="145"/>
        <v>0</v>
      </c>
      <c r="CS248" s="830" t="s">
        <v>567</v>
      </c>
      <c r="CT248" s="185" t="str">
        <f>IF($CL248="","",VLOOKUP($D248,'Factor Tables'!$B$165:$H$192,MATCH($CL248,'Factor Tables'!$B$164:$H$164,0),FALSE))</f>
        <v/>
      </c>
      <c r="CU248" s="842" t="str">
        <f>IF($CL248="","",IF(AND($CL248&lt;&gt;"DX HP",$CL248&lt;&gt;"PTHP"),VLOOKUP($D248,'Factor Tables'!$I$165:$Q$192,MATCH($CL248,'Factor Tables'!$I$164:$Q$164,0),FALSE),IF($CL248="DX HP",VLOOKUP($D248,'Factor Tables'!$I$165:$Q$192,MATCH("DX HP Clg",'Factor Tables'!$I$164:$Q$164,0),FALSE),IF($CL248="PTHP",VLOOKUP($D248,'Factor Tables'!$I$165:$Q$192,MATCH("PTHP Clg",'Factor Tables'!$I$164:$Q$164,0),FALSE),""))))</f>
        <v/>
      </c>
      <c r="CV248" s="186" t="str">
        <f>IF($CL248="","",IF(AND($CL248&lt;&gt;"DX HP",$CL248&lt;&gt;"PTHP"),0,IF($CL248="DX HP",VLOOKUP($D248,'Factor Tables'!$I$165:$Q$192,MATCH("DX HP Htg",'Factor Tables'!$I$164:$Q$164,0),FALSE),IF($CL248="PTHP",VLOOKUP($D248,'Factor Tables'!$I$165:$Q$192,MATCH("PTHP Htg",'Factor Tables'!$I$164:$Q$164,0),FALSE),""))))</f>
        <v/>
      </c>
      <c r="DD248" s="196" t="str">
        <f>IF(OR('Project Info'!$D$8="",$C88="",$D88=""),"",IF('Project Info'!$D$8="Weather Zone 5: El Paso",VLOOKUP($D88,$DI$9:$DL$37,MATCH($C88,$DI$9:$DL$9,0),FALSE),VLOOKUP($D88,$DE$9:$DH$37,MATCH($C88,$DE$9:$DH$9,0),FALSE)))</f>
        <v/>
      </c>
      <c r="DE248" s="426"/>
      <c r="DI248" s="425"/>
      <c r="DJ248" s="425"/>
      <c r="DK248" s="425"/>
      <c r="DL248" s="425"/>
      <c r="DM248" s="493" t="s">
        <v>478</v>
      </c>
    </row>
    <row r="249" spans="2:117" s="427" customFormat="1" ht="21.95" customHeight="1" x14ac:dyDescent="0.25">
      <c r="B249" s="432">
        <v>240</v>
      </c>
      <c r="C249" s="499" t="str">
        <f t="shared" si="129"/>
        <v/>
      </c>
      <c r="D249" s="403" t="str">
        <f t="shared" si="130"/>
        <v/>
      </c>
      <c r="E249" s="541"/>
      <c r="F249" s="785"/>
      <c r="G249" s="728"/>
      <c r="H249" s="728"/>
      <c r="I249" s="728"/>
      <c r="J249" s="728"/>
      <c r="K249" s="728"/>
      <c r="L249" s="728"/>
      <c r="M249" s="764"/>
      <c r="N249" s="728"/>
      <c r="O249" s="764"/>
      <c r="P249" s="728"/>
      <c r="Q249" s="1142"/>
      <c r="R249" s="1133"/>
      <c r="S249" s="778"/>
      <c r="T249" s="767"/>
      <c r="U249" s="778"/>
      <c r="V249" s="751"/>
      <c r="W249" s="556"/>
      <c r="X249" s="785"/>
      <c r="Y249" s="542"/>
      <c r="Z249" s="500"/>
      <c r="AA249" s="500"/>
      <c r="AB249" s="500"/>
      <c r="AC249" s="500"/>
      <c r="AD249" s="529"/>
      <c r="AE249" s="527">
        <f t="shared" si="39"/>
        <v>0</v>
      </c>
      <c r="AF249" s="527">
        <f t="shared" si="131"/>
        <v>0</v>
      </c>
      <c r="AG249" s="527">
        <f t="shared" si="111"/>
        <v>0</v>
      </c>
      <c r="AH249" s="527">
        <f t="shared" si="112"/>
        <v>0</v>
      </c>
      <c r="AI249" s="527">
        <f t="shared" si="113"/>
        <v>0</v>
      </c>
      <c r="AJ249" s="527">
        <f t="shared" si="114"/>
        <v>999999999</v>
      </c>
      <c r="AK249" s="530"/>
      <c r="AL249" s="776"/>
      <c r="AM249" s="777"/>
      <c r="AN249" s="500"/>
      <c r="AO249" s="778"/>
      <c r="AP249" s="778"/>
      <c r="AQ249" s="500"/>
      <c r="AR249" s="531"/>
      <c r="AS249" s="403"/>
      <c r="AT249" s="524" t="str">
        <f t="shared" si="115"/>
        <v/>
      </c>
      <c r="AU249" s="311">
        <f t="shared" si="116"/>
        <v>0</v>
      </c>
      <c r="AV249" s="288">
        <f t="shared" si="132"/>
        <v>0</v>
      </c>
      <c r="AW249" s="290">
        <f>IF(ISERROR($AU249*'Utility Admin'!$E$4+$AV249*'Utility Admin'!$F$4),0,$AU249*'Utility Admin'!$E$4+$AV249*'Utility Admin'!$F$4)</f>
        <v>0</v>
      </c>
      <c r="AX249" s="323" t="str">
        <f t="shared" si="117"/>
        <v/>
      </c>
      <c r="AY249" s="322" t="str">
        <f t="shared" si="23"/>
        <v/>
      </c>
      <c r="AZ249" s="319">
        <f>Baselines!$CJ493</f>
        <v>0</v>
      </c>
      <c r="BA249" s="735">
        <f>Baselines!$CK493</f>
        <v>0</v>
      </c>
      <c r="BB249" s="839">
        <f>Baselines!$CM493</f>
        <v>0</v>
      </c>
      <c r="BC249" s="466">
        <f t="shared" si="118"/>
        <v>0</v>
      </c>
      <c r="BD249" s="464">
        <f t="shared" si="133"/>
        <v>0</v>
      </c>
      <c r="BE249" s="755">
        <f t="shared" si="119"/>
        <v>0</v>
      </c>
      <c r="BF249" s="755">
        <f t="shared" si="134"/>
        <v>0</v>
      </c>
      <c r="BG249" s="466">
        <f t="shared" si="120"/>
        <v>0</v>
      </c>
      <c r="BH249" s="464">
        <f t="shared" si="121"/>
        <v>0</v>
      </c>
      <c r="BI249" s="755">
        <f t="shared" si="122"/>
        <v>0</v>
      </c>
      <c r="BJ249" s="755">
        <f t="shared" si="135"/>
        <v>0</v>
      </c>
      <c r="BK249" s="333">
        <f>IF(OR($C249&lt;&gt;"Early Retirement",$H249=""),0,IF(AND($G249&lt;&gt;"Air Cooled Chiller",$G249&lt;&gt;"Water Cooled Chiller"),VLOOKUP($H249,'Early Retirement'!$CI$6:$CL$33,2,FALSE),IF($J249&lt;&gt;"Centrifugal",VLOOKUP($H249,'Early Retirement'!$CI$6:$CL$33,3,FALSE),IF($J249="Centrifugal",VLOOKUP($H249,'Early Retirement'!$CI$6:$CL$33,4,FALSE),""))))</f>
        <v>0</v>
      </c>
      <c r="BL249" s="450">
        <f t="shared" si="123"/>
        <v>0</v>
      </c>
      <c r="BM249" s="553">
        <f>IFERROR('Utility Admin'!$I$4*((1+'Utility Admin'!$G$4)/('Utility Admin'!$H$4-'Utility Admin'!$G$4))*(1-((1+'Utility Admin'!$G$4)/(1+'Utility Admin'!$H$4))^$BK249)*$BG249,0)</f>
        <v>0</v>
      </c>
      <c r="BN249" s="553">
        <f>IFERROR('Utility Admin'!$I$4*((1+'Utility Admin'!$G$4)/('Utility Admin'!$H$4-'Utility Admin'!$G$4))*(1-((1+'Utility Admin'!$G$4)/(1+'Utility Admin'!$H$4))^$BL249)*((1+'Utility Admin'!$G$4)^$BK249/(1+'Utility Admin'!$H$4)^$BK249)*$BC249,0)</f>
        <v>0</v>
      </c>
      <c r="BO249" s="553">
        <f t="shared" si="27"/>
        <v>0</v>
      </c>
      <c r="BP249" s="553">
        <f>IFERROR('Utility Admin'!$J$4*((1+'Utility Admin'!$G$4)/('Utility Admin'!$H$4-'Utility Admin'!$G$4))*(1-((1+'Utility Admin'!$G$4)/(1+'Utility Admin'!$H$4))^$BK249)*$BJ249,0)</f>
        <v>0</v>
      </c>
      <c r="BQ249" s="553">
        <f>IFERROR('Utility Admin'!$J$4*((1+'Utility Admin'!$G$4)/('Utility Admin'!$H$4-'Utility Admin'!$G$4))*(1-((1+'Utility Admin'!$G$4)/(1+'Utility Admin'!$H$4))^$BL249)*((1+'Utility Admin'!$G$4)^$BK249/(1+'Utility Admin'!$H$4)^$BK249)*$BF249,0)</f>
        <v>0</v>
      </c>
      <c r="BR249" s="553">
        <f t="shared" si="28"/>
        <v>0</v>
      </c>
      <c r="BS249" s="553">
        <f>IFERROR('Utility Admin'!$I$4*((1+'Utility Admin'!$G$4)/('Utility Admin'!$H$4-'Utility Admin'!$G$4))*(1-((1+'Utility Admin'!$G$4)/(1+'Utility Admin'!$H$4))^$AT249),0)</f>
        <v>0</v>
      </c>
      <c r="BT249" s="553">
        <f>IFERROR('Utility Admin'!$J$4*((1+'Utility Admin'!$G$4)/('Utility Admin'!$H$4-'Utility Admin'!$G$4))*(1-((1+'Utility Admin'!$G$4)/(1+'Utility Admin'!$H$4))^$AT249),0)</f>
        <v>0</v>
      </c>
      <c r="BU249" s="459">
        <f t="shared" si="136"/>
        <v>0</v>
      </c>
      <c r="BV249" s="462">
        <f t="shared" si="137"/>
        <v>0</v>
      </c>
      <c r="BW249" s="219" t="str">
        <f t="shared" si="124"/>
        <v/>
      </c>
      <c r="BX249" s="250" t="str">
        <f t="shared" si="138"/>
        <v/>
      </c>
      <c r="BY249" s="250" t="str">
        <f t="shared" si="125"/>
        <v/>
      </c>
      <c r="BZ249" s="184">
        <f t="shared" si="139"/>
        <v>0</v>
      </c>
      <c r="CA249" s="693">
        <f t="shared" si="140"/>
        <v>0</v>
      </c>
      <c r="CB249" s="836">
        <f t="shared" si="141"/>
        <v>0</v>
      </c>
      <c r="CC249" s="693">
        <f>IF(AND($C249="Early Retirement",$H249&lt;&gt;"",$R249&lt;&gt;"",$T249&lt;&gt;""),$BZ249,Baselines!$CJ242)</f>
        <v>0</v>
      </c>
      <c r="CD249" s="693">
        <f>IF(AND($C249="Early Retirement",$H249&lt;&gt;"",$R249&lt;&gt;"",$T249&lt;&gt;""),$CA249,Baselines!$CK242)</f>
        <v>0</v>
      </c>
      <c r="CE249" s="182" t="str">
        <f>Baselines!$CL242</f>
        <v>kW/ton</v>
      </c>
      <c r="CF249" s="850" t="str">
        <f t="shared" si="126"/>
        <v/>
      </c>
      <c r="CG249" s="833">
        <f>IF(AND($C249="Early Retirement",$H249&lt;&gt;"",$R249&lt;&gt;"",$T249&lt;&gt;""),$CB249,IF(AND(Baselines!$CM242=0,OR($CL249="DX HP",$CL249="PTHP")),$BB249,Baselines!$CM242))</f>
        <v>0</v>
      </c>
      <c r="CH249" s="830" t="s">
        <v>567</v>
      </c>
      <c r="CI249" s="185" t="str">
        <f>IF(OR($C249="Replace-on-Burnout",$C249="New Construction"),$CT249,IF($BW249="","",VLOOKUP($D249,'Factor Tables'!$B$165:$H$192,MATCH($BW249,'Factor Tables'!$B$164:$H$164,0),FALSE)))</f>
        <v/>
      </c>
      <c r="CJ249" s="842" t="str">
        <f>IF(OR($C249="Replace-on-Burnout",$C249="New Construction"),$CU249,IF($BW249="","",IF($BW249="DX HP",VLOOKUP($D249,'Factor Tables'!$I$165:$Q$192,MATCH("DX HP Clg",'Factor Tables'!$I$164:$Q$164,0),FALSE),IF($BW249="PTHP",VLOOKUP($D249,'Factor Tables'!$I$165:$Q$192,MATCH("PTHP Clg",'Factor Tables'!$I$164:$Q$164,0),FALSE),IF(AND($BW249&lt;&gt;"DX HP",$BW249&lt;&gt;"PTHP"),VLOOKUP($D249,'Factor Tables'!$I$165:$Q$192,MATCH($BW249,'Factor Tables'!$I$164:$Q$164,0),FALSE),"")))))</f>
        <v/>
      </c>
      <c r="CK249" s="186" t="str">
        <f>IF(OR($C249="Replace-on-Burnout",$C249="New Construction",$CL249="DX HP",$CL249="PTHP"),$CV249,IF($BW249="","",IF($BW249="DX HP",VLOOKUP($D249,'Factor Tables'!$I$165:$Q$192,MATCH("DX HP Htg",'Factor Tables'!$I$164:$Q$164,0),FALSE),IF($BW249="PTHP",VLOOKUP($D249,'Factor Tables'!$I$165:$Q$192,MATCH("PTHP Htg",'Factor Tables'!$I$164:$Q$164,0),FALSE),0))))</f>
        <v/>
      </c>
      <c r="CL249" s="187" t="str">
        <f t="shared" si="127"/>
        <v/>
      </c>
      <c r="CM249" s="251" t="str">
        <f t="shared" si="128"/>
        <v/>
      </c>
      <c r="CN249" s="184">
        <f t="shared" si="142"/>
        <v>0</v>
      </c>
      <c r="CO249" s="693">
        <f t="shared" si="143"/>
        <v>0</v>
      </c>
      <c r="CP249" s="182" t="s">
        <v>46</v>
      </c>
      <c r="CQ249" s="852" t="str">
        <f t="shared" si="144"/>
        <v/>
      </c>
      <c r="CR249" s="833">
        <f t="shared" si="145"/>
        <v>0</v>
      </c>
      <c r="CS249" s="830" t="s">
        <v>567</v>
      </c>
      <c r="CT249" s="185" t="str">
        <f>IF($CL249="","",VLOOKUP($D249,'Factor Tables'!$B$165:$H$192,MATCH($CL249,'Factor Tables'!$B$164:$H$164,0),FALSE))</f>
        <v/>
      </c>
      <c r="CU249" s="842" t="str">
        <f>IF($CL249="","",IF(AND($CL249&lt;&gt;"DX HP",$CL249&lt;&gt;"PTHP"),VLOOKUP($D249,'Factor Tables'!$I$165:$Q$192,MATCH($CL249,'Factor Tables'!$I$164:$Q$164,0),FALSE),IF($CL249="DX HP",VLOOKUP($D249,'Factor Tables'!$I$165:$Q$192,MATCH("DX HP Clg",'Factor Tables'!$I$164:$Q$164,0),FALSE),IF($CL249="PTHP",VLOOKUP($D249,'Factor Tables'!$I$165:$Q$192,MATCH("PTHP Clg",'Factor Tables'!$I$164:$Q$164,0),FALSE),""))))</f>
        <v/>
      </c>
      <c r="CV249" s="186" t="str">
        <f>IF($CL249="","",IF(AND($CL249&lt;&gt;"DX HP",$CL249&lt;&gt;"PTHP"),0,IF($CL249="DX HP",VLOOKUP($D249,'Factor Tables'!$I$165:$Q$192,MATCH("DX HP Htg",'Factor Tables'!$I$164:$Q$164,0),FALSE),IF($CL249="PTHP",VLOOKUP($D249,'Factor Tables'!$I$165:$Q$192,MATCH("PTHP Htg",'Factor Tables'!$I$164:$Q$164,0),FALSE),""))))</f>
        <v/>
      </c>
      <c r="DD249" s="196" t="str">
        <f>IF(OR('Project Info'!$D$8="",$C89="",$D89=""),"",IF('Project Info'!$D$8="Weather Zone 5: El Paso",VLOOKUP($D89,$DI$9:$DL$37,MATCH($C89,$DI$9:$DL$9,0),FALSE),VLOOKUP($D89,$DE$9:$DH$37,MATCH($C89,$DE$9:$DH$9,0),FALSE)))</f>
        <v/>
      </c>
      <c r="DE249" s="426"/>
      <c r="DI249" s="425"/>
      <c r="DJ249" s="425"/>
      <c r="DK249" s="425"/>
      <c r="DL249" s="425"/>
      <c r="DM249" s="493" t="s">
        <v>478</v>
      </c>
    </row>
    <row r="250" spans="2:117" s="427" customFormat="1" ht="21.95" customHeight="1" x14ac:dyDescent="0.25">
      <c r="B250" s="431">
        <v>241</v>
      </c>
      <c r="C250" s="501" t="str">
        <f t="shared" si="129"/>
        <v/>
      </c>
      <c r="D250" s="502" t="str">
        <f t="shared" si="130"/>
        <v/>
      </c>
      <c r="E250" s="546"/>
      <c r="F250" s="547"/>
      <c r="G250" s="729"/>
      <c r="H250" s="729"/>
      <c r="I250" s="729"/>
      <c r="J250" s="729"/>
      <c r="K250" s="729"/>
      <c r="L250" s="729"/>
      <c r="M250" s="765"/>
      <c r="N250" s="758"/>
      <c r="O250" s="765"/>
      <c r="P250" s="758"/>
      <c r="Q250" s="1143"/>
      <c r="R250" s="1134"/>
      <c r="S250" s="775"/>
      <c r="T250" s="729"/>
      <c r="U250" s="775"/>
      <c r="V250" s="779"/>
      <c r="W250" s="557"/>
      <c r="X250" s="788"/>
      <c r="Y250" s="543"/>
      <c r="Z250" s="281"/>
      <c r="AA250" s="281"/>
      <c r="AB250" s="281"/>
      <c r="AC250" s="281"/>
      <c r="AD250" s="492"/>
      <c r="AE250" s="527">
        <f t="shared" si="39"/>
        <v>0</v>
      </c>
      <c r="AF250" s="527">
        <f t="shared" si="131"/>
        <v>0</v>
      </c>
      <c r="AG250" s="527">
        <f t="shared" si="111"/>
        <v>0</v>
      </c>
      <c r="AH250" s="527">
        <f t="shared" si="112"/>
        <v>0</v>
      </c>
      <c r="AI250" s="527">
        <f t="shared" si="113"/>
        <v>0</v>
      </c>
      <c r="AJ250" s="527">
        <f t="shared" si="114"/>
        <v>999999999</v>
      </c>
      <c r="AK250" s="471"/>
      <c r="AL250" s="765"/>
      <c r="AM250" s="758"/>
      <c r="AN250" s="281"/>
      <c r="AO250" s="775"/>
      <c r="AP250" s="775"/>
      <c r="AQ250" s="281"/>
      <c r="AR250" s="528"/>
      <c r="AS250" s="532"/>
      <c r="AT250" s="524" t="str">
        <f t="shared" si="115"/>
        <v/>
      </c>
      <c r="AU250" s="311">
        <f t="shared" si="116"/>
        <v>0</v>
      </c>
      <c r="AV250" s="288">
        <f t="shared" si="132"/>
        <v>0</v>
      </c>
      <c r="AW250" s="290">
        <f>IF(ISERROR($AU250*'Utility Admin'!$E$4+$AV250*'Utility Admin'!$F$4),0,$AU250*'Utility Admin'!$E$4+$AV250*'Utility Admin'!$F$4)</f>
        <v>0</v>
      </c>
      <c r="AX250" s="323" t="str">
        <f t="shared" si="117"/>
        <v/>
      </c>
      <c r="AY250" s="322" t="str">
        <f t="shared" si="23"/>
        <v/>
      </c>
      <c r="AZ250" s="319">
        <f>Baselines!$CJ494</f>
        <v>0</v>
      </c>
      <c r="BA250" s="735">
        <f>Baselines!$CK494</f>
        <v>0</v>
      </c>
      <c r="BB250" s="839">
        <f>Baselines!$CM494</f>
        <v>0</v>
      </c>
      <c r="BC250" s="466">
        <f t="shared" si="118"/>
        <v>0</v>
      </c>
      <c r="BD250" s="464">
        <f t="shared" si="133"/>
        <v>0</v>
      </c>
      <c r="BE250" s="755">
        <f t="shared" si="119"/>
        <v>0</v>
      </c>
      <c r="BF250" s="755">
        <f t="shared" si="134"/>
        <v>0</v>
      </c>
      <c r="BG250" s="466">
        <f t="shared" si="120"/>
        <v>0</v>
      </c>
      <c r="BH250" s="464">
        <f t="shared" si="121"/>
        <v>0</v>
      </c>
      <c r="BI250" s="755">
        <f t="shared" si="122"/>
        <v>0</v>
      </c>
      <c r="BJ250" s="755">
        <f t="shared" si="135"/>
        <v>0</v>
      </c>
      <c r="BK250" s="333">
        <f>IF(OR($C250&lt;&gt;"Early Retirement",$H250=""),0,IF(AND($G250&lt;&gt;"Air Cooled Chiller",$G250&lt;&gt;"Water Cooled Chiller"),VLOOKUP($H250,'Early Retirement'!$CI$6:$CL$33,2,FALSE),IF($J250&lt;&gt;"Centrifugal",VLOOKUP($H250,'Early Retirement'!$CI$6:$CL$33,3,FALSE),IF($J250="Centrifugal",VLOOKUP($H250,'Early Retirement'!$CI$6:$CL$33,4,FALSE),""))))</f>
        <v>0</v>
      </c>
      <c r="BL250" s="450">
        <f t="shared" si="123"/>
        <v>0</v>
      </c>
      <c r="BM250" s="553">
        <f>IFERROR('Utility Admin'!$I$4*((1+'Utility Admin'!$G$4)/('Utility Admin'!$H$4-'Utility Admin'!$G$4))*(1-((1+'Utility Admin'!$G$4)/(1+'Utility Admin'!$H$4))^$BK250)*$BG250,0)</f>
        <v>0</v>
      </c>
      <c r="BN250" s="553">
        <f>IFERROR('Utility Admin'!$I$4*((1+'Utility Admin'!$G$4)/('Utility Admin'!$H$4-'Utility Admin'!$G$4))*(1-((1+'Utility Admin'!$G$4)/(1+'Utility Admin'!$H$4))^$BL250)*((1+'Utility Admin'!$G$4)^$BK250/(1+'Utility Admin'!$H$4)^$BK250)*$BC250,0)</f>
        <v>0</v>
      </c>
      <c r="BO250" s="553">
        <f t="shared" si="27"/>
        <v>0</v>
      </c>
      <c r="BP250" s="553">
        <f>IFERROR('Utility Admin'!$J$4*((1+'Utility Admin'!$G$4)/('Utility Admin'!$H$4-'Utility Admin'!$G$4))*(1-((1+'Utility Admin'!$G$4)/(1+'Utility Admin'!$H$4))^$BK250)*$BJ250,0)</f>
        <v>0</v>
      </c>
      <c r="BQ250" s="553">
        <f>IFERROR('Utility Admin'!$J$4*((1+'Utility Admin'!$G$4)/('Utility Admin'!$H$4-'Utility Admin'!$G$4))*(1-((1+'Utility Admin'!$G$4)/(1+'Utility Admin'!$H$4))^$BL250)*((1+'Utility Admin'!$G$4)^$BK250/(1+'Utility Admin'!$H$4)^$BK250)*$BF250,0)</f>
        <v>0</v>
      </c>
      <c r="BR250" s="553">
        <f t="shared" si="28"/>
        <v>0</v>
      </c>
      <c r="BS250" s="553">
        <f>IFERROR('Utility Admin'!$I$4*((1+'Utility Admin'!$G$4)/('Utility Admin'!$H$4-'Utility Admin'!$G$4))*(1-((1+'Utility Admin'!$G$4)/(1+'Utility Admin'!$H$4))^$AT250),0)</f>
        <v>0</v>
      </c>
      <c r="BT250" s="553">
        <f>IFERROR('Utility Admin'!$J$4*((1+'Utility Admin'!$G$4)/('Utility Admin'!$H$4-'Utility Admin'!$G$4))*(1-((1+'Utility Admin'!$G$4)/(1+'Utility Admin'!$H$4))^$AT250),0)</f>
        <v>0</v>
      </c>
      <c r="BU250" s="459">
        <f t="shared" si="136"/>
        <v>0</v>
      </c>
      <c r="BV250" s="462">
        <f t="shared" si="137"/>
        <v>0</v>
      </c>
      <c r="BW250" s="219" t="str">
        <f t="shared" si="124"/>
        <v/>
      </c>
      <c r="BX250" s="250" t="str">
        <f t="shared" si="138"/>
        <v/>
      </c>
      <c r="BY250" s="250" t="str">
        <f t="shared" si="125"/>
        <v/>
      </c>
      <c r="BZ250" s="184">
        <f t="shared" si="139"/>
        <v>0</v>
      </c>
      <c r="CA250" s="693">
        <f t="shared" si="140"/>
        <v>0</v>
      </c>
      <c r="CB250" s="836">
        <f t="shared" si="141"/>
        <v>0</v>
      </c>
      <c r="CC250" s="693">
        <f>IF(AND($C250="Early Retirement",$H250&lt;&gt;"",$R250&lt;&gt;"",$T250&lt;&gt;""),$BZ250,Baselines!$CJ243)</f>
        <v>0</v>
      </c>
      <c r="CD250" s="693">
        <f>IF(AND($C250="Early Retirement",$H250&lt;&gt;"",$R250&lt;&gt;"",$T250&lt;&gt;""),$CA250,Baselines!$CK243)</f>
        <v>0</v>
      </c>
      <c r="CE250" s="182" t="str">
        <f>Baselines!$CL243</f>
        <v>kW/ton</v>
      </c>
      <c r="CF250" s="850" t="str">
        <f t="shared" si="126"/>
        <v/>
      </c>
      <c r="CG250" s="833">
        <f>IF(AND($C250="Early Retirement",$H250&lt;&gt;"",$R250&lt;&gt;"",$T250&lt;&gt;""),$CB250,IF(AND(Baselines!$CM243=0,OR($CL250="DX HP",$CL250="PTHP")),$BB250,Baselines!$CM243))</f>
        <v>0</v>
      </c>
      <c r="CH250" s="830" t="s">
        <v>567</v>
      </c>
      <c r="CI250" s="185" t="str">
        <f>IF(OR($C250="Replace-on-Burnout",$C250="New Construction"),$CT250,IF($BW250="","",VLOOKUP($D250,'Factor Tables'!$B$165:$H$192,MATCH($BW250,'Factor Tables'!$B$164:$H$164,0),FALSE)))</f>
        <v/>
      </c>
      <c r="CJ250" s="842" t="str">
        <f>IF(OR($C250="Replace-on-Burnout",$C250="New Construction"),$CU250,IF($BW250="","",IF($BW250="DX HP",VLOOKUP($D250,'Factor Tables'!$I$165:$Q$192,MATCH("DX HP Clg",'Factor Tables'!$I$164:$Q$164,0),FALSE),IF($BW250="PTHP",VLOOKUP($D250,'Factor Tables'!$I$165:$Q$192,MATCH("PTHP Clg",'Factor Tables'!$I$164:$Q$164,0),FALSE),IF(AND($BW250&lt;&gt;"DX HP",$BW250&lt;&gt;"PTHP"),VLOOKUP($D250,'Factor Tables'!$I$165:$Q$192,MATCH($BW250,'Factor Tables'!$I$164:$Q$164,0),FALSE),"")))))</f>
        <v/>
      </c>
      <c r="CK250" s="186" t="str">
        <f>IF(OR($C250="Replace-on-Burnout",$C250="New Construction",$CL250="DX HP",$CL250="PTHP"),$CV250,IF($BW250="","",IF($BW250="DX HP",VLOOKUP($D250,'Factor Tables'!$I$165:$Q$192,MATCH("DX HP Htg",'Factor Tables'!$I$164:$Q$164,0),FALSE),IF($BW250="PTHP",VLOOKUP($D250,'Factor Tables'!$I$165:$Q$192,MATCH("PTHP Htg",'Factor Tables'!$I$164:$Q$164,0),FALSE),0))))</f>
        <v/>
      </c>
      <c r="CL250" s="187" t="str">
        <f t="shared" si="127"/>
        <v/>
      </c>
      <c r="CM250" s="251" t="str">
        <f t="shared" si="128"/>
        <v/>
      </c>
      <c r="CN250" s="184">
        <f t="shared" si="142"/>
        <v>0</v>
      </c>
      <c r="CO250" s="693">
        <f t="shared" si="143"/>
        <v>0</v>
      </c>
      <c r="CP250" s="182" t="s">
        <v>46</v>
      </c>
      <c r="CQ250" s="852" t="str">
        <f t="shared" si="144"/>
        <v/>
      </c>
      <c r="CR250" s="833">
        <f t="shared" si="145"/>
        <v>0</v>
      </c>
      <c r="CS250" s="830" t="s">
        <v>567</v>
      </c>
      <c r="CT250" s="185" t="str">
        <f>IF($CL250="","",VLOOKUP($D250,'Factor Tables'!$B$165:$H$192,MATCH($CL250,'Factor Tables'!$B$164:$H$164,0),FALSE))</f>
        <v/>
      </c>
      <c r="CU250" s="842" t="str">
        <f>IF($CL250="","",IF(AND($CL250&lt;&gt;"DX HP",$CL250&lt;&gt;"PTHP"),VLOOKUP($D250,'Factor Tables'!$I$165:$Q$192,MATCH($CL250,'Factor Tables'!$I$164:$Q$164,0),FALSE),IF($CL250="DX HP",VLOOKUP($D250,'Factor Tables'!$I$165:$Q$192,MATCH("DX HP Clg",'Factor Tables'!$I$164:$Q$164,0),FALSE),IF($CL250="PTHP",VLOOKUP($D250,'Factor Tables'!$I$165:$Q$192,MATCH("PTHP Clg",'Factor Tables'!$I$164:$Q$164,0),FALSE),""))))</f>
        <v/>
      </c>
      <c r="CV250" s="186" t="str">
        <f>IF($CL250="","",IF(AND($CL250&lt;&gt;"DX HP",$CL250&lt;&gt;"PTHP"),0,IF($CL250="DX HP",VLOOKUP($D250,'Factor Tables'!$I$165:$Q$192,MATCH("DX HP Htg",'Factor Tables'!$I$164:$Q$164,0),FALSE),IF($CL250="PTHP",VLOOKUP($D250,'Factor Tables'!$I$165:$Q$192,MATCH("PTHP Htg",'Factor Tables'!$I$164:$Q$164,0),FALSE),""))))</f>
        <v/>
      </c>
      <c r="DD250" s="196" t="str">
        <f>IF(OR('Project Info'!$D$8="",$C90="",$D90=""),"",IF('Project Info'!$D$8="Weather Zone 5: El Paso",VLOOKUP($D90,$DI$9:$DL$37,MATCH($C90,$DI$9:$DL$9,0),FALSE),VLOOKUP($D90,$DE$9:$DH$37,MATCH($C90,$DE$9:$DH$9,0),FALSE)))</f>
        <v/>
      </c>
      <c r="DE250" s="426"/>
      <c r="DI250" s="425"/>
      <c r="DJ250" s="425"/>
      <c r="DK250" s="425"/>
      <c r="DL250" s="425"/>
      <c r="DM250" s="493" t="s">
        <v>478</v>
      </c>
    </row>
    <row r="251" spans="2:117" s="427" customFormat="1" ht="21.95" customHeight="1" x14ac:dyDescent="0.25">
      <c r="B251" s="432">
        <v>242</v>
      </c>
      <c r="C251" s="499" t="str">
        <f t="shared" si="129"/>
        <v/>
      </c>
      <c r="D251" s="403" t="str">
        <f t="shared" si="130"/>
        <v/>
      </c>
      <c r="E251" s="541"/>
      <c r="F251" s="785"/>
      <c r="G251" s="728"/>
      <c r="H251" s="728"/>
      <c r="I251" s="728"/>
      <c r="J251" s="728"/>
      <c r="K251" s="728"/>
      <c r="L251" s="728"/>
      <c r="M251" s="764"/>
      <c r="N251" s="728"/>
      <c r="O251" s="764"/>
      <c r="P251" s="728"/>
      <c r="Q251" s="1142"/>
      <c r="R251" s="1133"/>
      <c r="S251" s="778"/>
      <c r="T251" s="767"/>
      <c r="U251" s="778"/>
      <c r="V251" s="751"/>
      <c r="W251" s="556"/>
      <c r="X251" s="785"/>
      <c r="Y251" s="542"/>
      <c r="Z251" s="500"/>
      <c r="AA251" s="500"/>
      <c r="AB251" s="500"/>
      <c r="AC251" s="500"/>
      <c r="AD251" s="529"/>
      <c r="AE251" s="527">
        <f t="shared" si="39"/>
        <v>0</v>
      </c>
      <c r="AF251" s="527">
        <f t="shared" si="131"/>
        <v>0</v>
      </c>
      <c r="AG251" s="527">
        <f t="shared" si="111"/>
        <v>0</v>
      </c>
      <c r="AH251" s="527">
        <f t="shared" si="112"/>
        <v>0</v>
      </c>
      <c r="AI251" s="527">
        <f t="shared" si="113"/>
        <v>0</v>
      </c>
      <c r="AJ251" s="527">
        <f t="shared" si="114"/>
        <v>999999999</v>
      </c>
      <c r="AK251" s="530"/>
      <c r="AL251" s="776"/>
      <c r="AM251" s="777"/>
      <c r="AN251" s="500"/>
      <c r="AO251" s="778"/>
      <c r="AP251" s="778"/>
      <c r="AQ251" s="500"/>
      <c r="AR251" s="531"/>
      <c r="AS251" s="403"/>
      <c r="AT251" s="524" t="str">
        <f t="shared" si="115"/>
        <v/>
      </c>
      <c r="AU251" s="311">
        <f t="shared" si="116"/>
        <v>0</v>
      </c>
      <c r="AV251" s="288">
        <f t="shared" si="132"/>
        <v>0</v>
      </c>
      <c r="AW251" s="290">
        <f>IF(ISERROR($AU251*'Utility Admin'!$E$4+$AV251*'Utility Admin'!$F$4),0,$AU251*'Utility Admin'!$E$4+$AV251*'Utility Admin'!$F$4)</f>
        <v>0</v>
      </c>
      <c r="AX251" s="323" t="str">
        <f t="shared" si="117"/>
        <v/>
      </c>
      <c r="AY251" s="322" t="str">
        <f t="shared" si="23"/>
        <v/>
      </c>
      <c r="AZ251" s="319">
        <f>Baselines!$CJ495</f>
        <v>0</v>
      </c>
      <c r="BA251" s="735">
        <f>Baselines!$CK495</f>
        <v>0</v>
      </c>
      <c r="BB251" s="839">
        <f>Baselines!$CM495</f>
        <v>0</v>
      </c>
      <c r="BC251" s="466">
        <f t="shared" si="118"/>
        <v>0</v>
      </c>
      <c r="BD251" s="464">
        <f t="shared" si="133"/>
        <v>0</v>
      </c>
      <c r="BE251" s="755">
        <f t="shared" si="119"/>
        <v>0</v>
      </c>
      <c r="BF251" s="755">
        <f t="shared" si="134"/>
        <v>0</v>
      </c>
      <c r="BG251" s="466">
        <f t="shared" si="120"/>
        <v>0</v>
      </c>
      <c r="BH251" s="464">
        <f t="shared" si="121"/>
        <v>0</v>
      </c>
      <c r="BI251" s="755">
        <f t="shared" si="122"/>
        <v>0</v>
      </c>
      <c r="BJ251" s="755">
        <f t="shared" si="135"/>
        <v>0</v>
      </c>
      <c r="BK251" s="333">
        <f>IF(OR($C251&lt;&gt;"Early Retirement",$H251=""),0,IF(AND($G251&lt;&gt;"Air Cooled Chiller",$G251&lt;&gt;"Water Cooled Chiller"),VLOOKUP($H251,'Early Retirement'!$CI$6:$CL$33,2,FALSE),IF($J251&lt;&gt;"Centrifugal",VLOOKUP($H251,'Early Retirement'!$CI$6:$CL$33,3,FALSE),IF($J251="Centrifugal",VLOOKUP($H251,'Early Retirement'!$CI$6:$CL$33,4,FALSE),""))))</f>
        <v>0</v>
      </c>
      <c r="BL251" s="450">
        <f t="shared" si="123"/>
        <v>0</v>
      </c>
      <c r="BM251" s="553">
        <f>IFERROR('Utility Admin'!$I$4*((1+'Utility Admin'!$G$4)/('Utility Admin'!$H$4-'Utility Admin'!$G$4))*(1-((1+'Utility Admin'!$G$4)/(1+'Utility Admin'!$H$4))^$BK251)*$BG251,0)</f>
        <v>0</v>
      </c>
      <c r="BN251" s="553">
        <f>IFERROR('Utility Admin'!$I$4*((1+'Utility Admin'!$G$4)/('Utility Admin'!$H$4-'Utility Admin'!$G$4))*(1-((1+'Utility Admin'!$G$4)/(1+'Utility Admin'!$H$4))^$BL251)*((1+'Utility Admin'!$G$4)^$BK251/(1+'Utility Admin'!$H$4)^$BK251)*$BC251,0)</f>
        <v>0</v>
      </c>
      <c r="BO251" s="553">
        <f t="shared" si="27"/>
        <v>0</v>
      </c>
      <c r="BP251" s="553">
        <f>IFERROR('Utility Admin'!$J$4*((1+'Utility Admin'!$G$4)/('Utility Admin'!$H$4-'Utility Admin'!$G$4))*(1-((1+'Utility Admin'!$G$4)/(1+'Utility Admin'!$H$4))^$BK251)*$BJ251,0)</f>
        <v>0</v>
      </c>
      <c r="BQ251" s="553">
        <f>IFERROR('Utility Admin'!$J$4*((1+'Utility Admin'!$G$4)/('Utility Admin'!$H$4-'Utility Admin'!$G$4))*(1-((1+'Utility Admin'!$G$4)/(1+'Utility Admin'!$H$4))^$BL251)*((1+'Utility Admin'!$G$4)^$BK251/(1+'Utility Admin'!$H$4)^$BK251)*$BF251,0)</f>
        <v>0</v>
      </c>
      <c r="BR251" s="553">
        <f t="shared" si="28"/>
        <v>0</v>
      </c>
      <c r="BS251" s="553">
        <f>IFERROR('Utility Admin'!$I$4*((1+'Utility Admin'!$G$4)/('Utility Admin'!$H$4-'Utility Admin'!$G$4))*(1-((1+'Utility Admin'!$G$4)/(1+'Utility Admin'!$H$4))^$AT251),0)</f>
        <v>0</v>
      </c>
      <c r="BT251" s="553">
        <f>IFERROR('Utility Admin'!$J$4*((1+'Utility Admin'!$G$4)/('Utility Admin'!$H$4-'Utility Admin'!$G$4))*(1-((1+'Utility Admin'!$G$4)/(1+'Utility Admin'!$H$4))^$AT251),0)</f>
        <v>0</v>
      </c>
      <c r="BU251" s="459">
        <f t="shared" si="136"/>
        <v>0</v>
      </c>
      <c r="BV251" s="462">
        <f t="shared" si="137"/>
        <v>0</v>
      </c>
      <c r="BW251" s="219" t="str">
        <f t="shared" si="124"/>
        <v/>
      </c>
      <c r="BX251" s="250" t="str">
        <f t="shared" si="138"/>
        <v/>
      </c>
      <c r="BY251" s="250" t="str">
        <f t="shared" si="125"/>
        <v/>
      </c>
      <c r="BZ251" s="184">
        <f t="shared" si="139"/>
        <v>0</v>
      </c>
      <c r="CA251" s="693">
        <f t="shared" si="140"/>
        <v>0</v>
      </c>
      <c r="CB251" s="836">
        <f t="shared" si="141"/>
        <v>0</v>
      </c>
      <c r="CC251" s="693">
        <f>IF(AND($C251="Early Retirement",$H251&lt;&gt;"",$R251&lt;&gt;"",$T251&lt;&gt;""),$BZ251,Baselines!$CJ244)</f>
        <v>0</v>
      </c>
      <c r="CD251" s="693">
        <f>IF(AND($C251="Early Retirement",$H251&lt;&gt;"",$R251&lt;&gt;"",$T251&lt;&gt;""),$CA251,Baselines!$CK244)</f>
        <v>0</v>
      </c>
      <c r="CE251" s="182" t="str">
        <f>Baselines!$CL244</f>
        <v>kW/ton</v>
      </c>
      <c r="CF251" s="850" t="str">
        <f t="shared" si="126"/>
        <v/>
      </c>
      <c r="CG251" s="833">
        <f>IF(AND($C251="Early Retirement",$H251&lt;&gt;"",$R251&lt;&gt;"",$T251&lt;&gt;""),$CB251,IF(AND(Baselines!$CM244=0,OR($CL251="DX HP",$CL251="PTHP")),$BB251,Baselines!$CM244))</f>
        <v>0</v>
      </c>
      <c r="CH251" s="830" t="s">
        <v>567</v>
      </c>
      <c r="CI251" s="185" t="str">
        <f>IF(OR($C251="Replace-on-Burnout",$C251="New Construction"),$CT251,IF($BW251="","",VLOOKUP($D251,'Factor Tables'!$B$165:$H$192,MATCH($BW251,'Factor Tables'!$B$164:$H$164,0),FALSE)))</f>
        <v/>
      </c>
      <c r="CJ251" s="842" t="str">
        <f>IF(OR($C251="Replace-on-Burnout",$C251="New Construction"),$CU251,IF($BW251="","",IF($BW251="DX HP",VLOOKUP($D251,'Factor Tables'!$I$165:$Q$192,MATCH("DX HP Clg",'Factor Tables'!$I$164:$Q$164,0),FALSE),IF($BW251="PTHP",VLOOKUP($D251,'Factor Tables'!$I$165:$Q$192,MATCH("PTHP Clg",'Factor Tables'!$I$164:$Q$164,0),FALSE),IF(AND($BW251&lt;&gt;"DX HP",$BW251&lt;&gt;"PTHP"),VLOOKUP($D251,'Factor Tables'!$I$165:$Q$192,MATCH($BW251,'Factor Tables'!$I$164:$Q$164,0),FALSE),"")))))</f>
        <v/>
      </c>
      <c r="CK251" s="186" t="str">
        <f>IF(OR($C251="Replace-on-Burnout",$C251="New Construction",$CL251="DX HP",$CL251="PTHP"),$CV251,IF($BW251="","",IF($BW251="DX HP",VLOOKUP($D251,'Factor Tables'!$I$165:$Q$192,MATCH("DX HP Htg",'Factor Tables'!$I$164:$Q$164,0),FALSE),IF($BW251="PTHP",VLOOKUP($D251,'Factor Tables'!$I$165:$Q$192,MATCH("PTHP Htg",'Factor Tables'!$I$164:$Q$164,0),FALSE),0))))</f>
        <v/>
      </c>
      <c r="CL251" s="187" t="str">
        <f t="shared" si="127"/>
        <v/>
      </c>
      <c r="CM251" s="251" t="str">
        <f t="shared" si="128"/>
        <v/>
      </c>
      <c r="CN251" s="184">
        <f t="shared" si="142"/>
        <v>0</v>
      </c>
      <c r="CO251" s="693">
        <f t="shared" si="143"/>
        <v>0</v>
      </c>
      <c r="CP251" s="182" t="s">
        <v>46</v>
      </c>
      <c r="CQ251" s="852" t="str">
        <f t="shared" si="144"/>
        <v/>
      </c>
      <c r="CR251" s="833">
        <f t="shared" si="145"/>
        <v>0</v>
      </c>
      <c r="CS251" s="830" t="s">
        <v>567</v>
      </c>
      <c r="CT251" s="185" t="str">
        <f>IF($CL251="","",VLOOKUP($D251,'Factor Tables'!$B$165:$H$192,MATCH($CL251,'Factor Tables'!$B$164:$H$164,0),FALSE))</f>
        <v/>
      </c>
      <c r="CU251" s="842" t="str">
        <f>IF($CL251="","",IF(AND($CL251&lt;&gt;"DX HP",$CL251&lt;&gt;"PTHP"),VLOOKUP($D251,'Factor Tables'!$I$165:$Q$192,MATCH($CL251,'Factor Tables'!$I$164:$Q$164,0),FALSE),IF($CL251="DX HP",VLOOKUP($D251,'Factor Tables'!$I$165:$Q$192,MATCH("DX HP Clg",'Factor Tables'!$I$164:$Q$164,0),FALSE),IF($CL251="PTHP",VLOOKUP($D251,'Factor Tables'!$I$165:$Q$192,MATCH("PTHP Clg",'Factor Tables'!$I$164:$Q$164,0),FALSE),""))))</f>
        <v/>
      </c>
      <c r="CV251" s="186" t="str">
        <f>IF($CL251="","",IF(AND($CL251&lt;&gt;"DX HP",$CL251&lt;&gt;"PTHP"),0,IF($CL251="DX HP",VLOOKUP($D251,'Factor Tables'!$I$165:$Q$192,MATCH("DX HP Htg",'Factor Tables'!$I$164:$Q$164,0),FALSE),IF($CL251="PTHP",VLOOKUP($D251,'Factor Tables'!$I$165:$Q$192,MATCH("PTHP Htg",'Factor Tables'!$I$164:$Q$164,0),FALSE),""))))</f>
        <v/>
      </c>
      <c r="DD251" s="196" t="str">
        <f>IF(OR('Project Info'!$D$8="",$C91="",$D91=""),"",IF('Project Info'!$D$8="Weather Zone 5: El Paso",VLOOKUP($D91,$DI$9:$DL$37,MATCH($C91,$DI$9:$DL$9,0),FALSE),VLOOKUP($D91,$DE$9:$DH$37,MATCH($C91,$DE$9:$DH$9,0),FALSE)))</f>
        <v/>
      </c>
      <c r="DE251" s="426"/>
      <c r="DI251" s="425"/>
      <c r="DJ251" s="425"/>
      <c r="DK251" s="425"/>
      <c r="DL251" s="425"/>
      <c r="DM251" s="493" t="s">
        <v>478</v>
      </c>
    </row>
    <row r="252" spans="2:117" s="427" customFormat="1" ht="21.95" customHeight="1" x14ac:dyDescent="0.25">
      <c r="B252" s="431">
        <v>243</v>
      </c>
      <c r="C252" s="501" t="str">
        <f t="shared" si="129"/>
        <v/>
      </c>
      <c r="D252" s="502" t="str">
        <f t="shared" si="130"/>
        <v/>
      </c>
      <c r="E252" s="546"/>
      <c r="F252" s="547"/>
      <c r="G252" s="729"/>
      <c r="H252" s="729"/>
      <c r="I252" s="729"/>
      <c r="J252" s="729"/>
      <c r="K252" s="729"/>
      <c r="L252" s="729"/>
      <c r="M252" s="765"/>
      <c r="N252" s="758"/>
      <c r="O252" s="765"/>
      <c r="P252" s="758"/>
      <c r="Q252" s="1143"/>
      <c r="R252" s="1134"/>
      <c r="S252" s="775"/>
      <c r="T252" s="729"/>
      <c r="U252" s="775"/>
      <c r="V252" s="779"/>
      <c r="W252" s="557"/>
      <c r="X252" s="788"/>
      <c r="Y252" s="543"/>
      <c r="Z252" s="281"/>
      <c r="AA252" s="281"/>
      <c r="AB252" s="281"/>
      <c r="AC252" s="281"/>
      <c r="AD252" s="492"/>
      <c r="AE252" s="527">
        <f t="shared" si="39"/>
        <v>0</v>
      </c>
      <c r="AF252" s="527">
        <f t="shared" si="131"/>
        <v>0</v>
      </c>
      <c r="AG252" s="527">
        <f t="shared" si="111"/>
        <v>0</v>
      </c>
      <c r="AH252" s="527">
        <f t="shared" si="112"/>
        <v>0</v>
      </c>
      <c r="AI252" s="527">
        <f t="shared" si="113"/>
        <v>0</v>
      </c>
      <c r="AJ252" s="527">
        <f t="shared" si="114"/>
        <v>999999999</v>
      </c>
      <c r="AK252" s="471"/>
      <c r="AL252" s="765"/>
      <c r="AM252" s="758"/>
      <c r="AN252" s="281"/>
      <c r="AO252" s="775"/>
      <c r="AP252" s="775"/>
      <c r="AQ252" s="281"/>
      <c r="AR252" s="528"/>
      <c r="AS252" s="532"/>
      <c r="AT252" s="524" t="str">
        <f t="shared" si="115"/>
        <v/>
      </c>
      <c r="AU252" s="311">
        <f t="shared" si="116"/>
        <v>0</v>
      </c>
      <c r="AV252" s="288">
        <f t="shared" si="132"/>
        <v>0</v>
      </c>
      <c r="AW252" s="290">
        <f>IF(ISERROR($AU252*'Utility Admin'!$E$4+$AV252*'Utility Admin'!$F$4),0,$AU252*'Utility Admin'!$E$4+$AV252*'Utility Admin'!$F$4)</f>
        <v>0</v>
      </c>
      <c r="AX252" s="323" t="str">
        <f t="shared" si="117"/>
        <v/>
      </c>
      <c r="AY252" s="322" t="str">
        <f t="shared" si="23"/>
        <v/>
      </c>
      <c r="AZ252" s="319">
        <f>Baselines!$CJ496</f>
        <v>0</v>
      </c>
      <c r="BA252" s="735">
        <f>Baselines!$CK496</f>
        <v>0</v>
      </c>
      <c r="BB252" s="839">
        <f>Baselines!$CM496</f>
        <v>0</v>
      </c>
      <c r="BC252" s="466">
        <f t="shared" si="118"/>
        <v>0</v>
      </c>
      <c r="BD252" s="464">
        <f t="shared" si="133"/>
        <v>0</v>
      </c>
      <c r="BE252" s="755">
        <f t="shared" si="119"/>
        <v>0</v>
      </c>
      <c r="BF252" s="755">
        <f t="shared" si="134"/>
        <v>0</v>
      </c>
      <c r="BG252" s="466">
        <f t="shared" si="120"/>
        <v>0</v>
      </c>
      <c r="BH252" s="464">
        <f t="shared" si="121"/>
        <v>0</v>
      </c>
      <c r="BI252" s="755">
        <f t="shared" si="122"/>
        <v>0</v>
      </c>
      <c r="BJ252" s="755">
        <f t="shared" si="135"/>
        <v>0</v>
      </c>
      <c r="BK252" s="333">
        <f>IF(OR($C252&lt;&gt;"Early Retirement",$H252=""),0,IF(AND($G252&lt;&gt;"Air Cooled Chiller",$G252&lt;&gt;"Water Cooled Chiller"),VLOOKUP($H252,'Early Retirement'!$CI$6:$CL$33,2,FALSE),IF($J252&lt;&gt;"Centrifugal",VLOOKUP($H252,'Early Retirement'!$CI$6:$CL$33,3,FALSE),IF($J252="Centrifugal",VLOOKUP($H252,'Early Retirement'!$CI$6:$CL$33,4,FALSE),""))))</f>
        <v>0</v>
      </c>
      <c r="BL252" s="450">
        <f t="shared" si="123"/>
        <v>0</v>
      </c>
      <c r="BM252" s="553">
        <f>IFERROR('Utility Admin'!$I$4*((1+'Utility Admin'!$G$4)/('Utility Admin'!$H$4-'Utility Admin'!$G$4))*(1-((1+'Utility Admin'!$G$4)/(1+'Utility Admin'!$H$4))^$BK252)*$BG252,0)</f>
        <v>0</v>
      </c>
      <c r="BN252" s="553">
        <f>IFERROR('Utility Admin'!$I$4*((1+'Utility Admin'!$G$4)/('Utility Admin'!$H$4-'Utility Admin'!$G$4))*(1-((1+'Utility Admin'!$G$4)/(1+'Utility Admin'!$H$4))^$BL252)*((1+'Utility Admin'!$G$4)^$BK252/(1+'Utility Admin'!$H$4)^$BK252)*$BC252,0)</f>
        <v>0</v>
      </c>
      <c r="BO252" s="553">
        <f t="shared" si="27"/>
        <v>0</v>
      </c>
      <c r="BP252" s="553">
        <f>IFERROR('Utility Admin'!$J$4*((1+'Utility Admin'!$G$4)/('Utility Admin'!$H$4-'Utility Admin'!$G$4))*(1-((1+'Utility Admin'!$G$4)/(1+'Utility Admin'!$H$4))^$BK252)*$BJ252,0)</f>
        <v>0</v>
      </c>
      <c r="BQ252" s="553">
        <f>IFERROR('Utility Admin'!$J$4*((1+'Utility Admin'!$G$4)/('Utility Admin'!$H$4-'Utility Admin'!$G$4))*(1-((1+'Utility Admin'!$G$4)/(1+'Utility Admin'!$H$4))^$BL252)*((1+'Utility Admin'!$G$4)^$BK252/(1+'Utility Admin'!$H$4)^$BK252)*$BF252,0)</f>
        <v>0</v>
      </c>
      <c r="BR252" s="553">
        <f t="shared" si="28"/>
        <v>0</v>
      </c>
      <c r="BS252" s="553">
        <f>IFERROR('Utility Admin'!$I$4*((1+'Utility Admin'!$G$4)/('Utility Admin'!$H$4-'Utility Admin'!$G$4))*(1-((1+'Utility Admin'!$G$4)/(1+'Utility Admin'!$H$4))^$AT252),0)</f>
        <v>0</v>
      </c>
      <c r="BT252" s="553">
        <f>IFERROR('Utility Admin'!$J$4*((1+'Utility Admin'!$G$4)/('Utility Admin'!$H$4-'Utility Admin'!$G$4))*(1-((1+'Utility Admin'!$G$4)/(1+'Utility Admin'!$H$4))^$AT252),0)</f>
        <v>0</v>
      </c>
      <c r="BU252" s="459">
        <f t="shared" si="136"/>
        <v>0</v>
      </c>
      <c r="BV252" s="462">
        <f t="shared" si="137"/>
        <v>0</v>
      </c>
      <c r="BW252" s="219" t="str">
        <f t="shared" si="124"/>
        <v/>
      </c>
      <c r="BX252" s="250" t="str">
        <f t="shared" si="138"/>
        <v/>
      </c>
      <c r="BY252" s="250" t="str">
        <f t="shared" si="125"/>
        <v/>
      </c>
      <c r="BZ252" s="184">
        <f t="shared" si="139"/>
        <v>0</v>
      </c>
      <c r="CA252" s="693">
        <f t="shared" si="140"/>
        <v>0</v>
      </c>
      <c r="CB252" s="836">
        <f t="shared" si="141"/>
        <v>0</v>
      </c>
      <c r="CC252" s="693">
        <f>IF(AND($C252="Early Retirement",$H252&lt;&gt;"",$R252&lt;&gt;"",$T252&lt;&gt;""),$BZ252,Baselines!$CJ245)</f>
        <v>0</v>
      </c>
      <c r="CD252" s="693">
        <f>IF(AND($C252="Early Retirement",$H252&lt;&gt;"",$R252&lt;&gt;"",$T252&lt;&gt;""),$CA252,Baselines!$CK245)</f>
        <v>0</v>
      </c>
      <c r="CE252" s="182" t="str">
        <f>Baselines!$CL245</f>
        <v>kW/ton</v>
      </c>
      <c r="CF252" s="850" t="str">
        <f t="shared" si="126"/>
        <v/>
      </c>
      <c r="CG252" s="833">
        <f>IF(AND($C252="Early Retirement",$H252&lt;&gt;"",$R252&lt;&gt;"",$T252&lt;&gt;""),$CB252,IF(AND(Baselines!$CM245=0,OR($CL252="DX HP",$CL252="PTHP")),$BB252,Baselines!$CM245))</f>
        <v>0</v>
      </c>
      <c r="CH252" s="830" t="s">
        <v>567</v>
      </c>
      <c r="CI252" s="185" t="str">
        <f>IF(OR($C252="Replace-on-Burnout",$C252="New Construction"),$CT252,IF($BW252="","",VLOOKUP($D252,'Factor Tables'!$B$165:$H$192,MATCH($BW252,'Factor Tables'!$B$164:$H$164,0),FALSE)))</f>
        <v/>
      </c>
      <c r="CJ252" s="842" t="str">
        <f>IF(OR($C252="Replace-on-Burnout",$C252="New Construction"),$CU252,IF($BW252="","",IF($BW252="DX HP",VLOOKUP($D252,'Factor Tables'!$I$165:$Q$192,MATCH("DX HP Clg",'Factor Tables'!$I$164:$Q$164,0),FALSE),IF($BW252="PTHP",VLOOKUP($D252,'Factor Tables'!$I$165:$Q$192,MATCH("PTHP Clg",'Factor Tables'!$I$164:$Q$164,0),FALSE),IF(AND($BW252&lt;&gt;"DX HP",$BW252&lt;&gt;"PTHP"),VLOOKUP($D252,'Factor Tables'!$I$165:$Q$192,MATCH($BW252,'Factor Tables'!$I$164:$Q$164,0),FALSE),"")))))</f>
        <v/>
      </c>
      <c r="CK252" s="186" t="str">
        <f>IF(OR($C252="Replace-on-Burnout",$C252="New Construction",$CL252="DX HP",$CL252="PTHP"),$CV252,IF($BW252="","",IF($BW252="DX HP",VLOOKUP($D252,'Factor Tables'!$I$165:$Q$192,MATCH("DX HP Htg",'Factor Tables'!$I$164:$Q$164,0),FALSE),IF($BW252="PTHP",VLOOKUP($D252,'Factor Tables'!$I$165:$Q$192,MATCH("PTHP Htg",'Factor Tables'!$I$164:$Q$164,0),FALSE),0))))</f>
        <v/>
      </c>
      <c r="CL252" s="187" t="str">
        <f t="shared" si="127"/>
        <v/>
      </c>
      <c r="CM252" s="251" t="str">
        <f t="shared" si="128"/>
        <v/>
      </c>
      <c r="CN252" s="184">
        <f t="shared" si="142"/>
        <v>0</v>
      </c>
      <c r="CO252" s="693">
        <f t="shared" si="143"/>
        <v>0</v>
      </c>
      <c r="CP252" s="182" t="s">
        <v>46</v>
      </c>
      <c r="CQ252" s="852" t="str">
        <f t="shared" si="144"/>
        <v/>
      </c>
      <c r="CR252" s="833">
        <f t="shared" si="145"/>
        <v>0</v>
      </c>
      <c r="CS252" s="830" t="s">
        <v>567</v>
      </c>
      <c r="CT252" s="185" t="str">
        <f>IF($CL252="","",VLOOKUP($D252,'Factor Tables'!$B$165:$H$192,MATCH($CL252,'Factor Tables'!$B$164:$H$164,0),FALSE))</f>
        <v/>
      </c>
      <c r="CU252" s="842" t="str">
        <f>IF($CL252="","",IF(AND($CL252&lt;&gt;"DX HP",$CL252&lt;&gt;"PTHP"),VLOOKUP($D252,'Factor Tables'!$I$165:$Q$192,MATCH($CL252,'Factor Tables'!$I$164:$Q$164,0),FALSE),IF($CL252="DX HP",VLOOKUP($D252,'Factor Tables'!$I$165:$Q$192,MATCH("DX HP Clg",'Factor Tables'!$I$164:$Q$164,0),FALSE),IF($CL252="PTHP",VLOOKUP($D252,'Factor Tables'!$I$165:$Q$192,MATCH("PTHP Clg",'Factor Tables'!$I$164:$Q$164,0),FALSE),""))))</f>
        <v/>
      </c>
      <c r="CV252" s="186" t="str">
        <f>IF($CL252="","",IF(AND($CL252&lt;&gt;"DX HP",$CL252&lt;&gt;"PTHP"),0,IF($CL252="DX HP",VLOOKUP($D252,'Factor Tables'!$I$165:$Q$192,MATCH("DX HP Htg",'Factor Tables'!$I$164:$Q$164,0),FALSE),IF($CL252="PTHP",VLOOKUP($D252,'Factor Tables'!$I$165:$Q$192,MATCH("PTHP Htg",'Factor Tables'!$I$164:$Q$164,0),FALSE),""))))</f>
        <v/>
      </c>
      <c r="DD252" s="196" t="str">
        <f>IF(OR('Project Info'!$D$8="",$C92="",$D92=""),"",IF('Project Info'!$D$8="Weather Zone 5: El Paso",VLOOKUP($D92,$DI$9:$DL$37,MATCH($C92,$DI$9:$DL$9,0),FALSE),VLOOKUP($D92,$DE$9:$DH$37,MATCH($C92,$DE$9:$DH$9,0),FALSE)))</f>
        <v/>
      </c>
      <c r="DE252" s="426"/>
      <c r="DI252" s="425"/>
      <c r="DJ252" s="425"/>
      <c r="DK252" s="425"/>
      <c r="DL252" s="425"/>
      <c r="DM252" s="493" t="s">
        <v>478</v>
      </c>
    </row>
    <row r="253" spans="2:117" s="427" customFormat="1" ht="21.95" customHeight="1" x14ac:dyDescent="0.25">
      <c r="B253" s="432">
        <v>244</v>
      </c>
      <c r="C253" s="499" t="str">
        <f t="shared" si="129"/>
        <v/>
      </c>
      <c r="D253" s="403" t="str">
        <f t="shared" si="130"/>
        <v/>
      </c>
      <c r="E253" s="541"/>
      <c r="F253" s="785"/>
      <c r="G253" s="728"/>
      <c r="H253" s="728"/>
      <c r="I253" s="728"/>
      <c r="J253" s="728"/>
      <c r="K253" s="728"/>
      <c r="L253" s="728"/>
      <c r="M253" s="764"/>
      <c r="N253" s="728"/>
      <c r="O253" s="764"/>
      <c r="P253" s="728"/>
      <c r="Q253" s="1142"/>
      <c r="R253" s="1133"/>
      <c r="S253" s="778"/>
      <c r="T253" s="767"/>
      <c r="U253" s="778"/>
      <c r="V253" s="751"/>
      <c r="W253" s="556"/>
      <c r="X253" s="785"/>
      <c r="Y253" s="542"/>
      <c r="Z253" s="500"/>
      <c r="AA253" s="500"/>
      <c r="AB253" s="500"/>
      <c r="AC253" s="500"/>
      <c r="AD253" s="529"/>
      <c r="AE253" s="527">
        <f t="shared" si="39"/>
        <v>0</v>
      </c>
      <c r="AF253" s="527">
        <f t="shared" si="131"/>
        <v>0</v>
      </c>
      <c r="AG253" s="527">
        <f t="shared" si="111"/>
        <v>0</v>
      </c>
      <c r="AH253" s="527">
        <f t="shared" si="112"/>
        <v>0</v>
      </c>
      <c r="AI253" s="527">
        <f t="shared" si="113"/>
        <v>0</v>
      </c>
      <c r="AJ253" s="527">
        <f t="shared" si="114"/>
        <v>999999999</v>
      </c>
      <c r="AK253" s="530"/>
      <c r="AL253" s="776"/>
      <c r="AM253" s="777"/>
      <c r="AN253" s="500"/>
      <c r="AO253" s="778"/>
      <c r="AP253" s="778"/>
      <c r="AQ253" s="500"/>
      <c r="AR253" s="531"/>
      <c r="AS253" s="403"/>
      <c r="AT253" s="524" t="str">
        <f t="shared" si="115"/>
        <v/>
      </c>
      <c r="AU253" s="311">
        <f t="shared" si="116"/>
        <v>0</v>
      </c>
      <c r="AV253" s="288">
        <f t="shared" si="132"/>
        <v>0</v>
      </c>
      <c r="AW253" s="290">
        <f>IF(ISERROR($AU253*'Utility Admin'!$E$4+$AV253*'Utility Admin'!$F$4),0,$AU253*'Utility Admin'!$E$4+$AV253*'Utility Admin'!$F$4)</f>
        <v>0</v>
      </c>
      <c r="AX253" s="323" t="str">
        <f t="shared" si="117"/>
        <v/>
      </c>
      <c r="AY253" s="322" t="str">
        <f t="shared" si="23"/>
        <v/>
      </c>
      <c r="AZ253" s="319">
        <f>Baselines!$CJ497</f>
        <v>0</v>
      </c>
      <c r="BA253" s="735">
        <f>Baselines!$CK497</f>
        <v>0</v>
      </c>
      <c r="BB253" s="839">
        <f>Baselines!$CM497</f>
        <v>0</v>
      </c>
      <c r="BC253" s="466">
        <f t="shared" si="118"/>
        <v>0</v>
      </c>
      <c r="BD253" s="464">
        <f t="shared" si="133"/>
        <v>0</v>
      </c>
      <c r="BE253" s="755">
        <f t="shared" si="119"/>
        <v>0</v>
      </c>
      <c r="BF253" s="755">
        <f t="shared" si="134"/>
        <v>0</v>
      </c>
      <c r="BG253" s="466">
        <f t="shared" si="120"/>
        <v>0</v>
      </c>
      <c r="BH253" s="464">
        <f t="shared" si="121"/>
        <v>0</v>
      </c>
      <c r="BI253" s="755">
        <f t="shared" si="122"/>
        <v>0</v>
      </c>
      <c r="BJ253" s="755">
        <f t="shared" si="135"/>
        <v>0</v>
      </c>
      <c r="BK253" s="333">
        <f>IF(OR($C253&lt;&gt;"Early Retirement",$H253=""),0,IF(AND($G253&lt;&gt;"Air Cooled Chiller",$G253&lt;&gt;"Water Cooled Chiller"),VLOOKUP($H253,'Early Retirement'!$CI$6:$CL$33,2,FALSE),IF($J253&lt;&gt;"Centrifugal",VLOOKUP($H253,'Early Retirement'!$CI$6:$CL$33,3,FALSE),IF($J253="Centrifugal",VLOOKUP($H253,'Early Retirement'!$CI$6:$CL$33,4,FALSE),""))))</f>
        <v>0</v>
      </c>
      <c r="BL253" s="450">
        <f t="shared" si="123"/>
        <v>0</v>
      </c>
      <c r="BM253" s="553">
        <f>IFERROR('Utility Admin'!$I$4*((1+'Utility Admin'!$G$4)/('Utility Admin'!$H$4-'Utility Admin'!$G$4))*(1-((1+'Utility Admin'!$G$4)/(1+'Utility Admin'!$H$4))^$BK253)*$BG253,0)</f>
        <v>0</v>
      </c>
      <c r="BN253" s="553">
        <f>IFERROR('Utility Admin'!$I$4*((1+'Utility Admin'!$G$4)/('Utility Admin'!$H$4-'Utility Admin'!$G$4))*(1-((1+'Utility Admin'!$G$4)/(1+'Utility Admin'!$H$4))^$BL253)*((1+'Utility Admin'!$G$4)^$BK253/(1+'Utility Admin'!$H$4)^$BK253)*$BC253,0)</f>
        <v>0</v>
      </c>
      <c r="BO253" s="553">
        <f t="shared" si="27"/>
        <v>0</v>
      </c>
      <c r="BP253" s="553">
        <f>IFERROR('Utility Admin'!$J$4*((1+'Utility Admin'!$G$4)/('Utility Admin'!$H$4-'Utility Admin'!$G$4))*(1-((1+'Utility Admin'!$G$4)/(1+'Utility Admin'!$H$4))^$BK253)*$BJ253,0)</f>
        <v>0</v>
      </c>
      <c r="BQ253" s="553">
        <f>IFERROR('Utility Admin'!$J$4*((1+'Utility Admin'!$G$4)/('Utility Admin'!$H$4-'Utility Admin'!$G$4))*(1-((1+'Utility Admin'!$G$4)/(1+'Utility Admin'!$H$4))^$BL253)*((1+'Utility Admin'!$G$4)^$BK253/(1+'Utility Admin'!$H$4)^$BK253)*$BF253,0)</f>
        <v>0</v>
      </c>
      <c r="BR253" s="553">
        <f t="shared" si="28"/>
        <v>0</v>
      </c>
      <c r="BS253" s="553">
        <f>IFERROR('Utility Admin'!$I$4*((1+'Utility Admin'!$G$4)/('Utility Admin'!$H$4-'Utility Admin'!$G$4))*(1-((1+'Utility Admin'!$G$4)/(1+'Utility Admin'!$H$4))^$AT253),0)</f>
        <v>0</v>
      </c>
      <c r="BT253" s="553">
        <f>IFERROR('Utility Admin'!$J$4*((1+'Utility Admin'!$G$4)/('Utility Admin'!$H$4-'Utility Admin'!$G$4))*(1-((1+'Utility Admin'!$G$4)/(1+'Utility Admin'!$H$4))^$AT253),0)</f>
        <v>0</v>
      </c>
      <c r="BU253" s="459">
        <f t="shared" si="136"/>
        <v>0</v>
      </c>
      <c r="BV253" s="462">
        <f t="shared" si="137"/>
        <v>0</v>
      </c>
      <c r="BW253" s="219" t="str">
        <f t="shared" si="124"/>
        <v/>
      </c>
      <c r="BX253" s="250" t="str">
        <f t="shared" si="138"/>
        <v/>
      </c>
      <c r="BY253" s="250" t="str">
        <f t="shared" si="125"/>
        <v/>
      </c>
      <c r="BZ253" s="184">
        <f t="shared" si="139"/>
        <v>0</v>
      </c>
      <c r="CA253" s="693">
        <f t="shared" si="140"/>
        <v>0</v>
      </c>
      <c r="CB253" s="836">
        <f t="shared" si="141"/>
        <v>0</v>
      </c>
      <c r="CC253" s="693">
        <f>IF(AND($C253="Early Retirement",$H253&lt;&gt;"",$R253&lt;&gt;"",$T253&lt;&gt;""),$BZ253,Baselines!$CJ246)</f>
        <v>0</v>
      </c>
      <c r="CD253" s="693">
        <f>IF(AND($C253="Early Retirement",$H253&lt;&gt;"",$R253&lt;&gt;"",$T253&lt;&gt;""),$CA253,Baselines!$CK246)</f>
        <v>0</v>
      </c>
      <c r="CE253" s="182" t="str">
        <f>Baselines!$CL246</f>
        <v>kW/ton</v>
      </c>
      <c r="CF253" s="850" t="str">
        <f t="shared" si="126"/>
        <v/>
      </c>
      <c r="CG253" s="833">
        <f>IF(AND($C253="Early Retirement",$H253&lt;&gt;"",$R253&lt;&gt;"",$T253&lt;&gt;""),$CB253,IF(AND(Baselines!$CM246=0,OR($CL253="DX HP",$CL253="PTHP")),$BB253,Baselines!$CM246))</f>
        <v>0</v>
      </c>
      <c r="CH253" s="830" t="s">
        <v>567</v>
      </c>
      <c r="CI253" s="185" t="str">
        <f>IF(OR($C253="Replace-on-Burnout",$C253="New Construction"),$CT253,IF($BW253="","",VLOOKUP($D253,'Factor Tables'!$B$165:$H$192,MATCH($BW253,'Factor Tables'!$B$164:$H$164,0),FALSE)))</f>
        <v/>
      </c>
      <c r="CJ253" s="842" t="str">
        <f>IF(OR($C253="Replace-on-Burnout",$C253="New Construction"),$CU253,IF($BW253="","",IF($BW253="DX HP",VLOOKUP($D253,'Factor Tables'!$I$165:$Q$192,MATCH("DX HP Clg",'Factor Tables'!$I$164:$Q$164,0),FALSE),IF($BW253="PTHP",VLOOKUP($D253,'Factor Tables'!$I$165:$Q$192,MATCH("PTHP Clg",'Factor Tables'!$I$164:$Q$164,0),FALSE),IF(AND($BW253&lt;&gt;"DX HP",$BW253&lt;&gt;"PTHP"),VLOOKUP($D253,'Factor Tables'!$I$165:$Q$192,MATCH($BW253,'Factor Tables'!$I$164:$Q$164,0),FALSE),"")))))</f>
        <v/>
      </c>
      <c r="CK253" s="186" t="str">
        <f>IF(OR($C253="Replace-on-Burnout",$C253="New Construction",$CL253="DX HP",$CL253="PTHP"),$CV253,IF($BW253="","",IF($BW253="DX HP",VLOOKUP($D253,'Factor Tables'!$I$165:$Q$192,MATCH("DX HP Htg",'Factor Tables'!$I$164:$Q$164,0),FALSE),IF($BW253="PTHP",VLOOKUP($D253,'Factor Tables'!$I$165:$Q$192,MATCH("PTHP Htg",'Factor Tables'!$I$164:$Q$164,0),FALSE),0))))</f>
        <v/>
      </c>
      <c r="CL253" s="187" t="str">
        <f t="shared" si="127"/>
        <v/>
      </c>
      <c r="CM253" s="251" t="str">
        <f t="shared" si="128"/>
        <v/>
      </c>
      <c r="CN253" s="184">
        <f t="shared" si="142"/>
        <v>0</v>
      </c>
      <c r="CO253" s="693">
        <f t="shared" si="143"/>
        <v>0</v>
      </c>
      <c r="CP253" s="182" t="s">
        <v>46</v>
      </c>
      <c r="CQ253" s="852" t="str">
        <f t="shared" si="144"/>
        <v/>
      </c>
      <c r="CR253" s="833">
        <f t="shared" si="145"/>
        <v>0</v>
      </c>
      <c r="CS253" s="830" t="s">
        <v>567</v>
      </c>
      <c r="CT253" s="185" t="str">
        <f>IF($CL253="","",VLOOKUP($D253,'Factor Tables'!$B$165:$H$192,MATCH($CL253,'Factor Tables'!$B$164:$H$164,0),FALSE))</f>
        <v/>
      </c>
      <c r="CU253" s="842" t="str">
        <f>IF($CL253="","",IF(AND($CL253&lt;&gt;"DX HP",$CL253&lt;&gt;"PTHP"),VLOOKUP($D253,'Factor Tables'!$I$165:$Q$192,MATCH($CL253,'Factor Tables'!$I$164:$Q$164,0),FALSE),IF($CL253="DX HP",VLOOKUP($D253,'Factor Tables'!$I$165:$Q$192,MATCH("DX HP Clg",'Factor Tables'!$I$164:$Q$164,0),FALSE),IF($CL253="PTHP",VLOOKUP($D253,'Factor Tables'!$I$165:$Q$192,MATCH("PTHP Clg",'Factor Tables'!$I$164:$Q$164,0),FALSE),""))))</f>
        <v/>
      </c>
      <c r="CV253" s="186" t="str">
        <f>IF($CL253="","",IF(AND($CL253&lt;&gt;"DX HP",$CL253&lt;&gt;"PTHP"),0,IF($CL253="DX HP",VLOOKUP($D253,'Factor Tables'!$I$165:$Q$192,MATCH("DX HP Htg",'Factor Tables'!$I$164:$Q$164,0),FALSE),IF($CL253="PTHP",VLOOKUP($D253,'Factor Tables'!$I$165:$Q$192,MATCH("PTHP Htg",'Factor Tables'!$I$164:$Q$164,0),FALSE),""))))</f>
        <v/>
      </c>
      <c r="DD253" s="196" t="str">
        <f>IF(OR('Project Info'!$D$8="",$C93="",$D93=""),"",IF('Project Info'!$D$8="Weather Zone 5: El Paso",VLOOKUP($D93,$DI$9:$DL$37,MATCH($C93,$DI$9:$DL$9,0),FALSE),VLOOKUP($D93,$DE$9:$DH$37,MATCH($C93,$DE$9:$DH$9,0),FALSE)))</f>
        <v/>
      </c>
      <c r="DE253" s="426"/>
      <c r="DI253" s="425"/>
      <c r="DJ253" s="425"/>
      <c r="DK253" s="425"/>
      <c r="DL253" s="425"/>
      <c r="DM253" s="493" t="s">
        <v>478</v>
      </c>
    </row>
    <row r="254" spans="2:117" s="427" customFormat="1" ht="21.95" customHeight="1" x14ac:dyDescent="0.25">
      <c r="B254" s="431">
        <v>245</v>
      </c>
      <c r="C254" s="501" t="str">
        <f t="shared" si="129"/>
        <v/>
      </c>
      <c r="D254" s="502" t="str">
        <f t="shared" si="130"/>
        <v/>
      </c>
      <c r="E254" s="546"/>
      <c r="F254" s="547"/>
      <c r="G254" s="729"/>
      <c r="H254" s="729"/>
      <c r="I254" s="729"/>
      <c r="J254" s="729"/>
      <c r="K254" s="729"/>
      <c r="L254" s="729"/>
      <c r="M254" s="765"/>
      <c r="N254" s="758"/>
      <c r="O254" s="765"/>
      <c r="P254" s="758"/>
      <c r="Q254" s="1143"/>
      <c r="R254" s="1134"/>
      <c r="S254" s="775"/>
      <c r="T254" s="729"/>
      <c r="U254" s="775"/>
      <c r="V254" s="779"/>
      <c r="W254" s="557"/>
      <c r="X254" s="788"/>
      <c r="Y254" s="543"/>
      <c r="Z254" s="281"/>
      <c r="AA254" s="281"/>
      <c r="AB254" s="281"/>
      <c r="AC254" s="281"/>
      <c r="AD254" s="492"/>
      <c r="AE254" s="527">
        <f t="shared" si="39"/>
        <v>0</v>
      </c>
      <c r="AF254" s="527">
        <f t="shared" si="131"/>
        <v>0</v>
      </c>
      <c r="AG254" s="527">
        <f t="shared" si="111"/>
        <v>0</v>
      </c>
      <c r="AH254" s="527">
        <f t="shared" si="112"/>
        <v>0</v>
      </c>
      <c r="AI254" s="527">
        <f t="shared" si="113"/>
        <v>0</v>
      </c>
      <c r="AJ254" s="527">
        <f t="shared" si="114"/>
        <v>999999999</v>
      </c>
      <c r="AK254" s="471"/>
      <c r="AL254" s="765"/>
      <c r="AM254" s="758"/>
      <c r="AN254" s="281"/>
      <c r="AO254" s="775"/>
      <c r="AP254" s="775"/>
      <c r="AQ254" s="281"/>
      <c r="AR254" s="528"/>
      <c r="AS254" s="532"/>
      <c r="AT254" s="524" t="str">
        <f t="shared" si="115"/>
        <v/>
      </c>
      <c r="AU254" s="311">
        <f t="shared" si="116"/>
        <v>0</v>
      </c>
      <c r="AV254" s="288">
        <f t="shared" si="132"/>
        <v>0</v>
      </c>
      <c r="AW254" s="290">
        <f>IF(ISERROR($AU254*'Utility Admin'!$E$4+$AV254*'Utility Admin'!$F$4),0,$AU254*'Utility Admin'!$E$4+$AV254*'Utility Admin'!$F$4)</f>
        <v>0</v>
      </c>
      <c r="AX254" s="323" t="str">
        <f t="shared" si="117"/>
        <v/>
      </c>
      <c r="AY254" s="322" t="str">
        <f t="shared" si="23"/>
        <v/>
      </c>
      <c r="AZ254" s="319">
        <f>Baselines!$CJ498</f>
        <v>0</v>
      </c>
      <c r="BA254" s="735">
        <f>Baselines!$CK498</f>
        <v>0</v>
      </c>
      <c r="BB254" s="839">
        <f>Baselines!$CM498</f>
        <v>0</v>
      </c>
      <c r="BC254" s="466">
        <f t="shared" si="118"/>
        <v>0</v>
      </c>
      <c r="BD254" s="464">
        <f t="shared" si="133"/>
        <v>0</v>
      </c>
      <c r="BE254" s="755">
        <f t="shared" si="119"/>
        <v>0</v>
      </c>
      <c r="BF254" s="755">
        <f t="shared" si="134"/>
        <v>0</v>
      </c>
      <c r="BG254" s="466">
        <f t="shared" si="120"/>
        <v>0</v>
      </c>
      <c r="BH254" s="464">
        <f t="shared" si="121"/>
        <v>0</v>
      </c>
      <c r="BI254" s="755">
        <f t="shared" si="122"/>
        <v>0</v>
      </c>
      <c r="BJ254" s="755">
        <f t="shared" si="135"/>
        <v>0</v>
      </c>
      <c r="BK254" s="333">
        <f>IF(OR($C254&lt;&gt;"Early Retirement",$H254=""),0,IF(AND($G254&lt;&gt;"Air Cooled Chiller",$G254&lt;&gt;"Water Cooled Chiller"),VLOOKUP($H254,'Early Retirement'!$CI$6:$CL$33,2,FALSE),IF($J254&lt;&gt;"Centrifugal",VLOOKUP($H254,'Early Retirement'!$CI$6:$CL$33,3,FALSE),IF($J254="Centrifugal",VLOOKUP($H254,'Early Retirement'!$CI$6:$CL$33,4,FALSE),""))))</f>
        <v>0</v>
      </c>
      <c r="BL254" s="450">
        <f t="shared" si="123"/>
        <v>0</v>
      </c>
      <c r="BM254" s="553">
        <f>IFERROR('Utility Admin'!$I$4*((1+'Utility Admin'!$G$4)/('Utility Admin'!$H$4-'Utility Admin'!$G$4))*(1-((1+'Utility Admin'!$G$4)/(1+'Utility Admin'!$H$4))^$BK254)*$BG254,0)</f>
        <v>0</v>
      </c>
      <c r="BN254" s="553">
        <f>IFERROR('Utility Admin'!$I$4*((1+'Utility Admin'!$G$4)/('Utility Admin'!$H$4-'Utility Admin'!$G$4))*(1-((1+'Utility Admin'!$G$4)/(1+'Utility Admin'!$H$4))^$BL254)*((1+'Utility Admin'!$G$4)^$BK254/(1+'Utility Admin'!$H$4)^$BK254)*$BC254,0)</f>
        <v>0</v>
      </c>
      <c r="BO254" s="553">
        <f t="shared" si="27"/>
        <v>0</v>
      </c>
      <c r="BP254" s="553">
        <f>IFERROR('Utility Admin'!$J$4*((1+'Utility Admin'!$G$4)/('Utility Admin'!$H$4-'Utility Admin'!$G$4))*(1-((1+'Utility Admin'!$G$4)/(1+'Utility Admin'!$H$4))^$BK254)*$BJ254,0)</f>
        <v>0</v>
      </c>
      <c r="BQ254" s="553">
        <f>IFERROR('Utility Admin'!$J$4*((1+'Utility Admin'!$G$4)/('Utility Admin'!$H$4-'Utility Admin'!$G$4))*(1-((1+'Utility Admin'!$G$4)/(1+'Utility Admin'!$H$4))^$BL254)*((1+'Utility Admin'!$G$4)^$BK254/(1+'Utility Admin'!$H$4)^$BK254)*$BF254,0)</f>
        <v>0</v>
      </c>
      <c r="BR254" s="553">
        <f t="shared" si="28"/>
        <v>0</v>
      </c>
      <c r="BS254" s="553">
        <f>IFERROR('Utility Admin'!$I$4*((1+'Utility Admin'!$G$4)/('Utility Admin'!$H$4-'Utility Admin'!$G$4))*(1-((1+'Utility Admin'!$G$4)/(1+'Utility Admin'!$H$4))^$AT254),0)</f>
        <v>0</v>
      </c>
      <c r="BT254" s="553">
        <f>IFERROR('Utility Admin'!$J$4*((1+'Utility Admin'!$G$4)/('Utility Admin'!$H$4-'Utility Admin'!$G$4))*(1-((1+'Utility Admin'!$G$4)/(1+'Utility Admin'!$H$4))^$AT254),0)</f>
        <v>0</v>
      </c>
      <c r="BU254" s="459">
        <f t="shared" si="136"/>
        <v>0</v>
      </c>
      <c r="BV254" s="462">
        <f t="shared" si="137"/>
        <v>0</v>
      </c>
      <c r="BW254" s="219" t="str">
        <f t="shared" si="124"/>
        <v/>
      </c>
      <c r="BX254" s="250" t="str">
        <f t="shared" si="138"/>
        <v/>
      </c>
      <c r="BY254" s="250" t="str">
        <f t="shared" si="125"/>
        <v/>
      </c>
      <c r="BZ254" s="184">
        <f t="shared" si="139"/>
        <v>0</v>
      </c>
      <c r="CA254" s="693">
        <f t="shared" si="140"/>
        <v>0</v>
      </c>
      <c r="CB254" s="836">
        <f t="shared" si="141"/>
        <v>0</v>
      </c>
      <c r="CC254" s="693">
        <f>IF(AND($C254="Early Retirement",$H254&lt;&gt;"",$R254&lt;&gt;"",$T254&lt;&gt;""),$BZ254,Baselines!$CJ247)</f>
        <v>0</v>
      </c>
      <c r="CD254" s="693">
        <f>IF(AND($C254="Early Retirement",$H254&lt;&gt;"",$R254&lt;&gt;"",$T254&lt;&gt;""),$CA254,Baselines!$CK247)</f>
        <v>0</v>
      </c>
      <c r="CE254" s="182" t="str">
        <f>Baselines!$CL247</f>
        <v>kW/ton</v>
      </c>
      <c r="CF254" s="850" t="str">
        <f t="shared" si="126"/>
        <v/>
      </c>
      <c r="CG254" s="833">
        <f>IF(AND($C254="Early Retirement",$H254&lt;&gt;"",$R254&lt;&gt;"",$T254&lt;&gt;""),$CB254,IF(AND(Baselines!$CM247=0,OR($CL254="DX HP",$CL254="PTHP")),$BB254,Baselines!$CM247))</f>
        <v>0</v>
      </c>
      <c r="CH254" s="830" t="s">
        <v>567</v>
      </c>
      <c r="CI254" s="185" t="str">
        <f>IF(OR($C254="Replace-on-Burnout",$C254="New Construction"),$CT254,IF($BW254="","",VLOOKUP($D254,'Factor Tables'!$B$165:$H$192,MATCH($BW254,'Factor Tables'!$B$164:$H$164,0),FALSE)))</f>
        <v/>
      </c>
      <c r="CJ254" s="842" t="str">
        <f>IF(OR($C254="Replace-on-Burnout",$C254="New Construction"),$CU254,IF($BW254="","",IF($BW254="DX HP",VLOOKUP($D254,'Factor Tables'!$I$165:$Q$192,MATCH("DX HP Clg",'Factor Tables'!$I$164:$Q$164,0),FALSE),IF($BW254="PTHP",VLOOKUP($D254,'Factor Tables'!$I$165:$Q$192,MATCH("PTHP Clg",'Factor Tables'!$I$164:$Q$164,0),FALSE),IF(AND($BW254&lt;&gt;"DX HP",$BW254&lt;&gt;"PTHP"),VLOOKUP($D254,'Factor Tables'!$I$165:$Q$192,MATCH($BW254,'Factor Tables'!$I$164:$Q$164,0),FALSE),"")))))</f>
        <v/>
      </c>
      <c r="CK254" s="186" t="str">
        <f>IF(OR($C254="Replace-on-Burnout",$C254="New Construction",$CL254="DX HP",$CL254="PTHP"),$CV254,IF($BW254="","",IF($BW254="DX HP",VLOOKUP($D254,'Factor Tables'!$I$165:$Q$192,MATCH("DX HP Htg",'Factor Tables'!$I$164:$Q$164,0),FALSE),IF($BW254="PTHP",VLOOKUP($D254,'Factor Tables'!$I$165:$Q$192,MATCH("PTHP Htg",'Factor Tables'!$I$164:$Q$164,0),FALSE),0))))</f>
        <v/>
      </c>
      <c r="CL254" s="187" t="str">
        <f t="shared" si="127"/>
        <v/>
      </c>
      <c r="CM254" s="251" t="str">
        <f t="shared" si="128"/>
        <v/>
      </c>
      <c r="CN254" s="184">
        <f t="shared" si="142"/>
        <v>0</v>
      </c>
      <c r="CO254" s="693">
        <f t="shared" si="143"/>
        <v>0</v>
      </c>
      <c r="CP254" s="182" t="s">
        <v>46</v>
      </c>
      <c r="CQ254" s="852" t="str">
        <f t="shared" si="144"/>
        <v/>
      </c>
      <c r="CR254" s="833">
        <f t="shared" si="145"/>
        <v>0</v>
      </c>
      <c r="CS254" s="830" t="s">
        <v>567</v>
      </c>
      <c r="CT254" s="185" t="str">
        <f>IF($CL254="","",VLOOKUP($D254,'Factor Tables'!$B$165:$H$192,MATCH($CL254,'Factor Tables'!$B$164:$H$164,0),FALSE))</f>
        <v/>
      </c>
      <c r="CU254" s="842" t="str">
        <f>IF($CL254="","",IF(AND($CL254&lt;&gt;"DX HP",$CL254&lt;&gt;"PTHP"),VLOOKUP($D254,'Factor Tables'!$I$165:$Q$192,MATCH($CL254,'Factor Tables'!$I$164:$Q$164,0),FALSE),IF($CL254="DX HP",VLOOKUP($D254,'Factor Tables'!$I$165:$Q$192,MATCH("DX HP Clg",'Factor Tables'!$I$164:$Q$164,0),FALSE),IF($CL254="PTHP",VLOOKUP($D254,'Factor Tables'!$I$165:$Q$192,MATCH("PTHP Clg",'Factor Tables'!$I$164:$Q$164,0),FALSE),""))))</f>
        <v/>
      </c>
      <c r="CV254" s="186" t="str">
        <f>IF($CL254="","",IF(AND($CL254&lt;&gt;"DX HP",$CL254&lt;&gt;"PTHP"),0,IF($CL254="DX HP",VLOOKUP($D254,'Factor Tables'!$I$165:$Q$192,MATCH("DX HP Htg",'Factor Tables'!$I$164:$Q$164,0),FALSE),IF($CL254="PTHP",VLOOKUP($D254,'Factor Tables'!$I$165:$Q$192,MATCH("PTHP Htg",'Factor Tables'!$I$164:$Q$164,0),FALSE),""))))</f>
        <v/>
      </c>
      <c r="DD254" s="196" t="str">
        <f>IF(OR('Project Info'!$D$8="",$C94="",$D94=""),"",IF('Project Info'!$D$8="Weather Zone 5: El Paso",VLOOKUP($D94,$DI$9:$DL$37,MATCH($C94,$DI$9:$DL$9,0),FALSE),VLOOKUP($D94,$DE$9:$DH$37,MATCH($C94,$DE$9:$DH$9,0),FALSE)))</f>
        <v/>
      </c>
      <c r="DE254" s="426"/>
      <c r="DI254" s="425"/>
      <c r="DJ254" s="425"/>
      <c r="DK254" s="425"/>
      <c r="DL254" s="425"/>
      <c r="DM254" s="493" t="s">
        <v>478</v>
      </c>
    </row>
    <row r="255" spans="2:117" s="427" customFormat="1" ht="21.95" customHeight="1" x14ac:dyDescent="0.25">
      <c r="B255" s="432">
        <v>246</v>
      </c>
      <c r="C255" s="499" t="str">
        <f t="shared" si="129"/>
        <v/>
      </c>
      <c r="D255" s="403" t="str">
        <f t="shared" si="130"/>
        <v/>
      </c>
      <c r="E255" s="541"/>
      <c r="F255" s="785"/>
      <c r="G255" s="728"/>
      <c r="H255" s="728"/>
      <c r="I255" s="728"/>
      <c r="J255" s="728"/>
      <c r="K255" s="728"/>
      <c r="L255" s="728"/>
      <c r="M255" s="764"/>
      <c r="N255" s="728"/>
      <c r="O255" s="764"/>
      <c r="P255" s="728"/>
      <c r="Q255" s="1142"/>
      <c r="R255" s="1133"/>
      <c r="S255" s="778"/>
      <c r="T255" s="767"/>
      <c r="U255" s="778"/>
      <c r="V255" s="751"/>
      <c r="W255" s="556"/>
      <c r="X255" s="785"/>
      <c r="Y255" s="542"/>
      <c r="Z255" s="500"/>
      <c r="AA255" s="500"/>
      <c r="AB255" s="500"/>
      <c r="AC255" s="500"/>
      <c r="AD255" s="529"/>
      <c r="AE255" s="527">
        <f t="shared" si="39"/>
        <v>0</v>
      </c>
      <c r="AF255" s="527">
        <f t="shared" si="131"/>
        <v>0</v>
      </c>
      <c r="AG255" s="527">
        <f t="shared" si="111"/>
        <v>0</v>
      </c>
      <c r="AH255" s="527">
        <f t="shared" si="112"/>
        <v>0</v>
      </c>
      <c r="AI255" s="527">
        <f t="shared" si="113"/>
        <v>0</v>
      </c>
      <c r="AJ255" s="527">
        <f t="shared" si="114"/>
        <v>999999999</v>
      </c>
      <c r="AK255" s="530"/>
      <c r="AL255" s="776"/>
      <c r="AM255" s="777"/>
      <c r="AN255" s="500"/>
      <c r="AO255" s="778"/>
      <c r="AP255" s="778"/>
      <c r="AQ255" s="500"/>
      <c r="AR255" s="531"/>
      <c r="AS255" s="403"/>
      <c r="AT255" s="524" t="str">
        <f t="shared" si="115"/>
        <v/>
      </c>
      <c r="AU255" s="311">
        <f t="shared" si="116"/>
        <v>0</v>
      </c>
      <c r="AV255" s="288">
        <f t="shared" si="132"/>
        <v>0</v>
      </c>
      <c r="AW255" s="290">
        <f>IF(ISERROR($AU255*'Utility Admin'!$E$4+$AV255*'Utility Admin'!$F$4),0,$AU255*'Utility Admin'!$E$4+$AV255*'Utility Admin'!$F$4)</f>
        <v>0</v>
      </c>
      <c r="AX255" s="323" t="str">
        <f t="shared" si="117"/>
        <v/>
      </c>
      <c r="AY255" s="322" t="str">
        <f t="shared" si="23"/>
        <v/>
      </c>
      <c r="AZ255" s="319">
        <f>Baselines!$CJ499</f>
        <v>0</v>
      </c>
      <c r="BA255" s="735">
        <f>Baselines!$CK499</f>
        <v>0</v>
      </c>
      <c r="BB255" s="839">
        <f>Baselines!$CM499</f>
        <v>0</v>
      </c>
      <c r="BC255" s="466">
        <f t="shared" si="118"/>
        <v>0</v>
      </c>
      <c r="BD255" s="464">
        <f t="shared" si="133"/>
        <v>0</v>
      </c>
      <c r="BE255" s="755">
        <f t="shared" si="119"/>
        <v>0</v>
      </c>
      <c r="BF255" s="755">
        <f t="shared" si="134"/>
        <v>0</v>
      </c>
      <c r="BG255" s="466">
        <f t="shared" si="120"/>
        <v>0</v>
      </c>
      <c r="BH255" s="464">
        <f t="shared" si="121"/>
        <v>0</v>
      </c>
      <c r="BI255" s="755">
        <f t="shared" si="122"/>
        <v>0</v>
      </c>
      <c r="BJ255" s="755">
        <f t="shared" si="135"/>
        <v>0</v>
      </c>
      <c r="BK255" s="333">
        <f>IF(OR($C255&lt;&gt;"Early Retirement",$H255=""),0,IF(AND($G255&lt;&gt;"Air Cooled Chiller",$G255&lt;&gt;"Water Cooled Chiller"),VLOOKUP($H255,'Early Retirement'!$CI$6:$CL$33,2,FALSE),IF($J255&lt;&gt;"Centrifugal",VLOOKUP($H255,'Early Retirement'!$CI$6:$CL$33,3,FALSE),IF($J255="Centrifugal",VLOOKUP($H255,'Early Retirement'!$CI$6:$CL$33,4,FALSE),""))))</f>
        <v>0</v>
      </c>
      <c r="BL255" s="450">
        <f t="shared" si="123"/>
        <v>0</v>
      </c>
      <c r="BM255" s="553">
        <f>IFERROR('Utility Admin'!$I$4*((1+'Utility Admin'!$G$4)/('Utility Admin'!$H$4-'Utility Admin'!$G$4))*(1-((1+'Utility Admin'!$G$4)/(1+'Utility Admin'!$H$4))^$BK255)*$BG255,0)</f>
        <v>0</v>
      </c>
      <c r="BN255" s="553">
        <f>IFERROR('Utility Admin'!$I$4*((1+'Utility Admin'!$G$4)/('Utility Admin'!$H$4-'Utility Admin'!$G$4))*(1-((1+'Utility Admin'!$G$4)/(1+'Utility Admin'!$H$4))^$BL255)*((1+'Utility Admin'!$G$4)^$BK255/(1+'Utility Admin'!$H$4)^$BK255)*$BC255,0)</f>
        <v>0</v>
      </c>
      <c r="BO255" s="553">
        <f t="shared" si="27"/>
        <v>0</v>
      </c>
      <c r="BP255" s="553">
        <f>IFERROR('Utility Admin'!$J$4*((1+'Utility Admin'!$G$4)/('Utility Admin'!$H$4-'Utility Admin'!$G$4))*(1-((1+'Utility Admin'!$G$4)/(1+'Utility Admin'!$H$4))^$BK255)*$BJ255,0)</f>
        <v>0</v>
      </c>
      <c r="BQ255" s="553">
        <f>IFERROR('Utility Admin'!$J$4*((1+'Utility Admin'!$G$4)/('Utility Admin'!$H$4-'Utility Admin'!$G$4))*(1-((1+'Utility Admin'!$G$4)/(1+'Utility Admin'!$H$4))^$BL255)*((1+'Utility Admin'!$G$4)^$BK255/(1+'Utility Admin'!$H$4)^$BK255)*$BF255,0)</f>
        <v>0</v>
      </c>
      <c r="BR255" s="553">
        <f t="shared" si="28"/>
        <v>0</v>
      </c>
      <c r="BS255" s="553">
        <f>IFERROR('Utility Admin'!$I$4*((1+'Utility Admin'!$G$4)/('Utility Admin'!$H$4-'Utility Admin'!$G$4))*(1-((1+'Utility Admin'!$G$4)/(1+'Utility Admin'!$H$4))^$AT255),0)</f>
        <v>0</v>
      </c>
      <c r="BT255" s="553">
        <f>IFERROR('Utility Admin'!$J$4*((1+'Utility Admin'!$G$4)/('Utility Admin'!$H$4-'Utility Admin'!$G$4))*(1-((1+'Utility Admin'!$G$4)/(1+'Utility Admin'!$H$4))^$AT255),0)</f>
        <v>0</v>
      </c>
      <c r="BU255" s="459">
        <f t="shared" si="136"/>
        <v>0</v>
      </c>
      <c r="BV255" s="462">
        <f t="shared" si="137"/>
        <v>0</v>
      </c>
      <c r="BW255" s="219" t="str">
        <f t="shared" si="124"/>
        <v/>
      </c>
      <c r="BX255" s="250" t="str">
        <f t="shared" si="138"/>
        <v/>
      </c>
      <c r="BY255" s="250" t="str">
        <f t="shared" si="125"/>
        <v/>
      </c>
      <c r="BZ255" s="184">
        <f t="shared" si="139"/>
        <v>0</v>
      </c>
      <c r="CA255" s="693">
        <f t="shared" si="140"/>
        <v>0</v>
      </c>
      <c r="CB255" s="836">
        <f t="shared" si="141"/>
        <v>0</v>
      </c>
      <c r="CC255" s="693">
        <f>IF(AND($C255="Early Retirement",$H255&lt;&gt;"",$R255&lt;&gt;"",$T255&lt;&gt;""),$BZ255,Baselines!$CJ248)</f>
        <v>0</v>
      </c>
      <c r="CD255" s="693">
        <f>IF(AND($C255="Early Retirement",$H255&lt;&gt;"",$R255&lt;&gt;"",$T255&lt;&gt;""),$CA255,Baselines!$CK248)</f>
        <v>0</v>
      </c>
      <c r="CE255" s="182" t="str">
        <f>Baselines!$CL248</f>
        <v>kW/ton</v>
      </c>
      <c r="CF255" s="850" t="str">
        <f t="shared" si="126"/>
        <v/>
      </c>
      <c r="CG255" s="833">
        <f>IF(AND($C255="Early Retirement",$H255&lt;&gt;"",$R255&lt;&gt;"",$T255&lt;&gt;""),$CB255,IF(AND(Baselines!$CM248=0,OR($CL255="DX HP",$CL255="PTHP")),$BB255,Baselines!$CM248))</f>
        <v>0</v>
      </c>
      <c r="CH255" s="830" t="s">
        <v>567</v>
      </c>
      <c r="CI255" s="185" t="str">
        <f>IF(OR($C255="Replace-on-Burnout",$C255="New Construction"),$CT255,IF($BW255="","",VLOOKUP($D255,'Factor Tables'!$B$165:$H$192,MATCH($BW255,'Factor Tables'!$B$164:$H$164,0),FALSE)))</f>
        <v/>
      </c>
      <c r="CJ255" s="842" t="str">
        <f>IF(OR($C255="Replace-on-Burnout",$C255="New Construction"),$CU255,IF($BW255="","",IF($BW255="DX HP",VLOOKUP($D255,'Factor Tables'!$I$165:$Q$192,MATCH("DX HP Clg",'Factor Tables'!$I$164:$Q$164,0),FALSE),IF($BW255="PTHP",VLOOKUP($D255,'Factor Tables'!$I$165:$Q$192,MATCH("PTHP Clg",'Factor Tables'!$I$164:$Q$164,0),FALSE),IF(AND($BW255&lt;&gt;"DX HP",$BW255&lt;&gt;"PTHP"),VLOOKUP($D255,'Factor Tables'!$I$165:$Q$192,MATCH($BW255,'Factor Tables'!$I$164:$Q$164,0),FALSE),"")))))</f>
        <v/>
      </c>
      <c r="CK255" s="186" t="str">
        <f>IF(OR($C255="Replace-on-Burnout",$C255="New Construction",$CL255="DX HP",$CL255="PTHP"),$CV255,IF($BW255="","",IF($BW255="DX HP",VLOOKUP($D255,'Factor Tables'!$I$165:$Q$192,MATCH("DX HP Htg",'Factor Tables'!$I$164:$Q$164,0),FALSE),IF($BW255="PTHP",VLOOKUP($D255,'Factor Tables'!$I$165:$Q$192,MATCH("PTHP Htg",'Factor Tables'!$I$164:$Q$164,0),FALSE),0))))</f>
        <v/>
      </c>
      <c r="CL255" s="187" t="str">
        <f t="shared" si="127"/>
        <v/>
      </c>
      <c r="CM255" s="251" t="str">
        <f t="shared" si="128"/>
        <v/>
      </c>
      <c r="CN255" s="184">
        <f t="shared" si="142"/>
        <v>0</v>
      </c>
      <c r="CO255" s="693">
        <f t="shared" si="143"/>
        <v>0</v>
      </c>
      <c r="CP255" s="182" t="s">
        <v>46</v>
      </c>
      <c r="CQ255" s="852" t="str">
        <f t="shared" si="144"/>
        <v/>
      </c>
      <c r="CR255" s="833">
        <f t="shared" si="145"/>
        <v>0</v>
      </c>
      <c r="CS255" s="830" t="s">
        <v>567</v>
      </c>
      <c r="CT255" s="185" t="str">
        <f>IF($CL255="","",VLOOKUP($D255,'Factor Tables'!$B$165:$H$192,MATCH($CL255,'Factor Tables'!$B$164:$H$164,0),FALSE))</f>
        <v/>
      </c>
      <c r="CU255" s="842" t="str">
        <f>IF($CL255="","",IF(AND($CL255&lt;&gt;"DX HP",$CL255&lt;&gt;"PTHP"),VLOOKUP($D255,'Factor Tables'!$I$165:$Q$192,MATCH($CL255,'Factor Tables'!$I$164:$Q$164,0),FALSE),IF($CL255="DX HP",VLOOKUP($D255,'Factor Tables'!$I$165:$Q$192,MATCH("DX HP Clg",'Factor Tables'!$I$164:$Q$164,0),FALSE),IF($CL255="PTHP",VLOOKUP($D255,'Factor Tables'!$I$165:$Q$192,MATCH("PTHP Clg",'Factor Tables'!$I$164:$Q$164,0),FALSE),""))))</f>
        <v/>
      </c>
      <c r="CV255" s="186" t="str">
        <f>IF($CL255="","",IF(AND($CL255&lt;&gt;"DX HP",$CL255&lt;&gt;"PTHP"),0,IF($CL255="DX HP",VLOOKUP($D255,'Factor Tables'!$I$165:$Q$192,MATCH("DX HP Htg",'Factor Tables'!$I$164:$Q$164,0),FALSE),IF($CL255="PTHP",VLOOKUP($D255,'Factor Tables'!$I$165:$Q$192,MATCH("PTHP Htg",'Factor Tables'!$I$164:$Q$164,0),FALSE),""))))</f>
        <v/>
      </c>
      <c r="DD255" s="196" t="str">
        <f>IF(OR('Project Info'!$D$8="",$C95="",$D95=""),"",IF('Project Info'!$D$8="Weather Zone 5: El Paso",VLOOKUP($D95,$DI$9:$DL$37,MATCH($C95,$DI$9:$DL$9,0),FALSE),VLOOKUP($D95,$DE$9:$DH$37,MATCH($C95,$DE$9:$DH$9,0),FALSE)))</f>
        <v/>
      </c>
      <c r="DE255" s="426"/>
      <c r="DI255" s="425"/>
      <c r="DJ255" s="425"/>
      <c r="DK255" s="425"/>
      <c r="DL255" s="425"/>
      <c r="DM255" s="493" t="s">
        <v>478</v>
      </c>
    </row>
    <row r="256" spans="2:117" s="427" customFormat="1" ht="21.95" customHeight="1" x14ac:dyDescent="0.25">
      <c r="B256" s="431">
        <v>247</v>
      </c>
      <c r="C256" s="501" t="str">
        <f t="shared" si="129"/>
        <v/>
      </c>
      <c r="D256" s="502" t="str">
        <f t="shared" si="130"/>
        <v/>
      </c>
      <c r="E256" s="546"/>
      <c r="F256" s="547"/>
      <c r="G256" s="729"/>
      <c r="H256" s="729"/>
      <c r="I256" s="729"/>
      <c r="J256" s="729"/>
      <c r="K256" s="729"/>
      <c r="L256" s="729"/>
      <c r="M256" s="765"/>
      <c r="N256" s="758"/>
      <c r="O256" s="765"/>
      <c r="P256" s="758"/>
      <c r="Q256" s="1143"/>
      <c r="R256" s="1134"/>
      <c r="S256" s="775"/>
      <c r="T256" s="729"/>
      <c r="U256" s="775"/>
      <c r="V256" s="779"/>
      <c r="W256" s="557"/>
      <c r="X256" s="788"/>
      <c r="Y256" s="543"/>
      <c r="Z256" s="281"/>
      <c r="AA256" s="281"/>
      <c r="AB256" s="281"/>
      <c r="AC256" s="281"/>
      <c r="AD256" s="492"/>
      <c r="AE256" s="527">
        <f t="shared" si="39"/>
        <v>0</v>
      </c>
      <c r="AF256" s="527">
        <f t="shared" si="131"/>
        <v>0</v>
      </c>
      <c r="AG256" s="527">
        <f t="shared" si="111"/>
        <v>0</v>
      </c>
      <c r="AH256" s="527">
        <f t="shared" si="112"/>
        <v>0</v>
      </c>
      <c r="AI256" s="527">
        <f t="shared" si="113"/>
        <v>0</v>
      </c>
      <c r="AJ256" s="527">
        <f t="shared" si="114"/>
        <v>999999999</v>
      </c>
      <c r="AK256" s="471"/>
      <c r="AL256" s="765"/>
      <c r="AM256" s="758"/>
      <c r="AN256" s="281"/>
      <c r="AO256" s="775"/>
      <c r="AP256" s="775"/>
      <c r="AQ256" s="281"/>
      <c r="AR256" s="528"/>
      <c r="AS256" s="532"/>
      <c r="AT256" s="524" t="str">
        <f t="shared" si="115"/>
        <v/>
      </c>
      <c r="AU256" s="311">
        <f t="shared" si="116"/>
        <v>0</v>
      </c>
      <c r="AV256" s="288">
        <f t="shared" si="132"/>
        <v>0</v>
      </c>
      <c r="AW256" s="290">
        <f>IF(ISERROR($AU256*'Utility Admin'!$E$4+$AV256*'Utility Admin'!$F$4),0,$AU256*'Utility Admin'!$E$4+$AV256*'Utility Admin'!$F$4)</f>
        <v>0</v>
      </c>
      <c r="AX256" s="323" t="str">
        <f t="shared" si="117"/>
        <v/>
      </c>
      <c r="AY256" s="322" t="str">
        <f t="shared" si="23"/>
        <v/>
      </c>
      <c r="AZ256" s="319">
        <f>Baselines!$CJ500</f>
        <v>0</v>
      </c>
      <c r="BA256" s="735">
        <f>Baselines!$CK500</f>
        <v>0</v>
      </c>
      <c r="BB256" s="839">
        <f>Baselines!$CM500</f>
        <v>0</v>
      </c>
      <c r="BC256" s="466">
        <f t="shared" si="118"/>
        <v>0</v>
      </c>
      <c r="BD256" s="464">
        <f t="shared" si="133"/>
        <v>0</v>
      </c>
      <c r="BE256" s="755">
        <f t="shared" si="119"/>
        <v>0</v>
      </c>
      <c r="BF256" s="755">
        <f t="shared" si="134"/>
        <v>0</v>
      </c>
      <c r="BG256" s="466">
        <f t="shared" si="120"/>
        <v>0</v>
      </c>
      <c r="BH256" s="464">
        <f t="shared" si="121"/>
        <v>0</v>
      </c>
      <c r="BI256" s="755">
        <f t="shared" si="122"/>
        <v>0</v>
      </c>
      <c r="BJ256" s="755">
        <f t="shared" si="135"/>
        <v>0</v>
      </c>
      <c r="BK256" s="333">
        <f>IF(OR($C256&lt;&gt;"Early Retirement",$H256=""),0,IF(AND($G256&lt;&gt;"Air Cooled Chiller",$G256&lt;&gt;"Water Cooled Chiller"),VLOOKUP($H256,'Early Retirement'!$CI$6:$CL$33,2,FALSE),IF($J256&lt;&gt;"Centrifugal",VLOOKUP($H256,'Early Retirement'!$CI$6:$CL$33,3,FALSE),IF($J256="Centrifugal",VLOOKUP($H256,'Early Retirement'!$CI$6:$CL$33,4,FALSE),""))))</f>
        <v>0</v>
      </c>
      <c r="BL256" s="450">
        <f t="shared" si="123"/>
        <v>0</v>
      </c>
      <c r="BM256" s="553">
        <f>IFERROR('Utility Admin'!$I$4*((1+'Utility Admin'!$G$4)/('Utility Admin'!$H$4-'Utility Admin'!$G$4))*(1-((1+'Utility Admin'!$G$4)/(1+'Utility Admin'!$H$4))^$BK256)*$BG256,0)</f>
        <v>0</v>
      </c>
      <c r="BN256" s="553">
        <f>IFERROR('Utility Admin'!$I$4*((1+'Utility Admin'!$G$4)/('Utility Admin'!$H$4-'Utility Admin'!$G$4))*(1-((1+'Utility Admin'!$G$4)/(1+'Utility Admin'!$H$4))^$BL256)*((1+'Utility Admin'!$G$4)^$BK256/(1+'Utility Admin'!$H$4)^$BK256)*$BC256,0)</f>
        <v>0</v>
      </c>
      <c r="BO256" s="553">
        <f t="shared" si="27"/>
        <v>0</v>
      </c>
      <c r="BP256" s="553">
        <f>IFERROR('Utility Admin'!$J$4*((1+'Utility Admin'!$G$4)/('Utility Admin'!$H$4-'Utility Admin'!$G$4))*(1-((1+'Utility Admin'!$G$4)/(1+'Utility Admin'!$H$4))^$BK256)*$BJ256,0)</f>
        <v>0</v>
      </c>
      <c r="BQ256" s="553">
        <f>IFERROR('Utility Admin'!$J$4*((1+'Utility Admin'!$G$4)/('Utility Admin'!$H$4-'Utility Admin'!$G$4))*(1-((1+'Utility Admin'!$G$4)/(1+'Utility Admin'!$H$4))^$BL256)*((1+'Utility Admin'!$G$4)^$BK256/(1+'Utility Admin'!$H$4)^$BK256)*$BF256,0)</f>
        <v>0</v>
      </c>
      <c r="BR256" s="553">
        <f t="shared" si="28"/>
        <v>0</v>
      </c>
      <c r="BS256" s="553">
        <f>IFERROR('Utility Admin'!$I$4*((1+'Utility Admin'!$G$4)/('Utility Admin'!$H$4-'Utility Admin'!$G$4))*(1-((1+'Utility Admin'!$G$4)/(1+'Utility Admin'!$H$4))^$AT256),0)</f>
        <v>0</v>
      </c>
      <c r="BT256" s="553">
        <f>IFERROR('Utility Admin'!$J$4*((1+'Utility Admin'!$G$4)/('Utility Admin'!$H$4-'Utility Admin'!$G$4))*(1-((1+'Utility Admin'!$G$4)/(1+'Utility Admin'!$H$4))^$AT256),0)</f>
        <v>0</v>
      </c>
      <c r="BU256" s="459">
        <f t="shared" si="136"/>
        <v>0</v>
      </c>
      <c r="BV256" s="462">
        <f t="shared" si="137"/>
        <v>0</v>
      </c>
      <c r="BW256" s="219" t="str">
        <f t="shared" si="124"/>
        <v/>
      </c>
      <c r="BX256" s="250" t="str">
        <f t="shared" si="138"/>
        <v/>
      </c>
      <c r="BY256" s="250" t="str">
        <f t="shared" si="125"/>
        <v/>
      </c>
      <c r="BZ256" s="184">
        <f t="shared" si="139"/>
        <v>0</v>
      </c>
      <c r="CA256" s="693">
        <f t="shared" si="140"/>
        <v>0</v>
      </c>
      <c r="CB256" s="836">
        <f t="shared" si="141"/>
        <v>0</v>
      </c>
      <c r="CC256" s="693">
        <f>IF(AND($C256="Early Retirement",$H256&lt;&gt;"",$R256&lt;&gt;"",$T256&lt;&gt;""),$BZ256,Baselines!$CJ249)</f>
        <v>0</v>
      </c>
      <c r="CD256" s="693">
        <f>IF(AND($C256="Early Retirement",$H256&lt;&gt;"",$R256&lt;&gt;"",$T256&lt;&gt;""),$CA256,Baselines!$CK249)</f>
        <v>0</v>
      </c>
      <c r="CE256" s="182" t="str">
        <f>Baselines!$CL249</f>
        <v>kW/ton</v>
      </c>
      <c r="CF256" s="850" t="str">
        <f t="shared" si="126"/>
        <v/>
      </c>
      <c r="CG256" s="833">
        <f>IF(AND($C256="Early Retirement",$H256&lt;&gt;"",$R256&lt;&gt;"",$T256&lt;&gt;""),$CB256,IF(AND(Baselines!$CM249=0,OR($CL256="DX HP",$CL256="PTHP")),$BB256,Baselines!$CM249))</f>
        <v>0</v>
      </c>
      <c r="CH256" s="830" t="s">
        <v>567</v>
      </c>
      <c r="CI256" s="185" t="str">
        <f>IF(OR($C256="Replace-on-Burnout",$C256="New Construction"),$CT256,IF($BW256="","",VLOOKUP($D256,'Factor Tables'!$B$165:$H$192,MATCH($BW256,'Factor Tables'!$B$164:$H$164,0),FALSE)))</f>
        <v/>
      </c>
      <c r="CJ256" s="842" t="str">
        <f>IF(OR($C256="Replace-on-Burnout",$C256="New Construction"),$CU256,IF($BW256="","",IF($BW256="DX HP",VLOOKUP($D256,'Factor Tables'!$I$165:$Q$192,MATCH("DX HP Clg",'Factor Tables'!$I$164:$Q$164,0),FALSE),IF($BW256="PTHP",VLOOKUP($D256,'Factor Tables'!$I$165:$Q$192,MATCH("PTHP Clg",'Factor Tables'!$I$164:$Q$164,0),FALSE),IF(AND($BW256&lt;&gt;"DX HP",$BW256&lt;&gt;"PTHP"),VLOOKUP($D256,'Factor Tables'!$I$165:$Q$192,MATCH($BW256,'Factor Tables'!$I$164:$Q$164,0),FALSE),"")))))</f>
        <v/>
      </c>
      <c r="CK256" s="186" t="str">
        <f>IF(OR($C256="Replace-on-Burnout",$C256="New Construction",$CL256="DX HP",$CL256="PTHP"),$CV256,IF($BW256="","",IF($BW256="DX HP",VLOOKUP($D256,'Factor Tables'!$I$165:$Q$192,MATCH("DX HP Htg",'Factor Tables'!$I$164:$Q$164,0),FALSE),IF($BW256="PTHP",VLOOKUP($D256,'Factor Tables'!$I$165:$Q$192,MATCH("PTHP Htg",'Factor Tables'!$I$164:$Q$164,0),FALSE),0))))</f>
        <v/>
      </c>
      <c r="CL256" s="187" t="str">
        <f t="shared" si="127"/>
        <v/>
      </c>
      <c r="CM256" s="251" t="str">
        <f t="shared" si="128"/>
        <v/>
      </c>
      <c r="CN256" s="184">
        <f t="shared" si="142"/>
        <v>0</v>
      </c>
      <c r="CO256" s="693">
        <f t="shared" si="143"/>
        <v>0</v>
      </c>
      <c r="CP256" s="182" t="s">
        <v>46</v>
      </c>
      <c r="CQ256" s="852" t="str">
        <f t="shared" si="144"/>
        <v/>
      </c>
      <c r="CR256" s="833">
        <f t="shared" si="145"/>
        <v>0</v>
      </c>
      <c r="CS256" s="830" t="s">
        <v>567</v>
      </c>
      <c r="CT256" s="185" t="str">
        <f>IF($CL256="","",VLOOKUP($D256,'Factor Tables'!$B$165:$H$192,MATCH($CL256,'Factor Tables'!$B$164:$H$164,0),FALSE))</f>
        <v/>
      </c>
      <c r="CU256" s="842" t="str">
        <f>IF($CL256="","",IF(AND($CL256&lt;&gt;"DX HP",$CL256&lt;&gt;"PTHP"),VLOOKUP($D256,'Factor Tables'!$I$165:$Q$192,MATCH($CL256,'Factor Tables'!$I$164:$Q$164,0),FALSE),IF($CL256="DX HP",VLOOKUP($D256,'Factor Tables'!$I$165:$Q$192,MATCH("DX HP Clg",'Factor Tables'!$I$164:$Q$164,0),FALSE),IF($CL256="PTHP",VLOOKUP($D256,'Factor Tables'!$I$165:$Q$192,MATCH("PTHP Clg",'Factor Tables'!$I$164:$Q$164,0),FALSE),""))))</f>
        <v/>
      </c>
      <c r="CV256" s="186" t="str">
        <f>IF($CL256="","",IF(AND($CL256&lt;&gt;"DX HP",$CL256&lt;&gt;"PTHP"),0,IF($CL256="DX HP",VLOOKUP($D256,'Factor Tables'!$I$165:$Q$192,MATCH("DX HP Htg",'Factor Tables'!$I$164:$Q$164,0),FALSE),IF($CL256="PTHP",VLOOKUP($D256,'Factor Tables'!$I$165:$Q$192,MATCH("PTHP Htg",'Factor Tables'!$I$164:$Q$164,0),FALSE),""))))</f>
        <v/>
      </c>
      <c r="DD256" s="196" t="str">
        <f>IF(OR('Project Info'!$D$8="",$C96="",$D96=""),"",IF('Project Info'!$D$8="Weather Zone 5: El Paso",VLOOKUP($D96,$DI$9:$DL$37,MATCH($C96,$DI$9:$DL$9,0),FALSE),VLOOKUP($D96,$DE$9:$DH$37,MATCH($C96,$DE$9:$DH$9,0),FALSE)))</f>
        <v/>
      </c>
      <c r="DE256" s="426"/>
      <c r="DI256" s="425"/>
      <c r="DJ256" s="425"/>
      <c r="DK256" s="425"/>
      <c r="DL256" s="425"/>
      <c r="DM256" s="493" t="s">
        <v>478</v>
      </c>
    </row>
    <row r="257" spans="2:117" s="427" customFormat="1" ht="21.95" customHeight="1" x14ac:dyDescent="0.25">
      <c r="B257" s="432">
        <v>248</v>
      </c>
      <c r="C257" s="499" t="str">
        <f t="shared" si="129"/>
        <v/>
      </c>
      <c r="D257" s="403" t="str">
        <f t="shared" si="130"/>
        <v/>
      </c>
      <c r="E257" s="541"/>
      <c r="F257" s="785"/>
      <c r="G257" s="728"/>
      <c r="H257" s="728"/>
      <c r="I257" s="728"/>
      <c r="J257" s="728"/>
      <c r="K257" s="728"/>
      <c r="L257" s="728"/>
      <c r="M257" s="764"/>
      <c r="N257" s="728"/>
      <c r="O257" s="764"/>
      <c r="P257" s="728"/>
      <c r="Q257" s="1142"/>
      <c r="R257" s="1133"/>
      <c r="S257" s="778"/>
      <c r="T257" s="767"/>
      <c r="U257" s="778"/>
      <c r="V257" s="751"/>
      <c r="W257" s="556"/>
      <c r="X257" s="785"/>
      <c r="Y257" s="542"/>
      <c r="Z257" s="500"/>
      <c r="AA257" s="500"/>
      <c r="AB257" s="500"/>
      <c r="AC257" s="500"/>
      <c r="AD257" s="529"/>
      <c r="AE257" s="527">
        <f t="shared" si="39"/>
        <v>0</v>
      </c>
      <c r="AF257" s="527">
        <f t="shared" si="131"/>
        <v>0</v>
      </c>
      <c r="AG257" s="527">
        <f t="shared" si="111"/>
        <v>0</v>
      </c>
      <c r="AH257" s="527">
        <f t="shared" si="112"/>
        <v>0</v>
      </c>
      <c r="AI257" s="527">
        <f t="shared" si="113"/>
        <v>0</v>
      </c>
      <c r="AJ257" s="527">
        <f t="shared" si="114"/>
        <v>999999999</v>
      </c>
      <c r="AK257" s="530"/>
      <c r="AL257" s="776"/>
      <c r="AM257" s="777"/>
      <c r="AN257" s="500"/>
      <c r="AO257" s="778"/>
      <c r="AP257" s="778"/>
      <c r="AQ257" s="500"/>
      <c r="AR257" s="531"/>
      <c r="AS257" s="403"/>
      <c r="AT257" s="524" t="str">
        <f t="shared" si="115"/>
        <v/>
      </c>
      <c r="AU257" s="311">
        <f t="shared" si="116"/>
        <v>0</v>
      </c>
      <c r="AV257" s="288">
        <f t="shared" si="132"/>
        <v>0</v>
      </c>
      <c r="AW257" s="290">
        <f>IF(ISERROR($AU257*'Utility Admin'!$E$4+$AV257*'Utility Admin'!$F$4),0,$AU257*'Utility Admin'!$E$4+$AV257*'Utility Admin'!$F$4)</f>
        <v>0</v>
      </c>
      <c r="AX257" s="323" t="str">
        <f t="shared" si="117"/>
        <v/>
      </c>
      <c r="AY257" s="322" t="str">
        <f t="shared" si="23"/>
        <v/>
      </c>
      <c r="AZ257" s="319">
        <f>Baselines!$CJ501</f>
        <v>0</v>
      </c>
      <c r="BA257" s="735">
        <f>Baselines!$CK501</f>
        <v>0</v>
      </c>
      <c r="BB257" s="839">
        <f>Baselines!$CM501</f>
        <v>0</v>
      </c>
      <c r="BC257" s="466">
        <f t="shared" si="118"/>
        <v>0</v>
      </c>
      <c r="BD257" s="464">
        <f t="shared" si="133"/>
        <v>0</v>
      </c>
      <c r="BE257" s="755">
        <f t="shared" si="119"/>
        <v>0</v>
      </c>
      <c r="BF257" s="755">
        <f t="shared" si="134"/>
        <v>0</v>
      </c>
      <c r="BG257" s="466">
        <f t="shared" si="120"/>
        <v>0</v>
      </c>
      <c r="BH257" s="464">
        <f t="shared" si="121"/>
        <v>0</v>
      </c>
      <c r="BI257" s="755">
        <f t="shared" si="122"/>
        <v>0</v>
      </c>
      <c r="BJ257" s="755">
        <f t="shared" si="135"/>
        <v>0</v>
      </c>
      <c r="BK257" s="333">
        <f>IF(OR($C257&lt;&gt;"Early Retirement",$H257=""),0,IF(AND($G257&lt;&gt;"Air Cooled Chiller",$G257&lt;&gt;"Water Cooled Chiller"),VLOOKUP($H257,'Early Retirement'!$CI$6:$CL$33,2,FALSE),IF($J257&lt;&gt;"Centrifugal",VLOOKUP($H257,'Early Retirement'!$CI$6:$CL$33,3,FALSE),IF($J257="Centrifugal",VLOOKUP($H257,'Early Retirement'!$CI$6:$CL$33,4,FALSE),""))))</f>
        <v>0</v>
      </c>
      <c r="BL257" s="450">
        <f t="shared" si="123"/>
        <v>0</v>
      </c>
      <c r="BM257" s="553">
        <f>IFERROR('Utility Admin'!$I$4*((1+'Utility Admin'!$G$4)/('Utility Admin'!$H$4-'Utility Admin'!$G$4))*(1-((1+'Utility Admin'!$G$4)/(1+'Utility Admin'!$H$4))^$BK257)*$BG257,0)</f>
        <v>0</v>
      </c>
      <c r="BN257" s="553">
        <f>IFERROR('Utility Admin'!$I$4*((1+'Utility Admin'!$G$4)/('Utility Admin'!$H$4-'Utility Admin'!$G$4))*(1-((1+'Utility Admin'!$G$4)/(1+'Utility Admin'!$H$4))^$BL257)*((1+'Utility Admin'!$G$4)^$BK257/(1+'Utility Admin'!$H$4)^$BK257)*$BC257,0)</f>
        <v>0</v>
      </c>
      <c r="BO257" s="553">
        <f t="shared" si="27"/>
        <v>0</v>
      </c>
      <c r="BP257" s="553">
        <f>IFERROR('Utility Admin'!$J$4*((1+'Utility Admin'!$G$4)/('Utility Admin'!$H$4-'Utility Admin'!$G$4))*(1-((1+'Utility Admin'!$G$4)/(1+'Utility Admin'!$H$4))^$BK257)*$BJ257,0)</f>
        <v>0</v>
      </c>
      <c r="BQ257" s="553">
        <f>IFERROR('Utility Admin'!$J$4*((1+'Utility Admin'!$G$4)/('Utility Admin'!$H$4-'Utility Admin'!$G$4))*(1-((1+'Utility Admin'!$G$4)/(1+'Utility Admin'!$H$4))^$BL257)*((1+'Utility Admin'!$G$4)^$BK257/(1+'Utility Admin'!$H$4)^$BK257)*$BF257,0)</f>
        <v>0</v>
      </c>
      <c r="BR257" s="553">
        <f t="shared" si="28"/>
        <v>0</v>
      </c>
      <c r="BS257" s="553">
        <f>IFERROR('Utility Admin'!$I$4*((1+'Utility Admin'!$G$4)/('Utility Admin'!$H$4-'Utility Admin'!$G$4))*(1-((1+'Utility Admin'!$G$4)/(1+'Utility Admin'!$H$4))^$AT257),0)</f>
        <v>0</v>
      </c>
      <c r="BT257" s="553">
        <f>IFERROR('Utility Admin'!$J$4*((1+'Utility Admin'!$G$4)/('Utility Admin'!$H$4-'Utility Admin'!$G$4))*(1-((1+'Utility Admin'!$G$4)/(1+'Utility Admin'!$H$4))^$AT257),0)</f>
        <v>0</v>
      </c>
      <c r="BU257" s="459">
        <f t="shared" si="136"/>
        <v>0</v>
      </c>
      <c r="BV257" s="462">
        <f t="shared" si="137"/>
        <v>0</v>
      </c>
      <c r="BW257" s="219" t="str">
        <f t="shared" si="124"/>
        <v/>
      </c>
      <c r="BX257" s="250" t="str">
        <f t="shared" si="138"/>
        <v/>
      </c>
      <c r="BY257" s="250" t="str">
        <f t="shared" si="125"/>
        <v/>
      </c>
      <c r="BZ257" s="184">
        <f t="shared" si="139"/>
        <v>0</v>
      </c>
      <c r="CA257" s="693">
        <f t="shared" si="140"/>
        <v>0</v>
      </c>
      <c r="CB257" s="836">
        <f t="shared" si="141"/>
        <v>0</v>
      </c>
      <c r="CC257" s="693">
        <f>IF(AND($C257="Early Retirement",$H257&lt;&gt;"",$R257&lt;&gt;"",$T257&lt;&gt;""),$BZ257,Baselines!$CJ250)</f>
        <v>0</v>
      </c>
      <c r="CD257" s="693">
        <f>IF(AND($C257="Early Retirement",$H257&lt;&gt;"",$R257&lt;&gt;"",$T257&lt;&gt;""),$CA257,Baselines!$CK250)</f>
        <v>0</v>
      </c>
      <c r="CE257" s="182" t="str">
        <f>Baselines!$CL250</f>
        <v>kW/ton</v>
      </c>
      <c r="CF257" s="850" t="str">
        <f t="shared" si="126"/>
        <v/>
      </c>
      <c r="CG257" s="833">
        <f>IF(AND($C257="Early Retirement",$H257&lt;&gt;"",$R257&lt;&gt;"",$T257&lt;&gt;""),$CB257,IF(AND(Baselines!$CM250=0,OR($CL257="DX HP",$CL257="PTHP")),$BB257,Baselines!$CM250))</f>
        <v>0</v>
      </c>
      <c r="CH257" s="830" t="s">
        <v>567</v>
      </c>
      <c r="CI257" s="185" t="str">
        <f>IF(OR($C257="Replace-on-Burnout",$C257="New Construction"),$CT257,IF($BW257="","",VLOOKUP($D257,'Factor Tables'!$B$165:$H$192,MATCH($BW257,'Factor Tables'!$B$164:$H$164,0),FALSE)))</f>
        <v/>
      </c>
      <c r="CJ257" s="842" t="str">
        <f>IF(OR($C257="Replace-on-Burnout",$C257="New Construction"),$CU257,IF($BW257="","",IF($BW257="DX HP",VLOOKUP($D257,'Factor Tables'!$I$165:$Q$192,MATCH("DX HP Clg",'Factor Tables'!$I$164:$Q$164,0),FALSE),IF($BW257="PTHP",VLOOKUP($D257,'Factor Tables'!$I$165:$Q$192,MATCH("PTHP Clg",'Factor Tables'!$I$164:$Q$164,0),FALSE),IF(AND($BW257&lt;&gt;"DX HP",$BW257&lt;&gt;"PTHP"),VLOOKUP($D257,'Factor Tables'!$I$165:$Q$192,MATCH($BW257,'Factor Tables'!$I$164:$Q$164,0),FALSE),"")))))</f>
        <v/>
      </c>
      <c r="CK257" s="186" t="str">
        <f>IF(OR($C257="Replace-on-Burnout",$C257="New Construction",$CL257="DX HP",$CL257="PTHP"),$CV257,IF($BW257="","",IF($BW257="DX HP",VLOOKUP($D257,'Factor Tables'!$I$165:$Q$192,MATCH("DX HP Htg",'Factor Tables'!$I$164:$Q$164,0),FALSE),IF($BW257="PTHP",VLOOKUP($D257,'Factor Tables'!$I$165:$Q$192,MATCH("PTHP Htg",'Factor Tables'!$I$164:$Q$164,0),FALSE),0))))</f>
        <v/>
      </c>
      <c r="CL257" s="187" t="str">
        <f t="shared" si="127"/>
        <v/>
      </c>
      <c r="CM257" s="251" t="str">
        <f t="shared" si="128"/>
        <v/>
      </c>
      <c r="CN257" s="184">
        <f t="shared" si="142"/>
        <v>0</v>
      </c>
      <c r="CO257" s="693">
        <f t="shared" si="143"/>
        <v>0</v>
      </c>
      <c r="CP257" s="182" t="s">
        <v>46</v>
      </c>
      <c r="CQ257" s="852" t="str">
        <f t="shared" si="144"/>
        <v/>
      </c>
      <c r="CR257" s="833">
        <f t="shared" si="145"/>
        <v>0</v>
      </c>
      <c r="CS257" s="830" t="s">
        <v>567</v>
      </c>
      <c r="CT257" s="185" t="str">
        <f>IF($CL257="","",VLOOKUP($D257,'Factor Tables'!$B$165:$H$192,MATCH($CL257,'Factor Tables'!$B$164:$H$164,0),FALSE))</f>
        <v/>
      </c>
      <c r="CU257" s="842" t="str">
        <f>IF($CL257="","",IF(AND($CL257&lt;&gt;"DX HP",$CL257&lt;&gt;"PTHP"),VLOOKUP($D257,'Factor Tables'!$I$165:$Q$192,MATCH($CL257,'Factor Tables'!$I$164:$Q$164,0),FALSE),IF($CL257="DX HP",VLOOKUP($D257,'Factor Tables'!$I$165:$Q$192,MATCH("DX HP Clg",'Factor Tables'!$I$164:$Q$164,0),FALSE),IF($CL257="PTHP",VLOOKUP($D257,'Factor Tables'!$I$165:$Q$192,MATCH("PTHP Clg",'Factor Tables'!$I$164:$Q$164,0),FALSE),""))))</f>
        <v/>
      </c>
      <c r="CV257" s="186" t="str">
        <f>IF($CL257="","",IF(AND($CL257&lt;&gt;"DX HP",$CL257&lt;&gt;"PTHP"),0,IF($CL257="DX HP",VLOOKUP($D257,'Factor Tables'!$I$165:$Q$192,MATCH("DX HP Htg",'Factor Tables'!$I$164:$Q$164,0),FALSE),IF($CL257="PTHP",VLOOKUP($D257,'Factor Tables'!$I$165:$Q$192,MATCH("PTHP Htg",'Factor Tables'!$I$164:$Q$164,0),FALSE),""))))</f>
        <v/>
      </c>
      <c r="DD257" s="196" t="str">
        <f>IF(OR('Project Info'!$D$8="",$C97="",$D97=""),"",IF('Project Info'!$D$8="Weather Zone 5: El Paso",VLOOKUP($D97,$DI$9:$DL$37,MATCH($C97,$DI$9:$DL$9,0),FALSE),VLOOKUP($D97,$DE$9:$DH$37,MATCH($C97,$DE$9:$DH$9,0),FALSE)))</f>
        <v/>
      </c>
      <c r="DE257" s="426"/>
      <c r="DI257" s="425"/>
      <c r="DJ257" s="425"/>
      <c r="DK257" s="425"/>
      <c r="DL257" s="425"/>
      <c r="DM257" s="493" t="s">
        <v>478</v>
      </c>
    </row>
    <row r="258" spans="2:117" s="427" customFormat="1" ht="21.95" customHeight="1" x14ac:dyDescent="0.25">
      <c r="B258" s="431">
        <v>249</v>
      </c>
      <c r="C258" s="501" t="str">
        <f t="shared" si="129"/>
        <v/>
      </c>
      <c r="D258" s="502" t="str">
        <f t="shared" si="130"/>
        <v/>
      </c>
      <c r="E258" s="546"/>
      <c r="F258" s="547"/>
      <c r="G258" s="729"/>
      <c r="H258" s="729"/>
      <c r="I258" s="729"/>
      <c r="J258" s="729"/>
      <c r="K258" s="729"/>
      <c r="L258" s="729"/>
      <c r="M258" s="765"/>
      <c r="N258" s="758"/>
      <c r="O258" s="765"/>
      <c r="P258" s="758"/>
      <c r="Q258" s="1143"/>
      <c r="R258" s="1134"/>
      <c r="S258" s="775"/>
      <c r="T258" s="729"/>
      <c r="U258" s="775"/>
      <c r="V258" s="779"/>
      <c r="W258" s="557"/>
      <c r="X258" s="788"/>
      <c r="Y258" s="543"/>
      <c r="Z258" s="281"/>
      <c r="AA258" s="281"/>
      <c r="AB258" s="281"/>
      <c r="AC258" s="281"/>
      <c r="AD258" s="492"/>
      <c r="AE258" s="527">
        <f t="shared" si="39"/>
        <v>0</v>
      </c>
      <c r="AF258" s="527">
        <f t="shared" si="131"/>
        <v>0</v>
      </c>
      <c r="AG258" s="527">
        <f t="shared" si="111"/>
        <v>0</v>
      </c>
      <c r="AH258" s="527">
        <f t="shared" si="112"/>
        <v>0</v>
      </c>
      <c r="AI258" s="527">
        <f t="shared" si="113"/>
        <v>0</v>
      </c>
      <c r="AJ258" s="527">
        <f t="shared" si="114"/>
        <v>999999999</v>
      </c>
      <c r="AK258" s="471"/>
      <c r="AL258" s="765"/>
      <c r="AM258" s="758"/>
      <c r="AN258" s="281"/>
      <c r="AO258" s="775"/>
      <c r="AP258" s="775"/>
      <c r="AQ258" s="281"/>
      <c r="AR258" s="528"/>
      <c r="AS258" s="532"/>
      <c r="AT258" s="524" t="str">
        <f t="shared" si="115"/>
        <v/>
      </c>
      <c r="AU258" s="311">
        <f t="shared" si="116"/>
        <v>0</v>
      </c>
      <c r="AV258" s="288">
        <f t="shared" si="132"/>
        <v>0</v>
      </c>
      <c r="AW258" s="290">
        <f>IF(ISERROR($AU258*'Utility Admin'!$E$4+$AV258*'Utility Admin'!$F$4),0,$AU258*'Utility Admin'!$E$4+$AV258*'Utility Admin'!$F$4)</f>
        <v>0</v>
      </c>
      <c r="AX258" s="323" t="str">
        <f t="shared" si="117"/>
        <v/>
      </c>
      <c r="AY258" s="322" t="str">
        <f t="shared" si="23"/>
        <v/>
      </c>
      <c r="AZ258" s="319">
        <f>Baselines!$CJ502</f>
        <v>0</v>
      </c>
      <c r="BA258" s="735">
        <f>Baselines!$CK502</f>
        <v>0</v>
      </c>
      <c r="BB258" s="839">
        <f>Baselines!$CM502</f>
        <v>0</v>
      </c>
      <c r="BC258" s="466">
        <f t="shared" si="118"/>
        <v>0</v>
      </c>
      <c r="BD258" s="464">
        <f t="shared" si="133"/>
        <v>0</v>
      </c>
      <c r="BE258" s="755">
        <f t="shared" si="119"/>
        <v>0</v>
      </c>
      <c r="BF258" s="755">
        <f t="shared" si="134"/>
        <v>0</v>
      </c>
      <c r="BG258" s="466">
        <f t="shared" si="120"/>
        <v>0</v>
      </c>
      <c r="BH258" s="464">
        <f t="shared" si="121"/>
        <v>0</v>
      </c>
      <c r="BI258" s="755">
        <f t="shared" si="122"/>
        <v>0</v>
      </c>
      <c r="BJ258" s="755">
        <f t="shared" si="135"/>
        <v>0</v>
      </c>
      <c r="BK258" s="333">
        <f>IF(OR($C258&lt;&gt;"Early Retirement",$H258=""),0,IF(AND($G258&lt;&gt;"Air Cooled Chiller",$G258&lt;&gt;"Water Cooled Chiller"),VLOOKUP($H258,'Early Retirement'!$CI$6:$CL$33,2,FALSE),IF($J258&lt;&gt;"Centrifugal",VLOOKUP($H258,'Early Retirement'!$CI$6:$CL$33,3,FALSE),IF($J258="Centrifugal",VLOOKUP($H258,'Early Retirement'!$CI$6:$CL$33,4,FALSE),""))))</f>
        <v>0</v>
      </c>
      <c r="BL258" s="450">
        <f t="shared" si="123"/>
        <v>0</v>
      </c>
      <c r="BM258" s="553">
        <f>IFERROR('Utility Admin'!$I$4*((1+'Utility Admin'!$G$4)/('Utility Admin'!$H$4-'Utility Admin'!$G$4))*(1-((1+'Utility Admin'!$G$4)/(1+'Utility Admin'!$H$4))^$BK258)*$BG258,0)</f>
        <v>0</v>
      </c>
      <c r="BN258" s="553">
        <f>IFERROR('Utility Admin'!$I$4*((1+'Utility Admin'!$G$4)/('Utility Admin'!$H$4-'Utility Admin'!$G$4))*(1-((1+'Utility Admin'!$G$4)/(1+'Utility Admin'!$H$4))^$BL258)*((1+'Utility Admin'!$G$4)^$BK258/(1+'Utility Admin'!$H$4)^$BK258)*$BC258,0)</f>
        <v>0</v>
      </c>
      <c r="BO258" s="553">
        <f t="shared" si="27"/>
        <v>0</v>
      </c>
      <c r="BP258" s="553">
        <f>IFERROR('Utility Admin'!$J$4*((1+'Utility Admin'!$G$4)/('Utility Admin'!$H$4-'Utility Admin'!$G$4))*(1-((1+'Utility Admin'!$G$4)/(1+'Utility Admin'!$H$4))^$BK258)*$BJ258,0)</f>
        <v>0</v>
      </c>
      <c r="BQ258" s="553">
        <f>IFERROR('Utility Admin'!$J$4*((1+'Utility Admin'!$G$4)/('Utility Admin'!$H$4-'Utility Admin'!$G$4))*(1-((1+'Utility Admin'!$G$4)/(1+'Utility Admin'!$H$4))^$BL258)*((1+'Utility Admin'!$G$4)^$BK258/(1+'Utility Admin'!$H$4)^$BK258)*$BF258,0)</f>
        <v>0</v>
      </c>
      <c r="BR258" s="553">
        <f t="shared" si="28"/>
        <v>0</v>
      </c>
      <c r="BS258" s="553">
        <f>IFERROR('Utility Admin'!$I$4*((1+'Utility Admin'!$G$4)/('Utility Admin'!$H$4-'Utility Admin'!$G$4))*(1-((1+'Utility Admin'!$G$4)/(1+'Utility Admin'!$H$4))^$AT258),0)</f>
        <v>0</v>
      </c>
      <c r="BT258" s="553">
        <f>IFERROR('Utility Admin'!$J$4*((1+'Utility Admin'!$G$4)/('Utility Admin'!$H$4-'Utility Admin'!$G$4))*(1-((1+'Utility Admin'!$G$4)/(1+'Utility Admin'!$H$4))^$AT258),0)</f>
        <v>0</v>
      </c>
      <c r="BU258" s="459">
        <f t="shared" si="136"/>
        <v>0</v>
      </c>
      <c r="BV258" s="462">
        <f t="shared" si="137"/>
        <v>0</v>
      </c>
      <c r="BW258" s="219" t="str">
        <f t="shared" si="124"/>
        <v/>
      </c>
      <c r="BX258" s="250" t="str">
        <f t="shared" si="138"/>
        <v/>
      </c>
      <c r="BY258" s="250" t="str">
        <f t="shared" si="125"/>
        <v/>
      </c>
      <c r="BZ258" s="184">
        <f t="shared" si="139"/>
        <v>0</v>
      </c>
      <c r="CA258" s="693">
        <f t="shared" si="140"/>
        <v>0</v>
      </c>
      <c r="CB258" s="836">
        <f t="shared" si="141"/>
        <v>0</v>
      </c>
      <c r="CC258" s="693">
        <f>IF(AND($C258="Early Retirement",$H258&lt;&gt;"",$R258&lt;&gt;"",$T258&lt;&gt;""),$BZ258,Baselines!$CJ251)</f>
        <v>0</v>
      </c>
      <c r="CD258" s="693">
        <f>IF(AND($C258="Early Retirement",$H258&lt;&gt;"",$R258&lt;&gt;"",$T258&lt;&gt;""),$CA258,Baselines!$CK251)</f>
        <v>0</v>
      </c>
      <c r="CE258" s="182" t="str">
        <f>Baselines!$CL251</f>
        <v>kW/ton</v>
      </c>
      <c r="CF258" s="850" t="str">
        <f t="shared" si="126"/>
        <v/>
      </c>
      <c r="CG258" s="833">
        <f>IF(AND($C258="Early Retirement",$H258&lt;&gt;"",$R258&lt;&gt;"",$T258&lt;&gt;""),$CB258,IF(AND(Baselines!$CM251=0,OR($CL258="DX HP",$CL258="PTHP")),$BB258,Baselines!$CM251))</f>
        <v>0</v>
      </c>
      <c r="CH258" s="830" t="s">
        <v>567</v>
      </c>
      <c r="CI258" s="185" t="str">
        <f>IF(OR($C258="Replace-on-Burnout",$C258="New Construction"),$CT258,IF($BW258="","",VLOOKUP($D258,'Factor Tables'!$B$165:$H$192,MATCH($BW258,'Factor Tables'!$B$164:$H$164,0),FALSE)))</f>
        <v/>
      </c>
      <c r="CJ258" s="842" t="str">
        <f>IF(OR($C258="Replace-on-Burnout",$C258="New Construction"),$CU258,IF($BW258="","",IF($BW258="DX HP",VLOOKUP($D258,'Factor Tables'!$I$165:$Q$192,MATCH("DX HP Clg",'Factor Tables'!$I$164:$Q$164,0),FALSE),IF($BW258="PTHP",VLOOKUP($D258,'Factor Tables'!$I$165:$Q$192,MATCH("PTHP Clg",'Factor Tables'!$I$164:$Q$164,0),FALSE),IF(AND($BW258&lt;&gt;"DX HP",$BW258&lt;&gt;"PTHP"),VLOOKUP($D258,'Factor Tables'!$I$165:$Q$192,MATCH($BW258,'Factor Tables'!$I$164:$Q$164,0),FALSE),"")))))</f>
        <v/>
      </c>
      <c r="CK258" s="186" t="str">
        <f>IF(OR($C258="Replace-on-Burnout",$C258="New Construction",$CL258="DX HP",$CL258="PTHP"),$CV258,IF($BW258="","",IF($BW258="DX HP",VLOOKUP($D258,'Factor Tables'!$I$165:$Q$192,MATCH("DX HP Htg",'Factor Tables'!$I$164:$Q$164,0),FALSE),IF($BW258="PTHP",VLOOKUP($D258,'Factor Tables'!$I$165:$Q$192,MATCH("PTHP Htg",'Factor Tables'!$I$164:$Q$164,0),FALSE),0))))</f>
        <v/>
      </c>
      <c r="CL258" s="187" t="str">
        <f t="shared" si="127"/>
        <v/>
      </c>
      <c r="CM258" s="251" t="str">
        <f t="shared" si="128"/>
        <v/>
      </c>
      <c r="CN258" s="184">
        <f t="shared" si="142"/>
        <v>0</v>
      </c>
      <c r="CO258" s="693">
        <f t="shared" si="143"/>
        <v>0</v>
      </c>
      <c r="CP258" s="182" t="s">
        <v>46</v>
      </c>
      <c r="CQ258" s="852" t="str">
        <f t="shared" si="144"/>
        <v/>
      </c>
      <c r="CR258" s="833">
        <f t="shared" si="145"/>
        <v>0</v>
      </c>
      <c r="CS258" s="830" t="s">
        <v>567</v>
      </c>
      <c r="CT258" s="185" t="str">
        <f>IF($CL258="","",VLOOKUP($D258,'Factor Tables'!$B$165:$H$192,MATCH($CL258,'Factor Tables'!$B$164:$H$164,0),FALSE))</f>
        <v/>
      </c>
      <c r="CU258" s="842" t="str">
        <f>IF($CL258="","",IF(AND($CL258&lt;&gt;"DX HP",$CL258&lt;&gt;"PTHP"),VLOOKUP($D258,'Factor Tables'!$I$165:$Q$192,MATCH($CL258,'Factor Tables'!$I$164:$Q$164,0),FALSE),IF($CL258="DX HP",VLOOKUP($D258,'Factor Tables'!$I$165:$Q$192,MATCH("DX HP Clg",'Factor Tables'!$I$164:$Q$164,0),FALSE),IF($CL258="PTHP",VLOOKUP($D258,'Factor Tables'!$I$165:$Q$192,MATCH("PTHP Clg",'Factor Tables'!$I$164:$Q$164,0),FALSE),""))))</f>
        <v/>
      </c>
      <c r="CV258" s="186" t="str">
        <f>IF($CL258="","",IF(AND($CL258&lt;&gt;"DX HP",$CL258&lt;&gt;"PTHP"),0,IF($CL258="DX HP",VLOOKUP($D258,'Factor Tables'!$I$165:$Q$192,MATCH("DX HP Htg",'Factor Tables'!$I$164:$Q$164,0),FALSE),IF($CL258="PTHP",VLOOKUP($D258,'Factor Tables'!$I$165:$Q$192,MATCH("PTHP Htg",'Factor Tables'!$I$164:$Q$164,0),FALSE),""))))</f>
        <v/>
      </c>
      <c r="DD258" s="196" t="str">
        <f>IF(OR('Project Info'!$D$8="",$C98="",$D98=""),"",IF('Project Info'!$D$8="Weather Zone 5: El Paso",VLOOKUP($D98,$DI$9:$DL$37,MATCH($C98,$DI$9:$DL$9,0),FALSE),VLOOKUP($D98,$DE$9:$DH$37,MATCH($C98,$DE$9:$DH$9,0),FALSE)))</f>
        <v/>
      </c>
      <c r="DE258" s="426"/>
      <c r="DI258" s="425"/>
      <c r="DJ258" s="425"/>
      <c r="DK258" s="425"/>
      <c r="DL258" s="425"/>
      <c r="DM258" s="493" t="s">
        <v>478</v>
      </c>
    </row>
    <row r="259" spans="2:117" s="7" customFormat="1" ht="21.95" customHeight="1" thickBot="1" x14ac:dyDescent="0.3">
      <c r="B259" s="14">
        <v>250</v>
      </c>
      <c r="C259" s="503" t="str">
        <f t="shared" si="129"/>
        <v/>
      </c>
      <c r="D259" s="504" t="str">
        <f t="shared" si="130"/>
        <v/>
      </c>
      <c r="E259" s="544"/>
      <c r="F259" s="786"/>
      <c r="G259" s="730"/>
      <c r="H259" s="730"/>
      <c r="I259" s="730"/>
      <c r="J259" s="730"/>
      <c r="K259" s="730"/>
      <c r="L259" s="730"/>
      <c r="M259" s="766"/>
      <c r="N259" s="730"/>
      <c r="O259" s="766"/>
      <c r="P259" s="730"/>
      <c r="Q259" s="1144"/>
      <c r="R259" s="1135"/>
      <c r="S259" s="782"/>
      <c r="T259" s="769"/>
      <c r="U259" s="782"/>
      <c r="V259" s="768"/>
      <c r="W259" s="558"/>
      <c r="X259" s="786"/>
      <c r="Y259" s="545"/>
      <c r="Z259" s="505"/>
      <c r="AA259" s="505"/>
      <c r="AB259" s="505"/>
      <c r="AC259" s="505"/>
      <c r="AD259" s="533"/>
      <c r="AE259" s="534">
        <f t="shared" si="39"/>
        <v>0</v>
      </c>
      <c r="AF259" s="534">
        <f t="shared" si="131"/>
        <v>0</v>
      </c>
      <c r="AG259" s="534">
        <f t="shared" si="111"/>
        <v>0</v>
      </c>
      <c r="AH259" s="534">
        <f t="shared" si="112"/>
        <v>0</v>
      </c>
      <c r="AI259" s="534">
        <f t="shared" si="113"/>
        <v>0</v>
      </c>
      <c r="AJ259" s="534">
        <f t="shared" si="114"/>
        <v>999999999</v>
      </c>
      <c r="AK259" s="535"/>
      <c r="AL259" s="780"/>
      <c r="AM259" s="781"/>
      <c r="AN259" s="505"/>
      <c r="AO259" s="782"/>
      <c r="AP259" s="782"/>
      <c r="AQ259" s="505"/>
      <c r="AR259" s="536"/>
      <c r="AS259" s="504"/>
      <c r="AT259" s="525" t="str">
        <f t="shared" si="115"/>
        <v/>
      </c>
      <c r="AU259" s="311">
        <f t="shared" si="116"/>
        <v>0</v>
      </c>
      <c r="AV259" s="288">
        <f t="shared" si="132"/>
        <v>0</v>
      </c>
      <c r="AW259" s="290">
        <f>IF(ISERROR($AU259*'Utility Admin'!$E$4+$AV259*'Utility Admin'!$F$4),0,$AU259*'Utility Admin'!$E$4+$AV259*'Utility Admin'!$F$4)</f>
        <v>0</v>
      </c>
      <c r="AX259" s="324" t="str">
        <f t="shared" si="117"/>
        <v/>
      </c>
      <c r="AY259" s="325" t="str">
        <f t="shared" si="23"/>
        <v/>
      </c>
      <c r="AZ259" s="320">
        <f>Baselines!$CJ503</f>
        <v>0</v>
      </c>
      <c r="BA259" s="736">
        <f>Baselines!$CK503</f>
        <v>0</v>
      </c>
      <c r="BB259" s="840">
        <f>Baselines!$CM503</f>
        <v>0</v>
      </c>
      <c r="BC259" s="467">
        <f t="shared" si="118"/>
        <v>0</v>
      </c>
      <c r="BD259" s="465">
        <f t="shared" si="133"/>
        <v>0</v>
      </c>
      <c r="BE259" s="756">
        <f t="shared" si="119"/>
        <v>0</v>
      </c>
      <c r="BF259" s="756">
        <f t="shared" si="134"/>
        <v>0</v>
      </c>
      <c r="BG259" s="467">
        <f t="shared" si="120"/>
        <v>0</v>
      </c>
      <c r="BH259" s="465">
        <f t="shared" si="121"/>
        <v>0</v>
      </c>
      <c r="BI259" s="756">
        <f t="shared" si="122"/>
        <v>0</v>
      </c>
      <c r="BJ259" s="756">
        <f t="shared" si="135"/>
        <v>0</v>
      </c>
      <c r="BK259" s="334">
        <f>IF(OR($C259&lt;&gt;"Early Retirement",$H259=""),0,IF(AND($G259&lt;&gt;"Air Cooled Chiller",$G259&lt;&gt;"Water Cooled Chiller"),VLOOKUP($H259,'Early Retirement'!$CI$6:$CL$33,2,FALSE),IF($J259&lt;&gt;"Centrifugal",VLOOKUP($H259,'Early Retirement'!$CI$6:$CL$33,3,FALSE),IF($J259="Centrifugal",VLOOKUP($H259,'Early Retirement'!$CI$6:$CL$33,4,FALSE),""))))</f>
        <v>0</v>
      </c>
      <c r="BL259" s="455">
        <f t="shared" si="123"/>
        <v>0</v>
      </c>
      <c r="BM259" s="554">
        <f>IFERROR('Utility Admin'!$I$4*((1+'Utility Admin'!$G$4)/('Utility Admin'!$H$4-'Utility Admin'!$G$4))*(1-((1+'Utility Admin'!$G$4)/(1+'Utility Admin'!$H$4))^$BK259)*$BG259,0)</f>
        <v>0</v>
      </c>
      <c r="BN259" s="554">
        <f>IFERROR('Utility Admin'!$I$4*((1+'Utility Admin'!$G$4)/('Utility Admin'!$H$4-'Utility Admin'!$G$4))*(1-((1+'Utility Admin'!$G$4)/(1+'Utility Admin'!$H$4))^$BL259)*((1+'Utility Admin'!$G$4)^$BK259/(1+'Utility Admin'!$H$4)^$BK259)*$BC259,0)</f>
        <v>0</v>
      </c>
      <c r="BO259" s="554">
        <f t="shared" si="27"/>
        <v>0</v>
      </c>
      <c r="BP259" s="554">
        <f>IFERROR('Utility Admin'!$J$4*((1+'Utility Admin'!$G$4)/('Utility Admin'!$H$4-'Utility Admin'!$G$4))*(1-((1+'Utility Admin'!$G$4)/(1+'Utility Admin'!$H$4))^$BK259)*$BJ259,0)</f>
        <v>0</v>
      </c>
      <c r="BQ259" s="554">
        <f>IFERROR('Utility Admin'!$J$4*((1+'Utility Admin'!$G$4)/('Utility Admin'!$H$4-'Utility Admin'!$G$4))*(1-((1+'Utility Admin'!$G$4)/(1+'Utility Admin'!$H$4))^$BL259)*((1+'Utility Admin'!$G$4)^$BK259/(1+'Utility Admin'!$H$4)^$BK259)*$BF259,0)</f>
        <v>0</v>
      </c>
      <c r="BR259" s="554">
        <f t="shared" si="28"/>
        <v>0</v>
      </c>
      <c r="BS259" s="554">
        <f>IFERROR('Utility Admin'!$I$4*((1+'Utility Admin'!$G$4)/('Utility Admin'!$H$4-'Utility Admin'!$G$4))*(1-((1+'Utility Admin'!$G$4)/(1+'Utility Admin'!$H$4))^$AT259),0)</f>
        <v>0</v>
      </c>
      <c r="BT259" s="554">
        <f>IFERROR('Utility Admin'!$J$4*((1+'Utility Admin'!$G$4)/('Utility Admin'!$H$4-'Utility Admin'!$G$4))*(1-((1+'Utility Admin'!$G$4)/(1+'Utility Admin'!$H$4))^$AT259),0)</f>
        <v>0</v>
      </c>
      <c r="BU259" s="460">
        <f t="shared" si="136"/>
        <v>0</v>
      </c>
      <c r="BV259" s="463">
        <f t="shared" si="137"/>
        <v>0</v>
      </c>
      <c r="BW259" s="220" t="str">
        <f t="shared" si="124"/>
        <v/>
      </c>
      <c r="BX259" s="494" t="str">
        <f t="shared" si="138"/>
        <v/>
      </c>
      <c r="BY259" s="494" t="str">
        <f t="shared" si="125"/>
        <v/>
      </c>
      <c r="BZ259" s="189">
        <f t="shared" si="139"/>
        <v>0</v>
      </c>
      <c r="CA259" s="694">
        <f t="shared" si="140"/>
        <v>0</v>
      </c>
      <c r="CB259" s="837">
        <f t="shared" si="141"/>
        <v>0</v>
      </c>
      <c r="CC259" s="694">
        <f>IF(AND($C259="Early Retirement",$H259&lt;&gt;"",$R259&lt;&gt;"",$T259&lt;&gt;""),$BZ259,Baselines!$CJ252)</f>
        <v>0</v>
      </c>
      <c r="CD259" s="694">
        <f>IF(AND($C259="Early Retirement",$H259&lt;&gt;"",$R259&lt;&gt;"",$T259&lt;&gt;""),$CA259,Baselines!$CK252)</f>
        <v>0</v>
      </c>
      <c r="CE259" s="190" t="str">
        <f>Baselines!$CL252</f>
        <v>kW/ton</v>
      </c>
      <c r="CF259" s="851" t="str">
        <f t="shared" si="126"/>
        <v/>
      </c>
      <c r="CG259" s="834">
        <f>IF(AND($C259="Early Retirement",$H259&lt;&gt;"",$R259&lt;&gt;"",$T259&lt;&gt;""),$CB259,IF(AND(Baselines!$CM252=0,OR($CL259="DX HP",$CL259="PTHP")),$BB259,Baselines!$CM252))</f>
        <v>0</v>
      </c>
      <c r="CH259" s="831" t="s">
        <v>567</v>
      </c>
      <c r="CI259" s="191" t="str">
        <f>IF(OR($C259="Replace-on-Burnout",$C259="New Construction"),$CT259,IF($BW259="","",VLOOKUP($D259,'Factor Tables'!$B$165:$H$192,MATCH($BW259,'Factor Tables'!$B$164:$H$164,0),FALSE)))</f>
        <v/>
      </c>
      <c r="CJ259" s="843" t="str">
        <f>IF(OR($C259="Replace-on-Burnout",$C259="New Construction"),$CU259,IF($BW259="","",IF($BW259="DX HP",VLOOKUP($D259,'Factor Tables'!$I$165:$Q$192,MATCH("DX HP Clg",'Factor Tables'!$I$164:$Q$164,0),FALSE),IF($BW259="PTHP",VLOOKUP($D259,'Factor Tables'!$I$165:$Q$192,MATCH("PTHP Clg",'Factor Tables'!$I$164:$Q$164,0),FALSE),IF(AND($BW259&lt;&gt;"DX HP",$BW259&lt;&gt;"PTHP"),VLOOKUP($D259,'Factor Tables'!$I$165:$Q$192,MATCH($BW259,'Factor Tables'!$I$164:$Q$164,0),FALSE),"")))))</f>
        <v/>
      </c>
      <c r="CK259" s="192" t="str">
        <f>IF(OR($C259="Replace-on-Burnout",$C259="New Construction",$CL259="DX HP",$CL259="PTHP"),$CV259,IF($BW259="","",IF($BW259="DX HP",VLOOKUP($D259,'Factor Tables'!$I$165:$Q$192,MATCH("DX HP Htg",'Factor Tables'!$I$164:$Q$164,0),FALSE),IF($BW259="PTHP",VLOOKUP($D259,'Factor Tables'!$I$165:$Q$192,MATCH("PTHP Htg",'Factor Tables'!$I$164:$Q$164,0),FALSE),0))))</f>
        <v/>
      </c>
      <c r="CL259" s="188" t="str">
        <f t="shared" si="127"/>
        <v/>
      </c>
      <c r="CM259" s="252" t="str">
        <f t="shared" si="128"/>
        <v/>
      </c>
      <c r="CN259" s="189">
        <f t="shared" si="142"/>
        <v>0</v>
      </c>
      <c r="CO259" s="694">
        <f t="shared" si="143"/>
        <v>0</v>
      </c>
      <c r="CP259" s="190" t="s">
        <v>46</v>
      </c>
      <c r="CQ259" s="853" t="str">
        <f>IF(OR($AL259="",$AM259="",$AN259=""),"",IF($AM259="Tons",($AL259*12000)*$AN259,IF($AM259="Btu/hr",$AL259*$AN259,"")))</f>
        <v/>
      </c>
      <c r="CR259" s="834">
        <f t="shared" si="145"/>
        <v>0</v>
      </c>
      <c r="CS259" s="831" t="s">
        <v>567</v>
      </c>
      <c r="CT259" s="191" t="str">
        <f>IF($CL259="","",VLOOKUP($D259,'Factor Tables'!$B$165:$H$192,MATCH($CL259,'Factor Tables'!$B$164:$H$164,0),FALSE))</f>
        <v/>
      </c>
      <c r="CU259" s="843" t="str">
        <f>IF($CL259="","",IF(AND($CL259&lt;&gt;"DX HP",$CL259&lt;&gt;"PTHP"),VLOOKUP($D259,'Factor Tables'!$I$165:$Q$192,MATCH($CL259,'Factor Tables'!$I$164:$Q$164,0),FALSE),IF($CL259="DX HP",VLOOKUP($D259,'Factor Tables'!$I$165:$Q$192,MATCH("DX HP Clg",'Factor Tables'!$I$164:$Q$164,0),FALSE),IF($CL259="PTHP",VLOOKUP($D259,'Factor Tables'!$I$165:$Q$192,MATCH("PTHP Clg",'Factor Tables'!$I$164:$Q$164,0),FALSE),""))))</f>
        <v/>
      </c>
      <c r="CV259" s="192" t="str">
        <f>IF($CL259="","",IF(AND($CL259&lt;&gt;"DX HP",$CL259&lt;&gt;"PTHP"),0,IF($CL259="DX HP",VLOOKUP($D259,'Factor Tables'!$I$165:$Q$192,MATCH("DX HP Htg",'Factor Tables'!$I$164:$Q$164,0),FALSE),IF($CL259="PTHP",VLOOKUP($D259,'Factor Tables'!$I$165:$Q$192,MATCH("PTHP Htg",'Factor Tables'!$I$164:$Q$164,0),FALSE),""))))</f>
        <v/>
      </c>
      <c r="CY259" s="427"/>
      <c r="DD259" s="196" t="str">
        <f>IF(OR('Project Info'!$D$8="",$C99="",$D99=""),"",IF('Project Info'!$D$8="Weather Zone 5: El Paso",VLOOKUP($D99,$DI$9:$DL$37,MATCH($C99,$DI$9:$DL$9,0),FALSE),VLOOKUP($D99,$DE$9:$DH$37,MATCH($C99,$DE$9:$DH$9,0),FALSE)))</f>
        <v/>
      </c>
      <c r="DE259" s="6"/>
      <c r="DI259" s="5"/>
      <c r="DJ259" s="5"/>
      <c r="DK259" s="5"/>
      <c r="DL259" s="5"/>
      <c r="DM259" s="493" t="s">
        <v>478</v>
      </c>
    </row>
    <row r="260" spans="2:117" s="6" customFormat="1" ht="15.75" customHeight="1" thickBot="1" x14ac:dyDescent="0.3">
      <c r="B260" s="47" t="s">
        <v>6</v>
      </c>
      <c r="C260" s="48"/>
      <c r="D260" s="564"/>
      <c r="E260" s="21"/>
      <c r="F260" s="21"/>
      <c r="G260" s="21"/>
      <c r="H260" s="21"/>
      <c r="I260" s="21"/>
      <c r="J260" s="21"/>
      <c r="K260" s="21"/>
      <c r="L260" s="21"/>
      <c r="M260" s="21"/>
      <c r="N260" s="21"/>
      <c r="O260" s="621"/>
      <c r="P260" s="621"/>
      <c r="Q260" s="21"/>
      <c r="R260" s="21"/>
      <c r="S260" s="621"/>
      <c r="T260" s="21"/>
      <c r="U260" s="621"/>
      <c r="V260" s="621"/>
      <c r="W260" s="21"/>
      <c r="X260" s="21"/>
      <c r="Y260" s="21"/>
      <c r="Z260" s="21"/>
      <c r="AA260" s="21"/>
      <c r="AB260" s="21"/>
      <c r="AC260" s="21"/>
      <c r="AD260" s="21"/>
      <c r="AE260" s="21"/>
      <c r="AF260" s="21"/>
      <c r="AG260" s="21"/>
      <c r="AH260" s="21"/>
      <c r="AI260" s="21"/>
      <c r="AJ260" s="21"/>
      <c r="AK260" s="21"/>
      <c r="AL260" s="621"/>
      <c r="AM260" s="621"/>
      <c r="AN260" s="21"/>
      <c r="AO260" s="21"/>
      <c r="AP260" s="621"/>
      <c r="AQ260" s="21"/>
      <c r="AR260" s="21"/>
      <c r="AS260" s="21"/>
      <c r="AT260" s="21"/>
      <c r="AU260" s="21"/>
      <c r="AV260" s="21"/>
      <c r="AW260" s="22"/>
      <c r="AX260" s="216"/>
      <c r="AY260" s="216"/>
      <c r="AZ260" s="216"/>
      <c r="BA260" s="700"/>
      <c r="BB260" s="700"/>
      <c r="BC260" s="216"/>
      <c r="BD260" s="216"/>
      <c r="BE260" s="700"/>
      <c r="BF260" s="700"/>
      <c r="BG260" s="216"/>
      <c r="BH260" s="216"/>
      <c r="BI260" s="700"/>
      <c r="BJ260" s="700"/>
      <c r="BK260" s="331"/>
      <c r="BL260" s="216"/>
      <c r="BM260" s="216"/>
      <c r="BN260" s="216"/>
      <c r="BO260" s="216"/>
      <c r="BP260" s="216"/>
      <c r="BQ260" s="216"/>
      <c r="BR260" s="216"/>
      <c r="BS260" s="216"/>
      <c r="BT260" s="216"/>
      <c r="BU260" s="216"/>
      <c r="BV260" s="216"/>
      <c r="BW260" s="177"/>
      <c r="BX260" s="690"/>
      <c r="BY260" s="177"/>
      <c r="BZ260" s="177"/>
      <c r="CA260" s="690"/>
      <c r="CB260" s="690"/>
      <c r="CD260" s="617"/>
      <c r="CF260" s="617"/>
      <c r="CG260" s="617"/>
      <c r="CH260" s="617"/>
      <c r="CJ260" s="617"/>
      <c r="CO260" s="617"/>
      <c r="CQ260" s="617"/>
      <c r="CR260" s="617"/>
      <c r="CS260" s="617"/>
      <c r="CU260" s="617"/>
      <c r="CY260" s="426"/>
      <c r="DD260" s="196" t="str">
        <f>IF(OR('Project Info'!$D$8="",$C100="",$D100=""),"",IF('Project Info'!$D$8="Weather Zone 5: El Paso",VLOOKUP($D100,$DI$9:$DL$37,MATCH($C100,$DI$9:$DL$9,0),FALSE),VLOOKUP($D100,$DE$9:$DH$37,MATCH($C100,$DE$9:$DH$9,0),FALSE)))</f>
        <v/>
      </c>
      <c r="DF260" s="7"/>
      <c r="DG260" s="7"/>
      <c r="DH260" s="7"/>
      <c r="DI260" s="5"/>
      <c r="DJ260" s="5"/>
      <c r="DK260" s="5"/>
      <c r="DL260" s="5"/>
    </row>
    <row r="261" spans="2:117" s="6" customFormat="1" ht="21.95" customHeight="1" thickBot="1" x14ac:dyDescent="0.3">
      <c r="B261" s="49"/>
      <c r="C261" s="53"/>
      <c r="D261" s="50"/>
      <c r="E261" s="50"/>
      <c r="F261" s="50"/>
      <c r="G261" s="51"/>
      <c r="H261" s="51"/>
      <c r="I261" s="51"/>
      <c r="J261" s="51"/>
      <c r="K261" s="51"/>
      <c r="L261" s="51"/>
      <c r="M261" s="51"/>
      <c r="N261" s="51"/>
      <c r="O261" s="622"/>
      <c r="P261" s="622"/>
      <c r="Q261" s="51"/>
      <c r="R261" s="51"/>
      <c r="S261" s="622"/>
      <c r="T261" s="51"/>
      <c r="U261" s="622"/>
      <c r="V261" s="622"/>
      <c r="W261" s="53"/>
      <c r="X261" s="53"/>
      <c r="Y261" s="53"/>
      <c r="Z261" s="53"/>
      <c r="AA261" s="53"/>
      <c r="AB261" s="53"/>
      <c r="AC261" s="53"/>
      <c r="AD261" s="53"/>
      <c r="AE261" s="53"/>
      <c r="AF261" s="53"/>
      <c r="AG261" s="53"/>
      <c r="AH261" s="53"/>
      <c r="AI261" s="53"/>
      <c r="AJ261" s="53"/>
      <c r="AK261" s="53"/>
      <c r="AL261" s="624"/>
      <c r="AM261" s="624"/>
      <c r="AN261" s="53"/>
      <c r="AO261" s="52"/>
      <c r="AP261" s="623"/>
      <c r="AQ261" s="308"/>
      <c r="AR261" s="308"/>
      <c r="AS261" s="308"/>
      <c r="AT261" s="54"/>
      <c r="AU261" s="293">
        <f>IFERROR(SUM($AU$10:$AU$259),0)</f>
        <v>0</v>
      </c>
      <c r="AV261" s="294">
        <f>IFERROR(SUM($AV$10:$AV$259),0)</f>
        <v>0</v>
      </c>
      <c r="AW261" s="295">
        <f>IFERROR(SUM($AW$10:$AW$259),0)</f>
        <v>0</v>
      </c>
      <c r="AX261" s="215"/>
      <c r="AY261" s="215"/>
      <c r="AZ261" s="215"/>
      <c r="BA261" s="699"/>
      <c r="BB261" s="699"/>
      <c r="BC261" s="215"/>
      <c r="BD261" s="215"/>
      <c r="BE261" s="699"/>
      <c r="BF261" s="699"/>
      <c r="BG261" s="215"/>
      <c r="BH261" s="215"/>
      <c r="BI261" s="699"/>
      <c r="BJ261" s="699"/>
      <c r="BK261" s="215"/>
      <c r="BL261" s="215"/>
      <c r="BM261" s="215"/>
      <c r="BN261" s="215"/>
      <c r="BO261" s="215"/>
      <c r="BP261" s="215"/>
      <c r="BQ261" s="215"/>
      <c r="BR261" s="215"/>
      <c r="BS261" s="215"/>
      <c r="BT261" s="215"/>
      <c r="BU261" s="215"/>
      <c r="BV261" s="215"/>
      <c r="BW261" s="177"/>
      <c r="BX261" s="690"/>
      <c r="BY261" s="177"/>
      <c r="BZ261" s="177"/>
      <c r="CA261" s="690"/>
      <c r="CB261" s="690"/>
      <c r="CD261" s="617"/>
      <c r="CF261" s="617"/>
      <c r="CG261" s="617"/>
      <c r="CH261" s="617"/>
      <c r="CJ261" s="617"/>
      <c r="CO261" s="617"/>
      <c r="CQ261" s="617"/>
      <c r="CR261" s="617"/>
      <c r="CS261" s="617"/>
      <c r="CU261" s="617"/>
      <c r="CY261" s="426"/>
      <c r="DD261" s="196" t="str">
        <f>IF(OR('Project Info'!$D$8="",$C101="",$D101=""),"",IF('Project Info'!$D$8="Weather Zone 5: El Paso",VLOOKUP($D101,$DI$9:$DL$37,MATCH($C101,$DI$9:$DL$9,0),FALSE),VLOOKUP($D101,$DE$9:$DH$37,MATCH($C101,$DE$9:$DH$9,0),FALSE)))</f>
        <v/>
      </c>
      <c r="DF261" s="7"/>
      <c r="DG261" s="7"/>
      <c r="DH261" s="7"/>
      <c r="DI261" s="5"/>
      <c r="DJ261" s="5"/>
      <c r="DK261" s="5"/>
      <c r="DL261" s="5"/>
    </row>
    <row r="262" spans="2:117" s="6" customFormat="1" ht="30" customHeight="1" thickBot="1" x14ac:dyDescent="0.3">
      <c r="B262" s="1006"/>
      <c r="C262" s="1007"/>
      <c r="D262" s="1007"/>
      <c r="E262" s="469"/>
      <c r="F262" s="469"/>
      <c r="G262" s="55"/>
      <c r="H262" s="55"/>
      <c r="I262" s="55"/>
      <c r="J262" s="55"/>
      <c r="K262" s="55"/>
      <c r="L262" s="55"/>
      <c r="M262" s="55"/>
      <c r="N262" s="55"/>
      <c r="O262" s="625"/>
      <c r="P262" s="625"/>
      <c r="Q262" s="55"/>
      <c r="R262" s="55"/>
      <c r="S262" s="625"/>
      <c r="T262" s="55"/>
      <c r="U262" s="625"/>
      <c r="V262" s="625"/>
      <c r="W262" s="55"/>
      <c r="X262" s="55"/>
      <c r="Y262" s="55"/>
      <c r="Z262" s="55"/>
      <c r="AA262" s="55"/>
      <c r="AB262" s="55"/>
      <c r="AC262" s="55"/>
      <c r="AD262" s="55"/>
      <c r="AE262" s="55"/>
      <c r="AF262" s="55"/>
      <c r="AG262" s="55"/>
      <c r="AH262" s="55"/>
      <c r="AI262" s="55"/>
      <c r="AJ262" s="55"/>
      <c r="AK262" s="55"/>
      <c r="AL262" s="625"/>
      <c r="AM262" s="625"/>
      <c r="AN262" s="55"/>
      <c r="AO262" s="55"/>
      <c r="AP262" s="625"/>
      <c r="AQ262" s="309"/>
      <c r="AR262" s="309"/>
      <c r="AS262" s="309"/>
      <c r="AT262" s="56"/>
      <c r="AU262" s="46" t="s">
        <v>4</v>
      </c>
      <c r="AV262" s="289" t="s">
        <v>5</v>
      </c>
      <c r="AW262" s="292" t="s">
        <v>293</v>
      </c>
      <c r="AX262" s="217"/>
      <c r="AY262" s="217"/>
      <c r="AZ262" s="217"/>
      <c r="BA262" s="701"/>
      <c r="BB262" s="701"/>
      <c r="BC262" s="217"/>
      <c r="BD262" s="217"/>
      <c r="BE262" s="701"/>
      <c r="BF262" s="701"/>
      <c r="BG262" s="217"/>
      <c r="BH262" s="217"/>
      <c r="BI262" s="701"/>
      <c r="BJ262" s="701"/>
      <c r="BK262" s="217"/>
      <c r="BL262" s="217"/>
      <c r="BM262" s="217"/>
      <c r="BN262" s="217"/>
      <c r="BO262" s="217"/>
      <c r="BP262" s="217"/>
      <c r="BQ262" s="217"/>
      <c r="BR262" s="217"/>
      <c r="BS262" s="217"/>
      <c r="BT262" s="217"/>
      <c r="BU262" s="217"/>
      <c r="BV262" s="217"/>
      <c r="BW262" s="177"/>
      <c r="BX262" s="690"/>
      <c r="BY262" s="177"/>
      <c r="BZ262" s="177"/>
      <c r="CA262" s="690"/>
      <c r="CB262" s="690"/>
      <c r="CD262" s="617"/>
      <c r="CF262" s="617"/>
      <c r="CG262" s="617"/>
      <c r="CH262" s="617"/>
      <c r="CJ262" s="617"/>
      <c r="CO262" s="617"/>
      <c r="CQ262" s="617"/>
      <c r="CR262" s="617"/>
      <c r="CS262" s="617"/>
      <c r="CU262" s="617"/>
      <c r="CY262" s="426"/>
      <c r="DD262" s="196" t="str">
        <f>IF(OR('Project Info'!$D$8="",$C102="",$D102=""),"",IF('Project Info'!$D$8="Weather Zone 5: El Paso",VLOOKUP($D102,$DI$9:$DL$37,MATCH($C102,$DI$9:$DL$9,0),FALSE),VLOOKUP($D102,$DE$9:$DH$37,MATCH($C102,$DE$9:$DH$9,0),FALSE)))</f>
        <v/>
      </c>
      <c r="DF262" s="7"/>
      <c r="DG262" s="7"/>
      <c r="DH262" s="7"/>
      <c r="DI262" s="5"/>
      <c r="DJ262" s="5"/>
      <c r="DK262" s="5"/>
      <c r="DL262" s="5"/>
    </row>
    <row r="263" spans="2:117" x14ac:dyDescent="0.25">
      <c r="AX263" s="218"/>
      <c r="AY263" s="218"/>
      <c r="AZ263" s="218"/>
      <c r="BA263" s="702"/>
      <c r="BB263" s="702"/>
      <c r="BC263" s="218"/>
      <c r="BD263" s="218"/>
      <c r="BE263" s="702"/>
      <c r="BF263" s="702"/>
      <c r="BG263" s="218"/>
      <c r="BH263" s="218"/>
      <c r="BI263" s="702"/>
      <c r="BJ263" s="702"/>
      <c r="BK263" s="332"/>
      <c r="BL263" s="218"/>
      <c r="BM263" s="218"/>
      <c r="BN263" s="218"/>
      <c r="BO263" s="218"/>
      <c r="BP263" s="218"/>
      <c r="BQ263" s="218"/>
      <c r="BR263" s="218"/>
      <c r="BS263" s="218"/>
      <c r="BT263" s="218"/>
      <c r="BU263" s="218"/>
      <c r="BV263" s="218"/>
      <c r="DD263" s="196" t="str">
        <f>IF(OR('Project Info'!$D$8="",$C103="",$D103=""),"",IF('Project Info'!$D$8="Weather Zone 5: El Paso",VLOOKUP($D103,$DI$9:$DL$37,MATCH($C103,$DI$9:$DL$9,0),FALSE),VLOOKUP($D103,$DE$9:$DH$37,MATCH($C103,$DE$9:$DH$9,0),FALSE)))</f>
        <v/>
      </c>
      <c r="DE263" s="6"/>
      <c r="DF263" s="7"/>
      <c r="DG263" s="7"/>
      <c r="DH263" s="7"/>
    </row>
    <row r="264" spans="2:117" x14ac:dyDescent="0.25">
      <c r="DD264" s="196" t="str">
        <f>IF(OR('Project Info'!$D$8="",$C104="",$D104=""),"",IF('Project Info'!$D$8="Weather Zone 5: El Paso",VLOOKUP($D104,$DI$9:$DL$37,MATCH($C104,$DI$9:$DL$9,0),FALSE),VLOOKUP($D104,$DE$9:$DH$37,MATCH($C104,$DE$9:$DH$9,0),FALSE)))</f>
        <v/>
      </c>
      <c r="DE264" s="6"/>
      <c r="DF264" s="7"/>
      <c r="DG264" s="7"/>
      <c r="DH264" s="7"/>
    </row>
    <row r="265" spans="2:117" x14ac:dyDescent="0.25">
      <c r="DD265" s="196" t="str">
        <f>IF(OR('Project Info'!$D$8="",$C105="",$D105=""),"",IF('Project Info'!$D$8="Weather Zone 5: El Paso",VLOOKUP($D105,$DI$9:$DL$37,MATCH($C105,$DI$9:$DL$9,0),FALSE),VLOOKUP($D105,$DE$9:$DH$37,MATCH($C105,$DE$9:$DH$9,0),FALSE)))</f>
        <v/>
      </c>
      <c r="DE265" s="6"/>
      <c r="DF265" s="7"/>
      <c r="DG265" s="7"/>
      <c r="DH265" s="7"/>
    </row>
    <row r="266" spans="2:117" x14ac:dyDescent="0.25">
      <c r="DD266" s="196" t="str">
        <f>IF(OR('Project Info'!$D$8="",$C106="",$D106=""),"",IF('Project Info'!$D$8="Weather Zone 5: El Paso",VLOOKUP($D106,$DI$9:$DL$37,MATCH($C106,$DI$9:$DL$9,0),FALSE),VLOOKUP($D106,$DE$9:$DH$37,MATCH($C106,$DE$9:$DH$9,0),FALSE)))</f>
        <v/>
      </c>
      <c r="DE266" s="6"/>
      <c r="DF266" s="7"/>
      <c r="DG266" s="7"/>
      <c r="DH266" s="7"/>
    </row>
    <row r="267" spans="2:117" x14ac:dyDescent="0.25">
      <c r="DD267" s="196" t="str">
        <f>IF(OR('Project Info'!$D$8="",$C107="",$D107=""),"",IF('Project Info'!$D$8="Weather Zone 5: El Paso",VLOOKUP($D107,$DI$9:$DL$37,MATCH($C107,$DI$9:$DL$9,0),FALSE),VLOOKUP($D107,$DE$9:$DH$37,MATCH($C107,$DE$9:$DH$9,0),FALSE)))</f>
        <v/>
      </c>
      <c r="DE267" s="6"/>
      <c r="DF267" s="7"/>
      <c r="DG267" s="7"/>
      <c r="DH267" s="7"/>
    </row>
    <row r="268" spans="2:117" x14ac:dyDescent="0.25">
      <c r="DD268" s="196" t="str">
        <f>IF(OR('Project Info'!$D$8="",$C108="",$D108=""),"",IF('Project Info'!$D$8="Weather Zone 5: El Paso",VLOOKUP($D108,$DI$9:$DL$37,MATCH($C108,$DI$9:$DL$9,0),FALSE),VLOOKUP($D108,$DE$9:$DH$37,MATCH($C108,$DE$9:$DH$9,0),FALSE)))</f>
        <v/>
      </c>
      <c r="DE268" s="6"/>
      <c r="DF268" s="7"/>
      <c r="DG268" s="7"/>
      <c r="DH268" s="7"/>
    </row>
    <row r="269" spans="2:117" x14ac:dyDescent="0.25">
      <c r="DD269" s="196" t="str">
        <f>IF(OR('Project Info'!$D$8="",$C109="",$D109=""),"",IF('Project Info'!$D$8="Weather Zone 5: El Paso",VLOOKUP($D109,$DI$9:$DL$37,MATCH($C109,$DI$9:$DL$9,0),FALSE),VLOOKUP($D109,$DE$9:$DH$37,MATCH($C109,$DE$9:$DH$9,0),FALSE)))</f>
        <v/>
      </c>
      <c r="DE269" s="6"/>
      <c r="DF269" s="7"/>
      <c r="DG269" s="7"/>
      <c r="DH269" s="7"/>
    </row>
    <row r="270" spans="2:117" x14ac:dyDescent="0.25">
      <c r="DD270" s="196" t="str">
        <f>IF(OR('Project Info'!$D$8="",$C110="",$D110=""),"",IF('Project Info'!$D$8="Weather Zone 5: El Paso",VLOOKUP($D110,$DI$9:$DL$37,MATCH($C110,$DI$9:$DL$9,0),FALSE),VLOOKUP($D110,$DE$9:$DH$37,MATCH($C110,$DE$9:$DH$9,0),FALSE)))</f>
        <v/>
      </c>
      <c r="DE270" s="6"/>
      <c r="DF270" s="7"/>
      <c r="DG270" s="7"/>
      <c r="DH270" s="7"/>
    </row>
    <row r="271" spans="2:117" x14ac:dyDescent="0.25">
      <c r="DD271" s="196" t="str">
        <f>IF(OR('Project Info'!$D$8="",$C111="",$D111=""),"",IF('Project Info'!$D$8="Weather Zone 5: El Paso",VLOOKUP($D111,$DI$9:$DL$37,MATCH($C111,$DI$9:$DL$9,0),FALSE),VLOOKUP($D111,$DE$9:$DH$37,MATCH($C111,$DE$9:$DH$9,0),FALSE)))</f>
        <v/>
      </c>
      <c r="DE271" s="6"/>
      <c r="DF271" s="7"/>
      <c r="DG271" s="7"/>
      <c r="DH271" s="7"/>
    </row>
    <row r="272" spans="2:117" x14ac:dyDescent="0.25">
      <c r="DD272" s="196" t="str">
        <f>IF(OR('Project Info'!$D$8="",$C112="",$D112=""),"",IF('Project Info'!$D$8="Weather Zone 5: El Paso",VLOOKUP($D112,$DI$9:$DL$37,MATCH($C112,$DI$9:$DL$9,0),FALSE),VLOOKUP($D112,$DE$9:$DH$37,MATCH($C112,$DE$9:$DH$9,0),FALSE)))</f>
        <v/>
      </c>
      <c r="DE272" s="6"/>
      <c r="DF272" s="7"/>
      <c r="DG272" s="7"/>
      <c r="DH272" s="7"/>
    </row>
    <row r="273" spans="63:112" x14ac:dyDescent="0.25">
      <c r="DD273" s="196" t="str">
        <f>IF(OR('Project Info'!$D$8="",$C113="",$D113=""),"",IF('Project Info'!$D$8="Weather Zone 5: El Paso",VLOOKUP($D113,$DI$9:$DL$37,MATCH($C113,$DI$9:$DL$9,0),FALSE),VLOOKUP($D113,$DE$9:$DH$37,MATCH($C113,$DE$9:$DH$9,0),FALSE)))</f>
        <v/>
      </c>
      <c r="DE273" s="6"/>
      <c r="DF273" s="7"/>
      <c r="DG273" s="7"/>
      <c r="DH273" s="7"/>
    </row>
    <row r="274" spans="63:112" x14ac:dyDescent="0.25">
      <c r="DD274" s="196" t="str">
        <f>IF(OR('Project Info'!$D$8="",$C114="",$D114=""),"",IF('Project Info'!$D$8="Weather Zone 5: El Paso",VLOOKUP($D114,$DI$9:$DL$37,MATCH($C114,$DI$9:$DL$9,0),FALSE),VLOOKUP($D114,$DE$9:$DH$37,MATCH($C114,$DE$9:$DH$9,0),FALSE)))</f>
        <v/>
      </c>
      <c r="DE274" s="6"/>
      <c r="DF274" s="7"/>
      <c r="DG274" s="7"/>
      <c r="DH274" s="7"/>
    </row>
    <row r="275" spans="63:112" x14ac:dyDescent="0.25">
      <c r="DD275" s="196" t="str">
        <f>IF(OR('Project Info'!$D$8="",$C115="",$D115=""),"",IF('Project Info'!$D$8="Weather Zone 5: El Paso",VLOOKUP($D115,$DI$9:$DL$37,MATCH($C115,$DI$9:$DL$9,0),FALSE),VLOOKUP($D115,$DE$9:$DH$37,MATCH($C115,$DE$9:$DH$9,0),FALSE)))</f>
        <v/>
      </c>
      <c r="DE275" s="6"/>
      <c r="DF275" s="7"/>
      <c r="DG275" s="7"/>
      <c r="DH275" s="7"/>
    </row>
    <row r="276" spans="63:112" x14ac:dyDescent="0.25">
      <c r="DD276" s="196" t="str">
        <f>IF(OR('Project Info'!$D$8="",$C116="",$D116=""),"",IF('Project Info'!$D$8="Weather Zone 5: El Paso",VLOOKUP($D116,$DI$9:$DL$37,MATCH($C116,$DI$9:$DL$9,0),FALSE),VLOOKUP($D116,$DE$9:$DH$37,MATCH($C116,$DE$9:$DH$9,0),FALSE)))</f>
        <v/>
      </c>
      <c r="DE276" s="6"/>
      <c r="DF276" s="7"/>
      <c r="DG276" s="7"/>
      <c r="DH276" s="7"/>
    </row>
    <row r="277" spans="63:112" x14ac:dyDescent="0.25">
      <c r="DD277" s="196" t="str">
        <f>IF(OR('Project Info'!$D$8="",$C117="",$D117=""),"",IF('Project Info'!$D$8="Weather Zone 5: El Paso",VLOOKUP($D117,$DI$9:$DL$37,MATCH($C117,$DI$9:$DL$9,0),FALSE),VLOOKUP($D117,$DE$9:$DH$37,MATCH($C117,$DE$9:$DH$9,0),FALSE)))</f>
        <v/>
      </c>
      <c r="DE277" s="6"/>
      <c r="DF277" s="7"/>
      <c r="DG277" s="7"/>
      <c r="DH277" s="7"/>
    </row>
    <row r="278" spans="63:112" x14ac:dyDescent="0.25">
      <c r="DD278" s="196" t="str">
        <f>IF(OR('Project Info'!$D$8="",$C118="",$D118=""),"",IF('Project Info'!$D$8="Weather Zone 5: El Paso",VLOOKUP($D118,$DI$9:$DL$37,MATCH($C118,$DI$9:$DL$9,0),FALSE),VLOOKUP($D118,$DE$9:$DH$37,MATCH($C118,$DE$9:$DH$9,0),FALSE)))</f>
        <v/>
      </c>
      <c r="DE278" s="6"/>
      <c r="DF278" s="7"/>
      <c r="DG278" s="7"/>
      <c r="DH278" s="7"/>
    </row>
    <row r="279" spans="63:112" x14ac:dyDescent="0.25">
      <c r="BK279" s="5"/>
      <c r="BW279" s="5"/>
      <c r="BX279" s="616"/>
      <c r="BY279" s="425"/>
      <c r="BZ279" s="425"/>
      <c r="CA279" s="616"/>
      <c r="CB279" s="616"/>
      <c r="DD279" s="196" t="str">
        <f>IF(OR('Project Info'!$D$8="",$C119="",$D119=""),"",IF('Project Info'!$D$8="Weather Zone 5: El Paso",VLOOKUP($D119,$DI$9:$DL$37,MATCH($C119,$DI$9:$DL$9,0),FALSE),VLOOKUP($D119,$DE$9:$DH$37,MATCH($C119,$DE$9:$DH$9,0),FALSE)))</f>
        <v/>
      </c>
      <c r="DE279" s="6"/>
      <c r="DF279" s="7"/>
      <c r="DG279" s="7"/>
      <c r="DH279" s="7"/>
    </row>
    <row r="280" spans="63:112" x14ac:dyDescent="0.25">
      <c r="BK280" s="5"/>
      <c r="BW280" s="5"/>
      <c r="BX280" s="616"/>
      <c r="BY280" s="425"/>
      <c r="BZ280" s="425"/>
      <c r="CA280" s="616"/>
      <c r="CB280" s="616"/>
      <c r="DD280" s="196" t="str">
        <f>IF(OR('Project Info'!$D$8="",$C120="",$D120=""),"",IF('Project Info'!$D$8="Weather Zone 5: El Paso",VLOOKUP($D120,$DI$9:$DL$37,MATCH($C120,$DI$9:$DL$9,0),FALSE),VLOOKUP($D120,$DE$9:$DH$37,MATCH($C120,$DE$9:$DH$9,0),FALSE)))</f>
        <v/>
      </c>
      <c r="DE280" s="6"/>
      <c r="DF280" s="7"/>
      <c r="DG280" s="7"/>
      <c r="DH280" s="7"/>
    </row>
    <row r="281" spans="63:112" x14ac:dyDescent="0.25">
      <c r="BK281" s="5"/>
      <c r="BW281" s="5"/>
      <c r="BX281" s="616"/>
      <c r="BY281" s="425"/>
      <c r="BZ281" s="425"/>
      <c r="CA281" s="616"/>
      <c r="CB281" s="616"/>
      <c r="DD281" s="196" t="str">
        <f>IF(OR('Project Info'!$D$8="",$C121="",$D121=""),"",IF('Project Info'!$D$8="Weather Zone 5: El Paso",VLOOKUP($D121,$DI$9:$DL$37,MATCH($C121,$DI$9:$DL$9,0),FALSE),VLOOKUP($D121,$DE$9:$DH$37,MATCH($C121,$DE$9:$DH$9,0),FALSE)))</f>
        <v/>
      </c>
      <c r="DE281" s="6"/>
      <c r="DF281" s="7"/>
      <c r="DG281" s="7"/>
      <c r="DH281" s="7"/>
    </row>
    <row r="282" spans="63:112" x14ac:dyDescent="0.25">
      <c r="BK282" s="5"/>
      <c r="BW282" s="5"/>
      <c r="BX282" s="616"/>
      <c r="BY282" s="425"/>
      <c r="BZ282" s="425"/>
      <c r="CA282" s="616"/>
      <c r="CB282" s="616"/>
      <c r="DD282" s="196" t="str">
        <f>IF(OR('Project Info'!$D$8="",$C122="",$D122=""),"",IF('Project Info'!$D$8="Weather Zone 5: El Paso",VLOOKUP($D122,$DI$9:$DL$37,MATCH($C122,$DI$9:$DL$9,0),FALSE),VLOOKUP($D122,$DE$9:$DH$37,MATCH($C122,$DE$9:$DH$9,0),FALSE)))</f>
        <v/>
      </c>
      <c r="DE282" s="6"/>
      <c r="DF282" s="7"/>
      <c r="DG282" s="7"/>
      <c r="DH282" s="7"/>
    </row>
    <row r="283" spans="63:112" x14ac:dyDescent="0.25">
      <c r="BK283" s="5"/>
      <c r="BW283" s="5"/>
      <c r="BX283" s="616"/>
      <c r="BY283" s="425"/>
      <c r="BZ283" s="425"/>
      <c r="CA283" s="616"/>
      <c r="CB283" s="616"/>
      <c r="DD283" s="196" t="str">
        <f>IF(OR('Project Info'!$D$8="",$C123="",$D123=""),"",IF('Project Info'!$D$8="Weather Zone 5: El Paso",VLOOKUP($D123,$DI$9:$DL$37,MATCH($C123,$DI$9:$DL$9,0),FALSE),VLOOKUP($D123,$DE$9:$DH$37,MATCH($C123,$DE$9:$DH$9,0),FALSE)))</f>
        <v/>
      </c>
      <c r="DE283" s="6"/>
      <c r="DF283" s="7"/>
      <c r="DG283" s="7"/>
      <c r="DH283" s="7"/>
    </row>
    <row r="284" spans="63:112" x14ac:dyDescent="0.25">
      <c r="BK284" s="5"/>
      <c r="BW284" s="5"/>
      <c r="BX284" s="616"/>
      <c r="BY284" s="425"/>
      <c r="BZ284" s="425"/>
      <c r="CA284" s="616"/>
      <c r="CB284" s="616"/>
      <c r="DD284" s="196" t="str">
        <f>IF(OR('Project Info'!$D$8="",$C124="",$D124=""),"",IF('Project Info'!$D$8="Weather Zone 5: El Paso",VLOOKUP($D124,$DI$9:$DL$37,MATCH($C124,$DI$9:$DL$9,0),FALSE),VLOOKUP($D124,$DE$9:$DH$37,MATCH($C124,$DE$9:$DH$9,0),FALSE)))</f>
        <v/>
      </c>
      <c r="DE284" s="6"/>
      <c r="DF284" s="7"/>
      <c r="DG284" s="7"/>
      <c r="DH284" s="7"/>
    </row>
    <row r="285" spans="63:112" x14ac:dyDescent="0.25">
      <c r="BK285" s="5"/>
      <c r="BW285" s="5"/>
      <c r="BX285" s="616"/>
      <c r="BY285" s="425"/>
      <c r="BZ285" s="425"/>
      <c r="CA285" s="616"/>
      <c r="CB285" s="616"/>
      <c r="DD285" s="196" t="str">
        <f>IF(OR('Project Info'!$D$8="",$C125="",$D125=""),"",IF('Project Info'!$D$8="Weather Zone 5: El Paso",VLOOKUP($D125,$DI$9:$DL$37,MATCH($C125,$DI$9:$DL$9,0),FALSE),VLOOKUP($D125,$DE$9:$DH$37,MATCH($C125,$DE$9:$DH$9,0),FALSE)))</f>
        <v/>
      </c>
      <c r="DE285" s="6"/>
      <c r="DF285" s="7"/>
      <c r="DG285" s="7"/>
      <c r="DH285" s="7"/>
    </row>
    <row r="286" spans="63:112" x14ac:dyDescent="0.25">
      <c r="BK286" s="5"/>
      <c r="BW286" s="5"/>
      <c r="BX286" s="616"/>
      <c r="BY286" s="425"/>
      <c r="BZ286" s="425"/>
      <c r="CA286" s="616"/>
      <c r="CB286" s="616"/>
      <c r="DD286" s="196" t="str">
        <f>IF(OR('Project Info'!$D$8="",$C126="",$D126=""),"",IF('Project Info'!$D$8="Weather Zone 5: El Paso",VLOOKUP($D126,$DI$9:$DL$37,MATCH($C126,$DI$9:$DL$9,0),FALSE),VLOOKUP($D126,$DE$9:$DH$37,MATCH($C126,$DE$9:$DH$9,0),FALSE)))</f>
        <v/>
      </c>
      <c r="DE286" s="6"/>
      <c r="DF286" s="7"/>
      <c r="DG286" s="7"/>
      <c r="DH286" s="7"/>
    </row>
    <row r="287" spans="63:112" x14ac:dyDescent="0.25">
      <c r="BK287" s="5"/>
      <c r="BW287" s="5"/>
      <c r="BX287" s="616"/>
      <c r="BY287" s="425"/>
      <c r="BZ287" s="425"/>
      <c r="CA287" s="616"/>
      <c r="CB287" s="616"/>
      <c r="DD287" s="196" t="str">
        <f>IF(OR('Project Info'!$D$8="",$C127="",$D127=""),"",IF('Project Info'!$D$8="Weather Zone 5: El Paso",VLOOKUP($D127,$DI$9:$DL$37,MATCH($C127,$DI$9:$DL$9,0),FALSE),VLOOKUP($D127,$DE$9:$DH$37,MATCH($C127,$DE$9:$DH$9,0),FALSE)))</f>
        <v/>
      </c>
      <c r="DE287" s="6"/>
      <c r="DF287" s="7"/>
      <c r="DG287" s="7"/>
      <c r="DH287" s="7"/>
    </row>
    <row r="288" spans="63:112" x14ac:dyDescent="0.25">
      <c r="BK288" s="5"/>
      <c r="BW288" s="5"/>
      <c r="BX288" s="616"/>
      <c r="BY288" s="425"/>
      <c r="BZ288" s="425"/>
      <c r="CA288" s="616"/>
      <c r="CB288" s="616"/>
      <c r="DD288" s="196" t="str">
        <f>IF(OR('Project Info'!$D$8="",$C128="",$D128=""),"",IF('Project Info'!$D$8="Weather Zone 5: El Paso",VLOOKUP($D128,$DI$9:$DL$37,MATCH($C128,$DI$9:$DL$9,0),FALSE),VLOOKUP($D128,$DE$9:$DH$37,MATCH($C128,$DE$9:$DH$9,0),FALSE)))</f>
        <v/>
      </c>
      <c r="DE288" s="6"/>
      <c r="DF288" s="7"/>
      <c r="DG288" s="7"/>
      <c r="DH288" s="7"/>
    </row>
    <row r="289" spans="63:112" x14ac:dyDescent="0.25">
      <c r="BK289" s="5"/>
      <c r="BW289" s="5"/>
      <c r="BX289" s="616"/>
      <c r="BY289" s="425"/>
      <c r="BZ289" s="425"/>
      <c r="CA289" s="616"/>
      <c r="CB289" s="616"/>
      <c r="DD289" s="196" t="str">
        <f>IF(OR('Project Info'!$D$8="",$C129="",$D129=""),"",IF('Project Info'!$D$8="Weather Zone 5: El Paso",VLOOKUP($D129,$DI$9:$DL$37,MATCH($C129,$DI$9:$DL$9,0),FALSE),VLOOKUP($D129,$DE$9:$DH$37,MATCH($C129,$DE$9:$DH$9,0),FALSE)))</f>
        <v/>
      </c>
      <c r="DE289" s="6"/>
      <c r="DF289" s="7"/>
      <c r="DG289" s="7"/>
      <c r="DH289" s="7"/>
    </row>
    <row r="290" spans="63:112" x14ac:dyDescent="0.25">
      <c r="BK290" s="5"/>
      <c r="BW290" s="5"/>
      <c r="BX290" s="616"/>
      <c r="BY290" s="425"/>
      <c r="BZ290" s="425"/>
      <c r="CA290" s="616"/>
      <c r="CB290" s="616"/>
      <c r="DD290" s="196" t="str">
        <f>IF(OR('Project Info'!$D$8="",$C130="",$D130=""),"",IF('Project Info'!$D$8="Weather Zone 5: El Paso",VLOOKUP($D130,$DI$9:$DL$37,MATCH($C130,$DI$9:$DL$9,0),FALSE),VLOOKUP($D130,$DE$9:$DH$37,MATCH($C130,$DE$9:$DH$9,0),FALSE)))</f>
        <v/>
      </c>
      <c r="DE290" s="6"/>
      <c r="DF290" s="7"/>
      <c r="DG290" s="7"/>
      <c r="DH290" s="7"/>
    </row>
    <row r="291" spans="63:112" x14ac:dyDescent="0.25">
      <c r="BK291" s="5"/>
      <c r="BW291" s="5"/>
      <c r="BX291" s="616"/>
      <c r="BY291" s="425"/>
      <c r="BZ291" s="425"/>
      <c r="CA291" s="616"/>
      <c r="CB291" s="616"/>
      <c r="DD291" s="196" t="str">
        <f>IF(OR('Project Info'!$D$8="",$C131="",$D131=""),"",IF('Project Info'!$D$8="Weather Zone 5: El Paso",VLOOKUP($D131,$DI$9:$DL$37,MATCH($C131,$DI$9:$DL$9,0),FALSE),VLOOKUP($D131,$DE$9:$DH$37,MATCH($C131,$DE$9:$DH$9,0),FALSE)))</f>
        <v/>
      </c>
      <c r="DE291" s="6"/>
      <c r="DF291" s="7"/>
      <c r="DG291" s="7"/>
      <c r="DH291" s="7"/>
    </row>
    <row r="292" spans="63:112" x14ac:dyDescent="0.25">
      <c r="BK292" s="5"/>
      <c r="BW292" s="5"/>
      <c r="BX292" s="616"/>
      <c r="BY292" s="425"/>
      <c r="BZ292" s="425"/>
      <c r="CA292" s="616"/>
      <c r="CB292" s="616"/>
      <c r="DD292" s="196" t="str">
        <f>IF(OR('Project Info'!$D$8="",$C132="",$D132=""),"",IF('Project Info'!$D$8="Weather Zone 5: El Paso",VLOOKUP($D132,$DI$9:$DL$37,MATCH($C132,$DI$9:$DL$9,0),FALSE),VLOOKUP($D132,$DE$9:$DH$37,MATCH($C132,$DE$9:$DH$9,0),FALSE)))</f>
        <v/>
      </c>
      <c r="DE292" s="6"/>
      <c r="DF292" s="7"/>
      <c r="DG292" s="7"/>
      <c r="DH292" s="7"/>
    </row>
    <row r="293" spans="63:112" x14ac:dyDescent="0.25">
      <c r="BK293" s="5"/>
      <c r="BW293" s="5"/>
      <c r="BX293" s="616"/>
      <c r="BY293" s="425"/>
      <c r="BZ293" s="425"/>
      <c r="CA293" s="616"/>
      <c r="CB293" s="616"/>
      <c r="DD293" s="196" t="str">
        <f>IF(OR('Project Info'!$D$8="",$C133="",$D133=""),"",IF('Project Info'!$D$8="Weather Zone 5: El Paso",VLOOKUP($D133,$DI$9:$DL$37,MATCH($C133,$DI$9:$DL$9,0),FALSE),VLOOKUP($D133,$DE$9:$DH$37,MATCH($C133,$DE$9:$DH$9,0),FALSE)))</f>
        <v/>
      </c>
      <c r="DE293" s="6"/>
      <c r="DF293" s="7"/>
      <c r="DG293" s="7"/>
      <c r="DH293" s="7"/>
    </row>
    <row r="294" spans="63:112" x14ac:dyDescent="0.25">
      <c r="BK294" s="5"/>
      <c r="BW294" s="5"/>
      <c r="BX294" s="616"/>
      <c r="BY294" s="425"/>
      <c r="BZ294" s="425"/>
      <c r="CA294" s="616"/>
      <c r="CB294" s="616"/>
      <c r="DD294" s="196" t="str">
        <f>IF(OR('Project Info'!$D$8="",$C134="",$D134=""),"",IF('Project Info'!$D$8="Weather Zone 5: El Paso",VLOOKUP($D134,$DI$9:$DL$37,MATCH($C134,$DI$9:$DL$9,0),FALSE),VLOOKUP($D134,$DE$9:$DH$37,MATCH($C134,$DE$9:$DH$9,0),FALSE)))</f>
        <v/>
      </c>
      <c r="DE294" s="6"/>
      <c r="DF294" s="7"/>
      <c r="DG294" s="7"/>
      <c r="DH294" s="7"/>
    </row>
    <row r="295" spans="63:112" x14ac:dyDescent="0.25">
      <c r="BK295" s="5"/>
      <c r="BW295" s="5"/>
      <c r="BX295" s="616"/>
      <c r="BY295" s="425"/>
      <c r="BZ295" s="425"/>
      <c r="CA295" s="616"/>
      <c r="CB295" s="616"/>
      <c r="DD295" s="196" t="str">
        <f>IF(OR('Project Info'!$D$8="",$C135="",$D135=""),"",IF('Project Info'!$D$8="Weather Zone 5: El Paso",VLOOKUP($D135,$DI$9:$DL$37,MATCH($C135,$DI$9:$DL$9,0),FALSE),VLOOKUP($D135,$DE$9:$DH$37,MATCH($C135,$DE$9:$DH$9,0),FALSE)))</f>
        <v/>
      </c>
      <c r="DE295" s="6"/>
      <c r="DF295" s="7"/>
      <c r="DG295" s="7"/>
      <c r="DH295" s="7"/>
    </row>
    <row r="296" spans="63:112" x14ac:dyDescent="0.25">
      <c r="BK296" s="5"/>
      <c r="BW296" s="5"/>
      <c r="BX296" s="616"/>
      <c r="BY296" s="425"/>
      <c r="BZ296" s="425"/>
      <c r="CA296" s="616"/>
      <c r="CB296" s="616"/>
      <c r="DD296" s="196" t="str">
        <f>IF(OR('Project Info'!$D$8="",$C136="",$D136=""),"",IF('Project Info'!$D$8="Weather Zone 5: El Paso",VLOOKUP($D136,$DI$9:$DL$37,MATCH($C136,$DI$9:$DL$9,0),FALSE),VLOOKUP($D136,$DE$9:$DH$37,MATCH($C136,$DE$9:$DH$9,0),FALSE)))</f>
        <v/>
      </c>
      <c r="DE296" s="6"/>
      <c r="DF296" s="7"/>
      <c r="DG296" s="7"/>
      <c r="DH296" s="7"/>
    </row>
    <row r="297" spans="63:112" x14ac:dyDescent="0.25">
      <c r="BK297" s="5"/>
      <c r="BW297" s="5"/>
      <c r="BX297" s="616"/>
      <c r="BY297" s="425"/>
      <c r="BZ297" s="425"/>
      <c r="CA297" s="616"/>
      <c r="CB297" s="616"/>
      <c r="DD297" s="196" t="str">
        <f>IF(OR('Project Info'!$D$8="",$C137="",$D137=""),"",IF('Project Info'!$D$8="Weather Zone 5: El Paso",VLOOKUP($D137,$DI$9:$DL$37,MATCH($C137,$DI$9:$DL$9,0),FALSE),VLOOKUP($D137,$DE$9:$DH$37,MATCH($C137,$DE$9:$DH$9,0),FALSE)))</f>
        <v/>
      </c>
      <c r="DE297" s="6"/>
      <c r="DF297" s="7"/>
      <c r="DG297" s="7"/>
      <c r="DH297" s="7"/>
    </row>
    <row r="298" spans="63:112" x14ac:dyDescent="0.25">
      <c r="BK298" s="5"/>
      <c r="BW298" s="5"/>
      <c r="BX298" s="616"/>
      <c r="BY298" s="425"/>
      <c r="BZ298" s="425"/>
      <c r="CA298" s="616"/>
      <c r="CB298" s="616"/>
      <c r="DD298" s="196" t="str">
        <f>IF(OR('Project Info'!$D$8="",$C138="",$D138=""),"",IF('Project Info'!$D$8="Weather Zone 5: El Paso",VLOOKUP($D138,$DI$9:$DL$37,MATCH($C138,$DI$9:$DL$9,0),FALSE),VLOOKUP($D138,$DE$9:$DH$37,MATCH($C138,$DE$9:$DH$9,0),FALSE)))</f>
        <v/>
      </c>
      <c r="DE298" s="6"/>
      <c r="DF298" s="7"/>
      <c r="DG298" s="7"/>
      <c r="DH298" s="7"/>
    </row>
    <row r="299" spans="63:112" x14ac:dyDescent="0.25">
      <c r="BK299" s="5"/>
      <c r="BW299" s="5"/>
      <c r="BX299" s="616"/>
      <c r="BY299" s="425"/>
      <c r="BZ299" s="425"/>
      <c r="CA299" s="616"/>
      <c r="CB299" s="616"/>
      <c r="DD299" s="196" t="str">
        <f>IF(OR('Project Info'!$D$8="",$C139="",$D139=""),"",IF('Project Info'!$D$8="Weather Zone 5: El Paso",VLOOKUP($D139,$DI$9:$DL$37,MATCH($C139,$DI$9:$DL$9,0),FALSE),VLOOKUP($D139,$DE$9:$DH$37,MATCH($C139,$DE$9:$DH$9,0),FALSE)))</f>
        <v/>
      </c>
      <c r="DE299" s="6"/>
      <c r="DF299" s="7"/>
      <c r="DG299" s="7"/>
      <c r="DH299" s="7"/>
    </row>
    <row r="300" spans="63:112" x14ac:dyDescent="0.25">
      <c r="BK300" s="5"/>
      <c r="BW300" s="5"/>
      <c r="BX300" s="616"/>
      <c r="BY300" s="425"/>
      <c r="BZ300" s="425"/>
      <c r="CA300" s="616"/>
      <c r="CB300" s="616"/>
      <c r="DD300" s="196" t="str">
        <f>IF(OR('Project Info'!$D$8="",$C140="",$D140=""),"",IF('Project Info'!$D$8="Weather Zone 5: El Paso",VLOOKUP($D140,$DI$9:$DL$37,MATCH($C140,$DI$9:$DL$9,0),FALSE),VLOOKUP($D140,$DE$9:$DH$37,MATCH($C140,$DE$9:$DH$9,0),FALSE)))</f>
        <v/>
      </c>
      <c r="DE300" s="6"/>
      <c r="DF300" s="7"/>
      <c r="DG300" s="7"/>
      <c r="DH300" s="7"/>
    </row>
    <row r="301" spans="63:112" x14ac:dyDescent="0.25">
      <c r="BK301" s="5"/>
      <c r="BW301" s="5"/>
      <c r="BX301" s="616"/>
      <c r="BY301" s="425"/>
      <c r="BZ301" s="425"/>
      <c r="CA301" s="616"/>
      <c r="CB301" s="616"/>
      <c r="DD301" s="196" t="str">
        <f>IF(OR('Project Info'!$D$8="",$C141="",$D141=""),"",IF('Project Info'!$D$8="Weather Zone 5: El Paso",VLOOKUP($D141,$DI$9:$DL$37,MATCH($C141,$DI$9:$DL$9,0),FALSE),VLOOKUP($D141,$DE$9:$DH$37,MATCH($C141,$DE$9:$DH$9,0),FALSE)))</f>
        <v/>
      </c>
      <c r="DE301" s="6"/>
      <c r="DF301" s="7"/>
      <c r="DG301" s="7"/>
      <c r="DH301" s="7"/>
    </row>
    <row r="302" spans="63:112" x14ac:dyDescent="0.25">
      <c r="BK302" s="5"/>
      <c r="BW302" s="5"/>
      <c r="BX302" s="616"/>
      <c r="BY302" s="425"/>
      <c r="BZ302" s="425"/>
      <c r="CA302" s="616"/>
      <c r="CB302" s="616"/>
      <c r="DD302" s="196" t="str">
        <f>IF(OR('Project Info'!$D$8="",$C142="",$D142=""),"",IF('Project Info'!$D$8="Weather Zone 5: El Paso",VLOOKUP($D142,$DI$9:$DL$37,MATCH($C142,$DI$9:$DL$9,0),FALSE),VLOOKUP($D142,$DE$9:$DH$37,MATCH($C142,$DE$9:$DH$9,0),FALSE)))</f>
        <v/>
      </c>
      <c r="DE302" s="6"/>
      <c r="DF302" s="7"/>
      <c r="DG302" s="7"/>
      <c r="DH302" s="7"/>
    </row>
    <row r="303" spans="63:112" x14ac:dyDescent="0.25">
      <c r="BK303" s="5"/>
      <c r="BW303" s="5"/>
      <c r="BX303" s="616"/>
      <c r="BY303" s="425"/>
      <c r="BZ303" s="425"/>
      <c r="CA303" s="616"/>
      <c r="CB303" s="616"/>
      <c r="DD303" s="196" t="str">
        <f>IF(OR('Project Info'!$D$8="",$C143="",$D143=""),"",IF('Project Info'!$D$8="Weather Zone 5: El Paso",VLOOKUP($D143,$DI$9:$DL$37,MATCH($C143,$DI$9:$DL$9,0),FALSE),VLOOKUP($D143,$DE$9:$DH$37,MATCH($C143,$DE$9:$DH$9,0),FALSE)))</f>
        <v/>
      </c>
      <c r="DE303" s="6"/>
      <c r="DF303" s="7"/>
      <c r="DG303" s="7"/>
      <c r="DH303" s="7"/>
    </row>
    <row r="304" spans="63:112" x14ac:dyDescent="0.25">
      <c r="BK304" s="5"/>
      <c r="BW304" s="5"/>
      <c r="BX304" s="616"/>
      <c r="BY304" s="425"/>
      <c r="BZ304" s="425"/>
      <c r="CA304" s="616"/>
      <c r="CB304" s="616"/>
      <c r="DD304" s="196" t="str">
        <f>IF(OR('Project Info'!$D$8="",$C144="",$D144=""),"",IF('Project Info'!$D$8="Weather Zone 5: El Paso",VLOOKUP($D144,$DI$9:$DL$37,MATCH($C144,$DI$9:$DL$9,0),FALSE),VLOOKUP($D144,$DE$9:$DH$37,MATCH($C144,$DE$9:$DH$9,0),FALSE)))</f>
        <v/>
      </c>
      <c r="DE304" s="6"/>
      <c r="DF304" s="7"/>
      <c r="DG304" s="7"/>
      <c r="DH304" s="7"/>
    </row>
    <row r="305" spans="63:112" x14ac:dyDescent="0.25">
      <c r="BK305" s="5"/>
      <c r="BW305" s="5"/>
      <c r="BX305" s="616"/>
      <c r="BY305" s="425"/>
      <c r="BZ305" s="425"/>
      <c r="CA305" s="616"/>
      <c r="CB305" s="616"/>
      <c r="DD305" s="196" t="str">
        <f>IF(OR('Project Info'!$D$8="",$C145="",$D145=""),"",IF('Project Info'!$D$8="Weather Zone 5: El Paso",VLOOKUP($D145,$DI$9:$DL$37,MATCH($C145,$DI$9:$DL$9,0),FALSE),VLOOKUP($D145,$DE$9:$DH$37,MATCH($C145,$DE$9:$DH$9,0),FALSE)))</f>
        <v/>
      </c>
      <c r="DE305" s="6"/>
      <c r="DF305" s="7"/>
      <c r="DG305" s="7"/>
      <c r="DH305" s="7"/>
    </row>
    <row r="306" spans="63:112" x14ac:dyDescent="0.25">
      <c r="BK306" s="5"/>
      <c r="BW306" s="5"/>
      <c r="BX306" s="616"/>
      <c r="BY306" s="425"/>
      <c r="BZ306" s="425"/>
      <c r="CA306" s="616"/>
      <c r="CB306" s="616"/>
      <c r="DD306" s="196" t="str">
        <f>IF(OR('Project Info'!$D$8="",$C146="",$D146=""),"",IF('Project Info'!$D$8="Weather Zone 5: El Paso",VLOOKUP($D146,$DI$9:$DL$37,MATCH($C146,$DI$9:$DL$9,0),FALSE),VLOOKUP($D146,$DE$9:$DH$37,MATCH($C146,$DE$9:$DH$9,0),FALSE)))</f>
        <v/>
      </c>
      <c r="DE306" s="6"/>
      <c r="DF306" s="7"/>
      <c r="DG306" s="7"/>
      <c r="DH306" s="7"/>
    </row>
    <row r="307" spans="63:112" x14ac:dyDescent="0.25">
      <c r="BK307" s="5"/>
      <c r="BW307" s="5"/>
      <c r="BX307" s="616"/>
      <c r="BY307" s="425"/>
      <c r="BZ307" s="425"/>
      <c r="CA307" s="616"/>
      <c r="CB307" s="616"/>
      <c r="DD307" s="196" t="str">
        <f>IF(OR('Project Info'!$D$8="",$C147="",$D147=""),"",IF('Project Info'!$D$8="Weather Zone 5: El Paso",VLOOKUP($D147,$DI$9:$DL$37,MATCH($C147,$DI$9:$DL$9,0),FALSE),VLOOKUP($D147,$DE$9:$DH$37,MATCH($C147,$DE$9:$DH$9,0),FALSE)))</f>
        <v/>
      </c>
      <c r="DE307" s="6"/>
      <c r="DF307" s="7"/>
      <c r="DG307" s="7"/>
      <c r="DH307" s="7"/>
    </row>
    <row r="308" spans="63:112" x14ac:dyDescent="0.25">
      <c r="BK308" s="5"/>
      <c r="BW308" s="5"/>
      <c r="BX308" s="616"/>
      <c r="BY308" s="425"/>
      <c r="BZ308" s="425"/>
      <c r="CA308" s="616"/>
      <c r="CB308" s="616"/>
      <c r="DD308" s="196" t="str">
        <f>IF(OR('Project Info'!$D$8="",$C148="",$D148=""),"",IF('Project Info'!$D$8="Weather Zone 5: El Paso",VLOOKUP($D148,$DI$9:$DL$37,MATCH($C148,$DI$9:$DL$9,0),FALSE),VLOOKUP($D148,$DE$9:$DH$37,MATCH($C148,$DE$9:$DH$9,0),FALSE)))</f>
        <v/>
      </c>
      <c r="DE308" s="6"/>
      <c r="DF308" s="7"/>
      <c r="DG308" s="7"/>
      <c r="DH308" s="7"/>
    </row>
    <row r="309" spans="63:112" x14ac:dyDescent="0.25">
      <c r="BK309" s="5"/>
      <c r="BW309" s="5"/>
      <c r="BX309" s="616"/>
      <c r="BY309" s="425"/>
      <c r="BZ309" s="425"/>
      <c r="CA309" s="616"/>
      <c r="CB309" s="616"/>
      <c r="DD309" s="196" t="str">
        <f>IF(OR('Project Info'!$D$8="",$C149="",$D149=""),"",IF('Project Info'!$D$8="Weather Zone 5: El Paso",VLOOKUP($D149,$DI$9:$DL$37,MATCH($C149,$DI$9:$DL$9,0),FALSE),VLOOKUP($D149,$DE$9:$DH$37,MATCH($C149,$DE$9:$DH$9,0),FALSE)))</f>
        <v/>
      </c>
      <c r="DE309" s="6"/>
      <c r="DF309" s="7"/>
      <c r="DG309" s="7"/>
      <c r="DH309" s="7"/>
    </row>
    <row r="310" spans="63:112" x14ac:dyDescent="0.25">
      <c r="BK310" s="5"/>
      <c r="BW310" s="5"/>
      <c r="BX310" s="616"/>
      <c r="BY310" s="425"/>
      <c r="BZ310" s="425"/>
      <c r="CA310" s="616"/>
      <c r="CB310" s="616"/>
      <c r="DD310" s="196" t="str">
        <f>IF(OR('Project Info'!$D$8="",$C150="",$D150=""),"",IF('Project Info'!$D$8="Weather Zone 5: El Paso",VLOOKUP($D150,$DI$9:$DL$37,MATCH($C150,$DI$9:$DL$9,0),FALSE),VLOOKUP($D150,$DE$9:$DH$37,MATCH($C150,$DE$9:$DH$9,0),FALSE)))</f>
        <v/>
      </c>
      <c r="DE310" s="6"/>
      <c r="DF310" s="7"/>
      <c r="DG310" s="7"/>
      <c r="DH310" s="7"/>
    </row>
    <row r="311" spans="63:112" x14ac:dyDescent="0.25">
      <c r="BK311" s="5"/>
      <c r="BW311" s="5"/>
      <c r="BX311" s="616"/>
      <c r="BY311" s="425"/>
      <c r="BZ311" s="425"/>
      <c r="CA311" s="616"/>
      <c r="CB311" s="616"/>
      <c r="DD311" s="196" t="str">
        <f>IF(OR('Project Info'!$D$8="",$C151="",$D151=""),"",IF('Project Info'!$D$8="Weather Zone 5: El Paso",VLOOKUP($D151,$DI$9:$DL$37,MATCH($C151,$DI$9:$DL$9,0),FALSE),VLOOKUP($D151,$DE$9:$DH$37,MATCH($C151,$DE$9:$DH$9,0),FALSE)))</f>
        <v/>
      </c>
      <c r="DE311" s="6"/>
      <c r="DF311" s="7"/>
      <c r="DG311" s="7"/>
      <c r="DH311" s="7"/>
    </row>
    <row r="312" spans="63:112" x14ac:dyDescent="0.25">
      <c r="BK312" s="5"/>
      <c r="BW312" s="5"/>
      <c r="BX312" s="616"/>
      <c r="BY312" s="425"/>
      <c r="BZ312" s="425"/>
      <c r="CA312" s="616"/>
      <c r="CB312" s="616"/>
      <c r="DD312" s="196" t="str">
        <f>IF(OR('Project Info'!$D$8="",$C152="",$D152=""),"",IF('Project Info'!$D$8="Weather Zone 5: El Paso",VLOOKUP($D152,$DI$9:$DL$37,MATCH($C152,$DI$9:$DL$9,0),FALSE),VLOOKUP($D152,$DE$9:$DH$37,MATCH($C152,$DE$9:$DH$9,0),FALSE)))</f>
        <v/>
      </c>
      <c r="DE312" s="6"/>
      <c r="DF312" s="7"/>
      <c r="DG312" s="7"/>
      <c r="DH312" s="7"/>
    </row>
    <row r="313" spans="63:112" x14ac:dyDescent="0.25">
      <c r="BK313" s="5"/>
      <c r="BW313" s="5"/>
      <c r="BX313" s="616"/>
      <c r="BY313" s="425"/>
      <c r="BZ313" s="425"/>
      <c r="CA313" s="616"/>
      <c r="CB313" s="616"/>
      <c r="DD313" s="196" t="str">
        <f>IF(OR('Project Info'!$D$8="",$C153="",$D153=""),"",IF('Project Info'!$D$8="Weather Zone 5: El Paso",VLOOKUP($D153,$DI$9:$DL$37,MATCH($C153,$DI$9:$DL$9,0),FALSE),VLOOKUP($D153,$DE$9:$DH$37,MATCH($C153,$DE$9:$DH$9,0),FALSE)))</f>
        <v/>
      </c>
      <c r="DE313" s="6"/>
      <c r="DF313" s="7"/>
      <c r="DG313" s="7"/>
      <c r="DH313" s="7"/>
    </row>
    <row r="314" spans="63:112" x14ac:dyDescent="0.25">
      <c r="BK314" s="5"/>
      <c r="BW314" s="5"/>
      <c r="BX314" s="616"/>
      <c r="BY314" s="425"/>
      <c r="BZ314" s="425"/>
      <c r="CA314" s="616"/>
      <c r="CB314" s="616"/>
      <c r="DD314" s="196" t="str">
        <f>IF(OR('Project Info'!$D$8="",$C154="",$D154=""),"",IF('Project Info'!$D$8="Weather Zone 5: El Paso",VLOOKUP($D154,$DI$9:$DL$37,MATCH($C154,$DI$9:$DL$9,0),FALSE),VLOOKUP($D154,$DE$9:$DH$37,MATCH($C154,$DE$9:$DH$9,0),FALSE)))</f>
        <v/>
      </c>
      <c r="DE314" s="6"/>
      <c r="DF314" s="7"/>
      <c r="DG314" s="7"/>
      <c r="DH314" s="7"/>
    </row>
    <row r="315" spans="63:112" x14ac:dyDescent="0.25">
      <c r="BK315" s="5"/>
      <c r="BW315" s="5"/>
      <c r="BX315" s="616"/>
      <c r="BY315" s="425"/>
      <c r="BZ315" s="425"/>
      <c r="CA315" s="616"/>
      <c r="CB315" s="616"/>
      <c r="DD315" s="196" t="str">
        <f>IF(OR('Project Info'!$D$8="",$C155="",$D155=""),"",IF('Project Info'!$D$8="Weather Zone 5: El Paso",VLOOKUP($D155,$DI$9:$DL$37,MATCH($C155,$DI$9:$DL$9,0),FALSE),VLOOKUP($D155,$DE$9:$DH$37,MATCH($C155,$DE$9:$DH$9,0),FALSE)))</f>
        <v/>
      </c>
      <c r="DE315" s="6"/>
      <c r="DF315" s="7"/>
      <c r="DG315" s="7"/>
      <c r="DH315" s="7"/>
    </row>
    <row r="316" spans="63:112" x14ac:dyDescent="0.25">
      <c r="BK316" s="5"/>
      <c r="BW316" s="5"/>
      <c r="BX316" s="616"/>
      <c r="BY316" s="425"/>
      <c r="BZ316" s="425"/>
      <c r="CA316" s="616"/>
      <c r="CB316" s="616"/>
      <c r="DD316" s="196" t="str">
        <f>IF(OR('Project Info'!$D$8="",$C156="",$D156=""),"",IF('Project Info'!$D$8="Weather Zone 5: El Paso",VLOOKUP($D156,$DI$9:$DL$37,MATCH($C156,$DI$9:$DL$9,0),FALSE),VLOOKUP($D156,$DE$9:$DH$37,MATCH($C156,$DE$9:$DH$9,0),FALSE)))</f>
        <v/>
      </c>
      <c r="DE316" s="6"/>
      <c r="DF316" s="7"/>
      <c r="DG316" s="7"/>
      <c r="DH316" s="7"/>
    </row>
    <row r="317" spans="63:112" x14ac:dyDescent="0.25">
      <c r="BK317" s="5"/>
      <c r="BW317" s="5"/>
      <c r="BX317" s="616"/>
      <c r="BY317" s="425"/>
      <c r="BZ317" s="425"/>
      <c r="CA317" s="616"/>
      <c r="CB317" s="616"/>
      <c r="DD317" s="196" t="str">
        <f>IF(OR('Project Info'!$D$8="",$C157="",$D157=""),"",IF('Project Info'!$D$8="Weather Zone 5: El Paso",VLOOKUP($D157,$DI$9:$DL$37,MATCH($C157,$DI$9:$DL$9,0),FALSE),VLOOKUP($D157,$DE$9:$DH$37,MATCH($C157,$DE$9:$DH$9,0),FALSE)))</f>
        <v/>
      </c>
      <c r="DE317" s="6"/>
      <c r="DF317" s="7"/>
      <c r="DG317" s="7"/>
      <c r="DH317" s="7"/>
    </row>
    <row r="318" spans="63:112" x14ac:dyDescent="0.25">
      <c r="BK318" s="5"/>
      <c r="BW318" s="5"/>
      <c r="BX318" s="616"/>
      <c r="BY318" s="425"/>
      <c r="BZ318" s="425"/>
      <c r="CA318" s="616"/>
      <c r="CB318" s="616"/>
      <c r="DD318" s="196" t="str">
        <f>IF(OR('Project Info'!$D$8="",$C158="",$D158=""),"",IF('Project Info'!$D$8="Weather Zone 5: El Paso",VLOOKUP($D158,$DI$9:$DL$37,MATCH($C158,$DI$9:$DL$9,0),FALSE),VLOOKUP($D158,$DE$9:$DH$37,MATCH($C158,$DE$9:$DH$9,0),FALSE)))</f>
        <v/>
      </c>
      <c r="DE318" s="6"/>
      <c r="DF318" s="7"/>
      <c r="DG318" s="7"/>
      <c r="DH318" s="7"/>
    </row>
    <row r="319" spans="63:112" x14ac:dyDescent="0.25">
      <c r="BK319" s="5"/>
      <c r="BW319" s="5"/>
      <c r="BX319" s="616"/>
      <c r="BY319" s="425"/>
      <c r="BZ319" s="425"/>
      <c r="CA319" s="616"/>
      <c r="CB319" s="616"/>
      <c r="DD319" s="196" t="str">
        <f>IF(OR('Project Info'!$D$8="",$C159="",$D159=""),"",IF('Project Info'!$D$8="Weather Zone 5: El Paso",VLOOKUP($D159,$DI$9:$DL$37,MATCH($C159,$DI$9:$DL$9,0),FALSE),VLOOKUP($D159,$DE$9:$DH$37,MATCH($C159,$DE$9:$DH$9,0),FALSE)))</f>
        <v/>
      </c>
      <c r="DE319" s="6"/>
      <c r="DF319" s="7"/>
      <c r="DG319" s="7"/>
      <c r="DH319" s="7"/>
    </row>
    <row r="320" spans="63:112" x14ac:dyDescent="0.25">
      <c r="BK320" s="5"/>
      <c r="BW320" s="5"/>
      <c r="BX320" s="616"/>
      <c r="BY320" s="425"/>
      <c r="BZ320" s="425"/>
      <c r="CA320" s="616"/>
      <c r="CB320" s="616"/>
      <c r="DD320" s="196" t="str">
        <f>IF(OR('Project Info'!$D$8="",$C160="",$D160=""),"",IF('Project Info'!$D$8="Weather Zone 5: El Paso",VLOOKUP($D160,$DI$9:$DL$37,MATCH($C160,$DI$9:$DL$9,0),FALSE),VLOOKUP($D160,$DE$9:$DH$37,MATCH($C160,$DE$9:$DH$9,0),FALSE)))</f>
        <v/>
      </c>
      <c r="DE320" s="6"/>
      <c r="DF320" s="7"/>
      <c r="DG320" s="7"/>
      <c r="DH320" s="7"/>
    </row>
    <row r="321" spans="63:112" x14ac:dyDescent="0.25">
      <c r="BK321" s="5"/>
      <c r="BW321" s="5"/>
      <c r="BX321" s="616"/>
      <c r="BY321" s="425"/>
      <c r="BZ321" s="425"/>
      <c r="CA321" s="616"/>
      <c r="CB321" s="616"/>
      <c r="DD321" s="196" t="str">
        <f>IF(OR('Project Info'!$D$8="",$C161="",$D161=""),"",IF('Project Info'!$D$8="Weather Zone 5: El Paso",VLOOKUP($D161,$DI$9:$DL$37,MATCH($C161,$DI$9:$DL$9,0),FALSE),VLOOKUP($D161,$DE$9:$DH$37,MATCH($C161,$DE$9:$DH$9,0),FALSE)))</f>
        <v/>
      </c>
      <c r="DE321" s="6"/>
      <c r="DF321" s="7"/>
      <c r="DG321" s="7"/>
      <c r="DH321" s="7"/>
    </row>
    <row r="322" spans="63:112" x14ac:dyDescent="0.25">
      <c r="BK322" s="5"/>
      <c r="BW322" s="5"/>
      <c r="BX322" s="616"/>
      <c r="BY322" s="425"/>
      <c r="BZ322" s="425"/>
      <c r="CA322" s="616"/>
      <c r="CB322" s="616"/>
      <c r="DD322" s="196" t="str">
        <f>IF(OR('Project Info'!$D$8="",$C162="",$D162=""),"",IF('Project Info'!$D$8="Weather Zone 5: El Paso",VLOOKUP($D162,$DI$9:$DL$37,MATCH($C162,$DI$9:$DL$9,0),FALSE),VLOOKUP($D162,$DE$9:$DH$37,MATCH($C162,$DE$9:$DH$9,0),FALSE)))</f>
        <v/>
      </c>
      <c r="DE322" s="6"/>
      <c r="DF322" s="7"/>
      <c r="DG322" s="7"/>
      <c r="DH322" s="7"/>
    </row>
    <row r="323" spans="63:112" x14ac:dyDescent="0.25">
      <c r="BK323" s="5"/>
      <c r="BW323" s="5"/>
      <c r="BX323" s="616"/>
      <c r="BY323" s="425"/>
      <c r="BZ323" s="425"/>
      <c r="CA323" s="616"/>
      <c r="CB323" s="616"/>
      <c r="DD323" s="196" t="str">
        <f>IF(OR('Project Info'!$D$8="",$C163="",$D163=""),"",IF('Project Info'!$D$8="Weather Zone 5: El Paso",VLOOKUP($D163,$DI$9:$DL$37,MATCH($C163,$DI$9:$DL$9,0),FALSE),VLOOKUP($D163,$DE$9:$DH$37,MATCH($C163,$DE$9:$DH$9,0),FALSE)))</f>
        <v/>
      </c>
      <c r="DE323" s="6"/>
      <c r="DF323" s="7"/>
      <c r="DG323" s="7"/>
      <c r="DH323" s="7"/>
    </row>
    <row r="324" spans="63:112" x14ac:dyDescent="0.25">
      <c r="BK324" s="5"/>
      <c r="BW324" s="5"/>
      <c r="BX324" s="616"/>
      <c r="BY324" s="425"/>
      <c r="BZ324" s="425"/>
      <c r="CA324" s="616"/>
      <c r="CB324" s="616"/>
      <c r="DD324" s="196" t="str">
        <f>IF(OR('Project Info'!$D$8="",$C164="",$D164=""),"",IF('Project Info'!$D$8="Weather Zone 5: El Paso",VLOOKUP($D164,$DI$9:$DL$37,MATCH($C164,$DI$9:$DL$9,0),FALSE),VLOOKUP($D164,$DE$9:$DH$37,MATCH($C164,$DE$9:$DH$9,0),FALSE)))</f>
        <v/>
      </c>
      <c r="DE324" s="6"/>
      <c r="DF324" s="7"/>
      <c r="DG324" s="7"/>
      <c r="DH324" s="7"/>
    </row>
    <row r="325" spans="63:112" x14ac:dyDescent="0.25">
      <c r="BK325" s="5"/>
      <c r="BW325" s="5"/>
      <c r="BX325" s="616"/>
      <c r="BY325" s="425"/>
      <c r="BZ325" s="425"/>
      <c r="CA325" s="616"/>
      <c r="CB325" s="616"/>
      <c r="DD325" s="196" t="str">
        <f>IF(OR('Project Info'!$D$8="",$C165="",$D165=""),"",IF('Project Info'!$D$8="Weather Zone 5: El Paso",VLOOKUP($D165,$DI$9:$DL$37,MATCH($C165,$DI$9:$DL$9,0),FALSE),VLOOKUP($D165,$DE$9:$DH$37,MATCH($C165,$DE$9:$DH$9,0),FALSE)))</f>
        <v/>
      </c>
      <c r="DE325" s="6"/>
      <c r="DF325" s="7"/>
      <c r="DG325" s="7"/>
      <c r="DH325" s="7"/>
    </row>
    <row r="326" spans="63:112" x14ac:dyDescent="0.25">
      <c r="BK326" s="5"/>
      <c r="BW326" s="5"/>
      <c r="BX326" s="616"/>
      <c r="BY326" s="425"/>
      <c r="BZ326" s="425"/>
      <c r="CA326" s="616"/>
      <c r="CB326" s="616"/>
      <c r="DD326" s="196" t="str">
        <f>IF(OR('Project Info'!$D$8="",$C166="",$D166=""),"",IF('Project Info'!$D$8="Weather Zone 5: El Paso",VLOOKUP($D166,$DI$9:$DL$37,MATCH($C166,$DI$9:$DL$9,0),FALSE),VLOOKUP($D166,$DE$9:$DH$37,MATCH($C166,$DE$9:$DH$9,0),FALSE)))</f>
        <v/>
      </c>
      <c r="DE326" s="6"/>
      <c r="DF326" s="7"/>
      <c r="DG326" s="7"/>
      <c r="DH326" s="7"/>
    </row>
    <row r="327" spans="63:112" x14ac:dyDescent="0.25">
      <c r="BK327" s="5"/>
      <c r="BW327" s="5"/>
      <c r="BX327" s="616"/>
      <c r="BY327" s="425"/>
      <c r="BZ327" s="425"/>
      <c r="CA327" s="616"/>
      <c r="CB327" s="616"/>
      <c r="DD327" s="196" t="str">
        <f>IF(OR('Project Info'!$D$8="",$C167="",$D167=""),"",IF('Project Info'!$D$8="Weather Zone 5: El Paso",VLOOKUP($D167,$DI$9:$DL$37,MATCH($C167,$DI$9:$DL$9,0),FALSE),VLOOKUP($D167,$DE$9:$DH$37,MATCH($C167,$DE$9:$DH$9,0),FALSE)))</f>
        <v/>
      </c>
      <c r="DE327" s="6"/>
      <c r="DF327" s="7"/>
      <c r="DG327" s="7"/>
      <c r="DH327" s="7"/>
    </row>
    <row r="328" spans="63:112" x14ac:dyDescent="0.25">
      <c r="BK328" s="5"/>
      <c r="BW328" s="5"/>
      <c r="BX328" s="616"/>
      <c r="BY328" s="425"/>
      <c r="BZ328" s="425"/>
      <c r="CA328" s="616"/>
      <c r="CB328" s="616"/>
      <c r="DD328" s="196" t="str">
        <f>IF(OR('Project Info'!$D$8="",$C168="",$D168=""),"",IF('Project Info'!$D$8="Weather Zone 5: El Paso",VLOOKUP($D168,$DI$9:$DL$37,MATCH($C168,$DI$9:$DL$9,0),FALSE),VLOOKUP($D168,$DE$9:$DH$37,MATCH($C168,$DE$9:$DH$9,0),FALSE)))</f>
        <v/>
      </c>
      <c r="DE328" s="6"/>
      <c r="DF328" s="7"/>
      <c r="DG328" s="7"/>
      <c r="DH328" s="7"/>
    </row>
    <row r="329" spans="63:112" x14ac:dyDescent="0.25">
      <c r="BK329" s="5"/>
      <c r="BW329" s="5"/>
      <c r="BX329" s="616"/>
      <c r="BY329" s="425"/>
      <c r="BZ329" s="425"/>
      <c r="CA329" s="616"/>
      <c r="CB329" s="616"/>
      <c r="DD329" s="196" t="str">
        <f>IF(OR('Project Info'!$D$8="",$C169="",$D169=""),"",IF('Project Info'!$D$8="Weather Zone 5: El Paso",VLOOKUP($D169,$DI$9:$DL$37,MATCH($C169,$DI$9:$DL$9,0),FALSE),VLOOKUP($D169,$DE$9:$DH$37,MATCH($C169,$DE$9:$DH$9,0),FALSE)))</f>
        <v/>
      </c>
      <c r="DE329" s="6"/>
      <c r="DF329" s="7"/>
      <c r="DG329" s="7"/>
      <c r="DH329" s="7"/>
    </row>
    <row r="330" spans="63:112" x14ac:dyDescent="0.25">
      <c r="BK330" s="5"/>
      <c r="BW330" s="5"/>
      <c r="BX330" s="616"/>
      <c r="BY330" s="425"/>
      <c r="BZ330" s="425"/>
      <c r="CA330" s="616"/>
      <c r="CB330" s="616"/>
      <c r="DD330" s="196" t="str">
        <f>IF(OR('Project Info'!$D$8="",$C170="",$D170=""),"",IF('Project Info'!$D$8="Weather Zone 5: El Paso",VLOOKUP($D170,$DI$9:$DL$37,MATCH($C170,$DI$9:$DL$9,0),FALSE),VLOOKUP($D170,$DE$9:$DH$37,MATCH($C170,$DE$9:$DH$9,0),FALSE)))</f>
        <v/>
      </c>
      <c r="DE330" s="6"/>
      <c r="DF330" s="7"/>
      <c r="DG330" s="7"/>
      <c r="DH330" s="7"/>
    </row>
    <row r="331" spans="63:112" x14ac:dyDescent="0.25">
      <c r="BK331" s="5"/>
      <c r="BW331" s="5"/>
      <c r="BX331" s="616"/>
      <c r="BY331" s="425"/>
      <c r="BZ331" s="425"/>
      <c r="CA331" s="616"/>
      <c r="CB331" s="616"/>
      <c r="DD331" s="196" t="str">
        <f>IF(OR('Project Info'!$D$8="",$C171="",$D171=""),"",IF('Project Info'!$D$8="Weather Zone 5: El Paso",VLOOKUP($D171,$DI$9:$DL$37,MATCH($C171,$DI$9:$DL$9,0),FALSE),VLOOKUP($D171,$DE$9:$DH$37,MATCH($C171,$DE$9:$DH$9,0),FALSE)))</f>
        <v/>
      </c>
      <c r="DE331" s="6"/>
      <c r="DF331" s="7"/>
      <c r="DG331" s="7"/>
      <c r="DH331" s="7"/>
    </row>
    <row r="332" spans="63:112" x14ac:dyDescent="0.25">
      <c r="BK332" s="5"/>
      <c r="BW332" s="5"/>
      <c r="BX332" s="616"/>
      <c r="BY332" s="425"/>
      <c r="BZ332" s="425"/>
      <c r="CA332" s="616"/>
      <c r="CB332" s="616"/>
      <c r="DD332" s="196" t="str">
        <f>IF(OR('Project Info'!$D$8="",$C172="",$D172=""),"",IF('Project Info'!$D$8="Weather Zone 5: El Paso",VLOOKUP($D172,$DI$9:$DL$37,MATCH($C172,$DI$9:$DL$9,0),FALSE),VLOOKUP($D172,$DE$9:$DH$37,MATCH($C172,$DE$9:$DH$9,0),FALSE)))</f>
        <v/>
      </c>
      <c r="DE332" s="6"/>
      <c r="DF332" s="7"/>
      <c r="DG332" s="7"/>
      <c r="DH332" s="7"/>
    </row>
    <row r="333" spans="63:112" s="616" customFormat="1" x14ac:dyDescent="0.25">
      <c r="DD333" s="196" t="str">
        <f>IF(OR('Project Info'!$D$8="",$C173="",$D173=""),"",IF('Project Info'!$D$8="Weather Zone 5: El Paso",VLOOKUP($D173,$DI$9:$DL$37,MATCH($C173,$DI$9:$DL$9,0),FALSE),VLOOKUP($D173,$DE$9:$DH$37,MATCH($C173,$DE$9:$DH$9,0),FALSE)))</f>
        <v/>
      </c>
      <c r="DE333" s="617"/>
      <c r="DF333" s="618"/>
      <c r="DG333" s="618"/>
      <c r="DH333" s="618"/>
    </row>
    <row r="334" spans="63:112" s="616" customFormat="1" x14ac:dyDescent="0.25">
      <c r="DD334" s="196" t="str">
        <f>IF(OR('Project Info'!$D$8="",$C174="",$D174=""),"",IF('Project Info'!$D$8="Weather Zone 5: El Paso",VLOOKUP($D174,$DI$9:$DL$37,MATCH($C174,$DI$9:$DL$9,0),FALSE),VLOOKUP($D174,$DE$9:$DH$37,MATCH($C174,$DE$9:$DH$9,0),FALSE)))</f>
        <v/>
      </c>
      <c r="DE334" s="617"/>
      <c r="DF334" s="618"/>
      <c r="DG334" s="618"/>
      <c r="DH334" s="618"/>
    </row>
    <row r="335" spans="63:112" s="616" customFormat="1" x14ac:dyDescent="0.25">
      <c r="DD335" s="196" t="str">
        <f>IF(OR('Project Info'!$D$8="",$C175="",$D175=""),"",IF('Project Info'!$D$8="Weather Zone 5: El Paso",VLOOKUP($D175,$DI$9:$DL$37,MATCH($C175,$DI$9:$DL$9,0),FALSE),VLOOKUP($D175,$DE$9:$DH$37,MATCH($C175,$DE$9:$DH$9,0),FALSE)))</f>
        <v/>
      </c>
      <c r="DE335" s="617"/>
      <c r="DF335" s="618"/>
      <c r="DG335" s="618"/>
      <c r="DH335" s="618"/>
    </row>
    <row r="336" spans="63:112" s="616" customFormat="1" x14ac:dyDescent="0.25">
      <c r="DD336" s="196" t="str">
        <f>IF(OR('Project Info'!$D$8="",$C176="",$D176=""),"",IF('Project Info'!$D$8="Weather Zone 5: El Paso",VLOOKUP($D176,$DI$9:$DL$37,MATCH($C176,$DI$9:$DL$9,0),FALSE),VLOOKUP($D176,$DE$9:$DH$37,MATCH($C176,$DE$9:$DH$9,0),FALSE)))</f>
        <v/>
      </c>
      <c r="DE336" s="617"/>
      <c r="DF336" s="618"/>
      <c r="DG336" s="618"/>
      <c r="DH336" s="618"/>
    </row>
    <row r="337" spans="63:112" x14ac:dyDescent="0.25">
      <c r="BK337" s="5"/>
      <c r="BW337" s="5"/>
      <c r="BX337" s="616"/>
      <c r="BY337" s="425"/>
      <c r="BZ337" s="425"/>
      <c r="CA337" s="616"/>
      <c r="CB337" s="616"/>
      <c r="DD337" s="196" t="str">
        <f>IF(OR('Project Info'!$D$8="",$C177="",$D177=""),"",IF('Project Info'!$D$8="Weather Zone 5: El Paso",VLOOKUP($D177,$DI$9:$DL$37,MATCH($C177,$DI$9:$DL$9,0),FALSE),VLOOKUP($D177,$DE$9:$DH$37,MATCH($C177,$DE$9:$DH$9,0),FALSE)))</f>
        <v/>
      </c>
      <c r="DE337" s="6"/>
      <c r="DF337" s="7"/>
      <c r="DG337" s="7"/>
      <c r="DH337" s="7"/>
    </row>
    <row r="338" spans="63:112" x14ac:dyDescent="0.25">
      <c r="BK338" s="5"/>
      <c r="BW338" s="5"/>
      <c r="BX338" s="616"/>
      <c r="BY338" s="425"/>
      <c r="BZ338" s="425"/>
      <c r="CA338" s="616"/>
      <c r="CB338" s="616"/>
      <c r="DD338" s="196" t="str">
        <f>IF(OR('Project Info'!$D$8="",$C178="",$D178=""),"",IF('Project Info'!$D$8="Weather Zone 5: El Paso",VLOOKUP($D178,$DI$9:$DL$37,MATCH($C178,$DI$9:$DL$9,0),FALSE),VLOOKUP($D178,$DE$9:$DH$37,MATCH($C178,$DE$9:$DH$9,0),FALSE)))</f>
        <v/>
      </c>
      <c r="DE338" s="6"/>
      <c r="DF338" s="7"/>
      <c r="DG338" s="7"/>
      <c r="DH338" s="7"/>
    </row>
    <row r="339" spans="63:112" x14ac:dyDescent="0.25">
      <c r="BK339" s="5"/>
      <c r="BW339" s="5"/>
      <c r="BX339" s="616"/>
      <c r="BY339" s="425"/>
      <c r="BZ339" s="425"/>
      <c r="CA339" s="616"/>
      <c r="CB339" s="616"/>
      <c r="DD339" s="196" t="str">
        <f>IF(OR('Project Info'!$D$8="",$C179="",$D179=""),"",IF('Project Info'!$D$8="Weather Zone 5: El Paso",VLOOKUP($D179,$DI$9:$DL$37,MATCH($C179,$DI$9:$DL$9,0),FALSE),VLOOKUP($D179,$DE$9:$DH$37,MATCH($C179,$DE$9:$DH$9,0),FALSE)))</f>
        <v/>
      </c>
      <c r="DE339" s="6"/>
      <c r="DF339" s="7"/>
      <c r="DG339" s="7"/>
      <c r="DH339" s="7"/>
    </row>
    <row r="340" spans="63:112" x14ac:dyDescent="0.25">
      <c r="BK340" s="5"/>
      <c r="BW340" s="5"/>
      <c r="BX340" s="616"/>
      <c r="BY340" s="425"/>
      <c r="BZ340" s="425"/>
      <c r="CA340" s="616"/>
      <c r="CB340" s="616"/>
      <c r="DD340" s="196" t="str">
        <f>IF(OR('Project Info'!$D$8="",$C180="",$D180=""),"",IF('Project Info'!$D$8="Weather Zone 5: El Paso",VLOOKUP($D180,$DI$9:$DL$37,MATCH($C180,$DI$9:$DL$9,0),FALSE),VLOOKUP($D180,$DE$9:$DH$37,MATCH($C180,$DE$9:$DH$9,0),FALSE)))</f>
        <v/>
      </c>
      <c r="DE340" s="6"/>
      <c r="DF340" s="7"/>
      <c r="DG340" s="7"/>
      <c r="DH340" s="7"/>
    </row>
    <row r="341" spans="63:112" x14ac:dyDescent="0.25">
      <c r="BK341" s="5"/>
      <c r="BW341" s="5"/>
      <c r="BX341" s="616"/>
      <c r="BY341" s="425"/>
      <c r="BZ341" s="425"/>
      <c r="CA341" s="616"/>
      <c r="CB341" s="616"/>
      <c r="DD341" s="196" t="str">
        <f>IF(OR('Project Info'!$D$8="",$C181="",$D181=""),"",IF('Project Info'!$D$8="Weather Zone 5: El Paso",VLOOKUP($D181,$DI$9:$DL$37,MATCH($C181,$DI$9:$DL$9,0),FALSE),VLOOKUP($D181,$DE$9:$DH$37,MATCH($C181,$DE$9:$DH$9,0),FALSE)))</f>
        <v/>
      </c>
      <c r="DE341" s="6"/>
      <c r="DF341" s="7"/>
      <c r="DG341" s="7"/>
      <c r="DH341" s="7"/>
    </row>
    <row r="342" spans="63:112" x14ac:dyDescent="0.25">
      <c r="BK342" s="5"/>
      <c r="BW342" s="5"/>
      <c r="BX342" s="616"/>
      <c r="BY342" s="425"/>
      <c r="BZ342" s="425"/>
      <c r="CA342" s="616"/>
      <c r="CB342" s="616"/>
      <c r="DD342" s="196" t="str">
        <f>IF(OR('Project Info'!$D$8="",$C182="",$D182=""),"",IF('Project Info'!$D$8="Weather Zone 5: El Paso",VLOOKUP($D182,$DI$9:$DL$37,MATCH($C182,$DI$9:$DL$9,0),FALSE),VLOOKUP($D182,$DE$9:$DH$37,MATCH($C182,$DE$9:$DH$9,0),FALSE)))</f>
        <v/>
      </c>
      <c r="DE342" s="6"/>
      <c r="DF342" s="7"/>
      <c r="DG342" s="7"/>
      <c r="DH342" s="7"/>
    </row>
    <row r="343" spans="63:112" x14ac:dyDescent="0.25">
      <c r="BK343" s="5"/>
      <c r="BW343" s="5"/>
      <c r="BX343" s="616"/>
      <c r="BY343" s="425"/>
      <c r="BZ343" s="425"/>
      <c r="CA343" s="616"/>
      <c r="CB343" s="616"/>
      <c r="DD343" s="196" t="str">
        <f>IF(OR('Project Info'!$D$8="",$C183="",$D183=""),"",IF('Project Info'!$D$8="Weather Zone 5: El Paso",VLOOKUP($D183,$DI$9:$DL$37,MATCH($C183,$DI$9:$DL$9,0),FALSE),VLOOKUP($D183,$DE$9:$DH$37,MATCH($C183,$DE$9:$DH$9,0),FALSE)))</f>
        <v/>
      </c>
      <c r="DE343" s="6"/>
      <c r="DF343" s="7"/>
      <c r="DG343" s="7"/>
      <c r="DH343" s="7"/>
    </row>
    <row r="344" spans="63:112" x14ac:dyDescent="0.25">
      <c r="BK344" s="5"/>
      <c r="BW344" s="5"/>
      <c r="BX344" s="616"/>
      <c r="BY344" s="425"/>
      <c r="BZ344" s="425"/>
      <c r="CA344" s="616"/>
      <c r="CB344" s="616"/>
      <c r="DD344" s="196" t="str">
        <f>IF(OR('Project Info'!$D$8="",$C184="",$D184=""),"",IF('Project Info'!$D$8="Weather Zone 5: El Paso",VLOOKUP($D184,$DI$9:$DL$37,MATCH($C184,$DI$9:$DL$9,0),FALSE),VLOOKUP($D184,$DE$9:$DH$37,MATCH($C184,$DE$9:$DH$9,0),FALSE)))</f>
        <v/>
      </c>
      <c r="DE344" s="6"/>
      <c r="DF344" s="7"/>
      <c r="DG344" s="7"/>
      <c r="DH344" s="7"/>
    </row>
    <row r="345" spans="63:112" x14ac:dyDescent="0.25">
      <c r="BK345" s="5"/>
      <c r="BW345" s="5"/>
      <c r="BX345" s="616"/>
      <c r="BY345" s="425"/>
      <c r="BZ345" s="425"/>
      <c r="CA345" s="616"/>
      <c r="CB345" s="616"/>
      <c r="DD345" s="196" t="str">
        <f>IF(OR('Project Info'!$D$8="",$C185="",$D185=""),"",IF('Project Info'!$D$8="Weather Zone 5: El Paso",VLOOKUP($D185,$DI$9:$DL$37,MATCH($C185,$DI$9:$DL$9,0),FALSE),VLOOKUP($D185,$DE$9:$DH$37,MATCH($C185,$DE$9:$DH$9,0),FALSE)))</f>
        <v/>
      </c>
      <c r="DE345" s="6"/>
      <c r="DF345" s="7"/>
      <c r="DG345" s="7"/>
      <c r="DH345" s="7"/>
    </row>
    <row r="346" spans="63:112" x14ac:dyDescent="0.25">
      <c r="BK346" s="5"/>
      <c r="BW346" s="5"/>
      <c r="BX346" s="616"/>
      <c r="BY346" s="425"/>
      <c r="BZ346" s="425"/>
      <c r="CA346" s="616"/>
      <c r="CB346" s="616"/>
      <c r="DD346" s="196" t="str">
        <f>IF(OR('Project Info'!$D$8="",$C186="",$D186=""),"",IF('Project Info'!$D$8="Weather Zone 5: El Paso",VLOOKUP($D186,$DI$9:$DL$37,MATCH($C186,$DI$9:$DL$9,0),FALSE),VLOOKUP($D186,$DE$9:$DH$37,MATCH($C186,$DE$9:$DH$9,0),FALSE)))</f>
        <v/>
      </c>
      <c r="DE346" s="6"/>
      <c r="DF346" s="7"/>
      <c r="DG346" s="7"/>
      <c r="DH346" s="7"/>
    </row>
    <row r="347" spans="63:112" x14ac:dyDescent="0.25">
      <c r="BK347" s="5"/>
      <c r="BW347" s="5"/>
      <c r="BX347" s="616"/>
      <c r="BY347" s="425"/>
      <c r="BZ347" s="425"/>
      <c r="CA347" s="616"/>
      <c r="CB347" s="616"/>
      <c r="DD347" s="196" t="str">
        <f>IF(OR('Project Info'!$D$8="",$C187="",$D187=""),"",IF('Project Info'!$D$8="Weather Zone 5: El Paso",VLOOKUP($D187,$DI$9:$DL$37,MATCH($C187,$DI$9:$DL$9,0),FALSE),VLOOKUP($D187,$DE$9:$DH$37,MATCH($C187,$DE$9:$DH$9,0),FALSE)))</f>
        <v/>
      </c>
      <c r="DE347" s="6"/>
      <c r="DF347" s="7"/>
      <c r="DG347" s="7"/>
      <c r="DH347" s="7"/>
    </row>
    <row r="348" spans="63:112" x14ac:dyDescent="0.25">
      <c r="BK348" s="5"/>
      <c r="BW348" s="5"/>
      <c r="BX348" s="616"/>
      <c r="BY348" s="425"/>
      <c r="BZ348" s="425"/>
      <c r="CA348" s="616"/>
      <c r="CB348" s="616"/>
      <c r="DD348" s="196" t="str">
        <f>IF(OR('Project Info'!$D$8="",$C188="",$D188=""),"",IF('Project Info'!$D$8="Weather Zone 5: El Paso",VLOOKUP($D188,$DI$9:$DL$37,MATCH($C188,$DI$9:$DL$9,0),FALSE),VLOOKUP($D188,$DE$9:$DH$37,MATCH($C188,$DE$9:$DH$9,0),FALSE)))</f>
        <v/>
      </c>
      <c r="DE348" s="6"/>
      <c r="DF348" s="7"/>
      <c r="DG348" s="7"/>
      <c r="DH348" s="7"/>
    </row>
    <row r="349" spans="63:112" x14ac:dyDescent="0.25">
      <c r="BK349" s="5"/>
      <c r="BW349" s="5"/>
      <c r="BX349" s="616"/>
      <c r="BY349" s="425"/>
      <c r="BZ349" s="425"/>
      <c r="CA349" s="616"/>
      <c r="CB349" s="616"/>
      <c r="DD349" s="196" t="str">
        <f>IF(OR('Project Info'!$D$8="",$C189="",$D189=""),"",IF('Project Info'!$D$8="Weather Zone 5: El Paso",VLOOKUP($D189,$DI$9:$DL$37,MATCH($C189,$DI$9:$DL$9,0),FALSE),VLOOKUP($D189,$DE$9:$DH$37,MATCH($C189,$DE$9:$DH$9,0),FALSE)))</f>
        <v/>
      </c>
      <c r="DE349" s="6"/>
      <c r="DF349" s="7"/>
      <c r="DG349" s="7"/>
      <c r="DH349" s="7"/>
    </row>
    <row r="350" spans="63:112" x14ac:dyDescent="0.25">
      <c r="BK350" s="5"/>
      <c r="BW350" s="5"/>
      <c r="BX350" s="616"/>
      <c r="BY350" s="425"/>
      <c r="BZ350" s="425"/>
      <c r="CA350" s="616"/>
      <c r="CB350" s="616"/>
      <c r="DD350" s="196" t="str">
        <f>IF(OR('Project Info'!$D$8="",$C190="",$D190=""),"",IF('Project Info'!$D$8="Weather Zone 5: El Paso",VLOOKUP($D190,$DI$9:$DL$37,MATCH($C190,$DI$9:$DL$9,0),FALSE),VLOOKUP($D190,$DE$9:$DH$37,MATCH($C190,$DE$9:$DH$9,0),FALSE)))</f>
        <v/>
      </c>
      <c r="DE350" s="6"/>
      <c r="DF350" s="7"/>
      <c r="DG350" s="7"/>
      <c r="DH350" s="7"/>
    </row>
    <row r="351" spans="63:112" x14ac:dyDescent="0.25">
      <c r="BK351" s="5"/>
      <c r="BW351" s="5"/>
      <c r="BX351" s="616"/>
      <c r="BY351" s="425"/>
      <c r="BZ351" s="425"/>
      <c r="CA351" s="616"/>
      <c r="CB351" s="616"/>
      <c r="DD351" s="196" t="str">
        <f>IF(OR('Project Info'!$D$8="",$C191="",$D191=""),"",IF('Project Info'!$D$8="Weather Zone 5: El Paso",VLOOKUP($D191,$DI$9:$DL$37,MATCH($C191,$DI$9:$DL$9,0),FALSE),VLOOKUP($D191,$DE$9:$DH$37,MATCH($C191,$DE$9:$DH$9,0),FALSE)))</f>
        <v/>
      </c>
      <c r="DE351" s="6"/>
      <c r="DF351" s="7"/>
      <c r="DG351" s="7"/>
      <c r="DH351" s="7"/>
    </row>
    <row r="352" spans="63:112" x14ac:dyDescent="0.25">
      <c r="BK352" s="5"/>
      <c r="BW352" s="5"/>
      <c r="BX352" s="616"/>
      <c r="BY352" s="425"/>
      <c r="BZ352" s="425"/>
      <c r="CA352" s="616"/>
      <c r="CB352" s="616"/>
      <c r="DD352" s="196" t="str">
        <f>IF(OR('Project Info'!$D$8="",$C192="",$D192=""),"",IF('Project Info'!$D$8="Weather Zone 5: El Paso",VLOOKUP($D192,$DI$9:$DL$37,MATCH($C192,$DI$9:$DL$9,0),FALSE),VLOOKUP($D192,$DE$9:$DH$37,MATCH($C192,$DE$9:$DH$9,0),FALSE)))</f>
        <v/>
      </c>
      <c r="DE352" s="6"/>
      <c r="DF352" s="7"/>
      <c r="DG352" s="7"/>
      <c r="DH352" s="7"/>
    </row>
    <row r="353" spans="63:112" x14ac:dyDescent="0.25">
      <c r="BK353" s="5"/>
      <c r="BW353" s="5"/>
      <c r="BX353" s="616"/>
      <c r="BY353" s="425"/>
      <c r="BZ353" s="425"/>
      <c r="CA353" s="616"/>
      <c r="CB353" s="616"/>
      <c r="DD353" s="196" t="str">
        <f>IF(OR('Project Info'!$D$8="",$C193="",$D193=""),"",IF('Project Info'!$D$8="Weather Zone 5: El Paso",VLOOKUP($D193,$DI$9:$DL$37,MATCH($C193,$DI$9:$DL$9,0),FALSE),VLOOKUP($D193,$DE$9:$DH$37,MATCH($C193,$DE$9:$DH$9,0),FALSE)))</f>
        <v/>
      </c>
      <c r="DE353" s="6"/>
      <c r="DF353" s="7"/>
      <c r="DG353" s="7"/>
      <c r="DH353" s="7"/>
    </row>
    <row r="354" spans="63:112" x14ac:dyDescent="0.25">
      <c r="BK354" s="5"/>
      <c r="BW354" s="5"/>
      <c r="BX354" s="616"/>
      <c r="BY354" s="425"/>
      <c r="BZ354" s="425"/>
      <c r="CA354" s="616"/>
      <c r="CB354" s="616"/>
      <c r="DD354" s="196" t="str">
        <f>IF(OR('Project Info'!$D$8="",$C194="",$D194=""),"",IF('Project Info'!$D$8="Weather Zone 5: El Paso",VLOOKUP($D194,$DI$9:$DL$37,MATCH($C194,$DI$9:$DL$9,0),FALSE),VLOOKUP($D194,$DE$9:$DH$37,MATCH($C194,$DE$9:$DH$9,0),FALSE)))</f>
        <v/>
      </c>
      <c r="DE354" s="6"/>
      <c r="DF354" s="7"/>
      <c r="DG354" s="7"/>
      <c r="DH354" s="7"/>
    </row>
    <row r="355" spans="63:112" x14ac:dyDescent="0.25">
      <c r="BK355" s="5"/>
      <c r="BW355" s="5"/>
      <c r="BX355" s="616"/>
      <c r="BY355" s="425"/>
      <c r="BZ355" s="425"/>
      <c r="CA355" s="616"/>
      <c r="CB355" s="616"/>
      <c r="DD355" s="196" t="str">
        <f>IF(OR('Project Info'!$D$8="",$C195="",$D195=""),"",IF('Project Info'!$D$8="Weather Zone 5: El Paso",VLOOKUP($D195,$DI$9:$DL$37,MATCH($C195,$DI$9:$DL$9,0),FALSE),VLOOKUP($D195,$DE$9:$DH$37,MATCH($C195,$DE$9:$DH$9,0),FALSE)))</f>
        <v/>
      </c>
      <c r="DE355" s="6"/>
      <c r="DF355" s="7"/>
      <c r="DG355" s="7"/>
      <c r="DH355" s="7"/>
    </row>
    <row r="356" spans="63:112" x14ac:dyDescent="0.25">
      <c r="BK356" s="5"/>
      <c r="BW356" s="5"/>
      <c r="BX356" s="616"/>
      <c r="BY356" s="425"/>
      <c r="BZ356" s="425"/>
      <c r="CA356" s="616"/>
      <c r="CB356" s="616"/>
      <c r="DD356" s="196" t="str">
        <f>IF(OR('Project Info'!$D$8="",$C196="",$D196=""),"",IF('Project Info'!$D$8="Weather Zone 5: El Paso",VLOOKUP($D196,$DI$9:$DL$37,MATCH($C196,$DI$9:$DL$9,0),FALSE),VLOOKUP($D196,$DE$9:$DH$37,MATCH($C196,$DE$9:$DH$9,0),FALSE)))</f>
        <v/>
      </c>
      <c r="DE356" s="6"/>
      <c r="DF356" s="7"/>
      <c r="DG356" s="7"/>
      <c r="DH356" s="7"/>
    </row>
    <row r="357" spans="63:112" x14ac:dyDescent="0.25">
      <c r="BK357" s="5"/>
      <c r="BW357" s="5"/>
      <c r="BX357" s="616"/>
      <c r="BY357" s="425"/>
      <c r="BZ357" s="425"/>
      <c r="CA357" s="616"/>
      <c r="CB357" s="616"/>
      <c r="DD357" s="196" t="str">
        <f>IF(OR('Project Info'!$D$8="",$C197="",$D197=""),"",IF('Project Info'!$D$8="Weather Zone 5: El Paso",VLOOKUP($D197,$DI$9:$DL$37,MATCH($C197,$DI$9:$DL$9,0),FALSE),VLOOKUP($D197,$DE$9:$DH$37,MATCH($C197,$DE$9:$DH$9,0),FALSE)))</f>
        <v/>
      </c>
      <c r="DE357" s="6"/>
      <c r="DF357" s="7"/>
      <c r="DG357" s="7"/>
      <c r="DH357" s="7"/>
    </row>
    <row r="358" spans="63:112" x14ac:dyDescent="0.25">
      <c r="BK358" s="5"/>
      <c r="BW358" s="5"/>
      <c r="BX358" s="616"/>
      <c r="BY358" s="425"/>
      <c r="BZ358" s="425"/>
      <c r="CA358" s="616"/>
      <c r="CB358" s="616"/>
      <c r="DD358" s="196" t="str">
        <f>IF(OR('Project Info'!$D$8="",$C198="",$D198=""),"",IF('Project Info'!$D$8="Weather Zone 5: El Paso",VLOOKUP($D198,$DI$9:$DL$37,MATCH($C198,$DI$9:$DL$9,0),FALSE),VLOOKUP($D198,$DE$9:$DH$37,MATCH($C198,$DE$9:$DH$9,0),FALSE)))</f>
        <v/>
      </c>
      <c r="DE358" s="6"/>
      <c r="DF358" s="7"/>
      <c r="DG358" s="7"/>
      <c r="DH358" s="7"/>
    </row>
    <row r="359" spans="63:112" x14ac:dyDescent="0.25">
      <c r="BK359" s="5"/>
      <c r="BW359" s="5"/>
      <c r="BX359" s="616"/>
      <c r="BY359" s="425"/>
      <c r="BZ359" s="425"/>
      <c r="CA359" s="616"/>
      <c r="CB359" s="616"/>
      <c r="DD359" s="196" t="str">
        <f>IF(OR('Project Info'!$D$8="",$C199="",$D199=""),"",IF('Project Info'!$D$8="Weather Zone 5: El Paso",VLOOKUP($D199,$DI$9:$DL$37,MATCH($C199,$DI$9:$DL$9,0),FALSE),VLOOKUP($D199,$DE$9:$DH$37,MATCH($C199,$DE$9:$DH$9,0),FALSE)))</f>
        <v/>
      </c>
      <c r="DE359" s="6"/>
      <c r="DF359" s="7"/>
      <c r="DG359" s="7"/>
      <c r="DH359" s="7"/>
    </row>
    <row r="360" spans="63:112" x14ac:dyDescent="0.25">
      <c r="BK360" s="5"/>
      <c r="BW360" s="5"/>
      <c r="BX360" s="616"/>
      <c r="BY360" s="425"/>
      <c r="BZ360" s="425"/>
      <c r="CA360" s="616"/>
      <c r="CB360" s="616"/>
      <c r="DD360" s="196" t="str">
        <f>IF(OR('Project Info'!$D$8="",$C200="",$D200=""),"",IF('Project Info'!$D$8="Weather Zone 5: El Paso",VLOOKUP($D200,$DI$9:$DL$37,MATCH($C200,$DI$9:$DL$9,0),FALSE),VLOOKUP($D200,$DE$9:$DH$37,MATCH($C200,$DE$9:$DH$9,0),FALSE)))</f>
        <v/>
      </c>
      <c r="DE360" s="6"/>
      <c r="DF360" s="7"/>
      <c r="DG360" s="7"/>
      <c r="DH360" s="7"/>
    </row>
    <row r="361" spans="63:112" x14ac:dyDescent="0.25">
      <c r="BK361" s="5"/>
      <c r="BW361" s="5"/>
      <c r="BX361" s="616"/>
      <c r="BY361" s="425"/>
      <c r="BZ361" s="425"/>
      <c r="CA361" s="616"/>
      <c r="CB361" s="616"/>
      <c r="DD361" s="196" t="str">
        <f>IF(OR('Project Info'!$D$8="",$C201="",$D201=""),"",IF('Project Info'!$D$8="Weather Zone 5: El Paso",VLOOKUP($D201,$DI$9:$DL$37,MATCH($C201,$DI$9:$DL$9,0),FALSE),VLOOKUP($D201,$DE$9:$DH$37,MATCH($C201,$DE$9:$DH$9,0),FALSE)))</f>
        <v/>
      </c>
      <c r="DE361" s="6"/>
      <c r="DF361" s="7"/>
      <c r="DG361" s="7"/>
      <c r="DH361" s="7"/>
    </row>
    <row r="362" spans="63:112" x14ac:dyDescent="0.25">
      <c r="BK362" s="5"/>
      <c r="BW362" s="5"/>
      <c r="BX362" s="616"/>
      <c r="BY362" s="425"/>
      <c r="BZ362" s="425"/>
      <c r="CA362" s="616"/>
      <c r="CB362" s="616"/>
      <c r="DD362" s="196" t="str">
        <f>IF(OR('Project Info'!$D$8="",$C202="",$D202=""),"",IF('Project Info'!$D$8="Weather Zone 5: El Paso",VLOOKUP($D202,$DI$9:$DL$37,MATCH($C202,$DI$9:$DL$9,0),FALSE),VLOOKUP($D202,$DE$9:$DH$37,MATCH($C202,$DE$9:$DH$9,0),FALSE)))</f>
        <v/>
      </c>
      <c r="DE362" s="6"/>
      <c r="DF362" s="7"/>
      <c r="DG362" s="7"/>
      <c r="DH362" s="7"/>
    </row>
    <row r="363" spans="63:112" x14ac:dyDescent="0.25">
      <c r="BK363" s="5"/>
      <c r="BW363" s="5"/>
      <c r="BX363" s="616"/>
      <c r="BY363" s="425"/>
      <c r="BZ363" s="425"/>
      <c r="CA363" s="616"/>
      <c r="CB363" s="616"/>
      <c r="DD363" s="196" t="str">
        <f>IF(OR('Project Info'!$D$8="",$C203="",$D203=""),"",IF('Project Info'!$D$8="Weather Zone 5: El Paso",VLOOKUP($D203,$DI$9:$DL$37,MATCH($C203,$DI$9:$DL$9,0),FALSE),VLOOKUP($D203,$DE$9:$DH$37,MATCH($C203,$DE$9:$DH$9,0),FALSE)))</f>
        <v/>
      </c>
      <c r="DE363" s="6"/>
      <c r="DF363" s="7"/>
      <c r="DG363" s="7"/>
      <c r="DH363" s="7"/>
    </row>
    <row r="364" spans="63:112" x14ac:dyDescent="0.25">
      <c r="BK364" s="5"/>
      <c r="BW364" s="5"/>
      <c r="BX364" s="616"/>
      <c r="BY364" s="425"/>
      <c r="BZ364" s="425"/>
      <c r="CA364" s="616"/>
      <c r="CB364" s="616"/>
      <c r="DD364" s="196" t="str">
        <f>IF(OR('Project Info'!$D$8="",$C204="",$D204=""),"",IF('Project Info'!$D$8="Weather Zone 5: El Paso",VLOOKUP($D204,$DI$9:$DL$37,MATCH($C204,$DI$9:$DL$9,0),FALSE),VLOOKUP($D204,$DE$9:$DH$37,MATCH($C204,$DE$9:$DH$9,0),FALSE)))</f>
        <v/>
      </c>
      <c r="DE364" s="6"/>
      <c r="DF364" s="7"/>
      <c r="DG364" s="7"/>
      <c r="DH364" s="7"/>
    </row>
    <row r="365" spans="63:112" x14ac:dyDescent="0.25">
      <c r="BK365" s="5"/>
      <c r="BW365" s="5"/>
      <c r="BX365" s="616"/>
      <c r="BY365" s="425"/>
      <c r="BZ365" s="425"/>
      <c r="CA365" s="616"/>
      <c r="CB365" s="616"/>
      <c r="DD365" s="196" t="str">
        <f>IF(OR('Project Info'!$D$8="",$C205="",$D205=""),"",IF('Project Info'!$D$8="Weather Zone 5: El Paso",VLOOKUP($D205,$DI$9:$DL$37,MATCH($C205,$DI$9:$DL$9,0),FALSE),VLOOKUP($D205,$DE$9:$DH$37,MATCH($C205,$DE$9:$DH$9,0),FALSE)))</f>
        <v/>
      </c>
      <c r="DE365" s="6"/>
      <c r="DF365" s="7"/>
      <c r="DG365" s="7"/>
      <c r="DH365" s="7"/>
    </row>
    <row r="366" spans="63:112" x14ac:dyDescent="0.25">
      <c r="BK366" s="5"/>
      <c r="BW366" s="5"/>
      <c r="BX366" s="616"/>
      <c r="BY366" s="425"/>
      <c r="BZ366" s="425"/>
      <c r="CA366" s="616"/>
      <c r="CB366" s="616"/>
      <c r="DD366" s="196" t="str">
        <f>IF(OR('Project Info'!$D$8="",$C206="",$D206=""),"",IF('Project Info'!$D$8="Weather Zone 5: El Paso",VLOOKUP($D206,$DI$9:$DL$37,MATCH($C206,$DI$9:$DL$9,0),FALSE),VLOOKUP($D206,$DE$9:$DH$37,MATCH($C206,$DE$9:$DH$9,0),FALSE)))</f>
        <v/>
      </c>
      <c r="DE366" s="6"/>
      <c r="DF366" s="7"/>
      <c r="DG366" s="7"/>
      <c r="DH366" s="7"/>
    </row>
    <row r="367" spans="63:112" x14ac:dyDescent="0.25">
      <c r="BK367" s="5"/>
      <c r="BW367" s="5"/>
      <c r="BX367" s="616"/>
      <c r="BY367" s="425"/>
      <c r="BZ367" s="425"/>
      <c r="CA367" s="616"/>
      <c r="CB367" s="616"/>
      <c r="DD367" s="196" t="str">
        <f>IF(OR('Project Info'!$D$8="",$C207="",$D207=""),"",IF('Project Info'!$D$8="Weather Zone 5: El Paso",VLOOKUP($D207,$DI$9:$DL$37,MATCH($C207,$DI$9:$DL$9,0),FALSE),VLOOKUP($D207,$DE$9:$DH$37,MATCH($C207,$DE$9:$DH$9,0),FALSE)))</f>
        <v/>
      </c>
      <c r="DE367" s="6"/>
      <c r="DF367" s="7"/>
      <c r="DG367" s="7"/>
      <c r="DH367" s="7"/>
    </row>
    <row r="368" spans="63:112" x14ac:dyDescent="0.25">
      <c r="BK368" s="5"/>
      <c r="BW368" s="5"/>
      <c r="BX368" s="616"/>
      <c r="BY368" s="425"/>
      <c r="BZ368" s="425"/>
      <c r="CA368" s="616"/>
      <c r="CB368" s="616"/>
      <c r="DD368" s="196" t="str">
        <f>IF(OR('Project Info'!$D$8="",$C208="",$D208=""),"",IF('Project Info'!$D$8="Weather Zone 5: El Paso",VLOOKUP($D208,$DI$9:$DL$37,MATCH($C208,$DI$9:$DL$9,0),FALSE),VLOOKUP($D208,$DE$9:$DH$37,MATCH($C208,$DE$9:$DH$9,0),FALSE)))</f>
        <v/>
      </c>
      <c r="DE368" s="6"/>
      <c r="DF368" s="7"/>
      <c r="DG368" s="7"/>
      <c r="DH368" s="7"/>
    </row>
    <row r="369" spans="63:112" x14ac:dyDescent="0.25">
      <c r="BK369" s="5"/>
      <c r="BW369" s="5"/>
      <c r="BX369" s="616"/>
      <c r="BY369" s="425"/>
      <c r="BZ369" s="425"/>
      <c r="CA369" s="616"/>
      <c r="CB369" s="616"/>
      <c r="DD369" s="196" t="str">
        <f>IF(OR('Project Info'!$D$8="",$C209="",$D209=""),"",IF('Project Info'!$D$8="Weather Zone 5: El Paso",VLOOKUP($D209,$DI$9:$DL$37,MATCH($C209,$DI$9:$DL$9,0),FALSE),VLOOKUP($D209,$DE$9:$DH$37,MATCH($C209,$DE$9:$DH$9,0),FALSE)))</f>
        <v/>
      </c>
      <c r="DE369" s="6"/>
      <c r="DF369" s="7"/>
      <c r="DG369" s="7"/>
      <c r="DH369" s="7"/>
    </row>
    <row r="370" spans="63:112" x14ac:dyDescent="0.25">
      <c r="BK370" s="5"/>
      <c r="BW370" s="5"/>
      <c r="BX370" s="616"/>
      <c r="BY370" s="425"/>
      <c r="BZ370" s="425"/>
      <c r="CA370" s="616"/>
      <c r="CB370" s="616"/>
      <c r="DD370" s="196" t="str">
        <f>IF(OR('Project Info'!$D$8="",$C210="",$D210=""),"",IF('Project Info'!$D$8="Weather Zone 5: El Paso",VLOOKUP($D210,$DI$9:$DL$37,MATCH($C210,$DI$9:$DL$9,0),FALSE),VLOOKUP($D210,$DE$9:$DH$37,MATCH($C210,$DE$9:$DH$9,0),FALSE)))</f>
        <v/>
      </c>
      <c r="DE370" s="6"/>
      <c r="DF370" s="7"/>
      <c r="DG370" s="7"/>
      <c r="DH370" s="7"/>
    </row>
    <row r="371" spans="63:112" x14ac:dyDescent="0.25">
      <c r="BK371" s="5"/>
      <c r="BW371" s="5"/>
      <c r="BX371" s="616"/>
      <c r="BY371" s="425"/>
      <c r="BZ371" s="425"/>
      <c r="CA371" s="616"/>
      <c r="CB371" s="616"/>
      <c r="DD371" s="196" t="str">
        <f>IF(OR('Project Info'!$D$8="",$C211="",$D211=""),"",IF('Project Info'!$D$8="Weather Zone 5: El Paso",VLOOKUP($D211,$DI$9:$DL$37,MATCH($C211,$DI$9:$DL$9,0),FALSE),VLOOKUP($D211,$DE$9:$DH$37,MATCH($C211,$DE$9:$DH$9,0),FALSE)))</f>
        <v/>
      </c>
      <c r="DE371" s="6"/>
      <c r="DF371" s="7"/>
      <c r="DG371" s="7"/>
      <c r="DH371" s="7"/>
    </row>
    <row r="372" spans="63:112" x14ac:dyDescent="0.25">
      <c r="BK372" s="5"/>
      <c r="BW372" s="5"/>
      <c r="BX372" s="616"/>
      <c r="BY372" s="425"/>
      <c r="BZ372" s="425"/>
      <c r="CA372" s="616"/>
      <c r="CB372" s="616"/>
      <c r="DD372" s="196" t="str">
        <f>IF(OR('Project Info'!$D$8="",$C212="",$D212=""),"",IF('Project Info'!$D$8="Weather Zone 5: El Paso",VLOOKUP($D212,$DI$9:$DL$37,MATCH($C212,$DI$9:$DL$9,0),FALSE),VLOOKUP($D212,$DE$9:$DH$37,MATCH($C212,$DE$9:$DH$9,0),FALSE)))</f>
        <v/>
      </c>
      <c r="DE372" s="6"/>
      <c r="DF372" s="7"/>
      <c r="DG372" s="7"/>
      <c r="DH372" s="7"/>
    </row>
    <row r="373" spans="63:112" x14ac:dyDescent="0.25">
      <c r="BK373" s="5"/>
      <c r="BW373" s="5"/>
      <c r="BX373" s="616"/>
      <c r="BY373" s="425"/>
      <c r="BZ373" s="425"/>
      <c r="CA373" s="616"/>
      <c r="CB373" s="616"/>
      <c r="DD373" s="196" t="str">
        <f>IF(OR('Project Info'!$D$8="",$C213="",$D213=""),"",IF('Project Info'!$D$8="Weather Zone 5: El Paso",VLOOKUP($D213,$DI$9:$DL$37,MATCH($C213,$DI$9:$DL$9,0),FALSE),VLOOKUP($D213,$DE$9:$DH$37,MATCH($C213,$DE$9:$DH$9,0),FALSE)))</f>
        <v/>
      </c>
      <c r="DE373" s="6"/>
      <c r="DF373" s="7"/>
      <c r="DG373" s="7"/>
      <c r="DH373" s="7"/>
    </row>
    <row r="374" spans="63:112" x14ac:dyDescent="0.25">
      <c r="BK374" s="5"/>
      <c r="BW374" s="5"/>
      <c r="BX374" s="616"/>
      <c r="BY374" s="425"/>
      <c r="BZ374" s="425"/>
      <c r="CA374" s="616"/>
      <c r="CB374" s="616"/>
      <c r="DD374" s="196" t="str">
        <f>IF(OR('Project Info'!$D$8="",$C214="",$D214=""),"",IF('Project Info'!$D$8="Weather Zone 5: El Paso",VLOOKUP($D214,$DI$9:$DL$37,MATCH($C214,$DI$9:$DL$9,0),FALSE),VLOOKUP($D214,$DE$9:$DH$37,MATCH($C214,$DE$9:$DH$9,0),FALSE)))</f>
        <v/>
      </c>
      <c r="DE374" s="6"/>
      <c r="DF374" s="7"/>
      <c r="DG374" s="7"/>
      <c r="DH374" s="7"/>
    </row>
    <row r="375" spans="63:112" x14ac:dyDescent="0.25">
      <c r="BK375" s="5"/>
      <c r="BW375" s="5"/>
      <c r="BX375" s="616"/>
      <c r="BY375" s="425"/>
      <c r="BZ375" s="425"/>
      <c r="CA375" s="616"/>
      <c r="CB375" s="616"/>
      <c r="DD375" s="196" t="str">
        <f>IF(OR('Project Info'!$D$8="",$C215="",$D215=""),"",IF('Project Info'!$D$8="Weather Zone 5: El Paso",VLOOKUP($D215,$DI$9:$DL$37,MATCH($C215,$DI$9:$DL$9,0),FALSE),VLOOKUP($D215,$DE$9:$DH$37,MATCH($C215,$DE$9:$DH$9,0),FALSE)))</f>
        <v/>
      </c>
      <c r="DE375" s="6"/>
      <c r="DF375" s="7"/>
      <c r="DG375" s="7"/>
      <c r="DH375" s="7"/>
    </row>
    <row r="376" spans="63:112" x14ac:dyDescent="0.25">
      <c r="BK376" s="5"/>
      <c r="BW376" s="5"/>
      <c r="BX376" s="616"/>
      <c r="BY376" s="425"/>
      <c r="BZ376" s="425"/>
      <c r="CA376" s="616"/>
      <c r="CB376" s="616"/>
      <c r="DD376" s="196" t="str">
        <f>IF(OR('Project Info'!$D$8="",$C216="",$D216=""),"",IF('Project Info'!$D$8="Weather Zone 5: El Paso",VLOOKUP($D216,$DI$9:$DL$37,MATCH($C216,$DI$9:$DL$9,0),FALSE),VLOOKUP($D216,$DE$9:$DH$37,MATCH($C216,$DE$9:$DH$9,0),FALSE)))</f>
        <v/>
      </c>
      <c r="DE376" s="6"/>
      <c r="DF376" s="7"/>
      <c r="DG376" s="7"/>
      <c r="DH376" s="7"/>
    </row>
    <row r="377" spans="63:112" x14ac:dyDescent="0.25">
      <c r="BK377" s="5"/>
      <c r="BW377" s="5"/>
      <c r="BX377" s="616"/>
      <c r="BY377" s="425"/>
      <c r="BZ377" s="425"/>
      <c r="CA377" s="616"/>
      <c r="CB377" s="616"/>
      <c r="DD377" s="196" t="str">
        <f>IF(OR('Project Info'!$D$8="",$C217="",$D217=""),"",IF('Project Info'!$D$8="Weather Zone 5: El Paso",VLOOKUP($D217,$DI$9:$DL$37,MATCH($C217,$DI$9:$DL$9,0),FALSE),VLOOKUP($D217,$DE$9:$DH$37,MATCH($C217,$DE$9:$DH$9,0),FALSE)))</f>
        <v/>
      </c>
      <c r="DE377" s="6"/>
      <c r="DF377" s="7"/>
      <c r="DG377" s="7"/>
      <c r="DH377" s="7"/>
    </row>
    <row r="378" spans="63:112" x14ac:dyDescent="0.25">
      <c r="BK378" s="5"/>
      <c r="BW378" s="5"/>
      <c r="BX378" s="616"/>
      <c r="BY378" s="425"/>
      <c r="BZ378" s="425"/>
      <c r="CA378" s="616"/>
      <c r="CB378" s="616"/>
      <c r="DD378" s="196" t="str">
        <f>IF(OR('Project Info'!$D$8="",$C218="",$D218=""),"",IF('Project Info'!$D$8="Weather Zone 5: El Paso",VLOOKUP($D218,$DI$9:$DL$37,MATCH($C218,$DI$9:$DL$9,0),FALSE),VLOOKUP($D218,$DE$9:$DH$37,MATCH($C218,$DE$9:$DH$9,0),FALSE)))</f>
        <v/>
      </c>
      <c r="DE378" s="6"/>
      <c r="DF378" s="7"/>
      <c r="DG378" s="7"/>
      <c r="DH378" s="7"/>
    </row>
    <row r="379" spans="63:112" x14ac:dyDescent="0.25">
      <c r="BK379" s="5"/>
      <c r="BW379" s="5"/>
      <c r="BX379" s="616"/>
      <c r="BY379" s="425"/>
      <c r="BZ379" s="425"/>
      <c r="CA379" s="616"/>
      <c r="CB379" s="616"/>
      <c r="DD379" s="196" t="str">
        <f>IF(OR('Project Info'!$D$8="",$C219="",$D219=""),"",IF('Project Info'!$D$8="Weather Zone 5: El Paso",VLOOKUP($D219,$DI$9:$DL$37,MATCH($C219,$DI$9:$DL$9,0),FALSE),VLOOKUP($D219,$DE$9:$DH$37,MATCH($C219,$DE$9:$DH$9,0),FALSE)))</f>
        <v/>
      </c>
      <c r="DE379" s="6"/>
      <c r="DF379" s="7"/>
      <c r="DG379" s="7"/>
      <c r="DH379" s="7"/>
    </row>
    <row r="380" spans="63:112" x14ac:dyDescent="0.25">
      <c r="BK380" s="5"/>
      <c r="BW380" s="5"/>
      <c r="BX380" s="616"/>
      <c r="BY380" s="425"/>
      <c r="BZ380" s="425"/>
      <c r="CA380" s="616"/>
      <c r="CB380" s="616"/>
      <c r="DD380" s="196" t="str">
        <f>IF(OR('Project Info'!$D$8="",$C220="",$D220=""),"",IF('Project Info'!$D$8="Weather Zone 5: El Paso",VLOOKUP($D220,$DI$9:$DL$37,MATCH($C220,$DI$9:$DL$9,0),FALSE),VLOOKUP($D220,$DE$9:$DH$37,MATCH($C220,$DE$9:$DH$9,0),FALSE)))</f>
        <v/>
      </c>
      <c r="DE380" s="6"/>
      <c r="DF380" s="7"/>
      <c r="DG380" s="7"/>
      <c r="DH380" s="7"/>
    </row>
    <row r="381" spans="63:112" x14ac:dyDescent="0.25">
      <c r="BK381" s="5"/>
      <c r="BW381" s="5"/>
      <c r="BX381" s="616"/>
      <c r="BY381" s="425"/>
      <c r="BZ381" s="425"/>
      <c r="CA381" s="616"/>
      <c r="CB381" s="616"/>
      <c r="DD381" s="196" t="str">
        <f>IF(OR('Project Info'!$D$8="",$C221="",$D221=""),"",IF('Project Info'!$D$8="Weather Zone 5: El Paso",VLOOKUP($D221,$DI$9:$DL$37,MATCH($C221,$DI$9:$DL$9,0),FALSE),VLOOKUP($D221,$DE$9:$DH$37,MATCH($C221,$DE$9:$DH$9,0),FALSE)))</f>
        <v/>
      </c>
      <c r="DE381" s="6"/>
      <c r="DF381" s="7"/>
      <c r="DG381" s="7"/>
      <c r="DH381" s="7"/>
    </row>
    <row r="382" spans="63:112" x14ac:dyDescent="0.25">
      <c r="BK382" s="5"/>
      <c r="BW382" s="5"/>
      <c r="BX382" s="616"/>
      <c r="BY382" s="425"/>
      <c r="BZ382" s="425"/>
      <c r="CA382" s="616"/>
      <c r="CB382" s="616"/>
      <c r="DD382" s="196" t="str">
        <f>IF(OR('Project Info'!$D$8="",$C222="",$D222=""),"",IF('Project Info'!$D$8="Weather Zone 5: El Paso",VLOOKUP($D222,$DI$9:$DL$37,MATCH($C222,$DI$9:$DL$9,0),FALSE),VLOOKUP($D222,$DE$9:$DH$37,MATCH($C222,$DE$9:$DH$9,0),FALSE)))</f>
        <v/>
      </c>
      <c r="DE382" s="6"/>
      <c r="DF382" s="7"/>
      <c r="DG382" s="7"/>
      <c r="DH382" s="7"/>
    </row>
    <row r="383" spans="63:112" x14ac:dyDescent="0.25">
      <c r="BK383" s="5"/>
      <c r="BW383" s="5"/>
      <c r="BX383" s="616"/>
      <c r="BY383" s="425"/>
      <c r="BZ383" s="425"/>
      <c r="CA383" s="616"/>
      <c r="CB383" s="616"/>
      <c r="DD383" s="196" t="str">
        <f>IF(OR('Project Info'!$D$8="",$C223="",$D223=""),"",IF('Project Info'!$D$8="Weather Zone 5: El Paso",VLOOKUP($D223,$DI$9:$DL$37,MATCH($C223,$DI$9:$DL$9,0),FALSE),VLOOKUP($D223,$DE$9:$DH$37,MATCH($C223,$DE$9:$DH$9,0),FALSE)))</f>
        <v/>
      </c>
      <c r="DE383" s="6"/>
      <c r="DF383" s="7"/>
      <c r="DG383" s="7"/>
      <c r="DH383" s="7"/>
    </row>
    <row r="384" spans="63:112" x14ac:dyDescent="0.25">
      <c r="BK384" s="5"/>
      <c r="BW384" s="5"/>
      <c r="BX384" s="616"/>
      <c r="BY384" s="425"/>
      <c r="BZ384" s="425"/>
      <c r="CA384" s="616"/>
      <c r="CB384" s="616"/>
      <c r="DD384" s="196" t="str">
        <f>IF(OR('Project Info'!$D$8="",$C224="",$D224=""),"",IF('Project Info'!$D$8="Weather Zone 5: El Paso",VLOOKUP($D224,$DI$9:$DL$37,MATCH($C224,$DI$9:$DL$9,0),FALSE),VLOOKUP($D224,$DE$9:$DH$37,MATCH($C224,$DE$9:$DH$9,0),FALSE)))</f>
        <v/>
      </c>
      <c r="DE384" s="6"/>
      <c r="DF384" s="7"/>
      <c r="DG384" s="7"/>
      <c r="DH384" s="7"/>
    </row>
    <row r="385" spans="63:112" x14ac:dyDescent="0.25">
      <c r="BK385" s="5"/>
      <c r="BW385" s="5"/>
      <c r="BX385" s="616"/>
      <c r="BY385" s="425"/>
      <c r="BZ385" s="425"/>
      <c r="CA385" s="616"/>
      <c r="CB385" s="616"/>
      <c r="DD385" s="196" t="str">
        <f>IF(OR('Project Info'!$D$8="",$C225="",$D225=""),"",IF('Project Info'!$D$8="Weather Zone 5: El Paso",VLOOKUP($D225,$DI$9:$DL$37,MATCH($C225,$DI$9:$DL$9,0),FALSE),VLOOKUP($D225,$DE$9:$DH$37,MATCH($C225,$DE$9:$DH$9,0),FALSE)))</f>
        <v/>
      </c>
      <c r="DE385" s="6"/>
      <c r="DF385" s="7"/>
      <c r="DG385" s="7"/>
      <c r="DH385" s="7"/>
    </row>
    <row r="386" spans="63:112" x14ac:dyDescent="0.25">
      <c r="BK386" s="5"/>
      <c r="BW386" s="5"/>
      <c r="BX386" s="616"/>
      <c r="BY386" s="425"/>
      <c r="BZ386" s="425"/>
      <c r="CA386" s="616"/>
      <c r="CB386" s="616"/>
      <c r="DD386" s="196" t="str">
        <f>IF(OR('Project Info'!$D$8="",$C226="",$D226=""),"",IF('Project Info'!$D$8="Weather Zone 5: El Paso",VLOOKUP($D226,$DI$9:$DL$37,MATCH($C226,$DI$9:$DL$9,0),FALSE),VLOOKUP($D226,$DE$9:$DH$37,MATCH($C226,$DE$9:$DH$9,0),FALSE)))</f>
        <v/>
      </c>
      <c r="DE386" s="6"/>
      <c r="DF386" s="7"/>
      <c r="DG386" s="7"/>
      <c r="DH386" s="7"/>
    </row>
    <row r="387" spans="63:112" x14ac:dyDescent="0.25">
      <c r="BK387" s="5"/>
      <c r="BW387" s="5"/>
      <c r="BX387" s="616"/>
      <c r="BY387" s="425"/>
      <c r="BZ387" s="425"/>
      <c r="CA387" s="616"/>
      <c r="CB387" s="616"/>
      <c r="DD387" s="196" t="str">
        <f>IF(OR('Project Info'!$D$8="",$C227="",$D227=""),"",IF('Project Info'!$D$8="Weather Zone 5: El Paso",VLOOKUP($D227,$DI$9:$DL$37,MATCH($C227,$DI$9:$DL$9,0),FALSE),VLOOKUP($D227,$DE$9:$DH$37,MATCH($C227,$DE$9:$DH$9,0),FALSE)))</f>
        <v/>
      </c>
      <c r="DE387" s="6"/>
      <c r="DF387" s="7"/>
      <c r="DG387" s="7"/>
      <c r="DH387" s="7"/>
    </row>
    <row r="388" spans="63:112" x14ac:dyDescent="0.25">
      <c r="BK388" s="5"/>
      <c r="BW388" s="5"/>
      <c r="BX388" s="616"/>
      <c r="BY388" s="425"/>
      <c r="BZ388" s="425"/>
      <c r="CA388" s="616"/>
      <c r="CB388" s="616"/>
      <c r="DD388" s="196" t="str">
        <f>IF(OR('Project Info'!$D$8="",$C228="",$D228=""),"",IF('Project Info'!$D$8="Weather Zone 5: El Paso",VLOOKUP($D228,$DI$9:$DL$37,MATCH($C228,$DI$9:$DL$9,0),FALSE),VLOOKUP($D228,$DE$9:$DH$37,MATCH($C228,$DE$9:$DH$9,0),FALSE)))</f>
        <v/>
      </c>
      <c r="DE388" s="6"/>
      <c r="DF388" s="7"/>
      <c r="DG388" s="7"/>
      <c r="DH388" s="7"/>
    </row>
    <row r="389" spans="63:112" x14ac:dyDescent="0.25">
      <c r="BK389" s="5"/>
      <c r="BW389" s="5"/>
      <c r="BX389" s="616"/>
      <c r="BY389" s="425"/>
      <c r="BZ389" s="425"/>
      <c r="CA389" s="616"/>
      <c r="CB389" s="616"/>
      <c r="DD389" s="196" t="str">
        <f>IF(OR('Project Info'!$D$8="",$C229="",$D229=""),"",IF('Project Info'!$D$8="Weather Zone 5: El Paso",VLOOKUP($D229,$DI$9:$DL$37,MATCH($C229,$DI$9:$DL$9,0),FALSE),VLOOKUP($D229,$DE$9:$DH$37,MATCH($C229,$DE$9:$DH$9,0),FALSE)))</f>
        <v/>
      </c>
      <c r="DE389" s="6"/>
      <c r="DF389" s="7"/>
      <c r="DG389" s="7"/>
      <c r="DH389" s="7"/>
    </row>
    <row r="390" spans="63:112" x14ac:dyDescent="0.25">
      <c r="BK390" s="5"/>
      <c r="BW390" s="5"/>
      <c r="BX390" s="616"/>
      <c r="BY390" s="425"/>
      <c r="BZ390" s="425"/>
      <c r="CA390" s="616"/>
      <c r="CB390" s="616"/>
      <c r="DD390" s="196" t="str">
        <f>IF(OR('Project Info'!$D$8="",$C230="",$D230=""),"",IF('Project Info'!$D$8="Weather Zone 5: El Paso",VLOOKUP($D230,$DI$9:$DL$37,MATCH($C230,$DI$9:$DL$9,0),FALSE),VLOOKUP($D230,$DE$9:$DH$37,MATCH($C230,$DE$9:$DH$9,0),FALSE)))</f>
        <v/>
      </c>
      <c r="DE390" s="6"/>
      <c r="DF390" s="7"/>
      <c r="DG390" s="7"/>
      <c r="DH390" s="7"/>
    </row>
    <row r="391" spans="63:112" x14ac:dyDescent="0.25">
      <c r="BK391" s="5"/>
      <c r="BW391" s="5"/>
      <c r="BX391" s="616"/>
      <c r="BY391" s="425"/>
      <c r="BZ391" s="425"/>
      <c r="CA391" s="616"/>
      <c r="CB391" s="616"/>
      <c r="DD391" s="196" t="str">
        <f>IF(OR('Project Info'!$D$8="",$C231="",$D231=""),"",IF('Project Info'!$D$8="Weather Zone 5: El Paso",VLOOKUP($D231,$DI$9:$DL$37,MATCH($C231,$DI$9:$DL$9,0),FALSE),VLOOKUP($D231,$DE$9:$DH$37,MATCH($C231,$DE$9:$DH$9,0),FALSE)))</f>
        <v/>
      </c>
      <c r="DE391" s="6"/>
      <c r="DF391" s="7"/>
      <c r="DG391" s="7"/>
      <c r="DH391" s="7"/>
    </row>
    <row r="392" spans="63:112" x14ac:dyDescent="0.25">
      <c r="BK392" s="5"/>
      <c r="BW392" s="5"/>
      <c r="BX392" s="616"/>
      <c r="BY392" s="425"/>
      <c r="BZ392" s="425"/>
      <c r="CA392" s="616"/>
      <c r="CB392" s="616"/>
      <c r="DD392" s="196" t="str">
        <f>IF(OR('Project Info'!$D$8="",$C232="",$D232=""),"",IF('Project Info'!$D$8="Weather Zone 5: El Paso",VLOOKUP($D232,$DI$9:$DL$37,MATCH($C232,$DI$9:$DL$9,0),FALSE),VLOOKUP($D232,$DE$9:$DH$37,MATCH($C232,$DE$9:$DH$9,0),FALSE)))</f>
        <v/>
      </c>
      <c r="DE392" s="6"/>
      <c r="DF392" s="7"/>
      <c r="DG392" s="7"/>
      <c r="DH392" s="7"/>
    </row>
    <row r="393" spans="63:112" x14ac:dyDescent="0.25">
      <c r="BK393" s="5"/>
      <c r="BW393" s="5"/>
      <c r="BX393" s="616"/>
      <c r="BY393" s="425"/>
      <c r="BZ393" s="425"/>
      <c r="CA393" s="616"/>
      <c r="CB393" s="616"/>
      <c r="DD393" s="196" t="str">
        <f>IF(OR('Project Info'!$D$8="",$C233="",$D233=""),"",IF('Project Info'!$D$8="Weather Zone 5: El Paso",VLOOKUP($D233,$DI$9:$DL$37,MATCH($C233,$DI$9:$DL$9,0),FALSE),VLOOKUP($D233,$DE$9:$DH$37,MATCH($C233,$DE$9:$DH$9,0),FALSE)))</f>
        <v/>
      </c>
      <c r="DE393" s="6"/>
      <c r="DF393" s="7"/>
      <c r="DG393" s="7"/>
      <c r="DH393" s="7"/>
    </row>
    <row r="394" spans="63:112" x14ac:dyDescent="0.25">
      <c r="BK394" s="5"/>
      <c r="BW394" s="5"/>
      <c r="BX394" s="616"/>
      <c r="BY394" s="425"/>
      <c r="BZ394" s="425"/>
      <c r="CA394" s="616"/>
      <c r="CB394" s="616"/>
      <c r="DD394" s="196" t="str">
        <f>IF(OR('Project Info'!$D$8="",$C234="",$D234=""),"",IF('Project Info'!$D$8="Weather Zone 5: El Paso",VLOOKUP($D234,$DI$9:$DL$37,MATCH($C234,$DI$9:$DL$9,0),FALSE),VLOOKUP($D234,$DE$9:$DH$37,MATCH($C234,$DE$9:$DH$9,0),FALSE)))</f>
        <v/>
      </c>
      <c r="DE394" s="6"/>
      <c r="DF394" s="7"/>
      <c r="DG394" s="7"/>
      <c r="DH394" s="7"/>
    </row>
    <row r="395" spans="63:112" x14ac:dyDescent="0.25">
      <c r="BK395" s="5"/>
      <c r="BW395" s="5"/>
      <c r="BX395" s="616"/>
      <c r="BY395" s="425"/>
      <c r="BZ395" s="425"/>
      <c r="CA395" s="616"/>
      <c r="CB395" s="616"/>
      <c r="DD395" s="196" t="str">
        <f>IF(OR('Project Info'!$D$8="",$C235="",$D235=""),"",IF('Project Info'!$D$8="Weather Zone 5: El Paso",VLOOKUP($D235,$DI$9:$DL$37,MATCH($C235,$DI$9:$DL$9,0),FALSE),VLOOKUP($D235,$DE$9:$DH$37,MATCH($C235,$DE$9:$DH$9,0),FALSE)))</f>
        <v/>
      </c>
      <c r="DE395" s="6"/>
      <c r="DF395" s="7"/>
      <c r="DG395" s="7"/>
      <c r="DH395" s="7"/>
    </row>
    <row r="396" spans="63:112" x14ac:dyDescent="0.25">
      <c r="BK396" s="5"/>
      <c r="BW396" s="5"/>
      <c r="BX396" s="616"/>
      <c r="BY396" s="425"/>
      <c r="BZ396" s="425"/>
      <c r="CA396" s="616"/>
      <c r="CB396" s="616"/>
      <c r="DD396" s="196" t="str">
        <f>IF(OR('Project Info'!$D$8="",$C236="",$D236=""),"",IF('Project Info'!$D$8="Weather Zone 5: El Paso",VLOOKUP($D236,$DI$9:$DL$37,MATCH($C236,$DI$9:$DL$9,0),FALSE),VLOOKUP($D236,$DE$9:$DH$37,MATCH($C236,$DE$9:$DH$9,0),FALSE)))</f>
        <v/>
      </c>
      <c r="DE396" s="6"/>
      <c r="DF396" s="7"/>
      <c r="DG396" s="7"/>
      <c r="DH396" s="7"/>
    </row>
    <row r="397" spans="63:112" x14ac:dyDescent="0.25">
      <c r="BK397" s="5"/>
      <c r="BW397" s="5"/>
      <c r="BX397" s="616"/>
      <c r="BY397" s="425"/>
      <c r="BZ397" s="425"/>
      <c r="CA397" s="616"/>
      <c r="CB397" s="616"/>
      <c r="DD397" s="196" t="str">
        <f>IF(OR('Project Info'!$D$8="",$C237="",$D237=""),"",IF('Project Info'!$D$8="Weather Zone 5: El Paso",VLOOKUP($D237,$DI$9:$DL$37,MATCH($C237,$DI$9:$DL$9,0),FALSE),VLOOKUP($D237,$DE$9:$DH$37,MATCH($C237,$DE$9:$DH$9,0),FALSE)))</f>
        <v/>
      </c>
      <c r="DE397" s="6"/>
      <c r="DF397" s="7"/>
      <c r="DG397" s="7"/>
      <c r="DH397" s="7"/>
    </row>
    <row r="398" spans="63:112" x14ac:dyDescent="0.25">
      <c r="BK398" s="5"/>
      <c r="BW398" s="5"/>
      <c r="BX398" s="616"/>
      <c r="BY398" s="425"/>
      <c r="BZ398" s="425"/>
      <c r="CA398" s="616"/>
      <c r="CB398" s="616"/>
      <c r="DD398" s="196" t="str">
        <f>IF(OR('Project Info'!$D$8="",$C238="",$D238=""),"",IF('Project Info'!$D$8="Weather Zone 5: El Paso",VLOOKUP($D238,$DI$9:$DL$37,MATCH($C238,$DI$9:$DL$9,0),FALSE),VLOOKUP($D238,$DE$9:$DH$37,MATCH($C238,$DE$9:$DH$9,0),FALSE)))</f>
        <v/>
      </c>
      <c r="DE398" s="6"/>
      <c r="DF398" s="7"/>
      <c r="DG398" s="7"/>
      <c r="DH398" s="7"/>
    </row>
    <row r="399" spans="63:112" x14ac:dyDescent="0.25">
      <c r="BK399" s="5"/>
      <c r="BW399" s="5"/>
      <c r="BX399" s="616"/>
      <c r="BY399" s="425"/>
      <c r="BZ399" s="425"/>
      <c r="CA399" s="616"/>
      <c r="CB399" s="616"/>
      <c r="DD399" s="196" t="str">
        <f>IF(OR('Project Info'!$D$8="",$C239="",$D239=""),"",IF('Project Info'!$D$8="Weather Zone 5: El Paso",VLOOKUP($D239,$DI$9:$DL$37,MATCH($C239,$DI$9:$DL$9,0),FALSE),VLOOKUP($D239,$DE$9:$DH$37,MATCH($C239,$DE$9:$DH$9,0),FALSE)))</f>
        <v/>
      </c>
      <c r="DE399" s="6"/>
      <c r="DF399" s="7"/>
      <c r="DG399" s="7"/>
      <c r="DH399" s="7"/>
    </row>
    <row r="400" spans="63:112" x14ac:dyDescent="0.25">
      <c r="BK400" s="5"/>
      <c r="BW400" s="5"/>
      <c r="BX400" s="616"/>
      <c r="BY400" s="425"/>
      <c r="BZ400" s="425"/>
      <c r="CA400" s="616"/>
      <c r="CB400" s="616"/>
      <c r="DD400" s="196" t="str">
        <f>IF(OR('Project Info'!$D$8="",$C240="",$D240=""),"",IF('Project Info'!$D$8="Weather Zone 5: El Paso",VLOOKUP($D240,$DI$9:$DL$37,MATCH($C240,$DI$9:$DL$9,0),FALSE),VLOOKUP($D240,$DE$9:$DH$37,MATCH($C240,$DE$9:$DH$9,0),FALSE)))</f>
        <v/>
      </c>
      <c r="DE400" s="6"/>
      <c r="DF400" s="7"/>
      <c r="DG400" s="7"/>
      <c r="DH400" s="7"/>
    </row>
    <row r="401" spans="63:112" x14ac:dyDescent="0.25">
      <c r="BK401" s="5"/>
      <c r="BW401" s="5"/>
      <c r="BX401" s="616"/>
      <c r="BY401" s="425"/>
      <c r="BZ401" s="425"/>
      <c r="CA401" s="616"/>
      <c r="CB401" s="616"/>
      <c r="DD401" s="196" t="str">
        <f>IF(OR('Project Info'!$D$8="",$C241="",$D241=""),"",IF('Project Info'!$D$8="Weather Zone 5: El Paso",VLOOKUP($D241,$DI$9:$DL$37,MATCH($C241,$DI$9:$DL$9,0),FALSE),VLOOKUP($D241,$DE$9:$DH$37,MATCH($C241,$DE$9:$DH$9,0),FALSE)))</f>
        <v/>
      </c>
      <c r="DE401" s="6"/>
      <c r="DF401" s="7"/>
      <c r="DG401" s="7"/>
      <c r="DH401" s="7"/>
    </row>
    <row r="402" spans="63:112" x14ac:dyDescent="0.25">
      <c r="BK402" s="5"/>
      <c r="BW402" s="5"/>
      <c r="BX402" s="616"/>
      <c r="BY402" s="425"/>
      <c r="BZ402" s="425"/>
      <c r="CA402" s="616"/>
      <c r="CB402" s="616"/>
      <c r="DD402" s="196" t="str">
        <f>IF(OR('Project Info'!$D$8="",$C242="",$D242=""),"",IF('Project Info'!$D$8="Weather Zone 5: El Paso",VLOOKUP($D242,$DI$9:$DL$37,MATCH($C242,$DI$9:$DL$9,0),FALSE),VLOOKUP($D242,$DE$9:$DH$37,MATCH($C242,$DE$9:$DH$9,0),FALSE)))</f>
        <v/>
      </c>
      <c r="DE402" s="6"/>
      <c r="DF402" s="7"/>
      <c r="DG402" s="7"/>
      <c r="DH402" s="7"/>
    </row>
    <row r="403" spans="63:112" x14ac:dyDescent="0.25">
      <c r="BK403" s="5"/>
      <c r="BW403" s="5"/>
      <c r="BX403" s="616"/>
      <c r="BY403" s="425"/>
      <c r="BZ403" s="425"/>
      <c r="CA403" s="616"/>
      <c r="CB403" s="616"/>
      <c r="DD403" s="196" t="str">
        <f>IF(OR('Project Info'!$D$8="",$C243="",$D243=""),"",IF('Project Info'!$D$8="Weather Zone 5: El Paso",VLOOKUP($D243,$DI$9:$DL$37,MATCH($C243,$DI$9:$DL$9,0),FALSE),VLOOKUP($D243,$DE$9:$DH$37,MATCH($C243,$DE$9:$DH$9,0),FALSE)))</f>
        <v/>
      </c>
      <c r="DE403" s="6"/>
      <c r="DF403" s="7"/>
      <c r="DG403" s="7"/>
      <c r="DH403" s="7"/>
    </row>
    <row r="404" spans="63:112" x14ac:dyDescent="0.25">
      <c r="BK404" s="5"/>
      <c r="BW404" s="5"/>
      <c r="BX404" s="616"/>
      <c r="BY404" s="425"/>
      <c r="BZ404" s="425"/>
      <c r="CA404" s="616"/>
      <c r="CB404" s="616"/>
      <c r="DD404" s="196" t="str">
        <f>IF(OR('Project Info'!$D$8="",$C244="",$D244=""),"",IF('Project Info'!$D$8="Weather Zone 5: El Paso",VLOOKUP($D244,$DI$9:$DL$37,MATCH($C244,$DI$9:$DL$9,0),FALSE),VLOOKUP($D244,$DE$9:$DH$37,MATCH($C244,$DE$9:$DH$9,0),FALSE)))</f>
        <v/>
      </c>
      <c r="DE404" s="6"/>
      <c r="DF404" s="7"/>
      <c r="DG404" s="7"/>
      <c r="DH404" s="7"/>
    </row>
    <row r="405" spans="63:112" x14ac:dyDescent="0.25">
      <c r="BK405" s="5"/>
      <c r="BW405" s="5"/>
      <c r="BX405" s="616"/>
      <c r="BY405" s="425"/>
      <c r="BZ405" s="425"/>
      <c r="CA405" s="616"/>
      <c r="CB405" s="616"/>
      <c r="DD405" s="196" t="str">
        <f>IF(OR('Project Info'!$D$8="",$C245="",$D245=""),"",IF('Project Info'!$D$8="Weather Zone 5: El Paso",VLOOKUP($D245,$DI$9:$DL$37,MATCH($C245,$DI$9:$DL$9,0),FALSE),VLOOKUP($D245,$DE$9:$DH$37,MATCH($C245,$DE$9:$DH$9,0),FALSE)))</f>
        <v/>
      </c>
      <c r="DE405" s="6"/>
      <c r="DF405" s="7"/>
      <c r="DG405" s="7"/>
      <c r="DH405" s="7"/>
    </row>
    <row r="406" spans="63:112" x14ac:dyDescent="0.25">
      <c r="BK406" s="5"/>
      <c r="BW406" s="5"/>
      <c r="BX406" s="616"/>
      <c r="BY406" s="425"/>
      <c r="BZ406" s="425"/>
      <c r="CA406" s="616"/>
      <c r="CB406" s="616"/>
      <c r="DD406" s="196" t="str">
        <f>IF(OR('Project Info'!$D$8="",$C246="",$D246=""),"",IF('Project Info'!$D$8="Weather Zone 5: El Paso",VLOOKUP($D246,$DI$9:$DL$37,MATCH($C246,$DI$9:$DL$9,0),FALSE),VLOOKUP($D246,$DE$9:$DH$37,MATCH($C246,$DE$9:$DH$9,0),FALSE)))</f>
        <v/>
      </c>
      <c r="DE406" s="6"/>
      <c r="DF406" s="7"/>
      <c r="DG406" s="7"/>
      <c r="DH406" s="7"/>
    </row>
    <row r="407" spans="63:112" x14ac:dyDescent="0.25">
      <c r="BK407" s="5"/>
      <c r="BW407" s="5"/>
      <c r="BX407" s="616"/>
      <c r="BY407" s="425"/>
      <c r="BZ407" s="425"/>
      <c r="CA407" s="616"/>
      <c r="CB407" s="616"/>
      <c r="DD407" s="196" t="str">
        <f>IF(OR('Project Info'!$D$8="",$C247="",$D247=""),"",IF('Project Info'!$D$8="Weather Zone 5: El Paso",VLOOKUP($D247,$DI$9:$DL$37,MATCH($C247,$DI$9:$DL$9,0),FALSE),VLOOKUP($D247,$DE$9:$DH$37,MATCH($C247,$DE$9:$DH$9,0),FALSE)))</f>
        <v/>
      </c>
      <c r="DE407" s="6"/>
      <c r="DF407" s="7"/>
      <c r="DG407" s="7"/>
      <c r="DH407" s="7"/>
    </row>
    <row r="408" spans="63:112" x14ac:dyDescent="0.25">
      <c r="BK408" s="5"/>
      <c r="BW408" s="5"/>
      <c r="BX408" s="616"/>
      <c r="BY408" s="425"/>
      <c r="BZ408" s="425"/>
      <c r="CA408" s="616"/>
      <c r="CB408" s="616"/>
      <c r="DD408" s="196" t="str">
        <f>IF(OR('Project Info'!$D$8="",$C248="",$D248=""),"",IF('Project Info'!$D$8="Weather Zone 5: El Paso",VLOOKUP($D248,$DI$9:$DL$37,MATCH($C248,$DI$9:$DL$9,0),FALSE),VLOOKUP($D248,$DE$9:$DH$37,MATCH($C248,$DE$9:$DH$9,0),FALSE)))</f>
        <v/>
      </c>
      <c r="DE408" s="6"/>
      <c r="DF408" s="7"/>
      <c r="DG408" s="7"/>
      <c r="DH408" s="7"/>
    </row>
    <row r="409" spans="63:112" x14ac:dyDescent="0.25">
      <c r="BK409" s="5"/>
      <c r="BW409" s="5"/>
      <c r="BX409" s="616"/>
      <c r="BY409" s="425"/>
      <c r="BZ409" s="425"/>
      <c r="CA409" s="616"/>
      <c r="CB409" s="616"/>
      <c r="DD409" s="196" t="str">
        <f>IF(OR('Project Info'!$D$8="",$C249="",$D249=""),"",IF('Project Info'!$D$8="Weather Zone 5: El Paso",VLOOKUP($D249,$DI$9:$DL$37,MATCH($C249,$DI$9:$DL$9,0),FALSE),VLOOKUP($D249,$DE$9:$DH$37,MATCH($C249,$DE$9:$DH$9,0),FALSE)))</f>
        <v/>
      </c>
      <c r="DE409" s="6"/>
      <c r="DF409" s="7"/>
      <c r="DG409" s="7"/>
      <c r="DH409" s="7"/>
    </row>
    <row r="410" spans="63:112" x14ac:dyDescent="0.25">
      <c r="BK410" s="5"/>
      <c r="BW410" s="5"/>
      <c r="BX410" s="616"/>
      <c r="BY410" s="425"/>
      <c r="BZ410" s="425"/>
      <c r="CA410" s="616"/>
      <c r="CB410" s="616"/>
      <c r="DD410" s="196" t="str">
        <f>IF(OR('Project Info'!$D$8="",$C250="",$D250=""),"",IF('Project Info'!$D$8="Weather Zone 5: El Paso",VLOOKUP($D250,$DI$9:$DL$37,MATCH($C250,$DI$9:$DL$9,0),FALSE),VLOOKUP($D250,$DE$9:$DH$37,MATCH($C250,$DE$9:$DH$9,0),FALSE)))</f>
        <v/>
      </c>
      <c r="DE410" s="6"/>
      <c r="DF410" s="7"/>
      <c r="DG410" s="7"/>
      <c r="DH410" s="7"/>
    </row>
    <row r="411" spans="63:112" x14ac:dyDescent="0.25">
      <c r="BK411" s="5"/>
      <c r="BW411" s="5"/>
      <c r="BX411" s="616"/>
      <c r="BY411" s="425"/>
      <c r="BZ411" s="425"/>
      <c r="CA411" s="616"/>
      <c r="CB411" s="616"/>
      <c r="DD411" s="196" t="str">
        <f>IF(OR('Project Info'!$D$8="",$C251="",$D251=""),"",IF('Project Info'!$D$8="Weather Zone 5: El Paso",VLOOKUP($D251,$DI$9:$DL$37,MATCH($C251,$DI$9:$DL$9,0),FALSE),VLOOKUP($D251,$DE$9:$DH$37,MATCH($C251,$DE$9:$DH$9,0),FALSE)))</f>
        <v/>
      </c>
      <c r="DE411" s="6"/>
      <c r="DF411" s="7"/>
      <c r="DG411" s="7"/>
      <c r="DH411" s="7"/>
    </row>
    <row r="412" spans="63:112" x14ac:dyDescent="0.25">
      <c r="BK412" s="5"/>
      <c r="BW412" s="5"/>
      <c r="BX412" s="616"/>
      <c r="BY412" s="425"/>
      <c r="BZ412" s="425"/>
      <c r="CA412" s="616"/>
      <c r="CB412" s="616"/>
      <c r="DD412" s="196" t="str">
        <f>IF(OR('Project Info'!$D$8="",$C252="",$D252=""),"",IF('Project Info'!$D$8="Weather Zone 5: El Paso",VLOOKUP($D252,$DI$9:$DL$37,MATCH($C252,$DI$9:$DL$9,0),FALSE),VLOOKUP($D252,$DE$9:$DH$37,MATCH($C252,$DE$9:$DH$9,0),FALSE)))</f>
        <v/>
      </c>
      <c r="DE412" s="6"/>
      <c r="DF412" s="7"/>
      <c r="DG412" s="7"/>
      <c r="DH412" s="7"/>
    </row>
    <row r="413" spans="63:112" x14ac:dyDescent="0.25">
      <c r="BK413" s="5"/>
      <c r="BW413" s="5"/>
      <c r="BX413" s="616"/>
      <c r="BY413" s="425"/>
      <c r="BZ413" s="425"/>
      <c r="CA413" s="616"/>
      <c r="CB413" s="616"/>
      <c r="DD413" s="196" t="str">
        <f>IF(OR('Project Info'!$D$8="",$C253="",$D253=""),"",IF('Project Info'!$D$8="Weather Zone 5: El Paso",VLOOKUP($D253,$DI$9:$DL$37,MATCH($C253,$DI$9:$DL$9,0),FALSE),VLOOKUP($D253,$DE$9:$DH$37,MATCH($C253,$DE$9:$DH$9,0),FALSE)))</f>
        <v/>
      </c>
      <c r="DE413" s="6"/>
      <c r="DF413" s="7"/>
      <c r="DG413" s="7"/>
      <c r="DH413" s="7"/>
    </row>
    <row r="414" spans="63:112" x14ac:dyDescent="0.25">
      <c r="BK414" s="5"/>
      <c r="BW414" s="5"/>
      <c r="BX414" s="616"/>
      <c r="BY414" s="425"/>
      <c r="BZ414" s="425"/>
      <c r="CA414" s="616"/>
      <c r="CB414" s="616"/>
      <c r="DD414" s="196" t="str">
        <f>IF(OR('Project Info'!$D$8="",$C254="",$D254=""),"",IF('Project Info'!$D$8="Weather Zone 5: El Paso",VLOOKUP($D254,$DI$9:$DL$37,MATCH($C254,$DI$9:$DL$9,0),FALSE),VLOOKUP($D254,$DE$9:$DH$37,MATCH($C254,$DE$9:$DH$9,0),FALSE)))</f>
        <v/>
      </c>
      <c r="DE414" s="6"/>
      <c r="DF414" s="7"/>
      <c r="DG414" s="7"/>
      <c r="DH414" s="7"/>
    </row>
    <row r="415" spans="63:112" x14ac:dyDescent="0.25">
      <c r="BK415" s="5"/>
      <c r="BW415" s="5"/>
      <c r="BX415" s="616"/>
      <c r="BY415" s="425"/>
      <c r="BZ415" s="425"/>
      <c r="CA415" s="616"/>
      <c r="CB415" s="616"/>
      <c r="DD415" s="196" t="str">
        <f>IF(OR('Project Info'!$D$8="",$C255="",$D255=""),"",IF('Project Info'!$D$8="Weather Zone 5: El Paso",VLOOKUP($D255,$DI$9:$DL$37,MATCH($C255,$DI$9:$DL$9,0),FALSE),VLOOKUP($D255,$DE$9:$DH$37,MATCH($C255,$DE$9:$DH$9,0),FALSE)))</f>
        <v/>
      </c>
      <c r="DE415" s="6"/>
      <c r="DF415" s="7"/>
      <c r="DG415" s="7"/>
      <c r="DH415" s="7"/>
    </row>
    <row r="416" spans="63:112" x14ac:dyDescent="0.25">
      <c r="BK416" s="5"/>
      <c r="BW416" s="5"/>
      <c r="BX416" s="616"/>
      <c r="BY416" s="425"/>
      <c r="BZ416" s="425"/>
      <c r="CA416" s="616"/>
      <c r="CB416" s="616"/>
      <c r="DD416" s="196" t="str">
        <f>IF(OR('Project Info'!$D$8="",$C256="",$D256=""),"",IF('Project Info'!$D$8="Weather Zone 5: El Paso",VLOOKUP($D256,$DI$9:$DL$37,MATCH($C256,$DI$9:$DL$9,0),FALSE),VLOOKUP($D256,$DE$9:$DH$37,MATCH($C256,$DE$9:$DH$9,0),FALSE)))</f>
        <v/>
      </c>
      <c r="DE416" s="6"/>
      <c r="DF416" s="7"/>
      <c r="DG416" s="7"/>
      <c r="DH416" s="7"/>
    </row>
    <row r="417" spans="63:112" x14ac:dyDescent="0.25">
      <c r="BK417" s="5"/>
      <c r="BW417" s="5"/>
      <c r="BX417" s="616"/>
      <c r="BY417" s="425"/>
      <c r="BZ417" s="425"/>
      <c r="CA417" s="616"/>
      <c r="CB417" s="616"/>
      <c r="DD417" s="196" t="str">
        <f>IF(OR('Project Info'!$D$8="",$C257="",$D257=""),"",IF('Project Info'!$D$8="Weather Zone 5: El Paso",VLOOKUP($D257,$DI$9:$DL$37,MATCH($C257,$DI$9:$DL$9,0),FALSE),VLOOKUP($D257,$DE$9:$DH$37,MATCH($C257,$DE$9:$DH$9,0),FALSE)))</f>
        <v/>
      </c>
      <c r="DE417" s="6"/>
      <c r="DF417" s="7"/>
      <c r="DG417" s="7"/>
      <c r="DH417" s="7"/>
    </row>
    <row r="418" spans="63:112" x14ac:dyDescent="0.25">
      <c r="BK418" s="5"/>
      <c r="BW418" s="5"/>
      <c r="BX418" s="616"/>
      <c r="BY418" s="425"/>
      <c r="BZ418" s="425"/>
      <c r="CA418" s="616"/>
      <c r="CB418" s="616"/>
      <c r="DD418" s="563" t="str">
        <f>IF(OR('Project Info'!$D$8="",$C258="",$D258=""),"",IF('Project Info'!$D$8="Weather Zone 5: El Paso",VLOOKUP($D258,$DI$9:$DL$37,MATCH($C258,$DI$9:$DL$9,0),FALSE),VLOOKUP($D258,$DE$9:$DH$37,MATCH($C258,$DE$9:$DH$9,0),FALSE)))</f>
        <v/>
      </c>
      <c r="DE418" s="6"/>
      <c r="DF418" s="7"/>
      <c r="DG418" s="7"/>
      <c r="DH418" s="7"/>
    </row>
    <row r="419" spans="63:112" ht="13.5" thickBot="1" x14ac:dyDescent="0.3">
      <c r="BK419" s="5"/>
      <c r="BW419" s="5"/>
      <c r="BX419" s="616"/>
      <c r="BY419" s="425"/>
      <c r="BZ419" s="425"/>
      <c r="CA419" s="616"/>
      <c r="CB419" s="616"/>
      <c r="DD419" s="197" t="str">
        <f>IF(OR('Project Info'!$D$8="",$C259="",$D259=""),"",IF('Project Info'!$D$8="Weather Zone 5: El Paso",VLOOKUP($D259,$DI$9:$DL$37,MATCH($C259,$DI$9:$DL$9,0),FALSE),VLOOKUP($D259,$DE$9:$DH$37,MATCH($C259,$DE$9:$DH$9,0),FALSE)))</f>
        <v/>
      </c>
      <c r="DE419" s="6"/>
      <c r="DF419" s="7"/>
      <c r="DG419" s="7"/>
      <c r="DH419" s="7"/>
    </row>
    <row r="420" spans="63:112" x14ac:dyDescent="0.25">
      <c r="BK420" s="5"/>
      <c r="BW420" s="5"/>
      <c r="BX420" s="616"/>
      <c r="BY420" s="425"/>
      <c r="BZ420" s="425"/>
      <c r="CA420" s="616"/>
      <c r="CB420" s="616"/>
      <c r="DD420" s="702"/>
      <c r="DE420" s="6"/>
      <c r="DF420" s="7"/>
      <c r="DG420" s="7"/>
      <c r="DH420" s="7"/>
    </row>
    <row r="421" spans="63:112" x14ac:dyDescent="0.25">
      <c r="BK421" s="5"/>
      <c r="BW421" s="5"/>
      <c r="BX421" s="616"/>
      <c r="BY421" s="425"/>
      <c r="BZ421" s="425"/>
      <c r="CA421" s="616"/>
      <c r="CB421" s="616"/>
      <c r="DD421" s="702"/>
      <c r="DE421" s="6"/>
      <c r="DF421" s="7"/>
      <c r="DG421" s="7"/>
      <c r="DH421" s="7"/>
    </row>
    <row r="422" spans="63:112" x14ac:dyDescent="0.25">
      <c r="BK422" s="5"/>
      <c r="BW422" s="5"/>
      <c r="BX422" s="616"/>
      <c r="BY422" s="425"/>
      <c r="BZ422" s="425"/>
      <c r="CA422" s="616"/>
      <c r="CB422" s="616"/>
      <c r="DD422" s="702"/>
      <c r="DE422" s="6"/>
      <c r="DF422" s="7"/>
      <c r="DG422" s="7"/>
      <c r="DH422" s="7"/>
    </row>
    <row r="423" spans="63:112" x14ac:dyDescent="0.25">
      <c r="BK423" s="5"/>
      <c r="BW423" s="5"/>
      <c r="BX423" s="616"/>
      <c r="BY423" s="425"/>
      <c r="BZ423" s="425"/>
      <c r="CA423" s="616"/>
      <c r="CB423" s="616"/>
      <c r="DD423" s="702"/>
      <c r="DE423" s="6"/>
      <c r="DF423" s="7"/>
      <c r="DG423" s="7"/>
      <c r="DH423" s="7"/>
    </row>
    <row r="424" spans="63:112" x14ac:dyDescent="0.25">
      <c r="BK424" s="5"/>
      <c r="BW424" s="5"/>
      <c r="BX424" s="616"/>
      <c r="BY424" s="425"/>
      <c r="BZ424" s="425"/>
      <c r="CA424" s="616"/>
      <c r="CB424" s="616"/>
      <c r="DD424" s="702"/>
      <c r="DE424" s="6"/>
      <c r="DF424" s="7"/>
      <c r="DG424" s="7"/>
      <c r="DH424" s="7"/>
    </row>
    <row r="425" spans="63:112" x14ac:dyDescent="0.25">
      <c r="BK425" s="5"/>
      <c r="BW425" s="5"/>
      <c r="BX425" s="616"/>
      <c r="BY425" s="425"/>
      <c r="BZ425" s="425"/>
      <c r="CA425" s="616"/>
      <c r="CB425" s="616"/>
      <c r="DD425" s="702"/>
      <c r="DE425" s="6"/>
      <c r="DF425" s="7"/>
      <c r="DG425" s="7"/>
      <c r="DH425" s="7"/>
    </row>
    <row r="426" spans="63:112" x14ac:dyDescent="0.25">
      <c r="BK426" s="5"/>
      <c r="BW426" s="5"/>
      <c r="BX426" s="616"/>
      <c r="BY426" s="425"/>
      <c r="BZ426" s="425"/>
      <c r="CA426" s="616"/>
      <c r="CB426" s="616"/>
      <c r="DD426" s="702"/>
      <c r="DE426" s="6"/>
      <c r="DF426" s="7"/>
      <c r="DG426" s="7"/>
      <c r="DH426" s="7"/>
    </row>
    <row r="427" spans="63:112" x14ac:dyDescent="0.25">
      <c r="BK427" s="5"/>
      <c r="BW427" s="5"/>
      <c r="BX427" s="616"/>
      <c r="BY427" s="425"/>
      <c r="BZ427" s="425"/>
      <c r="CA427" s="616"/>
      <c r="CB427" s="616"/>
      <c r="DD427" s="702"/>
      <c r="DE427" s="6"/>
      <c r="DF427" s="7"/>
      <c r="DG427" s="7"/>
      <c r="DH427" s="7"/>
    </row>
    <row r="428" spans="63:112" x14ac:dyDescent="0.25">
      <c r="BK428" s="5"/>
      <c r="BW428" s="5"/>
      <c r="BX428" s="616"/>
      <c r="BY428" s="425"/>
      <c r="BZ428" s="425"/>
      <c r="CA428" s="616"/>
      <c r="CB428" s="616"/>
      <c r="DD428" s="702"/>
      <c r="DE428" s="6"/>
      <c r="DF428" s="7"/>
      <c r="DG428" s="7"/>
      <c r="DH428" s="7"/>
    </row>
    <row r="429" spans="63:112" x14ac:dyDescent="0.25">
      <c r="BK429" s="5"/>
      <c r="BW429" s="5"/>
      <c r="BX429" s="616"/>
      <c r="BY429" s="425"/>
      <c r="BZ429" s="425"/>
      <c r="CA429" s="616"/>
      <c r="CB429" s="616"/>
      <c r="DD429" s="702"/>
      <c r="DE429" s="6"/>
      <c r="DF429" s="7"/>
      <c r="DG429" s="7"/>
      <c r="DH429" s="7"/>
    </row>
    <row r="430" spans="63:112" x14ac:dyDescent="0.25">
      <c r="BK430" s="5"/>
      <c r="BW430" s="5"/>
      <c r="BX430" s="616"/>
      <c r="BY430" s="425"/>
      <c r="BZ430" s="425"/>
      <c r="CA430" s="616"/>
      <c r="CB430" s="616"/>
      <c r="DD430" s="702"/>
      <c r="DE430" s="6"/>
      <c r="DF430" s="7"/>
      <c r="DG430" s="7"/>
      <c r="DH430" s="7"/>
    </row>
    <row r="431" spans="63:112" x14ac:dyDescent="0.25">
      <c r="BK431" s="5"/>
      <c r="BW431" s="5"/>
      <c r="BX431" s="616"/>
      <c r="BY431" s="425"/>
      <c r="BZ431" s="425"/>
      <c r="CA431" s="616"/>
      <c r="CB431" s="616"/>
      <c r="DD431" s="702"/>
      <c r="DE431" s="6"/>
      <c r="DF431" s="7"/>
      <c r="DG431" s="7"/>
      <c r="DH431" s="7"/>
    </row>
    <row r="432" spans="63:112" x14ac:dyDescent="0.25">
      <c r="BK432" s="5"/>
      <c r="BW432" s="5"/>
      <c r="BX432" s="616"/>
      <c r="BY432" s="425"/>
      <c r="BZ432" s="425"/>
      <c r="CA432" s="616"/>
      <c r="CB432" s="616"/>
      <c r="DD432" s="702"/>
      <c r="DE432" s="6"/>
      <c r="DF432" s="7"/>
      <c r="DG432" s="7"/>
      <c r="DH432" s="7"/>
    </row>
    <row r="433" spans="63:112" x14ac:dyDescent="0.25">
      <c r="BK433" s="5"/>
      <c r="BW433" s="5"/>
      <c r="BX433" s="616"/>
      <c r="BY433" s="425"/>
      <c r="BZ433" s="425"/>
      <c r="CA433" s="616"/>
      <c r="CB433" s="616"/>
      <c r="DD433" s="702"/>
      <c r="DE433" s="6"/>
      <c r="DF433" s="7"/>
      <c r="DG433" s="7"/>
      <c r="DH433" s="7"/>
    </row>
    <row r="434" spans="63:112" x14ac:dyDescent="0.25">
      <c r="BK434" s="5"/>
      <c r="BW434" s="5"/>
      <c r="BX434" s="616"/>
      <c r="BY434" s="425"/>
      <c r="BZ434" s="425"/>
      <c r="CA434" s="616"/>
      <c r="CB434" s="616"/>
      <c r="DD434" s="702"/>
      <c r="DE434" s="6"/>
      <c r="DF434" s="7"/>
      <c r="DG434" s="7"/>
      <c r="DH434" s="7"/>
    </row>
    <row r="435" spans="63:112" x14ac:dyDescent="0.25">
      <c r="BK435" s="5"/>
      <c r="BW435" s="5"/>
      <c r="BX435" s="616"/>
      <c r="BY435" s="425"/>
      <c r="BZ435" s="425"/>
      <c r="CA435" s="616"/>
      <c r="CB435" s="616"/>
      <c r="DD435" s="702"/>
      <c r="DE435" s="6"/>
      <c r="DF435" s="7"/>
      <c r="DG435" s="7"/>
      <c r="DH435" s="7"/>
    </row>
    <row r="436" spans="63:112" x14ac:dyDescent="0.25">
      <c r="BK436" s="5"/>
      <c r="BW436" s="5"/>
      <c r="BX436" s="616"/>
      <c r="BY436" s="425"/>
      <c r="BZ436" s="425"/>
      <c r="CA436" s="616"/>
      <c r="CB436" s="616"/>
      <c r="DD436" s="702"/>
      <c r="DE436" s="6"/>
      <c r="DF436" s="7"/>
      <c r="DG436" s="7"/>
      <c r="DH436" s="7"/>
    </row>
    <row r="437" spans="63:112" x14ac:dyDescent="0.25">
      <c r="BK437" s="5"/>
      <c r="BW437" s="5"/>
      <c r="BX437" s="616"/>
      <c r="BY437" s="425"/>
      <c r="BZ437" s="425"/>
      <c r="CA437" s="616"/>
      <c r="CB437" s="616"/>
      <c r="DD437" s="702"/>
      <c r="DE437" s="6"/>
      <c r="DF437" s="7"/>
      <c r="DG437" s="7"/>
      <c r="DH437" s="7"/>
    </row>
    <row r="438" spans="63:112" x14ac:dyDescent="0.25">
      <c r="BK438" s="5"/>
      <c r="BW438" s="5"/>
      <c r="BX438" s="616"/>
      <c r="BY438" s="425"/>
      <c r="BZ438" s="425"/>
      <c r="CA438" s="616"/>
      <c r="CB438" s="616"/>
      <c r="DD438" s="702"/>
      <c r="DE438" s="6"/>
      <c r="DF438" s="7"/>
      <c r="DG438" s="7"/>
      <c r="DH438" s="7"/>
    </row>
    <row r="439" spans="63:112" x14ac:dyDescent="0.25">
      <c r="BK439" s="5"/>
      <c r="BW439" s="5"/>
      <c r="BX439" s="616"/>
      <c r="BY439" s="425"/>
      <c r="BZ439" s="425"/>
      <c r="CA439" s="616"/>
      <c r="CB439" s="616"/>
      <c r="DD439" s="702"/>
      <c r="DE439" s="6"/>
      <c r="DF439" s="7"/>
      <c r="DG439" s="7"/>
      <c r="DH439" s="7"/>
    </row>
    <row r="440" spans="63:112" x14ac:dyDescent="0.25">
      <c r="BK440" s="5"/>
      <c r="BW440" s="5"/>
      <c r="BX440" s="616"/>
      <c r="BY440" s="425"/>
      <c r="BZ440" s="425"/>
      <c r="CA440" s="616"/>
      <c r="CB440" s="616"/>
      <c r="DD440" s="702"/>
      <c r="DE440" s="6"/>
      <c r="DF440" s="7"/>
      <c r="DG440" s="7"/>
      <c r="DH440" s="7"/>
    </row>
    <row r="441" spans="63:112" x14ac:dyDescent="0.25">
      <c r="BK441" s="5"/>
      <c r="BW441" s="5"/>
      <c r="BX441" s="616"/>
      <c r="BY441" s="425"/>
      <c r="BZ441" s="425"/>
      <c r="CA441" s="616"/>
      <c r="CB441" s="616"/>
      <c r="DD441" s="702"/>
      <c r="DE441" s="6"/>
      <c r="DF441" s="7"/>
      <c r="DG441" s="7"/>
      <c r="DH441" s="7"/>
    </row>
    <row r="442" spans="63:112" x14ac:dyDescent="0.25">
      <c r="BK442" s="5"/>
      <c r="BW442" s="5"/>
      <c r="BX442" s="616"/>
      <c r="BY442" s="425"/>
      <c r="BZ442" s="425"/>
      <c r="CA442" s="616"/>
      <c r="CB442" s="616"/>
      <c r="DD442" s="702"/>
      <c r="DE442" s="6"/>
      <c r="DF442" s="7"/>
      <c r="DG442" s="7"/>
      <c r="DH442" s="7"/>
    </row>
    <row r="443" spans="63:112" x14ac:dyDescent="0.25">
      <c r="BK443" s="5"/>
      <c r="BW443" s="5"/>
      <c r="BX443" s="616"/>
      <c r="BY443" s="425"/>
      <c r="BZ443" s="425"/>
      <c r="CA443" s="616"/>
      <c r="CB443" s="616"/>
      <c r="DD443" s="702"/>
      <c r="DE443" s="6"/>
      <c r="DF443" s="7"/>
      <c r="DG443" s="7"/>
      <c r="DH443" s="7"/>
    </row>
    <row r="444" spans="63:112" x14ac:dyDescent="0.25">
      <c r="BK444" s="5"/>
      <c r="BW444" s="5"/>
      <c r="BX444" s="616"/>
      <c r="BY444" s="425"/>
      <c r="BZ444" s="425"/>
      <c r="CA444" s="616"/>
      <c r="CB444" s="616"/>
      <c r="DD444" s="702"/>
      <c r="DE444" s="6"/>
      <c r="DF444" s="7"/>
      <c r="DG444" s="7"/>
      <c r="DH444" s="7"/>
    </row>
    <row r="445" spans="63:112" x14ac:dyDescent="0.25">
      <c r="BK445" s="5"/>
      <c r="BW445" s="5"/>
      <c r="BX445" s="616"/>
      <c r="BY445" s="425"/>
      <c r="BZ445" s="425"/>
      <c r="CA445" s="616"/>
      <c r="CB445" s="616"/>
      <c r="DD445" s="702"/>
      <c r="DE445" s="6"/>
      <c r="DF445" s="7"/>
      <c r="DG445" s="7"/>
      <c r="DH445" s="7"/>
    </row>
    <row r="446" spans="63:112" x14ac:dyDescent="0.25">
      <c r="BK446" s="5"/>
      <c r="BW446" s="5"/>
      <c r="BX446" s="616"/>
      <c r="BY446" s="425"/>
      <c r="BZ446" s="425"/>
      <c r="CA446" s="616"/>
      <c r="CB446" s="616"/>
      <c r="DD446" s="702"/>
      <c r="DE446" s="6"/>
      <c r="DF446" s="7"/>
      <c r="DG446" s="7"/>
      <c r="DH446" s="7"/>
    </row>
    <row r="447" spans="63:112" x14ac:dyDescent="0.25">
      <c r="BK447" s="5"/>
      <c r="BW447" s="5"/>
      <c r="BX447" s="616"/>
      <c r="BY447" s="425"/>
      <c r="BZ447" s="425"/>
      <c r="CA447" s="616"/>
      <c r="CB447" s="616"/>
      <c r="DD447" s="702"/>
      <c r="DE447" s="6"/>
      <c r="DF447" s="7"/>
      <c r="DG447" s="7"/>
      <c r="DH447" s="7"/>
    </row>
    <row r="448" spans="63:112" x14ac:dyDescent="0.25">
      <c r="BK448" s="5"/>
      <c r="BW448" s="5"/>
      <c r="BX448" s="616"/>
      <c r="BY448" s="425"/>
      <c r="BZ448" s="425"/>
      <c r="CA448" s="616"/>
      <c r="CB448" s="616"/>
      <c r="DD448" s="702"/>
      <c r="DE448" s="6"/>
      <c r="DF448" s="7"/>
      <c r="DG448" s="7"/>
      <c r="DH448" s="7"/>
    </row>
    <row r="449" spans="63:112" x14ac:dyDescent="0.25">
      <c r="BK449" s="5"/>
      <c r="BW449" s="5"/>
      <c r="BX449" s="616"/>
      <c r="BY449" s="425"/>
      <c r="BZ449" s="425"/>
      <c r="CA449" s="616"/>
      <c r="CB449" s="616"/>
      <c r="DD449" s="702"/>
      <c r="DE449" s="6"/>
      <c r="DF449" s="7"/>
      <c r="DG449" s="7"/>
      <c r="DH449" s="7"/>
    </row>
    <row r="450" spans="63:112" x14ac:dyDescent="0.25">
      <c r="BK450" s="5"/>
      <c r="BW450" s="5"/>
      <c r="BX450" s="616"/>
      <c r="BY450" s="425"/>
      <c r="BZ450" s="425"/>
      <c r="CA450" s="616"/>
      <c r="CB450" s="616"/>
      <c r="DD450" s="702"/>
      <c r="DE450" s="6"/>
      <c r="DF450" s="7"/>
      <c r="DG450" s="7"/>
      <c r="DH450" s="7"/>
    </row>
    <row r="451" spans="63:112" x14ac:dyDescent="0.25">
      <c r="BK451" s="5"/>
      <c r="BW451" s="5"/>
      <c r="BX451" s="616"/>
      <c r="BY451" s="425"/>
      <c r="BZ451" s="425"/>
      <c r="CA451" s="616"/>
      <c r="CB451" s="616"/>
      <c r="DD451" s="702"/>
      <c r="DE451" s="6"/>
      <c r="DF451" s="7"/>
      <c r="DG451" s="7"/>
      <c r="DH451" s="7"/>
    </row>
    <row r="452" spans="63:112" x14ac:dyDescent="0.25">
      <c r="BK452" s="5"/>
      <c r="BW452" s="5"/>
      <c r="BX452" s="616"/>
      <c r="BY452" s="425"/>
      <c r="BZ452" s="425"/>
      <c r="CA452" s="616"/>
      <c r="CB452" s="616"/>
      <c r="DD452" s="702"/>
      <c r="DE452" s="6"/>
      <c r="DF452" s="7"/>
      <c r="DG452" s="7"/>
      <c r="DH452" s="7"/>
    </row>
    <row r="453" spans="63:112" x14ac:dyDescent="0.25">
      <c r="BK453" s="5"/>
      <c r="BW453" s="5"/>
      <c r="BX453" s="616"/>
      <c r="BY453" s="425"/>
      <c r="BZ453" s="425"/>
      <c r="CA453" s="616"/>
      <c r="CB453" s="616"/>
      <c r="DD453" s="702"/>
      <c r="DE453" s="6"/>
      <c r="DF453" s="7"/>
      <c r="DG453" s="7"/>
      <c r="DH453" s="7"/>
    </row>
    <row r="454" spans="63:112" x14ac:dyDescent="0.25">
      <c r="BK454" s="5"/>
      <c r="BW454" s="5"/>
      <c r="BX454" s="616"/>
      <c r="BY454" s="425"/>
      <c r="BZ454" s="425"/>
      <c r="CA454" s="616"/>
      <c r="CB454" s="616"/>
      <c r="DD454" s="702"/>
      <c r="DE454" s="6"/>
      <c r="DF454" s="7"/>
      <c r="DG454" s="7"/>
      <c r="DH454" s="7"/>
    </row>
    <row r="455" spans="63:112" x14ac:dyDescent="0.25">
      <c r="BK455" s="5"/>
      <c r="BW455" s="5"/>
      <c r="BX455" s="616"/>
      <c r="BY455" s="425"/>
      <c r="BZ455" s="425"/>
      <c r="CA455" s="616"/>
      <c r="CB455" s="616"/>
      <c r="DD455" s="702"/>
      <c r="DE455" s="6"/>
      <c r="DF455" s="7"/>
      <c r="DG455" s="7"/>
      <c r="DH455" s="7"/>
    </row>
    <row r="456" spans="63:112" x14ac:dyDescent="0.25">
      <c r="BK456" s="5"/>
      <c r="BW456" s="5"/>
      <c r="BX456" s="616"/>
      <c r="BY456" s="425"/>
      <c r="BZ456" s="425"/>
      <c r="CA456" s="616"/>
      <c r="CB456" s="616"/>
      <c r="DD456" s="702"/>
      <c r="DE456" s="6"/>
      <c r="DF456" s="7"/>
      <c r="DG456" s="7"/>
      <c r="DH456" s="7"/>
    </row>
    <row r="457" spans="63:112" x14ac:dyDescent="0.25">
      <c r="BK457" s="5"/>
      <c r="BW457" s="5"/>
      <c r="BX457" s="616"/>
      <c r="BY457" s="425"/>
      <c r="BZ457" s="425"/>
      <c r="CA457" s="616"/>
      <c r="CB457" s="616"/>
      <c r="DD457" s="702"/>
      <c r="DE457" s="6"/>
      <c r="DF457" s="7"/>
      <c r="DG457" s="7"/>
      <c r="DH457" s="7"/>
    </row>
    <row r="458" spans="63:112" x14ac:dyDescent="0.25">
      <c r="BK458" s="5"/>
      <c r="BW458" s="5"/>
      <c r="BX458" s="616"/>
      <c r="BY458" s="425"/>
      <c r="BZ458" s="425"/>
      <c r="CA458" s="616"/>
      <c r="CB458" s="616"/>
      <c r="DD458" s="702"/>
      <c r="DE458" s="6"/>
      <c r="DF458" s="7"/>
      <c r="DG458" s="7"/>
      <c r="DH458" s="7"/>
    </row>
    <row r="459" spans="63:112" x14ac:dyDescent="0.25">
      <c r="BK459" s="5"/>
      <c r="BW459" s="5"/>
      <c r="BX459" s="616"/>
      <c r="BY459" s="425"/>
      <c r="BZ459" s="425"/>
      <c r="CA459" s="616"/>
      <c r="CB459" s="616"/>
      <c r="DD459" s="702"/>
      <c r="DE459" s="6"/>
      <c r="DF459" s="7"/>
      <c r="DG459" s="7"/>
      <c r="DH459" s="7"/>
    </row>
    <row r="460" spans="63:112" x14ac:dyDescent="0.25">
      <c r="BK460" s="5"/>
      <c r="BW460" s="5"/>
      <c r="BX460" s="616"/>
      <c r="BY460" s="425"/>
      <c r="BZ460" s="425"/>
      <c r="CA460" s="616"/>
      <c r="CB460" s="616"/>
      <c r="DD460" s="702"/>
      <c r="DE460" s="6"/>
      <c r="DF460" s="7"/>
      <c r="DG460" s="7"/>
      <c r="DH460" s="7"/>
    </row>
    <row r="461" spans="63:112" x14ac:dyDescent="0.25">
      <c r="BK461" s="5"/>
      <c r="BW461" s="5"/>
      <c r="BX461" s="616"/>
      <c r="BY461" s="425"/>
      <c r="BZ461" s="425"/>
      <c r="CA461" s="616"/>
      <c r="CB461" s="616"/>
      <c r="DD461" s="702"/>
      <c r="DE461" s="6"/>
      <c r="DF461" s="7"/>
      <c r="DG461" s="7"/>
      <c r="DH461" s="7"/>
    </row>
    <row r="462" spans="63:112" x14ac:dyDescent="0.25">
      <c r="BK462" s="5"/>
      <c r="BW462" s="5"/>
      <c r="BX462" s="616"/>
      <c r="BY462" s="425"/>
      <c r="BZ462" s="425"/>
      <c r="CA462" s="616"/>
      <c r="CB462" s="616"/>
      <c r="DD462" s="702"/>
      <c r="DE462" s="6"/>
      <c r="DF462" s="7"/>
      <c r="DG462" s="7"/>
      <c r="DH462" s="7"/>
    </row>
    <row r="463" spans="63:112" x14ac:dyDescent="0.25">
      <c r="BK463" s="5"/>
      <c r="BW463" s="5"/>
      <c r="BX463" s="616"/>
      <c r="BY463" s="425"/>
      <c r="BZ463" s="425"/>
      <c r="CA463" s="616"/>
      <c r="CB463" s="616"/>
      <c r="DD463" s="702"/>
      <c r="DE463" s="6"/>
      <c r="DF463" s="7"/>
      <c r="DG463" s="7"/>
      <c r="DH463" s="7"/>
    </row>
    <row r="464" spans="63:112" x14ac:dyDescent="0.25">
      <c r="BK464" s="5"/>
      <c r="BW464" s="5"/>
      <c r="BX464" s="616"/>
      <c r="BY464" s="425"/>
      <c r="BZ464" s="425"/>
      <c r="CA464" s="616"/>
      <c r="CB464" s="616"/>
      <c r="DD464" s="702"/>
      <c r="DE464" s="6"/>
      <c r="DF464" s="7"/>
      <c r="DG464" s="7"/>
      <c r="DH464" s="7"/>
    </row>
    <row r="465" spans="63:112" x14ac:dyDescent="0.25">
      <c r="BK465" s="5"/>
      <c r="BW465" s="5"/>
      <c r="BX465" s="616"/>
      <c r="BY465" s="425"/>
      <c r="BZ465" s="425"/>
      <c r="CA465" s="616"/>
      <c r="CB465" s="616"/>
      <c r="DD465" s="702"/>
      <c r="DE465" s="6"/>
      <c r="DF465" s="7"/>
      <c r="DG465" s="7"/>
      <c r="DH465" s="7"/>
    </row>
    <row r="466" spans="63:112" x14ac:dyDescent="0.25">
      <c r="BK466" s="5"/>
      <c r="BW466" s="5"/>
      <c r="BX466" s="616"/>
      <c r="BY466" s="425"/>
      <c r="BZ466" s="425"/>
      <c r="CA466" s="616"/>
      <c r="CB466" s="616"/>
      <c r="DD466" s="702"/>
      <c r="DE466" s="6"/>
      <c r="DF466" s="7"/>
      <c r="DG466" s="7"/>
      <c r="DH466" s="7"/>
    </row>
    <row r="467" spans="63:112" x14ac:dyDescent="0.25">
      <c r="BK467" s="5"/>
      <c r="BW467" s="5"/>
      <c r="BX467" s="616"/>
      <c r="BY467" s="425"/>
      <c r="BZ467" s="425"/>
      <c r="CA467" s="616"/>
      <c r="CB467" s="616"/>
      <c r="DD467" s="702"/>
      <c r="DE467" s="6"/>
      <c r="DF467" s="7"/>
      <c r="DG467" s="7"/>
      <c r="DH467" s="7"/>
    </row>
    <row r="468" spans="63:112" x14ac:dyDescent="0.25">
      <c r="BK468" s="5"/>
      <c r="BW468" s="5"/>
      <c r="BX468" s="616"/>
      <c r="BY468" s="425"/>
      <c r="BZ468" s="425"/>
      <c r="CA468" s="616"/>
      <c r="CB468" s="616"/>
      <c r="DD468" s="702"/>
      <c r="DE468" s="6"/>
      <c r="DF468" s="7"/>
      <c r="DG468" s="7"/>
      <c r="DH468" s="7"/>
    </row>
    <row r="469" spans="63:112" x14ac:dyDescent="0.25">
      <c r="BK469" s="5"/>
      <c r="BW469" s="5"/>
      <c r="BX469" s="616"/>
      <c r="BY469" s="425"/>
      <c r="BZ469" s="425"/>
      <c r="CA469" s="616"/>
      <c r="CB469" s="616"/>
      <c r="DD469" s="702"/>
      <c r="DE469" s="6"/>
      <c r="DF469" s="7"/>
      <c r="DG469" s="7"/>
      <c r="DH469" s="7"/>
    </row>
    <row r="470" spans="63:112" x14ac:dyDescent="0.25">
      <c r="BK470" s="5"/>
      <c r="BW470" s="5"/>
      <c r="BX470" s="616"/>
      <c r="BY470" s="425"/>
      <c r="BZ470" s="425"/>
      <c r="CA470" s="616"/>
      <c r="CB470" s="616"/>
      <c r="DD470" s="702"/>
      <c r="DE470" s="6"/>
      <c r="DF470" s="7"/>
      <c r="DG470" s="7"/>
      <c r="DH470" s="7"/>
    </row>
    <row r="471" spans="63:112" x14ac:dyDescent="0.25">
      <c r="BK471" s="5"/>
      <c r="BW471" s="5"/>
      <c r="BX471" s="616"/>
      <c r="BY471" s="425"/>
      <c r="BZ471" s="425"/>
      <c r="CA471" s="616"/>
      <c r="CB471" s="616"/>
      <c r="DD471" s="702"/>
      <c r="DE471" s="6"/>
      <c r="DF471" s="7"/>
      <c r="DG471" s="7"/>
      <c r="DH471" s="7"/>
    </row>
    <row r="472" spans="63:112" x14ac:dyDescent="0.25">
      <c r="BK472" s="5"/>
      <c r="BW472" s="5"/>
      <c r="BX472" s="616"/>
      <c r="BY472" s="425"/>
      <c r="BZ472" s="425"/>
      <c r="CA472" s="616"/>
      <c r="CB472" s="616"/>
      <c r="DD472" s="702"/>
      <c r="DE472" s="6"/>
      <c r="DF472" s="7"/>
      <c r="DG472" s="7"/>
      <c r="DH472" s="7"/>
    </row>
    <row r="473" spans="63:112" x14ac:dyDescent="0.25">
      <c r="BK473" s="5"/>
      <c r="BW473" s="5"/>
      <c r="BX473" s="616"/>
      <c r="BY473" s="425"/>
      <c r="BZ473" s="425"/>
      <c r="CA473" s="616"/>
      <c r="CB473" s="616"/>
      <c r="DD473" s="702"/>
      <c r="DE473" s="6"/>
      <c r="DF473" s="7"/>
      <c r="DG473" s="7"/>
      <c r="DH473" s="7"/>
    </row>
    <row r="474" spans="63:112" x14ac:dyDescent="0.25">
      <c r="BK474" s="5"/>
      <c r="BW474" s="5"/>
      <c r="BX474" s="616"/>
      <c r="BY474" s="425"/>
      <c r="BZ474" s="425"/>
      <c r="CA474" s="616"/>
      <c r="CB474" s="616"/>
      <c r="DD474" s="702"/>
      <c r="DE474" s="6"/>
      <c r="DF474" s="7"/>
      <c r="DG474" s="7"/>
      <c r="DH474" s="7"/>
    </row>
    <row r="475" spans="63:112" x14ac:dyDescent="0.25">
      <c r="BK475" s="5"/>
      <c r="BW475" s="5"/>
      <c r="BX475" s="616"/>
      <c r="BY475" s="425"/>
      <c r="BZ475" s="425"/>
      <c r="CA475" s="616"/>
      <c r="CB475" s="616"/>
      <c r="DD475" s="702"/>
      <c r="DE475" s="6"/>
      <c r="DF475" s="7"/>
      <c r="DG475" s="7"/>
      <c r="DH475" s="7"/>
    </row>
    <row r="476" spans="63:112" x14ac:dyDescent="0.25">
      <c r="BK476" s="5"/>
      <c r="BW476" s="5"/>
      <c r="BX476" s="616"/>
      <c r="BY476" s="425"/>
      <c r="BZ476" s="425"/>
      <c r="CA476" s="616"/>
      <c r="CB476" s="616"/>
      <c r="DD476" s="702"/>
      <c r="DE476" s="6"/>
      <c r="DF476" s="7"/>
      <c r="DG476" s="7"/>
      <c r="DH476" s="7"/>
    </row>
    <row r="477" spans="63:112" x14ac:dyDescent="0.25">
      <c r="BK477" s="5"/>
      <c r="BW477" s="5"/>
      <c r="BX477" s="616"/>
      <c r="BY477" s="425"/>
      <c r="BZ477" s="425"/>
      <c r="CA477" s="616"/>
      <c r="CB477" s="616"/>
      <c r="DD477" s="702"/>
      <c r="DE477" s="6"/>
      <c r="DF477" s="7"/>
      <c r="DG477" s="7"/>
      <c r="DH477" s="7"/>
    </row>
    <row r="478" spans="63:112" x14ac:dyDescent="0.25">
      <c r="BK478" s="5"/>
      <c r="BW478" s="5"/>
      <c r="BX478" s="616"/>
      <c r="BY478" s="425"/>
      <c r="BZ478" s="425"/>
      <c r="CA478" s="616"/>
      <c r="CB478" s="616"/>
      <c r="DD478" s="702"/>
      <c r="DE478" s="6"/>
      <c r="DF478" s="7"/>
      <c r="DG478" s="7"/>
      <c r="DH478" s="7"/>
    </row>
    <row r="479" spans="63:112" x14ac:dyDescent="0.25">
      <c r="BK479" s="5"/>
      <c r="BW479" s="5"/>
      <c r="BX479" s="616"/>
      <c r="BY479" s="425"/>
      <c r="BZ479" s="425"/>
      <c r="CA479" s="616"/>
      <c r="CB479" s="616"/>
      <c r="DD479" s="702"/>
      <c r="DE479" s="6"/>
      <c r="DF479" s="7"/>
      <c r="DG479" s="7"/>
      <c r="DH479" s="7"/>
    </row>
    <row r="480" spans="63:112" x14ac:dyDescent="0.25">
      <c r="BK480" s="5"/>
      <c r="BW480" s="5"/>
      <c r="BX480" s="616"/>
      <c r="BY480" s="425"/>
      <c r="BZ480" s="425"/>
      <c r="CA480" s="616"/>
      <c r="CB480" s="616"/>
      <c r="DD480" s="702"/>
      <c r="DE480" s="6"/>
      <c r="DF480" s="7"/>
      <c r="DG480" s="7"/>
      <c r="DH480" s="7"/>
    </row>
    <row r="481" spans="63:112" x14ac:dyDescent="0.25">
      <c r="BK481" s="5"/>
      <c r="BW481" s="5"/>
      <c r="BX481" s="616"/>
      <c r="BY481" s="425"/>
      <c r="BZ481" s="425"/>
      <c r="CA481" s="616"/>
      <c r="CB481" s="616"/>
      <c r="DD481" s="702"/>
      <c r="DE481" s="6"/>
      <c r="DF481" s="7"/>
      <c r="DG481" s="7"/>
      <c r="DH481" s="7"/>
    </row>
    <row r="482" spans="63:112" x14ac:dyDescent="0.25">
      <c r="BK482" s="5"/>
      <c r="BW482" s="5"/>
      <c r="BX482" s="616"/>
      <c r="BY482" s="425"/>
      <c r="BZ482" s="425"/>
      <c r="CA482" s="616"/>
      <c r="CB482" s="616"/>
      <c r="DD482" s="702"/>
      <c r="DE482" s="6"/>
      <c r="DF482" s="7"/>
      <c r="DG482" s="7"/>
      <c r="DH482" s="7"/>
    </row>
    <row r="483" spans="63:112" x14ac:dyDescent="0.25">
      <c r="BK483" s="5"/>
      <c r="BW483" s="5"/>
      <c r="BX483" s="616"/>
      <c r="BY483" s="425"/>
      <c r="BZ483" s="425"/>
      <c r="CA483" s="616"/>
      <c r="CB483" s="616"/>
      <c r="DD483" s="702"/>
      <c r="DE483" s="6"/>
      <c r="DF483" s="7"/>
      <c r="DG483" s="7"/>
      <c r="DH483" s="7"/>
    </row>
    <row r="484" spans="63:112" x14ac:dyDescent="0.25">
      <c r="BK484" s="5"/>
      <c r="BW484" s="5"/>
      <c r="BX484" s="616"/>
      <c r="BY484" s="425"/>
      <c r="BZ484" s="425"/>
      <c r="CA484" s="616"/>
      <c r="CB484" s="616"/>
      <c r="DD484" s="702"/>
      <c r="DE484" s="6"/>
      <c r="DF484" s="7"/>
      <c r="DG484" s="7"/>
      <c r="DH484" s="7"/>
    </row>
    <row r="485" spans="63:112" x14ac:dyDescent="0.25">
      <c r="BK485" s="5"/>
      <c r="BW485" s="5"/>
      <c r="BX485" s="616"/>
      <c r="BY485" s="425"/>
      <c r="BZ485" s="425"/>
      <c r="CA485" s="616"/>
      <c r="CB485" s="616"/>
      <c r="DD485" s="702"/>
      <c r="DE485" s="6"/>
      <c r="DF485" s="7"/>
      <c r="DG485" s="7"/>
      <c r="DH485" s="7"/>
    </row>
    <row r="486" spans="63:112" x14ac:dyDescent="0.25">
      <c r="BK486" s="5"/>
      <c r="BW486" s="5"/>
      <c r="BX486" s="616"/>
      <c r="BY486" s="425"/>
      <c r="BZ486" s="425"/>
      <c r="CA486" s="616"/>
      <c r="CB486" s="616"/>
      <c r="DD486" s="702"/>
      <c r="DE486" s="6"/>
      <c r="DF486" s="7"/>
      <c r="DG486" s="7"/>
      <c r="DH486" s="7"/>
    </row>
    <row r="487" spans="63:112" x14ac:dyDescent="0.25">
      <c r="BK487" s="5"/>
      <c r="BW487" s="5"/>
      <c r="BX487" s="616"/>
      <c r="BY487" s="425"/>
      <c r="BZ487" s="425"/>
      <c r="CA487" s="616"/>
      <c r="CB487" s="616"/>
      <c r="DD487" s="702"/>
      <c r="DE487" s="6"/>
      <c r="DF487" s="7"/>
      <c r="DG487" s="7"/>
      <c r="DH487" s="7"/>
    </row>
    <row r="488" spans="63:112" x14ac:dyDescent="0.25">
      <c r="BK488" s="5"/>
      <c r="BW488" s="5"/>
      <c r="BX488" s="616"/>
      <c r="BY488" s="425"/>
      <c r="BZ488" s="425"/>
      <c r="CA488" s="616"/>
      <c r="CB488" s="616"/>
      <c r="DD488" s="702"/>
      <c r="DE488" s="6"/>
      <c r="DF488" s="7"/>
      <c r="DG488" s="7"/>
      <c r="DH488" s="7"/>
    </row>
    <row r="489" spans="63:112" x14ac:dyDescent="0.25">
      <c r="BK489" s="5"/>
      <c r="BW489" s="5"/>
      <c r="BX489" s="616"/>
      <c r="BY489" s="425"/>
      <c r="BZ489" s="425"/>
      <c r="CA489" s="616"/>
      <c r="CB489" s="616"/>
      <c r="DD489" s="702"/>
      <c r="DE489" s="6"/>
      <c r="DF489" s="7"/>
      <c r="DG489" s="7"/>
      <c r="DH489" s="7"/>
    </row>
    <row r="490" spans="63:112" x14ac:dyDescent="0.25">
      <c r="BK490" s="5"/>
      <c r="BW490" s="5"/>
      <c r="BX490" s="616"/>
      <c r="BY490" s="425"/>
      <c r="BZ490" s="425"/>
      <c r="CA490" s="616"/>
      <c r="CB490" s="616"/>
      <c r="DD490" s="702"/>
      <c r="DE490" s="6"/>
      <c r="DF490" s="7"/>
      <c r="DG490" s="7"/>
      <c r="DH490" s="7"/>
    </row>
    <row r="491" spans="63:112" x14ac:dyDescent="0.25">
      <c r="BK491" s="5"/>
      <c r="BW491" s="5"/>
      <c r="BX491" s="616"/>
      <c r="BY491" s="425"/>
      <c r="BZ491" s="425"/>
      <c r="CA491" s="616"/>
      <c r="CB491" s="616"/>
      <c r="DD491" s="702"/>
      <c r="DE491" s="6"/>
      <c r="DF491" s="7"/>
      <c r="DG491" s="7"/>
      <c r="DH491" s="7"/>
    </row>
    <row r="492" spans="63:112" x14ac:dyDescent="0.25">
      <c r="BK492" s="5"/>
      <c r="BW492" s="5"/>
      <c r="BX492" s="616"/>
      <c r="BY492" s="425"/>
      <c r="BZ492" s="425"/>
      <c r="CA492" s="616"/>
      <c r="CB492" s="616"/>
      <c r="DD492" s="702"/>
      <c r="DE492" s="6"/>
      <c r="DF492" s="7"/>
      <c r="DG492" s="7"/>
      <c r="DH492" s="7"/>
    </row>
    <row r="493" spans="63:112" x14ac:dyDescent="0.25">
      <c r="BK493" s="5"/>
      <c r="BW493" s="5"/>
      <c r="BX493" s="616"/>
      <c r="BY493" s="425"/>
      <c r="BZ493" s="425"/>
      <c r="CA493" s="616"/>
      <c r="CB493" s="616"/>
      <c r="DD493" s="702"/>
      <c r="DE493" s="6"/>
      <c r="DF493" s="7"/>
      <c r="DG493" s="7"/>
      <c r="DH493" s="7"/>
    </row>
    <row r="494" spans="63:112" x14ac:dyDescent="0.25">
      <c r="BK494" s="5"/>
      <c r="BW494" s="5"/>
      <c r="BX494" s="616"/>
      <c r="BY494" s="425"/>
      <c r="BZ494" s="425"/>
      <c r="CA494" s="616"/>
      <c r="CB494" s="616"/>
      <c r="DD494" s="702"/>
      <c r="DE494" s="6"/>
      <c r="DF494" s="7"/>
      <c r="DG494" s="7"/>
      <c r="DH494" s="7"/>
    </row>
    <row r="495" spans="63:112" x14ac:dyDescent="0.25">
      <c r="BK495" s="5"/>
      <c r="BW495" s="5"/>
      <c r="BX495" s="616"/>
      <c r="BY495" s="425"/>
      <c r="BZ495" s="425"/>
      <c r="CA495" s="616"/>
      <c r="CB495" s="616"/>
      <c r="DD495" s="702"/>
      <c r="DE495" s="6"/>
      <c r="DF495" s="7"/>
      <c r="DG495" s="7"/>
      <c r="DH495" s="7"/>
    </row>
    <row r="496" spans="63:112" x14ac:dyDescent="0.25">
      <c r="BK496" s="5"/>
      <c r="BW496" s="5"/>
      <c r="BX496" s="616"/>
      <c r="BY496" s="425"/>
      <c r="BZ496" s="425"/>
      <c r="CA496" s="616"/>
      <c r="CB496" s="616"/>
      <c r="DD496" s="702"/>
      <c r="DE496" s="6"/>
      <c r="DF496" s="7"/>
      <c r="DG496" s="7"/>
      <c r="DH496" s="7"/>
    </row>
    <row r="497" spans="63:112" x14ac:dyDescent="0.25">
      <c r="BK497" s="5"/>
      <c r="BW497" s="5"/>
      <c r="BX497" s="616"/>
      <c r="BY497" s="425"/>
      <c r="BZ497" s="425"/>
      <c r="CA497" s="616"/>
      <c r="CB497" s="616"/>
      <c r="DD497" s="702"/>
      <c r="DE497" s="6"/>
      <c r="DF497" s="7"/>
      <c r="DG497" s="7"/>
      <c r="DH497" s="7"/>
    </row>
    <row r="498" spans="63:112" x14ac:dyDescent="0.25">
      <c r="BK498" s="5"/>
      <c r="BW498" s="5"/>
      <c r="BX498" s="616"/>
      <c r="BY498" s="425"/>
      <c r="BZ498" s="425"/>
      <c r="CA498" s="616"/>
      <c r="CB498" s="616"/>
      <c r="DD498" s="702"/>
      <c r="DE498" s="6"/>
      <c r="DF498" s="7"/>
      <c r="DG498" s="7"/>
      <c r="DH498" s="7"/>
    </row>
    <row r="499" spans="63:112" x14ac:dyDescent="0.25">
      <c r="BK499" s="5"/>
      <c r="BW499" s="5"/>
      <c r="BX499" s="616"/>
      <c r="BY499" s="425"/>
      <c r="BZ499" s="425"/>
      <c r="CA499" s="616"/>
      <c r="CB499" s="616"/>
      <c r="DD499" s="702"/>
      <c r="DE499" s="6"/>
      <c r="DF499" s="7"/>
      <c r="DG499" s="7"/>
      <c r="DH499" s="7"/>
    </row>
    <row r="500" spans="63:112" x14ac:dyDescent="0.25">
      <c r="BK500" s="5"/>
      <c r="BW500" s="5"/>
      <c r="BX500" s="616"/>
      <c r="BY500" s="425"/>
      <c r="BZ500" s="425"/>
      <c r="CA500" s="616"/>
      <c r="CB500" s="616"/>
      <c r="DD500" s="702"/>
      <c r="DE500" s="6"/>
      <c r="DF500" s="7"/>
      <c r="DG500" s="7"/>
      <c r="DH500" s="7"/>
    </row>
    <row r="501" spans="63:112" x14ac:dyDescent="0.25">
      <c r="BK501" s="5"/>
      <c r="BW501" s="5"/>
      <c r="BX501" s="616"/>
      <c r="BY501" s="425"/>
      <c r="BZ501" s="425"/>
      <c r="CA501" s="616"/>
      <c r="CB501" s="616"/>
      <c r="DD501" s="702"/>
      <c r="DE501" s="6"/>
      <c r="DF501" s="7"/>
      <c r="DG501" s="7"/>
      <c r="DH501" s="7"/>
    </row>
    <row r="502" spans="63:112" x14ac:dyDescent="0.25">
      <c r="BK502" s="5"/>
      <c r="BW502" s="5"/>
      <c r="BX502" s="616"/>
      <c r="BY502" s="425"/>
      <c r="BZ502" s="425"/>
      <c r="CA502" s="616"/>
      <c r="CB502" s="616"/>
      <c r="DD502" s="702"/>
      <c r="DE502" s="6"/>
      <c r="DF502" s="7"/>
      <c r="DG502" s="7"/>
      <c r="DH502" s="7"/>
    </row>
    <row r="503" spans="63:112" x14ac:dyDescent="0.25">
      <c r="BK503" s="5"/>
      <c r="BW503" s="5"/>
      <c r="BX503" s="616"/>
      <c r="BY503" s="425"/>
      <c r="BZ503" s="425"/>
      <c r="CA503" s="616"/>
      <c r="CB503" s="616"/>
      <c r="DD503" s="702"/>
      <c r="DE503" s="6"/>
      <c r="DF503" s="7"/>
      <c r="DG503" s="7"/>
      <c r="DH503" s="7"/>
    </row>
    <row r="504" spans="63:112" x14ac:dyDescent="0.25">
      <c r="BK504" s="5"/>
      <c r="BW504" s="5"/>
      <c r="BX504" s="616"/>
      <c r="BY504" s="425"/>
      <c r="BZ504" s="425"/>
      <c r="CA504" s="616"/>
      <c r="CB504" s="616"/>
      <c r="DD504" s="702"/>
      <c r="DE504" s="6"/>
      <c r="DF504" s="7"/>
      <c r="DG504" s="7"/>
      <c r="DH504" s="7"/>
    </row>
    <row r="505" spans="63:112" x14ac:dyDescent="0.25">
      <c r="BK505" s="5"/>
      <c r="BW505" s="5"/>
      <c r="BX505" s="616"/>
      <c r="BY505" s="425"/>
      <c r="BZ505" s="425"/>
      <c r="CA505" s="616"/>
      <c r="CB505" s="616"/>
      <c r="DD505" s="702"/>
      <c r="DE505" s="6"/>
      <c r="DF505" s="7"/>
      <c r="DG505" s="7"/>
      <c r="DH505" s="7"/>
    </row>
    <row r="506" spans="63:112" x14ac:dyDescent="0.25">
      <c r="BK506" s="5"/>
      <c r="BW506" s="5"/>
      <c r="BX506" s="616"/>
      <c r="BY506" s="425"/>
      <c r="BZ506" s="425"/>
      <c r="CA506" s="616"/>
      <c r="CB506" s="616"/>
      <c r="DD506" s="702"/>
      <c r="DE506" s="6"/>
      <c r="DF506" s="7"/>
      <c r="DG506" s="7"/>
      <c r="DH506" s="7"/>
    </row>
    <row r="507" spans="63:112" x14ac:dyDescent="0.25">
      <c r="BK507" s="5"/>
      <c r="BW507" s="5"/>
      <c r="BX507" s="616"/>
      <c r="BY507" s="425"/>
      <c r="BZ507" s="425"/>
      <c r="CA507" s="616"/>
      <c r="CB507" s="616"/>
      <c r="DD507" s="702"/>
      <c r="DE507" s="6"/>
      <c r="DF507" s="7"/>
      <c r="DG507" s="7"/>
      <c r="DH507" s="7"/>
    </row>
    <row r="508" spans="63:112" x14ac:dyDescent="0.25">
      <c r="BK508" s="5"/>
      <c r="BW508" s="5"/>
      <c r="BX508" s="616"/>
      <c r="BY508" s="425"/>
      <c r="BZ508" s="425"/>
      <c r="CA508" s="616"/>
      <c r="CB508" s="616"/>
      <c r="DD508" s="702"/>
      <c r="DE508" s="6"/>
      <c r="DF508" s="7"/>
      <c r="DG508" s="7"/>
      <c r="DH508" s="7"/>
    </row>
    <row r="509" spans="63:112" x14ac:dyDescent="0.25">
      <c r="BK509" s="5"/>
      <c r="BW509" s="5"/>
      <c r="BX509" s="616"/>
      <c r="BY509" s="425"/>
      <c r="BZ509" s="425"/>
      <c r="CA509" s="616"/>
      <c r="CB509" s="616"/>
      <c r="DD509" s="702"/>
      <c r="DE509" s="6"/>
      <c r="DF509" s="7"/>
      <c r="DG509" s="7"/>
      <c r="DH509" s="7"/>
    </row>
    <row r="510" spans="63:112" x14ac:dyDescent="0.25">
      <c r="BK510" s="5"/>
      <c r="BW510" s="5"/>
      <c r="BX510" s="616"/>
      <c r="BY510" s="425"/>
      <c r="BZ510" s="425"/>
      <c r="CA510" s="616"/>
      <c r="CB510" s="616"/>
      <c r="DD510" s="702"/>
      <c r="DE510" s="6"/>
      <c r="DF510" s="7"/>
      <c r="DG510" s="7"/>
      <c r="DH510" s="7"/>
    </row>
    <row r="511" spans="63:112" x14ac:dyDescent="0.25">
      <c r="BK511" s="5"/>
      <c r="BW511" s="5"/>
      <c r="BX511" s="616"/>
      <c r="BY511" s="425"/>
      <c r="BZ511" s="425"/>
      <c r="CA511" s="616"/>
      <c r="CB511" s="616"/>
      <c r="DD511" s="702"/>
      <c r="DE511" s="6"/>
      <c r="DF511" s="7"/>
      <c r="DG511" s="7"/>
      <c r="DH511" s="7"/>
    </row>
    <row r="512" spans="63:112" x14ac:dyDescent="0.25">
      <c r="BK512" s="5"/>
      <c r="BW512" s="5"/>
      <c r="BX512" s="616"/>
      <c r="BY512" s="425"/>
      <c r="BZ512" s="425"/>
      <c r="CA512" s="616"/>
      <c r="CB512" s="616"/>
      <c r="DD512" s="702"/>
      <c r="DE512" s="6"/>
      <c r="DF512" s="7"/>
      <c r="DG512" s="7"/>
      <c r="DH512" s="7"/>
    </row>
    <row r="513" spans="63:112" x14ac:dyDescent="0.25">
      <c r="BK513" s="5"/>
      <c r="BW513" s="5"/>
      <c r="BX513" s="616"/>
      <c r="BY513" s="425"/>
      <c r="BZ513" s="425"/>
      <c r="CA513" s="616"/>
      <c r="CB513" s="616"/>
      <c r="DD513" s="702"/>
      <c r="DE513" s="6"/>
      <c r="DF513" s="7"/>
      <c r="DG513" s="7"/>
      <c r="DH513" s="7"/>
    </row>
    <row r="514" spans="63:112" x14ac:dyDescent="0.25">
      <c r="BK514" s="5"/>
      <c r="BW514" s="5"/>
      <c r="BX514" s="616"/>
      <c r="BY514" s="425"/>
      <c r="BZ514" s="425"/>
      <c r="CA514" s="616"/>
      <c r="CB514" s="616"/>
      <c r="DD514" s="702"/>
      <c r="DE514" s="6"/>
      <c r="DF514" s="7"/>
      <c r="DG514" s="7"/>
      <c r="DH514" s="7"/>
    </row>
    <row r="515" spans="63:112" x14ac:dyDescent="0.25">
      <c r="BK515" s="5"/>
      <c r="BW515" s="5"/>
      <c r="BX515" s="616"/>
      <c r="BY515" s="425"/>
      <c r="BZ515" s="425"/>
      <c r="CA515" s="616"/>
      <c r="CB515" s="616"/>
      <c r="DD515" s="702"/>
      <c r="DE515" s="6"/>
      <c r="DF515" s="7"/>
      <c r="DG515" s="7"/>
      <c r="DH515" s="7"/>
    </row>
    <row r="516" spans="63:112" x14ac:dyDescent="0.25">
      <c r="BK516" s="5"/>
      <c r="BW516" s="5"/>
      <c r="BX516" s="616"/>
      <c r="BY516" s="425"/>
      <c r="BZ516" s="425"/>
      <c r="CA516" s="616"/>
      <c r="CB516" s="616"/>
      <c r="DD516" s="702"/>
      <c r="DE516" s="6"/>
      <c r="DF516" s="7"/>
      <c r="DG516" s="7"/>
      <c r="DH516" s="7"/>
    </row>
    <row r="517" spans="63:112" x14ac:dyDescent="0.25">
      <c r="BK517" s="5"/>
      <c r="BW517" s="5"/>
      <c r="BX517" s="616"/>
      <c r="BY517" s="425"/>
      <c r="BZ517" s="425"/>
      <c r="CA517" s="616"/>
      <c r="CB517" s="616"/>
      <c r="DD517" s="702"/>
    </row>
    <row r="518" spans="63:112" x14ac:dyDescent="0.25">
      <c r="BK518" s="5"/>
      <c r="BW518" s="5"/>
      <c r="BX518" s="616"/>
      <c r="BY518" s="425"/>
      <c r="BZ518" s="425"/>
      <c r="CA518" s="616"/>
      <c r="CB518" s="616"/>
      <c r="DD518" s="702"/>
    </row>
    <row r="519" spans="63:112" x14ac:dyDescent="0.25">
      <c r="BK519" s="5"/>
      <c r="BW519" s="5"/>
      <c r="BX519" s="616"/>
      <c r="BY519" s="425"/>
      <c r="BZ519" s="425"/>
      <c r="CA519" s="616"/>
      <c r="CB519" s="616"/>
      <c r="DD519" s="702"/>
      <c r="DE519" s="6"/>
      <c r="DF519" s="7"/>
      <c r="DG519" s="7"/>
      <c r="DH519" s="7"/>
    </row>
    <row r="520" spans="63:112" x14ac:dyDescent="0.25">
      <c r="BK520" s="5"/>
      <c r="BW520" s="5"/>
      <c r="BX520" s="616"/>
      <c r="BY520" s="425"/>
      <c r="BZ520" s="425"/>
      <c r="CA520" s="616"/>
      <c r="CB520" s="616"/>
      <c r="DD520" s="702"/>
      <c r="DE520" s="6"/>
      <c r="DF520" s="7"/>
      <c r="DG520" s="7"/>
      <c r="DH520" s="7"/>
    </row>
    <row r="521" spans="63:112" x14ac:dyDescent="0.25">
      <c r="BK521" s="5"/>
      <c r="BW521" s="5"/>
      <c r="BX521" s="616"/>
      <c r="BY521" s="425"/>
      <c r="BZ521" s="425"/>
      <c r="CA521" s="616"/>
      <c r="CB521" s="616"/>
      <c r="DD521" s="702"/>
      <c r="DE521" s="6"/>
      <c r="DF521" s="7"/>
      <c r="DG521" s="7"/>
      <c r="DH521" s="7"/>
    </row>
    <row r="522" spans="63:112" x14ac:dyDescent="0.25">
      <c r="BK522" s="5"/>
      <c r="BW522" s="5"/>
      <c r="BX522" s="616"/>
      <c r="BY522" s="425"/>
      <c r="BZ522" s="425"/>
      <c r="CA522" s="616"/>
      <c r="CB522" s="616"/>
      <c r="DD522" s="702"/>
      <c r="DE522" s="6"/>
      <c r="DF522" s="7"/>
      <c r="DG522" s="7"/>
      <c r="DH522" s="7"/>
    </row>
    <row r="523" spans="63:112" x14ac:dyDescent="0.25">
      <c r="BK523" s="5"/>
      <c r="BW523" s="5"/>
      <c r="BX523" s="616"/>
      <c r="BY523" s="425"/>
      <c r="BZ523" s="425"/>
      <c r="CA523" s="616"/>
      <c r="CB523" s="616"/>
      <c r="DD523" s="702"/>
      <c r="DE523" s="6"/>
      <c r="DF523" s="7"/>
      <c r="DG523" s="7"/>
      <c r="DH523" s="7"/>
    </row>
    <row r="524" spans="63:112" x14ac:dyDescent="0.25">
      <c r="BK524" s="5"/>
      <c r="BW524" s="5"/>
      <c r="BX524" s="616"/>
      <c r="BY524" s="425"/>
      <c r="BZ524" s="425"/>
      <c r="CA524" s="616"/>
      <c r="CB524" s="616"/>
      <c r="DD524" s="702"/>
      <c r="DE524" s="6"/>
      <c r="DF524" s="7"/>
      <c r="DG524" s="7"/>
      <c r="DH524" s="7"/>
    </row>
    <row r="525" spans="63:112" x14ac:dyDescent="0.25">
      <c r="BK525" s="5"/>
      <c r="BW525" s="5"/>
      <c r="BX525" s="616"/>
      <c r="BY525" s="425"/>
      <c r="BZ525" s="425"/>
      <c r="CA525" s="616"/>
      <c r="CB525" s="616"/>
      <c r="DD525" s="702"/>
      <c r="DE525" s="6"/>
      <c r="DF525" s="7"/>
      <c r="DG525" s="7"/>
      <c r="DH525" s="7"/>
    </row>
    <row r="526" spans="63:112" x14ac:dyDescent="0.25">
      <c r="BK526" s="5"/>
      <c r="BW526" s="5"/>
      <c r="BX526" s="616"/>
      <c r="BY526" s="425"/>
      <c r="BZ526" s="425"/>
      <c r="CA526" s="616"/>
      <c r="CB526" s="616"/>
      <c r="DD526" s="702"/>
      <c r="DE526" s="6"/>
      <c r="DF526" s="7"/>
      <c r="DG526" s="7"/>
      <c r="DH526" s="7"/>
    </row>
    <row r="527" spans="63:112" x14ac:dyDescent="0.25">
      <c r="BK527" s="5"/>
      <c r="BW527" s="5"/>
      <c r="BX527" s="616"/>
      <c r="BY527" s="425"/>
      <c r="BZ527" s="425"/>
      <c r="CA527" s="616"/>
      <c r="CB527" s="616"/>
      <c r="DD527" s="702"/>
      <c r="DE527" s="6"/>
      <c r="DF527" s="7"/>
      <c r="DG527" s="7"/>
      <c r="DH527" s="7"/>
    </row>
    <row r="528" spans="63:112" x14ac:dyDescent="0.25">
      <c r="BK528" s="5"/>
      <c r="BW528" s="5"/>
      <c r="BX528" s="616"/>
      <c r="BY528" s="425"/>
      <c r="BZ528" s="425"/>
      <c r="CA528" s="616"/>
      <c r="CB528" s="616"/>
      <c r="DD528" s="702"/>
      <c r="DE528" s="6"/>
      <c r="DF528" s="7"/>
      <c r="DG528" s="7"/>
      <c r="DH528" s="7"/>
    </row>
    <row r="529" spans="63:112" x14ac:dyDescent="0.25">
      <c r="BK529" s="5"/>
      <c r="BW529" s="5"/>
      <c r="BX529" s="616"/>
      <c r="BY529" s="425"/>
      <c r="BZ529" s="425"/>
      <c r="CA529" s="616"/>
      <c r="CB529" s="616"/>
      <c r="DD529" s="702"/>
      <c r="DE529" s="6"/>
      <c r="DF529" s="7"/>
      <c r="DG529" s="7"/>
      <c r="DH529" s="7"/>
    </row>
    <row r="530" spans="63:112" x14ac:dyDescent="0.25">
      <c r="BK530" s="5"/>
      <c r="BW530" s="5"/>
      <c r="BX530" s="616"/>
      <c r="BY530" s="425"/>
      <c r="BZ530" s="425"/>
      <c r="CA530" s="616"/>
      <c r="CB530" s="616"/>
      <c r="DD530" s="702"/>
      <c r="DE530" s="6"/>
      <c r="DF530" s="7"/>
      <c r="DG530" s="7"/>
      <c r="DH530" s="7"/>
    </row>
    <row r="531" spans="63:112" x14ac:dyDescent="0.25">
      <c r="BK531" s="5"/>
      <c r="BW531" s="5"/>
      <c r="BX531" s="616"/>
      <c r="BY531" s="425"/>
      <c r="BZ531" s="425"/>
      <c r="CA531" s="616"/>
      <c r="CB531" s="616"/>
      <c r="DD531" s="702"/>
      <c r="DE531" s="6"/>
      <c r="DF531" s="7"/>
      <c r="DG531" s="7"/>
      <c r="DH531" s="7"/>
    </row>
    <row r="532" spans="63:112" x14ac:dyDescent="0.25">
      <c r="BK532" s="5"/>
      <c r="BW532" s="5"/>
      <c r="BX532" s="616"/>
      <c r="BY532" s="425"/>
      <c r="BZ532" s="425"/>
      <c r="CA532" s="616"/>
      <c r="CB532" s="616"/>
      <c r="DD532" s="702"/>
      <c r="DE532" s="6"/>
      <c r="DF532" s="7"/>
      <c r="DG532" s="7"/>
      <c r="DH532" s="7"/>
    </row>
    <row r="533" spans="63:112" x14ac:dyDescent="0.25">
      <c r="BK533" s="5"/>
      <c r="BW533" s="5"/>
      <c r="BX533" s="616"/>
      <c r="BY533" s="425"/>
      <c r="BZ533" s="425"/>
      <c r="CA533" s="616"/>
      <c r="CB533" s="616"/>
      <c r="DD533" s="702"/>
      <c r="DE533" s="6"/>
      <c r="DF533" s="7"/>
      <c r="DG533" s="7"/>
      <c r="DH533" s="7"/>
    </row>
    <row r="534" spans="63:112" x14ac:dyDescent="0.25">
      <c r="BK534" s="5"/>
      <c r="BW534" s="5"/>
      <c r="BX534" s="616"/>
      <c r="BY534" s="425"/>
      <c r="BZ534" s="425"/>
      <c r="CA534" s="616"/>
      <c r="CB534" s="616"/>
      <c r="DD534" s="702"/>
      <c r="DE534" s="6"/>
      <c r="DF534" s="7"/>
      <c r="DG534" s="7"/>
      <c r="DH534" s="7"/>
    </row>
    <row r="535" spans="63:112" x14ac:dyDescent="0.25">
      <c r="BK535" s="5"/>
      <c r="BW535" s="5"/>
      <c r="BX535" s="616"/>
      <c r="BY535" s="425"/>
      <c r="BZ535" s="425"/>
      <c r="CA535" s="616"/>
      <c r="CB535" s="616"/>
      <c r="DD535" s="702"/>
      <c r="DE535" s="6"/>
      <c r="DF535" s="7"/>
      <c r="DG535" s="7"/>
      <c r="DH535" s="7"/>
    </row>
    <row r="536" spans="63:112" x14ac:dyDescent="0.25">
      <c r="BK536" s="5"/>
      <c r="BW536" s="5"/>
      <c r="BX536" s="616"/>
      <c r="BY536" s="425"/>
      <c r="BZ536" s="425"/>
      <c r="CA536" s="616"/>
      <c r="CB536" s="616"/>
      <c r="DD536" s="702"/>
      <c r="DE536" s="6"/>
      <c r="DF536" s="7"/>
      <c r="DG536" s="7"/>
      <c r="DH536" s="7"/>
    </row>
    <row r="537" spans="63:112" x14ac:dyDescent="0.25">
      <c r="BK537" s="5"/>
      <c r="BW537" s="5"/>
      <c r="BX537" s="616"/>
      <c r="BY537" s="425"/>
      <c r="BZ537" s="425"/>
      <c r="CA537" s="616"/>
      <c r="CB537" s="616"/>
      <c r="DD537" s="702"/>
      <c r="DE537" s="6"/>
      <c r="DF537" s="7"/>
      <c r="DG537" s="7"/>
      <c r="DH537" s="7"/>
    </row>
    <row r="538" spans="63:112" x14ac:dyDescent="0.25">
      <c r="BK538" s="5"/>
      <c r="BW538" s="5"/>
      <c r="BX538" s="616"/>
      <c r="BY538" s="425"/>
      <c r="BZ538" s="425"/>
      <c r="CA538" s="616"/>
      <c r="CB538" s="616"/>
      <c r="DD538" s="702"/>
    </row>
    <row r="539" spans="63:112" x14ac:dyDescent="0.25">
      <c r="BK539" s="5"/>
      <c r="BW539" s="5"/>
      <c r="BX539" s="616"/>
      <c r="BY539" s="425"/>
      <c r="BZ539" s="425"/>
      <c r="CA539" s="616"/>
      <c r="CB539" s="616"/>
      <c r="DD539" s="702"/>
    </row>
    <row r="540" spans="63:112" x14ac:dyDescent="0.25">
      <c r="BK540" s="5"/>
      <c r="BW540" s="5"/>
      <c r="BX540" s="616"/>
      <c r="BY540" s="425"/>
      <c r="BZ540" s="425"/>
      <c r="CA540" s="616"/>
      <c r="CB540" s="616"/>
      <c r="DD540" s="702"/>
    </row>
    <row r="541" spans="63:112" x14ac:dyDescent="0.25">
      <c r="BK541" s="5"/>
      <c r="BW541" s="5"/>
      <c r="BX541" s="616"/>
      <c r="BY541" s="425"/>
      <c r="BZ541" s="425"/>
      <c r="CA541" s="616"/>
      <c r="CB541" s="616"/>
      <c r="DD541" s="702"/>
    </row>
    <row r="542" spans="63:112" x14ac:dyDescent="0.25">
      <c r="BK542" s="5"/>
      <c r="BW542" s="5"/>
      <c r="BX542" s="616"/>
      <c r="BY542" s="425"/>
      <c r="BZ542" s="425"/>
      <c r="CA542" s="616"/>
      <c r="CB542" s="616"/>
      <c r="DD542" s="702"/>
    </row>
    <row r="543" spans="63:112" x14ac:dyDescent="0.25">
      <c r="BK543" s="5"/>
      <c r="BW543" s="5"/>
      <c r="BX543" s="616"/>
      <c r="BY543" s="425"/>
      <c r="BZ543" s="425"/>
      <c r="CA543" s="616"/>
      <c r="CB543" s="616"/>
      <c r="DD543" s="702"/>
    </row>
    <row r="544" spans="63:112" x14ac:dyDescent="0.25">
      <c r="BK544" s="5"/>
      <c r="BW544" s="5"/>
      <c r="BX544" s="616"/>
      <c r="BY544" s="425"/>
      <c r="BZ544" s="425"/>
      <c r="CA544" s="616"/>
      <c r="CB544" s="616"/>
      <c r="DD544" s="702"/>
    </row>
    <row r="545" spans="63:108" x14ac:dyDescent="0.25">
      <c r="BK545" s="5"/>
      <c r="BW545" s="5"/>
      <c r="BX545" s="616"/>
      <c r="BY545" s="425"/>
      <c r="BZ545" s="425"/>
      <c r="CA545" s="616"/>
      <c r="CB545" s="616"/>
      <c r="DD545" s="702"/>
    </row>
    <row r="546" spans="63:108" x14ac:dyDescent="0.25">
      <c r="BK546" s="5"/>
      <c r="BW546" s="5"/>
      <c r="BX546" s="616"/>
      <c r="BY546" s="425"/>
      <c r="BZ546" s="425"/>
      <c r="CA546" s="616"/>
      <c r="CB546" s="616"/>
      <c r="DD546" s="702"/>
    </row>
    <row r="547" spans="63:108" x14ac:dyDescent="0.25">
      <c r="BK547" s="5"/>
      <c r="BW547" s="5"/>
      <c r="BX547" s="616"/>
      <c r="BY547" s="425"/>
      <c r="BZ547" s="425"/>
      <c r="CA547" s="616"/>
      <c r="CB547" s="616"/>
      <c r="DD547" s="702"/>
    </row>
    <row r="548" spans="63:108" x14ac:dyDescent="0.25">
      <c r="BK548" s="5"/>
      <c r="BW548" s="5"/>
      <c r="BX548" s="616"/>
      <c r="BY548" s="425"/>
      <c r="BZ548" s="425"/>
      <c r="CA548" s="616"/>
      <c r="CB548" s="616"/>
      <c r="DD548" s="702"/>
    </row>
    <row r="549" spans="63:108" x14ac:dyDescent="0.25">
      <c r="BK549" s="5"/>
      <c r="BW549" s="5"/>
      <c r="BX549" s="616"/>
      <c r="BY549" s="425"/>
      <c r="BZ549" s="425"/>
      <c r="CA549" s="616"/>
      <c r="CB549" s="616"/>
      <c r="DD549" s="702"/>
    </row>
    <row r="550" spans="63:108" x14ac:dyDescent="0.25">
      <c r="BK550" s="5"/>
      <c r="BW550" s="5"/>
      <c r="BX550" s="616"/>
      <c r="BY550" s="425"/>
      <c r="BZ550" s="425"/>
      <c r="CA550" s="616"/>
      <c r="CB550" s="616"/>
      <c r="DD550" s="702"/>
    </row>
    <row r="551" spans="63:108" x14ac:dyDescent="0.25">
      <c r="BK551" s="5"/>
      <c r="BW551" s="5"/>
      <c r="BX551" s="616"/>
      <c r="BY551" s="425"/>
      <c r="BZ551" s="425"/>
      <c r="CA551" s="616"/>
      <c r="CB551" s="616"/>
      <c r="DD551" s="702"/>
    </row>
    <row r="552" spans="63:108" x14ac:dyDescent="0.25">
      <c r="BK552" s="5"/>
      <c r="BW552" s="5"/>
      <c r="BX552" s="616"/>
      <c r="BY552" s="425"/>
      <c r="BZ552" s="425"/>
      <c r="CA552" s="616"/>
      <c r="CB552" s="616"/>
      <c r="DD552" s="702"/>
    </row>
    <row r="553" spans="63:108" x14ac:dyDescent="0.25">
      <c r="BK553" s="5"/>
      <c r="BW553" s="5"/>
      <c r="BX553" s="616"/>
      <c r="BY553" s="425"/>
      <c r="BZ553" s="425"/>
      <c r="CA553" s="616"/>
      <c r="CB553" s="616"/>
      <c r="DD553" s="702"/>
    </row>
    <row r="554" spans="63:108" x14ac:dyDescent="0.25">
      <c r="BK554" s="5"/>
      <c r="BW554" s="5"/>
      <c r="BX554" s="616"/>
      <c r="BY554" s="425"/>
      <c r="BZ554" s="425"/>
      <c r="CA554" s="616"/>
      <c r="CB554" s="616"/>
      <c r="DD554" s="702"/>
    </row>
    <row r="555" spans="63:108" x14ac:dyDescent="0.25">
      <c r="BK555" s="5"/>
      <c r="BW555" s="5"/>
      <c r="BX555" s="616"/>
      <c r="BY555" s="425"/>
      <c r="BZ555" s="425"/>
      <c r="CA555" s="616"/>
      <c r="CB555" s="616"/>
      <c r="DD555" s="702"/>
    </row>
    <row r="556" spans="63:108" x14ac:dyDescent="0.25">
      <c r="BK556" s="5"/>
      <c r="BW556" s="5"/>
      <c r="BX556" s="616"/>
      <c r="BY556" s="425"/>
      <c r="BZ556" s="425"/>
      <c r="CA556" s="616"/>
      <c r="CB556" s="616"/>
      <c r="DD556" s="702"/>
    </row>
    <row r="557" spans="63:108" x14ac:dyDescent="0.25">
      <c r="BK557" s="5"/>
      <c r="BW557" s="5"/>
      <c r="BX557" s="616"/>
      <c r="BY557" s="425"/>
      <c r="BZ557" s="425"/>
      <c r="CA557" s="616"/>
      <c r="CB557" s="616"/>
      <c r="DD557" s="702"/>
    </row>
    <row r="558" spans="63:108" x14ac:dyDescent="0.25">
      <c r="BK558" s="5"/>
      <c r="BW558" s="5"/>
      <c r="BX558" s="616"/>
      <c r="BY558" s="425"/>
      <c r="BZ558" s="425"/>
      <c r="CA558" s="616"/>
      <c r="CB558" s="616"/>
      <c r="DD558" s="702"/>
    </row>
    <row r="559" spans="63:108" x14ac:dyDescent="0.25">
      <c r="BK559" s="5"/>
      <c r="BW559" s="5"/>
      <c r="BX559" s="616"/>
      <c r="BY559" s="425"/>
      <c r="BZ559" s="425"/>
      <c r="CA559" s="616"/>
      <c r="CB559" s="616"/>
      <c r="DD559" s="702"/>
    </row>
    <row r="560" spans="63:108" x14ac:dyDescent="0.25">
      <c r="BK560" s="5"/>
      <c r="BW560" s="5"/>
      <c r="BX560" s="616"/>
      <c r="BY560" s="425"/>
      <c r="BZ560" s="425"/>
      <c r="CA560" s="616"/>
      <c r="CB560" s="616"/>
      <c r="DD560" s="702"/>
    </row>
    <row r="561" spans="63:108" x14ac:dyDescent="0.25">
      <c r="BK561" s="5"/>
      <c r="BW561" s="5"/>
      <c r="BX561" s="616"/>
      <c r="BY561" s="425"/>
      <c r="BZ561" s="425"/>
      <c r="CA561" s="616"/>
      <c r="CB561" s="616"/>
      <c r="DD561" s="702"/>
    </row>
    <row r="562" spans="63:108" x14ac:dyDescent="0.25">
      <c r="BK562" s="5"/>
      <c r="BW562" s="5"/>
      <c r="BX562" s="616"/>
      <c r="BY562" s="425"/>
      <c r="BZ562" s="425"/>
      <c r="CA562" s="616"/>
      <c r="CB562" s="616"/>
      <c r="DD562" s="702"/>
    </row>
    <row r="563" spans="63:108" x14ac:dyDescent="0.25">
      <c r="BK563" s="5"/>
      <c r="BW563" s="5"/>
      <c r="BX563" s="616"/>
      <c r="BY563" s="425"/>
      <c r="BZ563" s="425"/>
      <c r="CA563" s="616"/>
      <c r="CB563" s="616"/>
      <c r="DD563" s="702"/>
    </row>
    <row r="564" spans="63:108" x14ac:dyDescent="0.25">
      <c r="BK564" s="5"/>
      <c r="BW564" s="5"/>
      <c r="BX564" s="616"/>
      <c r="BY564" s="425"/>
      <c r="BZ564" s="425"/>
      <c r="CA564" s="616"/>
      <c r="CB564" s="616"/>
      <c r="DD564" s="702"/>
    </row>
    <row r="565" spans="63:108" x14ac:dyDescent="0.25">
      <c r="BK565" s="5"/>
      <c r="BW565" s="5"/>
      <c r="BX565" s="616"/>
      <c r="BY565" s="425"/>
      <c r="BZ565" s="425"/>
      <c r="CA565" s="616"/>
      <c r="CB565" s="616"/>
      <c r="DD565" s="702"/>
    </row>
    <row r="566" spans="63:108" x14ac:dyDescent="0.25">
      <c r="BK566" s="5"/>
      <c r="BW566" s="5"/>
      <c r="BX566" s="616"/>
      <c r="BY566" s="425"/>
      <c r="BZ566" s="425"/>
      <c r="CA566" s="616"/>
      <c r="CB566" s="616"/>
      <c r="DD566" s="702"/>
    </row>
    <row r="567" spans="63:108" x14ac:dyDescent="0.25">
      <c r="BK567" s="5"/>
      <c r="BW567" s="5"/>
      <c r="BX567" s="616"/>
      <c r="BY567" s="425"/>
      <c r="BZ567" s="425"/>
      <c r="CA567" s="616"/>
      <c r="CB567" s="616"/>
      <c r="DD567" s="702"/>
    </row>
    <row r="568" spans="63:108" x14ac:dyDescent="0.25">
      <c r="BK568" s="5"/>
      <c r="BW568" s="5"/>
      <c r="BX568" s="616"/>
      <c r="BY568" s="425"/>
      <c r="BZ568" s="425"/>
      <c r="CA568" s="616"/>
      <c r="CB568" s="616"/>
      <c r="DD568" s="702"/>
    </row>
    <row r="569" spans="63:108" x14ac:dyDescent="0.25">
      <c r="BK569" s="5"/>
      <c r="BW569" s="5"/>
      <c r="BX569" s="616"/>
      <c r="BY569" s="425"/>
      <c r="BZ569" s="425"/>
      <c r="CA569" s="616"/>
      <c r="CB569" s="616"/>
      <c r="DD569" s="702"/>
    </row>
    <row r="570" spans="63:108" x14ac:dyDescent="0.25">
      <c r="BK570" s="5"/>
      <c r="BW570" s="5"/>
      <c r="BX570" s="616"/>
      <c r="BY570" s="425"/>
      <c r="BZ570" s="425"/>
      <c r="CA570" s="616"/>
      <c r="CB570" s="616"/>
      <c r="DD570" s="702"/>
    </row>
    <row r="571" spans="63:108" x14ac:dyDescent="0.25">
      <c r="BK571" s="5"/>
      <c r="BW571" s="5"/>
      <c r="BX571" s="616"/>
      <c r="BY571" s="425"/>
      <c r="BZ571" s="425"/>
      <c r="CA571" s="616"/>
      <c r="CB571" s="616"/>
      <c r="DD571" s="702"/>
    </row>
    <row r="572" spans="63:108" x14ac:dyDescent="0.25">
      <c r="BK572" s="5"/>
      <c r="BW572" s="5"/>
      <c r="BX572" s="616"/>
      <c r="BY572" s="425"/>
      <c r="BZ572" s="425"/>
      <c r="CA572" s="616"/>
      <c r="CB572" s="616"/>
      <c r="DD572" s="702"/>
    </row>
    <row r="573" spans="63:108" x14ac:dyDescent="0.25">
      <c r="BK573" s="5"/>
      <c r="BW573" s="5"/>
      <c r="BX573" s="616"/>
      <c r="BY573" s="425"/>
      <c r="BZ573" s="425"/>
      <c r="CA573" s="616"/>
      <c r="CB573" s="616"/>
      <c r="DD573" s="702"/>
    </row>
    <row r="574" spans="63:108" x14ac:dyDescent="0.25">
      <c r="BK574" s="5"/>
      <c r="BW574" s="5"/>
      <c r="BX574" s="616"/>
      <c r="BY574" s="425"/>
      <c r="BZ574" s="425"/>
      <c r="CA574" s="616"/>
      <c r="CB574" s="616"/>
      <c r="DD574" s="702"/>
    </row>
    <row r="575" spans="63:108" x14ac:dyDescent="0.25">
      <c r="BK575" s="5"/>
      <c r="BW575" s="5"/>
      <c r="BX575" s="616"/>
      <c r="BY575" s="425"/>
      <c r="BZ575" s="425"/>
      <c r="CA575" s="616"/>
      <c r="CB575" s="616"/>
      <c r="DD575" s="702"/>
    </row>
    <row r="576" spans="63:108" x14ac:dyDescent="0.25">
      <c r="BK576" s="5"/>
      <c r="BW576" s="5"/>
      <c r="BX576" s="616"/>
      <c r="BY576" s="425"/>
      <c r="BZ576" s="425"/>
      <c r="CA576" s="616"/>
      <c r="CB576" s="616"/>
      <c r="DD576" s="702"/>
    </row>
    <row r="577" spans="63:108" x14ac:dyDescent="0.25">
      <c r="BK577" s="5"/>
      <c r="BW577" s="5"/>
      <c r="BX577" s="616"/>
      <c r="BY577" s="425"/>
      <c r="BZ577" s="425"/>
      <c r="CA577" s="616"/>
      <c r="CB577" s="616"/>
      <c r="DD577" s="702"/>
    </row>
    <row r="578" spans="63:108" x14ac:dyDescent="0.25">
      <c r="BK578" s="5"/>
      <c r="BW578" s="5"/>
      <c r="BX578" s="616"/>
      <c r="BY578" s="425"/>
      <c r="BZ578" s="425"/>
      <c r="CA578" s="616"/>
      <c r="CB578" s="616"/>
      <c r="DD578" s="702"/>
    </row>
    <row r="579" spans="63:108" x14ac:dyDescent="0.25">
      <c r="BK579" s="5"/>
      <c r="BW579" s="5"/>
      <c r="BX579" s="616"/>
      <c r="BY579" s="425"/>
      <c r="BZ579" s="425"/>
      <c r="CA579" s="616"/>
      <c r="CB579" s="616"/>
      <c r="DD579" s="702"/>
    </row>
    <row r="580" spans="63:108" x14ac:dyDescent="0.25">
      <c r="BK580" s="5"/>
      <c r="BW580" s="5"/>
      <c r="BX580" s="616"/>
      <c r="BY580" s="425"/>
      <c r="BZ580" s="425"/>
      <c r="CA580" s="616"/>
      <c r="CB580" s="616"/>
      <c r="DD580" s="702"/>
    </row>
    <row r="581" spans="63:108" x14ac:dyDescent="0.25">
      <c r="BK581" s="5"/>
      <c r="BW581" s="5"/>
      <c r="BX581" s="616"/>
      <c r="BY581" s="425"/>
      <c r="BZ581" s="425"/>
      <c r="CA581" s="616"/>
      <c r="CB581" s="616"/>
      <c r="DD581" s="702"/>
    </row>
    <row r="582" spans="63:108" x14ac:dyDescent="0.25">
      <c r="BK582" s="5"/>
      <c r="BW582" s="5"/>
      <c r="BX582" s="616"/>
      <c r="BY582" s="425"/>
      <c r="BZ582" s="425"/>
      <c r="CA582" s="616"/>
      <c r="CB582" s="616"/>
      <c r="DD582" s="702"/>
    </row>
    <row r="583" spans="63:108" x14ac:dyDescent="0.25">
      <c r="BK583" s="5"/>
      <c r="BW583" s="5"/>
      <c r="BX583" s="616"/>
      <c r="BY583" s="425"/>
      <c r="BZ583" s="425"/>
      <c r="CA583" s="616"/>
      <c r="CB583" s="616"/>
      <c r="DD583" s="702"/>
    </row>
    <row r="584" spans="63:108" x14ac:dyDescent="0.25">
      <c r="BK584" s="5"/>
      <c r="BW584" s="5"/>
      <c r="BX584" s="616"/>
      <c r="BY584" s="425"/>
      <c r="BZ584" s="425"/>
      <c r="CA584" s="616"/>
      <c r="CB584" s="616"/>
      <c r="DD584" s="702"/>
    </row>
    <row r="585" spans="63:108" x14ac:dyDescent="0.25">
      <c r="BK585" s="5"/>
      <c r="BW585" s="5"/>
      <c r="BX585" s="616"/>
      <c r="BY585" s="425"/>
      <c r="BZ585" s="425"/>
      <c r="CA585" s="616"/>
      <c r="CB585" s="616"/>
      <c r="DD585" s="702"/>
    </row>
    <row r="586" spans="63:108" x14ac:dyDescent="0.25">
      <c r="BK586" s="5"/>
      <c r="BW586" s="5"/>
      <c r="BX586" s="616"/>
      <c r="BY586" s="425"/>
      <c r="BZ586" s="425"/>
      <c r="CA586" s="616"/>
      <c r="CB586" s="616"/>
      <c r="DD586" s="702"/>
    </row>
    <row r="587" spans="63:108" x14ac:dyDescent="0.25">
      <c r="BK587" s="5"/>
      <c r="BW587" s="5"/>
      <c r="BX587" s="616"/>
      <c r="BY587" s="425"/>
      <c r="BZ587" s="425"/>
      <c r="CA587" s="616"/>
      <c r="CB587" s="616"/>
      <c r="DD587" s="702"/>
    </row>
    <row r="588" spans="63:108" x14ac:dyDescent="0.25">
      <c r="BK588" s="5"/>
      <c r="BW588" s="5"/>
      <c r="BX588" s="616"/>
      <c r="BY588" s="425"/>
      <c r="BZ588" s="425"/>
      <c r="CA588" s="616"/>
      <c r="CB588" s="616"/>
      <c r="DD588" s="702"/>
    </row>
    <row r="589" spans="63:108" x14ac:dyDescent="0.25">
      <c r="DD589" s="702"/>
    </row>
    <row r="590" spans="63:108" x14ac:dyDescent="0.25">
      <c r="DD590" s="702"/>
    </row>
    <row r="591" spans="63:108" x14ac:dyDescent="0.25">
      <c r="DD591" s="702"/>
    </row>
    <row r="592" spans="63:108" x14ac:dyDescent="0.25">
      <c r="DD592" s="702"/>
    </row>
  </sheetData>
  <sheetProtection password="D24D" sheet="1" objects="1" scenarios="1"/>
  <mergeCells count="101">
    <mergeCell ref="BX8:BX9"/>
    <mergeCell ref="E8:E9"/>
    <mergeCell ref="F8:F9"/>
    <mergeCell ref="O8:O9"/>
    <mergeCell ref="P8:P9"/>
    <mergeCell ref="V8:V9"/>
    <mergeCell ref="U8:U9"/>
    <mergeCell ref="S8:S9"/>
    <mergeCell ref="AQ8:AQ9"/>
    <mergeCell ref="AT7:AT9"/>
    <mergeCell ref="AD8:AD9"/>
    <mergeCell ref="W8:W9"/>
    <mergeCell ref="Z8:Z9"/>
    <mergeCell ref="AF8:AF9"/>
    <mergeCell ref="BC7:BC9"/>
    <mergeCell ref="BN7:BN9"/>
    <mergeCell ref="BL7:BL9"/>
    <mergeCell ref="BO7:BO9"/>
    <mergeCell ref="BR7:BR9"/>
    <mergeCell ref="BS7:BS9"/>
    <mergeCell ref="BT7:BT9"/>
    <mergeCell ref="BE7:BE9"/>
    <mergeCell ref="BF7:BF9"/>
    <mergeCell ref="B4:V5"/>
    <mergeCell ref="AL8:AL9"/>
    <mergeCell ref="N8:N9"/>
    <mergeCell ref="T8:T9"/>
    <mergeCell ref="AP8:AP9"/>
    <mergeCell ref="AM8:AM9"/>
    <mergeCell ref="AV7:AV9"/>
    <mergeCell ref="AY7:AY9"/>
    <mergeCell ref="AZ7:AZ9"/>
    <mergeCell ref="AW7:AW9"/>
    <mergeCell ref="AU7:AU9"/>
    <mergeCell ref="AO8:AO9"/>
    <mergeCell ref="AN8:AN9"/>
    <mergeCell ref="AS8:AS9"/>
    <mergeCell ref="W7:AS7"/>
    <mergeCell ref="AR8:AR9"/>
    <mergeCell ref="Y8:Y9"/>
    <mergeCell ref="AX7:AX9"/>
    <mergeCell ref="E7:Q7"/>
    <mergeCell ref="BJ7:BJ9"/>
    <mergeCell ref="BI7:BI9"/>
    <mergeCell ref="BA7:BA9"/>
    <mergeCell ref="BB7:BB9"/>
    <mergeCell ref="B262:D262"/>
    <mergeCell ref="D7:D9"/>
    <mergeCell ref="C7:C9"/>
    <mergeCell ref="AK8:AK9"/>
    <mergeCell ref="AJ8:AJ9"/>
    <mergeCell ref="G8:G9"/>
    <mergeCell ref="H8:H9"/>
    <mergeCell ref="B7:B9"/>
    <mergeCell ref="M8:M9"/>
    <mergeCell ref="AG8:AG9"/>
    <mergeCell ref="I8:I9"/>
    <mergeCell ref="Q8:Q9"/>
    <mergeCell ref="AH8:AH9"/>
    <mergeCell ref="AI8:AI9"/>
    <mergeCell ref="R8:R9"/>
    <mergeCell ref="X8:X9"/>
    <mergeCell ref="AE8:AE9"/>
    <mergeCell ref="DI8:DL8"/>
    <mergeCell ref="CT8:CT9"/>
    <mergeCell ref="CV8:CV9"/>
    <mergeCell ref="CL7:CV7"/>
    <mergeCell ref="CL8:CL9"/>
    <mergeCell ref="CN8:CN9"/>
    <mergeCell ref="CP8:CP9"/>
    <mergeCell ref="CM8:CM9"/>
    <mergeCell ref="DE8:DH8"/>
    <mergeCell ref="CR8:CR9"/>
    <mergeCell ref="CS8:CS9"/>
    <mergeCell ref="CU8:CU9"/>
    <mergeCell ref="CO8:CO9"/>
    <mergeCell ref="CQ8:CQ9"/>
    <mergeCell ref="BW7:CK7"/>
    <mergeCell ref="BK7:BK9"/>
    <mergeCell ref="BG7:BG9"/>
    <mergeCell ref="BD7:BD9"/>
    <mergeCell ref="BU7:BU9"/>
    <mergeCell ref="BP7:BP9"/>
    <mergeCell ref="BQ7:BQ9"/>
    <mergeCell ref="CE8:CE9"/>
    <mergeCell ref="CI8:CI9"/>
    <mergeCell ref="CK8:CK9"/>
    <mergeCell ref="BW8:BW9"/>
    <mergeCell ref="CC8:CC9"/>
    <mergeCell ref="BY8:BY9"/>
    <mergeCell ref="BH7:BH9"/>
    <mergeCell ref="BZ8:BZ9"/>
    <mergeCell ref="CJ8:CJ9"/>
    <mergeCell ref="CF8:CF9"/>
    <mergeCell ref="CG8:CG9"/>
    <mergeCell ref="CH8:CH9"/>
    <mergeCell ref="CD8:CD9"/>
    <mergeCell ref="CA8:CA9"/>
    <mergeCell ref="CB8:CB9"/>
    <mergeCell ref="BV7:BV9"/>
    <mergeCell ref="BM7:BM9"/>
  </mergeCells>
  <conditionalFormatting sqref="H10:H259">
    <cfRule type="expression" dxfId="15" priority="56" stopIfTrue="1">
      <formula>$C10=""</formula>
    </cfRule>
  </conditionalFormatting>
  <conditionalFormatting sqref="K10:K259">
    <cfRule type="expression" dxfId="14" priority="55" stopIfTrue="1">
      <formula>LEFT($G10,2)&lt;&gt;"PT"</formula>
    </cfRule>
  </conditionalFormatting>
  <conditionalFormatting sqref="L10:L259">
    <cfRule type="expression" dxfId="13" priority="54" stopIfTrue="1">
      <formula>LEFT($G10,4)&lt;&gt;"Room"</formula>
    </cfRule>
  </conditionalFormatting>
  <conditionalFormatting sqref="J10:J259">
    <cfRule type="expression" dxfId="12" priority="53" stopIfTrue="1">
      <formula>AND($G10&lt;&gt;"Air Cooled Chiller",$G10&lt;&gt;"Water Cooled Chiller")</formula>
    </cfRule>
  </conditionalFormatting>
  <conditionalFormatting sqref="AA10:AA259">
    <cfRule type="expression" dxfId="11" priority="52" stopIfTrue="1">
      <formula>AND($Z10&lt;&gt;"Air Cooled Chiller",$Z10&lt;&gt;"Water Cooled Chiller")</formula>
    </cfRule>
  </conditionalFormatting>
  <conditionalFormatting sqref="AC10:AC259">
    <cfRule type="expression" dxfId="10" priority="51" stopIfTrue="1">
      <formula>LEFT($Z10,4)&lt;&gt;"Room"</formula>
    </cfRule>
  </conditionalFormatting>
  <conditionalFormatting sqref="AB10:AB259">
    <cfRule type="expression" dxfId="9" priority="31" stopIfTrue="1">
      <formula>LEFT($Z10,2)&lt;&gt;"PT"</formula>
    </cfRule>
  </conditionalFormatting>
  <conditionalFormatting sqref="AD10:AD259 DM10:DM259">
    <cfRule type="expression" dxfId="8" priority="27" stopIfTrue="1">
      <formula>OR($AD10&lt;$AI10,$AD10&gt;$AJ10)</formula>
    </cfRule>
  </conditionalFormatting>
  <conditionalFormatting sqref="AL10:AM259 AR10:AS259">
    <cfRule type="expression" dxfId="7" priority="26" stopIfTrue="1">
      <formula>AND($Z10&lt;&gt;"DX HP Air Cooled",$Z10&lt;&gt;"Room HP",$Z10&lt;&gt;"PTHP")</formula>
    </cfRule>
  </conditionalFormatting>
  <conditionalFormatting sqref="R10:V259">
    <cfRule type="expression" dxfId="6" priority="25" stopIfTrue="1">
      <formula>$C10&lt;&gt;"Early Retirement"</formula>
    </cfRule>
  </conditionalFormatting>
  <conditionalFormatting sqref="E10:V259">
    <cfRule type="expression" dxfId="5" priority="12" stopIfTrue="1">
      <formula>$C10="New Construction"</formula>
    </cfRule>
  </conditionalFormatting>
  <conditionalFormatting sqref="U10:V259 O10:P259">
    <cfRule type="expression" dxfId="4" priority="6">
      <formula>AND($G10&lt;&gt;"DX HP Air Cooled",$G10&lt;&gt;"Room HP",$G10&lt;&gt;"PTHP")</formula>
    </cfRule>
  </conditionalFormatting>
  <conditionalFormatting sqref="AD18:AD19">
    <cfRule type="expression" dxfId="3" priority="3" stopIfTrue="1">
      <formula>OR($AD18&lt;$AI18,$AD18&gt;$AJ18)</formula>
    </cfRule>
  </conditionalFormatting>
  <conditionalFormatting sqref="S10:S259">
    <cfRule type="expression" dxfId="2" priority="2">
      <formula>OR($Z10="PTAC",$Z10="PTHP",$Z10="Room AC",$Z10="Room HP")</formula>
    </cfRule>
  </conditionalFormatting>
  <conditionalFormatting sqref="AP10:AP259">
    <cfRule type="expression" dxfId="1" priority="1">
      <formula>OR($Z10="PTAC",$Z10="PTHP",$Z10="Room AC",$Z10="Room HP")</formula>
    </cfRule>
  </conditionalFormatting>
  <conditionalFormatting sqref="I10:I259">
    <cfRule type="expression" dxfId="0" priority="57" stopIfTrue="1">
      <formula>OR($C10&lt;&gt;"Early Retirement",AND($C10="Early Retirement",$G10&lt;&gt;"DX AC Air Cooled",$G10&lt;&gt;"DX HP Air Cooled"))</formula>
    </cfRule>
  </conditionalFormatting>
  <dataValidations count="12">
    <dataValidation type="list" allowBlank="1" showInputMessage="1" showErrorMessage="1" sqref="Z10:Z259 G10:G259">
      <formula1>INDIRECT($DD170)</formula1>
    </dataValidation>
    <dataValidation type="list" allowBlank="1" showInputMessage="1" showErrorMessage="1" sqref="D10:D259">
      <formula1>BldgType</formula1>
    </dataValidation>
    <dataValidation type="list" allowBlank="1" showInputMessage="1" showErrorMessage="1" sqref="T10:T259 AQ10:AQ259">
      <formula1>"EER,kW/ton"</formula1>
    </dataValidation>
    <dataValidation type="list" allowBlank="1" showInputMessage="1" showErrorMessage="1" sqref="I10:I259">
      <formula1>"Packaged,Split"</formula1>
    </dataValidation>
    <dataValidation type="list" allowBlank="1" showInputMessage="1" showErrorMessage="1" sqref="J10:J259 AA10:AA259">
      <formula1>"Centrifugal,Screw,Scroll"</formula1>
    </dataValidation>
    <dataValidation type="list" allowBlank="1" showInputMessage="1" showErrorMessage="1" sqref="H10:H259">
      <formula1>ERYears</formula1>
    </dataValidation>
    <dataValidation type="list" allowBlank="1" showInputMessage="1" showErrorMessage="1" sqref="C10:C259">
      <formula1>"Early Retirement, New Construction, Replace-on-Burnout"</formula1>
    </dataValidation>
    <dataValidation type="list" allowBlank="1" showInputMessage="1" showErrorMessage="1" sqref="N10:N259 AK10:AK259 P10:P259 AM10:AM259">
      <formula1>"Btu/hr,Tons"</formula1>
    </dataValidation>
    <dataValidation allowBlank="1" showInputMessage="1" showErrorMessage="1" error="Post Capacity x Post # Units must be within +/- 20% of Pre Capacity x Pre # of Units._x000a__x000a_Call program administrator for assistance." sqref="AD10:AD259"/>
    <dataValidation type="list" allowBlank="1" showInputMessage="1" showErrorMessage="1" sqref="AS10:AS259">
      <formula1>"HSPF, COP"</formula1>
    </dataValidation>
    <dataValidation type="list" allowBlank="1" showInputMessage="1" showErrorMessage="1" sqref="K10:L259 AB10:AC259">
      <formula1>"No,Yes"</formula1>
    </dataValidation>
    <dataValidation type="list" allowBlank="1" showInputMessage="1" showErrorMessage="1" sqref="V10:V259">
      <formula1>"HSPF,COP"</formula1>
    </dataValidation>
  </dataValidations>
  <pageMargins left="0.7" right="0.7" top="0.75" bottom="0.75" header="0.3" footer="0.3"/>
  <pageSetup scale="44" fitToWidth="2" fitToHeight="100" orientation="landscape" r:id="rId1"/>
  <colBreaks count="1" manualBreakCount="1">
    <brk id="22" max="1048575" man="1"/>
  </colBreaks>
  <ignoredErrors>
    <ignoredError sqref="C258:D259 C256:D256 C257:D257 C23:D255 C16:C22 C11 C12:D15 D11 D16:D22"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W257"/>
  <sheetViews>
    <sheetView zoomScale="80" zoomScaleNormal="80" workbookViewId="0">
      <pane ySplit="6" topLeftCell="A7" activePane="bottomLeft" state="frozen"/>
      <selection pane="bottomLeft" activeCell="C7" sqref="C7"/>
    </sheetView>
  </sheetViews>
  <sheetFormatPr defaultRowHeight="12.75" x14ac:dyDescent="0.25"/>
  <cols>
    <col min="1" max="1" width="2.7109375" style="616" customWidth="1"/>
    <col min="2" max="2" width="6.7109375" style="616" customWidth="1"/>
    <col min="3" max="3" width="18.85546875" style="616" bestFit="1" customWidth="1"/>
    <col min="4" max="4" width="25.7109375" style="616" customWidth="1"/>
    <col min="5" max="7" width="20.7109375" style="616" customWidth="1"/>
    <col min="8" max="8" width="6" style="616" customWidth="1"/>
    <col min="9" max="9" width="10.7109375" style="616" customWidth="1"/>
    <col min="10" max="10" width="11.7109375" style="616" customWidth="1"/>
    <col min="11" max="11" width="8.5703125" style="616" customWidth="1"/>
    <col min="12" max="12" width="8.42578125" style="616" bestFit="1" customWidth="1"/>
    <col min="13" max="13" width="10.85546875" style="616" bestFit="1" customWidth="1"/>
    <col min="14" max="14" width="8.7109375" style="616" customWidth="1"/>
    <col min="15" max="15" width="10.85546875" style="616" customWidth="1"/>
    <col min="16" max="16" width="8.7109375" style="616" customWidth="1"/>
    <col min="17" max="17" width="5.7109375" style="616" customWidth="1"/>
    <col min="18" max="19" width="15.7109375" style="616" customWidth="1"/>
    <col min="20" max="20" width="10.7109375" style="616" customWidth="1"/>
    <col min="21" max="21" width="15.7109375" style="616" customWidth="1"/>
    <col min="22" max="22" width="10.7109375" style="616" customWidth="1"/>
    <col min="23" max="23" width="5.7109375" style="616" customWidth="1"/>
    <col min="24" max="16384" width="9.140625" style="616"/>
  </cols>
  <sheetData>
    <row r="1" spans="1:23" ht="9.9499999999999993" customHeight="1" thickBot="1" x14ac:dyDescent="0.3">
      <c r="A1" s="615"/>
      <c r="B1" s="615"/>
      <c r="C1" s="615"/>
      <c r="D1" s="615"/>
      <c r="E1" s="615"/>
      <c r="F1" s="615"/>
      <c r="G1" s="615"/>
      <c r="H1" s="615"/>
      <c r="I1" s="615"/>
      <c r="J1" s="615"/>
      <c r="K1" s="615"/>
      <c r="L1" s="615"/>
      <c r="M1" s="615"/>
      <c r="N1" s="615"/>
      <c r="O1" s="615"/>
      <c r="P1" s="615"/>
      <c r="Q1" s="615"/>
      <c r="R1" s="615"/>
      <c r="S1" s="615"/>
      <c r="T1" s="615"/>
      <c r="U1" s="615"/>
      <c r="V1" s="615"/>
    </row>
    <row r="2" spans="1:23" s="617" customFormat="1" ht="24.95" customHeight="1" thickBot="1" x14ac:dyDescent="0.3">
      <c r="B2" s="869" t="s">
        <v>555</v>
      </c>
      <c r="C2" s="726"/>
      <c r="D2" s="726"/>
      <c r="E2" s="726"/>
      <c r="F2" s="726"/>
      <c r="G2" s="726"/>
      <c r="H2" s="726"/>
      <c r="I2" s="726"/>
      <c r="J2" s="726"/>
      <c r="K2" s="726"/>
      <c r="L2" s="726"/>
      <c r="M2" s="726"/>
      <c r="N2" s="726"/>
      <c r="O2" s="726"/>
      <c r="P2" s="726"/>
      <c r="Q2" s="726"/>
      <c r="R2" s="726"/>
      <c r="S2" s="726"/>
      <c r="T2" s="726"/>
      <c r="U2" s="726"/>
      <c r="V2" s="726"/>
      <c r="W2" s="417"/>
    </row>
    <row r="3" spans="1:23" s="618" customFormat="1" ht="9.9499999999999993" customHeight="1" thickBot="1" x14ac:dyDescent="0.3">
      <c r="B3" s="428"/>
      <c r="C3" s="428"/>
      <c r="D3" s="619"/>
      <c r="E3" s="619"/>
      <c r="F3" s="619"/>
      <c r="G3" s="619"/>
      <c r="H3" s="619"/>
      <c r="I3" s="619"/>
      <c r="J3" s="619"/>
      <c r="K3" s="619"/>
      <c r="L3" s="619"/>
      <c r="M3" s="619"/>
      <c r="N3" s="619"/>
      <c r="O3" s="619"/>
      <c r="P3" s="619"/>
      <c r="Q3" s="619"/>
      <c r="R3" s="619"/>
      <c r="S3" s="619"/>
      <c r="T3" s="619"/>
      <c r="U3" s="619"/>
      <c r="V3" s="619"/>
    </row>
    <row r="4" spans="1:23" s="430" customFormat="1" ht="15" customHeight="1" x14ac:dyDescent="0.25">
      <c r="B4" s="1014"/>
      <c r="C4" s="1011" t="s">
        <v>281</v>
      </c>
      <c r="D4" s="1008" t="s">
        <v>35</v>
      </c>
      <c r="E4" s="1037" t="s">
        <v>38</v>
      </c>
      <c r="F4" s="1038"/>
      <c r="G4" s="1038"/>
      <c r="H4" s="1038"/>
      <c r="I4" s="1038"/>
      <c r="J4" s="1038"/>
      <c r="K4" s="1038"/>
      <c r="L4" s="1038"/>
      <c r="M4" s="1038"/>
      <c r="N4" s="1038"/>
      <c r="O4" s="1038"/>
      <c r="P4" s="1038"/>
      <c r="Q4" s="1038"/>
      <c r="R4" s="1038"/>
      <c r="S4" s="1038"/>
      <c r="T4" s="1038"/>
      <c r="U4" s="1038"/>
      <c r="V4" s="1039"/>
      <c r="W4" s="1045" t="s">
        <v>377</v>
      </c>
    </row>
    <row r="5" spans="1:23" s="430" customFormat="1" ht="45" customHeight="1" x14ac:dyDescent="0.25">
      <c r="B5" s="1015"/>
      <c r="C5" s="1012"/>
      <c r="D5" s="1009"/>
      <c r="E5" s="1035" t="s">
        <v>39</v>
      </c>
      <c r="F5" s="983" t="s">
        <v>548</v>
      </c>
      <c r="G5" s="983" t="s">
        <v>49</v>
      </c>
      <c r="H5" s="983" t="s">
        <v>42</v>
      </c>
      <c r="I5" s="983" t="s">
        <v>137</v>
      </c>
      <c r="J5" s="127" t="s">
        <v>75</v>
      </c>
      <c r="K5" s="277" t="s">
        <v>532</v>
      </c>
      <c r="L5" s="277" t="s">
        <v>285</v>
      </c>
      <c r="M5" s="983" t="s">
        <v>569</v>
      </c>
      <c r="N5" s="983" t="s">
        <v>571</v>
      </c>
      <c r="O5" s="983" t="s">
        <v>568</v>
      </c>
      <c r="P5" s="983" t="s">
        <v>570</v>
      </c>
      <c r="Q5" s="1017" t="s">
        <v>40</v>
      </c>
      <c r="R5" s="1019" t="s">
        <v>621</v>
      </c>
      <c r="S5" s="1019" t="s">
        <v>620</v>
      </c>
      <c r="T5" s="1019" t="s">
        <v>583</v>
      </c>
      <c r="U5" s="1019" t="s">
        <v>619</v>
      </c>
      <c r="V5" s="1040" t="s">
        <v>582</v>
      </c>
      <c r="W5" s="1046"/>
    </row>
    <row r="6" spans="1:23" s="618" customFormat="1" ht="45" customHeight="1" thickBot="1" x14ac:dyDescent="0.3">
      <c r="B6" s="1016"/>
      <c r="C6" s="1013"/>
      <c r="D6" s="1010"/>
      <c r="E6" s="1036"/>
      <c r="F6" s="984"/>
      <c r="G6" s="984"/>
      <c r="H6" s="984"/>
      <c r="I6" s="984"/>
      <c r="J6" s="849" t="s">
        <v>76</v>
      </c>
      <c r="K6" s="848" t="s">
        <v>531</v>
      </c>
      <c r="L6" s="848" t="s">
        <v>284</v>
      </c>
      <c r="M6" s="984"/>
      <c r="N6" s="984"/>
      <c r="O6" s="984"/>
      <c r="P6" s="984"/>
      <c r="Q6" s="1018"/>
      <c r="R6" s="1020"/>
      <c r="S6" s="1020"/>
      <c r="T6" s="1020"/>
      <c r="U6" s="1020"/>
      <c r="V6" s="1041"/>
      <c r="W6" s="1047"/>
    </row>
    <row r="7" spans="1:23" s="618" customFormat="1" ht="21.95" customHeight="1" x14ac:dyDescent="0.25">
      <c r="B7" s="431">
        <v>1</v>
      </c>
      <c r="C7" s="497" t="str">
        <f>IF(Inventory!C10="","",Inventory!C10)</f>
        <v/>
      </c>
      <c r="D7" s="498" t="str">
        <f>IF(Inventory!D10="","",Inventory!D10)</f>
        <v/>
      </c>
      <c r="E7" s="546" t="str">
        <f>IF(Inventory!E10="","",Inventory!E10)</f>
        <v/>
      </c>
      <c r="F7" s="547" t="str">
        <f>IF(Inventory!F10="","",Inventory!F10)</f>
        <v/>
      </c>
      <c r="G7" s="727" t="str">
        <f>IF(Inventory!G10="","",Inventory!G10)</f>
        <v/>
      </c>
      <c r="H7" s="727" t="str">
        <f>IF(Inventory!H10="","",Inventory!H10)</f>
        <v/>
      </c>
      <c r="I7" s="727" t="str">
        <f>IF(Inventory!I10="","",Inventory!I10)</f>
        <v/>
      </c>
      <c r="J7" s="727" t="str">
        <f>IF(Inventory!J10="","",Inventory!J10)</f>
        <v/>
      </c>
      <c r="K7" s="727" t="str">
        <f>IF(Inventory!K10="","",Inventory!K10)</f>
        <v/>
      </c>
      <c r="L7" s="727" t="str">
        <f>IF(Inventory!L10="","",Inventory!L10)</f>
        <v/>
      </c>
      <c r="M7" s="763" t="str">
        <f>IF(Inventory!M10="","",Inventory!M10)</f>
        <v/>
      </c>
      <c r="N7" s="757" t="str">
        <f>IF(Inventory!N10="","",Inventory!N10)</f>
        <v/>
      </c>
      <c r="O7" s="763" t="str">
        <f>IF(Inventory!O10="","",Inventory!O10)</f>
        <v/>
      </c>
      <c r="P7" s="757" t="str">
        <f>IF(Inventory!P10="","",Inventory!P10)</f>
        <v/>
      </c>
      <c r="Q7" s="519" t="str">
        <f>IF(Inventory!Q10="","",Inventory!Q10)</f>
        <v/>
      </c>
      <c r="R7" s="783" t="str">
        <f>IF(Inventory!R10="","",Inventory!R10)</f>
        <v/>
      </c>
      <c r="S7" s="783" t="str">
        <f>IF(Inventory!S10="","",Inventory!S10)</f>
        <v/>
      </c>
      <c r="T7" s="727" t="str">
        <f>IF(Inventory!T10="","",Inventory!T10)</f>
        <v/>
      </c>
      <c r="U7" s="828" t="str">
        <f>IF(Inventory!U10="","",Inventory!U10)</f>
        <v/>
      </c>
      <c r="V7" s="784" t="str">
        <f>IF(Inventory!V10="","",Inventory!V10)</f>
        <v/>
      </c>
      <c r="W7" s="865"/>
    </row>
    <row r="8" spans="1:23" s="618" customFormat="1" ht="21.95" customHeight="1" x14ac:dyDescent="0.25">
      <c r="B8" s="432">
        <v>2</v>
      </c>
      <c r="C8" s="499" t="str">
        <f>IF(Inventory!C11="","",Inventory!C11)</f>
        <v/>
      </c>
      <c r="D8" s="751" t="str">
        <f>IF(Inventory!D11="","",Inventory!D11)</f>
        <v/>
      </c>
      <c r="E8" s="541" t="str">
        <f>IF(Inventory!E11="","",Inventory!E11)</f>
        <v/>
      </c>
      <c r="F8" s="785" t="str">
        <f>IF(Inventory!F11="","",Inventory!F11)</f>
        <v/>
      </c>
      <c r="G8" s="728" t="str">
        <f>IF(Inventory!G11="","",Inventory!G11)</f>
        <v/>
      </c>
      <c r="H8" s="728" t="str">
        <f>IF(Inventory!H11="","",Inventory!H11)</f>
        <v/>
      </c>
      <c r="I8" s="728" t="str">
        <f>IF(Inventory!I11="","",Inventory!I11)</f>
        <v/>
      </c>
      <c r="J8" s="728" t="str">
        <f>IF(Inventory!J11="","",Inventory!J11)</f>
        <v/>
      </c>
      <c r="K8" s="728" t="str">
        <f>IF(Inventory!K11="","",Inventory!K11)</f>
        <v/>
      </c>
      <c r="L8" s="728" t="str">
        <f>IF(Inventory!L11="","",Inventory!L11)</f>
        <v/>
      </c>
      <c r="M8" s="764" t="str">
        <f>IF(Inventory!M11="","",Inventory!M11)</f>
        <v/>
      </c>
      <c r="N8" s="728" t="str">
        <f>IF(Inventory!N11="","",Inventory!N11)</f>
        <v/>
      </c>
      <c r="O8" s="764" t="str">
        <f>IF(Inventory!O11="","",Inventory!O11)</f>
        <v/>
      </c>
      <c r="P8" s="728" t="str">
        <f>IF(Inventory!P11="","",Inventory!P11)</f>
        <v/>
      </c>
      <c r="Q8" s="520" t="str">
        <f>IF(Inventory!Q11="","",Inventory!Q11)</f>
        <v/>
      </c>
      <c r="R8" s="778" t="str">
        <f>IF(Inventory!R11="","",Inventory!R11)</f>
        <v/>
      </c>
      <c r="S8" s="778" t="str">
        <f>IF(Inventory!S11="","",Inventory!S11)</f>
        <v/>
      </c>
      <c r="T8" s="767" t="str">
        <f>IF(Inventory!T11="","",Inventory!T11)</f>
        <v/>
      </c>
      <c r="U8" s="778" t="str">
        <f>IF(Inventory!U11="","",Inventory!U11)</f>
        <v/>
      </c>
      <c r="V8" s="751" t="str">
        <f>IF(Inventory!V11="","",Inventory!V11)</f>
        <v/>
      </c>
      <c r="W8" s="871"/>
    </row>
    <row r="9" spans="1:23" s="618" customFormat="1" ht="21.95" customHeight="1" x14ac:dyDescent="0.25">
      <c r="B9" s="431">
        <v>3</v>
      </c>
      <c r="C9" s="501" t="str">
        <f>IF(Inventory!C12="","",Inventory!C12)</f>
        <v/>
      </c>
      <c r="D9" s="502" t="str">
        <f>IF(Inventory!D12="","",Inventory!D12)</f>
        <v/>
      </c>
      <c r="E9" s="546" t="str">
        <f>IF(Inventory!E12="","",Inventory!E12)</f>
        <v/>
      </c>
      <c r="F9" s="547" t="str">
        <f>IF(Inventory!F12="","",Inventory!F12)</f>
        <v/>
      </c>
      <c r="G9" s="729" t="str">
        <f>IF(Inventory!G12="","",Inventory!G12)</f>
        <v/>
      </c>
      <c r="H9" s="727" t="str">
        <f>IF(Inventory!H12="","",Inventory!H12)</f>
        <v/>
      </c>
      <c r="I9" s="729" t="str">
        <f>IF(Inventory!I12="","",Inventory!I12)</f>
        <v/>
      </c>
      <c r="J9" s="729" t="str">
        <f>IF(Inventory!J12="","",Inventory!J12)</f>
        <v/>
      </c>
      <c r="K9" s="729" t="str">
        <f>IF(Inventory!K12="","",Inventory!K12)</f>
        <v/>
      </c>
      <c r="L9" s="729" t="str">
        <f>IF(Inventory!L12="","",Inventory!L12)</f>
        <v/>
      </c>
      <c r="M9" s="765" t="str">
        <f>IF(Inventory!M12="","",Inventory!M12)</f>
        <v/>
      </c>
      <c r="N9" s="758" t="str">
        <f>IF(Inventory!N12="","",Inventory!N12)</f>
        <v/>
      </c>
      <c r="O9" s="765" t="str">
        <f>IF(Inventory!O12="","",Inventory!O12)</f>
        <v/>
      </c>
      <c r="P9" s="758" t="str">
        <f>IF(Inventory!P12="","",Inventory!P12)</f>
        <v/>
      </c>
      <c r="Q9" s="521" t="str">
        <f>IF(Inventory!Q12="","",Inventory!Q12)</f>
        <v/>
      </c>
      <c r="R9" s="775" t="str">
        <f>IF(Inventory!R12="","",Inventory!R12)</f>
        <v/>
      </c>
      <c r="S9" s="775" t="str">
        <f>IF(Inventory!S12="","",Inventory!S12)</f>
        <v/>
      </c>
      <c r="T9" s="729" t="str">
        <f>IF(Inventory!T12="","",Inventory!T12)</f>
        <v/>
      </c>
      <c r="U9" s="775" t="str">
        <f>IF(Inventory!U12="","",Inventory!U12)</f>
        <v/>
      </c>
      <c r="V9" s="779" t="str">
        <f>IF(Inventory!V12="","",Inventory!V12)</f>
        <v/>
      </c>
      <c r="W9" s="866"/>
    </row>
    <row r="10" spans="1:23" s="618" customFormat="1" ht="21.95" customHeight="1" x14ac:dyDescent="0.25">
      <c r="B10" s="432">
        <v>4</v>
      </c>
      <c r="C10" s="499" t="str">
        <f>IF(Inventory!C13="","",Inventory!C13)</f>
        <v/>
      </c>
      <c r="D10" s="751" t="str">
        <f>IF(Inventory!D13="","",Inventory!D13)</f>
        <v/>
      </c>
      <c r="E10" s="541" t="str">
        <f>IF(Inventory!E13="","",Inventory!E13)</f>
        <v/>
      </c>
      <c r="F10" s="785" t="str">
        <f>IF(Inventory!F13="","",Inventory!F13)</f>
        <v/>
      </c>
      <c r="G10" s="728" t="str">
        <f>IF(Inventory!G13="","",Inventory!G13)</f>
        <v/>
      </c>
      <c r="H10" s="728" t="str">
        <f>IF(Inventory!H13="","",Inventory!H13)</f>
        <v/>
      </c>
      <c r="I10" s="728" t="str">
        <f>IF(Inventory!I13="","",Inventory!I13)</f>
        <v/>
      </c>
      <c r="J10" s="728" t="str">
        <f>IF(Inventory!J13="","",Inventory!J13)</f>
        <v/>
      </c>
      <c r="K10" s="728" t="str">
        <f>IF(Inventory!K13="","",Inventory!K13)</f>
        <v/>
      </c>
      <c r="L10" s="728" t="str">
        <f>IF(Inventory!L13="","",Inventory!L13)</f>
        <v/>
      </c>
      <c r="M10" s="764" t="str">
        <f>IF(Inventory!M13="","",Inventory!M13)</f>
        <v/>
      </c>
      <c r="N10" s="728" t="str">
        <f>IF(Inventory!N13="","",Inventory!N13)</f>
        <v/>
      </c>
      <c r="O10" s="764" t="str">
        <f>IF(Inventory!O13="","",Inventory!O13)</f>
        <v/>
      </c>
      <c r="P10" s="728" t="str">
        <f>IF(Inventory!P13="","",Inventory!P13)</f>
        <v/>
      </c>
      <c r="Q10" s="520" t="str">
        <f>IF(Inventory!Q13="","",Inventory!Q13)</f>
        <v/>
      </c>
      <c r="R10" s="778" t="str">
        <f>IF(Inventory!R13="","",Inventory!R13)</f>
        <v/>
      </c>
      <c r="S10" s="778" t="str">
        <f>IF(Inventory!S13="","",Inventory!S13)</f>
        <v/>
      </c>
      <c r="T10" s="767" t="str">
        <f>IF(Inventory!T13="","",Inventory!T13)</f>
        <v/>
      </c>
      <c r="U10" s="778" t="str">
        <f>IF(Inventory!U13="","",Inventory!U13)</f>
        <v/>
      </c>
      <c r="V10" s="751" t="str">
        <f>IF(Inventory!V13="","",Inventory!V13)</f>
        <v/>
      </c>
      <c r="W10" s="871"/>
    </row>
    <row r="11" spans="1:23" s="618" customFormat="1" ht="21.95" customHeight="1" x14ac:dyDescent="0.25">
      <c r="B11" s="431">
        <v>5</v>
      </c>
      <c r="C11" s="501" t="str">
        <f>IF(Inventory!C14="","",Inventory!C14)</f>
        <v/>
      </c>
      <c r="D11" s="502" t="str">
        <f>IF(Inventory!D14="","",Inventory!D14)</f>
        <v/>
      </c>
      <c r="E11" s="546" t="str">
        <f>IF(Inventory!E14="","",Inventory!E14)</f>
        <v/>
      </c>
      <c r="F11" s="547" t="str">
        <f>IF(Inventory!F14="","",Inventory!F14)</f>
        <v/>
      </c>
      <c r="G11" s="729" t="str">
        <f>IF(Inventory!G14="","",Inventory!G14)</f>
        <v/>
      </c>
      <c r="H11" s="727" t="str">
        <f>IF(Inventory!H14="","",Inventory!H14)</f>
        <v/>
      </c>
      <c r="I11" s="729" t="str">
        <f>IF(Inventory!I14="","",Inventory!I14)</f>
        <v/>
      </c>
      <c r="J11" s="729" t="str">
        <f>IF(Inventory!J14="","",Inventory!J14)</f>
        <v/>
      </c>
      <c r="K11" s="729" t="str">
        <f>IF(Inventory!K14="","",Inventory!K14)</f>
        <v/>
      </c>
      <c r="L11" s="729" t="str">
        <f>IF(Inventory!L14="","",Inventory!L14)</f>
        <v/>
      </c>
      <c r="M11" s="765" t="str">
        <f>IF(Inventory!M14="","",Inventory!M14)</f>
        <v/>
      </c>
      <c r="N11" s="758" t="str">
        <f>IF(Inventory!N14="","",Inventory!N14)</f>
        <v/>
      </c>
      <c r="O11" s="765" t="str">
        <f>IF(Inventory!O14="","",Inventory!O14)</f>
        <v/>
      </c>
      <c r="P11" s="758" t="str">
        <f>IF(Inventory!P14="","",Inventory!P14)</f>
        <v/>
      </c>
      <c r="Q11" s="521" t="str">
        <f>IF(Inventory!Q14="","",Inventory!Q14)</f>
        <v/>
      </c>
      <c r="R11" s="775" t="str">
        <f>IF(Inventory!R14="","",Inventory!R14)</f>
        <v/>
      </c>
      <c r="S11" s="775" t="str">
        <f>IF(Inventory!S14="","",Inventory!S14)</f>
        <v/>
      </c>
      <c r="T11" s="729" t="str">
        <f>IF(Inventory!T14="","",Inventory!T14)</f>
        <v/>
      </c>
      <c r="U11" s="775" t="str">
        <f>IF(Inventory!U14="","",Inventory!U14)</f>
        <v/>
      </c>
      <c r="V11" s="779" t="str">
        <f>IF(Inventory!V14="","",Inventory!V14)</f>
        <v/>
      </c>
      <c r="W11" s="866"/>
    </row>
    <row r="12" spans="1:23" s="618" customFormat="1" ht="21.95" customHeight="1" x14ac:dyDescent="0.25">
      <c r="B12" s="432">
        <v>6</v>
      </c>
      <c r="C12" s="499" t="str">
        <f>IF(Inventory!C15="","",Inventory!C15)</f>
        <v/>
      </c>
      <c r="D12" s="751" t="str">
        <f>IF(Inventory!D15="","",Inventory!D15)</f>
        <v/>
      </c>
      <c r="E12" s="541" t="str">
        <f>IF(Inventory!E15="","",Inventory!E15)</f>
        <v/>
      </c>
      <c r="F12" s="785" t="str">
        <f>IF(Inventory!F15="","",Inventory!F15)</f>
        <v/>
      </c>
      <c r="G12" s="728" t="str">
        <f>IF(Inventory!G15="","",Inventory!G15)</f>
        <v/>
      </c>
      <c r="H12" s="728" t="str">
        <f>IF(Inventory!H15="","",Inventory!H15)</f>
        <v/>
      </c>
      <c r="I12" s="728" t="str">
        <f>IF(Inventory!I15="","",Inventory!I15)</f>
        <v/>
      </c>
      <c r="J12" s="728" t="str">
        <f>IF(Inventory!J15="","",Inventory!J15)</f>
        <v/>
      </c>
      <c r="K12" s="728" t="str">
        <f>IF(Inventory!K15="","",Inventory!K15)</f>
        <v/>
      </c>
      <c r="L12" s="728" t="str">
        <f>IF(Inventory!L15="","",Inventory!L15)</f>
        <v/>
      </c>
      <c r="M12" s="764" t="str">
        <f>IF(Inventory!M15="","",Inventory!M15)</f>
        <v/>
      </c>
      <c r="N12" s="728" t="str">
        <f>IF(Inventory!N15="","",Inventory!N15)</f>
        <v/>
      </c>
      <c r="O12" s="764" t="str">
        <f>IF(Inventory!O15="","",Inventory!O15)</f>
        <v/>
      </c>
      <c r="P12" s="728" t="str">
        <f>IF(Inventory!P15="","",Inventory!P15)</f>
        <v/>
      </c>
      <c r="Q12" s="520" t="str">
        <f>IF(Inventory!Q15="","",Inventory!Q15)</f>
        <v/>
      </c>
      <c r="R12" s="778" t="str">
        <f>IF(Inventory!R15="","",Inventory!R15)</f>
        <v/>
      </c>
      <c r="S12" s="778" t="str">
        <f>IF(Inventory!S15="","",Inventory!S15)</f>
        <v/>
      </c>
      <c r="T12" s="767" t="str">
        <f>IF(Inventory!T15="","",Inventory!T15)</f>
        <v/>
      </c>
      <c r="U12" s="778" t="str">
        <f>IF(Inventory!U15="","",Inventory!U15)</f>
        <v/>
      </c>
      <c r="V12" s="751" t="str">
        <f>IF(Inventory!V15="","",Inventory!V15)</f>
        <v/>
      </c>
      <c r="W12" s="871"/>
    </row>
    <row r="13" spans="1:23" s="618" customFormat="1" ht="21.95" customHeight="1" x14ac:dyDescent="0.25">
      <c r="B13" s="431">
        <v>7</v>
      </c>
      <c r="C13" s="501" t="str">
        <f>IF(Inventory!C16="","",Inventory!C16)</f>
        <v/>
      </c>
      <c r="D13" s="502" t="str">
        <f>IF(Inventory!D16="","",Inventory!D16)</f>
        <v/>
      </c>
      <c r="E13" s="546" t="str">
        <f>IF(Inventory!E16="","",Inventory!E16)</f>
        <v/>
      </c>
      <c r="F13" s="547" t="str">
        <f>IF(Inventory!F16="","",Inventory!F16)</f>
        <v/>
      </c>
      <c r="G13" s="729" t="str">
        <f>IF(Inventory!G16="","",Inventory!G16)</f>
        <v/>
      </c>
      <c r="H13" s="727" t="str">
        <f>IF(Inventory!H16="","",Inventory!H16)</f>
        <v/>
      </c>
      <c r="I13" s="729" t="str">
        <f>IF(Inventory!I16="","",Inventory!I16)</f>
        <v/>
      </c>
      <c r="J13" s="729" t="str">
        <f>IF(Inventory!J16="","",Inventory!J16)</f>
        <v/>
      </c>
      <c r="K13" s="729" t="str">
        <f>IF(Inventory!K16="","",Inventory!K16)</f>
        <v/>
      </c>
      <c r="L13" s="729" t="str">
        <f>IF(Inventory!L16="","",Inventory!L16)</f>
        <v/>
      </c>
      <c r="M13" s="765" t="str">
        <f>IF(Inventory!M16="","",Inventory!M16)</f>
        <v/>
      </c>
      <c r="N13" s="758" t="str">
        <f>IF(Inventory!N16="","",Inventory!N16)</f>
        <v/>
      </c>
      <c r="O13" s="765" t="str">
        <f>IF(Inventory!O16="","",Inventory!O16)</f>
        <v/>
      </c>
      <c r="P13" s="758" t="str">
        <f>IF(Inventory!P16="","",Inventory!P16)</f>
        <v/>
      </c>
      <c r="Q13" s="521" t="str">
        <f>IF(Inventory!Q16="","",Inventory!Q16)</f>
        <v/>
      </c>
      <c r="R13" s="775" t="str">
        <f>IF(Inventory!R16="","",Inventory!R16)</f>
        <v/>
      </c>
      <c r="S13" s="775" t="str">
        <f>IF(Inventory!S16="","",Inventory!S16)</f>
        <v/>
      </c>
      <c r="T13" s="729" t="str">
        <f>IF(Inventory!T16="","",Inventory!T16)</f>
        <v/>
      </c>
      <c r="U13" s="775" t="str">
        <f>IF(Inventory!U16="","",Inventory!U16)</f>
        <v/>
      </c>
      <c r="V13" s="779" t="str">
        <f>IF(Inventory!V16="","",Inventory!V16)</f>
        <v/>
      </c>
      <c r="W13" s="866"/>
    </row>
    <row r="14" spans="1:23" s="618" customFormat="1" ht="21.95" customHeight="1" x14ac:dyDescent="0.25">
      <c r="B14" s="432">
        <v>8</v>
      </c>
      <c r="C14" s="499" t="str">
        <f>IF(Inventory!C17="","",Inventory!C17)</f>
        <v/>
      </c>
      <c r="D14" s="751" t="str">
        <f>IF(Inventory!D17="","",Inventory!D17)</f>
        <v/>
      </c>
      <c r="E14" s="541" t="str">
        <f>IF(Inventory!E17="","",Inventory!E17)</f>
        <v/>
      </c>
      <c r="F14" s="785" t="str">
        <f>IF(Inventory!F17="","",Inventory!F17)</f>
        <v/>
      </c>
      <c r="G14" s="728" t="str">
        <f>IF(Inventory!G17="","",Inventory!G17)</f>
        <v/>
      </c>
      <c r="H14" s="728" t="str">
        <f>IF(Inventory!H17="","",Inventory!H17)</f>
        <v/>
      </c>
      <c r="I14" s="728" t="str">
        <f>IF(Inventory!I17="","",Inventory!I17)</f>
        <v/>
      </c>
      <c r="J14" s="728" t="str">
        <f>IF(Inventory!J17="","",Inventory!J17)</f>
        <v/>
      </c>
      <c r="K14" s="728" t="str">
        <f>IF(Inventory!K17="","",Inventory!K17)</f>
        <v/>
      </c>
      <c r="L14" s="728" t="str">
        <f>IF(Inventory!L17="","",Inventory!L17)</f>
        <v/>
      </c>
      <c r="M14" s="764" t="str">
        <f>IF(Inventory!M17="","",Inventory!M17)</f>
        <v/>
      </c>
      <c r="N14" s="728" t="str">
        <f>IF(Inventory!N17="","",Inventory!N17)</f>
        <v/>
      </c>
      <c r="O14" s="764" t="str">
        <f>IF(Inventory!O17="","",Inventory!O17)</f>
        <v/>
      </c>
      <c r="P14" s="728" t="str">
        <f>IF(Inventory!P17="","",Inventory!P17)</f>
        <v/>
      </c>
      <c r="Q14" s="520" t="str">
        <f>IF(Inventory!Q17="","",Inventory!Q17)</f>
        <v/>
      </c>
      <c r="R14" s="778" t="str">
        <f>IF(Inventory!R17="","",Inventory!R17)</f>
        <v/>
      </c>
      <c r="S14" s="778" t="str">
        <f>IF(Inventory!S17="","",Inventory!S17)</f>
        <v/>
      </c>
      <c r="T14" s="767" t="str">
        <f>IF(Inventory!T17="","",Inventory!T17)</f>
        <v/>
      </c>
      <c r="U14" s="778" t="str">
        <f>IF(Inventory!U17="","",Inventory!U17)</f>
        <v/>
      </c>
      <c r="V14" s="751" t="str">
        <f>IF(Inventory!V17="","",Inventory!V17)</f>
        <v/>
      </c>
      <c r="W14" s="871"/>
    </row>
    <row r="15" spans="1:23" s="618" customFormat="1" ht="21.95" customHeight="1" x14ac:dyDescent="0.25">
      <c r="B15" s="431">
        <v>9</v>
      </c>
      <c r="C15" s="501" t="str">
        <f>IF(Inventory!C18="","",Inventory!C18)</f>
        <v/>
      </c>
      <c r="D15" s="502" t="str">
        <f>IF(Inventory!D18="","",Inventory!D18)</f>
        <v/>
      </c>
      <c r="E15" s="546" t="str">
        <f>IF(Inventory!E18="","",Inventory!E18)</f>
        <v/>
      </c>
      <c r="F15" s="547" t="str">
        <f>IF(Inventory!F18="","",Inventory!F18)</f>
        <v/>
      </c>
      <c r="G15" s="729" t="str">
        <f>IF(Inventory!G18="","",Inventory!G18)</f>
        <v/>
      </c>
      <c r="H15" s="727" t="str">
        <f>IF(Inventory!H18="","",Inventory!H18)</f>
        <v/>
      </c>
      <c r="I15" s="729" t="str">
        <f>IF(Inventory!I18="","",Inventory!I18)</f>
        <v/>
      </c>
      <c r="J15" s="729" t="str">
        <f>IF(Inventory!J18="","",Inventory!J18)</f>
        <v/>
      </c>
      <c r="K15" s="729" t="str">
        <f>IF(Inventory!K18="","",Inventory!K18)</f>
        <v/>
      </c>
      <c r="L15" s="729" t="str">
        <f>IF(Inventory!L18="","",Inventory!L18)</f>
        <v/>
      </c>
      <c r="M15" s="765" t="str">
        <f>IF(Inventory!M18="","",Inventory!M18)</f>
        <v/>
      </c>
      <c r="N15" s="758" t="str">
        <f>IF(Inventory!N18="","",Inventory!N18)</f>
        <v/>
      </c>
      <c r="O15" s="765" t="str">
        <f>IF(Inventory!O18="","",Inventory!O18)</f>
        <v/>
      </c>
      <c r="P15" s="758" t="str">
        <f>IF(Inventory!P18="","",Inventory!P18)</f>
        <v/>
      </c>
      <c r="Q15" s="521" t="str">
        <f>IF(Inventory!Q18="","",Inventory!Q18)</f>
        <v/>
      </c>
      <c r="R15" s="775" t="str">
        <f>IF(Inventory!R18="","",Inventory!R18)</f>
        <v/>
      </c>
      <c r="S15" s="775" t="str">
        <f>IF(Inventory!S18="","",Inventory!S18)</f>
        <v/>
      </c>
      <c r="T15" s="729" t="str">
        <f>IF(Inventory!T18="","",Inventory!T18)</f>
        <v/>
      </c>
      <c r="U15" s="775" t="str">
        <f>IF(Inventory!U18="","",Inventory!U18)</f>
        <v/>
      </c>
      <c r="V15" s="779" t="str">
        <f>IF(Inventory!V18="","",Inventory!V18)</f>
        <v/>
      </c>
      <c r="W15" s="866"/>
    </row>
    <row r="16" spans="1:23" s="618" customFormat="1" ht="21.95" customHeight="1" x14ac:dyDescent="0.25">
      <c r="B16" s="432">
        <v>10</v>
      </c>
      <c r="C16" s="499" t="str">
        <f>IF(Inventory!C19="","",Inventory!C19)</f>
        <v/>
      </c>
      <c r="D16" s="751" t="str">
        <f>IF(Inventory!D19="","",Inventory!D19)</f>
        <v/>
      </c>
      <c r="E16" s="541" t="str">
        <f>IF(Inventory!E19="","",Inventory!E19)</f>
        <v/>
      </c>
      <c r="F16" s="785" t="str">
        <f>IF(Inventory!F19="","",Inventory!F19)</f>
        <v/>
      </c>
      <c r="G16" s="728" t="str">
        <f>IF(Inventory!G19="","",Inventory!G19)</f>
        <v/>
      </c>
      <c r="H16" s="728" t="str">
        <f>IF(Inventory!H19="","",Inventory!H19)</f>
        <v/>
      </c>
      <c r="I16" s="728" t="str">
        <f>IF(Inventory!I19="","",Inventory!I19)</f>
        <v/>
      </c>
      <c r="J16" s="728" t="str">
        <f>IF(Inventory!J19="","",Inventory!J19)</f>
        <v/>
      </c>
      <c r="K16" s="728" t="str">
        <f>IF(Inventory!K19="","",Inventory!K19)</f>
        <v/>
      </c>
      <c r="L16" s="728" t="str">
        <f>IF(Inventory!L19="","",Inventory!L19)</f>
        <v/>
      </c>
      <c r="M16" s="764" t="str">
        <f>IF(Inventory!M19="","",Inventory!M19)</f>
        <v/>
      </c>
      <c r="N16" s="728" t="str">
        <f>IF(Inventory!N19="","",Inventory!N19)</f>
        <v/>
      </c>
      <c r="O16" s="764" t="str">
        <f>IF(Inventory!O19="","",Inventory!O19)</f>
        <v/>
      </c>
      <c r="P16" s="728" t="str">
        <f>IF(Inventory!P19="","",Inventory!P19)</f>
        <v/>
      </c>
      <c r="Q16" s="520" t="str">
        <f>IF(Inventory!Q19="","",Inventory!Q19)</f>
        <v/>
      </c>
      <c r="R16" s="778" t="str">
        <f>IF(Inventory!R19="","",Inventory!R19)</f>
        <v/>
      </c>
      <c r="S16" s="778" t="str">
        <f>IF(Inventory!S19="","",Inventory!S19)</f>
        <v/>
      </c>
      <c r="T16" s="767" t="str">
        <f>IF(Inventory!T19="","",Inventory!T19)</f>
        <v/>
      </c>
      <c r="U16" s="778" t="str">
        <f>IF(Inventory!U19="","",Inventory!U19)</f>
        <v/>
      </c>
      <c r="V16" s="751" t="str">
        <f>IF(Inventory!V19="","",Inventory!V19)</f>
        <v/>
      </c>
      <c r="W16" s="871"/>
    </row>
    <row r="17" spans="2:23" s="618" customFormat="1" ht="21.95" customHeight="1" x14ac:dyDescent="0.25">
      <c r="B17" s="431">
        <v>11</v>
      </c>
      <c r="C17" s="501" t="str">
        <f>IF(Inventory!C20="","",Inventory!C20)</f>
        <v/>
      </c>
      <c r="D17" s="502" t="str">
        <f>IF(Inventory!D20="","",Inventory!D20)</f>
        <v/>
      </c>
      <c r="E17" s="546" t="str">
        <f>IF(Inventory!E20="","",Inventory!E20)</f>
        <v/>
      </c>
      <c r="F17" s="547" t="str">
        <f>IF(Inventory!F20="","",Inventory!F20)</f>
        <v/>
      </c>
      <c r="G17" s="729" t="str">
        <f>IF(Inventory!G20="","",Inventory!G20)</f>
        <v/>
      </c>
      <c r="H17" s="729" t="str">
        <f>IF(Inventory!H20="","",Inventory!H20)</f>
        <v/>
      </c>
      <c r="I17" s="729" t="str">
        <f>IF(Inventory!I20="","",Inventory!I20)</f>
        <v/>
      </c>
      <c r="J17" s="729" t="str">
        <f>IF(Inventory!J20="","",Inventory!J20)</f>
        <v/>
      </c>
      <c r="K17" s="729" t="str">
        <f>IF(Inventory!K20="","",Inventory!K20)</f>
        <v/>
      </c>
      <c r="L17" s="729" t="str">
        <f>IF(Inventory!L20="","",Inventory!L20)</f>
        <v/>
      </c>
      <c r="M17" s="765" t="str">
        <f>IF(Inventory!M20="","",Inventory!M20)</f>
        <v/>
      </c>
      <c r="N17" s="758" t="str">
        <f>IF(Inventory!N20="","",Inventory!N20)</f>
        <v/>
      </c>
      <c r="O17" s="765" t="str">
        <f>IF(Inventory!O20="","",Inventory!O20)</f>
        <v/>
      </c>
      <c r="P17" s="758" t="str">
        <f>IF(Inventory!P20="","",Inventory!P20)</f>
        <v/>
      </c>
      <c r="Q17" s="521" t="str">
        <f>IF(Inventory!Q20="","",Inventory!Q20)</f>
        <v/>
      </c>
      <c r="R17" s="775" t="str">
        <f>IF(Inventory!R20="","",Inventory!R20)</f>
        <v/>
      </c>
      <c r="S17" s="775" t="str">
        <f>IF(Inventory!S20="","",Inventory!S20)</f>
        <v/>
      </c>
      <c r="T17" s="729" t="str">
        <f>IF(Inventory!T20="","",Inventory!T20)</f>
        <v/>
      </c>
      <c r="U17" s="775" t="str">
        <f>IF(Inventory!U20="","",Inventory!U20)</f>
        <v/>
      </c>
      <c r="V17" s="779" t="str">
        <f>IF(Inventory!V20="","",Inventory!V20)</f>
        <v/>
      </c>
      <c r="W17" s="866"/>
    </row>
    <row r="18" spans="2:23" s="618" customFormat="1" ht="21.95" customHeight="1" x14ac:dyDescent="0.25">
      <c r="B18" s="432">
        <v>12</v>
      </c>
      <c r="C18" s="499" t="str">
        <f>IF(Inventory!C21="","",Inventory!C21)</f>
        <v/>
      </c>
      <c r="D18" s="751" t="str">
        <f>IF(Inventory!D21="","",Inventory!D21)</f>
        <v/>
      </c>
      <c r="E18" s="541" t="str">
        <f>IF(Inventory!E21="","",Inventory!E21)</f>
        <v/>
      </c>
      <c r="F18" s="785" t="str">
        <f>IF(Inventory!F21="","",Inventory!F21)</f>
        <v/>
      </c>
      <c r="G18" s="728" t="str">
        <f>IF(Inventory!G21="","",Inventory!G21)</f>
        <v/>
      </c>
      <c r="H18" s="728" t="str">
        <f>IF(Inventory!H21="","",Inventory!H21)</f>
        <v/>
      </c>
      <c r="I18" s="728" t="str">
        <f>IF(Inventory!I21="","",Inventory!I21)</f>
        <v/>
      </c>
      <c r="J18" s="728" t="str">
        <f>IF(Inventory!J21="","",Inventory!J21)</f>
        <v/>
      </c>
      <c r="K18" s="728" t="str">
        <f>IF(Inventory!K21="","",Inventory!K21)</f>
        <v/>
      </c>
      <c r="L18" s="728" t="str">
        <f>IF(Inventory!L21="","",Inventory!L21)</f>
        <v/>
      </c>
      <c r="M18" s="764" t="str">
        <f>IF(Inventory!M21="","",Inventory!M21)</f>
        <v/>
      </c>
      <c r="N18" s="728" t="str">
        <f>IF(Inventory!N21="","",Inventory!N21)</f>
        <v/>
      </c>
      <c r="O18" s="764" t="str">
        <f>IF(Inventory!O21="","",Inventory!O21)</f>
        <v/>
      </c>
      <c r="P18" s="728" t="str">
        <f>IF(Inventory!P21="","",Inventory!P21)</f>
        <v/>
      </c>
      <c r="Q18" s="520" t="str">
        <f>IF(Inventory!Q21="","",Inventory!Q21)</f>
        <v/>
      </c>
      <c r="R18" s="778" t="str">
        <f>IF(Inventory!R21="","",Inventory!R21)</f>
        <v/>
      </c>
      <c r="S18" s="778" t="str">
        <f>IF(Inventory!S21="","",Inventory!S21)</f>
        <v/>
      </c>
      <c r="T18" s="767" t="str">
        <f>IF(Inventory!T21="","",Inventory!T21)</f>
        <v/>
      </c>
      <c r="U18" s="778" t="str">
        <f>IF(Inventory!U21="","",Inventory!U21)</f>
        <v/>
      </c>
      <c r="V18" s="751" t="str">
        <f>IF(Inventory!V21="","",Inventory!V21)</f>
        <v/>
      </c>
      <c r="W18" s="871"/>
    </row>
    <row r="19" spans="2:23" s="618" customFormat="1" ht="21.95" customHeight="1" x14ac:dyDescent="0.25">
      <c r="B19" s="431">
        <v>13</v>
      </c>
      <c r="C19" s="501" t="str">
        <f>IF(Inventory!C22="","",Inventory!C22)</f>
        <v/>
      </c>
      <c r="D19" s="502" t="str">
        <f>IF(Inventory!D22="","",Inventory!D22)</f>
        <v/>
      </c>
      <c r="E19" s="546" t="str">
        <f>IF(Inventory!E22="","",Inventory!E22)</f>
        <v/>
      </c>
      <c r="F19" s="547" t="str">
        <f>IF(Inventory!F22="","",Inventory!F22)</f>
        <v/>
      </c>
      <c r="G19" s="729" t="str">
        <f>IF(Inventory!G22="","",Inventory!G22)</f>
        <v/>
      </c>
      <c r="H19" s="729" t="str">
        <f>IF(Inventory!H22="","",Inventory!H22)</f>
        <v/>
      </c>
      <c r="I19" s="729" t="str">
        <f>IF(Inventory!I22="","",Inventory!I22)</f>
        <v/>
      </c>
      <c r="J19" s="729" t="str">
        <f>IF(Inventory!J22="","",Inventory!J22)</f>
        <v/>
      </c>
      <c r="K19" s="729" t="str">
        <f>IF(Inventory!K22="","",Inventory!K22)</f>
        <v/>
      </c>
      <c r="L19" s="729" t="str">
        <f>IF(Inventory!L22="","",Inventory!L22)</f>
        <v/>
      </c>
      <c r="M19" s="765" t="str">
        <f>IF(Inventory!M22="","",Inventory!M22)</f>
        <v/>
      </c>
      <c r="N19" s="758" t="str">
        <f>IF(Inventory!N22="","",Inventory!N22)</f>
        <v/>
      </c>
      <c r="O19" s="765" t="str">
        <f>IF(Inventory!O22="","",Inventory!O22)</f>
        <v/>
      </c>
      <c r="P19" s="758" t="str">
        <f>IF(Inventory!P22="","",Inventory!P22)</f>
        <v/>
      </c>
      <c r="Q19" s="521" t="str">
        <f>IF(Inventory!Q22="","",Inventory!Q22)</f>
        <v/>
      </c>
      <c r="R19" s="775" t="str">
        <f>IF(Inventory!R22="","",Inventory!R22)</f>
        <v/>
      </c>
      <c r="S19" s="775" t="str">
        <f>IF(Inventory!S22="","",Inventory!S22)</f>
        <v/>
      </c>
      <c r="T19" s="729" t="str">
        <f>IF(Inventory!T22="","",Inventory!T22)</f>
        <v/>
      </c>
      <c r="U19" s="775" t="str">
        <f>IF(Inventory!U22="","",Inventory!U22)</f>
        <v/>
      </c>
      <c r="V19" s="779" t="str">
        <f>IF(Inventory!V22="","",Inventory!V22)</f>
        <v/>
      </c>
      <c r="W19" s="866"/>
    </row>
    <row r="20" spans="2:23" s="618" customFormat="1" ht="21.95" customHeight="1" x14ac:dyDescent="0.25">
      <c r="B20" s="432">
        <v>14</v>
      </c>
      <c r="C20" s="499" t="str">
        <f>IF(Inventory!C23="","",Inventory!C23)</f>
        <v/>
      </c>
      <c r="D20" s="751" t="str">
        <f>IF(Inventory!D23="","",Inventory!D23)</f>
        <v/>
      </c>
      <c r="E20" s="541" t="str">
        <f>IF(Inventory!E23="","",Inventory!E23)</f>
        <v/>
      </c>
      <c r="F20" s="785" t="str">
        <f>IF(Inventory!F23="","",Inventory!F23)</f>
        <v/>
      </c>
      <c r="G20" s="728" t="str">
        <f>IF(Inventory!G23="","",Inventory!G23)</f>
        <v/>
      </c>
      <c r="H20" s="728" t="str">
        <f>IF(Inventory!H23="","",Inventory!H23)</f>
        <v/>
      </c>
      <c r="I20" s="728" t="str">
        <f>IF(Inventory!I23="","",Inventory!I23)</f>
        <v/>
      </c>
      <c r="J20" s="728" t="str">
        <f>IF(Inventory!J23="","",Inventory!J23)</f>
        <v/>
      </c>
      <c r="K20" s="728" t="str">
        <f>IF(Inventory!K23="","",Inventory!K23)</f>
        <v/>
      </c>
      <c r="L20" s="728" t="str">
        <f>IF(Inventory!L23="","",Inventory!L23)</f>
        <v/>
      </c>
      <c r="M20" s="764" t="str">
        <f>IF(Inventory!M23="","",Inventory!M23)</f>
        <v/>
      </c>
      <c r="N20" s="728" t="str">
        <f>IF(Inventory!N23="","",Inventory!N23)</f>
        <v/>
      </c>
      <c r="O20" s="764" t="str">
        <f>IF(Inventory!O23="","",Inventory!O23)</f>
        <v/>
      </c>
      <c r="P20" s="728" t="str">
        <f>IF(Inventory!P23="","",Inventory!P23)</f>
        <v/>
      </c>
      <c r="Q20" s="520" t="str">
        <f>IF(Inventory!Q23="","",Inventory!Q23)</f>
        <v/>
      </c>
      <c r="R20" s="778" t="str">
        <f>IF(Inventory!R23="","",Inventory!R23)</f>
        <v/>
      </c>
      <c r="S20" s="778" t="str">
        <f>IF(Inventory!S23="","",Inventory!S23)</f>
        <v/>
      </c>
      <c r="T20" s="767" t="str">
        <f>IF(Inventory!T23="","",Inventory!T23)</f>
        <v/>
      </c>
      <c r="U20" s="778" t="str">
        <f>IF(Inventory!U23="","",Inventory!U23)</f>
        <v/>
      </c>
      <c r="V20" s="751" t="str">
        <f>IF(Inventory!V23="","",Inventory!V23)</f>
        <v/>
      </c>
      <c r="W20" s="871"/>
    </row>
    <row r="21" spans="2:23" s="618" customFormat="1" ht="21.95" customHeight="1" x14ac:dyDescent="0.25">
      <c r="B21" s="431">
        <v>15</v>
      </c>
      <c r="C21" s="501" t="str">
        <f>IF(Inventory!C24="","",Inventory!C24)</f>
        <v/>
      </c>
      <c r="D21" s="502" t="str">
        <f>IF(Inventory!D24="","",Inventory!D24)</f>
        <v/>
      </c>
      <c r="E21" s="546" t="str">
        <f>IF(Inventory!E24="","",Inventory!E24)</f>
        <v/>
      </c>
      <c r="F21" s="547" t="str">
        <f>IF(Inventory!F24="","",Inventory!F24)</f>
        <v/>
      </c>
      <c r="G21" s="729" t="str">
        <f>IF(Inventory!G24="","",Inventory!G24)</f>
        <v/>
      </c>
      <c r="H21" s="729" t="str">
        <f>IF(Inventory!H24="","",Inventory!H24)</f>
        <v/>
      </c>
      <c r="I21" s="729" t="str">
        <f>IF(Inventory!I24="","",Inventory!I24)</f>
        <v/>
      </c>
      <c r="J21" s="729" t="str">
        <f>IF(Inventory!J24="","",Inventory!J24)</f>
        <v/>
      </c>
      <c r="K21" s="729" t="str">
        <f>IF(Inventory!K24="","",Inventory!K24)</f>
        <v/>
      </c>
      <c r="L21" s="729" t="str">
        <f>IF(Inventory!L24="","",Inventory!L24)</f>
        <v/>
      </c>
      <c r="M21" s="765" t="str">
        <f>IF(Inventory!M24="","",Inventory!M24)</f>
        <v/>
      </c>
      <c r="N21" s="758" t="str">
        <f>IF(Inventory!N24="","",Inventory!N24)</f>
        <v/>
      </c>
      <c r="O21" s="765" t="str">
        <f>IF(Inventory!O24="","",Inventory!O24)</f>
        <v/>
      </c>
      <c r="P21" s="758" t="str">
        <f>IF(Inventory!P24="","",Inventory!P24)</f>
        <v/>
      </c>
      <c r="Q21" s="521" t="str">
        <f>IF(Inventory!Q24="","",Inventory!Q24)</f>
        <v/>
      </c>
      <c r="R21" s="775" t="str">
        <f>IF(Inventory!R24="","",Inventory!R24)</f>
        <v/>
      </c>
      <c r="S21" s="775" t="str">
        <f>IF(Inventory!S24="","",Inventory!S24)</f>
        <v/>
      </c>
      <c r="T21" s="729" t="str">
        <f>IF(Inventory!T24="","",Inventory!T24)</f>
        <v/>
      </c>
      <c r="U21" s="775" t="str">
        <f>IF(Inventory!U24="","",Inventory!U24)</f>
        <v/>
      </c>
      <c r="V21" s="779" t="str">
        <f>IF(Inventory!V24="","",Inventory!V24)</f>
        <v/>
      </c>
      <c r="W21" s="866"/>
    </row>
    <row r="22" spans="2:23" s="618" customFormat="1" ht="21.95" customHeight="1" x14ac:dyDescent="0.25">
      <c r="B22" s="432">
        <v>16</v>
      </c>
      <c r="C22" s="499" t="str">
        <f>IF(Inventory!C25="","",Inventory!C25)</f>
        <v/>
      </c>
      <c r="D22" s="751" t="str">
        <f>IF(Inventory!D25="","",Inventory!D25)</f>
        <v/>
      </c>
      <c r="E22" s="541" t="str">
        <f>IF(Inventory!E25="","",Inventory!E25)</f>
        <v/>
      </c>
      <c r="F22" s="785" t="str">
        <f>IF(Inventory!F25="","",Inventory!F25)</f>
        <v/>
      </c>
      <c r="G22" s="728" t="str">
        <f>IF(Inventory!G25="","",Inventory!G25)</f>
        <v/>
      </c>
      <c r="H22" s="728" t="str">
        <f>IF(Inventory!H25="","",Inventory!H25)</f>
        <v/>
      </c>
      <c r="I22" s="728" t="str">
        <f>IF(Inventory!I25="","",Inventory!I25)</f>
        <v/>
      </c>
      <c r="J22" s="728" t="str">
        <f>IF(Inventory!J25="","",Inventory!J25)</f>
        <v/>
      </c>
      <c r="K22" s="728" t="str">
        <f>IF(Inventory!K25="","",Inventory!K25)</f>
        <v/>
      </c>
      <c r="L22" s="728" t="str">
        <f>IF(Inventory!L25="","",Inventory!L25)</f>
        <v/>
      </c>
      <c r="M22" s="764" t="str">
        <f>IF(Inventory!M25="","",Inventory!M25)</f>
        <v/>
      </c>
      <c r="N22" s="728" t="str">
        <f>IF(Inventory!N25="","",Inventory!N25)</f>
        <v/>
      </c>
      <c r="O22" s="764" t="str">
        <f>IF(Inventory!O25="","",Inventory!O25)</f>
        <v/>
      </c>
      <c r="P22" s="728" t="str">
        <f>IF(Inventory!P25="","",Inventory!P25)</f>
        <v/>
      </c>
      <c r="Q22" s="520" t="str">
        <f>IF(Inventory!Q25="","",Inventory!Q25)</f>
        <v/>
      </c>
      <c r="R22" s="778" t="str">
        <f>IF(Inventory!R25="","",Inventory!R25)</f>
        <v/>
      </c>
      <c r="S22" s="778" t="str">
        <f>IF(Inventory!S25="","",Inventory!S25)</f>
        <v/>
      </c>
      <c r="T22" s="767" t="str">
        <f>IF(Inventory!T25="","",Inventory!T25)</f>
        <v/>
      </c>
      <c r="U22" s="778" t="str">
        <f>IF(Inventory!U25="","",Inventory!U25)</f>
        <v/>
      </c>
      <c r="V22" s="751" t="str">
        <f>IF(Inventory!V25="","",Inventory!V25)</f>
        <v/>
      </c>
      <c r="W22" s="871"/>
    </row>
    <row r="23" spans="2:23" s="618" customFormat="1" ht="21.95" customHeight="1" x14ac:dyDescent="0.25">
      <c r="B23" s="431">
        <v>17</v>
      </c>
      <c r="C23" s="501" t="str">
        <f>IF(Inventory!C26="","",Inventory!C26)</f>
        <v/>
      </c>
      <c r="D23" s="502" t="str">
        <f>IF(Inventory!D26="","",Inventory!D26)</f>
        <v/>
      </c>
      <c r="E23" s="546" t="str">
        <f>IF(Inventory!E26="","",Inventory!E26)</f>
        <v/>
      </c>
      <c r="F23" s="547" t="str">
        <f>IF(Inventory!F26="","",Inventory!F26)</f>
        <v/>
      </c>
      <c r="G23" s="729" t="str">
        <f>IF(Inventory!G26="","",Inventory!G26)</f>
        <v/>
      </c>
      <c r="H23" s="729" t="str">
        <f>IF(Inventory!H26="","",Inventory!H26)</f>
        <v/>
      </c>
      <c r="I23" s="729" t="str">
        <f>IF(Inventory!I26="","",Inventory!I26)</f>
        <v/>
      </c>
      <c r="J23" s="729" t="str">
        <f>IF(Inventory!J26="","",Inventory!J26)</f>
        <v/>
      </c>
      <c r="K23" s="729" t="str">
        <f>IF(Inventory!K26="","",Inventory!K26)</f>
        <v/>
      </c>
      <c r="L23" s="729" t="str">
        <f>IF(Inventory!L26="","",Inventory!L26)</f>
        <v/>
      </c>
      <c r="M23" s="765" t="str">
        <f>IF(Inventory!M26="","",Inventory!M26)</f>
        <v/>
      </c>
      <c r="N23" s="758" t="str">
        <f>IF(Inventory!N26="","",Inventory!N26)</f>
        <v/>
      </c>
      <c r="O23" s="765" t="str">
        <f>IF(Inventory!O26="","",Inventory!O26)</f>
        <v/>
      </c>
      <c r="P23" s="758" t="str">
        <f>IF(Inventory!P26="","",Inventory!P26)</f>
        <v/>
      </c>
      <c r="Q23" s="521" t="str">
        <f>IF(Inventory!Q26="","",Inventory!Q26)</f>
        <v/>
      </c>
      <c r="R23" s="775" t="str">
        <f>IF(Inventory!R26="","",Inventory!R26)</f>
        <v/>
      </c>
      <c r="S23" s="775" t="str">
        <f>IF(Inventory!S26="","",Inventory!S26)</f>
        <v/>
      </c>
      <c r="T23" s="729" t="str">
        <f>IF(Inventory!T26="","",Inventory!T26)</f>
        <v/>
      </c>
      <c r="U23" s="775" t="str">
        <f>IF(Inventory!U26="","",Inventory!U26)</f>
        <v/>
      </c>
      <c r="V23" s="779" t="str">
        <f>IF(Inventory!V26="","",Inventory!V26)</f>
        <v/>
      </c>
      <c r="W23" s="866"/>
    </row>
    <row r="24" spans="2:23" s="618" customFormat="1" ht="21.95" customHeight="1" x14ac:dyDescent="0.25">
      <c r="B24" s="432">
        <v>18</v>
      </c>
      <c r="C24" s="499" t="str">
        <f>IF(Inventory!C27="","",Inventory!C27)</f>
        <v/>
      </c>
      <c r="D24" s="751" t="str">
        <f>IF(Inventory!D27="","",Inventory!D27)</f>
        <v/>
      </c>
      <c r="E24" s="541" t="str">
        <f>IF(Inventory!E27="","",Inventory!E27)</f>
        <v/>
      </c>
      <c r="F24" s="785" t="str">
        <f>IF(Inventory!F27="","",Inventory!F27)</f>
        <v/>
      </c>
      <c r="G24" s="728" t="str">
        <f>IF(Inventory!G27="","",Inventory!G27)</f>
        <v/>
      </c>
      <c r="H24" s="728" t="str">
        <f>IF(Inventory!H27="","",Inventory!H27)</f>
        <v/>
      </c>
      <c r="I24" s="728" t="str">
        <f>IF(Inventory!I27="","",Inventory!I27)</f>
        <v/>
      </c>
      <c r="J24" s="728" t="str">
        <f>IF(Inventory!J27="","",Inventory!J27)</f>
        <v/>
      </c>
      <c r="K24" s="728" t="str">
        <f>IF(Inventory!K27="","",Inventory!K27)</f>
        <v/>
      </c>
      <c r="L24" s="728" t="str">
        <f>IF(Inventory!L27="","",Inventory!L27)</f>
        <v/>
      </c>
      <c r="M24" s="764" t="str">
        <f>IF(Inventory!M27="","",Inventory!M27)</f>
        <v/>
      </c>
      <c r="N24" s="728" t="str">
        <f>IF(Inventory!N27="","",Inventory!N27)</f>
        <v/>
      </c>
      <c r="O24" s="764" t="str">
        <f>IF(Inventory!O27="","",Inventory!O27)</f>
        <v/>
      </c>
      <c r="P24" s="728" t="str">
        <f>IF(Inventory!P27="","",Inventory!P27)</f>
        <v/>
      </c>
      <c r="Q24" s="520" t="str">
        <f>IF(Inventory!Q27="","",Inventory!Q27)</f>
        <v/>
      </c>
      <c r="R24" s="778" t="str">
        <f>IF(Inventory!R27="","",Inventory!R27)</f>
        <v/>
      </c>
      <c r="S24" s="778" t="str">
        <f>IF(Inventory!S27="","",Inventory!S27)</f>
        <v/>
      </c>
      <c r="T24" s="767" t="str">
        <f>IF(Inventory!T27="","",Inventory!T27)</f>
        <v/>
      </c>
      <c r="U24" s="778" t="str">
        <f>IF(Inventory!U27="","",Inventory!U27)</f>
        <v/>
      </c>
      <c r="V24" s="751" t="str">
        <f>IF(Inventory!V27="","",Inventory!V27)</f>
        <v/>
      </c>
      <c r="W24" s="871"/>
    </row>
    <row r="25" spans="2:23" s="618" customFormat="1" ht="21.95" customHeight="1" x14ac:dyDescent="0.25">
      <c r="B25" s="431">
        <v>19</v>
      </c>
      <c r="C25" s="501" t="str">
        <f>IF(Inventory!C28="","",Inventory!C28)</f>
        <v/>
      </c>
      <c r="D25" s="502" t="str">
        <f>IF(Inventory!D28="","",Inventory!D28)</f>
        <v/>
      </c>
      <c r="E25" s="546" t="str">
        <f>IF(Inventory!E28="","",Inventory!E28)</f>
        <v/>
      </c>
      <c r="F25" s="547" t="str">
        <f>IF(Inventory!F28="","",Inventory!F28)</f>
        <v/>
      </c>
      <c r="G25" s="729" t="str">
        <f>IF(Inventory!G28="","",Inventory!G28)</f>
        <v/>
      </c>
      <c r="H25" s="729" t="str">
        <f>IF(Inventory!H28="","",Inventory!H28)</f>
        <v/>
      </c>
      <c r="I25" s="729" t="str">
        <f>IF(Inventory!I28="","",Inventory!I28)</f>
        <v/>
      </c>
      <c r="J25" s="729" t="str">
        <f>IF(Inventory!J28="","",Inventory!J28)</f>
        <v/>
      </c>
      <c r="K25" s="729" t="str">
        <f>IF(Inventory!K28="","",Inventory!K28)</f>
        <v/>
      </c>
      <c r="L25" s="729" t="str">
        <f>IF(Inventory!L28="","",Inventory!L28)</f>
        <v/>
      </c>
      <c r="M25" s="765" t="str">
        <f>IF(Inventory!M28="","",Inventory!M28)</f>
        <v/>
      </c>
      <c r="N25" s="758" t="str">
        <f>IF(Inventory!N28="","",Inventory!N28)</f>
        <v/>
      </c>
      <c r="O25" s="765" t="str">
        <f>IF(Inventory!O28="","",Inventory!O28)</f>
        <v/>
      </c>
      <c r="P25" s="758" t="str">
        <f>IF(Inventory!P28="","",Inventory!P28)</f>
        <v/>
      </c>
      <c r="Q25" s="521" t="str">
        <f>IF(Inventory!Q28="","",Inventory!Q28)</f>
        <v/>
      </c>
      <c r="R25" s="775" t="str">
        <f>IF(Inventory!R28="","",Inventory!R28)</f>
        <v/>
      </c>
      <c r="S25" s="775" t="str">
        <f>IF(Inventory!S28="","",Inventory!S28)</f>
        <v/>
      </c>
      <c r="T25" s="729" t="str">
        <f>IF(Inventory!T28="","",Inventory!T28)</f>
        <v/>
      </c>
      <c r="U25" s="775" t="str">
        <f>IF(Inventory!U28="","",Inventory!U28)</f>
        <v/>
      </c>
      <c r="V25" s="779" t="str">
        <f>IF(Inventory!V28="","",Inventory!V28)</f>
        <v/>
      </c>
      <c r="W25" s="866"/>
    </row>
    <row r="26" spans="2:23" s="618" customFormat="1" ht="21.95" customHeight="1" x14ac:dyDescent="0.25">
      <c r="B26" s="432">
        <v>20</v>
      </c>
      <c r="C26" s="499" t="str">
        <f>IF(Inventory!C29="","",Inventory!C29)</f>
        <v/>
      </c>
      <c r="D26" s="751" t="str">
        <f>IF(Inventory!D29="","",Inventory!D29)</f>
        <v/>
      </c>
      <c r="E26" s="541" t="str">
        <f>IF(Inventory!E29="","",Inventory!E29)</f>
        <v/>
      </c>
      <c r="F26" s="785" t="str">
        <f>IF(Inventory!F29="","",Inventory!F29)</f>
        <v/>
      </c>
      <c r="G26" s="728" t="str">
        <f>IF(Inventory!G29="","",Inventory!G29)</f>
        <v/>
      </c>
      <c r="H26" s="728" t="str">
        <f>IF(Inventory!H29="","",Inventory!H29)</f>
        <v/>
      </c>
      <c r="I26" s="728" t="str">
        <f>IF(Inventory!I29="","",Inventory!I29)</f>
        <v/>
      </c>
      <c r="J26" s="728" t="str">
        <f>IF(Inventory!J29="","",Inventory!J29)</f>
        <v/>
      </c>
      <c r="K26" s="728" t="str">
        <f>IF(Inventory!K29="","",Inventory!K29)</f>
        <v/>
      </c>
      <c r="L26" s="728" t="str">
        <f>IF(Inventory!L29="","",Inventory!L29)</f>
        <v/>
      </c>
      <c r="M26" s="764" t="str">
        <f>IF(Inventory!M29="","",Inventory!M29)</f>
        <v/>
      </c>
      <c r="N26" s="728" t="str">
        <f>IF(Inventory!N29="","",Inventory!N29)</f>
        <v/>
      </c>
      <c r="O26" s="764" t="str">
        <f>IF(Inventory!O29="","",Inventory!O29)</f>
        <v/>
      </c>
      <c r="P26" s="728" t="str">
        <f>IF(Inventory!P29="","",Inventory!P29)</f>
        <v/>
      </c>
      <c r="Q26" s="520" t="str">
        <f>IF(Inventory!Q29="","",Inventory!Q29)</f>
        <v/>
      </c>
      <c r="R26" s="778" t="str">
        <f>IF(Inventory!R29="","",Inventory!R29)</f>
        <v/>
      </c>
      <c r="S26" s="778" t="str">
        <f>IF(Inventory!S29="","",Inventory!S29)</f>
        <v/>
      </c>
      <c r="T26" s="767" t="str">
        <f>IF(Inventory!T29="","",Inventory!T29)</f>
        <v/>
      </c>
      <c r="U26" s="778" t="str">
        <f>IF(Inventory!U29="","",Inventory!U29)</f>
        <v/>
      </c>
      <c r="V26" s="751" t="str">
        <f>IF(Inventory!V29="","",Inventory!V29)</f>
        <v/>
      </c>
      <c r="W26" s="871"/>
    </row>
    <row r="27" spans="2:23" s="618" customFormat="1" ht="21.95" customHeight="1" x14ac:dyDescent="0.25">
      <c r="B27" s="431">
        <v>21</v>
      </c>
      <c r="C27" s="501" t="str">
        <f>IF(Inventory!C30="","",Inventory!C30)</f>
        <v/>
      </c>
      <c r="D27" s="502" t="str">
        <f>IF(Inventory!D30="","",Inventory!D30)</f>
        <v/>
      </c>
      <c r="E27" s="546" t="str">
        <f>IF(Inventory!E30="","",Inventory!E30)</f>
        <v/>
      </c>
      <c r="F27" s="547" t="str">
        <f>IF(Inventory!F30="","",Inventory!F30)</f>
        <v/>
      </c>
      <c r="G27" s="729" t="str">
        <f>IF(Inventory!G30="","",Inventory!G30)</f>
        <v/>
      </c>
      <c r="H27" s="729" t="str">
        <f>IF(Inventory!H30="","",Inventory!H30)</f>
        <v/>
      </c>
      <c r="I27" s="729" t="str">
        <f>IF(Inventory!I30="","",Inventory!I30)</f>
        <v/>
      </c>
      <c r="J27" s="729" t="str">
        <f>IF(Inventory!J30="","",Inventory!J30)</f>
        <v/>
      </c>
      <c r="K27" s="729" t="str">
        <f>IF(Inventory!K30="","",Inventory!K30)</f>
        <v/>
      </c>
      <c r="L27" s="729" t="str">
        <f>IF(Inventory!L30="","",Inventory!L30)</f>
        <v/>
      </c>
      <c r="M27" s="765" t="str">
        <f>IF(Inventory!M30="","",Inventory!M30)</f>
        <v/>
      </c>
      <c r="N27" s="758" t="str">
        <f>IF(Inventory!N30="","",Inventory!N30)</f>
        <v/>
      </c>
      <c r="O27" s="765" t="str">
        <f>IF(Inventory!O30="","",Inventory!O30)</f>
        <v/>
      </c>
      <c r="P27" s="758" t="str">
        <f>IF(Inventory!P30="","",Inventory!P30)</f>
        <v/>
      </c>
      <c r="Q27" s="521" t="str">
        <f>IF(Inventory!Q30="","",Inventory!Q30)</f>
        <v/>
      </c>
      <c r="R27" s="775" t="str">
        <f>IF(Inventory!R30="","",Inventory!R30)</f>
        <v/>
      </c>
      <c r="S27" s="775" t="str">
        <f>IF(Inventory!S30="","",Inventory!S30)</f>
        <v/>
      </c>
      <c r="T27" s="729" t="str">
        <f>IF(Inventory!T30="","",Inventory!T30)</f>
        <v/>
      </c>
      <c r="U27" s="775" t="str">
        <f>IF(Inventory!U30="","",Inventory!U30)</f>
        <v/>
      </c>
      <c r="V27" s="779" t="str">
        <f>IF(Inventory!V30="","",Inventory!V30)</f>
        <v/>
      </c>
      <c r="W27" s="866"/>
    </row>
    <row r="28" spans="2:23" s="618" customFormat="1" ht="21.95" customHeight="1" x14ac:dyDescent="0.25">
      <c r="B28" s="432">
        <v>22</v>
      </c>
      <c r="C28" s="499" t="str">
        <f>IF(Inventory!C31="","",Inventory!C31)</f>
        <v/>
      </c>
      <c r="D28" s="751" t="str">
        <f>IF(Inventory!D31="","",Inventory!D31)</f>
        <v/>
      </c>
      <c r="E28" s="541" t="str">
        <f>IF(Inventory!E31="","",Inventory!E31)</f>
        <v/>
      </c>
      <c r="F28" s="785" t="str">
        <f>IF(Inventory!F31="","",Inventory!F31)</f>
        <v/>
      </c>
      <c r="G28" s="728" t="str">
        <f>IF(Inventory!G31="","",Inventory!G31)</f>
        <v/>
      </c>
      <c r="H28" s="728" t="str">
        <f>IF(Inventory!H31="","",Inventory!H31)</f>
        <v/>
      </c>
      <c r="I28" s="728" t="str">
        <f>IF(Inventory!I31="","",Inventory!I31)</f>
        <v/>
      </c>
      <c r="J28" s="728" t="str">
        <f>IF(Inventory!J31="","",Inventory!J31)</f>
        <v/>
      </c>
      <c r="K28" s="728" t="str">
        <f>IF(Inventory!K31="","",Inventory!K31)</f>
        <v/>
      </c>
      <c r="L28" s="728" t="str">
        <f>IF(Inventory!L31="","",Inventory!L31)</f>
        <v/>
      </c>
      <c r="M28" s="764" t="str">
        <f>IF(Inventory!M31="","",Inventory!M31)</f>
        <v/>
      </c>
      <c r="N28" s="728" t="str">
        <f>IF(Inventory!N31="","",Inventory!N31)</f>
        <v/>
      </c>
      <c r="O28" s="764" t="str">
        <f>IF(Inventory!O31="","",Inventory!O31)</f>
        <v/>
      </c>
      <c r="P28" s="728" t="str">
        <f>IF(Inventory!P31="","",Inventory!P31)</f>
        <v/>
      </c>
      <c r="Q28" s="520" t="str">
        <f>IF(Inventory!Q31="","",Inventory!Q31)</f>
        <v/>
      </c>
      <c r="R28" s="778" t="str">
        <f>IF(Inventory!R31="","",Inventory!R31)</f>
        <v/>
      </c>
      <c r="S28" s="778" t="str">
        <f>IF(Inventory!S31="","",Inventory!S31)</f>
        <v/>
      </c>
      <c r="T28" s="767" t="str">
        <f>IF(Inventory!T31="","",Inventory!T31)</f>
        <v/>
      </c>
      <c r="U28" s="778" t="str">
        <f>IF(Inventory!U31="","",Inventory!U31)</f>
        <v/>
      </c>
      <c r="V28" s="751" t="str">
        <f>IF(Inventory!V31="","",Inventory!V31)</f>
        <v/>
      </c>
      <c r="W28" s="871"/>
    </row>
    <row r="29" spans="2:23" s="618" customFormat="1" ht="21.95" customHeight="1" x14ac:dyDescent="0.25">
      <c r="B29" s="431">
        <v>23</v>
      </c>
      <c r="C29" s="501" t="str">
        <f>IF(Inventory!C32="","",Inventory!C32)</f>
        <v/>
      </c>
      <c r="D29" s="502" t="str">
        <f>IF(Inventory!D32="","",Inventory!D32)</f>
        <v/>
      </c>
      <c r="E29" s="546" t="str">
        <f>IF(Inventory!E32="","",Inventory!E32)</f>
        <v/>
      </c>
      <c r="F29" s="547" t="str">
        <f>IF(Inventory!F32="","",Inventory!F32)</f>
        <v/>
      </c>
      <c r="G29" s="729" t="str">
        <f>IF(Inventory!G32="","",Inventory!G32)</f>
        <v/>
      </c>
      <c r="H29" s="729" t="str">
        <f>IF(Inventory!H32="","",Inventory!H32)</f>
        <v/>
      </c>
      <c r="I29" s="729" t="str">
        <f>IF(Inventory!I32="","",Inventory!I32)</f>
        <v/>
      </c>
      <c r="J29" s="729" t="str">
        <f>IF(Inventory!J32="","",Inventory!J32)</f>
        <v/>
      </c>
      <c r="K29" s="729" t="str">
        <f>IF(Inventory!K32="","",Inventory!K32)</f>
        <v/>
      </c>
      <c r="L29" s="729" t="str">
        <f>IF(Inventory!L32="","",Inventory!L32)</f>
        <v/>
      </c>
      <c r="M29" s="765" t="str">
        <f>IF(Inventory!M32="","",Inventory!M32)</f>
        <v/>
      </c>
      <c r="N29" s="758" t="str">
        <f>IF(Inventory!N32="","",Inventory!N32)</f>
        <v/>
      </c>
      <c r="O29" s="765" t="str">
        <f>IF(Inventory!O32="","",Inventory!O32)</f>
        <v/>
      </c>
      <c r="P29" s="758" t="str">
        <f>IF(Inventory!P32="","",Inventory!P32)</f>
        <v/>
      </c>
      <c r="Q29" s="521" t="str">
        <f>IF(Inventory!Q32="","",Inventory!Q32)</f>
        <v/>
      </c>
      <c r="R29" s="775" t="str">
        <f>IF(Inventory!R32="","",Inventory!R32)</f>
        <v/>
      </c>
      <c r="S29" s="775" t="str">
        <f>IF(Inventory!S32="","",Inventory!S32)</f>
        <v/>
      </c>
      <c r="T29" s="729" t="str">
        <f>IF(Inventory!T32="","",Inventory!T32)</f>
        <v/>
      </c>
      <c r="U29" s="775" t="str">
        <f>IF(Inventory!U32="","",Inventory!U32)</f>
        <v/>
      </c>
      <c r="V29" s="779" t="str">
        <f>IF(Inventory!V32="","",Inventory!V32)</f>
        <v/>
      </c>
      <c r="W29" s="866"/>
    </row>
    <row r="30" spans="2:23" s="618" customFormat="1" ht="21.95" customHeight="1" x14ac:dyDescent="0.25">
      <c r="B30" s="432">
        <v>24</v>
      </c>
      <c r="C30" s="499" t="str">
        <f>IF(Inventory!C33="","",Inventory!C33)</f>
        <v/>
      </c>
      <c r="D30" s="751" t="str">
        <f>IF(Inventory!D33="","",Inventory!D33)</f>
        <v/>
      </c>
      <c r="E30" s="541" t="str">
        <f>IF(Inventory!E33="","",Inventory!E33)</f>
        <v/>
      </c>
      <c r="F30" s="785" t="str">
        <f>IF(Inventory!F33="","",Inventory!F33)</f>
        <v/>
      </c>
      <c r="G30" s="728" t="str">
        <f>IF(Inventory!G33="","",Inventory!G33)</f>
        <v/>
      </c>
      <c r="H30" s="728" t="str">
        <f>IF(Inventory!H33="","",Inventory!H33)</f>
        <v/>
      </c>
      <c r="I30" s="728" t="str">
        <f>IF(Inventory!I33="","",Inventory!I33)</f>
        <v/>
      </c>
      <c r="J30" s="728" t="str">
        <f>IF(Inventory!J33="","",Inventory!J33)</f>
        <v/>
      </c>
      <c r="K30" s="728" t="str">
        <f>IF(Inventory!K33="","",Inventory!K33)</f>
        <v/>
      </c>
      <c r="L30" s="728" t="str">
        <f>IF(Inventory!L33="","",Inventory!L33)</f>
        <v/>
      </c>
      <c r="M30" s="764" t="str">
        <f>IF(Inventory!M33="","",Inventory!M33)</f>
        <v/>
      </c>
      <c r="N30" s="728" t="str">
        <f>IF(Inventory!N33="","",Inventory!N33)</f>
        <v/>
      </c>
      <c r="O30" s="764" t="str">
        <f>IF(Inventory!O33="","",Inventory!O33)</f>
        <v/>
      </c>
      <c r="P30" s="728" t="str">
        <f>IF(Inventory!P33="","",Inventory!P33)</f>
        <v/>
      </c>
      <c r="Q30" s="520" t="str">
        <f>IF(Inventory!Q33="","",Inventory!Q33)</f>
        <v/>
      </c>
      <c r="R30" s="778" t="str">
        <f>IF(Inventory!R33="","",Inventory!R33)</f>
        <v/>
      </c>
      <c r="S30" s="778" t="str">
        <f>IF(Inventory!S33="","",Inventory!S33)</f>
        <v/>
      </c>
      <c r="T30" s="767" t="str">
        <f>IF(Inventory!T33="","",Inventory!T33)</f>
        <v/>
      </c>
      <c r="U30" s="778" t="str">
        <f>IF(Inventory!U33="","",Inventory!U33)</f>
        <v/>
      </c>
      <c r="V30" s="751" t="str">
        <f>IF(Inventory!V33="","",Inventory!V33)</f>
        <v/>
      </c>
      <c r="W30" s="871"/>
    </row>
    <row r="31" spans="2:23" s="618" customFormat="1" ht="21.95" customHeight="1" x14ac:dyDescent="0.25">
      <c r="B31" s="431">
        <v>25</v>
      </c>
      <c r="C31" s="501" t="str">
        <f>IF(Inventory!C34="","",Inventory!C34)</f>
        <v/>
      </c>
      <c r="D31" s="502" t="str">
        <f>IF(Inventory!D34="","",Inventory!D34)</f>
        <v/>
      </c>
      <c r="E31" s="546" t="str">
        <f>IF(Inventory!E34="","",Inventory!E34)</f>
        <v/>
      </c>
      <c r="F31" s="547" t="str">
        <f>IF(Inventory!F34="","",Inventory!F34)</f>
        <v/>
      </c>
      <c r="G31" s="729" t="str">
        <f>IF(Inventory!G34="","",Inventory!G34)</f>
        <v/>
      </c>
      <c r="H31" s="729" t="str">
        <f>IF(Inventory!H34="","",Inventory!H34)</f>
        <v/>
      </c>
      <c r="I31" s="729" t="str">
        <f>IF(Inventory!I34="","",Inventory!I34)</f>
        <v/>
      </c>
      <c r="J31" s="729" t="str">
        <f>IF(Inventory!J34="","",Inventory!J34)</f>
        <v/>
      </c>
      <c r="K31" s="729" t="str">
        <f>IF(Inventory!K34="","",Inventory!K34)</f>
        <v/>
      </c>
      <c r="L31" s="729" t="str">
        <f>IF(Inventory!L34="","",Inventory!L34)</f>
        <v/>
      </c>
      <c r="M31" s="765" t="str">
        <f>IF(Inventory!M34="","",Inventory!M34)</f>
        <v/>
      </c>
      <c r="N31" s="758" t="str">
        <f>IF(Inventory!N34="","",Inventory!N34)</f>
        <v/>
      </c>
      <c r="O31" s="765" t="str">
        <f>IF(Inventory!O34="","",Inventory!O34)</f>
        <v/>
      </c>
      <c r="P31" s="758" t="str">
        <f>IF(Inventory!P34="","",Inventory!P34)</f>
        <v/>
      </c>
      <c r="Q31" s="521" t="str">
        <f>IF(Inventory!Q34="","",Inventory!Q34)</f>
        <v/>
      </c>
      <c r="R31" s="775" t="str">
        <f>IF(Inventory!R34="","",Inventory!R34)</f>
        <v/>
      </c>
      <c r="S31" s="775" t="str">
        <f>IF(Inventory!S34="","",Inventory!S34)</f>
        <v/>
      </c>
      <c r="T31" s="729" t="str">
        <f>IF(Inventory!T34="","",Inventory!T34)</f>
        <v/>
      </c>
      <c r="U31" s="775" t="str">
        <f>IF(Inventory!U34="","",Inventory!U34)</f>
        <v/>
      </c>
      <c r="V31" s="779" t="str">
        <f>IF(Inventory!V34="","",Inventory!V34)</f>
        <v/>
      </c>
      <c r="W31" s="866"/>
    </row>
    <row r="32" spans="2:23" s="618" customFormat="1" ht="21.95" customHeight="1" x14ac:dyDescent="0.25">
      <c r="B32" s="432">
        <v>26</v>
      </c>
      <c r="C32" s="499" t="str">
        <f>IF(Inventory!C35="","",Inventory!C35)</f>
        <v/>
      </c>
      <c r="D32" s="751" t="str">
        <f>IF(Inventory!D35="","",Inventory!D35)</f>
        <v/>
      </c>
      <c r="E32" s="541" t="str">
        <f>IF(Inventory!E35="","",Inventory!E35)</f>
        <v/>
      </c>
      <c r="F32" s="785" t="str">
        <f>IF(Inventory!F35="","",Inventory!F35)</f>
        <v/>
      </c>
      <c r="G32" s="728" t="str">
        <f>IF(Inventory!G35="","",Inventory!G35)</f>
        <v/>
      </c>
      <c r="H32" s="728" t="str">
        <f>IF(Inventory!H35="","",Inventory!H35)</f>
        <v/>
      </c>
      <c r="I32" s="728" t="str">
        <f>IF(Inventory!I35="","",Inventory!I35)</f>
        <v/>
      </c>
      <c r="J32" s="728" t="str">
        <f>IF(Inventory!J35="","",Inventory!J35)</f>
        <v/>
      </c>
      <c r="K32" s="728" t="str">
        <f>IF(Inventory!K35="","",Inventory!K35)</f>
        <v/>
      </c>
      <c r="L32" s="728" t="str">
        <f>IF(Inventory!L35="","",Inventory!L35)</f>
        <v/>
      </c>
      <c r="M32" s="764" t="str">
        <f>IF(Inventory!M35="","",Inventory!M35)</f>
        <v/>
      </c>
      <c r="N32" s="728" t="str">
        <f>IF(Inventory!N35="","",Inventory!N35)</f>
        <v/>
      </c>
      <c r="O32" s="764" t="str">
        <f>IF(Inventory!O35="","",Inventory!O35)</f>
        <v/>
      </c>
      <c r="P32" s="728" t="str">
        <f>IF(Inventory!P35="","",Inventory!P35)</f>
        <v/>
      </c>
      <c r="Q32" s="520" t="str">
        <f>IF(Inventory!Q35="","",Inventory!Q35)</f>
        <v/>
      </c>
      <c r="R32" s="778" t="str">
        <f>IF(Inventory!R35="","",Inventory!R35)</f>
        <v/>
      </c>
      <c r="S32" s="778" t="str">
        <f>IF(Inventory!S35="","",Inventory!S35)</f>
        <v/>
      </c>
      <c r="T32" s="767" t="str">
        <f>IF(Inventory!T35="","",Inventory!T35)</f>
        <v/>
      </c>
      <c r="U32" s="778" t="str">
        <f>IF(Inventory!U35="","",Inventory!U35)</f>
        <v/>
      </c>
      <c r="V32" s="751" t="str">
        <f>IF(Inventory!V35="","",Inventory!V35)</f>
        <v/>
      </c>
      <c r="W32" s="871"/>
    </row>
    <row r="33" spans="2:23" s="618" customFormat="1" ht="21.95" customHeight="1" x14ac:dyDescent="0.25">
      <c r="B33" s="431">
        <v>27</v>
      </c>
      <c r="C33" s="501" t="str">
        <f>IF(Inventory!C36="","",Inventory!C36)</f>
        <v/>
      </c>
      <c r="D33" s="502" t="str">
        <f>IF(Inventory!D36="","",Inventory!D36)</f>
        <v/>
      </c>
      <c r="E33" s="546" t="str">
        <f>IF(Inventory!E36="","",Inventory!E36)</f>
        <v/>
      </c>
      <c r="F33" s="547" t="str">
        <f>IF(Inventory!F36="","",Inventory!F36)</f>
        <v/>
      </c>
      <c r="G33" s="729" t="str">
        <f>IF(Inventory!G36="","",Inventory!G36)</f>
        <v/>
      </c>
      <c r="H33" s="729" t="str">
        <f>IF(Inventory!H36="","",Inventory!H36)</f>
        <v/>
      </c>
      <c r="I33" s="729" t="str">
        <f>IF(Inventory!I36="","",Inventory!I36)</f>
        <v/>
      </c>
      <c r="J33" s="729" t="str">
        <f>IF(Inventory!J36="","",Inventory!J36)</f>
        <v/>
      </c>
      <c r="K33" s="729" t="str">
        <f>IF(Inventory!K36="","",Inventory!K36)</f>
        <v/>
      </c>
      <c r="L33" s="729" t="str">
        <f>IF(Inventory!L36="","",Inventory!L36)</f>
        <v/>
      </c>
      <c r="M33" s="765" t="str">
        <f>IF(Inventory!M36="","",Inventory!M36)</f>
        <v/>
      </c>
      <c r="N33" s="758" t="str">
        <f>IF(Inventory!N36="","",Inventory!N36)</f>
        <v/>
      </c>
      <c r="O33" s="765" t="str">
        <f>IF(Inventory!O36="","",Inventory!O36)</f>
        <v/>
      </c>
      <c r="P33" s="758" t="str">
        <f>IF(Inventory!P36="","",Inventory!P36)</f>
        <v/>
      </c>
      <c r="Q33" s="521" t="str">
        <f>IF(Inventory!Q36="","",Inventory!Q36)</f>
        <v/>
      </c>
      <c r="R33" s="775" t="str">
        <f>IF(Inventory!R36="","",Inventory!R36)</f>
        <v/>
      </c>
      <c r="S33" s="775" t="str">
        <f>IF(Inventory!S36="","",Inventory!S36)</f>
        <v/>
      </c>
      <c r="T33" s="729" t="str">
        <f>IF(Inventory!T36="","",Inventory!T36)</f>
        <v/>
      </c>
      <c r="U33" s="775" t="str">
        <f>IF(Inventory!U36="","",Inventory!U36)</f>
        <v/>
      </c>
      <c r="V33" s="779" t="str">
        <f>IF(Inventory!V36="","",Inventory!V36)</f>
        <v/>
      </c>
      <c r="W33" s="866"/>
    </row>
    <row r="34" spans="2:23" s="618" customFormat="1" ht="21.95" customHeight="1" x14ac:dyDescent="0.25">
      <c r="B34" s="432">
        <v>28</v>
      </c>
      <c r="C34" s="499" t="str">
        <f>IF(Inventory!C37="","",Inventory!C37)</f>
        <v/>
      </c>
      <c r="D34" s="751" t="str">
        <f>IF(Inventory!D37="","",Inventory!D37)</f>
        <v/>
      </c>
      <c r="E34" s="541" t="str">
        <f>IF(Inventory!E37="","",Inventory!E37)</f>
        <v/>
      </c>
      <c r="F34" s="785" t="str">
        <f>IF(Inventory!F37="","",Inventory!F37)</f>
        <v/>
      </c>
      <c r="G34" s="728" t="str">
        <f>IF(Inventory!G37="","",Inventory!G37)</f>
        <v/>
      </c>
      <c r="H34" s="728" t="str">
        <f>IF(Inventory!H37="","",Inventory!H37)</f>
        <v/>
      </c>
      <c r="I34" s="728" t="str">
        <f>IF(Inventory!I37="","",Inventory!I37)</f>
        <v/>
      </c>
      <c r="J34" s="728" t="str">
        <f>IF(Inventory!J37="","",Inventory!J37)</f>
        <v/>
      </c>
      <c r="K34" s="728" t="str">
        <f>IF(Inventory!K37="","",Inventory!K37)</f>
        <v/>
      </c>
      <c r="L34" s="728" t="str">
        <f>IF(Inventory!L37="","",Inventory!L37)</f>
        <v/>
      </c>
      <c r="M34" s="764" t="str">
        <f>IF(Inventory!M37="","",Inventory!M37)</f>
        <v/>
      </c>
      <c r="N34" s="728" t="str">
        <f>IF(Inventory!N37="","",Inventory!N37)</f>
        <v/>
      </c>
      <c r="O34" s="764" t="str">
        <f>IF(Inventory!O37="","",Inventory!O37)</f>
        <v/>
      </c>
      <c r="P34" s="728" t="str">
        <f>IF(Inventory!P37="","",Inventory!P37)</f>
        <v/>
      </c>
      <c r="Q34" s="520" t="str">
        <f>IF(Inventory!Q37="","",Inventory!Q37)</f>
        <v/>
      </c>
      <c r="R34" s="778" t="str">
        <f>IF(Inventory!R37="","",Inventory!R37)</f>
        <v/>
      </c>
      <c r="S34" s="778" t="str">
        <f>IF(Inventory!S37="","",Inventory!S37)</f>
        <v/>
      </c>
      <c r="T34" s="767" t="str">
        <f>IF(Inventory!T37="","",Inventory!T37)</f>
        <v/>
      </c>
      <c r="U34" s="778" t="str">
        <f>IF(Inventory!U37="","",Inventory!U37)</f>
        <v/>
      </c>
      <c r="V34" s="751" t="str">
        <f>IF(Inventory!V37="","",Inventory!V37)</f>
        <v/>
      </c>
      <c r="W34" s="871"/>
    </row>
    <row r="35" spans="2:23" s="618" customFormat="1" ht="21.95" customHeight="1" x14ac:dyDescent="0.25">
      <c r="B35" s="431">
        <v>29</v>
      </c>
      <c r="C35" s="501" t="str">
        <f>IF(Inventory!C38="","",Inventory!C38)</f>
        <v/>
      </c>
      <c r="D35" s="502" t="str">
        <f>IF(Inventory!D38="","",Inventory!D38)</f>
        <v/>
      </c>
      <c r="E35" s="546" t="str">
        <f>IF(Inventory!E38="","",Inventory!E38)</f>
        <v/>
      </c>
      <c r="F35" s="547" t="str">
        <f>IF(Inventory!F38="","",Inventory!F38)</f>
        <v/>
      </c>
      <c r="G35" s="729" t="str">
        <f>IF(Inventory!G38="","",Inventory!G38)</f>
        <v/>
      </c>
      <c r="H35" s="729" t="str">
        <f>IF(Inventory!H38="","",Inventory!H38)</f>
        <v/>
      </c>
      <c r="I35" s="729" t="str">
        <f>IF(Inventory!I38="","",Inventory!I38)</f>
        <v/>
      </c>
      <c r="J35" s="729" t="str">
        <f>IF(Inventory!J38="","",Inventory!J38)</f>
        <v/>
      </c>
      <c r="K35" s="729" t="str">
        <f>IF(Inventory!K38="","",Inventory!K38)</f>
        <v/>
      </c>
      <c r="L35" s="729" t="str">
        <f>IF(Inventory!L38="","",Inventory!L38)</f>
        <v/>
      </c>
      <c r="M35" s="765" t="str">
        <f>IF(Inventory!M38="","",Inventory!M38)</f>
        <v/>
      </c>
      <c r="N35" s="758" t="str">
        <f>IF(Inventory!N38="","",Inventory!N38)</f>
        <v/>
      </c>
      <c r="O35" s="765" t="str">
        <f>IF(Inventory!O38="","",Inventory!O38)</f>
        <v/>
      </c>
      <c r="P35" s="758" t="str">
        <f>IF(Inventory!P38="","",Inventory!P38)</f>
        <v/>
      </c>
      <c r="Q35" s="521" t="str">
        <f>IF(Inventory!Q38="","",Inventory!Q38)</f>
        <v/>
      </c>
      <c r="R35" s="775" t="str">
        <f>IF(Inventory!R38="","",Inventory!R38)</f>
        <v/>
      </c>
      <c r="S35" s="775" t="str">
        <f>IF(Inventory!S38="","",Inventory!S38)</f>
        <v/>
      </c>
      <c r="T35" s="729" t="str">
        <f>IF(Inventory!T38="","",Inventory!T38)</f>
        <v/>
      </c>
      <c r="U35" s="775" t="str">
        <f>IF(Inventory!U38="","",Inventory!U38)</f>
        <v/>
      </c>
      <c r="V35" s="779" t="str">
        <f>IF(Inventory!V38="","",Inventory!V38)</f>
        <v/>
      </c>
      <c r="W35" s="866"/>
    </row>
    <row r="36" spans="2:23" s="618" customFormat="1" ht="21.95" customHeight="1" x14ac:dyDescent="0.25">
      <c r="B36" s="432">
        <v>30</v>
      </c>
      <c r="C36" s="499" t="str">
        <f>IF(Inventory!C39="","",Inventory!C39)</f>
        <v/>
      </c>
      <c r="D36" s="751" t="str">
        <f>IF(Inventory!D39="","",Inventory!D39)</f>
        <v/>
      </c>
      <c r="E36" s="541" t="str">
        <f>IF(Inventory!E39="","",Inventory!E39)</f>
        <v/>
      </c>
      <c r="F36" s="785" t="str">
        <f>IF(Inventory!F39="","",Inventory!F39)</f>
        <v/>
      </c>
      <c r="G36" s="728" t="str">
        <f>IF(Inventory!G39="","",Inventory!G39)</f>
        <v/>
      </c>
      <c r="H36" s="728" t="str">
        <f>IF(Inventory!H39="","",Inventory!H39)</f>
        <v/>
      </c>
      <c r="I36" s="728" t="str">
        <f>IF(Inventory!I39="","",Inventory!I39)</f>
        <v/>
      </c>
      <c r="J36" s="728" t="str">
        <f>IF(Inventory!J39="","",Inventory!J39)</f>
        <v/>
      </c>
      <c r="K36" s="728" t="str">
        <f>IF(Inventory!K39="","",Inventory!K39)</f>
        <v/>
      </c>
      <c r="L36" s="728" t="str">
        <f>IF(Inventory!L39="","",Inventory!L39)</f>
        <v/>
      </c>
      <c r="M36" s="764" t="str">
        <f>IF(Inventory!M39="","",Inventory!M39)</f>
        <v/>
      </c>
      <c r="N36" s="728" t="str">
        <f>IF(Inventory!N39="","",Inventory!N39)</f>
        <v/>
      </c>
      <c r="O36" s="764" t="str">
        <f>IF(Inventory!O39="","",Inventory!O39)</f>
        <v/>
      </c>
      <c r="P36" s="728" t="str">
        <f>IF(Inventory!P39="","",Inventory!P39)</f>
        <v/>
      </c>
      <c r="Q36" s="520" t="str">
        <f>IF(Inventory!Q39="","",Inventory!Q39)</f>
        <v/>
      </c>
      <c r="R36" s="778" t="str">
        <f>IF(Inventory!R39="","",Inventory!R39)</f>
        <v/>
      </c>
      <c r="S36" s="778" t="str">
        <f>IF(Inventory!S39="","",Inventory!S39)</f>
        <v/>
      </c>
      <c r="T36" s="767" t="str">
        <f>IF(Inventory!T39="","",Inventory!T39)</f>
        <v/>
      </c>
      <c r="U36" s="778" t="str">
        <f>IF(Inventory!U39="","",Inventory!U39)</f>
        <v/>
      </c>
      <c r="V36" s="751" t="str">
        <f>IF(Inventory!V39="","",Inventory!V39)</f>
        <v/>
      </c>
      <c r="W36" s="871"/>
    </row>
    <row r="37" spans="2:23" s="618" customFormat="1" ht="21.95" customHeight="1" x14ac:dyDescent="0.25">
      <c r="B37" s="431">
        <v>31</v>
      </c>
      <c r="C37" s="501" t="str">
        <f>IF(Inventory!C40="","",Inventory!C40)</f>
        <v/>
      </c>
      <c r="D37" s="502" t="str">
        <f>IF(Inventory!D40="","",Inventory!D40)</f>
        <v/>
      </c>
      <c r="E37" s="546" t="str">
        <f>IF(Inventory!E40="","",Inventory!E40)</f>
        <v/>
      </c>
      <c r="F37" s="547" t="str">
        <f>IF(Inventory!F40="","",Inventory!F40)</f>
        <v/>
      </c>
      <c r="G37" s="729" t="str">
        <f>IF(Inventory!G40="","",Inventory!G40)</f>
        <v/>
      </c>
      <c r="H37" s="729" t="str">
        <f>IF(Inventory!H40="","",Inventory!H40)</f>
        <v/>
      </c>
      <c r="I37" s="729" t="str">
        <f>IF(Inventory!I40="","",Inventory!I40)</f>
        <v/>
      </c>
      <c r="J37" s="729" t="str">
        <f>IF(Inventory!J40="","",Inventory!J40)</f>
        <v/>
      </c>
      <c r="K37" s="729" t="str">
        <f>IF(Inventory!K40="","",Inventory!K40)</f>
        <v/>
      </c>
      <c r="L37" s="729" t="str">
        <f>IF(Inventory!L40="","",Inventory!L40)</f>
        <v/>
      </c>
      <c r="M37" s="765" t="str">
        <f>IF(Inventory!M40="","",Inventory!M40)</f>
        <v/>
      </c>
      <c r="N37" s="758" t="str">
        <f>IF(Inventory!N40="","",Inventory!N40)</f>
        <v/>
      </c>
      <c r="O37" s="765" t="str">
        <f>IF(Inventory!O40="","",Inventory!O40)</f>
        <v/>
      </c>
      <c r="P37" s="758" t="str">
        <f>IF(Inventory!P40="","",Inventory!P40)</f>
        <v/>
      </c>
      <c r="Q37" s="521" t="str">
        <f>IF(Inventory!Q40="","",Inventory!Q40)</f>
        <v/>
      </c>
      <c r="R37" s="775" t="str">
        <f>IF(Inventory!R40="","",Inventory!R40)</f>
        <v/>
      </c>
      <c r="S37" s="775" t="str">
        <f>IF(Inventory!S40="","",Inventory!S40)</f>
        <v/>
      </c>
      <c r="T37" s="729" t="str">
        <f>IF(Inventory!T40="","",Inventory!T40)</f>
        <v/>
      </c>
      <c r="U37" s="775" t="str">
        <f>IF(Inventory!U40="","",Inventory!U40)</f>
        <v/>
      </c>
      <c r="V37" s="779" t="str">
        <f>IF(Inventory!V40="","",Inventory!V40)</f>
        <v/>
      </c>
      <c r="W37" s="866"/>
    </row>
    <row r="38" spans="2:23" s="618" customFormat="1" ht="21.95" customHeight="1" x14ac:dyDescent="0.25">
      <c r="B38" s="432">
        <v>32</v>
      </c>
      <c r="C38" s="499" t="str">
        <f>IF(Inventory!C41="","",Inventory!C41)</f>
        <v/>
      </c>
      <c r="D38" s="751" t="str">
        <f>IF(Inventory!D41="","",Inventory!D41)</f>
        <v/>
      </c>
      <c r="E38" s="541" t="str">
        <f>IF(Inventory!E41="","",Inventory!E41)</f>
        <v/>
      </c>
      <c r="F38" s="785" t="str">
        <f>IF(Inventory!F41="","",Inventory!F41)</f>
        <v/>
      </c>
      <c r="G38" s="728" t="str">
        <f>IF(Inventory!G41="","",Inventory!G41)</f>
        <v/>
      </c>
      <c r="H38" s="728" t="str">
        <f>IF(Inventory!H41="","",Inventory!H41)</f>
        <v/>
      </c>
      <c r="I38" s="728" t="str">
        <f>IF(Inventory!I41="","",Inventory!I41)</f>
        <v/>
      </c>
      <c r="J38" s="728" t="str">
        <f>IF(Inventory!J41="","",Inventory!J41)</f>
        <v/>
      </c>
      <c r="K38" s="728" t="str">
        <f>IF(Inventory!K41="","",Inventory!K41)</f>
        <v/>
      </c>
      <c r="L38" s="728" t="str">
        <f>IF(Inventory!L41="","",Inventory!L41)</f>
        <v/>
      </c>
      <c r="M38" s="764" t="str">
        <f>IF(Inventory!M41="","",Inventory!M41)</f>
        <v/>
      </c>
      <c r="N38" s="728" t="str">
        <f>IF(Inventory!N41="","",Inventory!N41)</f>
        <v/>
      </c>
      <c r="O38" s="764" t="str">
        <f>IF(Inventory!O41="","",Inventory!O41)</f>
        <v/>
      </c>
      <c r="P38" s="728" t="str">
        <f>IF(Inventory!P41="","",Inventory!P41)</f>
        <v/>
      </c>
      <c r="Q38" s="520" t="str">
        <f>IF(Inventory!Q41="","",Inventory!Q41)</f>
        <v/>
      </c>
      <c r="R38" s="778" t="str">
        <f>IF(Inventory!R41="","",Inventory!R41)</f>
        <v/>
      </c>
      <c r="S38" s="778" t="str">
        <f>IF(Inventory!S41="","",Inventory!S41)</f>
        <v/>
      </c>
      <c r="T38" s="767" t="str">
        <f>IF(Inventory!T41="","",Inventory!T41)</f>
        <v/>
      </c>
      <c r="U38" s="778" t="str">
        <f>IF(Inventory!U41="","",Inventory!U41)</f>
        <v/>
      </c>
      <c r="V38" s="751" t="str">
        <f>IF(Inventory!V41="","",Inventory!V41)</f>
        <v/>
      </c>
      <c r="W38" s="871"/>
    </row>
    <row r="39" spans="2:23" s="618" customFormat="1" ht="21.95" customHeight="1" x14ac:dyDescent="0.25">
      <c r="B39" s="431">
        <v>33</v>
      </c>
      <c r="C39" s="501" t="str">
        <f>IF(Inventory!C42="","",Inventory!C42)</f>
        <v/>
      </c>
      <c r="D39" s="502" t="str">
        <f>IF(Inventory!D42="","",Inventory!D42)</f>
        <v/>
      </c>
      <c r="E39" s="546" t="str">
        <f>IF(Inventory!E42="","",Inventory!E42)</f>
        <v/>
      </c>
      <c r="F39" s="547" t="str">
        <f>IF(Inventory!F42="","",Inventory!F42)</f>
        <v/>
      </c>
      <c r="G39" s="729" t="str">
        <f>IF(Inventory!G42="","",Inventory!G42)</f>
        <v/>
      </c>
      <c r="H39" s="729" t="str">
        <f>IF(Inventory!H42="","",Inventory!H42)</f>
        <v/>
      </c>
      <c r="I39" s="729" t="str">
        <f>IF(Inventory!I42="","",Inventory!I42)</f>
        <v/>
      </c>
      <c r="J39" s="729" t="str">
        <f>IF(Inventory!J42="","",Inventory!J42)</f>
        <v/>
      </c>
      <c r="K39" s="729" t="str">
        <f>IF(Inventory!K42="","",Inventory!K42)</f>
        <v/>
      </c>
      <c r="L39" s="729" t="str">
        <f>IF(Inventory!L42="","",Inventory!L42)</f>
        <v/>
      </c>
      <c r="M39" s="765" t="str">
        <f>IF(Inventory!M42="","",Inventory!M42)</f>
        <v/>
      </c>
      <c r="N39" s="758" t="str">
        <f>IF(Inventory!N42="","",Inventory!N42)</f>
        <v/>
      </c>
      <c r="O39" s="765" t="str">
        <f>IF(Inventory!O42="","",Inventory!O42)</f>
        <v/>
      </c>
      <c r="P39" s="758" t="str">
        <f>IF(Inventory!P42="","",Inventory!P42)</f>
        <v/>
      </c>
      <c r="Q39" s="521" t="str">
        <f>IF(Inventory!Q42="","",Inventory!Q42)</f>
        <v/>
      </c>
      <c r="R39" s="775" t="str">
        <f>IF(Inventory!R42="","",Inventory!R42)</f>
        <v/>
      </c>
      <c r="S39" s="775" t="str">
        <f>IF(Inventory!S42="","",Inventory!S42)</f>
        <v/>
      </c>
      <c r="T39" s="729" t="str">
        <f>IF(Inventory!T42="","",Inventory!T42)</f>
        <v/>
      </c>
      <c r="U39" s="775" t="str">
        <f>IF(Inventory!U42="","",Inventory!U42)</f>
        <v/>
      </c>
      <c r="V39" s="779" t="str">
        <f>IF(Inventory!V42="","",Inventory!V42)</f>
        <v/>
      </c>
      <c r="W39" s="866"/>
    </row>
    <row r="40" spans="2:23" s="618" customFormat="1" ht="21.95" customHeight="1" x14ac:dyDescent="0.25">
      <c r="B40" s="432">
        <v>34</v>
      </c>
      <c r="C40" s="499" t="str">
        <f>IF(Inventory!C43="","",Inventory!C43)</f>
        <v/>
      </c>
      <c r="D40" s="751" t="str">
        <f>IF(Inventory!D43="","",Inventory!D43)</f>
        <v/>
      </c>
      <c r="E40" s="541" t="str">
        <f>IF(Inventory!E43="","",Inventory!E43)</f>
        <v/>
      </c>
      <c r="F40" s="785" t="str">
        <f>IF(Inventory!F43="","",Inventory!F43)</f>
        <v/>
      </c>
      <c r="G40" s="728" t="str">
        <f>IF(Inventory!G43="","",Inventory!G43)</f>
        <v/>
      </c>
      <c r="H40" s="728" t="str">
        <f>IF(Inventory!H43="","",Inventory!H43)</f>
        <v/>
      </c>
      <c r="I40" s="728" t="str">
        <f>IF(Inventory!I43="","",Inventory!I43)</f>
        <v/>
      </c>
      <c r="J40" s="728" t="str">
        <f>IF(Inventory!J43="","",Inventory!J43)</f>
        <v/>
      </c>
      <c r="K40" s="728" t="str">
        <f>IF(Inventory!K43="","",Inventory!K43)</f>
        <v/>
      </c>
      <c r="L40" s="728" t="str">
        <f>IF(Inventory!L43="","",Inventory!L43)</f>
        <v/>
      </c>
      <c r="M40" s="764" t="str">
        <f>IF(Inventory!M43="","",Inventory!M43)</f>
        <v/>
      </c>
      <c r="N40" s="728" t="str">
        <f>IF(Inventory!N43="","",Inventory!N43)</f>
        <v/>
      </c>
      <c r="O40" s="764" t="str">
        <f>IF(Inventory!O43="","",Inventory!O43)</f>
        <v/>
      </c>
      <c r="P40" s="728" t="str">
        <f>IF(Inventory!P43="","",Inventory!P43)</f>
        <v/>
      </c>
      <c r="Q40" s="520" t="str">
        <f>IF(Inventory!Q43="","",Inventory!Q43)</f>
        <v/>
      </c>
      <c r="R40" s="778" t="str">
        <f>IF(Inventory!R43="","",Inventory!R43)</f>
        <v/>
      </c>
      <c r="S40" s="778" t="str">
        <f>IF(Inventory!S43="","",Inventory!S43)</f>
        <v/>
      </c>
      <c r="T40" s="767" t="str">
        <f>IF(Inventory!T43="","",Inventory!T43)</f>
        <v/>
      </c>
      <c r="U40" s="778" t="str">
        <f>IF(Inventory!U43="","",Inventory!U43)</f>
        <v/>
      </c>
      <c r="V40" s="751" t="str">
        <f>IF(Inventory!V43="","",Inventory!V43)</f>
        <v/>
      </c>
      <c r="W40" s="871"/>
    </row>
    <row r="41" spans="2:23" s="618" customFormat="1" ht="21.95" customHeight="1" x14ac:dyDescent="0.25">
      <c r="B41" s="431">
        <v>35</v>
      </c>
      <c r="C41" s="501" t="str">
        <f>IF(Inventory!C44="","",Inventory!C44)</f>
        <v/>
      </c>
      <c r="D41" s="502" t="str">
        <f>IF(Inventory!D44="","",Inventory!D44)</f>
        <v/>
      </c>
      <c r="E41" s="546" t="str">
        <f>IF(Inventory!E44="","",Inventory!E44)</f>
        <v/>
      </c>
      <c r="F41" s="547" t="str">
        <f>IF(Inventory!F44="","",Inventory!F44)</f>
        <v/>
      </c>
      <c r="G41" s="729" t="str">
        <f>IF(Inventory!G44="","",Inventory!G44)</f>
        <v/>
      </c>
      <c r="H41" s="729" t="str">
        <f>IF(Inventory!H44="","",Inventory!H44)</f>
        <v/>
      </c>
      <c r="I41" s="729" t="str">
        <f>IF(Inventory!I44="","",Inventory!I44)</f>
        <v/>
      </c>
      <c r="J41" s="729" t="str">
        <f>IF(Inventory!J44="","",Inventory!J44)</f>
        <v/>
      </c>
      <c r="K41" s="729" t="str">
        <f>IF(Inventory!K44="","",Inventory!K44)</f>
        <v/>
      </c>
      <c r="L41" s="729" t="str">
        <f>IF(Inventory!L44="","",Inventory!L44)</f>
        <v/>
      </c>
      <c r="M41" s="765" t="str">
        <f>IF(Inventory!M44="","",Inventory!M44)</f>
        <v/>
      </c>
      <c r="N41" s="758" t="str">
        <f>IF(Inventory!N44="","",Inventory!N44)</f>
        <v/>
      </c>
      <c r="O41" s="765" t="str">
        <f>IF(Inventory!O44="","",Inventory!O44)</f>
        <v/>
      </c>
      <c r="P41" s="758" t="str">
        <f>IF(Inventory!P44="","",Inventory!P44)</f>
        <v/>
      </c>
      <c r="Q41" s="521" t="str">
        <f>IF(Inventory!Q44="","",Inventory!Q44)</f>
        <v/>
      </c>
      <c r="R41" s="775" t="str">
        <f>IF(Inventory!R44="","",Inventory!R44)</f>
        <v/>
      </c>
      <c r="S41" s="775" t="str">
        <f>IF(Inventory!S44="","",Inventory!S44)</f>
        <v/>
      </c>
      <c r="T41" s="729" t="str">
        <f>IF(Inventory!T44="","",Inventory!T44)</f>
        <v/>
      </c>
      <c r="U41" s="775" t="str">
        <f>IF(Inventory!U44="","",Inventory!U44)</f>
        <v/>
      </c>
      <c r="V41" s="779" t="str">
        <f>IF(Inventory!V44="","",Inventory!V44)</f>
        <v/>
      </c>
      <c r="W41" s="866"/>
    </row>
    <row r="42" spans="2:23" s="618" customFormat="1" ht="21.95" customHeight="1" x14ac:dyDescent="0.25">
      <c r="B42" s="432">
        <v>36</v>
      </c>
      <c r="C42" s="499" t="str">
        <f>IF(Inventory!C45="","",Inventory!C45)</f>
        <v/>
      </c>
      <c r="D42" s="751" t="str">
        <f>IF(Inventory!D45="","",Inventory!D45)</f>
        <v/>
      </c>
      <c r="E42" s="541" t="str">
        <f>IF(Inventory!E45="","",Inventory!E45)</f>
        <v/>
      </c>
      <c r="F42" s="785" t="str">
        <f>IF(Inventory!F45="","",Inventory!F45)</f>
        <v/>
      </c>
      <c r="G42" s="728" t="str">
        <f>IF(Inventory!G45="","",Inventory!G45)</f>
        <v/>
      </c>
      <c r="H42" s="728" t="str">
        <f>IF(Inventory!H45="","",Inventory!H45)</f>
        <v/>
      </c>
      <c r="I42" s="728" t="str">
        <f>IF(Inventory!I45="","",Inventory!I45)</f>
        <v/>
      </c>
      <c r="J42" s="728" t="str">
        <f>IF(Inventory!J45="","",Inventory!J45)</f>
        <v/>
      </c>
      <c r="K42" s="728" t="str">
        <f>IF(Inventory!K45="","",Inventory!K45)</f>
        <v/>
      </c>
      <c r="L42" s="728" t="str">
        <f>IF(Inventory!L45="","",Inventory!L45)</f>
        <v/>
      </c>
      <c r="M42" s="764" t="str">
        <f>IF(Inventory!M45="","",Inventory!M45)</f>
        <v/>
      </c>
      <c r="N42" s="728" t="str">
        <f>IF(Inventory!N45="","",Inventory!N45)</f>
        <v/>
      </c>
      <c r="O42" s="764" t="str">
        <f>IF(Inventory!O45="","",Inventory!O45)</f>
        <v/>
      </c>
      <c r="P42" s="728" t="str">
        <f>IF(Inventory!P45="","",Inventory!P45)</f>
        <v/>
      </c>
      <c r="Q42" s="520" t="str">
        <f>IF(Inventory!Q45="","",Inventory!Q45)</f>
        <v/>
      </c>
      <c r="R42" s="778" t="str">
        <f>IF(Inventory!R45="","",Inventory!R45)</f>
        <v/>
      </c>
      <c r="S42" s="778" t="str">
        <f>IF(Inventory!S45="","",Inventory!S45)</f>
        <v/>
      </c>
      <c r="T42" s="767" t="str">
        <f>IF(Inventory!T45="","",Inventory!T45)</f>
        <v/>
      </c>
      <c r="U42" s="778" t="str">
        <f>IF(Inventory!U45="","",Inventory!U45)</f>
        <v/>
      </c>
      <c r="V42" s="751" t="str">
        <f>IF(Inventory!V45="","",Inventory!V45)</f>
        <v/>
      </c>
      <c r="W42" s="871"/>
    </row>
    <row r="43" spans="2:23" s="618" customFormat="1" ht="21.95" customHeight="1" x14ac:dyDescent="0.25">
      <c r="B43" s="431">
        <v>37</v>
      </c>
      <c r="C43" s="501" t="str">
        <f>IF(Inventory!C46="","",Inventory!C46)</f>
        <v/>
      </c>
      <c r="D43" s="502" t="str">
        <f>IF(Inventory!D46="","",Inventory!D46)</f>
        <v/>
      </c>
      <c r="E43" s="546" t="str">
        <f>IF(Inventory!E46="","",Inventory!E46)</f>
        <v/>
      </c>
      <c r="F43" s="547" t="str">
        <f>IF(Inventory!F46="","",Inventory!F46)</f>
        <v/>
      </c>
      <c r="G43" s="729" t="str">
        <f>IF(Inventory!G46="","",Inventory!G46)</f>
        <v/>
      </c>
      <c r="H43" s="729" t="str">
        <f>IF(Inventory!H46="","",Inventory!H46)</f>
        <v/>
      </c>
      <c r="I43" s="729" t="str">
        <f>IF(Inventory!I46="","",Inventory!I46)</f>
        <v/>
      </c>
      <c r="J43" s="729" t="str">
        <f>IF(Inventory!J46="","",Inventory!J46)</f>
        <v/>
      </c>
      <c r="K43" s="729" t="str">
        <f>IF(Inventory!K46="","",Inventory!K46)</f>
        <v/>
      </c>
      <c r="L43" s="729" t="str">
        <f>IF(Inventory!L46="","",Inventory!L46)</f>
        <v/>
      </c>
      <c r="M43" s="765" t="str">
        <f>IF(Inventory!M46="","",Inventory!M46)</f>
        <v/>
      </c>
      <c r="N43" s="758" t="str">
        <f>IF(Inventory!N46="","",Inventory!N46)</f>
        <v/>
      </c>
      <c r="O43" s="765" t="str">
        <f>IF(Inventory!O46="","",Inventory!O46)</f>
        <v/>
      </c>
      <c r="P43" s="758" t="str">
        <f>IF(Inventory!P46="","",Inventory!P46)</f>
        <v/>
      </c>
      <c r="Q43" s="521" t="str">
        <f>IF(Inventory!Q46="","",Inventory!Q46)</f>
        <v/>
      </c>
      <c r="R43" s="775" t="str">
        <f>IF(Inventory!R46="","",Inventory!R46)</f>
        <v/>
      </c>
      <c r="S43" s="775" t="str">
        <f>IF(Inventory!S46="","",Inventory!S46)</f>
        <v/>
      </c>
      <c r="T43" s="729" t="str">
        <f>IF(Inventory!T46="","",Inventory!T46)</f>
        <v/>
      </c>
      <c r="U43" s="775" t="str">
        <f>IF(Inventory!U46="","",Inventory!U46)</f>
        <v/>
      </c>
      <c r="V43" s="779" t="str">
        <f>IF(Inventory!V46="","",Inventory!V46)</f>
        <v/>
      </c>
      <c r="W43" s="866"/>
    </row>
    <row r="44" spans="2:23" s="618" customFormat="1" ht="21.95" customHeight="1" x14ac:dyDescent="0.25">
      <c r="B44" s="432">
        <v>38</v>
      </c>
      <c r="C44" s="499" t="str">
        <f>IF(Inventory!C47="","",Inventory!C47)</f>
        <v/>
      </c>
      <c r="D44" s="751" t="str">
        <f>IF(Inventory!D47="","",Inventory!D47)</f>
        <v/>
      </c>
      <c r="E44" s="541" t="str">
        <f>IF(Inventory!E47="","",Inventory!E47)</f>
        <v/>
      </c>
      <c r="F44" s="785" t="str">
        <f>IF(Inventory!F47="","",Inventory!F47)</f>
        <v/>
      </c>
      <c r="G44" s="728" t="str">
        <f>IF(Inventory!G47="","",Inventory!G47)</f>
        <v/>
      </c>
      <c r="H44" s="728" t="str">
        <f>IF(Inventory!H47="","",Inventory!H47)</f>
        <v/>
      </c>
      <c r="I44" s="728" t="str">
        <f>IF(Inventory!I47="","",Inventory!I47)</f>
        <v/>
      </c>
      <c r="J44" s="728" t="str">
        <f>IF(Inventory!J47="","",Inventory!J47)</f>
        <v/>
      </c>
      <c r="K44" s="728" t="str">
        <f>IF(Inventory!K47="","",Inventory!K47)</f>
        <v/>
      </c>
      <c r="L44" s="728" t="str">
        <f>IF(Inventory!L47="","",Inventory!L47)</f>
        <v/>
      </c>
      <c r="M44" s="764" t="str">
        <f>IF(Inventory!M47="","",Inventory!M47)</f>
        <v/>
      </c>
      <c r="N44" s="728" t="str">
        <f>IF(Inventory!N47="","",Inventory!N47)</f>
        <v/>
      </c>
      <c r="O44" s="764" t="str">
        <f>IF(Inventory!O47="","",Inventory!O47)</f>
        <v/>
      </c>
      <c r="P44" s="728" t="str">
        <f>IF(Inventory!P47="","",Inventory!P47)</f>
        <v/>
      </c>
      <c r="Q44" s="520" t="str">
        <f>IF(Inventory!Q47="","",Inventory!Q47)</f>
        <v/>
      </c>
      <c r="R44" s="778" t="str">
        <f>IF(Inventory!R47="","",Inventory!R47)</f>
        <v/>
      </c>
      <c r="S44" s="778" t="str">
        <f>IF(Inventory!S47="","",Inventory!S47)</f>
        <v/>
      </c>
      <c r="T44" s="767" t="str">
        <f>IF(Inventory!T47="","",Inventory!T47)</f>
        <v/>
      </c>
      <c r="U44" s="778" t="str">
        <f>IF(Inventory!U47="","",Inventory!U47)</f>
        <v/>
      </c>
      <c r="V44" s="751" t="str">
        <f>IF(Inventory!V47="","",Inventory!V47)</f>
        <v/>
      </c>
      <c r="W44" s="871"/>
    </row>
    <row r="45" spans="2:23" s="618" customFormat="1" ht="21.95" customHeight="1" x14ac:dyDescent="0.25">
      <c r="B45" s="431">
        <v>39</v>
      </c>
      <c r="C45" s="501" t="str">
        <f>IF(Inventory!C48="","",Inventory!C48)</f>
        <v/>
      </c>
      <c r="D45" s="502" t="str">
        <f>IF(Inventory!D48="","",Inventory!D48)</f>
        <v/>
      </c>
      <c r="E45" s="546" t="str">
        <f>IF(Inventory!E48="","",Inventory!E48)</f>
        <v/>
      </c>
      <c r="F45" s="547" t="str">
        <f>IF(Inventory!F48="","",Inventory!F48)</f>
        <v/>
      </c>
      <c r="G45" s="729" t="str">
        <f>IF(Inventory!G48="","",Inventory!G48)</f>
        <v/>
      </c>
      <c r="H45" s="729" t="str">
        <f>IF(Inventory!H48="","",Inventory!H48)</f>
        <v/>
      </c>
      <c r="I45" s="729" t="str">
        <f>IF(Inventory!I48="","",Inventory!I48)</f>
        <v/>
      </c>
      <c r="J45" s="729" t="str">
        <f>IF(Inventory!J48="","",Inventory!J48)</f>
        <v/>
      </c>
      <c r="K45" s="729" t="str">
        <f>IF(Inventory!K48="","",Inventory!K48)</f>
        <v/>
      </c>
      <c r="L45" s="729" t="str">
        <f>IF(Inventory!L48="","",Inventory!L48)</f>
        <v/>
      </c>
      <c r="M45" s="765" t="str">
        <f>IF(Inventory!M48="","",Inventory!M48)</f>
        <v/>
      </c>
      <c r="N45" s="758" t="str">
        <f>IF(Inventory!N48="","",Inventory!N48)</f>
        <v/>
      </c>
      <c r="O45" s="765" t="str">
        <f>IF(Inventory!O48="","",Inventory!O48)</f>
        <v/>
      </c>
      <c r="P45" s="758" t="str">
        <f>IF(Inventory!P48="","",Inventory!P48)</f>
        <v/>
      </c>
      <c r="Q45" s="521" t="str">
        <f>IF(Inventory!Q48="","",Inventory!Q48)</f>
        <v/>
      </c>
      <c r="R45" s="775" t="str">
        <f>IF(Inventory!R48="","",Inventory!R48)</f>
        <v/>
      </c>
      <c r="S45" s="775" t="str">
        <f>IF(Inventory!S48="","",Inventory!S48)</f>
        <v/>
      </c>
      <c r="T45" s="729" t="str">
        <f>IF(Inventory!T48="","",Inventory!T48)</f>
        <v/>
      </c>
      <c r="U45" s="775" t="str">
        <f>IF(Inventory!U48="","",Inventory!U48)</f>
        <v/>
      </c>
      <c r="V45" s="779" t="str">
        <f>IF(Inventory!V48="","",Inventory!V48)</f>
        <v/>
      </c>
      <c r="W45" s="866"/>
    </row>
    <row r="46" spans="2:23" s="618" customFormat="1" ht="21.95" customHeight="1" x14ac:dyDescent="0.25">
      <c r="B46" s="432">
        <v>40</v>
      </c>
      <c r="C46" s="499" t="str">
        <f>IF(Inventory!C49="","",Inventory!C49)</f>
        <v/>
      </c>
      <c r="D46" s="751" t="str">
        <f>IF(Inventory!D49="","",Inventory!D49)</f>
        <v/>
      </c>
      <c r="E46" s="541" t="str">
        <f>IF(Inventory!E49="","",Inventory!E49)</f>
        <v/>
      </c>
      <c r="F46" s="785" t="str">
        <f>IF(Inventory!F49="","",Inventory!F49)</f>
        <v/>
      </c>
      <c r="G46" s="728" t="str">
        <f>IF(Inventory!G49="","",Inventory!G49)</f>
        <v/>
      </c>
      <c r="H46" s="728" t="str">
        <f>IF(Inventory!H49="","",Inventory!H49)</f>
        <v/>
      </c>
      <c r="I46" s="728" t="str">
        <f>IF(Inventory!I49="","",Inventory!I49)</f>
        <v/>
      </c>
      <c r="J46" s="728" t="str">
        <f>IF(Inventory!J49="","",Inventory!J49)</f>
        <v/>
      </c>
      <c r="K46" s="728" t="str">
        <f>IF(Inventory!K49="","",Inventory!K49)</f>
        <v/>
      </c>
      <c r="L46" s="728" t="str">
        <f>IF(Inventory!L49="","",Inventory!L49)</f>
        <v/>
      </c>
      <c r="M46" s="764" t="str">
        <f>IF(Inventory!M49="","",Inventory!M49)</f>
        <v/>
      </c>
      <c r="N46" s="728" t="str">
        <f>IF(Inventory!N49="","",Inventory!N49)</f>
        <v/>
      </c>
      <c r="O46" s="764" t="str">
        <f>IF(Inventory!O49="","",Inventory!O49)</f>
        <v/>
      </c>
      <c r="P46" s="728" t="str">
        <f>IF(Inventory!P49="","",Inventory!P49)</f>
        <v/>
      </c>
      <c r="Q46" s="520" t="str">
        <f>IF(Inventory!Q49="","",Inventory!Q49)</f>
        <v/>
      </c>
      <c r="R46" s="778" t="str">
        <f>IF(Inventory!R49="","",Inventory!R49)</f>
        <v/>
      </c>
      <c r="S46" s="778" t="str">
        <f>IF(Inventory!S49="","",Inventory!S49)</f>
        <v/>
      </c>
      <c r="T46" s="767" t="str">
        <f>IF(Inventory!T49="","",Inventory!T49)</f>
        <v/>
      </c>
      <c r="U46" s="778" t="str">
        <f>IF(Inventory!U49="","",Inventory!U49)</f>
        <v/>
      </c>
      <c r="V46" s="751" t="str">
        <f>IF(Inventory!V49="","",Inventory!V49)</f>
        <v/>
      </c>
      <c r="W46" s="871"/>
    </row>
    <row r="47" spans="2:23" s="618" customFormat="1" ht="21.95" customHeight="1" x14ac:dyDescent="0.25">
      <c r="B47" s="431">
        <v>41</v>
      </c>
      <c r="C47" s="501" t="str">
        <f>IF(Inventory!C50="","",Inventory!C50)</f>
        <v/>
      </c>
      <c r="D47" s="502" t="str">
        <f>IF(Inventory!D50="","",Inventory!D50)</f>
        <v/>
      </c>
      <c r="E47" s="546" t="str">
        <f>IF(Inventory!E50="","",Inventory!E50)</f>
        <v/>
      </c>
      <c r="F47" s="547" t="str">
        <f>IF(Inventory!F50="","",Inventory!F50)</f>
        <v/>
      </c>
      <c r="G47" s="729" t="str">
        <f>IF(Inventory!G50="","",Inventory!G50)</f>
        <v/>
      </c>
      <c r="H47" s="729" t="str">
        <f>IF(Inventory!H50="","",Inventory!H50)</f>
        <v/>
      </c>
      <c r="I47" s="729" t="str">
        <f>IF(Inventory!I50="","",Inventory!I50)</f>
        <v/>
      </c>
      <c r="J47" s="729" t="str">
        <f>IF(Inventory!J50="","",Inventory!J50)</f>
        <v/>
      </c>
      <c r="K47" s="729" t="str">
        <f>IF(Inventory!K50="","",Inventory!K50)</f>
        <v/>
      </c>
      <c r="L47" s="729" t="str">
        <f>IF(Inventory!L50="","",Inventory!L50)</f>
        <v/>
      </c>
      <c r="M47" s="765" t="str">
        <f>IF(Inventory!M50="","",Inventory!M50)</f>
        <v/>
      </c>
      <c r="N47" s="758" t="str">
        <f>IF(Inventory!N50="","",Inventory!N50)</f>
        <v/>
      </c>
      <c r="O47" s="765" t="str">
        <f>IF(Inventory!O50="","",Inventory!O50)</f>
        <v/>
      </c>
      <c r="P47" s="758" t="str">
        <f>IF(Inventory!P50="","",Inventory!P50)</f>
        <v/>
      </c>
      <c r="Q47" s="521" t="str">
        <f>IF(Inventory!Q50="","",Inventory!Q50)</f>
        <v/>
      </c>
      <c r="R47" s="775" t="str">
        <f>IF(Inventory!R50="","",Inventory!R50)</f>
        <v/>
      </c>
      <c r="S47" s="775" t="str">
        <f>IF(Inventory!S50="","",Inventory!S50)</f>
        <v/>
      </c>
      <c r="T47" s="729" t="str">
        <f>IF(Inventory!T50="","",Inventory!T50)</f>
        <v/>
      </c>
      <c r="U47" s="775" t="str">
        <f>IF(Inventory!U50="","",Inventory!U50)</f>
        <v/>
      </c>
      <c r="V47" s="779" t="str">
        <f>IF(Inventory!V50="","",Inventory!V50)</f>
        <v/>
      </c>
      <c r="W47" s="866"/>
    </row>
    <row r="48" spans="2:23" s="618" customFormat="1" ht="21.95" customHeight="1" x14ac:dyDescent="0.25">
      <c r="B48" s="432">
        <v>42</v>
      </c>
      <c r="C48" s="499" t="str">
        <f>IF(Inventory!C51="","",Inventory!C51)</f>
        <v/>
      </c>
      <c r="D48" s="751" t="str">
        <f>IF(Inventory!D51="","",Inventory!D51)</f>
        <v/>
      </c>
      <c r="E48" s="541" t="str">
        <f>IF(Inventory!E51="","",Inventory!E51)</f>
        <v/>
      </c>
      <c r="F48" s="785" t="str">
        <f>IF(Inventory!F51="","",Inventory!F51)</f>
        <v/>
      </c>
      <c r="G48" s="728" t="str">
        <f>IF(Inventory!G51="","",Inventory!G51)</f>
        <v/>
      </c>
      <c r="H48" s="728" t="str">
        <f>IF(Inventory!H51="","",Inventory!H51)</f>
        <v/>
      </c>
      <c r="I48" s="728" t="str">
        <f>IF(Inventory!I51="","",Inventory!I51)</f>
        <v/>
      </c>
      <c r="J48" s="728" t="str">
        <f>IF(Inventory!J51="","",Inventory!J51)</f>
        <v/>
      </c>
      <c r="K48" s="728" t="str">
        <f>IF(Inventory!K51="","",Inventory!K51)</f>
        <v/>
      </c>
      <c r="L48" s="728" t="str">
        <f>IF(Inventory!L51="","",Inventory!L51)</f>
        <v/>
      </c>
      <c r="M48" s="764" t="str">
        <f>IF(Inventory!M51="","",Inventory!M51)</f>
        <v/>
      </c>
      <c r="N48" s="728" t="str">
        <f>IF(Inventory!N51="","",Inventory!N51)</f>
        <v/>
      </c>
      <c r="O48" s="764" t="str">
        <f>IF(Inventory!O51="","",Inventory!O51)</f>
        <v/>
      </c>
      <c r="P48" s="728" t="str">
        <f>IF(Inventory!P51="","",Inventory!P51)</f>
        <v/>
      </c>
      <c r="Q48" s="520" t="str">
        <f>IF(Inventory!Q51="","",Inventory!Q51)</f>
        <v/>
      </c>
      <c r="R48" s="778" t="str">
        <f>IF(Inventory!R51="","",Inventory!R51)</f>
        <v/>
      </c>
      <c r="S48" s="778" t="str">
        <f>IF(Inventory!S51="","",Inventory!S51)</f>
        <v/>
      </c>
      <c r="T48" s="767" t="str">
        <f>IF(Inventory!T51="","",Inventory!T51)</f>
        <v/>
      </c>
      <c r="U48" s="778" t="str">
        <f>IF(Inventory!U51="","",Inventory!U51)</f>
        <v/>
      </c>
      <c r="V48" s="751" t="str">
        <f>IF(Inventory!V51="","",Inventory!V51)</f>
        <v/>
      </c>
      <c r="W48" s="871"/>
    </row>
    <row r="49" spans="2:23" s="618" customFormat="1" ht="21.95" customHeight="1" x14ac:dyDescent="0.25">
      <c r="B49" s="431">
        <v>43</v>
      </c>
      <c r="C49" s="501" t="str">
        <f>IF(Inventory!C52="","",Inventory!C52)</f>
        <v/>
      </c>
      <c r="D49" s="502" t="str">
        <f>IF(Inventory!D52="","",Inventory!D52)</f>
        <v/>
      </c>
      <c r="E49" s="546" t="str">
        <f>IF(Inventory!E52="","",Inventory!E52)</f>
        <v/>
      </c>
      <c r="F49" s="547" t="str">
        <f>IF(Inventory!F52="","",Inventory!F52)</f>
        <v/>
      </c>
      <c r="G49" s="729" t="str">
        <f>IF(Inventory!G52="","",Inventory!G52)</f>
        <v/>
      </c>
      <c r="H49" s="729" t="str">
        <f>IF(Inventory!H52="","",Inventory!H52)</f>
        <v/>
      </c>
      <c r="I49" s="729" t="str">
        <f>IF(Inventory!I52="","",Inventory!I52)</f>
        <v/>
      </c>
      <c r="J49" s="729" t="str">
        <f>IF(Inventory!J52="","",Inventory!J52)</f>
        <v/>
      </c>
      <c r="K49" s="729" t="str">
        <f>IF(Inventory!K52="","",Inventory!K52)</f>
        <v/>
      </c>
      <c r="L49" s="729" t="str">
        <f>IF(Inventory!L52="","",Inventory!L52)</f>
        <v/>
      </c>
      <c r="M49" s="765" t="str">
        <f>IF(Inventory!M52="","",Inventory!M52)</f>
        <v/>
      </c>
      <c r="N49" s="758" t="str">
        <f>IF(Inventory!N52="","",Inventory!N52)</f>
        <v/>
      </c>
      <c r="O49" s="765" t="str">
        <f>IF(Inventory!O52="","",Inventory!O52)</f>
        <v/>
      </c>
      <c r="P49" s="758" t="str">
        <f>IF(Inventory!P52="","",Inventory!P52)</f>
        <v/>
      </c>
      <c r="Q49" s="521" t="str">
        <f>IF(Inventory!Q52="","",Inventory!Q52)</f>
        <v/>
      </c>
      <c r="R49" s="775" t="str">
        <f>IF(Inventory!R52="","",Inventory!R52)</f>
        <v/>
      </c>
      <c r="S49" s="775" t="str">
        <f>IF(Inventory!S52="","",Inventory!S52)</f>
        <v/>
      </c>
      <c r="T49" s="729" t="str">
        <f>IF(Inventory!T52="","",Inventory!T52)</f>
        <v/>
      </c>
      <c r="U49" s="775" t="str">
        <f>IF(Inventory!U52="","",Inventory!U52)</f>
        <v/>
      </c>
      <c r="V49" s="779" t="str">
        <f>IF(Inventory!V52="","",Inventory!V52)</f>
        <v/>
      </c>
      <c r="W49" s="866"/>
    </row>
    <row r="50" spans="2:23" s="618" customFormat="1" ht="21.95" customHeight="1" x14ac:dyDescent="0.25">
      <c r="B50" s="432">
        <v>44</v>
      </c>
      <c r="C50" s="499" t="str">
        <f>IF(Inventory!C53="","",Inventory!C53)</f>
        <v/>
      </c>
      <c r="D50" s="751" t="str">
        <f>IF(Inventory!D53="","",Inventory!D53)</f>
        <v/>
      </c>
      <c r="E50" s="541" t="str">
        <f>IF(Inventory!E53="","",Inventory!E53)</f>
        <v/>
      </c>
      <c r="F50" s="785" t="str">
        <f>IF(Inventory!F53="","",Inventory!F53)</f>
        <v/>
      </c>
      <c r="G50" s="728" t="str">
        <f>IF(Inventory!G53="","",Inventory!G53)</f>
        <v/>
      </c>
      <c r="H50" s="728" t="str">
        <f>IF(Inventory!H53="","",Inventory!H53)</f>
        <v/>
      </c>
      <c r="I50" s="728" t="str">
        <f>IF(Inventory!I53="","",Inventory!I53)</f>
        <v/>
      </c>
      <c r="J50" s="728" t="str">
        <f>IF(Inventory!J53="","",Inventory!J53)</f>
        <v/>
      </c>
      <c r="K50" s="728" t="str">
        <f>IF(Inventory!K53="","",Inventory!K53)</f>
        <v/>
      </c>
      <c r="L50" s="728" t="str">
        <f>IF(Inventory!L53="","",Inventory!L53)</f>
        <v/>
      </c>
      <c r="M50" s="764" t="str">
        <f>IF(Inventory!M53="","",Inventory!M53)</f>
        <v/>
      </c>
      <c r="N50" s="728" t="str">
        <f>IF(Inventory!N53="","",Inventory!N53)</f>
        <v/>
      </c>
      <c r="O50" s="764" t="str">
        <f>IF(Inventory!O53="","",Inventory!O53)</f>
        <v/>
      </c>
      <c r="P50" s="728" t="str">
        <f>IF(Inventory!P53="","",Inventory!P53)</f>
        <v/>
      </c>
      <c r="Q50" s="520" t="str">
        <f>IF(Inventory!Q53="","",Inventory!Q53)</f>
        <v/>
      </c>
      <c r="R50" s="778" t="str">
        <f>IF(Inventory!R53="","",Inventory!R53)</f>
        <v/>
      </c>
      <c r="S50" s="778" t="str">
        <f>IF(Inventory!S53="","",Inventory!S53)</f>
        <v/>
      </c>
      <c r="T50" s="767" t="str">
        <f>IF(Inventory!T53="","",Inventory!T53)</f>
        <v/>
      </c>
      <c r="U50" s="778" t="str">
        <f>IF(Inventory!U53="","",Inventory!U53)</f>
        <v/>
      </c>
      <c r="V50" s="751" t="str">
        <f>IF(Inventory!V53="","",Inventory!V53)</f>
        <v/>
      </c>
      <c r="W50" s="871"/>
    </row>
    <row r="51" spans="2:23" s="618" customFormat="1" ht="21.95" customHeight="1" x14ac:dyDescent="0.25">
      <c r="B51" s="431">
        <v>45</v>
      </c>
      <c r="C51" s="501" t="str">
        <f>IF(Inventory!C54="","",Inventory!C54)</f>
        <v/>
      </c>
      <c r="D51" s="502" t="str">
        <f>IF(Inventory!D54="","",Inventory!D54)</f>
        <v/>
      </c>
      <c r="E51" s="546" t="str">
        <f>IF(Inventory!E54="","",Inventory!E54)</f>
        <v/>
      </c>
      <c r="F51" s="547" t="str">
        <f>IF(Inventory!F54="","",Inventory!F54)</f>
        <v/>
      </c>
      <c r="G51" s="729" t="str">
        <f>IF(Inventory!G54="","",Inventory!G54)</f>
        <v/>
      </c>
      <c r="H51" s="729" t="str">
        <f>IF(Inventory!H54="","",Inventory!H54)</f>
        <v/>
      </c>
      <c r="I51" s="729" t="str">
        <f>IF(Inventory!I54="","",Inventory!I54)</f>
        <v/>
      </c>
      <c r="J51" s="729" t="str">
        <f>IF(Inventory!J54="","",Inventory!J54)</f>
        <v/>
      </c>
      <c r="K51" s="729" t="str">
        <f>IF(Inventory!K54="","",Inventory!K54)</f>
        <v/>
      </c>
      <c r="L51" s="729" t="str">
        <f>IF(Inventory!L54="","",Inventory!L54)</f>
        <v/>
      </c>
      <c r="M51" s="765" t="str">
        <f>IF(Inventory!M54="","",Inventory!M54)</f>
        <v/>
      </c>
      <c r="N51" s="758" t="str">
        <f>IF(Inventory!N54="","",Inventory!N54)</f>
        <v/>
      </c>
      <c r="O51" s="765" t="str">
        <f>IF(Inventory!O54="","",Inventory!O54)</f>
        <v/>
      </c>
      <c r="P51" s="758" t="str">
        <f>IF(Inventory!P54="","",Inventory!P54)</f>
        <v/>
      </c>
      <c r="Q51" s="521" t="str">
        <f>IF(Inventory!Q54="","",Inventory!Q54)</f>
        <v/>
      </c>
      <c r="R51" s="775" t="str">
        <f>IF(Inventory!R54="","",Inventory!R54)</f>
        <v/>
      </c>
      <c r="S51" s="775" t="str">
        <f>IF(Inventory!S54="","",Inventory!S54)</f>
        <v/>
      </c>
      <c r="T51" s="729" t="str">
        <f>IF(Inventory!T54="","",Inventory!T54)</f>
        <v/>
      </c>
      <c r="U51" s="775" t="str">
        <f>IF(Inventory!U54="","",Inventory!U54)</f>
        <v/>
      </c>
      <c r="V51" s="779" t="str">
        <f>IF(Inventory!V54="","",Inventory!V54)</f>
        <v/>
      </c>
      <c r="W51" s="866"/>
    </row>
    <row r="52" spans="2:23" s="618" customFormat="1" ht="21.95" customHeight="1" x14ac:dyDescent="0.25">
      <c r="B52" s="432">
        <v>46</v>
      </c>
      <c r="C52" s="499" t="str">
        <f>IF(Inventory!C55="","",Inventory!C55)</f>
        <v/>
      </c>
      <c r="D52" s="751" t="str">
        <f>IF(Inventory!D55="","",Inventory!D55)</f>
        <v/>
      </c>
      <c r="E52" s="541" t="str">
        <f>IF(Inventory!E55="","",Inventory!E55)</f>
        <v/>
      </c>
      <c r="F52" s="785" t="str">
        <f>IF(Inventory!F55="","",Inventory!F55)</f>
        <v/>
      </c>
      <c r="G52" s="728" t="str">
        <f>IF(Inventory!G55="","",Inventory!G55)</f>
        <v/>
      </c>
      <c r="H52" s="728" t="str">
        <f>IF(Inventory!H55="","",Inventory!H55)</f>
        <v/>
      </c>
      <c r="I52" s="728" t="str">
        <f>IF(Inventory!I55="","",Inventory!I55)</f>
        <v/>
      </c>
      <c r="J52" s="728" t="str">
        <f>IF(Inventory!J55="","",Inventory!J55)</f>
        <v/>
      </c>
      <c r="K52" s="728" t="str">
        <f>IF(Inventory!K55="","",Inventory!K55)</f>
        <v/>
      </c>
      <c r="L52" s="728" t="str">
        <f>IF(Inventory!L55="","",Inventory!L55)</f>
        <v/>
      </c>
      <c r="M52" s="764" t="str">
        <f>IF(Inventory!M55="","",Inventory!M55)</f>
        <v/>
      </c>
      <c r="N52" s="728" t="str">
        <f>IF(Inventory!N55="","",Inventory!N55)</f>
        <v/>
      </c>
      <c r="O52" s="764" t="str">
        <f>IF(Inventory!O55="","",Inventory!O55)</f>
        <v/>
      </c>
      <c r="P52" s="728" t="str">
        <f>IF(Inventory!P55="","",Inventory!P55)</f>
        <v/>
      </c>
      <c r="Q52" s="520" t="str">
        <f>IF(Inventory!Q55="","",Inventory!Q55)</f>
        <v/>
      </c>
      <c r="R52" s="778" t="str">
        <f>IF(Inventory!R55="","",Inventory!R55)</f>
        <v/>
      </c>
      <c r="S52" s="778" t="str">
        <f>IF(Inventory!S55="","",Inventory!S55)</f>
        <v/>
      </c>
      <c r="T52" s="767" t="str">
        <f>IF(Inventory!T55="","",Inventory!T55)</f>
        <v/>
      </c>
      <c r="U52" s="778" t="str">
        <f>IF(Inventory!U55="","",Inventory!U55)</f>
        <v/>
      </c>
      <c r="V52" s="751" t="str">
        <f>IF(Inventory!V55="","",Inventory!V55)</f>
        <v/>
      </c>
      <c r="W52" s="871"/>
    </row>
    <row r="53" spans="2:23" s="618" customFormat="1" ht="21.95" customHeight="1" x14ac:dyDescent="0.25">
      <c r="B53" s="431">
        <v>47</v>
      </c>
      <c r="C53" s="501" t="str">
        <f>IF(Inventory!C56="","",Inventory!C56)</f>
        <v/>
      </c>
      <c r="D53" s="502" t="str">
        <f>IF(Inventory!D56="","",Inventory!D56)</f>
        <v/>
      </c>
      <c r="E53" s="546" t="str">
        <f>IF(Inventory!E56="","",Inventory!E56)</f>
        <v/>
      </c>
      <c r="F53" s="547" t="str">
        <f>IF(Inventory!F56="","",Inventory!F56)</f>
        <v/>
      </c>
      <c r="G53" s="729" t="str">
        <f>IF(Inventory!G56="","",Inventory!G56)</f>
        <v/>
      </c>
      <c r="H53" s="729" t="str">
        <f>IF(Inventory!H56="","",Inventory!H56)</f>
        <v/>
      </c>
      <c r="I53" s="729" t="str">
        <f>IF(Inventory!I56="","",Inventory!I56)</f>
        <v/>
      </c>
      <c r="J53" s="729" t="str">
        <f>IF(Inventory!J56="","",Inventory!J56)</f>
        <v/>
      </c>
      <c r="K53" s="729" t="str">
        <f>IF(Inventory!K56="","",Inventory!K56)</f>
        <v/>
      </c>
      <c r="L53" s="729" t="str">
        <f>IF(Inventory!L56="","",Inventory!L56)</f>
        <v/>
      </c>
      <c r="M53" s="765" t="str">
        <f>IF(Inventory!M56="","",Inventory!M56)</f>
        <v/>
      </c>
      <c r="N53" s="758" t="str">
        <f>IF(Inventory!N56="","",Inventory!N56)</f>
        <v/>
      </c>
      <c r="O53" s="765" t="str">
        <f>IF(Inventory!O56="","",Inventory!O56)</f>
        <v/>
      </c>
      <c r="P53" s="758" t="str">
        <f>IF(Inventory!P56="","",Inventory!P56)</f>
        <v/>
      </c>
      <c r="Q53" s="521" t="str">
        <f>IF(Inventory!Q56="","",Inventory!Q56)</f>
        <v/>
      </c>
      <c r="R53" s="775" t="str">
        <f>IF(Inventory!R56="","",Inventory!R56)</f>
        <v/>
      </c>
      <c r="S53" s="775" t="str">
        <f>IF(Inventory!S56="","",Inventory!S56)</f>
        <v/>
      </c>
      <c r="T53" s="729" t="str">
        <f>IF(Inventory!T56="","",Inventory!T56)</f>
        <v/>
      </c>
      <c r="U53" s="775" t="str">
        <f>IF(Inventory!U56="","",Inventory!U56)</f>
        <v/>
      </c>
      <c r="V53" s="779" t="str">
        <f>IF(Inventory!V56="","",Inventory!V56)</f>
        <v/>
      </c>
      <c r="W53" s="866"/>
    </row>
    <row r="54" spans="2:23" s="618" customFormat="1" ht="21.95" customHeight="1" x14ac:dyDescent="0.25">
      <c r="B54" s="432">
        <v>48</v>
      </c>
      <c r="C54" s="499" t="str">
        <f>IF(Inventory!C57="","",Inventory!C57)</f>
        <v/>
      </c>
      <c r="D54" s="751" t="str">
        <f>IF(Inventory!D57="","",Inventory!D57)</f>
        <v/>
      </c>
      <c r="E54" s="541" t="str">
        <f>IF(Inventory!E57="","",Inventory!E57)</f>
        <v/>
      </c>
      <c r="F54" s="785" t="str">
        <f>IF(Inventory!F57="","",Inventory!F57)</f>
        <v/>
      </c>
      <c r="G54" s="728" t="str">
        <f>IF(Inventory!G57="","",Inventory!G57)</f>
        <v/>
      </c>
      <c r="H54" s="728" t="str">
        <f>IF(Inventory!H57="","",Inventory!H57)</f>
        <v/>
      </c>
      <c r="I54" s="728" t="str">
        <f>IF(Inventory!I57="","",Inventory!I57)</f>
        <v/>
      </c>
      <c r="J54" s="728" t="str">
        <f>IF(Inventory!J57="","",Inventory!J57)</f>
        <v/>
      </c>
      <c r="K54" s="728" t="str">
        <f>IF(Inventory!K57="","",Inventory!K57)</f>
        <v/>
      </c>
      <c r="L54" s="728" t="str">
        <f>IF(Inventory!L57="","",Inventory!L57)</f>
        <v/>
      </c>
      <c r="M54" s="764" t="str">
        <f>IF(Inventory!M57="","",Inventory!M57)</f>
        <v/>
      </c>
      <c r="N54" s="728" t="str">
        <f>IF(Inventory!N57="","",Inventory!N57)</f>
        <v/>
      </c>
      <c r="O54" s="764" t="str">
        <f>IF(Inventory!O57="","",Inventory!O57)</f>
        <v/>
      </c>
      <c r="P54" s="728" t="str">
        <f>IF(Inventory!P57="","",Inventory!P57)</f>
        <v/>
      </c>
      <c r="Q54" s="520" t="str">
        <f>IF(Inventory!Q57="","",Inventory!Q57)</f>
        <v/>
      </c>
      <c r="R54" s="778" t="str">
        <f>IF(Inventory!R57="","",Inventory!R57)</f>
        <v/>
      </c>
      <c r="S54" s="778" t="str">
        <f>IF(Inventory!S57="","",Inventory!S57)</f>
        <v/>
      </c>
      <c r="T54" s="767" t="str">
        <f>IF(Inventory!T57="","",Inventory!T57)</f>
        <v/>
      </c>
      <c r="U54" s="778" t="str">
        <f>IF(Inventory!U57="","",Inventory!U57)</f>
        <v/>
      </c>
      <c r="V54" s="751" t="str">
        <f>IF(Inventory!V57="","",Inventory!V57)</f>
        <v/>
      </c>
      <c r="W54" s="871"/>
    </row>
    <row r="55" spans="2:23" s="618" customFormat="1" ht="21.95" customHeight="1" x14ac:dyDescent="0.25">
      <c r="B55" s="431">
        <v>49</v>
      </c>
      <c r="C55" s="501" t="str">
        <f>IF(Inventory!C58="","",Inventory!C58)</f>
        <v/>
      </c>
      <c r="D55" s="502" t="str">
        <f>IF(Inventory!D58="","",Inventory!D58)</f>
        <v/>
      </c>
      <c r="E55" s="546" t="str">
        <f>IF(Inventory!E58="","",Inventory!E58)</f>
        <v/>
      </c>
      <c r="F55" s="547" t="str">
        <f>IF(Inventory!F58="","",Inventory!F58)</f>
        <v/>
      </c>
      <c r="G55" s="729" t="str">
        <f>IF(Inventory!G58="","",Inventory!G58)</f>
        <v/>
      </c>
      <c r="H55" s="729" t="str">
        <f>IF(Inventory!H58="","",Inventory!H58)</f>
        <v/>
      </c>
      <c r="I55" s="729" t="str">
        <f>IF(Inventory!I58="","",Inventory!I58)</f>
        <v/>
      </c>
      <c r="J55" s="729" t="str">
        <f>IF(Inventory!J58="","",Inventory!J58)</f>
        <v/>
      </c>
      <c r="K55" s="729" t="str">
        <f>IF(Inventory!K58="","",Inventory!K58)</f>
        <v/>
      </c>
      <c r="L55" s="729" t="str">
        <f>IF(Inventory!L58="","",Inventory!L58)</f>
        <v/>
      </c>
      <c r="M55" s="765" t="str">
        <f>IF(Inventory!M58="","",Inventory!M58)</f>
        <v/>
      </c>
      <c r="N55" s="758" t="str">
        <f>IF(Inventory!N58="","",Inventory!N58)</f>
        <v/>
      </c>
      <c r="O55" s="765" t="str">
        <f>IF(Inventory!O58="","",Inventory!O58)</f>
        <v/>
      </c>
      <c r="P55" s="758" t="str">
        <f>IF(Inventory!P58="","",Inventory!P58)</f>
        <v/>
      </c>
      <c r="Q55" s="521" t="str">
        <f>IF(Inventory!Q58="","",Inventory!Q58)</f>
        <v/>
      </c>
      <c r="R55" s="775" t="str">
        <f>IF(Inventory!R58="","",Inventory!R58)</f>
        <v/>
      </c>
      <c r="S55" s="775" t="str">
        <f>IF(Inventory!S58="","",Inventory!S58)</f>
        <v/>
      </c>
      <c r="T55" s="729" t="str">
        <f>IF(Inventory!T58="","",Inventory!T58)</f>
        <v/>
      </c>
      <c r="U55" s="775" t="str">
        <f>IF(Inventory!U58="","",Inventory!U58)</f>
        <v/>
      </c>
      <c r="V55" s="779" t="str">
        <f>IF(Inventory!V58="","",Inventory!V58)</f>
        <v/>
      </c>
      <c r="W55" s="866"/>
    </row>
    <row r="56" spans="2:23" s="618" customFormat="1" ht="21.95" customHeight="1" x14ac:dyDescent="0.25">
      <c r="B56" s="432">
        <v>50</v>
      </c>
      <c r="C56" s="499" t="str">
        <f>IF(Inventory!C59="","",Inventory!C59)</f>
        <v/>
      </c>
      <c r="D56" s="751" t="str">
        <f>IF(Inventory!D59="","",Inventory!D59)</f>
        <v/>
      </c>
      <c r="E56" s="541" t="str">
        <f>IF(Inventory!E59="","",Inventory!E59)</f>
        <v/>
      </c>
      <c r="F56" s="785" t="str">
        <f>IF(Inventory!F59="","",Inventory!F59)</f>
        <v/>
      </c>
      <c r="G56" s="728" t="str">
        <f>IF(Inventory!G59="","",Inventory!G59)</f>
        <v/>
      </c>
      <c r="H56" s="728" t="str">
        <f>IF(Inventory!H59="","",Inventory!H59)</f>
        <v/>
      </c>
      <c r="I56" s="728" t="str">
        <f>IF(Inventory!I59="","",Inventory!I59)</f>
        <v/>
      </c>
      <c r="J56" s="728" t="str">
        <f>IF(Inventory!J59="","",Inventory!J59)</f>
        <v/>
      </c>
      <c r="K56" s="728" t="str">
        <f>IF(Inventory!K59="","",Inventory!K59)</f>
        <v/>
      </c>
      <c r="L56" s="728" t="str">
        <f>IF(Inventory!L59="","",Inventory!L59)</f>
        <v/>
      </c>
      <c r="M56" s="764" t="str">
        <f>IF(Inventory!M59="","",Inventory!M59)</f>
        <v/>
      </c>
      <c r="N56" s="728" t="str">
        <f>IF(Inventory!N59="","",Inventory!N59)</f>
        <v/>
      </c>
      <c r="O56" s="764" t="str">
        <f>IF(Inventory!O59="","",Inventory!O59)</f>
        <v/>
      </c>
      <c r="P56" s="728" t="str">
        <f>IF(Inventory!P59="","",Inventory!P59)</f>
        <v/>
      </c>
      <c r="Q56" s="520" t="str">
        <f>IF(Inventory!Q59="","",Inventory!Q59)</f>
        <v/>
      </c>
      <c r="R56" s="778" t="str">
        <f>IF(Inventory!R59="","",Inventory!R59)</f>
        <v/>
      </c>
      <c r="S56" s="778" t="str">
        <f>IF(Inventory!S59="","",Inventory!S59)</f>
        <v/>
      </c>
      <c r="T56" s="767" t="str">
        <f>IF(Inventory!T59="","",Inventory!T59)</f>
        <v/>
      </c>
      <c r="U56" s="778" t="str">
        <f>IF(Inventory!U59="","",Inventory!U59)</f>
        <v/>
      </c>
      <c r="V56" s="751" t="str">
        <f>IF(Inventory!V59="","",Inventory!V59)</f>
        <v/>
      </c>
      <c r="W56" s="871"/>
    </row>
    <row r="57" spans="2:23" s="618" customFormat="1" ht="21.95" customHeight="1" x14ac:dyDescent="0.25">
      <c r="B57" s="431">
        <v>51</v>
      </c>
      <c r="C57" s="501" t="str">
        <f>IF(Inventory!C60="","",Inventory!C60)</f>
        <v/>
      </c>
      <c r="D57" s="502" t="str">
        <f>IF(Inventory!D60="","",Inventory!D60)</f>
        <v/>
      </c>
      <c r="E57" s="546" t="str">
        <f>IF(Inventory!E60="","",Inventory!E60)</f>
        <v/>
      </c>
      <c r="F57" s="547" t="str">
        <f>IF(Inventory!F60="","",Inventory!F60)</f>
        <v/>
      </c>
      <c r="G57" s="729" t="str">
        <f>IF(Inventory!G60="","",Inventory!G60)</f>
        <v/>
      </c>
      <c r="H57" s="729" t="str">
        <f>IF(Inventory!H60="","",Inventory!H60)</f>
        <v/>
      </c>
      <c r="I57" s="729" t="str">
        <f>IF(Inventory!I60="","",Inventory!I60)</f>
        <v/>
      </c>
      <c r="J57" s="729" t="str">
        <f>IF(Inventory!J60="","",Inventory!J60)</f>
        <v/>
      </c>
      <c r="K57" s="729" t="str">
        <f>IF(Inventory!K60="","",Inventory!K60)</f>
        <v/>
      </c>
      <c r="L57" s="729" t="str">
        <f>IF(Inventory!L60="","",Inventory!L60)</f>
        <v/>
      </c>
      <c r="M57" s="765" t="str">
        <f>IF(Inventory!M60="","",Inventory!M60)</f>
        <v/>
      </c>
      <c r="N57" s="758" t="str">
        <f>IF(Inventory!N60="","",Inventory!N60)</f>
        <v/>
      </c>
      <c r="O57" s="765" t="str">
        <f>IF(Inventory!O60="","",Inventory!O60)</f>
        <v/>
      </c>
      <c r="P57" s="758" t="str">
        <f>IF(Inventory!P60="","",Inventory!P60)</f>
        <v/>
      </c>
      <c r="Q57" s="521" t="str">
        <f>IF(Inventory!Q60="","",Inventory!Q60)</f>
        <v/>
      </c>
      <c r="R57" s="775" t="str">
        <f>IF(Inventory!R60="","",Inventory!R60)</f>
        <v/>
      </c>
      <c r="S57" s="775" t="str">
        <f>IF(Inventory!S60="","",Inventory!S60)</f>
        <v/>
      </c>
      <c r="T57" s="729" t="str">
        <f>IF(Inventory!T60="","",Inventory!T60)</f>
        <v/>
      </c>
      <c r="U57" s="775" t="str">
        <f>IF(Inventory!U60="","",Inventory!U60)</f>
        <v/>
      </c>
      <c r="V57" s="779" t="str">
        <f>IF(Inventory!V60="","",Inventory!V60)</f>
        <v/>
      </c>
      <c r="W57" s="866"/>
    </row>
    <row r="58" spans="2:23" s="618" customFormat="1" ht="21.95" customHeight="1" x14ac:dyDescent="0.25">
      <c r="B58" s="432">
        <v>52</v>
      </c>
      <c r="C58" s="499" t="str">
        <f>IF(Inventory!C61="","",Inventory!C61)</f>
        <v/>
      </c>
      <c r="D58" s="751" t="str">
        <f>IF(Inventory!D61="","",Inventory!D61)</f>
        <v/>
      </c>
      <c r="E58" s="541" t="str">
        <f>IF(Inventory!E61="","",Inventory!E61)</f>
        <v/>
      </c>
      <c r="F58" s="785" t="str">
        <f>IF(Inventory!F61="","",Inventory!F61)</f>
        <v/>
      </c>
      <c r="G58" s="728" t="str">
        <f>IF(Inventory!G61="","",Inventory!G61)</f>
        <v/>
      </c>
      <c r="H58" s="728" t="str">
        <f>IF(Inventory!H61="","",Inventory!H61)</f>
        <v/>
      </c>
      <c r="I58" s="728" t="str">
        <f>IF(Inventory!I61="","",Inventory!I61)</f>
        <v/>
      </c>
      <c r="J58" s="728" t="str">
        <f>IF(Inventory!J61="","",Inventory!J61)</f>
        <v/>
      </c>
      <c r="K58" s="728" t="str">
        <f>IF(Inventory!K61="","",Inventory!K61)</f>
        <v/>
      </c>
      <c r="L58" s="728" t="str">
        <f>IF(Inventory!L61="","",Inventory!L61)</f>
        <v/>
      </c>
      <c r="M58" s="764" t="str">
        <f>IF(Inventory!M61="","",Inventory!M61)</f>
        <v/>
      </c>
      <c r="N58" s="728" t="str">
        <f>IF(Inventory!N61="","",Inventory!N61)</f>
        <v/>
      </c>
      <c r="O58" s="764" t="str">
        <f>IF(Inventory!O61="","",Inventory!O61)</f>
        <v/>
      </c>
      <c r="P58" s="728" t="str">
        <f>IF(Inventory!P61="","",Inventory!P61)</f>
        <v/>
      </c>
      <c r="Q58" s="520" t="str">
        <f>IF(Inventory!Q61="","",Inventory!Q61)</f>
        <v/>
      </c>
      <c r="R58" s="778" t="str">
        <f>IF(Inventory!R61="","",Inventory!R61)</f>
        <v/>
      </c>
      <c r="S58" s="778" t="str">
        <f>IF(Inventory!S61="","",Inventory!S61)</f>
        <v/>
      </c>
      <c r="T58" s="767" t="str">
        <f>IF(Inventory!T61="","",Inventory!T61)</f>
        <v/>
      </c>
      <c r="U58" s="778" t="str">
        <f>IF(Inventory!U61="","",Inventory!U61)</f>
        <v/>
      </c>
      <c r="V58" s="751" t="str">
        <f>IF(Inventory!V61="","",Inventory!V61)</f>
        <v/>
      </c>
      <c r="W58" s="871"/>
    </row>
    <row r="59" spans="2:23" s="618" customFormat="1" ht="21.95" customHeight="1" x14ac:dyDescent="0.25">
      <c r="B59" s="431">
        <v>53</v>
      </c>
      <c r="C59" s="501" t="str">
        <f>IF(Inventory!C62="","",Inventory!C62)</f>
        <v/>
      </c>
      <c r="D59" s="502" t="str">
        <f>IF(Inventory!D62="","",Inventory!D62)</f>
        <v/>
      </c>
      <c r="E59" s="546" t="str">
        <f>IF(Inventory!E62="","",Inventory!E62)</f>
        <v/>
      </c>
      <c r="F59" s="547" t="str">
        <f>IF(Inventory!F62="","",Inventory!F62)</f>
        <v/>
      </c>
      <c r="G59" s="729" t="str">
        <f>IF(Inventory!G62="","",Inventory!G62)</f>
        <v/>
      </c>
      <c r="H59" s="729" t="str">
        <f>IF(Inventory!H62="","",Inventory!H62)</f>
        <v/>
      </c>
      <c r="I59" s="729" t="str">
        <f>IF(Inventory!I62="","",Inventory!I62)</f>
        <v/>
      </c>
      <c r="J59" s="729" t="str">
        <f>IF(Inventory!J62="","",Inventory!J62)</f>
        <v/>
      </c>
      <c r="K59" s="729" t="str">
        <f>IF(Inventory!K62="","",Inventory!K62)</f>
        <v/>
      </c>
      <c r="L59" s="729" t="str">
        <f>IF(Inventory!L62="","",Inventory!L62)</f>
        <v/>
      </c>
      <c r="M59" s="765" t="str">
        <f>IF(Inventory!M62="","",Inventory!M62)</f>
        <v/>
      </c>
      <c r="N59" s="758" t="str">
        <f>IF(Inventory!N62="","",Inventory!N62)</f>
        <v/>
      </c>
      <c r="O59" s="765" t="str">
        <f>IF(Inventory!O62="","",Inventory!O62)</f>
        <v/>
      </c>
      <c r="P59" s="758" t="str">
        <f>IF(Inventory!P62="","",Inventory!P62)</f>
        <v/>
      </c>
      <c r="Q59" s="521" t="str">
        <f>IF(Inventory!Q62="","",Inventory!Q62)</f>
        <v/>
      </c>
      <c r="R59" s="775" t="str">
        <f>IF(Inventory!R62="","",Inventory!R62)</f>
        <v/>
      </c>
      <c r="S59" s="775" t="str">
        <f>IF(Inventory!S62="","",Inventory!S62)</f>
        <v/>
      </c>
      <c r="T59" s="729" t="str">
        <f>IF(Inventory!T62="","",Inventory!T62)</f>
        <v/>
      </c>
      <c r="U59" s="775" t="str">
        <f>IF(Inventory!U62="","",Inventory!U62)</f>
        <v/>
      </c>
      <c r="V59" s="779" t="str">
        <f>IF(Inventory!V62="","",Inventory!V62)</f>
        <v/>
      </c>
      <c r="W59" s="866"/>
    </row>
    <row r="60" spans="2:23" s="618" customFormat="1" ht="21.95" customHeight="1" x14ac:dyDescent="0.25">
      <c r="B60" s="432">
        <v>54</v>
      </c>
      <c r="C60" s="499" t="str">
        <f>IF(Inventory!C63="","",Inventory!C63)</f>
        <v/>
      </c>
      <c r="D60" s="751" t="str">
        <f>IF(Inventory!D63="","",Inventory!D63)</f>
        <v/>
      </c>
      <c r="E60" s="541" t="str">
        <f>IF(Inventory!E63="","",Inventory!E63)</f>
        <v/>
      </c>
      <c r="F60" s="785" t="str">
        <f>IF(Inventory!F63="","",Inventory!F63)</f>
        <v/>
      </c>
      <c r="G60" s="728" t="str">
        <f>IF(Inventory!G63="","",Inventory!G63)</f>
        <v/>
      </c>
      <c r="H60" s="728" t="str">
        <f>IF(Inventory!H63="","",Inventory!H63)</f>
        <v/>
      </c>
      <c r="I60" s="728" t="str">
        <f>IF(Inventory!I63="","",Inventory!I63)</f>
        <v/>
      </c>
      <c r="J60" s="728" t="str">
        <f>IF(Inventory!J63="","",Inventory!J63)</f>
        <v/>
      </c>
      <c r="K60" s="728" t="str">
        <f>IF(Inventory!K63="","",Inventory!K63)</f>
        <v/>
      </c>
      <c r="L60" s="728" t="str">
        <f>IF(Inventory!L63="","",Inventory!L63)</f>
        <v/>
      </c>
      <c r="M60" s="764" t="str">
        <f>IF(Inventory!M63="","",Inventory!M63)</f>
        <v/>
      </c>
      <c r="N60" s="728" t="str">
        <f>IF(Inventory!N63="","",Inventory!N63)</f>
        <v/>
      </c>
      <c r="O60" s="764" t="str">
        <f>IF(Inventory!O63="","",Inventory!O63)</f>
        <v/>
      </c>
      <c r="P60" s="728" t="str">
        <f>IF(Inventory!P63="","",Inventory!P63)</f>
        <v/>
      </c>
      <c r="Q60" s="520" t="str">
        <f>IF(Inventory!Q63="","",Inventory!Q63)</f>
        <v/>
      </c>
      <c r="R60" s="778" t="str">
        <f>IF(Inventory!R63="","",Inventory!R63)</f>
        <v/>
      </c>
      <c r="S60" s="778" t="str">
        <f>IF(Inventory!S63="","",Inventory!S63)</f>
        <v/>
      </c>
      <c r="T60" s="767" t="str">
        <f>IF(Inventory!T63="","",Inventory!T63)</f>
        <v/>
      </c>
      <c r="U60" s="778" t="str">
        <f>IF(Inventory!U63="","",Inventory!U63)</f>
        <v/>
      </c>
      <c r="V60" s="751" t="str">
        <f>IF(Inventory!V63="","",Inventory!V63)</f>
        <v/>
      </c>
      <c r="W60" s="871"/>
    </row>
    <row r="61" spans="2:23" s="618" customFormat="1" ht="21.95" customHeight="1" x14ac:dyDescent="0.25">
      <c r="B61" s="431">
        <v>55</v>
      </c>
      <c r="C61" s="501" t="str">
        <f>IF(Inventory!C64="","",Inventory!C64)</f>
        <v/>
      </c>
      <c r="D61" s="502" t="str">
        <f>IF(Inventory!D64="","",Inventory!D64)</f>
        <v/>
      </c>
      <c r="E61" s="546" t="str">
        <f>IF(Inventory!E64="","",Inventory!E64)</f>
        <v/>
      </c>
      <c r="F61" s="547" t="str">
        <f>IF(Inventory!F64="","",Inventory!F64)</f>
        <v/>
      </c>
      <c r="G61" s="729" t="str">
        <f>IF(Inventory!G64="","",Inventory!G64)</f>
        <v/>
      </c>
      <c r="H61" s="729" t="str">
        <f>IF(Inventory!H64="","",Inventory!H64)</f>
        <v/>
      </c>
      <c r="I61" s="729" t="str">
        <f>IF(Inventory!I64="","",Inventory!I64)</f>
        <v/>
      </c>
      <c r="J61" s="729" t="str">
        <f>IF(Inventory!J64="","",Inventory!J64)</f>
        <v/>
      </c>
      <c r="K61" s="729" t="str">
        <f>IF(Inventory!K64="","",Inventory!K64)</f>
        <v/>
      </c>
      <c r="L61" s="729" t="str">
        <f>IF(Inventory!L64="","",Inventory!L64)</f>
        <v/>
      </c>
      <c r="M61" s="765" t="str">
        <f>IF(Inventory!M64="","",Inventory!M64)</f>
        <v/>
      </c>
      <c r="N61" s="758" t="str">
        <f>IF(Inventory!N64="","",Inventory!N64)</f>
        <v/>
      </c>
      <c r="O61" s="765" t="str">
        <f>IF(Inventory!O64="","",Inventory!O64)</f>
        <v/>
      </c>
      <c r="P61" s="758" t="str">
        <f>IF(Inventory!P64="","",Inventory!P64)</f>
        <v/>
      </c>
      <c r="Q61" s="521" t="str">
        <f>IF(Inventory!Q64="","",Inventory!Q64)</f>
        <v/>
      </c>
      <c r="R61" s="775" t="str">
        <f>IF(Inventory!R64="","",Inventory!R64)</f>
        <v/>
      </c>
      <c r="S61" s="775" t="str">
        <f>IF(Inventory!S64="","",Inventory!S64)</f>
        <v/>
      </c>
      <c r="T61" s="729" t="str">
        <f>IF(Inventory!T64="","",Inventory!T64)</f>
        <v/>
      </c>
      <c r="U61" s="775" t="str">
        <f>IF(Inventory!U64="","",Inventory!U64)</f>
        <v/>
      </c>
      <c r="V61" s="779" t="str">
        <f>IF(Inventory!V64="","",Inventory!V64)</f>
        <v/>
      </c>
      <c r="W61" s="866"/>
    </row>
    <row r="62" spans="2:23" s="618" customFormat="1" ht="21.95" customHeight="1" x14ac:dyDescent="0.25">
      <c r="B62" s="432">
        <v>56</v>
      </c>
      <c r="C62" s="499" t="str">
        <f>IF(Inventory!C65="","",Inventory!C65)</f>
        <v/>
      </c>
      <c r="D62" s="751" t="str">
        <f>IF(Inventory!D65="","",Inventory!D65)</f>
        <v/>
      </c>
      <c r="E62" s="541" t="str">
        <f>IF(Inventory!E65="","",Inventory!E65)</f>
        <v/>
      </c>
      <c r="F62" s="785" t="str">
        <f>IF(Inventory!F65="","",Inventory!F65)</f>
        <v/>
      </c>
      <c r="G62" s="728" t="str">
        <f>IF(Inventory!G65="","",Inventory!G65)</f>
        <v/>
      </c>
      <c r="H62" s="728" t="str">
        <f>IF(Inventory!H65="","",Inventory!H65)</f>
        <v/>
      </c>
      <c r="I62" s="728" t="str">
        <f>IF(Inventory!I65="","",Inventory!I65)</f>
        <v/>
      </c>
      <c r="J62" s="728" t="str">
        <f>IF(Inventory!J65="","",Inventory!J65)</f>
        <v/>
      </c>
      <c r="K62" s="728" t="str">
        <f>IF(Inventory!K65="","",Inventory!K65)</f>
        <v/>
      </c>
      <c r="L62" s="728" t="str">
        <f>IF(Inventory!L65="","",Inventory!L65)</f>
        <v/>
      </c>
      <c r="M62" s="764" t="str">
        <f>IF(Inventory!M65="","",Inventory!M65)</f>
        <v/>
      </c>
      <c r="N62" s="728" t="str">
        <f>IF(Inventory!N65="","",Inventory!N65)</f>
        <v/>
      </c>
      <c r="O62" s="764" t="str">
        <f>IF(Inventory!O65="","",Inventory!O65)</f>
        <v/>
      </c>
      <c r="P62" s="728" t="str">
        <f>IF(Inventory!P65="","",Inventory!P65)</f>
        <v/>
      </c>
      <c r="Q62" s="520" t="str">
        <f>IF(Inventory!Q65="","",Inventory!Q65)</f>
        <v/>
      </c>
      <c r="R62" s="778" t="str">
        <f>IF(Inventory!R65="","",Inventory!R65)</f>
        <v/>
      </c>
      <c r="S62" s="778" t="str">
        <f>IF(Inventory!S65="","",Inventory!S65)</f>
        <v/>
      </c>
      <c r="T62" s="767" t="str">
        <f>IF(Inventory!T65="","",Inventory!T65)</f>
        <v/>
      </c>
      <c r="U62" s="778" t="str">
        <f>IF(Inventory!U65="","",Inventory!U65)</f>
        <v/>
      </c>
      <c r="V62" s="751" t="str">
        <f>IF(Inventory!V65="","",Inventory!V65)</f>
        <v/>
      </c>
      <c r="W62" s="871"/>
    </row>
    <row r="63" spans="2:23" s="618" customFormat="1" ht="21.95" customHeight="1" x14ac:dyDescent="0.25">
      <c r="B63" s="431">
        <v>57</v>
      </c>
      <c r="C63" s="501" t="str">
        <f>IF(Inventory!C66="","",Inventory!C66)</f>
        <v/>
      </c>
      <c r="D63" s="502" t="str">
        <f>IF(Inventory!D66="","",Inventory!D66)</f>
        <v/>
      </c>
      <c r="E63" s="546" t="str">
        <f>IF(Inventory!E66="","",Inventory!E66)</f>
        <v/>
      </c>
      <c r="F63" s="547" t="str">
        <f>IF(Inventory!F66="","",Inventory!F66)</f>
        <v/>
      </c>
      <c r="G63" s="729" t="str">
        <f>IF(Inventory!G66="","",Inventory!G66)</f>
        <v/>
      </c>
      <c r="H63" s="729" t="str">
        <f>IF(Inventory!H66="","",Inventory!H66)</f>
        <v/>
      </c>
      <c r="I63" s="729" t="str">
        <f>IF(Inventory!I66="","",Inventory!I66)</f>
        <v/>
      </c>
      <c r="J63" s="729" t="str">
        <f>IF(Inventory!J66="","",Inventory!J66)</f>
        <v/>
      </c>
      <c r="K63" s="729" t="str">
        <f>IF(Inventory!K66="","",Inventory!K66)</f>
        <v/>
      </c>
      <c r="L63" s="729" t="str">
        <f>IF(Inventory!L66="","",Inventory!L66)</f>
        <v/>
      </c>
      <c r="M63" s="765" t="str">
        <f>IF(Inventory!M66="","",Inventory!M66)</f>
        <v/>
      </c>
      <c r="N63" s="758" t="str">
        <f>IF(Inventory!N66="","",Inventory!N66)</f>
        <v/>
      </c>
      <c r="O63" s="765" t="str">
        <f>IF(Inventory!O66="","",Inventory!O66)</f>
        <v/>
      </c>
      <c r="P63" s="758" t="str">
        <f>IF(Inventory!P66="","",Inventory!P66)</f>
        <v/>
      </c>
      <c r="Q63" s="521" t="str">
        <f>IF(Inventory!Q66="","",Inventory!Q66)</f>
        <v/>
      </c>
      <c r="R63" s="775" t="str">
        <f>IF(Inventory!R66="","",Inventory!R66)</f>
        <v/>
      </c>
      <c r="S63" s="775" t="str">
        <f>IF(Inventory!S66="","",Inventory!S66)</f>
        <v/>
      </c>
      <c r="T63" s="729" t="str">
        <f>IF(Inventory!T66="","",Inventory!T66)</f>
        <v/>
      </c>
      <c r="U63" s="775" t="str">
        <f>IF(Inventory!U66="","",Inventory!U66)</f>
        <v/>
      </c>
      <c r="V63" s="779" t="str">
        <f>IF(Inventory!V66="","",Inventory!V66)</f>
        <v/>
      </c>
      <c r="W63" s="866"/>
    </row>
    <row r="64" spans="2:23" s="618" customFormat="1" ht="21.95" customHeight="1" x14ac:dyDescent="0.25">
      <c r="B64" s="432">
        <v>58</v>
      </c>
      <c r="C64" s="499" t="str">
        <f>IF(Inventory!C67="","",Inventory!C67)</f>
        <v/>
      </c>
      <c r="D64" s="751" t="str">
        <f>IF(Inventory!D67="","",Inventory!D67)</f>
        <v/>
      </c>
      <c r="E64" s="541" t="str">
        <f>IF(Inventory!E67="","",Inventory!E67)</f>
        <v/>
      </c>
      <c r="F64" s="785" t="str">
        <f>IF(Inventory!F67="","",Inventory!F67)</f>
        <v/>
      </c>
      <c r="G64" s="728" t="str">
        <f>IF(Inventory!G67="","",Inventory!G67)</f>
        <v/>
      </c>
      <c r="H64" s="728" t="str">
        <f>IF(Inventory!H67="","",Inventory!H67)</f>
        <v/>
      </c>
      <c r="I64" s="728" t="str">
        <f>IF(Inventory!I67="","",Inventory!I67)</f>
        <v/>
      </c>
      <c r="J64" s="728" t="str">
        <f>IF(Inventory!J67="","",Inventory!J67)</f>
        <v/>
      </c>
      <c r="K64" s="728" t="str">
        <f>IF(Inventory!K67="","",Inventory!K67)</f>
        <v/>
      </c>
      <c r="L64" s="728" t="str">
        <f>IF(Inventory!L67="","",Inventory!L67)</f>
        <v/>
      </c>
      <c r="M64" s="764" t="str">
        <f>IF(Inventory!M67="","",Inventory!M67)</f>
        <v/>
      </c>
      <c r="N64" s="728" t="str">
        <f>IF(Inventory!N67="","",Inventory!N67)</f>
        <v/>
      </c>
      <c r="O64" s="764" t="str">
        <f>IF(Inventory!O67="","",Inventory!O67)</f>
        <v/>
      </c>
      <c r="P64" s="728" t="str">
        <f>IF(Inventory!P67="","",Inventory!P67)</f>
        <v/>
      </c>
      <c r="Q64" s="520" t="str">
        <f>IF(Inventory!Q67="","",Inventory!Q67)</f>
        <v/>
      </c>
      <c r="R64" s="778" t="str">
        <f>IF(Inventory!R67="","",Inventory!R67)</f>
        <v/>
      </c>
      <c r="S64" s="778" t="str">
        <f>IF(Inventory!S67="","",Inventory!S67)</f>
        <v/>
      </c>
      <c r="T64" s="767" t="str">
        <f>IF(Inventory!T67="","",Inventory!T67)</f>
        <v/>
      </c>
      <c r="U64" s="778" t="str">
        <f>IF(Inventory!U67="","",Inventory!U67)</f>
        <v/>
      </c>
      <c r="V64" s="751" t="str">
        <f>IF(Inventory!V67="","",Inventory!V67)</f>
        <v/>
      </c>
      <c r="W64" s="871"/>
    </row>
    <row r="65" spans="2:23" s="618" customFormat="1" ht="21.95" customHeight="1" x14ac:dyDescent="0.25">
      <c r="B65" s="431">
        <v>59</v>
      </c>
      <c r="C65" s="501" t="str">
        <f>IF(Inventory!C68="","",Inventory!C68)</f>
        <v/>
      </c>
      <c r="D65" s="502" t="str">
        <f>IF(Inventory!D68="","",Inventory!D68)</f>
        <v/>
      </c>
      <c r="E65" s="546" t="str">
        <f>IF(Inventory!E68="","",Inventory!E68)</f>
        <v/>
      </c>
      <c r="F65" s="547" t="str">
        <f>IF(Inventory!F68="","",Inventory!F68)</f>
        <v/>
      </c>
      <c r="G65" s="729" t="str">
        <f>IF(Inventory!G68="","",Inventory!G68)</f>
        <v/>
      </c>
      <c r="H65" s="729" t="str">
        <f>IF(Inventory!H68="","",Inventory!H68)</f>
        <v/>
      </c>
      <c r="I65" s="729" t="str">
        <f>IF(Inventory!I68="","",Inventory!I68)</f>
        <v/>
      </c>
      <c r="J65" s="729" t="str">
        <f>IF(Inventory!J68="","",Inventory!J68)</f>
        <v/>
      </c>
      <c r="K65" s="729" t="str">
        <f>IF(Inventory!K68="","",Inventory!K68)</f>
        <v/>
      </c>
      <c r="L65" s="729" t="str">
        <f>IF(Inventory!L68="","",Inventory!L68)</f>
        <v/>
      </c>
      <c r="M65" s="765" t="str">
        <f>IF(Inventory!M68="","",Inventory!M68)</f>
        <v/>
      </c>
      <c r="N65" s="758" t="str">
        <f>IF(Inventory!N68="","",Inventory!N68)</f>
        <v/>
      </c>
      <c r="O65" s="765" t="str">
        <f>IF(Inventory!O68="","",Inventory!O68)</f>
        <v/>
      </c>
      <c r="P65" s="758" t="str">
        <f>IF(Inventory!P68="","",Inventory!P68)</f>
        <v/>
      </c>
      <c r="Q65" s="521" t="str">
        <f>IF(Inventory!Q68="","",Inventory!Q68)</f>
        <v/>
      </c>
      <c r="R65" s="775" t="str">
        <f>IF(Inventory!R68="","",Inventory!R68)</f>
        <v/>
      </c>
      <c r="S65" s="775" t="str">
        <f>IF(Inventory!S68="","",Inventory!S68)</f>
        <v/>
      </c>
      <c r="T65" s="729" t="str">
        <f>IF(Inventory!T68="","",Inventory!T68)</f>
        <v/>
      </c>
      <c r="U65" s="775" t="str">
        <f>IF(Inventory!U68="","",Inventory!U68)</f>
        <v/>
      </c>
      <c r="V65" s="779" t="str">
        <f>IF(Inventory!V68="","",Inventory!V68)</f>
        <v/>
      </c>
      <c r="W65" s="866"/>
    </row>
    <row r="66" spans="2:23" s="618" customFormat="1" ht="21.95" customHeight="1" x14ac:dyDescent="0.25">
      <c r="B66" s="432">
        <v>60</v>
      </c>
      <c r="C66" s="499" t="str">
        <f>IF(Inventory!C69="","",Inventory!C69)</f>
        <v/>
      </c>
      <c r="D66" s="751" t="str">
        <f>IF(Inventory!D69="","",Inventory!D69)</f>
        <v/>
      </c>
      <c r="E66" s="541" t="str">
        <f>IF(Inventory!E69="","",Inventory!E69)</f>
        <v/>
      </c>
      <c r="F66" s="785" t="str">
        <f>IF(Inventory!F69="","",Inventory!F69)</f>
        <v/>
      </c>
      <c r="G66" s="728" t="str">
        <f>IF(Inventory!G69="","",Inventory!G69)</f>
        <v/>
      </c>
      <c r="H66" s="728" t="str">
        <f>IF(Inventory!H69="","",Inventory!H69)</f>
        <v/>
      </c>
      <c r="I66" s="728" t="str">
        <f>IF(Inventory!I69="","",Inventory!I69)</f>
        <v/>
      </c>
      <c r="J66" s="728" t="str">
        <f>IF(Inventory!J69="","",Inventory!J69)</f>
        <v/>
      </c>
      <c r="K66" s="728" t="str">
        <f>IF(Inventory!K69="","",Inventory!K69)</f>
        <v/>
      </c>
      <c r="L66" s="728" t="str">
        <f>IF(Inventory!L69="","",Inventory!L69)</f>
        <v/>
      </c>
      <c r="M66" s="764" t="str">
        <f>IF(Inventory!M69="","",Inventory!M69)</f>
        <v/>
      </c>
      <c r="N66" s="728" t="str">
        <f>IF(Inventory!N69="","",Inventory!N69)</f>
        <v/>
      </c>
      <c r="O66" s="764" t="str">
        <f>IF(Inventory!O69="","",Inventory!O69)</f>
        <v/>
      </c>
      <c r="P66" s="728" t="str">
        <f>IF(Inventory!P69="","",Inventory!P69)</f>
        <v/>
      </c>
      <c r="Q66" s="520" t="str">
        <f>IF(Inventory!Q69="","",Inventory!Q69)</f>
        <v/>
      </c>
      <c r="R66" s="778" t="str">
        <f>IF(Inventory!R69="","",Inventory!R69)</f>
        <v/>
      </c>
      <c r="S66" s="778" t="str">
        <f>IF(Inventory!S69="","",Inventory!S69)</f>
        <v/>
      </c>
      <c r="T66" s="767" t="str">
        <f>IF(Inventory!T69="","",Inventory!T69)</f>
        <v/>
      </c>
      <c r="U66" s="778" t="str">
        <f>IF(Inventory!U69="","",Inventory!U69)</f>
        <v/>
      </c>
      <c r="V66" s="751" t="str">
        <f>IF(Inventory!V69="","",Inventory!V69)</f>
        <v/>
      </c>
      <c r="W66" s="871"/>
    </row>
    <row r="67" spans="2:23" s="618" customFormat="1" ht="21.95" customHeight="1" x14ac:dyDescent="0.25">
      <c r="B67" s="431">
        <v>61</v>
      </c>
      <c r="C67" s="501" t="str">
        <f>IF(Inventory!C70="","",Inventory!C70)</f>
        <v/>
      </c>
      <c r="D67" s="502" t="str">
        <f>IF(Inventory!D70="","",Inventory!D70)</f>
        <v/>
      </c>
      <c r="E67" s="546" t="str">
        <f>IF(Inventory!E70="","",Inventory!E70)</f>
        <v/>
      </c>
      <c r="F67" s="547" t="str">
        <f>IF(Inventory!F70="","",Inventory!F70)</f>
        <v/>
      </c>
      <c r="G67" s="729" t="str">
        <f>IF(Inventory!G70="","",Inventory!G70)</f>
        <v/>
      </c>
      <c r="H67" s="729" t="str">
        <f>IF(Inventory!H70="","",Inventory!H70)</f>
        <v/>
      </c>
      <c r="I67" s="729" t="str">
        <f>IF(Inventory!I70="","",Inventory!I70)</f>
        <v/>
      </c>
      <c r="J67" s="729" t="str">
        <f>IF(Inventory!J70="","",Inventory!J70)</f>
        <v/>
      </c>
      <c r="K67" s="729" t="str">
        <f>IF(Inventory!K70="","",Inventory!K70)</f>
        <v/>
      </c>
      <c r="L67" s="729" t="str">
        <f>IF(Inventory!L70="","",Inventory!L70)</f>
        <v/>
      </c>
      <c r="M67" s="765" t="str">
        <f>IF(Inventory!M70="","",Inventory!M70)</f>
        <v/>
      </c>
      <c r="N67" s="758" t="str">
        <f>IF(Inventory!N70="","",Inventory!N70)</f>
        <v/>
      </c>
      <c r="O67" s="765" t="str">
        <f>IF(Inventory!O70="","",Inventory!O70)</f>
        <v/>
      </c>
      <c r="P67" s="758" t="str">
        <f>IF(Inventory!P70="","",Inventory!P70)</f>
        <v/>
      </c>
      <c r="Q67" s="521" t="str">
        <f>IF(Inventory!Q70="","",Inventory!Q70)</f>
        <v/>
      </c>
      <c r="R67" s="775" t="str">
        <f>IF(Inventory!R70="","",Inventory!R70)</f>
        <v/>
      </c>
      <c r="S67" s="775" t="str">
        <f>IF(Inventory!S70="","",Inventory!S70)</f>
        <v/>
      </c>
      <c r="T67" s="729" t="str">
        <f>IF(Inventory!T70="","",Inventory!T70)</f>
        <v/>
      </c>
      <c r="U67" s="775" t="str">
        <f>IF(Inventory!U70="","",Inventory!U70)</f>
        <v/>
      </c>
      <c r="V67" s="779" t="str">
        <f>IF(Inventory!V70="","",Inventory!V70)</f>
        <v/>
      </c>
      <c r="W67" s="866"/>
    </row>
    <row r="68" spans="2:23" s="618" customFormat="1" ht="21.95" customHeight="1" x14ac:dyDescent="0.25">
      <c r="B68" s="432">
        <v>62</v>
      </c>
      <c r="C68" s="499" t="str">
        <f>IF(Inventory!C71="","",Inventory!C71)</f>
        <v/>
      </c>
      <c r="D68" s="751" t="str">
        <f>IF(Inventory!D71="","",Inventory!D71)</f>
        <v/>
      </c>
      <c r="E68" s="541" t="str">
        <f>IF(Inventory!E71="","",Inventory!E71)</f>
        <v/>
      </c>
      <c r="F68" s="785" t="str">
        <f>IF(Inventory!F71="","",Inventory!F71)</f>
        <v/>
      </c>
      <c r="G68" s="728" t="str">
        <f>IF(Inventory!G71="","",Inventory!G71)</f>
        <v/>
      </c>
      <c r="H68" s="728" t="str">
        <f>IF(Inventory!H71="","",Inventory!H71)</f>
        <v/>
      </c>
      <c r="I68" s="728" t="str">
        <f>IF(Inventory!I71="","",Inventory!I71)</f>
        <v/>
      </c>
      <c r="J68" s="728" t="str">
        <f>IF(Inventory!J71="","",Inventory!J71)</f>
        <v/>
      </c>
      <c r="K68" s="728" t="str">
        <f>IF(Inventory!K71="","",Inventory!K71)</f>
        <v/>
      </c>
      <c r="L68" s="728" t="str">
        <f>IF(Inventory!L71="","",Inventory!L71)</f>
        <v/>
      </c>
      <c r="M68" s="764" t="str">
        <f>IF(Inventory!M71="","",Inventory!M71)</f>
        <v/>
      </c>
      <c r="N68" s="728" t="str">
        <f>IF(Inventory!N71="","",Inventory!N71)</f>
        <v/>
      </c>
      <c r="O68" s="764" t="str">
        <f>IF(Inventory!O71="","",Inventory!O71)</f>
        <v/>
      </c>
      <c r="P68" s="728" t="str">
        <f>IF(Inventory!P71="","",Inventory!P71)</f>
        <v/>
      </c>
      <c r="Q68" s="520" t="str">
        <f>IF(Inventory!Q71="","",Inventory!Q71)</f>
        <v/>
      </c>
      <c r="R68" s="778" t="str">
        <f>IF(Inventory!R71="","",Inventory!R71)</f>
        <v/>
      </c>
      <c r="S68" s="778" t="str">
        <f>IF(Inventory!S71="","",Inventory!S71)</f>
        <v/>
      </c>
      <c r="T68" s="767" t="str">
        <f>IF(Inventory!T71="","",Inventory!T71)</f>
        <v/>
      </c>
      <c r="U68" s="778" t="str">
        <f>IF(Inventory!U71="","",Inventory!U71)</f>
        <v/>
      </c>
      <c r="V68" s="751" t="str">
        <f>IF(Inventory!V71="","",Inventory!V71)</f>
        <v/>
      </c>
      <c r="W68" s="871"/>
    </row>
    <row r="69" spans="2:23" s="618" customFormat="1" ht="21.95" customHeight="1" x14ac:dyDescent="0.25">
      <c r="B69" s="431">
        <v>63</v>
      </c>
      <c r="C69" s="501" t="str">
        <f>IF(Inventory!C72="","",Inventory!C72)</f>
        <v/>
      </c>
      <c r="D69" s="502" t="str">
        <f>IF(Inventory!D72="","",Inventory!D72)</f>
        <v/>
      </c>
      <c r="E69" s="546" t="str">
        <f>IF(Inventory!E72="","",Inventory!E72)</f>
        <v/>
      </c>
      <c r="F69" s="547" t="str">
        <f>IF(Inventory!F72="","",Inventory!F72)</f>
        <v/>
      </c>
      <c r="G69" s="729" t="str">
        <f>IF(Inventory!G72="","",Inventory!G72)</f>
        <v/>
      </c>
      <c r="H69" s="729" t="str">
        <f>IF(Inventory!H72="","",Inventory!H72)</f>
        <v/>
      </c>
      <c r="I69" s="729" t="str">
        <f>IF(Inventory!I72="","",Inventory!I72)</f>
        <v/>
      </c>
      <c r="J69" s="729" t="str">
        <f>IF(Inventory!J72="","",Inventory!J72)</f>
        <v/>
      </c>
      <c r="K69" s="729" t="str">
        <f>IF(Inventory!K72="","",Inventory!K72)</f>
        <v/>
      </c>
      <c r="L69" s="729" t="str">
        <f>IF(Inventory!L72="","",Inventory!L72)</f>
        <v/>
      </c>
      <c r="M69" s="765" t="str">
        <f>IF(Inventory!M72="","",Inventory!M72)</f>
        <v/>
      </c>
      <c r="N69" s="758" t="str">
        <f>IF(Inventory!N72="","",Inventory!N72)</f>
        <v/>
      </c>
      <c r="O69" s="765" t="str">
        <f>IF(Inventory!O72="","",Inventory!O72)</f>
        <v/>
      </c>
      <c r="P69" s="758" t="str">
        <f>IF(Inventory!P72="","",Inventory!P72)</f>
        <v/>
      </c>
      <c r="Q69" s="521" t="str">
        <f>IF(Inventory!Q72="","",Inventory!Q72)</f>
        <v/>
      </c>
      <c r="R69" s="775" t="str">
        <f>IF(Inventory!R72="","",Inventory!R72)</f>
        <v/>
      </c>
      <c r="S69" s="775" t="str">
        <f>IF(Inventory!S72="","",Inventory!S72)</f>
        <v/>
      </c>
      <c r="T69" s="729" t="str">
        <f>IF(Inventory!T72="","",Inventory!T72)</f>
        <v/>
      </c>
      <c r="U69" s="775" t="str">
        <f>IF(Inventory!U72="","",Inventory!U72)</f>
        <v/>
      </c>
      <c r="V69" s="779" t="str">
        <f>IF(Inventory!V72="","",Inventory!V72)</f>
        <v/>
      </c>
      <c r="W69" s="866"/>
    </row>
    <row r="70" spans="2:23" s="618" customFormat="1" ht="21.95" customHeight="1" x14ac:dyDescent="0.25">
      <c r="B70" s="432">
        <v>64</v>
      </c>
      <c r="C70" s="499" t="str">
        <f>IF(Inventory!C73="","",Inventory!C73)</f>
        <v/>
      </c>
      <c r="D70" s="751" t="str">
        <f>IF(Inventory!D73="","",Inventory!D73)</f>
        <v/>
      </c>
      <c r="E70" s="541" t="str">
        <f>IF(Inventory!E73="","",Inventory!E73)</f>
        <v/>
      </c>
      <c r="F70" s="785" t="str">
        <f>IF(Inventory!F73="","",Inventory!F73)</f>
        <v/>
      </c>
      <c r="G70" s="728" t="str">
        <f>IF(Inventory!G73="","",Inventory!G73)</f>
        <v/>
      </c>
      <c r="H70" s="728" t="str">
        <f>IF(Inventory!H73="","",Inventory!H73)</f>
        <v/>
      </c>
      <c r="I70" s="728" t="str">
        <f>IF(Inventory!I73="","",Inventory!I73)</f>
        <v/>
      </c>
      <c r="J70" s="728" t="str">
        <f>IF(Inventory!J73="","",Inventory!J73)</f>
        <v/>
      </c>
      <c r="K70" s="728" t="str">
        <f>IF(Inventory!K73="","",Inventory!K73)</f>
        <v/>
      </c>
      <c r="L70" s="728" t="str">
        <f>IF(Inventory!L73="","",Inventory!L73)</f>
        <v/>
      </c>
      <c r="M70" s="764" t="str">
        <f>IF(Inventory!M73="","",Inventory!M73)</f>
        <v/>
      </c>
      <c r="N70" s="728" t="str">
        <f>IF(Inventory!N73="","",Inventory!N73)</f>
        <v/>
      </c>
      <c r="O70" s="764" t="str">
        <f>IF(Inventory!O73="","",Inventory!O73)</f>
        <v/>
      </c>
      <c r="P70" s="728" t="str">
        <f>IF(Inventory!P73="","",Inventory!P73)</f>
        <v/>
      </c>
      <c r="Q70" s="520" t="str">
        <f>IF(Inventory!Q73="","",Inventory!Q73)</f>
        <v/>
      </c>
      <c r="R70" s="778" t="str">
        <f>IF(Inventory!R73="","",Inventory!R73)</f>
        <v/>
      </c>
      <c r="S70" s="778" t="str">
        <f>IF(Inventory!S73="","",Inventory!S73)</f>
        <v/>
      </c>
      <c r="T70" s="767" t="str">
        <f>IF(Inventory!T73="","",Inventory!T73)</f>
        <v/>
      </c>
      <c r="U70" s="778" t="str">
        <f>IF(Inventory!U73="","",Inventory!U73)</f>
        <v/>
      </c>
      <c r="V70" s="751" t="str">
        <f>IF(Inventory!V73="","",Inventory!V73)</f>
        <v/>
      </c>
      <c r="W70" s="871"/>
    </row>
    <row r="71" spans="2:23" s="618" customFormat="1" ht="21.95" customHeight="1" x14ac:dyDescent="0.25">
      <c r="B71" s="431">
        <v>65</v>
      </c>
      <c r="C71" s="501" t="str">
        <f>IF(Inventory!C74="","",Inventory!C74)</f>
        <v/>
      </c>
      <c r="D71" s="502" t="str">
        <f>IF(Inventory!D74="","",Inventory!D74)</f>
        <v/>
      </c>
      <c r="E71" s="546" t="str">
        <f>IF(Inventory!E74="","",Inventory!E74)</f>
        <v/>
      </c>
      <c r="F71" s="547" t="str">
        <f>IF(Inventory!F74="","",Inventory!F74)</f>
        <v/>
      </c>
      <c r="G71" s="729" t="str">
        <f>IF(Inventory!G74="","",Inventory!G74)</f>
        <v/>
      </c>
      <c r="H71" s="729" t="str">
        <f>IF(Inventory!H74="","",Inventory!H74)</f>
        <v/>
      </c>
      <c r="I71" s="729" t="str">
        <f>IF(Inventory!I74="","",Inventory!I74)</f>
        <v/>
      </c>
      <c r="J71" s="729" t="str">
        <f>IF(Inventory!J74="","",Inventory!J74)</f>
        <v/>
      </c>
      <c r="K71" s="729" t="str">
        <f>IF(Inventory!K74="","",Inventory!K74)</f>
        <v/>
      </c>
      <c r="L71" s="729" t="str">
        <f>IF(Inventory!L74="","",Inventory!L74)</f>
        <v/>
      </c>
      <c r="M71" s="765" t="str">
        <f>IF(Inventory!M74="","",Inventory!M74)</f>
        <v/>
      </c>
      <c r="N71" s="758" t="str">
        <f>IF(Inventory!N74="","",Inventory!N74)</f>
        <v/>
      </c>
      <c r="O71" s="765" t="str">
        <f>IF(Inventory!O74="","",Inventory!O74)</f>
        <v/>
      </c>
      <c r="P71" s="758" t="str">
        <f>IF(Inventory!P74="","",Inventory!P74)</f>
        <v/>
      </c>
      <c r="Q71" s="521" t="str">
        <f>IF(Inventory!Q74="","",Inventory!Q74)</f>
        <v/>
      </c>
      <c r="R71" s="775" t="str">
        <f>IF(Inventory!R74="","",Inventory!R74)</f>
        <v/>
      </c>
      <c r="S71" s="775" t="str">
        <f>IF(Inventory!S74="","",Inventory!S74)</f>
        <v/>
      </c>
      <c r="T71" s="729" t="str">
        <f>IF(Inventory!T74="","",Inventory!T74)</f>
        <v/>
      </c>
      <c r="U71" s="775" t="str">
        <f>IF(Inventory!U74="","",Inventory!U74)</f>
        <v/>
      </c>
      <c r="V71" s="779" t="str">
        <f>IF(Inventory!V74="","",Inventory!V74)</f>
        <v/>
      </c>
      <c r="W71" s="866"/>
    </row>
    <row r="72" spans="2:23" s="618" customFormat="1" ht="21.95" customHeight="1" x14ac:dyDescent="0.25">
      <c r="B72" s="432">
        <v>66</v>
      </c>
      <c r="C72" s="499" t="str">
        <f>IF(Inventory!C75="","",Inventory!C75)</f>
        <v/>
      </c>
      <c r="D72" s="751" t="str">
        <f>IF(Inventory!D75="","",Inventory!D75)</f>
        <v/>
      </c>
      <c r="E72" s="541" t="str">
        <f>IF(Inventory!E75="","",Inventory!E75)</f>
        <v/>
      </c>
      <c r="F72" s="785" t="str">
        <f>IF(Inventory!F75="","",Inventory!F75)</f>
        <v/>
      </c>
      <c r="G72" s="728" t="str">
        <f>IF(Inventory!G75="","",Inventory!G75)</f>
        <v/>
      </c>
      <c r="H72" s="728" t="str">
        <f>IF(Inventory!H75="","",Inventory!H75)</f>
        <v/>
      </c>
      <c r="I72" s="728" t="str">
        <f>IF(Inventory!I75="","",Inventory!I75)</f>
        <v/>
      </c>
      <c r="J72" s="728" t="str">
        <f>IF(Inventory!J75="","",Inventory!J75)</f>
        <v/>
      </c>
      <c r="K72" s="728" t="str">
        <f>IF(Inventory!K75="","",Inventory!K75)</f>
        <v/>
      </c>
      <c r="L72" s="728" t="str">
        <f>IF(Inventory!L75="","",Inventory!L75)</f>
        <v/>
      </c>
      <c r="M72" s="764" t="str">
        <f>IF(Inventory!M75="","",Inventory!M75)</f>
        <v/>
      </c>
      <c r="N72" s="728" t="str">
        <f>IF(Inventory!N75="","",Inventory!N75)</f>
        <v/>
      </c>
      <c r="O72" s="764" t="str">
        <f>IF(Inventory!O75="","",Inventory!O75)</f>
        <v/>
      </c>
      <c r="P72" s="728" t="str">
        <f>IF(Inventory!P75="","",Inventory!P75)</f>
        <v/>
      </c>
      <c r="Q72" s="520" t="str">
        <f>IF(Inventory!Q75="","",Inventory!Q75)</f>
        <v/>
      </c>
      <c r="R72" s="778" t="str">
        <f>IF(Inventory!R75="","",Inventory!R75)</f>
        <v/>
      </c>
      <c r="S72" s="778" t="str">
        <f>IF(Inventory!S75="","",Inventory!S75)</f>
        <v/>
      </c>
      <c r="T72" s="767" t="str">
        <f>IF(Inventory!T75="","",Inventory!T75)</f>
        <v/>
      </c>
      <c r="U72" s="778" t="str">
        <f>IF(Inventory!U75="","",Inventory!U75)</f>
        <v/>
      </c>
      <c r="V72" s="751" t="str">
        <f>IF(Inventory!V75="","",Inventory!V75)</f>
        <v/>
      </c>
      <c r="W72" s="871"/>
    </row>
    <row r="73" spans="2:23" s="618" customFormat="1" ht="21.95" customHeight="1" x14ac:dyDescent="0.25">
      <c r="B73" s="431">
        <v>67</v>
      </c>
      <c r="C73" s="501" t="str">
        <f>IF(Inventory!C76="","",Inventory!C76)</f>
        <v/>
      </c>
      <c r="D73" s="502" t="str">
        <f>IF(Inventory!D76="","",Inventory!D76)</f>
        <v/>
      </c>
      <c r="E73" s="546" t="str">
        <f>IF(Inventory!E76="","",Inventory!E76)</f>
        <v/>
      </c>
      <c r="F73" s="547" t="str">
        <f>IF(Inventory!F76="","",Inventory!F76)</f>
        <v/>
      </c>
      <c r="G73" s="729" t="str">
        <f>IF(Inventory!G76="","",Inventory!G76)</f>
        <v/>
      </c>
      <c r="H73" s="729" t="str">
        <f>IF(Inventory!H76="","",Inventory!H76)</f>
        <v/>
      </c>
      <c r="I73" s="729" t="str">
        <f>IF(Inventory!I76="","",Inventory!I76)</f>
        <v/>
      </c>
      <c r="J73" s="729" t="str">
        <f>IF(Inventory!J76="","",Inventory!J76)</f>
        <v/>
      </c>
      <c r="K73" s="729" t="str">
        <f>IF(Inventory!K76="","",Inventory!K76)</f>
        <v/>
      </c>
      <c r="L73" s="729" t="str">
        <f>IF(Inventory!L76="","",Inventory!L76)</f>
        <v/>
      </c>
      <c r="M73" s="765" t="str">
        <f>IF(Inventory!M76="","",Inventory!M76)</f>
        <v/>
      </c>
      <c r="N73" s="758" t="str">
        <f>IF(Inventory!N76="","",Inventory!N76)</f>
        <v/>
      </c>
      <c r="O73" s="765" t="str">
        <f>IF(Inventory!O76="","",Inventory!O76)</f>
        <v/>
      </c>
      <c r="P73" s="758" t="str">
        <f>IF(Inventory!P76="","",Inventory!P76)</f>
        <v/>
      </c>
      <c r="Q73" s="521" t="str">
        <f>IF(Inventory!Q76="","",Inventory!Q76)</f>
        <v/>
      </c>
      <c r="R73" s="775" t="str">
        <f>IF(Inventory!R76="","",Inventory!R76)</f>
        <v/>
      </c>
      <c r="S73" s="775" t="str">
        <f>IF(Inventory!S76="","",Inventory!S76)</f>
        <v/>
      </c>
      <c r="T73" s="729" t="str">
        <f>IF(Inventory!T76="","",Inventory!T76)</f>
        <v/>
      </c>
      <c r="U73" s="775" t="str">
        <f>IF(Inventory!U76="","",Inventory!U76)</f>
        <v/>
      </c>
      <c r="V73" s="779" t="str">
        <f>IF(Inventory!V76="","",Inventory!V76)</f>
        <v/>
      </c>
      <c r="W73" s="866"/>
    </row>
    <row r="74" spans="2:23" s="618" customFormat="1" ht="21.95" customHeight="1" x14ac:dyDescent="0.25">
      <c r="B74" s="432">
        <v>68</v>
      </c>
      <c r="C74" s="499" t="str">
        <f>IF(Inventory!C77="","",Inventory!C77)</f>
        <v/>
      </c>
      <c r="D74" s="751" t="str">
        <f>IF(Inventory!D77="","",Inventory!D77)</f>
        <v/>
      </c>
      <c r="E74" s="541" t="str">
        <f>IF(Inventory!E77="","",Inventory!E77)</f>
        <v/>
      </c>
      <c r="F74" s="785" t="str">
        <f>IF(Inventory!F77="","",Inventory!F77)</f>
        <v/>
      </c>
      <c r="G74" s="728" t="str">
        <f>IF(Inventory!G77="","",Inventory!G77)</f>
        <v/>
      </c>
      <c r="H74" s="728" t="str">
        <f>IF(Inventory!H77="","",Inventory!H77)</f>
        <v/>
      </c>
      <c r="I74" s="728" t="str">
        <f>IF(Inventory!I77="","",Inventory!I77)</f>
        <v/>
      </c>
      <c r="J74" s="728" t="str">
        <f>IF(Inventory!J77="","",Inventory!J77)</f>
        <v/>
      </c>
      <c r="K74" s="728" t="str">
        <f>IF(Inventory!K77="","",Inventory!K77)</f>
        <v/>
      </c>
      <c r="L74" s="728" t="str">
        <f>IF(Inventory!L77="","",Inventory!L77)</f>
        <v/>
      </c>
      <c r="M74" s="764" t="str">
        <f>IF(Inventory!M77="","",Inventory!M77)</f>
        <v/>
      </c>
      <c r="N74" s="728" t="str">
        <f>IF(Inventory!N77="","",Inventory!N77)</f>
        <v/>
      </c>
      <c r="O74" s="764" t="str">
        <f>IF(Inventory!O77="","",Inventory!O77)</f>
        <v/>
      </c>
      <c r="P74" s="728" t="str">
        <f>IF(Inventory!P77="","",Inventory!P77)</f>
        <v/>
      </c>
      <c r="Q74" s="520" t="str">
        <f>IF(Inventory!Q77="","",Inventory!Q77)</f>
        <v/>
      </c>
      <c r="R74" s="778" t="str">
        <f>IF(Inventory!R77="","",Inventory!R77)</f>
        <v/>
      </c>
      <c r="S74" s="778" t="str">
        <f>IF(Inventory!S77="","",Inventory!S77)</f>
        <v/>
      </c>
      <c r="T74" s="767" t="str">
        <f>IF(Inventory!T77="","",Inventory!T77)</f>
        <v/>
      </c>
      <c r="U74" s="778" t="str">
        <f>IF(Inventory!U77="","",Inventory!U77)</f>
        <v/>
      </c>
      <c r="V74" s="751" t="str">
        <f>IF(Inventory!V77="","",Inventory!V77)</f>
        <v/>
      </c>
      <c r="W74" s="871"/>
    </row>
    <row r="75" spans="2:23" s="618" customFormat="1" ht="21.95" customHeight="1" x14ac:dyDescent="0.25">
      <c r="B75" s="431">
        <v>69</v>
      </c>
      <c r="C75" s="501" t="str">
        <f>IF(Inventory!C78="","",Inventory!C78)</f>
        <v/>
      </c>
      <c r="D75" s="502" t="str">
        <f>IF(Inventory!D78="","",Inventory!D78)</f>
        <v/>
      </c>
      <c r="E75" s="546" t="str">
        <f>IF(Inventory!E78="","",Inventory!E78)</f>
        <v/>
      </c>
      <c r="F75" s="547" t="str">
        <f>IF(Inventory!F78="","",Inventory!F78)</f>
        <v/>
      </c>
      <c r="G75" s="729" t="str">
        <f>IF(Inventory!G78="","",Inventory!G78)</f>
        <v/>
      </c>
      <c r="H75" s="729" t="str">
        <f>IF(Inventory!H78="","",Inventory!H78)</f>
        <v/>
      </c>
      <c r="I75" s="729" t="str">
        <f>IF(Inventory!I78="","",Inventory!I78)</f>
        <v/>
      </c>
      <c r="J75" s="729" t="str">
        <f>IF(Inventory!J78="","",Inventory!J78)</f>
        <v/>
      </c>
      <c r="K75" s="729" t="str">
        <f>IF(Inventory!K78="","",Inventory!K78)</f>
        <v/>
      </c>
      <c r="L75" s="729" t="str">
        <f>IF(Inventory!L78="","",Inventory!L78)</f>
        <v/>
      </c>
      <c r="M75" s="765" t="str">
        <f>IF(Inventory!M78="","",Inventory!M78)</f>
        <v/>
      </c>
      <c r="N75" s="758" t="str">
        <f>IF(Inventory!N78="","",Inventory!N78)</f>
        <v/>
      </c>
      <c r="O75" s="765" t="str">
        <f>IF(Inventory!O78="","",Inventory!O78)</f>
        <v/>
      </c>
      <c r="P75" s="758" t="str">
        <f>IF(Inventory!P78="","",Inventory!P78)</f>
        <v/>
      </c>
      <c r="Q75" s="521" t="str">
        <f>IF(Inventory!Q78="","",Inventory!Q78)</f>
        <v/>
      </c>
      <c r="R75" s="775" t="str">
        <f>IF(Inventory!R78="","",Inventory!R78)</f>
        <v/>
      </c>
      <c r="S75" s="775" t="str">
        <f>IF(Inventory!S78="","",Inventory!S78)</f>
        <v/>
      </c>
      <c r="T75" s="729" t="str">
        <f>IF(Inventory!T78="","",Inventory!T78)</f>
        <v/>
      </c>
      <c r="U75" s="775" t="str">
        <f>IF(Inventory!U78="","",Inventory!U78)</f>
        <v/>
      </c>
      <c r="V75" s="779" t="str">
        <f>IF(Inventory!V78="","",Inventory!V78)</f>
        <v/>
      </c>
      <c r="W75" s="866"/>
    </row>
    <row r="76" spans="2:23" s="618" customFormat="1" ht="21.95" customHeight="1" x14ac:dyDescent="0.25">
      <c r="B76" s="432">
        <v>70</v>
      </c>
      <c r="C76" s="499" t="str">
        <f>IF(Inventory!C79="","",Inventory!C79)</f>
        <v/>
      </c>
      <c r="D76" s="751" t="str">
        <f>IF(Inventory!D79="","",Inventory!D79)</f>
        <v/>
      </c>
      <c r="E76" s="541" t="str">
        <f>IF(Inventory!E79="","",Inventory!E79)</f>
        <v/>
      </c>
      <c r="F76" s="785" t="str">
        <f>IF(Inventory!F79="","",Inventory!F79)</f>
        <v/>
      </c>
      <c r="G76" s="728" t="str">
        <f>IF(Inventory!G79="","",Inventory!G79)</f>
        <v/>
      </c>
      <c r="H76" s="728" t="str">
        <f>IF(Inventory!H79="","",Inventory!H79)</f>
        <v/>
      </c>
      <c r="I76" s="728" t="str">
        <f>IF(Inventory!I79="","",Inventory!I79)</f>
        <v/>
      </c>
      <c r="J76" s="728" t="str">
        <f>IF(Inventory!J79="","",Inventory!J79)</f>
        <v/>
      </c>
      <c r="K76" s="728" t="str">
        <f>IF(Inventory!K79="","",Inventory!K79)</f>
        <v/>
      </c>
      <c r="L76" s="728" t="str">
        <f>IF(Inventory!L79="","",Inventory!L79)</f>
        <v/>
      </c>
      <c r="M76" s="764" t="str">
        <f>IF(Inventory!M79="","",Inventory!M79)</f>
        <v/>
      </c>
      <c r="N76" s="728" t="str">
        <f>IF(Inventory!N79="","",Inventory!N79)</f>
        <v/>
      </c>
      <c r="O76" s="764" t="str">
        <f>IF(Inventory!O79="","",Inventory!O79)</f>
        <v/>
      </c>
      <c r="P76" s="728" t="str">
        <f>IF(Inventory!P79="","",Inventory!P79)</f>
        <v/>
      </c>
      <c r="Q76" s="520" t="str">
        <f>IF(Inventory!Q79="","",Inventory!Q79)</f>
        <v/>
      </c>
      <c r="R76" s="778" t="str">
        <f>IF(Inventory!R79="","",Inventory!R79)</f>
        <v/>
      </c>
      <c r="S76" s="778" t="str">
        <f>IF(Inventory!S79="","",Inventory!S79)</f>
        <v/>
      </c>
      <c r="T76" s="767" t="str">
        <f>IF(Inventory!T79="","",Inventory!T79)</f>
        <v/>
      </c>
      <c r="U76" s="778" t="str">
        <f>IF(Inventory!U79="","",Inventory!U79)</f>
        <v/>
      </c>
      <c r="V76" s="751" t="str">
        <f>IF(Inventory!V79="","",Inventory!V79)</f>
        <v/>
      </c>
      <c r="W76" s="871"/>
    </row>
    <row r="77" spans="2:23" s="618" customFormat="1" ht="21.95" customHeight="1" x14ac:dyDescent="0.25">
      <c r="B77" s="431">
        <v>71</v>
      </c>
      <c r="C77" s="501" t="str">
        <f>IF(Inventory!C80="","",Inventory!C80)</f>
        <v/>
      </c>
      <c r="D77" s="502" t="str">
        <f>IF(Inventory!D80="","",Inventory!D80)</f>
        <v/>
      </c>
      <c r="E77" s="546" t="str">
        <f>IF(Inventory!E80="","",Inventory!E80)</f>
        <v/>
      </c>
      <c r="F77" s="547" t="str">
        <f>IF(Inventory!F80="","",Inventory!F80)</f>
        <v/>
      </c>
      <c r="G77" s="729" t="str">
        <f>IF(Inventory!G80="","",Inventory!G80)</f>
        <v/>
      </c>
      <c r="H77" s="729" t="str">
        <f>IF(Inventory!H80="","",Inventory!H80)</f>
        <v/>
      </c>
      <c r="I77" s="729" t="str">
        <f>IF(Inventory!I80="","",Inventory!I80)</f>
        <v/>
      </c>
      <c r="J77" s="729" t="str">
        <f>IF(Inventory!J80="","",Inventory!J80)</f>
        <v/>
      </c>
      <c r="K77" s="729" t="str">
        <f>IF(Inventory!K80="","",Inventory!K80)</f>
        <v/>
      </c>
      <c r="L77" s="729" t="str">
        <f>IF(Inventory!L80="","",Inventory!L80)</f>
        <v/>
      </c>
      <c r="M77" s="765" t="str">
        <f>IF(Inventory!M80="","",Inventory!M80)</f>
        <v/>
      </c>
      <c r="N77" s="758" t="str">
        <f>IF(Inventory!N80="","",Inventory!N80)</f>
        <v/>
      </c>
      <c r="O77" s="765" t="str">
        <f>IF(Inventory!O80="","",Inventory!O80)</f>
        <v/>
      </c>
      <c r="P77" s="758" t="str">
        <f>IF(Inventory!P80="","",Inventory!P80)</f>
        <v/>
      </c>
      <c r="Q77" s="521" t="str">
        <f>IF(Inventory!Q80="","",Inventory!Q80)</f>
        <v/>
      </c>
      <c r="R77" s="775" t="str">
        <f>IF(Inventory!R80="","",Inventory!R80)</f>
        <v/>
      </c>
      <c r="S77" s="775" t="str">
        <f>IF(Inventory!S80="","",Inventory!S80)</f>
        <v/>
      </c>
      <c r="T77" s="729" t="str">
        <f>IF(Inventory!T80="","",Inventory!T80)</f>
        <v/>
      </c>
      <c r="U77" s="775" t="str">
        <f>IF(Inventory!U80="","",Inventory!U80)</f>
        <v/>
      </c>
      <c r="V77" s="779" t="str">
        <f>IF(Inventory!V80="","",Inventory!V80)</f>
        <v/>
      </c>
      <c r="W77" s="866"/>
    </row>
    <row r="78" spans="2:23" s="618" customFormat="1" ht="21.95" customHeight="1" x14ac:dyDescent="0.25">
      <c r="B78" s="432">
        <v>72</v>
      </c>
      <c r="C78" s="499" t="str">
        <f>IF(Inventory!C81="","",Inventory!C81)</f>
        <v/>
      </c>
      <c r="D78" s="751" t="str">
        <f>IF(Inventory!D81="","",Inventory!D81)</f>
        <v/>
      </c>
      <c r="E78" s="541" t="str">
        <f>IF(Inventory!E81="","",Inventory!E81)</f>
        <v/>
      </c>
      <c r="F78" s="785" t="str">
        <f>IF(Inventory!F81="","",Inventory!F81)</f>
        <v/>
      </c>
      <c r="G78" s="728" t="str">
        <f>IF(Inventory!G81="","",Inventory!G81)</f>
        <v/>
      </c>
      <c r="H78" s="728" t="str">
        <f>IF(Inventory!H81="","",Inventory!H81)</f>
        <v/>
      </c>
      <c r="I78" s="728" t="str">
        <f>IF(Inventory!I81="","",Inventory!I81)</f>
        <v/>
      </c>
      <c r="J78" s="728" t="str">
        <f>IF(Inventory!J81="","",Inventory!J81)</f>
        <v/>
      </c>
      <c r="K78" s="728" t="str">
        <f>IF(Inventory!K81="","",Inventory!K81)</f>
        <v/>
      </c>
      <c r="L78" s="728" t="str">
        <f>IF(Inventory!L81="","",Inventory!L81)</f>
        <v/>
      </c>
      <c r="M78" s="764" t="str">
        <f>IF(Inventory!M81="","",Inventory!M81)</f>
        <v/>
      </c>
      <c r="N78" s="728" t="str">
        <f>IF(Inventory!N81="","",Inventory!N81)</f>
        <v/>
      </c>
      <c r="O78" s="764" t="str">
        <f>IF(Inventory!O81="","",Inventory!O81)</f>
        <v/>
      </c>
      <c r="P78" s="728" t="str">
        <f>IF(Inventory!P81="","",Inventory!P81)</f>
        <v/>
      </c>
      <c r="Q78" s="520" t="str">
        <f>IF(Inventory!Q81="","",Inventory!Q81)</f>
        <v/>
      </c>
      <c r="R78" s="778" t="str">
        <f>IF(Inventory!R81="","",Inventory!R81)</f>
        <v/>
      </c>
      <c r="S78" s="778" t="str">
        <f>IF(Inventory!S81="","",Inventory!S81)</f>
        <v/>
      </c>
      <c r="T78" s="767" t="str">
        <f>IF(Inventory!T81="","",Inventory!T81)</f>
        <v/>
      </c>
      <c r="U78" s="778" t="str">
        <f>IF(Inventory!U81="","",Inventory!U81)</f>
        <v/>
      </c>
      <c r="V78" s="751" t="str">
        <f>IF(Inventory!V81="","",Inventory!V81)</f>
        <v/>
      </c>
      <c r="W78" s="871"/>
    </row>
    <row r="79" spans="2:23" s="618" customFormat="1" ht="21.95" customHeight="1" x14ac:dyDescent="0.25">
      <c r="B79" s="431">
        <v>73</v>
      </c>
      <c r="C79" s="501" t="str">
        <f>IF(Inventory!C82="","",Inventory!C82)</f>
        <v/>
      </c>
      <c r="D79" s="502" t="str">
        <f>IF(Inventory!D82="","",Inventory!D82)</f>
        <v/>
      </c>
      <c r="E79" s="546" t="str">
        <f>IF(Inventory!E82="","",Inventory!E82)</f>
        <v/>
      </c>
      <c r="F79" s="547" t="str">
        <f>IF(Inventory!F82="","",Inventory!F82)</f>
        <v/>
      </c>
      <c r="G79" s="729" t="str">
        <f>IF(Inventory!G82="","",Inventory!G82)</f>
        <v/>
      </c>
      <c r="H79" s="729" t="str">
        <f>IF(Inventory!H82="","",Inventory!H82)</f>
        <v/>
      </c>
      <c r="I79" s="729" t="str">
        <f>IF(Inventory!I82="","",Inventory!I82)</f>
        <v/>
      </c>
      <c r="J79" s="729" t="str">
        <f>IF(Inventory!J82="","",Inventory!J82)</f>
        <v/>
      </c>
      <c r="K79" s="729" t="str">
        <f>IF(Inventory!K82="","",Inventory!K82)</f>
        <v/>
      </c>
      <c r="L79" s="729" t="str">
        <f>IF(Inventory!L82="","",Inventory!L82)</f>
        <v/>
      </c>
      <c r="M79" s="765" t="str">
        <f>IF(Inventory!M82="","",Inventory!M82)</f>
        <v/>
      </c>
      <c r="N79" s="758" t="str">
        <f>IF(Inventory!N82="","",Inventory!N82)</f>
        <v/>
      </c>
      <c r="O79" s="765" t="str">
        <f>IF(Inventory!O82="","",Inventory!O82)</f>
        <v/>
      </c>
      <c r="P79" s="758" t="str">
        <f>IF(Inventory!P82="","",Inventory!P82)</f>
        <v/>
      </c>
      <c r="Q79" s="521" t="str">
        <f>IF(Inventory!Q82="","",Inventory!Q82)</f>
        <v/>
      </c>
      <c r="R79" s="775" t="str">
        <f>IF(Inventory!R82="","",Inventory!R82)</f>
        <v/>
      </c>
      <c r="S79" s="775" t="str">
        <f>IF(Inventory!S82="","",Inventory!S82)</f>
        <v/>
      </c>
      <c r="T79" s="729" t="str">
        <f>IF(Inventory!T82="","",Inventory!T82)</f>
        <v/>
      </c>
      <c r="U79" s="775" t="str">
        <f>IF(Inventory!U82="","",Inventory!U82)</f>
        <v/>
      </c>
      <c r="V79" s="779" t="str">
        <f>IF(Inventory!V82="","",Inventory!V82)</f>
        <v/>
      </c>
      <c r="W79" s="866"/>
    </row>
    <row r="80" spans="2:23" s="618" customFormat="1" ht="21.95" customHeight="1" x14ac:dyDescent="0.25">
      <c r="B80" s="432">
        <v>74</v>
      </c>
      <c r="C80" s="499" t="str">
        <f>IF(Inventory!C83="","",Inventory!C83)</f>
        <v/>
      </c>
      <c r="D80" s="751" t="str">
        <f>IF(Inventory!D83="","",Inventory!D83)</f>
        <v/>
      </c>
      <c r="E80" s="541" t="str">
        <f>IF(Inventory!E83="","",Inventory!E83)</f>
        <v/>
      </c>
      <c r="F80" s="785" t="str">
        <f>IF(Inventory!F83="","",Inventory!F83)</f>
        <v/>
      </c>
      <c r="G80" s="728" t="str">
        <f>IF(Inventory!G83="","",Inventory!G83)</f>
        <v/>
      </c>
      <c r="H80" s="728" t="str">
        <f>IF(Inventory!H83="","",Inventory!H83)</f>
        <v/>
      </c>
      <c r="I80" s="728" t="str">
        <f>IF(Inventory!I83="","",Inventory!I83)</f>
        <v/>
      </c>
      <c r="J80" s="728" t="str">
        <f>IF(Inventory!J83="","",Inventory!J83)</f>
        <v/>
      </c>
      <c r="K80" s="728" t="str">
        <f>IF(Inventory!K83="","",Inventory!K83)</f>
        <v/>
      </c>
      <c r="L80" s="728" t="str">
        <f>IF(Inventory!L83="","",Inventory!L83)</f>
        <v/>
      </c>
      <c r="M80" s="764" t="str">
        <f>IF(Inventory!M83="","",Inventory!M83)</f>
        <v/>
      </c>
      <c r="N80" s="728" t="str">
        <f>IF(Inventory!N83="","",Inventory!N83)</f>
        <v/>
      </c>
      <c r="O80" s="764" t="str">
        <f>IF(Inventory!O83="","",Inventory!O83)</f>
        <v/>
      </c>
      <c r="P80" s="728" t="str">
        <f>IF(Inventory!P83="","",Inventory!P83)</f>
        <v/>
      </c>
      <c r="Q80" s="520" t="str">
        <f>IF(Inventory!Q83="","",Inventory!Q83)</f>
        <v/>
      </c>
      <c r="R80" s="778" t="str">
        <f>IF(Inventory!R83="","",Inventory!R83)</f>
        <v/>
      </c>
      <c r="S80" s="778" t="str">
        <f>IF(Inventory!S83="","",Inventory!S83)</f>
        <v/>
      </c>
      <c r="T80" s="767" t="str">
        <f>IF(Inventory!T83="","",Inventory!T83)</f>
        <v/>
      </c>
      <c r="U80" s="778" t="str">
        <f>IF(Inventory!U83="","",Inventory!U83)</f>
        <v/>
      </c>
      <c r="V80" s="751" t="str">
        <f>IF(Inventory!V83="","",Inventory!V83)</f>
        <v/>
      </c>
      <c r="W80" s="871"/>
    </row>
    <row r="81" spans="2:23" s="618" customFormat="1" ht="21.95" customHeight="1" x14ac:dyDescent="0.25">
      <c r="B81" s="431">
        <v>75</v>
      </c>
      <c r="C81" s="501" t="str">
        <f>IF(Inventory!C84="","",Inventory!C84)</f>
        <v/>
      </c>
      <c r="D81" s="502" t="str">
        <f>IF(Inventory!D84="","",Inventory!D84)</f>
        <v/>
      </c>
      <c r="E81" s="546" t="str">
        <f>IF(Inventory!E84="","",Inventory!E84)</f>
        <v/>
      </c>
      <c r="F81" s="547" t="str">
        <f>IF(Inventory!F84="","",Inventory!F84)</f>
        <v/>
      </c>
      <c r="G81" s="729" t="str">
        <f>IF(Inventory!G84="","",Inventory!G84)</f>
        <v/>
      </c>
      <c r="H81" s="729" t="str">
        <f>IF(Inventory!H84="","",Inventory!H84)</f>
        <v/>
      </c>
      <c r="I81" s="729" t="str">
        <f>IF(Inventory!I84="","",Inventory!I84)</f>
        <v/>
      </c>
      <c r="J81" s="729" t="str">
        <f>IF(Inventory!J84="","",Inventory!J84)</f>
        <v/>
      </c>
      <c r="K81" s="729" t="str">
        <f>IF(Inventory!K84="","",Inventory!K84)</f>
        <v/>
      </c>
      <c r="L81" s="729" t="str">
        <f>IF(Inventory!L84="","",Inventory!L84)</f>
        <v/>
      </c>
      <c r="M81" s="765" t="str">
        <f>IF(Inventory!M84="","",Inventory!M84)</f>
        <v/>
      </c>
      <c r="N81" s="758" t="str">
        <f>IF(Inventory!N84="","",Inventory!N84)</f>
        <v/>
      </c>
      <c r="O81" s="765" t="str">
        <f>IF(Inventory!O84="","",Inventory!O84)</f>
        <v/>
      </c>
      <c r="P81" s="758" t="str">
        <f>IF(Inventory!P84="","",Inventory!P84)</f>
        <v/>
      </c>
      <c r="Q81" s="521" t="str">
        <f>IF(Inventory!Q84="","",Inventory!Q84)</f>
        <v/>
      </c>
      <c r="R81" s="775" t="str">
        <f>IF(Inventory!R84="","",Inventory!R84)</f>
        <v/>
      </c>
      <c r="S81" s="775" t="str">
        <f>IF(Inventory!S84="","",Inventory!S84)</f>
        <v/>
      </c>
      <c r="T81" s="729" t="str">
        <f>IF(Inventory!T84="","",Inventory!T84)</f>
        <v/>
      </c>
      <c r="U81" s="775" t="str">
        <f>IF(Inventory!U84="","",Inventory!U84)</f>
        <v/>
      </c>
      <c r="V81" s="779" t="str">
        <f>IF(Inventory!V84="","",Inventory!V84)</f>
        <v/>
      </c>
      <c r="W81" s="866"/>
    </row>
    <row r="82" spans="2:23" s="618" customFormat="1" ht="21.95" customHeight="1" x14ac:dyDescent="0.25">
      <c r="B82" s="432">
        <v>76</v>
      </c>
      <c r="C82" s="499" t="str">
        <f>IF(Inventory!C85="","",Inventory!C85)</f>
        <v/>
      </c>
      <c r="D82" s="751" t="str">
        <f>IF(Inventory!D85="","",Inventory!D85)</f>
        <v/>
      </c>
      <c r="E82" s="541" t="str">
        <f>IF(Inventory!E85="","",Inventory!E85)</f>
        <v/>
      </c>
      <c r="F82" s="785" t="str">
        <f>IF(Inventory!F85="","",Inventory!F85)</f>
        <v/>
      </c>
      <c r="G82" s="728" t="str">
        <f>IF(Inventory!G85="","",Inventory!G85)</f>
        <v/>
      </c>
      <c r="H82" s="728" t="str">
        <f>IF(Inventory!H85="","",Inventory!H85)</f>
        <v/>
      </c>
      <c r="I82" s="728" t="str">
        <f>IF(Inventory!I85="","",Inventory!I85)</f>
        <v/>
      </c>
      <c r="J82" s="728" t="str">
        <f>IF(Inventory!J85="","",Inventory!J85)</f>
        <v/>
      </c>
      <c r="K82" s="728" t="str">
        <f>IF(Inventory!K85="","",Inventory!K85)</f>
        <v/>
      </c>
      <c r="L82" s="728" t="str">
        <f>IF(Inventory!L85="","",Inventory!L85)</f>
        <v/>
      </c>
      <c r="M82" s="764" t="str">
        <f>IF(Inventory!M85="","",Inventory!M85)</f>
        <v/>
      </c>
      <c r="N82" s="728" t="str">
        <f>IF(Inventory!N85="","",Inventory!N85)</f>
        <v/>
      </c>
      <c r="O82" s="764" t="str">
        <f>IF(Inventory!O85="","",Inventory!O85)</f>
        <v/>
      </c>
      <c r="P82" s="728" t="str">
        <f>IF(Inventory!P85="","",Inventory!P85)</f>
        <v/>
      </c>
      <c r="Q82" s="520" t="str">
        <f>IF(Inventory!Q85="","",Inventory!Q85)</f>
        <v/>
      </c>
      <c r="R82" s="778" t="str">
        <f>IF(Inventory!R85="","",Inventory!R85)</f>
        <v/>
      </c>
      <c r="S82" s="778" t="str">
        <f>IF(Inventory!S85="","",Inventory!S85)</f>
        <v/>
      </c>
      <c r="T82" s="767" t="str">
        <f>IF(Inventory!T85="","",Inventory!T85)</f>
        <v/>
      </c>
      <c r="U82" s="778" t="str">
        <f>IF(Inventory!U85="","",Inventory!U85)</f>
        <v/>
      </c>
      <c r="V82" s="751" t="str">
        <f>IF(Inventory!V85="","",Inventory!V85)</f>
        <v/>
      </c>
      <c r="W82" s="871"/>
    </row>
    <row r="83" spans="2:23" s="618" customFormat="1" ht="21.95" customHeight="1" x14ac:dyDescent="0.25">
      <c r="B83" s="431">
        <v>77</v>
      </c>
      <c r="C83" s="501" t="str">
        <f>IF(Inventory!C86="","",Inventory!C86)</f>
        <v/>
      </c>
      <c r="D83" s="502" t="str">
        <f>IF(Inventory!D86="","",Inventory!D86)</f>
        <v/>
      </c>
      <c r="E83" s="546" t="str">
        <f>IF(Inventory!E86="","",Inventory!E86)</f>
        <v/>
      </c>
      <c r="F83" s="547" t="str">
        <f>IF(Inventory!F86="","",Inventory!F86)</f>
        <v/>
      </c>
      <c r="G83" s="729" t="str">
        <f>IF(Inventory!G86="","",Inventory!G86)</f>
        <v/>
      </c>
      <c r="H83" s="729" t="str">
        <f>IF(Inventory!H86="","",Inventory!H86)</f>
        <v/>
      </c>
      <c r="I83" s="729" t="str">
        <f>IF(Inventory!I86="","",Inventory!I86)</f>
        <v/>
      </c>
      <c r="J83" s="729" t="str">
        <f>IF(Inventory!J86="","",Inventory!J86)</f>
        <v/>
      </c>
      <c r="K83" s="729" t="str">
        <f>IF(Inventory!K86="","",Inventory!K86)</f>
        <v/>
      </c>
      <c r="L83" s="729" t="str">
        <f>IF(Inventory!L86="","",Inventory!L86)</f>
        <v/>
      </c>
      <c r="M83" s="765" t="str">
        <f>IF(Inventory!M86="","",Inventory!M86)</f>
        <v/>
      </c>
      <c r="N83" s="758" t="str">
        <f>IF(Inventory!N86="","",Inventory!N86)</f>
        <v/>
      </c>
      <c r="O83" s="765" t="str">
        <f>IF(Inventory!O86="","",Inventory!O86)</f>
        <v/>
      </c>
      <c r="P83" s="758" t="str">
        <f>IF(Inventory!P86="","",Inventory!P86)</f>
        <v/>
      </c>
      <c r="Q83" s="521" t="str">
        <f>IF(Inventory!Q86="","",Inventory!Q86)</f>
        <v/>
      </c>
      <c r="R83" s="775" t="str">
        <f>IF(Inventory!R86="","",Inventory!R86)</f>
        <v/>
      </c>
      <c r="S83" s="775" t="str">
        <f>IF(Inventory!S86="","",Inventory!S86)</f>
        <v/>
      </c>
      <c r="T83" s="729" t="str">
        <f>IF(Inventory!T86="","",Inventory!T86)</f>
        <v/>
      </c>
      <c r="U83" s="775" t="str">
        <f>IF(Inventory!U86="","",Inventory!U86)</f>
        <v/>
      </c>
      <c r="V83" s="779" t="str">
        <f>IF(Inventory!V86="","",Inventory!V86)</f>
        <v/>
      </c>
      <c r="W83" s="866"/>
    </row>
    <row r="84" spans="2:23" s="618" customFormat="1" ht="21.95" customHeight="1" x14ac:dyDescent="0.25">
      <c r="B84" s="432">
        <v>78</v>
      </c>
      <c r="C84" s="499" t="str">
        <f>IF(Inventory!C87="","",Inventory!C87)</f>
        <v/>
      </c>
      <c r="D84" s="751" t="str">
        <f>IF(Inventory!D87="","",Inventory!D87)</f>
        <v/>
      </c>
      <c r="E84" s="541" t="str">
        <f>IF(Inventory!E87="","",Inventory!E87)</f>
        <v/>
      </c>
      <c r="F84" s="785" t="str">
        <f>IF(Inventory!F87="","",Inventory!F87)</f>
        <v/>
      </c>
      <c r="G84" s="728" t="str">
        <f>IF(Inventory!G87="","",Inventory!G87)</f>
        <v/>
      </c>
      <c r="H84" s="728" t="str">
        <f>IF(Inventory!H87="","",Inventory!H87)</f>
        <v/>
      </c>
      <c r="I84" s="728" t="str">
        <f>IF(Inventory!I87="","",Inventory!I87)</f>
        <v/>
      </c>
      <c r="J84" s="728" t="str">
        <f>IF(Inventory!J87="","",Inventory!J87)</f>
        <v/>
      </c>
      <c r="K84" s="728" t="str">
        <f>IF(Inventory!K87="","",Inventory!K87)</f>
        <v/>
      </c>
      <c r="L84" s="728" t="str">
        <f>IF(Inventory!L87="","",Inventory!L87)</f>
        <v/>
      </c>
      <c r="M84" s="764" t="str">
        <f>IF(Inventory!M87="","",Inventory!M87)</f>
        <v/>
      </c>
      <c r="N84" s="728" t="str">
        <f>IF(Inventory!N87="","",Inventory!N87)</f>
        <v/>
      </c>
      <c r="O84" s="764" t="str">
        <f>IF(Inventory!O87="","",Inventory!O87)</f>
        <v/>
      </c>
      <c r="P84" s="728" t="str">
        <f>IF(Inventory!P87="","",Inventory!P87)</f>
        <v/>
      </c>
      <c r="Q84" s="520" t="str">
        <f>IF(Inventory!Q87="","",Inventory!Q87)</f>
        <v/>
      </c>
      <c r="R84" s="778" t="str">
        <f>IF(Inventory!R87="","",Inventory!R87)</f>
        <v/>
      </c>
      <c r="S84" s="778" t="str">
        <f>IF(Inventory!S87="","",Inventory!S87)</f>
        <v/>
      </c>
      <c r="T84" s="767" t="str">
        <f>IF(Inventory!T87="","",Inventory!T87)</f>
        <v/>
      </c>
      <c r="U84" s="778" t="str">
        <f>IF(Inventory!U87="","",Inventory!U87)</f>
        <v/>
      </c>
      <c r="V84" s="751" t="str">
        <f>IF(Inventory!V87="","",Inventory!V87)</f>
        <v/>
      </c>
      <c r="W84" s="871"/>
    </row>
    <row r="85" spans="2:23" s="618" customFormat="1" ht="21.95" customHeight="1" x14ac:dyDescent="0.25">
      <c r="B85" s="431">
        <v>79</v>
      </c>
      <c r="C85" s="501" t="str">
        <f>IF(Inventory!C88="","",Inventory!C88)</f>
        <v/>
      </c>
      <c r="D85" s="502" t="str">
        <f>IF(Inventory!D88="","",Inventory!D88)</f>
        <v/>
      </c>
      <c r="E85" s="546" t="str">
        <f>IF(Inventory!E88="","",Inventory!E88)</f>
        <v/>
      </c>
      <c r="F85" s="547" t="str">
        <f>IF(Inventory!F88="","",Inventory!F88)</f>
        <v/>
      </c>
      <c r="G85" s="729" t="str">
        <f>IF(Inventory!G88="","",Inventory!G88)</f>
        <v/>
      </c>
      <c r="H85" s="729" t="str">
        <f>IF(Inventory!H88="","",Inventory!H88)</f>
        <v/>
      </c>
      <c r="I85" s="729" t="str">
        <f>IF(Inventory!I88="","",Inventory!I88)</f>
        <v/>
      </c>
      <c r="J85" s="729" t="str">
        <f>IF(Inventory!J88="","",Inventory!J88)</f>
        <v/>
      </c>
      <c r="K85" s="729" t="str">
        <f>IF(Inventory!K88="","",Inventory!K88)</f>
        <v/>
      </c>
      <c r="L85" s="729" t="str">
        <f>IF(Inventory!L88="","",Inventory!L88)</f>
        <v/>
      </c>
      <c r="M85" s="765" t="str">
        <f>IF(Inventory!M88="","",Inventory!M88)</f>
        <v/>
      </c>
      <c r="N85" s="758" t="str">
        <f>IF(Inventory!N88="","",Inventory!N88)</f>
        <v/>
      </c>
      <c r="O85" s="765" t="str">
        <f>IF(Inventory!O88="","",Inventory!O88)</f>
        <v/>
      </c>
      <c r="P85" s="758" t="str">
        <f>IF(Inventory!P88="","",Inventory!P88)</f>
        <v/>
      </c>
      <c r="Q85" s="521" t="str">
        <f>IF(Inventory!Q88="","",Inventory!Q88)</f>
        <v/>
      </c>
      <c r="R85" s="775" t="str">
        <f>IF(Inventory!R88="","",Inventory!R88)</f>
        <v/>
      </c>
      <c r="S85" s="775" t="str">
        <f>IF(Inventory!S88="","",Inventory!S88)</f>
        <v/>
      </c>
      <c r="T85" s="729" t="str">
        <f>IF(Inventory!T88="","",Inventory!T88)</f>
        <v/>
      </c>
      <c r="U85" s="775" t="str">
        <f>IF(Inventory!U88="","",Inventory!U88)</f>
        <v/>
      </c>
      <c r="V85" s="779" t="str">
        <f>IF(Inventory!V88="","",Inventory!V88)</f>
        <v/>
      </c>
      <c r="W85" s="866"/>
    </row>
    <row r="86" spans="2:23" s="618" customFormat="1" ht="21.95" customHeight="1" x14ac:dyDescent="0.25">
      <c r="B86" s="432">
        <v>80</v>
      </c>
      <c r="C86" s="499" t="str">
        <f>IF(Inventory!C89="","",Inventory!C89)</f>
        <v/>
      </c>
      <c r="D86" s="751" t="str">
        <f>IF(Inventory!D89="","",Inventory!D89)</f>
        <v/>
      </c>
      <c r="E86" s="541" t="str">
        <f>IF(Inventory!E89="","",Inventory!E89)</f>
        <v/>
      </c>
      <c r="F86" s="785" t="str">
        <f>IF(Inventory!F89="","",Inventory!F89)</f>
        <v/>
      </c>
      <c r="G86" s="728" t="str">
        <f>IF(Inventory!G89="","",Inventory!G89)</f>
        <v/>
      </c>
      <c r="H86" s="728" t="str">
        <f>IF(Inventory!H89="","",Inventory!H89)</f>
        <v/>
      </c>
      <c r="I86" s="728" t="str">
        <f>IF(Inventory!I89="","",Inventory!I89)</f>
        <v/>
      </c>
      <c r="J86" s="728" t="str">
        <f>IF(Inventory!J89="","",Inventory!J89)</f>
        <v/>
      </c>
      <c r="K86" s="728" t="str">
        <f>IF(Inventory!K89="","",Inventory!K89)</f>
        <v/>
      </c>
      <c r="L86" s="728" t="str">
        <f>IF(Inventory!L89="","",Inventory!L89)</f>
        <v/>
      </c>
      <c r="M86" s="764" t="str">
        <f>IF(Inventory!M89="","",Inventory!M89)</f>
        <v/>
      </c>
      <c r="N86" s="728" t="str">
        <f>IF(Inventory!N89="","",Inventory!N89)</f>
        <v/>
      </c>
      <c r="O86" s="764" t="str">
        <f>IF(Inventory!O89="","",Inventory!O89)</f>
        <v/>
      </c>
      <c r="P86" s="728" t="str">
        <f>IF(Inventory!P89="","",Inventory!P89)</f>
        <v/>
      </c>
      <c r="Q86" s="520" t="str">
        <f>IF(Inventory!Q89="","",Inventory!Q89)</f>
        <v/>
      </c>
      <c r="R86" s="778" t="str">
        <f>IF(Inventory!R89="","",Inventory!R89)</f>
        <v/>
      </c>
      <c r="S86" s="778" t="str">
        <f>IF(Inventory!S89="","",Inventory!S89)</f>
        <v/>
      </c>
      <c r="T86" s="767" t="str">
        <f>IF(Inventory!T89="","",Inventory!T89)</f>
        <v/>
      </c>
      <c r="U86" s="778" t="str">
        <f>IF(Inventory!U89="","",Inventory!U89)</f>
        <v/>
      </c>
      <c r="V86" s="751" t="str">
        <f>IF(Inventory!V89="","",Inventory!V89)</f>
        <v/>
      </c>
      <c r="W86" s="871"/>
    </row>
    <row r="87" spans="2:23" s="618" customFormat="1" ht="21.95" customHeight="1" x14ac:dyDescent="0.25">
      <c r="B87" s="431">
        <v>81</v>
      </c>
      <c r="C87" s="501" t="str">
        <f>IF(Inventory!C90="","",Inventory!C90)</f>
        <v/>
      </c>
      <c r="D87" s="502" t="str">
        <f>IF(Inventory!D90="","",Inventory!D90)</f>
        <v/>
      </c>
      <c r="E87" s="546" t="str">
        <f>IF(Inventory!E90="","",Inventory!E90)</f>
        <v/>
      </c>
      <c r="F87" s="547" t="str">
        <f>IF(Inventory!F90="","",Inventory!F90)</f>
        <v/>
      </c>
      <c r="G87" s="729" t="str">
        <f>IF(Inventory!G90="","",Inventory!G90)</f>
        <v/>
      </c>
      <c r="H87" s="729" t="str">
        <f>IF(Inventory!H90="","",Inventory!H90)</f>
        <v/>
      </c>
      <c r="I87" s="729" t="str">
        <f>IF(Inventory!I90="","",Inventory!I90)</f>
        <v/>
      </c>
      <c r="J87" s="729" t="str">
        <f>IF(Inventory!J90="","",Inventory!J90)</f>
        <v/>
      </c>
      <c r="K87" s="729" t="str">
        <f>IF(Inventory!K90="","",Inventory!K90)</f>
        <v/>
      </c>
      <c r="L87" s="729" t="str">
        <f>IF(Inventory!L90="","",Inventory!L90)</f>
        <v/>
      </c>
      <c r="M87" s="765" t="str">
        <f>IF(Inventory!M90="","",Inventory!M90)</f>
        <v/>
      </c>
      <c r="N87" s="758" t="str">
        <f>IF(Inventory!N90="","",Inventory!N90)</f>
        <v/>
      </c>
      <c r="O87" s="765" t="str">
        <f>IF(Inventory!O90="","",Inventory!O90)</f>
        <v/>
      </c>
      <c r="P87" s="758" t="str">
        <f>IF(Inventory!P90="","",Inventory!P90)</f>
        <v/>
      </c>
      <c r="Q87" s="521" t="str">
        <f>IF(Inventory!Q90="","",Inventory!Q90)</f>
        <v/>
      </c>
      <c r="R87" s="775" t="str">
        <f>IF(Inventory!R90="","",Inventory!R90)</f>
        <v/>
      </c>
      <c r="S87" s="775" t="str">
        <f>IF(Inventory!S90="","",Inventory!S90)</f>
        <v/>
      </c>
      <c r="T87" s="729" t="str">
        <f>IF(Inventory!T90="","",Inventory!T90)</f>
        <v/>
      </c>
      <c r="U87" s="775" t="str">
        <f>IF(Inventory!U90="","",Inventory!U90)</f>
        <v/>
      </c>
      <c r="V87" s="779" t="str">
        <f>IF(Inventory!V90="","",Inventory!V90)</f>
        <v/>
      </c>
      <c r="W87" s="866"/>
    </row>
    <row r="88" spans="2:23" s="618" customFormat="1" ht="21.95" customHeight="1" x14ac:dyDescent="0.25">
      <c r="B88" s="432">
        <v>82</v>
      </c>
      <c r="C88" s="499" t="str">
        <f>IF(Inventory!C91="","",Inventory!C91)</f>
        <v/>
      </c>
      <c r="D88" s="751" t="str">
        <f>IF(Inventory!D91="","",Inventory!D91)</f>
        <v/>
      </c>
      <c r="E88" s="541" t="str">
        <f>IF(Inventory!E91="","",Inventory!E91)</f>
        <v/>
      </c>
      <c r="F88" s="785" t="str">
        <f>IF(Inventory!F91="","",Inventory!F91)</f>
        <v/>
      </c>
      <c r="G88" s="728" t="str">
        <f>IF(Inventory!G91="","",Inventory!G91)</f>
        <v/>
      </c>
      <c r="H88" s="728" t="str">
        <f>IF(Inventory!H91="","",Inventory!H91)</f>
        <v/>
      </c>
      <c r="I88" s="728" t="str">
        <f>IF(Inventory!I91="","",Inventory!I91)</f>
        <v/>
      </c>
      <c r="J88" s="728" t="str">
        <f>IF(Inventory!J91="","",Inventory!J91)</f>
        <v/>
      </c>
      <c r="K88" s="728" t="str">
        <f>IF(Inventory!K91="","",Inventory!K91)</f>
        <v/>
      </c>
      <c r="L88" s="728" t="str">
        <f>IF(Inventory!L91="","",Inventory!L91)</f>
        <v/>
      </c>
      <c r="M88" s="764" t="str">
        <f>IF(Inventory!M91="","",Inventory!M91)</f>
        <v/>
      </c>
      <c r="N88" s="728" t="str">
        <f>IF(Inventory!N91="","",Inventory!N91)</f>
        <v/>
      </c>
      <c r="O88" s="764" t="str">
        <f>IF(Inventory!O91="","",Inventory!O91)</f>
        <v/>
      </c>
      <c r="P88" s="728" t="str">
        <f>IF(Inventory!P91="","",Inventory!P91)</f>
        <v/>
      </c>
      <c r="Q88" s="520" t="str">
        <f>IF(Inventory!Q91="","",Inventory!Q91)</f>
        <v/>
      </c>
      <c r="R88" s="778" t="str">
        <f>IF(Inventory!R91="","",Inventory!R91)</f>
        <v/>
      </c>
      <c r="S88" s="778" t="str">
        <f>IF(Inventory!S91="","",Inventory!S91)</f>
        <v/>
      </c>
      <c r="T88" s="767" t="str">
        <f>IF(Inventory!T91="","",Inventory!T91)</f>
        <v/>
      </c>
      <c r="U88" s="778" t="str">
        <f>IF(Inventory!U91="","",Inventory!U91)</f>
        <v/>
      </c>
      <c r="V88" s="751" t="str">
        <f>IF(Inventory!V91="","",Inventory!V91)</f>
        <v/>
      </c>
      <c r="W88" s="871"/>
    </row>
    <row r="89" spans="2:23" s="618" customFormat="1" ht="21.95" customHeight="1" x14ac:dyDescent="0.25">
      <c r="B89" s="431">
        <v>83</v>
      </c>
      <c r="C89" s="501" t="str">
        <f>IF(Inventory!C92="","",Inventory!C92)</f>
        <v/>
      </c>
      <c r="D89" s="502" t="str">
        <f>IF(Inventory!D92="","",Inventory!D92)</f>
        <v/>
      </c>
      <c r="E89" s="546" t="str">
        <f>IF(Inventory!E92="","",Inventory!E92)</f>
        <v/>
      </c>
      <c r="F89" s="547" t="str">
        <f>IF(Inventory!F92="","",Inventory!F92)</f>
        <v/>
      </c>
      <c r="G89" s="729" t="str">
        <f>IF(Inventory!G92="","",Inventory!G92)</f>
        <v/>
      </c>
      <c r="H89" s="729" t="str">
        <f>IF(Inventory!H92="","",Inventory!H92)</f>
        <v/>
      </c>
      <c r="I89" s="729" t="str">
        <f>IF(Inventory!I92="","",Inventory!I92)</f>
        <v/>
      </c>
      <c r="J89" s="729" t="str">
        <f>IF(Inventory!J92="","",Inventory!J92)</f>
        <v/>
      </c>
      <c r="K89" s="729" t="str">
        <f>IF(Inventory!K92="","",Inventory!K92)</f>
        <v/>
      </c>
      <c r="L89" s="729" t="str">
        <f>IF(Inventory!L92="","",Inventory!L92)</f>
        <v/>
      </c>
      <c r="M89" s="765" t="str">
        <f>IF(Inventory!M92="","",Inventory!M92)</f>
        <v/>
      </c>
      <c r="N89" s="758" t="str">
        <f>IF(Inventory!N92="","",Inventory!N92)</f>
        <v/>
      </c>
      <c r="O89" s="765" t="str">
        <f>IF(Inventory!O92="","",Inventory!O92)</f>
        <v/>
      </c>
      <c r="P89" s="758" t="str">
        <f>IF(Inventory!P92="","",Inventory!P92)</f>
        <v/>
      </c>
      <c r="Q89" s="521" t="str">
        <f>IF(Inventory!Q92="","",Inventory!Q92)</f>
        <v/>
      </c>
      <c r="R89" s="775" t="str">
        <f>IF(Inventory!R92="","",Inventory!R92)</f>
        <v/>
      </c>
      <c r="S89" s="775" t="str">
        <f>IF(Inventory!S92="","",Inventory!S92)</f>
        <v/>
      </c>
      <c r="T89" s="729" t="str">
        <f>IF(Inventory!T92="","",Inventory!T92)</f>
        <v/>
      </c>
      <c r="U89" s="775" t="str">
        <f>IF(Inventory!U92="","",Inventory!U92)</f>
        <v/>
      </c>
      <c r="V89" s="779" t="str">
        <f>IF(Inventory!V92="","",Inventory!V92)</f>
        <v/>
      </c>
      <c r="W89" s="866"/>
    </row>
    <row r="90" spans="2:23" s="618" customFormat="1" ht="21.95" customHeight="1" x14ac:dyDescent="0.25">
      <c r="B90" s="432">
        <v>84</v>
      </c>
      <c r="C90" s="499" t="str">
        <f>IF(Inventory!C93="","",Inventory!C93)</f>
        <v/>
      </c>
      <c r="D90" s="751" t="str">
        <f>IF(Inventory!D93="","",Inventory!D93)</f>
        <v/>
      </c>
      <c r="E90" s="541" t="str">
        <f>IF(Inventory!E93="","",Inventory!E93)</f>
        <v/>
      </c>
      <c r="F90" s="785" t="str">
        <f>IF(Inventory!F93="","",Inventory!F93)</f>
        <v/>
      </c>
      <c r="G90" s="728" t="str">
        <f>IF(Inventory!G93="","",Inventory!G93)</f>
        <v/>
      </c>
      <c r="H90" s="728" t="str">
        <f>IF(Inventory!H93="","",Inventory!H93)</f>
        <v/>
      </c>
      <c r="I90" s="728" t="str">
        <f>IF(Inventory!I93="","",Inventory!I93)</f>
        <v/>
      </c>
      <c r="J90" s="728" t="str">
        <f>IF(Inventory!J93="","",Inventory!J93)</f>
        <v/>
      </c>
      <c r="K90" s="728" t="str">
        <f>IF(Inventory!K93="","",Inventory!K93)</f>
        <v/>
      </c>
      <c r="L90" s="728" t="str">
        <f>IF(Inventory!L93="","",Inventory!L93)</f>
        <v/>
      </c>
      <c r="M90" s="764" t="str">
        <f>IF(Inventory!M93="","",Inventory!M93)</f>
        <v/>
      </c>
      <c r="N90" s="728" t="str">
        <f>IF(Inventory!N93="","",Inventory!N93)</f>
        <v/>
      </c>
      <c r="O90" s="764" t="str">
        <f>IF(Inventory!O93="","",Inventory!O93)</f>
        <v/>
      </c>
      <c r="P90" s="728" t="str">
        <f>IF(Inventory!P93="","",Inventory!P93)</f>
        <v/>
      </c>
      <c r="Q90" s="520" t="str">
        <f>IF(Inventory!Q93="","",Inventory!Q93)</f>
        <v/>
      </c>
      <c r="R90" s="778" t="str">
        <f>IF(Inventory!R93="","",Inventory!R93)</f>
        <v/>
      </c>
      <c r="S90" s="778" t="str">
        <f>IF(Inventory!S93="","",Inventory!S93)</f>
        <v/>
      </c>
      <c r="T90" s="767" t="str">
        <f>IF(Inventory!T93="","",Inventory!T93)</f>
        <v/>
      </c>
      <c r="U90" s="778" t="str">
        <f>IF(Inventory!U93="","",Inventory!U93)</f>
        <v/>
      </c>
      <c r="V90" s="751" t="str">
        <f>IF(Inventory!V93="","",Inventory!V93)</f>
        <v/>
      </c>
      <c r="W90" s="871"/>
    </row>
    <row r="91" spans="2:23" s="618" customFormat="1" ht="21.95" customHeight="1" x14ac:dyDescent="0.25">
      <c r="B91" s="431">
        <v>85</v>
      </c>
      <c r="C91" s="501" t="str">
        <f>IF(Inventory!C94="","",Inventory!C94)</f>
        <v/>
      </c>
      <c r="D91" s="502" t="str">
        <f>IF(Inventory!D94="","",Inventory!D94)</f>
        <v/>
      </c>
      <c r="E91" s="546" t="str">
        <f>IF(Inventory!E94="","",Inventory!E94)</f>
        <v/>
      </c>
      <c r="F91" s="547" t="str">
        <f>IF(Inventory!F94="","",Inventory!F94)</f>
        <v/>
      </c>
      <c r="G91" s="729" t="str">
        <f>IF(Inventory!G94="","",Inventory!G94)</f>
        <v/>
      </c>
      <c r="H91" s="729" t="str">
        <f>IF(Inventory!H94="","",Inventory!H94)</f>
        <v/>
      </c>
      <c r="I91" s="729" t="str">
        <f>IF(Inventory!I94="","",Inventory!I94)</f>
        <v/>
      </c>
      <c r="J91" s="729" t="str">
        <f>IF(Inventory!J94="","",Inventory!J94)</f>
        <v/>
      </c>
      <c r="K91" s="729" t="str">
        <f>IF(Inventory!K94="","",Inventory!K94)</f>
        <v/>
      </c>
      <c r="L91" s="729" t="str">
        <f>IF(Inventory!L94="","",Inventory!L94)</f>
        <v/>
      </c>
      <c r="M91" s="765" t="str">
        <f>IF(Inventory!M94="","",Inventory!M94)</f>
        <v/>
      </c>
      <c r="N91" s="758" t="str">
        <f>IF(Inventory!N94="","",Inventory!N94)</f>
        <v/>
      </c>
      <c r="O91" s="765" t="str">
        <f>IF(Inventory!O94="","",Inventory!O94)</f>
        <v/>
      </c>
      <c r="P91" s="758" t="str">
        <f>IF(Inventory!P94="","",Inventory!P94)</f>
        <v/>
      </c>
      <c r="Q91" s="521" t="str">
        <f>IF(Inventory!Q94="","",Inventory!Q94)</f>
        <v/>
      </c>
      <c r="R91" s="775" t="str">
        <f>IF(Inventory!R94="","",Inventory!R94)</f>
        <v/>
      </c>
      <c r="S91" s="775" t="str">
        <f>IF(Inventory!S94="","",Inventory!S94)</f>
        <v/>
      </c>
      <c r="T91" s="729" t="str">
        <f>IF(Inventory!T94="","",Inventory!T94)</f>
        <v/>
      </c>
      <c r="U91" s="775" t="str">
        <f>IF(Inventory!U94="","",Inventory!U94)</f>
        <v/>
      </c>
      <c r="V91" s="779" t="str">
        <f>IF(Inventory!V94="","",Inventory!V94)</f>
        <v/>
      </c>
      <c r="W91" s="866"/>
    </row>
    <row r="92" spans="2:23" s="618" customFormat="1" ht="21.95" customHeight="1" x14ac:dyDescent="0.25">
      <c r="B92" s="432">
        <v>86</v>
      </c>
      <c r="C92" s="499" t="str">
        <f>IF(Inventory!C95="","",Inventory!C95)</f>
        <v/>
      </c>
      <c r="D92" s="751" t="str">
        <f>IF(Inventory!D95="","",Inventory!D95)</f>
        <v/>
      </c>
      <c r="E92" s="541" t="str">
        <f>IF(Inventory!E95="","",Inventory!E95)</f>
        <v/>
      </c>
      <c r="F92" s="785" t="str">
        <f>IF(Inventory!F95="","",Inventory!F95)</f>
        <v/>
      </c>
      <c r="G92" s="728" t="str">
        <f>IF(Inventory!G95="","",Inventory!G95)</f>
        <v/>
      </c>
      <c r="H92" s="728" t="str">
        <f>IF(Inventory!H95="","",Inventory!H95)</f>
        <v/>
      </c>
      <c r="I92" s="728" t="str">
        <f>IF(Inventory!I95="","",Inventory!I95)</f>
        <v/>
      </c>
      <c r="J92" s="728" t="str">
        <f>IF(Inventory!J95="","",Inventory!J95)</f>
        <v/>
      </c>
      <c r="K92" s="728" t="str">
        <f>IF(Inventory!K95="","",Inventory!K95)</f>
        <v/>
      </c>
      <c r="L92" s="728" t="str">
        <f>IF(Inventory!L95="","",Inventory!L95)</f>
        <v/>
      </c>
      <c r="M92" s="764" t="str">
        <f>IF(Inventory!M95="","",Inventory!M95)</f>
        <v/>
      </c>
      <c r="N92" s="728" t="str">
        <f>IF(Inventory!N95="","",Inventory!N95)</f>
        <v/>
      </c>
      <c r="O92" s="764" t="str">
        <f>IF(Inventory!O95="","",Inventory!O95)</f>
        <v/>
      </c>
      <c r="P92" s="728" t="str">
        <f>IF(Inventory!P95="","",Inventory!P95)</f>
        <v/>
      </c>
      <c r="Q92" s="520" t="str">
        <f>IF(Inventory!Q95="","",Inventory!Q95)</f>
        <v/>
      </c>
      <c r="R92" s="778" t="str">
        <f>IF(Inventory!R95="","",Inventory!R95)</f>
        <v/>
      </c>
      <c r="S92" s="778" t="str">
        <f>IF(Inventory!S95="","",Inventory!S95)</f>
        <v/>
      </c>
      <c r="T92" s="767" t="str">
        <f>IF(Inventory!T95="","",Inventory!T95)</f>
        <v/>
      </c>
      <c r="U92" s="778" t="str">
        <f>IF(Inventory!U95="","",Inventory!U95)</f>
        <v/>
      </c>
      <c r="V92" s="751" t="str">
        <f>IF(Inventory!V95="","",Inventory!V95)</f>
        <v/>
      </c>
      <c r="W92" s="871"/>
    </row>
    <row r="93" spans="2:23" s="618" customFormat="1" ht="21.95" customHeight="1" x14ac:dyDescent="0.25">
      <c r="B93" s="431">
        <v>87</v>
      </c>
      <c r="C93" s="501" t="str">
        <f>IF(Inventory!C96="","",Inventory!C96)</f>
        <v/>
      </c>
      <c r="D93" s="502" t="str">
        <f>IF(Inventory!D96="","",Inventory!D96)</f>
        <v/>
      </c>
      <c r="E93" s="546" t="str">
        <f>IF(Inventory!E96="","",Inventory!E96)</f>
        <v/>
      </c>
      <c r="F93" s="547" t="str">
        <f>IF(Inventory!F96="","",Inventory!F96)</f>
        <v/>
      </c>
      <c r="G93" s="729" t="str">
        <f>IF(Inventory!G96="","",Inventory!G96)</f>
        <v/>
      </c>
      <c r="H93" s="729" t="str">
        <f>IF(Inventory!H96="","",Inventory!H96)</f>
        <v/>
      </c>
      <c r="I93" s="729" t="str">
        <f>IF(Inventory!I96="","",Inventory!I96)</f>
        <v/>
      </c>
      <c r="J93" s="729" t="str">
        <f>IF(Inventory!J96="","",Inventory!J96)</f>
        <v/>
      </c>
      <c r="K93" s="729" t="str">
        <f>IF(Inventory!K96="","",Inventory!K96)</f>
        <v/>
      </c>
      <c r="L93" s="729" t="str">
        <f>IF(Inventory!L96="","",Inventory!L96)</f>
        <v/>
      </c>
      <c r="M93" s="765" t="str">
        <f>IF(Inventory!M96="","",Inventory!M96)</f>
        <v/>
      </c>
      <c r="N93" s="758" t="str">
        <f>IF(Inventory!N96="","",Inventory!N96)</f>
        <v/>
      </c>
      <c r="O93" s="765" t="str">
        <f>IF(Inventory!O96="","",Inventory!O96)</f>
        <v/>
      </c>
      <c r="P93" s="758" t="str">
        <f>IF(Inventory!P96="","",Inventory!P96)</f>
        <v/>
      </c>
      <c r="Q93" s="521" t="str">
        <f>IF(Inventory!Q96="","",Inventory!Q96)</f>
        <v/>
      </c>
      <c r="R93" s="775" t="str">
        <f>IF(Inventory!R96="","",Inventory!R96)</f>
        <v/>
      </c>
      <c r="S93" s="775" t="str">
        <f>IF(Inventory!S96="","",Inventory!S96)</f>
        <v/>
      </c>
      <c r="T93" s="729" t="str">
        <f>IF(Inventory!T96="","",Inventory!T96)</f>
        <v/>
      </c>
      <c r="U93" s="775" t="str">
        <f>IF(Inventory!U96="","",Inventory!U96)</f>
        <v/>
      </c>
      <c r="V93" s="779" t="str">
        <f>IF(Inventory!V96="","",Inventory!V96)</f>
        <v/>
      </c>
      <c r="W93" s="866"/>
    </row>
    <row r="94" spans="2:23" s="618" customFormat="1" ht="21.95" customHeight="1" x14ac:dyDescent="0.25">
      <c r="B94" s="432">
        <v>88</v>
      </c>
      <c r="C94" s="499" t="str">
        <f>IF(Inventory!C97="","",Inventory!C97)</f>
        <v/>
      </c>
      <c r="D94" s="751" t="str">
        <f>IF(Inventory!D97="","",Inventory!D97)</f>
        <v/>
      </c>
      <c r="E94" s="541" t="str">
        <f>IF(Inventory!E97="","",Inventory!E97)</f>
        <v/>
      </c>
      <c r="F94" s="785" t="str">
        <f>IF(Inventory!F97="","",Inventory!F97)</f>
        <v/>
      </c>
      <c r="G94" s="728" t="str">
        <f>IF(Inventory!G97="","",Inventory!G97)</f>
        <v/>
      </c>
      <c r="H94" s="728" t="str">
        <f>IF(Inventory!H97="","",Inventory!H97)</f>
        <v/>
      </c>
      <c r="I94" s="728" t="str">
        <f>IF(Inventory!I97="","",Inventory!I97)</f>
        <v/>
      </c>
      <c r="J94" s="728" t="str">
        <f>IF(Inventory!J97="","",Inventory!J97)</f>
        <v/>
      </c>
      <c r="K94" s="728" t="str">
        <f>IF(Inventory!K97="","",Inventory!K97)</f>
        <v/>
      </c>
      <c r="L94" s="728" t="str">
        <f>IF(Inventory!L97="","",Inventory!L97)</f>
        <v/>
      </c>
      <c r="M94" s="764" t="str">
        <f>IF(Inventory!M97="","",Inventory!M97)</f>
        <v/>
      </c>
      <c r="N94" s="728" t="str">
        <f>IF(Inventory!N97="","",Inventory!N97)</f>
        <v/>
      </c>
      <c r="O94" s="764" t="str">
        <f>IF(Inventory!O97="","",Inventory!O97)</f>
        <v/>
      </c>
      <c r="P94" s="728" t="str">
        <f>IF(Inventory!P97="","",Inventory!P97)</f>
        <v/>
      </c>
      <c r="Q94" s="520" t="str">
        <f>IF(Inventory!Q97="","",Inventory!Q97)</f>
        <v/>
      </c>
      <c r="R94" s="778" t="str">
        <f>IF(Inventory!R97="","",Inventory!R97)</f>
        <v/>
      </c>
      <c r="S94" s="778" t="str">
        <f>IF(Inventory!S97="","",Inventory!S97)</f>
        <v/>
      </c>
      <c r="T94" s="767" t="str">
        <f>IF(Inventory!T97="","",Inventory!T97)</f>
        <v/>
      </c>
      <c r="U94" s="778" t="str">
        <f>IF(Inventory!U97="","",Inventory!U97)</f>
        <v/>
      </c>
      <c r="V94" s="751" t="str">
        <f>IF(Inventory!V97="","",Inventory!V97)</f>
        <v/>
      </c>
      <c r="W94" s="871"/>
    </row>
    <row r="95" spans="2:23" s="618" customFormat="1" ht="21.95" customHeight="1" x14ac:dyDescent="0.25">
      <c r="B95" s="431">
        <v>89</v>
      </c>
      <c r="C95" s="501" t="str">
        <f>IF(Inventory!C98="","",Inventory!C98)</f>
        <v/>
      </c>
      <c r="D95" s="502" t="str">
        <f>IF(Inventory!D98="","",Inventory!D98)</f>
        <v/>
      </c>
      <c r="E95" s="546" t="str">
        <f>IF(Inventory!E98="","",Inventory!E98)</f>
        <v/>
      </c>
      <c r="F95" s="547" t="str">
        <f>IF(Inventory!F98="","",Inventory!F98)</f>
        <v/>
      </c>
      <c r="G95" s="729" t="str">
        <f>IF(Inventory!G98="","",Inventory!G98)</f>
        <v/>
      </c>
      <c r="H95" s="729" t="str">
        <f>IF(Inventory!H98="","",Inventory!H98)</f>
        <v/>
      </c>
      <c r="I95" s="729" t="str">
        <f>IF(Inventory!I98="","",Inventory!I98)</f>
        <v/>
      </c>
      <c r="J95" s="729" t="str">
        <f>IF(Inventory!J98="","",Inventory!J98)</f>
        <v/>
      </c>
      <c r="K95" s="729" t="str">
        <f>IF(Inventory!K98="","",Inventory!K98)</f>
        <v/>
      </c>
      <c r="L95" s="729" t="str">
        <f>IF(Inventory!L98="","",Inventory!L98)</f>
        <v/>
      </c>
      <c r="M95" s="765" t="str">
        <f>IF(Inventory!M98="","",Inventory!M98)</f>
        <v/>
      </c>
      <c r="N95" s="758" t="str">
        <f>IF(Inventory!N98="","",Inventory!N98)</f>
        <v/>
      </c>
      <c r="O95" s="765" t="str">
        <f>IF(Inventory!O98="","",Inventory!O98)</f>
        <v/>
      </c>
      <c r="P95" s="758" t="str">
        <f>IF(Inventory!P98="","",Inventory!P98)</f>
        <v/>
      </c>
      <c r="Q95" s="521" t="str">
        <f>IF(Inventory!Q98="","",Inventory!Q98)</f>
        <v/>
      </c>
      <c r="R95" s="775" t="str">
        <f>IF(Inventory!R98="","",Inventory!R98)</f>
        <v/>
      </c>
      <c r="S95" s="775" t="str">
        <f>IF(Inventory!S98="","",Inventory!S98)</f>
        <v/>
      </c>
      <c r="T95" s="729" t="str">
        <f>IF(Inventory!T98="","",Inventory!T98)</f>
        <v/>
      </c>
      <c r="U95" s="775" t="str">
        <f>IF(Inventory!U98="","",Inventory!U98)</f>
        <v/>
      </c>
      <c r="V95" s="779" t="str">
        <f>IF(Inventory!V98="","",Inventory!V98)</f>
        <v/>
      </c>
      <c r="W95" s="866"/>
    </row>
    <row r="96" spans="2:23" s="618" customFormat="1" ht="21.95" customHeight="1" x14ac:dyDescent="0.25">
      <c r="B96" s="432">
        <v>90</v>
      </c>
      <c r="C96" s="499" t="str">
        <f>IF(Inventory!C99="","",Inventory!C99)</f>
        <v/>
      </c>
      <c r="D96" s="751" t="str">
        <f>IF(Inventory!D99="","",Inventory!D99)</f>
        <v/>
      </c>
      <c r="E96" s="541" t="str">
        <f>IF(Inventory!E99="","",Inventory!E99)</f>
        <v/>
      </c>
      <c r="F96" s="785" t="str">
        <f>IF(Inventory!F99="","",Inventory!F99)</f>
        <v/>
      </c>
      <c r="G96" s="728" t="str">
        <f>IF(Inventory!G99="","",Inventory!G99)</f>
        <v/>
      </c>
      <c r="H96" s="728" t="str">
        <f>IF(Inventory!H99="","",Inventory!H99)</f>
        <v/>
      </c>
      <c r="I96" s="728" t="str">
        <f>IF(Inventory!I99="","",Inventory!I99)</f>
        <v/>
      </c>
      <c r="J96" s="728" t="str">
        <f>IF(Inventory!J99="","",Inventory!J99)</f>
        <v/>
      </c>
      <c r="K96" s="728" t="str">
        <f>IF(Inventory!K99="","",Inventory!K99)</f>
        <v/>
      </c>
      <c r="L96" s="728" t="str">
        <f>IF(Inventory!L99="","",Inventory!L99)</f>
        <v/>
      </c>
      <c r="M96" s="764" t="str">
        <f>IF(Inventory!M99="","",Inventory!M99)</f>
        <v/>
      </c>
      <c r="N96" s="728" t="str">
        <f>IF(Inventory!N99="","",Inventory!N99)</f>
        <v/>
      </c>
      <c r="O96" s="764" t="str">
        <f>IF(Inventory!O99="","",Inventory!O99)</f>
        <v/>
      </c>
      <c r="P96" s="728" t="str">
        <f>IF(Inventory!P99="","",Inventory!P99)</f>
        <v/>
      </c>
      <c r="Q96" s="520" t="str">
        <f>IF(Inventory!Q99="","",Inventory!Q99)</f>
        <v/>
      </c>
      <c r="R96" s="778" t="str">
        <f>IF(Inventory!R99="","",Inventory!R99)</f>
        <v/>
      </c>
      <c r="S96" s="778" t="str">
        <f>IF(Inventory!S99="","",Inventory!S99)</f>
        <v/>
      </c>
      <c r="T96" s="767" t="str">
        <f>IF(Inventory!T99="","",Inventory!T99)</f>
        <v/>
      </c>
      <c r="U96" s="778" t="str">
        <f>IF(Inventory!U99="","",Inventory!U99)</f>
        <v/>
      </c>
      <c r="V96" s="751" t="str">
        <f>IF(Inventory!V99="","",Inventory!V99)</f>
        <v/>
      </c>
      <c r="W96" s="871"/>
    </row>
    <row r="97" spans="2:23" s="618" customFormat="1" ht="21.95" customHeight="1" x14ac:dyDescent="0.25">
      <c r="B97" s="431">
        <v>91</v>
      </c>
      <c r="C97" s="501" t="str">
        <f>IF(Inventory!C100="","",Inventory!C100)</f>
        <v/>
      </c>
      <c r="D97" s="502" t="str">
        <f>IF(Inventory!D100="","",Inventory!D100)</f>
        <v/>
      </c>
      <c r="E97" s="546" t="str">
        <f>IF(Inventory!E100="","",Inventory!E100)</f>
        <v/>
      </c>
      <c r="F97" s="547" t="str">
        <f>IF(Inventory!F100="","",Inventory!F100)</f>
        <v/>
      </c>
      <c r="G97" s="729" t="str">
        <f>IF(Inventory!G100="","",Inventory!G100)</f>
        <v/>
      </c>
      <c r="H97" s="729" t="str">
        <f>IF(Inventory!H100="","",Inventory!H100)</f>
        <v/>
      </c>
      <c r="I97" s="729" t="str">
        <f>IF(Inventory!I100="","",Inventory!I100)</f>
        <v/>
      </c>
      <c r="J97" s="729" t="str">
        <f>IF(Inventory!J100="","",Inventory!J100)</f>
        <v/>
      </c>
      <c r="K97" s="729" t="str">
        <f>IF(Inventory!K100="","",Inventory!K100)</f>
        <v/>
      </c>
      <c r="L97" s="729" t="str">
        <f>IF(Inventory!L100="","",Inventory!L100)</f>
        <v/>
      </c>
      <c r="M97" s="765" t="str">
        <f>IF(Inventory!M100="","",Inventory!M100)</f>
        <v/>
      </c>
      <c r="N97" s="758" t="str">
        <f>IF(Inventory!N100="","",Inventory!N100)</f>
        <v/>
      </c>
      <c r="O97" s="765" t="str">
        <f>IF(Inventory!O100="","",Inventory!O100)</f>
        <v/>
      </c>
      <c r="P97" s="758" t="str">
        <f>IF(Inventory!P100="","",Inventory!P100)</f>
        <v/>
      </c>
      <c r="Q97" s="521" t="str">
        <f>IF(Inventory!Q100="","",Inventory!Q100)</f>
        <v/>
      </c>
      <c r="R97" s="775" t="str">
        <f>IF(Inventory!R100="","",Inventory!R100)</f>
        <v/>
      </c>
      <c r="S97" s="775" t="str">
        <f>IF(Inventory!S100="","",Inventory!S100)</f>
        <v/>
      </c>
      <c r="T97" s="729" t="str">
        <f>IF(Inventory!T100="","",Inventory!T100)</f>
        <v/>
      </c>
      <c r="U97" s="775" t="str">
        <f>IF(Inventory!U100="","",Inventory!U100)</f>
        <v/>
      </c>
      <c r="V97" s="779" t="str">
        <f>IF(Inventory!V100="","",Inventory!V100)</f>
        <v/>
      </c>
      <c r="W97" s="866"/>
    </row>
    <row r="98" spans="2:23" s="618" customFormat="1" ht="21.95" customHeight="1" x14ac:dyDescent="0.25">
      <c r="B98" s="432">
        <v>92</v>
      </c>
      <c r="C98" s="499" t="str">
        <f>IF(Inventory!C101="","",Inventory!C101)</f>
        <v/>
      </c>
      <c r="D98" s="751" t="str">
        <f>IF(Inventory!D101="","",Inventory!D101)</f>
        <v/>
      </c>
      <c r="E98" s="541" t="str">
        <f>IF(Inventory!E101="","",Inventory!E101)</f>
        <v/>
      </c>
      <c r="F98" s="785" t="str">
        <f>IF(Inventory!F101="","",Inventory!F101)</f>
        <v/>
      </c>
      <c r="G98" s="728" t="str">
        <f>IF(Inventory!G101="","",Inventory!G101)</f>
        <v/>
      </c>
      <c r="H98" s="728" t="str">
        <f>IF(Inventory!H101="","",Inventory!H101)</f>
        <v/>
      </c>
      <c r="I98" s="728" t="str">
        <f>IF(Inventory!I101="","",Inventory!I101)</f>
        <v/>
      </c>
      <c r="J98" s="728" t="str">
        <f>IF(Inventory!J101="","",Inventory!J101)</f>
        <v/>
      </c>
      <c r="K98" s="728" t="str">
        <f>IF(Inventory!K101="","",Inventory!K101)</f>
        <v/>
      </c>
      <c r="L98" s="728" t="str">
        <f>IF(Inventory!L101="","",Inventory!L101)</f>
        <v/>
      </c>
      <c r="M98" s="764" t="str">
        <f>IF(Inventory!M101="","",Inventory!M101)</f>
        <v/>
      </c>
      <c r="N98" s="728" t="str">
        <f>IF(Inventory!N101="","",Inventory!N101)</f>
        <v/>
      </c>
      <c r="O98" s="764" t="str">
        <f>IF(Inventory!O101="","",Inventory!O101)</f>
        <v/>
      </c>
      <c r="P98" s="728" t="str">
        <f>IF(Inventory!P101="","",Inventory!P101)</f>
        <v/>
      </c>
      <c r="Q98" s="520" t="str">
        <f>IF(Inventory!Q101="","",Inventory!Q101)</f>
        <v/>
      </c>
      <c r="R98" s="778" t="str">
        <f>IF(Inventory!R101="","",Inventory!R101)</f>
        <v/>
      </c>
      <c r="S98" s="778" t="str">
        <f>IF(Inventory!S101="","",Inventory!S101)</f>
        <v/>
      </c>
      <c r="T98" s="767" t="str">
        <f>IF(Inventory!T101="","",Inventory!T101)</f>
        <v/>
      </c>
      <c r="U98" s="778" t="str">
        <f>IF(Inventory!U101="","",Inventory!U101)</f>
        <v/>
      </c>
      <c r="V98" s="751" t="str">
        <f>IF(Inventory!V101="","",Inventory!V101)</f>
        <v/>
      </c>
      <c r="W98" s="871"/>
    </row>
    <row r="99" spans="2:23" s="618" customFormat="1" ht="21.95" customHeight="1" x14ac:dyDescent="0.25">
      <c r="B99" s="431">
        <v>93</v>
      </c>
      <c r="C99" s="501" t="str">
        <f>IF(Inventory!C102="","",Inventory!C102)</f>
        <v/>
      </c>
      <c r="D99" s="502" t="str">
        <f>IF(Inventory!D102="","",Inventory!D102)</f>
        <v/>
      </c>
      <c r="E99" s="546" t="str">
        <f>IF(Inventory!E102="","",Inventory!E102)</f>
        <v/>
      </c>
      <c r="F99" s="547" t="str">
        <f>IF(Inventory!F102="","",Inventory!F102)</f>
        <v/>
      </c>
      <c r="G99" s="729" t="str">
        <f>IF(Inventory!G102="","",Inventory!G102)</f>
        <v/>
      </c>
      <c r="H99" s="729" t="str">
        <f>IF(Inventory!H102="","",Inventory!H102)</f>
        <v/>
      </c>
      <c r="I99" s="729" t="str">
        <f>IF(Inventory!I102="","",Inventory!I102)</f>
        <v/>
      </c>
      <c r="J99" s="729" t="str">
        <f>IF(Inventory!J102="","",Inventory!J102)</f>
        <v/>
      </c>
      <c r="K99" s="729" t="str">
        <f>IF(Inventory!K102="","",Inventory!K102)</f>
        <v/>
      </c>
      <c r="L99" s="729" t="str">
        <f>IF(Inventory!L102="","",Inventory!L102)</f>
        <v/>
      </c>
      <c r="M99" s="765" t="str">
        <f>IF(Inventory!M102="","",Inventory!M102)</f>
        <v/>
      </c>
      <c r="N99" s="758" t="str">
        <f>IF(Inventory!N102="","",Inventory!N102)</f>
        <v/>
      </c>
      <c r="O99" s="765" t="str">
        <f>IF(Inventory!O102="","",Inventory!O102)</f>
        <v/>
      </c>
      <c r="P99" s="758" t="str">
        <f>IF(Inventory!P102="","",Inventory!P102)</f>
        <v/>
      </c>
      <c r="Q99" s="521" t="str">
        <f>IF(Inventory!Q102="","",Inventory!Q102)</f>
        <v/>
      </c>
      <c r="R99" s="775" t="str">
        <f>IF(Inventory!R102="","",Inventory!R102)</f>
        <v/>
      </c>
      <c r="S99" s="775" t="str">
        <f>IF(Inventory!S102="","",Inventory!S102)</f>
        <v/>
      </c>
      <c r="T99" s="729" t="str">
        <f>IF(Inventory!T102="","",Inventory!T102)</f>
        <v/>
      </c>
      <c r="U99" s="775" t="str">
        <f>IF(Inventory!U102="","",Inventory!U102)</f>
        <v/>
      </c>
      <c r="V99" s="779" t="str">
        <f>IF(Inventory!V102="","",Inventory!V102)</f>
        <v/>
      </c>
      <c r="W99" s="866"/>
    </row>
    <row r="100" spans="2:23" s="618" customFormat="1" ht="21.95" customHeight="1" x14ac:dyDescent="0.25">
      <c r="B100" s="432">
        <v>94</v>
      </c>
      <c r="C100" s="499" t="str">
        <f>IF(Inventory!C103="","",Inventory!C103)</f>
        <v/>
      </c>
      <c r="D100" s="751" t="str">
        <f>IF(Inventory!D103="","",Inventory!D103)</f>
        <v/>
      </c>
      <c r="E100" s="541" t="str">
        <f>IF(Inventory!E103="","",Inventory!E103)</f>
        <v/>
      </c>
      <c r="F100" s="785" t="str">
        <f>IF(Inventory!F103="","",Inventory!F103)</f>
        <v/>
      </c>
      <c r="G100" s="728" t="str">
        <f>IF(Inventory!G103="","",Inventory!G103)</f>
        <v/>
      </c>
      <c r="H100" s="728" t="str">
        <f>IF(Inventory!H103="","",Inventory!H103)</f>
        <v/>
      </c>
      <c r="I100" s="728" t="str">
        <f>IF(Inventory!I103="","",Inventory!I103)</f>
        <v/>
      </c>
      <c r="J100" s="728" t="str">
        <f>IF(Inventory!J103="","",Inventory!J103)</f>
        <v/>
      </c>
      <c r="K100" s="728" t="str">
        <f>IF(Inventory!K103="","",Inventory!K103)</f>
        <v/>
      </c>
      <c r="L100" s="728" t="str">
        <f>IF(Inventory!L103="","",Inventory!L103)</f>
        <v/>
      </c>
      <c r="M100" s="764" t="str">
        <f>IF(Inventory!M103="","",Inventory!M103)</f>
        <v/>
      </c>
      <c r="N100" s="728" t="str">
        <f>IF(Inventory!N103="","",Inventory!N103)</f>
        <v/>
      </c>
      <c r="O100" s="764" t="str">
        <f>IF(Inventory!O103="","",Inventory!O103)</f>
        <v/>
      </c>
      <c r="P100" s="728" t="str">
        <f>IF(Inventory!P103="","",Inventory!P103)</f>
        <v/>
      </c>
      <c r="Q100" s="520" t="str">
        <f>IF(Inventory!Q103="","",Inventory!Q103)</f>
        <v/>
      </c>
      <c r="R100" s="778" t="str">
        <f>IF(Inventory!R103="","",Inventory!R103)</f>
        <v/>
      </c>
      <c r="S100" s="778" t="str">
        <f>IF(Inventory!S103="","",Inventory!S103)</f>
        <v/>
      </c>
      <c r="T100" s="767" t="str">
        <f>IF(Inventory!T103="","",Inventory!T103)</f>
        <v/>
      </c>
      <c r="U100" s="778" t="str">
        <f>IF(Inventory!U103="","",Inventory!U103)</f>
        <v/>
      </c>
      <c r="V100" s="751" t="str">
        <f>IF(Inventory!V103="","",Inventory!V103)</f>
        <v/>
      </c>
      <c r="W100" s="871"/>
    </row>
    <row r="101" spans="2:23" s="618" customFormat="1" ht="21.95" customHeight="1" x14ac:dyDescent="0.25">
      <c r="B101" s="431">
        <v>95</v>
      </c>
      <c r="C101" s="501" t="str">
        <f>IF(Inventory!C104="","",Inventory!C104)</f>
        <v/>
      </c>
      <c r="D101" s="502" t="str">
        <f>IF(Inventory!D104="","",Inventory!D104)</f>
        <v/>
      </c>
      <c r="E101" s="546" t="str">
        <f>IF(Inventory!E104="","",Inventory!E104)</f>
        <v/>
      </c>
      <c r="F101" s="547" t="str">
        <f>IF(Inventory!F104="","",Inventory!F104)</f>
        <v/>
      </c>
      <c r="G101" s="729" t="str">
        <f>IF(Inventory!G104="","",Inventory!G104)</f>
        <v/>
      </c>
      <c r="H101" s="729" t="str">
        <f>IF(Inventory!H104="","",Inventory!H104)</f>
        <v/>
      </c>
      <c r="I101" s="729" t="str">
        <f>IF(Inventory!I104="","",Inventory!I104)</f>
        <v/>
      </c>
      <c r="J101" s="729" t="str">
        <f>IF(Inventory!J104="","",Inventory!J104)</f>
        <v/>
      </c>
      <c r="K101" s="729" t="str">
        <f>IF(Inventory!K104="","",Inventory!K104)</f>
        <v/>
      </c>
      <c r="L101" s="729" t="str">
        <f>IF(Inventory!L104="","",Inventory!L104)</f>
        <v/>
      </c>
      <c r="M101" s="765" t="str">
        <f>IF(Inventory!M104="","",Inventory!M104)</f>
        <v/>
      </c>
      <c r="N101" s="758" t="str">
        <f>IF(Inventory!N104="","",Inventory!N104)</f>
        <v/>
      </c>
      <c r="O101" s="765" t="str">
        <f>IF(Inventory!O104="","",Inventory!O104)</f>
        <v/>
      </c>
      <c r="P101" s="758" t="str">
        <f>IF(Inventory!P104="","",Inventory!P104)</f>
        <v/>
      </c>
      <c r="Q101" s="521" t="str">
        <f>IF(Inventory!Q104="","",Inventory!Q104)</f>
        <v/>
      </c>
      <c r="R101" s="775" t="str">
        <f>IF(Inventory!R104="","",Inventory!R104)</f>
        <v/>
      </c>
      <c r="S101" s="775" t="str">
        <f>IF(Inventory!S104="","",Inventory!S104)</f>
        <v/>
      </c>
      <c r="T101" s="729" t="str">
        <f>IF(Inventory!T104="","",Inventory!T104)</f>
        <v/>
      </c>
      <c r="U101" s="775" t="str">
        <f>IF(Inventory!U104="","",Inventory!U104)</f>
        <v/>
      </c>
      <c r="V101" s="779" t="str">
        <f>IF(Inventory!V104="","",Inventory!V104)</f>
        <v/>
      </c>
      <c r="W101" s="866"/>
    </row>
    <row r="102" spans="2:23" s="618" customFormat="1" ht="21.95" customHeight="1" x14ac:dyDescent="0.25">
      <c r="B102" s="432">
        <v>96</v>
      </c>
      <c r="C102" s="499" t="str">
        <f>IF(Inventory!C105="","",Inventory!C105)</f>
        <v/>
      </c>
      <c r="D102" s="751" t="str">
        <f>IF(Inventory!D105="","",Inventory!D105)</f>
        <v/>
      </c>
      <c r="E102" s="541" t="str">
        <f>IF(Inventory!E105="","",Inventory!E105)</f>
        <v/>
      </c>
      <c r="F102" s="785" t="str">
        <f>IF(Inventory!F105="","",Inventory!F105)</f>
        <v/>
      </c>
      <c r="G102" s="728" t="str">
        <f>IF(Inventory!G105="","",Inventory!G105)</f>
        <v/>
      </c>
      <c r="H102" s="728" t="str">
        <f>IF(Inventory!H105="","",Inventory!H105)</f>
        <v/>
      </c>
      <c r="I102" s="728" t="str">
        <f>IF(Inventory!I105="","",Inventory!I105)</f>
        <v/>
      </c>
      <c r="J102" s="728" t="str">
        <f>IF(Inventory!J105="","",Inventory!J105)</f>
        <v/>
      </c>
      <c r="K102" s="728" t="str">
        <f>IF(Inventory!K105="","",Inventory!K105)</f>
        <v/>
      </c>
      <c r="L102" s="728" t="str">
        <f>IF(Inventory!L105="","",Inventory!L105)</f>
        <v/>
      </c>
      <c r="M102" s="764" t="str">
        <f>IF(Inventory!M105="","",Inventory!M105)</f>
        <v/>
      </c>
      <c r="N102" s="728" t="str">
        <f>IF(Inventory!N105="","",Inventory!N105)</f>
        <v/>
      </c>
      <c r="O102" s="764" t="str">
        <f>IF(Inventory!O105="","",Inventory!O105)</f>
        <v/>
      </c>
      <c r="P102" s="728" t="str">
        <f>IF(Inventory!P105="","",Inventory!P105)</f>
        <v/>
      </c>
      <c r="Q102" s="520" t="str">
        <f>IF(Inventory!Q105="","",Inventory!Q105)</f>
        <v/>
      </c>
      <c r="R102" s="778" t="str">
        <f>IF(Inventory!R105="","",Inventory!R105)</f>
        <v/>
      </c>
      <c r="S102" s="778" t="str">
        <f>IF(Inventory!S105="","",Inventory!S105)</f>
        <v/>
      </c>
      <c r="T102" s="767" t="str">
        <f>IF(Inventory!T105="","",Inventory!T105)</f>
        <v/>
      </c>
      <c r="U102" s="778" t="str">
        <f>IF(Inventory!U105="","",Inventory!U105)</f>
        <v/>
      </c>
      <c r="V102" s="751" t="str">
        <f>IF(Inventory!V105="","",Inventory!V105)</f>
        <v/>
      </c>
      <c r="W102" s="871"/>
    </row>
    <row r="103" spans="2:23" s="618" customFormat="1" ht="21.95" customHeight="1" x14ac:dyDescent="0.25">
      <c r="B103" s="431">
        <v>97</v>
      </c>
      <c r="C103" s="501" t="str">
        <f>IF(Inventory!C106="","",Inventory!C106)</f>
        <v/>
      </c>
      <c r="D103" s="502" t="str">
        <f>IF(Inventory!D106="","",Inventory!D106)</f>
        <v/>
      </c>
      <c r="E103" s="546" t="str">
        <f>IF(Inventory!E106="","",Inventory!E106)</f>
        <v/>
      </c>
      <c r="F103" s="547" t="str">
        <f>IF(Inventory!F106="","",Inventory!F106)</f>
        <v/>
      </c>
      <c r="G103" s="729" t="str">
        <f>IF(Inventory!G106="","",Inventory!G106)</f>
        <v/>
      </c>
      <c r="H103" s="729" t="str">
        <f>IF(Inventory!H106="","",Inventory!H106)</f>
        <v/>
      </c>
      <c r="I103" s="729" t="str">
        <f>IF(Inventory!I106="","",Inventory!I106)</f>
        <v/>
      </c>
      <c r="J103" s="729" t="str">
        <f>IF(Inventory!J106="","",Inventory!J106)</f>
        <v/>
      </c>
      <c r="K103" s="729" t="str">
        <f>IF(Inventory!K106="","",Inventory!K106)</f>
        <v/>
      </c>
      <c r="L103" s="729" t="str">
        <f>IF(Inventory!L106="","",Inventory!L106)</f>
        <v/>
      </c>
      <c r="M103" s="765" t="str">
        <f>IF(Inventory!M106="","",Inventory!M106)</f>
        <v/>
      </c>
      <c r="N103" s="758" t="str">
        <f>IF(Inventory!N106="","",Inventory!N106)</f>
        <v/>
      </c>
      <c r="O103" s="765" t="str">
        <f>IF(Inventory!O106="","",Inventory!O106)</f>
        <v/>
      </c>
      <c r="P103" s="758" t="str">
        <f>IF(Inventory!P106="","",Inventory!P106)</f>
        <v/>
      </c>
      <c r="Q103" s="521" t="str">
        <f>IF(Inventory!Q106="","",Inventory!Q106)</f>
        <v/>
      </c>
      <c r="R103" s="775" t="str">
        <f>IF(Inventory!R106="","",Inventory!R106)</f>
        <v/>
      </c>
      <c r="S103" s="775" t="str">
        <f>IF(Inventory!S106="","",Inventory!S106)</f>
        <v/>
      </c>
      <c r="T103" s="729" t="str">
        <f>IF(Inventory!T106="","",Inventory!T106)</f>
        <v/>
      </c>
      <c r="U103" s="775" t="str">
        <f>IF(Inventory!U106="","",Inventory!U106)</f>
        <v/>
      </c>
      <c r="V103" s="779" t="str">
        <f>IF(Inventory!V106="","",Inventory!V106)</f>
        <v/>
      </c>
      <c r="W103" s="866"/>
    </row>
    <row r="104" spans="2:23" s="618" customFormat="1" ht="21.95" customHeight="1" x14ac:dyDescent="0.25">
      <c r="B104" s="432">
        <v>98</v>
      </c>
      <c r="C104" s="499" t="str">
        <f>IF(Inventory!C107="","",Inventory!C107)</f>
        <v/>
      </c>
      <c r="D104" s="751" t="str">
        <f>IF(Inventory!D107="","",Inventory!D107)</f>
        <v/>
      </c>
      <c r="E104" s="541" t="str">
        <f>IF(Inventory!E107="","",Inventory!E107)</f>
        <v/>
      </c>
      <c r="F104" s="785" t="str">
        <f>IF(Inventory!F107="","",Inventory!F107)</f>
        <v/>
      </c>
      <c r="G104" s="728" t="str">
        <f>IF(Inventory!G107="","",Inventory!G107)</f>
        <v/>
      </c>
      <c r="H104" s="728" t="str">
        <f>IF(Inventory!H107="","",Inventory!H107)</f>
        <v/>
      </c>
      <c r="I104" s="728" t="str">
        <f>IF(Inventory!I107="","",Inventory!I107)</f>
        <v/>
      </c>
      <c r="J104" s="728" t="str">
        <f>IF(Inventory!J107="","",Inventory!J107)</f>
        <v/>
      </c>
      <c r="K104" s="728" t="str">
        <f>IF(Inventory!K107="","",Inventory!K107)</f>
        <v/>
      </c>
      <c r="L104" s="728" t="str">
        <f>IF(Inventory!L107="","",Inventory!L107)</f>
        <v/>
      </c>
      <c r="M104" s="764" t="str">
        <f>IF(Inventory!M107="","",Inventory!M107)</f>
        <v/>
      </c>
      <c r="N104" s="728" t="str">
        <f>IF(Inventory!N107="","",Inventory!N107)</f>
        <v/>
      </c>
      <c r="O104" s="764" t="str">
        <f>IF(Inventory!O107="","",Inventory!O107)</f>
        <v/>
      </c>
      <c r="P104" s="728" t="str">
        <f>IF(Inventory!P107="","",Inventory!P107)</f>
        <v/>
      </c>
      <c r="Q104" s="520" t="str">
        <f>IF(Inventory!Q107="","",Inventory!Q107)</f>
        <v/>
      </c>
      <c r="R104" s="778" t="str">
        <f>IF(Inventory!R107="","",Inventory!R107)</f>
        <v/>
      </c>
      <c r="S104" s="778" t="str">
        <f>IF(Inventory!S107="","",Inventory!S107)</f>
        <v/>
      </c>
      <c r="T104" s="767" t="str">
        <f>IF(Inventory!T107="","",Inventory!T107)</f>
        <v/>
      </c>
      <c r="U104" s="778" t="str">
        <f>IF(Inventory!U107="","",Inventory!U107)</f>
        <v/>
      </c>
      <c r="V104" s="751" t="str">
        <f>IF(Inventory!V107="","",Inventory!V107)</f>
        <v/>
      </c>
      <c r="W104" s="871"/>
    </row>
    <row r="105" spans="2:23" s="618" customFormat="1" ht="21.95" customHeight="1" x14ac:dyDescent="0.25">
      <c r="B105" s="431">
        <v>99</v>
      </c>
      <c r="C105" s="501" t="str">
        <f>IF(Inventory!C108="","",Inventory!C108)</f>
        <v/>
      </c>
      <c r="D105" s="502" t="str">
        <f>IF(Inventory!D108="","",Inventory!D108)</f>
        <v/>
      </c>
      <c r="E105" s="546" t="str">
        <f>IF(Inventory!E108="","",Inventory!E108)</f>
        <v/>
      </c>
      <c r="F105" s="547" t="str">
        <f>IF(Inventory!F108="","",Inventory!F108)</f>
        <v/>
      </c>
      <c r="G105" s="729" t="str">
        <f>IF(Inventory!G108="","",Inventory!G108)</f>
        <v/>
      </c>
      <c r="H105" s="729" t="str">
        <f>IF(Inventory!H108="","",Inventory!H108)</f>
        <v/>
      </c>
      <c r="I105" s="729" t="str">
        <f>IF(Inventory!I108="","",Inventory!I108)</f>
        <v/>
      </c>
      <c r="J105" s="729" t="str">
        <f>IF(Inventory!J108="","",Inventory!J108)</f>
        <v/>
      </c>
      <c r="K105" s="729" t="str">
        <f>IF(Inventory!K108="","",Inventory!K108)</f>
        <v/>
      </c>
      <c r="L105" s="729" t="str">
        <f>IF(Inventory!L108="","",Inventory!L108)</f>
        <v/>
      </c>
      <c r="M105" s="765" t="str">
        <f>IF(Inventory!M108="","",Inventory!M108)</f>
        <v/>
      </c>
      <c r="N105" s="758" t="str">
        <f>IF(Inventory!N108="","",Inventory!N108)</f>
        <v/>
      </c>
      <c r="O105" s="765" t="str">
        <f>IF(Inventory!O108="","",Inventory!O108)</f>
        <v/>
      </c>
      <c r="P105" s="758" t="str">
        <f>IF(Inventory!P108="","",Inventory!P108)</f>
        <v/>
      </c>
      <c r="Q105" s="521" t="str">
        <f>IF(Inventory!Q108="","",Inventory!Q108)</f>
        <v/>
      </c>
      <c r="R105" s="775" t="str">
        <f>IF(Inventory!R108="","",Inventory!R108)</f>
        <v/>
      </c>
      <c r="S105" s="775" t="str">
        <f>IF(Inventory!S108="","",Inventory!S108)</f>
        <v/>
      </c>
      <c r="T105" s="729" t="str">
        <f>IF(Inventory!T108="","",Inventory!T108)</f>
        <v/>
      </c>
      <c r="U105" s="775" t="str">
        <f>IF(Inventory!U108="","",Inventory!U108)</f>
        <v/>
      </c>
      <c r="V105" s="779" t="str">
        <f>IF(Inventory!V108="","",Inventory!V108)</f>
        <v/>
      </c>
      <c r="W105" s="866"/>
    </row>
    <row r="106" spans="2:23" s="618" customFormat="1" ht="21.95" customHeight="1" x14ac:dyDescent="0.25">
      <c r="B106" s="432">
        <v>100</v>
      </c>
      <c r="C106" s="499" t="str">
        <f>IF(Inventory!C109="","",Inventory!C109)</f>
        <v/>
      </c>
      <c r="D106" s="751" t="str">
        <f>IF(Inventory!D109="","",Inventory!D109)</f>
        <v/>
      </c>
      <c r="E106" s="541" t="str">
        <f>IF(Inventory!E109="","",Inventory!E109)</f>
        <v/>
      </c>
      <c r="F106" s="785" t="str">
        <f>IF(Inventory!F109="","",Inventory!F109)</f>
        <v/>
      </c>
      <c r="G106" s="728" t="str">
        <f>IF(Inventory!G109="","",Inventory!G109)</f>
        <v/>
      </c>
      <c r="H106" s="728" t="str">
        <f>IF(Inventory!H109="","",Inventory!H109)</f>
        <v/>
      </c>
      <c r="I106" s="728" t="str">
        <f>IF(Inventory!I109="","",Inventory!I109)</f>
        <v/>
      </c>
      <c r="J106" s="728" t="str">
        <f>IF(Inventory!J109="","",Inventory!J109)</f>
        <v/>
      </c>
      <c r="K106" s="728" t="str">
        <f>IF(Inventory!K109="","",Inventory!K109)</f>
        <v/>
      </c>
      <c r="L106" s="728" t="str">
        <f>IF(Inventory!L109="","",Inventory!L109)</f>
        <v/>
      </c>
      <c r="M106" s="764" t="str">
        <f>IF(Inventory!M109="","",Inventory!M109)</f>
        <v/>
      </c>
      <c r="N106" s="728" t="str">
        <f>IF(Inventory!N109="","",Inventory!N109)</f>
        <v/>
      </c>
      <c r="O106" s="764" t="str">
        <f>IF(Inventory!O109="","",Inventory!O109)</f>
        <v/>
      </c>
      <c r="P106" s="728" t="str">
        <f>IF(Inventory!P109="","",Inventory!P109)</f>
        <v/>
      </c>
      <c r="Q106" s="520" t="str">
        <f>IF(Inventory!Q109="","",Inventory!Q109)</f>
        <v/>
      </c>
      <c r="R106" s="778" t="str">
        <f>IF(Inventory!R109="","",Inventory!R109)</f>
        <v/>
      </c>
      <c r="S106" s="778" t="str">
        <f>IF(Inventory!S109="","",Inventory!S109)</f>
        <v/>
      </c>
      <c r="T106" s="767" t="str">
        <f>IF(Inventory!T109="","",Inventory!T109)</f>
        <v/>
      </c>
      <c r="U106" s="778" t="str">
        <f>IF(Inventory!U109="","",Inventory!U109)</f>
        <v/>
      </c>
      <c r="V106" s="751" t="str">
        <f>IF(Inventory!V109="","",Inventory!V109)</f>
        <v/>
      </c>
      <c r="W106" s="871"/>
    </row>
    <row r="107" spans="2:23" s="618" customFormat="1" ht="21.95" customHeight="1" x14ac:dyDescent="0.25">
      <c r="B107" s="431">
        <v>101</v>
      </c>
      <c r="C107" s="501" t="str">
        <f>IF(Inventory!C110="","",Inventory!C110)</f>
        <v/>
      </c>
      <c r="D107" s="502" t="str">
        <f>IF(Inventory!D110="","",Inventory!D110)</f>
        <v/>
      </c>
      <c r="E107" s="546" t="str">
        <f>IF(Inventory!E110="","",Inventory!E110)</f>
        <v/>
      </c>
      <c r="F107" s="547" t="str">
        <f>IF(Inventory!F110="","",Inventory!F110)</f>
        <v/>
      </c>
      <c r="G107" s="729" t="str">
        <f>IF(Inventory!G110="","",Inventory!G110)</f>
        <v/>
      </c>
      <c r="H107" s="729" t="str">
        <f>IF(Inventory!H110="","",Inventory!H110)</f>
        <v/>
      </c>
      <c r="I107" s="729" t="str">
        <f>IF(Inventory!I110="","",Inventory!I110)</f>
        <v/>
      </c>
      <c r="J107" s="729" t="str">
        <f>IF(Inventory!J110="","",Inventory!J110)</f>
        <v/>
      </c>
      <c r="K107" s="729" t="str">
        <f>IF(Inventory!K110="","",Inventory!K110)</f>
        <v/>
      </c>
      <c r="L107" s="729" t="str">
        <f>IF(Inventory!L110="","",Inventory!L110)</f>
        <v/>
      </c>
      <c r="M107" s="765" t="str">
        <f>IF(Inventory!M110="","",Inventory!M110)</f>
        <v/>
      </c>
      <c r="N107" s="758" t="str">
        <f>IF(Inventory!N110="","",Inventory!N110)</f>
        <v/>
      </c>
      <c r="O107" s="765" t="str">
        <f>IF(Inventory!O110="","",Inventory!O110)</f>
        <v/>
      </c>
      <c r="P107" s="758" t="str">
        <f>IF(Inventory!P110="","",Inventory!P110)</f>
        <v/>
      </c>
      <c r="Q107" s="521" t="str">
        <f>IF(Inventory!Q110="","",Inventory!Q110)</f>
        <v/>
      </c>
      <c r="R107" s="775" t="str">
        <f>IF(Inventory!R110="","",Inventory!R110)</f>
        <v/>
      </c>
      <c r="S107" s="775" t="str">
        <f>IF(Inventory!S110="","",Inventory!S110)</f>
        <v/>
      </c>
      <c r="T107" s="729" t="str">
        <f>IF(Inventory!T110="","",Inventory!T110)</f>
        <v/>
      </c>
      <c r="U107" s="775" t="str">
        <f>IF(Inventory!U110="","",Inventory!U110)</f>
        <v/>
      </c>
      <c r="V107" s="779" t="str">
        <f>IF(Inventory!V110="","",Inventory!V110)</f>
        <v/>
      </c>
      <c r="W107" s="866"/>
    </row>
    <row r="108" spans="2:23" s="618" customFormat="1" ht="21.95" customHeight="1" x14ac:dyDescent="0.25">
      <c r="B108" s="432">
        <v>102</v>
      </c>
      <c r="C108" s="499" t="str">
        <f>IF(Inventory!C111="","",Inventory!C111)</f>
        <v/>
      </c>
      <c r="D108" s="751" t="str">
        <f>IF(Inventory!D111="","",Inventory!D111)</f>
        <v/>
      </c>
      <c r="E108" s="541" t="str">
        <f>IF(Inventory!E111="","",Inventory!E111)</f>
        <v/>
      </c>
      <c r="F108" s="785" t="str">
        <f>IF(Inventory!F111="","",Inventory!F111)</f>
        <v/>
      </c>
      <c r="G108" s="728" t="str">
        <f>IF(Inventory!G111="","",Inventory!G111)</f>
        <v/>
      </c>
      <c r="H108" s="728" t="str">
        <f>IF(Inventory!H111="","",Inventory!H111)</f>
        <v/>
      </c>
      <c r="I108" s="728" t="str">
        <f>IF(Inventory!I111="","",Inventory!I111)</f>
        <v/>
      </c>
      <c r="J108" s="728" t="str">
        <f>IF(Inventory!J111="","",Inventory!J111)</f>
        <v/>
      </c>
      <c r="K108" s="728" t="str">
        <f>IF(Inventory!K111="","",Inventory!K111)</f>
        <v/>
      </c>
      <c r="L108" s="728" t="str">
        <f>IF(Inventory!L111="","",Inventory!L111)</f>
        <v/>
      </c>
      <c r="M108" s="764" t="str">
        <f>IF(Inventory!M111="","",Inventory!M111)</f>
        <v/>
      </c>
      <c r="N108" s="728" t="str">
        <f>IF(Inventory!N111="","",Inventory!N111)</f>
        <v/>
      </c>
      <c r="O108" s="764" t="str">
        <f>IF(Inventory!O111="","",Inventory!O111)</f>
        <v/>
      </c>
      <c r="P108" s="728" t="str">
        <f>IF(Inventory!P111="","",Inventory!P111)</f>
        <v/>
      </c>
      <c r="Q108" s="520" t="str">
        <f>IF(Inventory!Q111="","",Inventory!Q111)</f>
        <v/>
      </c>
      <c r="R108" s="778" t="str">
        <f>IF(Inventory!R111="","",Inventory!R111)</f>
        <v/>
      </c>
      <c r="S108" s="778" t="str">
        <f>IF(Inventory!S111="","",Inventory!S111)</f>
        <v/>
      </c>
      <c r="T108" s="767" t="str">
        <f>IF(Inventory!T111="","",Inventory!T111)</f>
        <v/>
      </c>
      <c r="U108" s="778" t="str">
        <f>IF(Inventory!U111="","",Inventory!U111)</f>
        <v/>
      </c>
      <c r="V108" s="751" t="str">
        <f>IF(Inventory!V111="","",Inventory!V111)</f>
        <v/>
      </c>
      <c r="W108" s="871"/>
    </row>
    <row r="109" spans="2:23" s="618" customFormat="1" ht="21.95" customHeight="1" x14ac:dyDescent="0.25">
      <c r="B109" s="431">
        <v>103</v>
      </c>
      <c r="C109" s="501" t="str">
        <f>IF(Inventory!C112="","",Inventory!C112)</f>
        <v/>
      </c>
      <c r="D109" s="502" t="str">
        <f>IF(Inventory!D112="","",Inventory!D112)</f>
        <v/>
      </c>
      <c r="E109" s="546" t="str">
        <f>IF(Inventory!E112="","",Inventory!E112)</f>
        <v/>
      </c>
      <c r="F109" s="547" t="str">
        <f>IF(Inventory!F112="","",Inventory!F112)</f>
        <v/>
      </c>
      <c r="G109" s="729" t="str">
        <f>IF(Inventory!G112="","",Inventory!G112)</f>
        <v/>
      </c>
      <c r="H109" s="729" t="str">
        <f>IF(Inventory!H112="","",Inventory!H112)</f>
        <v/>
      </c>
      <c r="I109" s="729" t="str">
        <f>IF(Inventory!I112="","",Inventory!I112)</f>
        <v/>
      </c>
      <c r="J109" s="729" t="str">
        <f>IF(Inventory!J112="","",Inventory!J112)</f>
        <v/>
      </c>
      <c r="K109" s="729" t="str">
        <f>IF(Inventory!K112="","",Inventory!K112)</f>
        <v/>
      </c>
      <c r="L109" s="729" t="str">
        <f>IF(Inventory!L112="","",Inventory!L112)</f>
        <v/>
      </c>
      <c r="M109" s="765" t="str">
        <f>IF(Inventory!M112="","",Inventory!M112)</f>
        <v/>
      </c>
      <c r="N109" s="758" t="str">
        <f>IF(Inventory!N112="","",Inventory!N112)</f>
        <v/>
      </c>
      <c r="O109" s="765" t="str">
        <f>IF(Inventory!O112="","",Inventory!O112)</f>
        <v/>
      </c>
      <c r="P109" s="758" t="str">
        <f>IF(Inventory!P112="","",Inventory!P112)</f>
        <v/>
      </c>
      <c r="Q109" s="521" t="str">
        <f>IF(Inventory!Q112="","",Inventory!Q112)</f>
        <v/>
      </c>
      <c r="R109" s="775" t="str">
        <f>IF(Inventory!R112="","",Inventory!R112)</f>
        <v/>
      </c>
      <c r="S109" s="775" t="str">
        <f>IF(Inventory!S112="","",Inventory!S112)</f>
        <v/>
      </c>
      <c r="T109" s="729" t="str">
        <f>IF(Inventory!T112="","",Inventory!T112)</f>
        <v/>
      </c>
      <c r="U109" s="775" t="str">
        <f>IF(Inventory!U112="","",Inventory!U112)</f>
        <v/>
      </c>
      <c r="V109" s="779" t="str">
        <f>IF(Inventory!V112="","",Inventory!V112)</f>
        <v/>
      </c>
      <c r="W109" s="866"/>
    </row>
    <row r="110" spans="2:23" s="618" customFormat="1" ht="21.95" customHeight="1" x14ac:dyDescent="0.25">
      <c r="B110" s="432">
        <v>104</v>
      </c>
      <c r="C110" s="499" t="str">
        <f>IF(Inventory!C113="","",Inventory!C113)</f>
        <v/>
      </c>
      <c r="D110" s="751" t="str">
        <f>IF(Inventory!D113="","",Inventory!D113)</f>
        <v/>
      </c>
      <c r="E110" s="541" t="str">
        <f>IF(Inventory!E113="","",Inventory!E113)</f>
        <v/>
      </c>
      <c r="F110" s="785" t="str">
        <f>IF(Inventory!F113="","",Inventory!F113)</f>
        <v/>
      </c>
      <c r="G110" s="728" t="str">
        <f>IF(Inventory!G113="","",Inventory!G113)</f>
        <v/>
      </c>
      <c r="H110" s="728" t="str">
        <f>IF(Inventory!H113="","",Inventory!H113)</f>
        <v/>
      </c>
      <c r="I110" s="728" t="str">
        <f>IF(Inventory!I113="","",Inventory!I113)</f>
        <v/>
      </c>
      <c r="J110" s="728" t="str">
        <f>IF(Inventory!J113="","",Inventory!J113)</f>
        <v/>
      </c>
      <c r="K110" s="728" t="str">
        <f>IF(Inventory!K113="","",Inventory!K113)</f>
        <v/>
      </c>
      <c r="L110" s="728" t="str">
        <f>IF(Inventory!L113="","",Inventory!L113)</f>
        <v/>
      </c>
      <c r="M110" s="764" t="str">
        <f>IF(Inventory!M113="","",Inventory!M113)</f>
        <v/>
      </c>
      <c r="N110" s="728" t="str">
        <f>IF(Inventory!N113="","",Inventory!N113)</f>
        <v/>
      </c>
      <c r="O110" s="764" t="str">
        <f>IF(Inventory!O113="","",Inventory!O113)</f>
        <v/>
      </c>
      <c r="P110" s="728" t="str">
        <f>IF(Inventory!P113="","",Inventory!P113)</f>
        <v/>
      </c>
      <c r="Q110" s="520" t="str">
        <f>IF(Inventory!Q113="","",Inventory!Q113)</f>
        <v/>
      </c>
      <c r="R110" s="778" t="str">
        <f>IF(Inventory!R113="","",Inventory!R113)</f>
        <v/>
      </c>
      <c r="S110" s="778" t="str">
        <f>IF(Inventory!S113="","",Inventory!S113)</f>
        <v/>
      </c>
      <c r="T110" s="767" t="str">
        <f>IF(Inventory!T113="","",Inventory!T113)</f>
        <v/>
      </c>
      <c r="U110" s="778" t="str">
        <f>IF(Inventory!U113="","",Inventory!U113)</f>
        <v/>
      </c>
      <c r="V110" s="751" t="str">
        <f>IF(Inventory!V113="","",Inventory!V113)</f>
        <v/>
      </c>
      <c r="W110" s="871"/>
    </row>
    <row r="111" spans="2:23" s="618" customFormat="1" ht="21.95" customHeight="1" x14ac:dyDescent="0.25">
      <c r="B111" s="431">
        <v>105</v>
      </c>
      <c r="C111" s="501" t="str">
        <f>IF(Inventory!C114="","",Inventory!C114)</f>
        <v/>
      </c>
      <c r="D111" s="502" t="str">
        <f>IF(Inventory!D114="","",Inventory!D114)</f>
        <v/>
      </c>
      <c r="E111" s="546" t="str">
        <f>IF(Inventory!E114="","",Inventory!E114)</f>
        <v/>
      </c>
      <c r="F111" s="547" t="str">
        <f>IF(Inventory!F114="","",Inventory!F114)</f>
        <v/>
      </c>
      <c r="G111" s="729" t="str">
        <f>IF(Inventory!G114="","",Inventory!G114)</f>
        <v/>
      </c>
      <c r="H111" s="729" t="str">
        <f>IF(Inventory!H114="","",Inventory!H114)</f>
        <v/>
      </c>
      <c r="I111" s="729" t="str">
        <f>IF(Inventory!I114="","",Inventory!I114)</f>
        <v/>
      </c>
      <c r="J111" s="729" t="str">
        <f>IF(Inventory!J114="","",Inventory!J114)</f>
        <v/>
      </c>
      <c r="K111" s="729" t="str">
        <f>IF(Inventory!K114="","",Inventory!K114)</f>
        <v/>
      </c>
      <c r="L111" s="729" t="str">
        <f>IF(Inventory!L114="","",Inventory!L114)</f>
        <v/>
      </c>
      <c r="M111" s="765" t="str">
        <f>IF(Inventory!M114="","",Inventory!M114)</f>
        <v/>
      </c>
      <c r="N111" s="758" t="str">
        <f>IF(Inventory!N114="","",Inventory!N114)</f>
        <v/>
      </c>
      <c r="O111" s="765" t="str">
        <f>IF(Inventory!O114="","",Inventory!O114)</f>
        <v/>
      </c>
      <c r="P111" s="758" t="str">
        <f>IF(Inventory!P114="","",Inventory!P114)</f>
        <v/>
      </c>
      <c r="Q111" s="521" t="str">
        <f>IF(Inventory!Q114="","",Inventory!Q114)</f>
        <v/>
      </c>
      <c r="R111" s="775" t="str">
        <f>IF(Inventory!R114="","",Inventory!R114)</f>
        <v/>
      </c>
      <c r="S111" s="775" t="str">
        <f>IF(Inventory!S114="","",Inventory!S114)</f>
        <v/>
      </c>
      <c r="T111" s="729" t="str">
        <f>IF(Inventory!T114="","",Inventory!T114)</f>
        <v/>
      </c>
      <c r="U111" s="775" t="str">
        <f>IF(Inventory!U114="","",Inventory!U114)</f>
        <v/>
      </c>
      <c r="V111" s="779" t="str">
        <f>IF(Inventory!V114="","",Inventory!V114)</f>
        <v/>
      </c>
      <c r="W111" s="866"/>
    </row>
    <row r="112" spans="2:23" s="618" customFormat="1" ht="21.95" customHeight="1" x14ac:dyDescent="0.25">
      <c r="B112" s="432">
        <v>106</v>
      </c>
      <c r="C112" s="499" t="str">
        <f>IF(Inventory!C115="","",Inventory!C115)</f>
        <v/>
      </c>
      <c r="D112" s="751" t="str">
        <f>IF(Inventory!D115="","",Inventory!D115)</f>
        <v/>
      </c>
      <c r="E112" s="541" t="str">
        <f>IF(Inventory!E115="","",Inventory!E115)</f>
        <v/>
      </c>
      <c r="F112" s="785" t="str">
        <f>IF(Inventory!F115="","",Inventory!F115)</f>
        <v/>
      </c>
      <c r="G112" s="728" t="str">
        <f>IF(Inventory!G115="","",Inventory!G115)</f>
        <v/>
      </c>
      <c r="H112" s="728" t="str">
        <f>IF(Inventory!H115="","",Inventory!H115)</f>
        <v/>
      </c>
      <c r="I112" s="728" t="str">
        <f>IF(Inventory!I115="","",Inventory!I115)</f>
        <v/>
      </c>
      <c r="J112" s="728" t="str">
        <f>IF(Inventory!J115="","",Inventory!J115)</f>
        <v/>
      </c>
      <c r="K112" s="728" t="str">
        <f>IF(Inventory!K115="","",Inventory!K115)</f>
        <v/>
      </c>
      <c r="L112" s="728" t="str">
        <f>IF(Inventory!L115="","",Inventory!L115)</f>
        <v/>
      </c>
      <c r="M112" s="764" t="str">
        <f>IF(Inventory!M115="","",Inventory!M115)</f>
        <v/>
      </c>
      <c r="N112" s="728" t="str">
        <f>IF(Inventory!N115="","",Inventory!N115)</f>
        <v/>
      </c>
      <c r="O112" s="764" t="str">
        <f>IF(Inventory!O115="","",Inventory!O115)</f>
        <v/>
      </c>
      <c r="P112" s="728" t="str">
        <f>IF(Inventory!P115="","",Inventory!P115)</f>
        <v/>
      </c>
      <c r="Q112" s="520" t="str">
        <f>IF(Inventory!Q115="","",Inventory!Q115)</f>
        <v/>
      </c>
      <c r="R112" s="778" t="str">
        <f>IF(Inventory!R115="","",Inventory!R115)</f>
        <v/>
      </c>
      <c r="S112" s="778" t="str">
        <f>IF(Inventory!S115="","",Inventory!S115)</f>
        <v/>
      </c>
      <c r="T112" s="767" t="str">
        <f>IF(Inventory!T115="","",Inventory!T115)</f>
        <v/>
      </c>
      <c r="U112" s="778" t="str">
        <f>IF(Inventory!U115="","",Inventory!U115)</f>
        <v/>
      </c>
      <c r="V112" s="751" t="str">
        <f>IF(Inventory!V115="","",Inventory!V115)</f>
        <v/>
      </c>
      <c r="W112" s="871"/>
    </row>
    <row r="113" spans="2:23" s="618" customFormat="1" ht="21.95" customHeight="1" x14ac:dyDescent="0.25">
      <c r="B113" s="431">
        <v>107</v>
      </c>
      <c r="C113" s="501" t="str">
        <f>IF(Inventory!C116="","",Inventory!C116)</f>
        <v/>
      </c>
      <c r="D113" s="502" t="str">
        <f>IF(Inventory!D116="","",Inventory!D116)</f>
        <v/>
      </c>
      <c r="E113" s="546" t="str">
        <f>IF(Inventory!E116="","",Inventory!E116)</f>
        <v/>
      </c>
      <c r="F113" s="547" t="str">
        <f>IF(Inventory!F116="","",Inventory!F116)</f>
        <v/>
      </c>
      <c r="G113" s="729" t="str">
        <f>IF(Inventory!G116="","",Inventory!G116)</f>
        <v/>
      </c>
      <c r="H113" s="729" t="str">
        <f>IF(Inventory!H116="","",Inventory!H116)</f>
        <v/>
      </c>
      <c r="I113" s="729" t="str">
        <f>IF(Inventory!I116="","",Inventory!I116)</f>
        <v/>
      </c>
      <c r="J113" s="729" t="str">
        <f>IF(Inventory!J116="","",Inventory!J116)</f>
        <v/>
      </c>
      <c r="K113" s="729" t="str">
        <f>IF(Inventory!K116="","",Inventory!K116)</f>
        <v/>
      </c>
      <c r="L113" s="729" t="str">
        <f>IF(Inventory!L116="","",Inventory!L116)</f>
        <v/>
      </c>
      <c r="M113" s="765" t="str">
        <f>IF(Inventory!M116="","",Inventory!M116)</f>
        <v/>
      </c>
      <c r="N113" s="758" t="str">
        <f>IF(Inventory!N116="","",Inventory!N116)</f>
        <v/>
      </c>
      <c r="O113" s="765" t="str">
        <f>IF(Inventory!O116="","",Inventory!O116)</f>
        <v/>
      </c>
      <c r="P113" s="758" t="str">
        <f>IF(Inventory!P116="","",Inventory!P116)</f>
        <v/>
      </c>
      <c r="Q113" s="521" t="str">
        <f>IF(Inventory!Q116="","",Inventory!Q116)</f>
        <v/>
      </c>
      <c r="R113" s="775" t="str">
        <f>IF(Inventory!R116="","",Inventory!R116)</f>
        <v/>
      </c>
      <c r="S113" s="775" t="str">
        <f>IF(Inventory!S116="","",Inventory!S116)</f>
        <v/>
      </c>
      <c r="T113" s="729" t="str">
        <f>IF(Inventory!T116="","",Inventory!T116)</f>
        <v/>
      </c>
      <c r="U113" s="775" t="str">
        <f>IF(Inventory!U116="","",Inventory!U116)</f>
        <v/>
      </c>
      <c r="V113" s="779" t="str">
        <f>IF(Inventory!V116="","",Inventory!V116)</f>
        <v/>
      </c>
      <c r="W113" s="866"/>
    </row>
    <row r="114" spans="2:23" s="618" customFormat="1" ht="21.95" customHeight="1" x14ac:dyDescent="0.25">
      <c r="B114" s="432">
        <v>108</v>
      </c>
      <c r="C114" s="499" t="str">
        <f>IF(Inventory!C117="","",Inventory!C117)</f>
        <v/>
      </c>
      <c r="D114" s="751" t="str">
        <f>IF(Inventory!D117="","",Inventory!D117)</f>
        <v/>
      </c>
      <c r="E114" s="541" t="str">
        <f>IF(Inventory!E117="","",Inventory!E117)</f>
        <v/>
      </c>
      <c r="F114" s="785" t="str">
        <f>IF(Inventory!F117="","",Inventory!F117)</f>
        <v/>
      </c>
      <c r="G114" s="728" t="str">
        <f>IF(Inventory!G117="","",Inventory!G117)</f>
        <v/>
      </c>
      <c r="H114" s="728" t="str">
        <f>IF(Inventory!H117="","",Inventory!H117)</f>
        <v/>
      </c>
      <c r="I114" s="728" t="str">
        <f>IF(Inventory!I117="","",Inventory!I117)</f>
        <v/>
      </c>
      <c r="J114" s="728" t="str">
        <f>IF(Inventory!J117="","",Inventory!J117)</f>
        <v/>
      </c>
      <c r="K114" s="728" t="str">
        <f>IF(Inventory!K117="","",Inventory!K117)</f>
        <v/>
      </c>
      <c r="L114" s="728" t="str">
        <f>IF(Inventory!L117="","",Inventory!L117)</f>
        <v/>
      </c>
      <c r="M114" s="764" t="str">
        <f>IF(Inventory!M117="","",Inventory!M117)</f>
        <v/>
      </c>
      <c r="N114" s="728" t="str">
        <f>IF(Inventory!N117="","",Inventory!N117)</f>
        <v/>
      </c>
      <c r="O114" s="764" t="str">
        <f>IF(Inventory!O117="","",Inventory!O117)</f>
        <v/>
      </c>
      <c r="P114" s="728" t="str">
        <f>IF(Inventory!P117="","",Inventory!P117)</f>
        <v/>
      </c>
      <c r="Q114" s="520" t="str">
        <f>IF(Inventory!Q117="","",Inventory!Q117)</f>
        <v/>
      </c>
      <c r="R114" s="778" t="str">
        <f>IF(Inventory!R117="","",Inventory!R117)</f>
        <v/>
      </c>
      <c r="S114" s="778" t="str">
        <f>IF(Inventory!S117="","",Inventory!S117)</f>
        <v/>
      </c>
      <c r="T114" s="767" t="str">
        <f>IF(Inventory!T117="","",Inventory!T117)</f>
        <v/>
      </c>
      <c r="U114" s="778" t="str">
        <f>IF(Inventory!U117="","",Inventory!U117)</f>
        <v/>
      </c>
      <c r="V114" s="751" t="str">
        <f>IF(Inventory!V117="","",Inventory!V117)</f>
        <v/>
      </c>
      <c r="W114" s="871"/>
    </row>
    <row r="115" spans="2:23" s="618" customFormat="1" ht="21.95" customHeight="1" x14ac:dyDescent="0.25">
      <c r="B115" s="431">
        <v>109</v>
      </c>
      <c r="C115" s="501" t="str">
        <f>IF(Inventory!C118="","",Inventory!C118)</f>
        <v/>
      </c>
      <c r="D115" s="502" t="str">
        <f>IF(Inventory!D118="","",Inventory!D118)</f>
        <v/>
      </c>
      <c r="E115" s="546" t="str">
        <f>IF(Inventory!E118="","",Inventory!E118)</f>
        <v/>
      </c>
      <c r="F115" s="547" t="str">
        <f>IF(Inventory!F118="","",Inventory!F118)</f>
        <v/>
      </c>
      <c r="G115" s="729" t="str">
        <f>IF(Inventory!G118="","",Inventory!G118)</f>
        <v/>
      </c>
      <c r="H115" s="729" t="str">
        <f>IF(Inventory!H118="","",Inventory!H118)</f>
        <v/>
      </c>
      <c r="I115" s="729" t="str">
        <f>IF(Inventory!I118="","",Inventory!I118)</f>
        <v/>
      </c>
      <c r="J115" s="729" t="str">
        <f>IF(Inventory!J118="","",Inventory!J118)</f>
        <v/>
      </c>
      <c r="K115" s="729" t="str">
        <f>IF(Inventory!K118="","",Inventory!K118)</f>
        <v/>
      </c>
      <c r="L115" s="729" t="str">
        <f>IF(Inventory!L118="","",Inventory!L118)</f>
        <v/>
      </c>
      <c r="M115" s="765" t="str">
        <f>IF(Inventory!M118="","",Inventory!M118)</f>
        <v/>
      </c>
      <c r="N115" s="758" t="str">
        <f>IF(Inventory!N118="","",Inventory!N118)</f>
        <v/>
      </c>
      <c r="O115" s="765" t="str">
        <f>IF(Inventory!O118="","",Inventory!O118)</f>
        <v/>
      </c>
      <c r="P115" s="758" t="str">
        <f>IF(Inventory!P118="","",Inventory!P118)</f>
        <v/>
      </c>
      <c r="Q115" s="521" t="str">
        <f>IF(Inventory!Q118="","",Inventory!Q118)</f>
        <v/>
      </c>
      <c r="R115" s="775" t="str">
        <f>IF(Inventory!R118="","",Inventory!R118)</f>
        <v/>
      </c>
      <c r="S115" s="775" t="str">
        <f>IF(Inventory!S118="","",Inventory!S118)</f>
        <v/>
      </c>
      <c r="T115" s="729" t="str">
        <f>IF(Inventory!T118="","",Inventory!T118)</f>
        <v/>
      </c>
      <c r="U115" s="775" t="str">
        <f>IF(Inventory!U118="","",Inventory!U118)</f>
        <v/>
      </c>
      <c r="V115" s="779" t="str">
        <f>IF(Inventory!V118="","",Inventory!V118)</f>
        <v/>
      </c>
      <c r="W115" s="866"/>
    </row>
    <row r="116" spans="2:23" s="618" customFormat="1" ht="21.95" customHeight="1" x14ac:dyDescent="0.25">
      <c r="B116" s="432">
        <v>110</v>
      </c>
      <c r="C116" s="499" t="str">
        <f>IF(Inventory!C119="","",Inventory!C119)</f>
        <v/>
      </c>
      <c r="D116" s="751" t="str">
        <f>IF(Inventory!D119="","",Inventory!D119)</f>
        <v/>
      </c>
      <c r="E116" s="541" t="str">
        <f>IF(Inventory!E119="","",Inventory!E119)</f>
        <v/>
      </c>
      <c r="F116" s="785" t="str">
        <f>IF(Inventory!F119="","",Inventory!F119)</f>
        <v/>
      </c>
      <c r="G116" s="728" t="str">
        <f>IF(Inventory!G119="","",Inventory!G119)</f>
        <v/>
      </c>
      <c r="H116" s="728" t="str">
        <f>IF(Inventory!H119="","",Inventory!H119)</f>
        <v/>
      </c>
      <c r="I116" s="728" t="str">
        <f>IF(Inventory!I119="","",Inventory!I119)</f>
        <v/>
      </c>
      <c r="J116" s="728" t="str">
        <f>IF(Inventory!J119="","",Inventory!J119)</f>
        <v/>
      </c>
      <c r="K116" s="728" t="str">
        <f>IF(Inventory!K119="","",Inventory!K119)</f>
        <v/>
      </c>
      <c r="L116" s="728" t="str">
        <f>IF(Inventory!L119="","",Inventory!L119)</f>
        <v/>
      </c>
      <c r="M116" s="764" t="str">
        <f>IF(Inventory!M119="","",Inventory!M119)</f>
        <v/>
      </c>
      <c r="N116" s="728" t="str">
        <f>IF(Inventory!N119="","",Inventory!N119)</f>
        <v/>
      </c>
      <c r="O116" s="764" t="str">
        <f>IF(Inventory!O119="","",Inventory!O119)</f>
        <v/>
      </c>
      <c r="P116" s="728" t="str">
        <f>IF(Inventory!P119="","",Inventory!P119)</f>
        <v/>
      </c>
      <c r="Q116" s="520" t="str">
        <f>IF(Inventory!Q119="","",Inventory!Q119)</f>
        <v/>
      </c>
      <c r="R116" s="778" t="str">
        <f>IF(Inventory!R119="","",Inventory!R119)</f>
        <v/>
      </c>
      <c r="S116" s="778" t="str">
        <f>IF(Inventory!S119="","",Inventory!S119)</f>
        <v/>
      </c>
      <c r="T116" s="767" t="str">
        <f>IF(Inventory!T119="","",Inventory!T119)</f>
        <v/>
      </c>
      <c r="U116" s="778" t="str">
        <f>IF(Inventory!U119="","",Inventory!U119)</f>
        <v/>
      </c>
      <c r="V116" s="751" t="str">
        <f>IF(Inventory!V119="","",Inventory!V119)</f>
        <v/>
      </c>
      <c r="W116" s="871"/>
    </row>
    <row r="117" spans="2:23" s="618" customFormat="1" ht="21.95" customHeight="1" x14ac:dyDescent="0.25">
      <c r="B117" s="431">
        <v>111</v>
      </c>
      <c r="C117" s="501" t="str">
        <f>IF(Inventory!C120="","",Inventory!C120)</f>
        <v/>
      </c>
      <c r="D117" s="502" t="str">
        <f>IF(Inventory!D120="","",Inventory!D120)</f>
        <v/>
      </c>
      <c r="E117" s="546" t="str">
        <f>IF(Inventory!E120="","",Inventory!E120)</f>
        <v/>
      </c>
      <c r="F117" s="547" t="str">
        <f>IF(Inventory!F120="","",Inventory!F120)</f>
        <v/>
      </c>
      <c r="G117" s="729" t="str">
        <f>IF(Inventory!G120="","",Inventory!G120)</f>
        <v/>
      </c>
      <c r="H117" s="729" t="str">
        <f>IF(Inventory!H120="","",Inventory!H120)</f>
        <v/>
      </c>
      <c r="I117" s="729" t="str">
        <f>IF(Inventory!I120="","",Inventory!I120)</f>
        <v/>
      </c>
      <c r="J117" s="729" t="str">
        <f>IF(Inventory!J120="","",Inventory!J120)</f>
        <v/>
      </c>
      <c r="K117" s="729" t="str">
        <f>IF(Inventory!K120="","",Inventory!K120)</f>
        <v/>
      </c>
      <c r="L117" s="729" t="str">
        <f>IF(Inventory!L120="","",Inventory!L120)</f>
        <v/>
      </c>
      <c r="M117" s="765" t="str">
        <f>IF(Inventory!M120="","",Inventory!M120)</f>
        <v/>
      </c>
      <c r="N117" s="758" t="str">
        <f>IF(Inventory!N120="","",Inventory!N120)</f>
        <v/>
      </c>
      <c r="O117" s="765" t="str">
        <f>IF(Inventory!O120="","",Inventory!O120)</f>
        <v/>
      </c>
      <c r="P117" s="758" t="str">
        <f>IF(Inventory!P120="","",Inventory!P120)</f>
        <v/>
      </c>
      <c r="Q117" s="521" t="str">
        <f>IF(Inventory!Q120="","",Inventory!Q120)</f>
        <v/>
      </c>
      <c r="R117" s="775" t="str">
        <f>IF(Inventory!R120="","",Inventory!R120)</f>
        <v/>
      </c>
      <c r="S117" s="775" t="str">
        <f>IF(Inventory!S120="","",Inventory!S120)</f>
        <v/>
      </c>
      <c r="T117" s="729" t="str">
        <f>IF(Inventory!T120="","",Inventory!T120)</f>
        <v/>
      </c>
      <c r="U117" s="775" t="str">
        <f>IF(Inventory!U120="","",Inventory!U120)</f>
        <v/>
      </c>
      <c r="V117" s="779" t="str">
        <f>IF(Inventory!V120="","",Inventory!V120)</f>
        <v/>
      </c>
      <c r="W117" s="866"/>
    </row>
    <row r="118" spans="2:23" s="618" customFormat="1" ht="21.95" customHeight="1" x14ac:dyDescent="0.25">
      <c r="B118" s="432">
        <v>112</v>
      </c>
      <c r="C118" s="499" t="str">
        <f>IF(Inventory!C121="","",Inventory!C121)</f>
        <v/>
      </c>
      <c r="D118" s="751" t="str">
        <f>IF(Inventory!D121="","",Inventory!D121)</f>
        <v/>
      </c>
      <c r="E118" s="541" t="str">
        <f>IF(Inventory!E121="","",Inventory!E121)</f>
        <v/>
      </c>
      <c r="F118" s="785" t="str">
        <f>IF(Inventory!F121="","",Inventory!F121)</f>
        <v/>
      </c>
      <c r="G118" s="728" t="str">
        <f>IF(Inventory!G121="","",Inventory!G121)</f>
        <v/>
      </c>
      <c r="H118" s="728" t="str">
        <f>IF(Inventory!H121="","",Inventory!H121)</f>
        <v/>
      </c>
      <c r="I118" s="728" t="str">
        <f>IF(Inventory!I121="","",Inventory!I121)</f>
        <v/>
      </c>
      <c r="J118" s="728" t="str">
        <f>IF(Inventory!J121="","",Inventory!J121)</f>
        <v/>
      </c>
      <c r="K118" s="728" t="str">
        <f>IF(Inventory!K121="","",Inventory!K121)</f>
        <v/>
      </c>
      <c r="L118" s="728" t="str">
        <f>IF(Inventory!L121="","",Inventory!L121)</f>
        <v/>
      </c>
      <c r="M118" s="764" t="str">
        <f>IF(Inventory!M121="","",Inventory!M121)</f>
        <v/>
      </c>
      <c r="N118" s="728" t="str">
        <f>IF(Inventory!N121="","",Inventory!N121)</f>
        <v/>
      </c>
      <c r="O118" s="764" t="str">
        <f>IF(Inventory!O121="","",Inventory!O121)</f>
        <v/>
      </c>
      <c r="P118" s="728" t="str">
        <f>IF(Inventory!P121="","",Inventory!P121)</f>
        <v/>
      </c>
      <c r="Q118" s="520" t="str">
        <f>IF(Inventory!Q121="","",Inventory!Q121)</f>
        <v/>
      </c>
      <c r="R118" s="778" t="str">
        <f>IF(Inventory!R121="","",Inventory!R121)</f>
        <v/>
      </c>
      <c r="S118" s="778" t="str">
        <f>IF(Inventory!S121="","",Inventory!S121)</f>
        <v/>
      </c>
      <c r="T118" s="767" t="str">
        <f>IF(Inventory!T121="","",Inventory!T121)</f>
        <v/>
      </c>
      <c r="U118" s="778" t="str">
        <f>IF(Inventory!U121="","",Inventory!U121)</f>
        <v/>
      </c>
      <c r="V118" s="751" t="str">
        <f>IF(Inventory!V121="","",Inventory!V121)</f>
        <v/>
      </c>
      <c r="W118" s="871"/>
    </row>
    <row r="119" spans="2:23" s="618" customFormat="1" ht="21.95" customHeight="1" x14ac:dyDescent="0.25">
      <c r="B119" s="431">
        <v>113</v>
      </c>
      <c r="C119" s="501" t="str">
        <f>IF(Inventory!C122="","",Inventory!C122)</f>
        <v/>
      </c>
      <c r="D119" s="502" t="str">
        <f>IF(Inventory!D122="","",Inventory!D122)</f>
        <v/>
      </c>
      <c r="E119" s="546" t="str">
        <f>IF(Inventory!E122="","",Inventory!E122)</f>
        <v/>
      </c>
      <c r="F119" s="547" t="str">
        <f>IF(Inventory!F122="","",Inventory!F122)</f>
        <v/>
      </c>
      <c r="G119" s="729" t="str">
        <f>IF(Inventory!G122="","",Inventory!G122)</f>
        <v/>
      </c>
      <c r="H119" s="729" t="str">
        <f>IF(Inventory!H122="","",Inventory!H122)</f>
        <v/>
      </c>
      <c r="I119" s="729" t="str">
        <f>IF(Inventory!I122="","",Inventory!I122)</f>
        <v/>
      </c>
      <c r="J119" s="729" t="str">
        <f>IF(Inventory!J122="","",Inventory!J122)</f>
        <v/>
      </c>
      <c r="K119" s="729" t="str">
        <f>IF(Inventory!K122="","",Inventory!K122)</f>
        <v/>
      </c>
      <c r="L119" s="729" t="str">
        <f>IF(Inventory!L122="","",Inventory!L122)</f>
        <v/>
      </c>
      <c r="M119" s="765" t="str">
        <f>IF(Inventory!M122="","",Inventory!M122)</f>
        <v/>
      </c>
      <c r="N119" s="758" t="str">
        <f>IF(Inventory!N122="","",Inventory!N122)</f>
        <v/>
      </c>
      <c r="O119" s="765" t="str">
        <f>IF(Inventory!O122="","",Inventory!O122)</f>
        <v/>
      </c>
      <c r="P119" s="758" t="str">
        <f>IF(Inventory!P122="","",Inventory!P122)</f>
        <v/>
      </c>
      <c r="Q119" s="521" t="str">
        <f>IF(Inventory!Q122="","",Inventory!Q122)</f>
        <v/>
      </c>
      <c r="R119" s="775" t="str">
        <f>IF(Inventory!R122="","",Inventory!R122)</f>
        <v/>
      </c>
      <c r="S119" s="775" t="str">
        <f>IF(Inventory!S122="","",Inventory!S122)</f>
        <v/>
      </c>
      <c r="T119" s="729" t="str">
        <f>IF(Inventory!T122="","",Inventory!T122)</f>
        <v/>
      </c>
      <c r="U119" s="775" t="str">
        <f>IF(Inventory!U122="","",Inventory!U122)</f>
        <v/>
      </c>
      <c r="V119" s="779" t="str">
        <f>IF(Inventory!V122="","",Inventory!V122)</f>
        <v/>
      </c>
      <c r="W119" s="866"/>
    </row>
    <row r="120" spans="2:23" s="618" customFormat="1" ht="21.95" customHeight="1" x14ac:dyDescent="0.25">
      <c r="B120" s="432">
        <v>114</v>
      </c>
      <c r="C120" s="499" t="str">
        <f>IF(Inventory!C123="","",Inventory!C123)</f>
        <v/>
      </c>
      <c r="D120" s="751" t="str">
        <f>IF(Inventory!D123="","",Inventory!D123)</f>
        <v/>
      </c>
      <c r="E120" s="541" t="str">
        <f>IF(Inventory!E123="","",Inventory!E123)</f>
        <v/>
      </c>
      <c r="F120" s="785" t="str">
        <f>IF(Inventory!F123="","",Inventory!F123)</f>
        <v/>
      </c>
      <c r="G120" s="728" t="str">
        <f>IF(Inventory!G123="","",Inventory!G123)</f>
        <v/>
      </c>
      <c r="H120" s="728" t="str">
        <f>IF(Inventory!H123="","",Inventory!H123)</f>
        <v/>
      </c>
      <c r="I120" s="728" t="str">
        <f>IF(Inventory!I123="","",Inventory!I123)</f>
        <v/>
      </c>
      <c r="J120" s="728" t="str">
        <f>IF(Inventory!J123="","",Inventory!J123)</f>
        <v/>
      </c>
      <c r="K120" s="728" t="str">
        <f>IF(Inventory!K123="","",Inventory!K123)</f>
        <v/>
      </c>
      <c r="L120" s="728" t="str">
        <f>IF(Inventory!L123="","",Inventory!L123)</f>
        <v/>
      </c>
      <c r="M120" s="764" t="str">
        <f>IF(Inventory!M123="","",Inventory!M123)</f>
        <v/>
      </c>
      <c r="N120" s="728" t="str">
        <f>IF(Inventory!N123="","",Inventory!N123)</f>
        <v/>
      </c>
      <c r="O120" s="764" t="str">
        <f>IF(Inventory!O123="","",Inventory!O123)</f>
        <v/>
      </c>
      <c r="P120" s="728" t="str">
        <f>IF(Inventory!P123="","",Inventory!P123)</f>
        <v/>
      </c>
      <c r="Q120" s="520" t="str">
        <f>IF(Inventory!Q123="","",Inventory!Q123)</f>
        <v/>
      </c>
      <c r="R120" s="778" t="str">
        <f>IF(Inventory!R123="","",Inventory!R123)</f>
        <v/>
      </c>
      <c r="S120" s="778" t="str">
        <f>IF(Inventory!S123="","",Inventory!S123)</f>
        <v/>
      </c>
      <c r="T120" s="767" t="str">
        <f>IF(Inventory!T123="","",Inventory!T123)</f>
        <v/>
      </c>
      <c r="U120" s="778" t="str">
        <f>IF(Inventory!U123="","",Inventory!U123)</f>
        <v/>
      </c>
      <c r="V120" s="751" t="str">
        <f>IF(Inventory!V123="","",Inventory!V123)</f>
        <v/>
      </c>
      <c r="W120" s="871"/>
    </row>
    <row r="121" spans="2:23" s="618" customFormat="1" ht="21.95" customHeight="1" x14ac:dyDescent="0.25">
      <c r="B121" s="431">
        <v>115</v>
      </c>
      <c r="C121" s="501" t="str">
        <f>IF(Inventory!C124="","",Inventory!C124)</f>
        <v/>
      </c>
      <c r="D121" s="502" t="str">
        <f>IF(Inventory!D124="","",Inventory!D124)</f>
        <v/>
      </c>
      <c r="E121" s="546" t="str">
        <f>IF(Inventory!E124="","",Inventory!E124)</f>
        <v/>
      </c>
      <c r="F121" s="547" t="str">
        <f>IF(Inventory!F124="","",Inventory!F124)</f>
        <v/>
      </c>
      <c r="G121" s="729" t="str">
        <f>IF(Inventory!G124="","",Inventory!G124)</f>
        <v/>
      </c>
      <c r="H121" s="729" t="str">
        <f>IF(Inventory!H124="","",Inventory!H124)</f>
        <v/>
      </c>
      <c r="I121" s="729" t="str">
        <f>IF(Inventory!I124="","",Inventory!I124)</f>
        <v/>
      </c>
      <c r="J121" s="729" t="str">
        <f>IF(Inventory!J124="","",Inventory!J124)</f>
        <v/>
      </c>
      <c r="K121" s="729" t="str">
        <f>IF(Inventory!K124="","",Inventory!K124)</f>
        <v/>
      </c>
      <c r="L121" s="729" t="str">
        <f>IF(Inventory!L124="","",Inventory!L124)</f>
        <v/>
      </c>
      <c r="M121" s="765" t="str">
        <f>IF(Inventory!M124="","",Inventory!M124)</f>
        <v/>
      </c>
      <c r="N121" s="758" t="str">
        <f>IF(Inventory!N124="","",Inventory!N124)</f>
        <v/>
      </c>
      <c r="O121" s="765" t="str">
        <f>IF(Inventory!O124="","",Inventory!O124)</f>
        <v/>
      </c>
      <c r="P121" s="758" t="str">
        <f>IF(Inventory!P124="","",Inventory!P124)</f>
        <v/>
      </c>
      <c r="Q121" s="521" t="str">
        <f>IF(Inventory!Q124="","",Inventory!Q124)</f>
        <v/>
      </c>
      <c r="R121" s="775" t="str">
        <f>IF(Inventory!R124="","",Inventory!R124)</f>
        <v/>
      </c>
      <c r="S121" s="775" t="str">
        <f>IF(Inventory!S124="","",Inventory!S124)</f>
        <v/>
      </c>
      <c r="T121" s="729" t="str">
        <f>IF(Inventory!T124="","",Inventory!T124)</f>
        <v/>
      </c>
      <c r="U121" s="775" t="str">
        <f>IF(Inventory!U124="","",Inventory!U124)</f>
        <v/>
      </c>
      <c r="V121" s="779" t="str">
        <f>IF(Inventory!V124="","",Inventory!V124)</f>
        <v/>
      </c>
      <c r="W121" s="866"/>
    </row>
    <row r="122" spans="2:23" s="618" customFormat="1" ht="21.95" customHeight="1" x14ac:dyDescent="0.25">
      <c r="B122" s="432">
        <v>116</v>
      </c>
      <c r="C122" s="499" t="str">
        <f>IF(Inventory!C125="","",Inventory!C125)</f>
        <v/>
      </c>
      <c r="D122" s="751" t="str">
        <f>IF(Inventory!D125="","",Inventory!D125)</f>
        <v/>
      </c>
      <c r="E122" s="541" t="str">
        <f>IF(Inventory!E125="","",Inventory!E125)</f>
        <v/>
      </c>
      <c r="F122" s="785" t="str">
        <f>IF(Inventory!F125="","",Inventory!F125)</f>
        <v/>
      </c>
      <c r="G122" s="728" t="str">
        <f>IF(Inventory!G125="","",Inventory!G125)</f>
        <v/>
      </c>
      <c r="H122" s="728" t="str">
        <f>IF(Inventory!H125="","",Inventory!H125)</f>
        <v/>
      </c>
      <c r="I122" s="728" t="str">
        <f>IF(Inventory!I125="","",Inventory!I125)</f>
        <v/>
      </c>
      <c r="J122" s="728" t="str">
        <f>IF(Inventory!J125="","",Inventory!J125)</f>
        <v/>
      </c>
      <c r="K122" s="728" t="str">
        <f>IF(Inventory!K125="","",Inventory!K125)</f>
        <v/>
      </c>
      <c r="L122" s="728" t="str">
        <f>IF(Inventory!L125="","",Inventory!L125)</f>
        <v/>
      </c>
      <c r="M122" s="764" t="str">
        <f>IF(Inventory!M125="","",Inventory!M125)</f>
        <v/>
      </c>
      <c r="N122" s="728" t="str">
        <f>IF(Inventory!N125="","",Inventory!N125)</f>
        <v/>
      </c>
      <c r="O122" s="764" t="str">
        <f>IF(Inventory!O125="","",Inventory!O125)</f>
        <v/>
      </c>
      <c r="P122" s="728" t="str">
        <f>IF(Inventory!P125="","",Inventory!P125)</f>
        <v/>
      </c>
      <c r="Q122" s="520" t="str">
        <f>IF(Inventory!Q125="","",Inventory!Q125)</f>
        <v/>
      </c>
      <c r="R122" s="778" t="str">
        <f>IF(Inventory!R125="","",Inventory!R125)</f>
        <v/>
      </c>
      <c r="S122" s="778" t="str">
        <f>IF(Inventory!S125="","",Inventory!S125)</f>
        <v/>
      </c>
      <c r="T122" s="767" t="str">
        <f>IF(Inventory!T125="","",Inventory!T125)</f>
        <v/>
      </c>
      <c r="U122" s="778" t="str">
        <f>IF(Inventory!U125="","",Inventory!U125)</f>
        <v/>
      </c>
      <c r="V122" s="751" t="str">
        <f>IF(Inventory!V125="","",Inventory!V125)</f>
        <v/>
      </c>
      <c r="W122" s="871"/>
    </row>
    <row r="123" spans="2:23" s="618" customFormat="1" ht="21.95" customHeight="1" x14ac:dyDescent="0.25">
      <c r="B123" s="431">
        <v>117</v>
      </c>
      <c r="C123" s="501" t="str">
        <f>IF(Inventory!C126="","",Inventory!C126)</f>
        <v/>
      </c>
      <c r="D123" s="502" t="str">
        <f>IF(Inventory!D126="","",Inventory!D126)</f>
        <v/>
      </c>
      <c r="E123" s="546" t="str">
        <f>IF(Inventory!E126="","",Inventory!E126)</f>
        <v/>
      </c>
      <c r="F123" s="547" t="str">
        <f>IF(Inventory!F126="","",Inventory!F126)</f>
        <v/>
      </c>
      <c r="G123" s="729" t="str">
        <f>IF(Inventory!G126="","",Inventory!G126)</f>
        <v/>
      </c>
      <c r="H123" s="729" t="str">
        <f>IF(Inventory!H126="","",Inventory!H126)</f>
        <v/>
      </c>
      <c r="I123" s="729" t="str">
        <f>IF(Inventory!I126="","",Inventory!I126)</f>
        <v/>
      </c>
      <c r="J123" s="729" t="str">
        <f>IF(Inventory!J126="","",Inventory!J126)</f>
        <v/>
      </c>
      <c r="K123" s="729" t="str">
        <f>IF(Inventory!K126="","",Inventory!K126)</f>
        <v/>
      </c>
      <c r="L123" s="729" t="str">
        <f>IF(Inventory!L126="","",Inventory!L126)</f>
        <v/>
      </c>
      <c r="M123" s="765" t="str">
        <f>IF(Inventory!M126="","",Inventory!M126)</f>
        <v/>
      </c>
      <c r="N123" s="758" t="str">
        <f>IF(Inventory!N126="","",Inventory!N126)</f>
        <v/>
      </c>
      <c r="O123" s="765" t="str">
        <f>IF(Inventory!O126="","",Inventory!O126)</f>
        <v/>
      </c>
      <c r="P123" s="758" t="str">
        <f>IF(Inventory!P126="","",Inventory!P126)</f>
        <v/>
      </c>
      <c r="Q123" s="521" t="str">
        <f>IF(Inventory!Q126="","",Inventory!Q126)</f>
        <v/>
      </c>
      <c r="R123" s="775" t="str">
        <f>IF(Inventory!R126="","",Inventory!R126)</f>
        <v/>
      </c>
      <c r="S123" s="775" t="str">
        <f>IF(Inventory!S126="","",Inventory!S126)</f>
        <v/>
      </c>
      <c r="T123" s="729" t="str">
        <f>IF(Inventory!T126="","",Inventory!T126)</f>
        <v/>
      </c>
      <c r="U123" s="775" t="str">
        <f>IF(Inventory!U126="","",Inventory!U126)</f>
        <v/>
      </c>
      <c r="V123" s="779" t="str">
        <f>IF(Inventory!V126="","",Inventory!V126)</f>
        <v/>
      </c>
      <c r="W123" s="866"/>
    </row>
    <row r="124" spans="2:23" s="618" customFormat="1" ht="21.95" customHeight="1" x14ac:dyDescent="0.25">
      <c r="B124" s="432">
        <v>118</v>
      </c>
      <c r="C124" s="499" t="str">
        <f>IF(Inventory!C127="","",Inventory!C127)</f>
        <v/>
      </c>
      <c r="D124" s="751" t="str">
        <f>IF(Inventory!D127="","",Inventory!D127)</f>
        <v/>
      </c>
      <c r="E124" s="541" t="str">
        <f>IF(Inventory!E127="","",Inventory!E127)</f>
        <v/>
      </c>
      <c r="F124" s="785" t="str">
        <f>IF(Inventory!F127="","",Inventory!F127)</f>
        <v/>
      </c>
      <c r="G124" s="728" t="str">
        <f>IF(Inventory!G127="","",Inventory!G127)</f>
        <v/>
      </c>
      <c r="H124" s="728" t="str">
        <f>IF(Inventory!H127="","",Inventory!H127)</f>
        <v/>
      </c>
      <c r="I124" s="728" t="str">
        <f>IF(Inventory!I127="","",Inventory!I127)</f>
        <v/>
      </c>
      <c r="J124" s="728" t="str">
        <f>IF(Inventory!J127="","",Inventory!J127)</f>
        <v/>
      </c>
      <c r="K124" s="728" t="str">
        <f>IF(Inventory!K127="","",Inventory!K127)</f>
        <v/>
      </c>
      <c r="L124" s="728" t="str">
        <f>IF(Inventory!L127="","",Inventory!L127)</f>
        <v/>
      </c>
      <c r="M124" s="764" t="str">
        <f>IF(Inventory!M127="","",Inventory!M127)</f>
        <v/>
      </c>
      <c r="N124" s="728" t="str">
        <f>IF(Inventory!N127="","",Inventory!N127)</f>
        <v/>
      </c>
      <c r="O124" s="764" t="str">
        <f>IF(Inventory!O127="","",Inventory!O127)</f>
        <v/>
      </c>
      <c r="P124" s="728" t="str">
        <f>IF(Inventory!P127="","",Inventory!P127)</f>
        <v/>
      </c>
      <c r="Q124" s="520" t="str">
        <f>IF(Inventory!Q127="","",Inventory!Q127)</f>
        <v/>
      </c>
      <c r="R124" s="778" t="str">
        <f>IF(Inventory!R127="","",Inventory!R127)</f>
        <v/>
      </c>
      <c r="S124" s="778" t="str">
        <f>IF(Inventory!S127="","",Inventory!S127)</f>
        <v/>
      </c>
      <c r="T124" s="767" t="str">
        <f>IF(Inventory!T127="","",Inventory!T127)</f>
        <v/>
      </c>
      <c r="U124" s="778" t="str">
        <f>IF(Inventory!U127="","",Inventory!U127)</f>
        <v/>
      </c>
      <c r="V124" s="751" t="str">
        <f>IF(Inventory!V127="","",Inventory!V127)</f>
        <v/>
      </c>
      <c r="W124" s="871"/>
    </row>
    <row r="125" spans="2:23" s="618" customFormat="1" ht="21.95" customHeight="1" x14ac:dyDescent="0.25">
      <c r="B125" s="431">
        <v>119</v>
      </c>
      <c r="C125" s="501" t="str">
        <f>IF(Inventory!C128="","",Inventory!C128)</f>
        <v/>
      </c>
      <c r="D125" s="502" t="str">
        <f>IF(Inventory!D128="","",Inventory!D128)</f>
        <v/>
      </c>
      <c r="E125" s="546" t="str">
        <f>IF(Inventory!E128="","",Inventory!E128)</f>
        <v/>
      </c>
      <c r="F125" s="547" t="str">
        <f>IF(Inventory!F128="","",Inventory!F128)</f>
        <v/>
      </c>
      <c r="G125" s="729" t="str">
        <f>IF(Inventory!G128="","",Inventory!G128)</f>
        <v/>
      </c>
      <c r="H125" s="729" t="str">
        <f>IF(Inventory!H128="","",Inventory!H128)</f>
        <v/>
      </c>
      <c r="I125" s="729" t="str">
        <f>IF(Inventory!I128="","",Inventory!I128)</f>
        <v/>
      </c>
      <c r="J125" s="729" t="str">
        <f>IF(Inventory!J128="","",Inventory!J128)</f>
        <v/>
      </c>
      <c r="K125" s="729" t="str">
        <f>IF(Inventory!K128="","",Inventory!K128)</f>
        <v/>
      </c>
      <c r="L125" s="729" t="str">
        <f>IF(Inventory!L128="","",Inventory!L128)</f>
        <v/>
      </c>
      <c r="M125" s="765" t="str">
        <f>IF(Inventory!M128="","",Inventory!M128)</f>
        <v/>
      </c>
      <c r="N125" s="758" t="str">
        <f>IF(Inventory!N128="","",Inventory!N128)</f>
        <v/>
      </c>
      <c r="O125" s="765" t="str">
        <f>IF(Inventory!O128="","",Inventory!O128)</f>
        <v/>
      </c>
      <c r="P125" s="758" t="str">
        <f>IF(Inventory!P128="","",Inventory!P128)</f>
        <v/>
      </c>
      <c r="Q125" s="521" t="str">
        <f>IF(Inventory!Q128="","",Inventory!Q128)</f>
        <v/>
      </c>
      <c r="R125" s="775" t="str">
        <f>IF(Inventory!R128="","",Inventory!R128)</f>
        <v/>
      </c>
      <c r="S125" s="775" t="str">
        <f>IF(Inventory!S128="","",Inventory!S128)</f>
        <v/>
      </c>
      <c r="T125" s="729" t="str">
        <f>IF(Inventory!T128="","",Inventory!T128)</f>
        <v/>
      </c>
      <c r="U125" s="775" t="str">
        <f>IF(Inventory!U128="","",Inventory!U128)</f>
        <v/>
      </c>
      <c r="V125" s="779" t="str">
        <f>IF(Inventory!V128="","",Inventory!V128)</f>
        <v/>
      </c>
      <c r="W125" s="866"/>
    </row>
    <row r="126" spans="2:23" s="618" customFormat="1" ht="21.95" customHeight="1" x14ac:dyDescent="0.25">
      <c r="B126" s="432">
        <v>120</v>
      </c>
      <c r="C126" s="499" t="str">
        <f>IF(Inventory!C129="","",Inventory!C129)</f>
        <v/>
      </c>
      <c r="D126" s="751" t="str">
        <f>IF(Inventory!D129="","",Inventory!D129)</f>
        <v/>
      </c>
      <c r="E126" s="541" t="str">
        <f>IF(Inventory!E129="","",Inventory!E129)</f>
        <v/>
      </c>
      <c r="F126" s="785" t="str">
        <f>IF(Inventory!F129="","",Inventory!F129)</f>
        <v/>
      </c>
      <c r="G126" s="728" t="str">
        <f>IF(Inventory!G129="","",Inventory!G129)</f>
        <v/>
      </c>
      <c r="H126" s="728" t="str">
        <f>IF(Inventory!H129="","",Inventory!H129)</f>
        <v/>
      </c>
      <c r="I126" s="728" t="str">
        <f>IF(Inventory!I129="","",Inventory!I129)</f>
        <v/>
      </c>
      <c r="J126" s="728" t="str">
        <f>IF(Inventory!J129="","",Inventory!J129)</f>
        <v/>
      </c>
      <c r="K126" s="728" t="str">
        <f>IF(Inventory!K129="","",Inventory!K129)</f>
        <v/>
      </c>
      <c r="L126" s="728" t="str">
        <f>IF(Inventory!L129="","",Inventory!L129)</f>
        <v/>
      </c>
      <c r="M126" s="764" t="str">
        <f>IF(Inventory!M129="","",Inventory!M129)</f>
        <v/>
      </c>
      <c r="N126" s="728" t="str">
        <f>IF(Inventory!N129="","",Inventory!N129)</f>
        <v/>
      </c>
      <c r="O126" s="764" t="str">
        <f>IF(Inventory!O129="","",Inventory!O129)</f>
        <v/>
      </c>
      <c r="P126" s="728" t="str">
        <f>IF(Inventory!P129="","",Inventory!P129)</f>
        <v/>
      </c>
      <c r="Q126" s="520" t="str">
        <f>IF(Inventory!Q129="","",Inventory!Q129)</f>
        <v/>
      </c>
      <c r="R126" s="778" t="str">
        <f>IF(Inventory!R129="","",Inventory!R129)</f>
        <v/>
      </c>
      <c r="S126" s="778" t="str">
        <f>IF(Inventory!S129="","",Inventory!S129)</f>
        <v/>
      </c>
      <c r="T126" s="767" t="str">
        <f>IF(Inventory!T129="","",Inventory!T129)</f>
        <v/>
      </c>
      <c r="U126" s="778" t="str">
        <f>IF(Inventory!U129="","",Inventory!U129)</f>
        <v/>
      </c>
      <c r="V126" s="751" t="str">
        <f>IF(Inventory!V129="","",Inventory!V129)</f>
        <v/>
      </c>
      <c r="W126" s="871"/>
    </row>
    <row r="127" spans="2:23" s="618" customFormat="1" ht="21.95" customHeight="1" x14ac:dyDescent="0.25">
      <c r="B127" s="431">
        <v>121</v>
      </c>
      <c r="C127" s="501" t="str">
        <f>IF(Inventory!C130="","",Inventory!C130)</f>
        <v/>
      </c>
      <c r="D127" s="502" t="str">
        <f>IF(Inventory!D130="","",Inventory!D130)</f>
        <v/>
      </c>
      <c r="E127" s="546" t="str">
        <f>IF(Inventory!E130="","",Inventory!E130)</f>
        <v/>
      </c>
      <c r="F127" s="547" t="str">
        <f>IF(Inventory!F130="","",Inventory!F130)</f>
        <v/>
      </c>
      <c r="G127" s="729" t="str">
        <f>IF(Inventory!G130="","",Inventory!G130)</f>
        <v/>
      </c>
      <c r="H127" s="729" t="str">
        <f>IF(Inventory!H130="","",Inventory!H130)</f>
        <v/>
      </c>
      <c r="I127" s="729" t="str">
        <f>IF(Inventory!I130="","",Inventory!I130)</f>
        <v/>
      </c>
      <c r="J127" s="729" t="str">
        <f>IF(Inventory!J130="","",Inventory!J130)</f>
        <v/>
      </c>
      <c r="K127" s="729" t="str">
        <f>IF(Inventory!K130="","",Inventory!K130)</f>
        <v/>
      </c>
      <c r="L127" s="729" t="str">
        <f>IF(Inventory!L130="","",Inventory!L130)</f>
        <v/>
      </c>
      <c r="M127" s="765" t="str">
        <f>IF(Inventory!M130="","",Inventory!M130)</f>
        <v/>
      </c>
      <c r="N127" s="758" t="str">
        <f>IF(Inventory!N130="","",Inventory!N130)</f>
        <v/>
      </c>
      <c r="O127" s="765" t="str">
        <f>IF(Inventory!O130="","",Inventory!O130)</f>
        <v/>
      </c>
      <c r="P127" s="758" t="str">
        <f>IF(Inventory!P130="","",Inventory!P130)</f>
        <v/>
      </c>
      <c r="Q127" s="521" t="str">
        <f>IF(Inventory!Q130="","",Inventory!Q130)</f>
        <v/>
      </c>
      <c r="R127" s="775" t="str">
        <f>IF(Inventory!R130="","",Inventory!R130)</f>
        <v/>
      </c>
      <c r="S127" s="775" t="str">
        <f>IF(Inventory!S130="","",Inventory!S130)</f>
        <v/>
      </c>
      <c r="T127" s="729" t="str">
        <f>IF(Inventory!T130="","",Inventory!T130)</f>
        <v/>
      </c>
      <c r="U127" s="775" t="str">
        <f>IF(Inventory!U130="","",Inventory!U130)</f>
        <v/>
      </c>
      <c r="V127" s="779" t="str">
        <f>IF(Inventory!V130="","",Inventory!V130)</f>
        <v/>
      </c>
      <c r="W127" s="866"/>
    </row>
    <row r="128" spans="2:23" s="618" customFormat="1" ht="21.95" customHeight="1" x14ac:dyDescent="0.25">
      <c r="B128" s="432">
        <v>122</v>
      </c>
      <c r="C128" s="499" t="str">
        <f>IF(Inventory!C131="","",Inventory!C131)</f>
        <v/>
      </c>
      <c r="D128" s="751" t="str">
        <f>IF(Inventory!D131="","",Inventory!D131)</f>
        <v/>
      </c>
      <c r="E128" s="541" t="str">
        <f>IF(Inventory!E131="","",Inventory!E131)</f>
        <v/>
      </c>
      <c r="F128" s="785" t="str">
        <f>IF(Inventory!F131="","",Inventory!F131)</f>
        <v/>
      </c>
      <c r="G128" s="728" t="str">
        <f>IF(Inventory!G131="","",Inventory!G131)</f>
        <v/>
      </c>
      <c r="H128" s="728" t="str">
        <f>IF(Inventory!H131="","",Inventory!H131)</f>
        <v/>
      </c>
      <c r="I128" s="728" t="str">
        <f>IF(Inventory!I131="","",Inventory!I131)</f>
        <v/>
      </c>
      <c r="J128" s="728" t="str">
        <f>IF(Inventory!J131="","",Inventory!J131)</f>
        <v/>
      </c>
      <c r="K128" s="728" t="str">
        <f>IF(Inventory!K131="","",Inventory!K131)</f>
        <v/>
      </c>
      <c r="L128" s="728" t="str">
        <f>IF(Inventory!L131="","",Inventory!L131)</f>
        <v/>
      </c>
      <c r="M128" s="764" t="str">
        <f>IF(Inventory!M131="","",Inventory!M131)</f>
        <v/>
      </c>
      <c r="N128" s="728" t="str">
        <f>IF(Inventory!N131="","",Inventory!N131)</f>
        <v/>
      </c>
      <c r="O128" s="764" t="str">
        <f>IF(Inventory!O131="","",Inventory!O131)</f>
        <v/>
      </c>
      <c r="P128" s="728" t="str">
        <f>IF(Inventory!P131="","",Inventory!P131)</f>
        <v/>
      </c>
      <c r="Q128" s="520" t="str">
        <f>IF(Inventory!Q131="","",Inventory!Q131)</f>
        <v/>
      </c>
      <c r="R128" s="778" t="str">
        <f>IF(Inventory!R131="","",Inventory!R131)</f>
        <v/>
      </c>
      <c r="S128" s="778" t="str">
        <f>IF(Inventory!S131="","",Inventory!S131)</f>
        <v/>
      </c>
      <c r="T128" s="767" t="str">
        <f>IF(Inventory!T131="","",Inventory!T131)</f>
        <v/>
      </c>
      <c r="U128" s="778" t="str">
        <f>IF(Inventory!U131="","",Inventory!U131)</f>
        <v/>
      </c>
      <c r="V128" s="751" t="str">
        <f>IF(Inventory!V131="","",Inventory!V131)</f>
        <v/>
      </c>
      <c r="W128" s="871"/>
    </row>
    <row r="129" spans="2:23" s="618" customFormat="1" ht="21.95" customHeight="1" x14ac:dyDescent="0.25">
      <c r="B129" s="431">
        <v>123</v>
      </c>
      <c r="C129" s="501" t="str">
        <f>IF(Inventory!C132="","",Inventory!C132)</f>
        <v/>
      </c>
      <c r="D129" s="502" t="str">
        <f>IF(Inventory!D132="","",Inventory!D132)</f>
        <v/>
      </c>
      <c r="E129" s="546" t="str">
        <f>IF(Inventory!E132="","",Inventory!E132)</f>
        <v/>
      </c>
      <c r="F129" s="547" t="str">
        <f>IF(Inventory!F132="","",Inventory!F132)</f>
        <v/>
      </c>
      <c r="G129" s="729" t="str">
        <f>IF(Inventory!G132="","",Inventory!G132)</f>
        <v/>
      </c>
      <c r="H129" s="729" t="str">
        <f>IF(Inventory!H132="","",Inventory!H132)</f>
        <v/>
      </c>
      <c r="I129" s="729" t="str">
        <f>IF(Inventory!I132="","",Inventory!I132)</f>
        <v/>
      </c>
      <c r="J129" s="729" t="str">
        <f>IF(Inventory!J132="","",Inventory!J132)</f>
        <v/>
      </c>
      <c r="K129" s="729" t="str">
        <f>IF(Inventory!K132="","",Inventory!K132)</f>
        <v/>
      </c>
      <c r="L129" s="729" t="str">
        <f>IF(Inventory!L132="","",Inventory!L132)</f>
        <v/>
      </c>
      <c r="M129" s="765" t="str">
        <f>IF(Inventory!M132="","",Inventory!M132)</f>
        <v/>
      </c>
      <c r="N129" s="758" t="str">
        <f>IF(Inventory!N132="","",Inventory!N132)</f>
        <v/>
      </c>
      <c r="O129" s="765" t="str">
        <f>IF(Inventory!O132="","",Inventory!O132)</f>
        <v/>
      </c>
      <c r="P129" s="758" t="str">
        <f>IF(Inventory!P132="","",Inventory!P132)</f>
        <v/>
      </c>
      <c r="Q129" s="521" t="str">
        <f>IF(Inventory!Q132="","",Inventory!Q132)</f>
        <v/>
      </c>
      <c r="R129" s="775" t="str">
        <f>IF(Inventory!R132="","",Inventory!R132)</f>
        <v/>
      </c>
      <c r="S129" s="775" t="str">
        <f>IF(Inventory!S132="","",Inventory!S132)</f>
        <v/>
      </c>
      <c r="T129" s="729" t="str">
        <f>IF(Inventory!T132="","",Inventory!T132)</f>
        <v/>
      </c>
      <c r="U129" s="775" t="str">
        <f>IF(Inventory!U132="","",Inventory!U132)</f>
        <v/>
      </c>
      <c r="V129" s="779" t="str">
        <f>IF(Inventory!V132="","",Inventory!V132)</f>
        <v/>
      </c>
      <c r="W129" s="866"/>
    </row>
    <row r="130" spans="2:23" s="618" customFormat="1" ht="21.95" customHeight="1" x14ac:dyDescent="0.25">
      <c r="B130" s="432">
        <v>124</v>
      </c>
      <c r="C130" s="499" t="str">
        <f>IF(Inventory!C133="","",Inventory!C133)</f>
        <v/>
      </c>
      <c r="D130" s="751" t="str">
        <f>IF(Inventory!D133="","",Inventory!D133)</f>
        <v/>
      </c>
      <c r="E130" s="541" t="str">
        <f>IF(Inventory!E133="","",Inventory!E133)</f>
        <v/>
      </c>
      <c r="F130" s="785" t="str">
        <f>IF(Inventory!F133="","",Inventory!F133)</f>
        <v/>
      </c>
      <c r="G130" s="728" t="str">
        <f>IF(Inventory!G133="","",Inventory!G133)</f>
        <v/>
      </c>
      <c r="H130" s="728" t="str">
        <f>IF(Inventory!H133="","",Inventory!H133)</f>
        <v/>
      </c>
      <c r="I130" s="728" t="str">
        <f>IF(Inventory!I133="","",Inventory!I133)</f>
        <v/>
      </c>
      <c r="J130" s="728" t="str">
        <f>IF(Inventory!J133="","",Inventory!J133)</f>
        <v/>
      </c>
      <c r="K130" s="728" t="str">
        <f>IF(Inventory!K133="","",Inventory!K133)</f>
        <v/>
      </c>
      <c r="L130" s="728" t="str">
        <f>IF(Inventory!L133="","",Inventory!L133)</f>
        <v/>
      </c>
      <c r="M130" s="764" t="str">
        <f>IF(Inventory!M133="","",Inventory!M133)</f>
        <v/>
      </c>
      <c r="N130" s="728" t="str">
        <f>IF(Inventory!N133="","",Inventory!N133)</f>
        <v/>
      </c>
      <c r="O130" s="764" t="str">
        <f>IF(Inventory!O133="","",Inventory!O133)</f>
        <v/>
      </c>
      <c r="P130" s="728" t="str">
        <f>IF(Inventory!P133="","",Inventory!P133)</f>
        <v/>
      </c>
      <c r="Q130" s="520" t="str">
        <f>IF(Inventory!Q133="","",Inventory!Q133)</f>
        <v/>
      </c>
      <c r="R130" s="778" t="str">
        <f>IF(Inventory!R133="","",Inventory!R133)</f>
        <v/>
      </c>
      <c r="S130" s="778" t="str">
        <f>IF(Inventory!S133="","",Inventory!S133)</f>
        <v/>
      </c>
      <c r="T130" s="767" t="str">
        <f>IF(Inventory!T133="","",Inventory!T133)</f>
        <v/>
      </c>
      <c r="U130" s="778" t="str">
        <f>IF(Inventory!U133="","",Inventory!U133)</f>
        <v/>
      </c>
      <c r="V130" s="751" t="str">
        <f>IF(Inventory!V133="","",Inventory!V133)</f>
        <v/>
      </c>
      <c r="W130" s="871"/>
    </row>
    <row r="131" spans="2:23" s="618" customFormat="1" ht="21.95" customHeight="1" x14ac:dyDescent="0.25">
      <c r="B131" s="431">
        <v>125</v>
      </c>
      <c r="C131" s="501" t="str">
        <f>IF(Inventory!C134="","",Inventory!C134)</f>
        <v/>
      </c>
      <c r="D131" s="502" t="str">
        <f>IF(Inventory!D134="","",Inventory!D134)</f>
        <v/>
      </c>
      <c r="E131" s="546" t="str">
        <f>IF(Inventory!E134="","",Inventory!E134)</f>
        <v/>
      </c>
      <c r="F131" s="547" t="str">
        <f>IF(Inventory!F134="","",Inventory!F134)</f>
        <v/>
      </c>
      <c r="G131" s="729" t="str">
        <f>IF(Inventory!G134="","",Inventory!G134)</f>
        <v/>
      </c>
      <c r="H131" s="729" t="str">
        <f>IF(Inventory!H134="","",Inventory!H134)</f>
        <v/>
      </c>
      <c r="I131" s="729" t="str">
        <f>IF(Inventory!I134="","",Inventory!I134)</f>
        <v/>
      </c>
      <c r="J131" s="729" t="str">
        <f>IF(Inventory!J134="","",Inventory!J134)</f>
        <v/>
      </c>
      <c r="K131" s="729" t="str">
        <f>IF(Inventory!K134="","",Inventory!K134)</f>
        <v/>
      </c>
      <c r="L131" s="729" t="str">
        <f>IF(Inventory!L134="","",Inventory!L134)</f>
        <v/>
      </c>
      <c r="M131" s="765" t="str">
        <f>IF(Inventory!M134="","",Inventory!M134)</f>
        <v/>
      </c>
      <c r="N131" s="758" t="str">
        <f>IF(Inventory!N134="","",Inventory!N134)</f>
        <v/>
      </c>
      <c r="O131" s="765" t="str">
        <f>IF(Inventory!O134="","",Inventory!O134)</f>
        <v/>
      </c>
      <c r="P131" s="758" t="str">
        <f>IF(Inventory!P134="","",Inventory!P134)</f>
        <v/>
      </c>
      <c r="Q131" s="521" t="str">
        <f>IF(Inventory!Q134="","",Inventory!Q134)</f>
        <v/>
      </c>
      <c r="R131" s="775" t="str">
        <f>IF(Inventory!R134="","",Inventory!R134)</f>
        <v/>
      </c>
      <c r="S131" s="775" t="str">
        <f>IF(Inventory!S134="","",Inventory!S134)</f>
        <v/>
      </c>
      <c r="T131" s="729" t="str">
        <f>IF(Inventory!T134="","",Inventory!T134)</f>
        <v/>
      </c>
      <c r="U131" s="775" t="str">
        <f>IF(Inventory!U134="","",Inventory!U134)</f>
        <v/>
      </c>
      <c r="V131" s="779" t="str">
        <f>IF(Inventory!V134="","",Inventory!V134)</f>
        <v/>
      </c>
      <c r="W131" s="866"/>
    </row>
    <row r="132" spans="2:23" s="618" customFormat="1" ht="21.95" customHeight="1" x14ac:dyDescent="0.25">
      <c r="B132" s="432">
        <v>126</v>
      </c>
      <c r="C132" s="499" t="str">
        <f>IF(Inventory!C135="","",Inventory!C135)</f>
        <v/>
      </c>
      <c r="D132" s="751" t="str">
        <f>IF(Inventory!D135="","",Inventory!D135)</f>
        <v/>
      </c>
      <c r="E132" s="541" t="str">
        <f>IF(Inventory!E135="","",Inventory!E135)</f>
        <v/>
      </c>
      <c r="F132" s="785" t="str">
        <f>IF(Inventory!F135="","",Inventory!F135)</f>
        <v/>
      </c>
      <c r="G132" s="728" t="str">
        <f>IF(Inventory!G135="","",Inventory!G135)</f>
        <v/>
      </c>
      <c r="H132" s="728" t="str">
        <f>IF(Inventory!H135="","",Inventory!H135)</f>
        <v/>
      </c>
      <c r="I132" s="728" t="str">
        <f>IF(Inventory!I135="","",Inventory!I135)</f>
        <v/>
      </c>
      <c r="J132" s="728" t="str">
        <f>IF(Inventory!J135="","",Inventory!J135)</f>
        <v/>
      </c>
      <c r="K132" s="728" t="str">
        <f>IF(Inventory!K135="","",Inventory!K135)</f>
        <v/>
      </c>
      <c r="L132" s="728" t="str">
        <f>IF(Inventory!L135="","",Inventory!L135)</f>
        <v/>
      </c>
      <c r="M132" s="764" t="str">
        <f>IF(Inventory!M135="","",Inventory!M135)</f>
        <v/>
      </c>
      <c r="N132" s="728" t="str">
        <f>IF(Inventory!N135="","",Inventory!N135)</f>
        <v/>
      </c>
      <c r="O132" s="764" t="str">
        <f>IF(Inventory!O135="","",Inventory!O135)</f>
        <v/>
      </c>
      <c r="P132" s="728" t="str">
        <f>IF(Inventory!P135="","",Inventory!P135)</f>
        <v/>
      </c>
      <c r="Q132" s="520" t="str">
        <f>IF(Inventory!Q135="","",Inventory!Q135)</f>
        <v/>
      </c>
      <c r="R132" s="778" t="str">
        <f>IF(Inventory!R135="","",Inventory!R135)</f>
        <v/>
      </c>
      <c r="S132" s="778" t="str">
        <f>IF(Inventory!S135="","",Inventory!S135)</f>
        <v/>
      </c>
      <c r="T132" s="767" t="str">
        <f>IF(Inventory!T135="","",Inventory!T135)</f>
        <v/>
      </c>
      <c r="U132" s="778" t="str">
        <f>IF(Inventory!U135="","",Inventory!U135)</f>
        <v/>
      </c>
      <c r="V132" s="751" t="str">
        <f>IF(Inventory!V135="","",Inventory!V135)</f>
        <v/>
      </c>
      <c r="W132" s="871"/>
    </row>
    <row r="133" spans="2:23" s="618" customFormat="1" ht="21.95" customHeight="1" x14ac:dyDescent="0.25">
      <c r="B133" s="431">
        <v>127</v>
      </c>
      <c r="C133" s="501" t="str">
        <f>IF(Inventory!C136="","",Inventory!C136)</f>
        <v/>
      </c>
      <c r="D133" s="502" t="str">
        <f>IF(Inventory!D136="","",Inventory!D136)</f>
        <v/>
      </c>
      <c r="E133" s="546" t="str">
        <f>IF(Inventory!E136="","",Inventory!E136)</f>
        <v/>
      </c>
      <c r="F133" s="547" t="str">
        <f>IF(Inventory!F136="","",Inventory!F136)</f>
        <v/>
      </c>
      <c r="G133" s="729" t="str">
        <f>IF(Inventory!G136="","",Inventory!G136)</f>
        <v/>
      </c>
      <c r="H133" s="729" t="str">
        <f>IF(Inventory!H136="","",Inventory!H136)</f>
        <v/>
      </c>
      <c r="I133" s="729" t="str">
        <f>IF(Inventory!I136="","",Inventory!I136)</f>
        <v/>
      </c>
      <c r="J133" s="729" t="str">
        <f>IF(Inventory!J136="","",Inventory!J136)</f>
        <v/>
      </c>
      <c r="K133" s="729" t="str">
        <f>IF(Inventory!K136="","",Inventory!K136)</f>
        <v/>
      </c>
      <c r="L133" s="729" t="str">
        <f>IF(Inventory!L136="","",Inventory!L136)</f>
        <v/>
      </c>
      <c r="M133" s="765" t="str">
        <f>IF(Inventory!M136="","",Inventory!M136)</f>
        <v/>
      </c>
      <c r="N133" s="758" t="str">
        <f>IF(Inventory!N136="","",Inventory!N136)</f>
        <v/>
      </c>
      <c r="O133" s="765" t="str">
        <f>IF(Inventory!O136="","",Inventory!O136)</f>
        <v/>
      </c>
      <c r="P133" s="758" t="str">
        <f>IF(Inventory!P136="","",Inventory!P136)</f>
        <v/>
      </c>
      <c r="Q133" s="521" t="str">
        <f>IF(Inventory!Q136="","",Inventory!Q136)</f>
        <v/>
      </c>
      <c r="R133" s="775" t="str">
        <f>IF(Inventory!R136="","",Inventory!R136)</f>
        <v/>
      </c>
      <c r="S133" s="775" t="str">
        <f>IF(Inventory!S136="","",Inventory!S136)</f>
        <v/>
      </c>
      <c r="T133" s="729" t="str">
        <f>IF(Inventory!T136="","",Inventory!T136)</f>
        <v/>
      </c>
      <c r="U133" s="775" t="str">
        <f>IF(Inventory!U136="","",Inventory!U136)</f>
        <v/>
      </c>
      <c r="V133" s="779" t="str">
        <f>IF(Inventory!V136="","",Inventory!V136)</f>
        <v/>
      </c>
      <c r="W133" s="866"/>
    </row>
    <row r="134" spans="2:23" s="618" customFormat="1" ht="21.95" customHeight="1" x14ac:dyDescent="0.25">
      <c r="B134" s="432">
        <v>128</v>
      </c>
      <c r="C134" s="499" t="str">
        <f>IF(Inventory!C137="","",Inventory!C137)</f>
        <v/>
      </c>
      <c r="D134" s="751" t="str">
        <f>IF(Inventory!D137="","",Inventory!D137)</f>
        <v/>
      </c>
      <c r="E134" s="541" t="str">
        <f>IF(Inventory!E137="","",Inventory!E137)</f>
        <v/>
      </c>
      <c r="F134" s="785" t="str">
        <f>IF(Inventory!F137="","",Inventory!F137)</f>
        <v/>
      </c>
      <c r="G134" s="728" t="str">
        <f>IF(Inventory!G137="","",Inventory!G137)</f>
        <v/>
      </c>
      <c r="H134" s="728" t="str">
        <f>IF(Inventory!H137="","",Inventory!H137)</f>
        <v/>
      </c>
      <c r="I134" s="728" t="str">
        <f>IF(Inventory!I137="","",Inventory!I137)</f>
        <v/>
      </c>
      <c r="J134" s="728" t="str">
        <f>IF(Inventory!J137="","",Inventory!J137)</f>
        <v/>
      </c>
      <c r="K134" s="728" t="str">
        <f>IF(Inventory!K137="","",Inventory!K137)</f>
        <v/>
      </c>
      <c r="L134" s="728" t="str">
        <f>IF(Inventory!L137="","",Inventory!L137)</f>
        <v/>
      </c>
      <c r="M134" s="764" t="str">
        <f>IF(Inventory!M137="","",Inventory!M137)</f>
        <v/>
      </c>
      <c r="N134" s="728" t="str">
        <f>IF(Inventory!N137="","",Inventory!N137)</f>
        <v/>
      </c>
      <c r="O134" s="764" t="str">
        <f>IF(Inventory!O137="","",Inventory!O137)</f>
        <v/>
      </c>
      <c r="P134" s="728" t="str">
        <f>IF(Inventory!P137="","",Inventory!P137)</f>
        <v/>
      </c>
      <c r="Q134" s="520" t="str">
        <f>IF(Inventory!Q137="","",Inventory!Q137)</f>
        <v/>
      </c>
      <c r="R134" s="778" t="str">
        <f>IF(Inventory!R137="","",Inventory!R137)</f>
        <v/>
      </c>
      <c r="S134" s="778" t="str">
        <f>IF(Inventory!S137="","",Inventory!S137)</f>
        <v/>
      </c>
      <c r="T134" s="767" t="str">
        <f>IF(Inventory!T137="","",Inventory!T137)</f>
        <v/>
      </c>
      <c r="U134" s="778" t="str">
        <f>IF(Inventory!U137="","",Inventory!U137)</f>
        <v/>
      </c>
      <c r="V134" s="751" t="str">
        <f>IF(Inventory!V137="","",Inventory!V137)</f>
        <v/>
      </c>
      <c r="W134" s="871"/>
    </row>
    <row r="135" spans="2:23" s="618" customFormat="1" ht="21.95" customHeight="1" x14ac:dyDescent="0.25">
      <c r="B135" s="431">
        <v>129</v>
      </c>
      <c r="C135" s="501" t="str">
        <f>IF(Inventory!C138="","",Inventory!C138)</f>
        <v/>
      </c>
      <c r="D135" s="502" t="str">
        <f>IF(Inventory!D138="","",Inventory!D138)</f>
        <v/>
      </c>
      <c r="E135" s="546" t="str">
        <f>IF(Inventory!E138="","",Inventory!E138)</f>
        <v/>
      </c>
      <c r="F135" s="547" t="str">
        <f>IF(Inventory!F138="","",Inventory!F138)</f>
        <v/>
      </c>
      <c r="G135" s="729" t="str">
        <f>IF(Inventory!G138="","",Inventory!G138)</f>
        <v/>
      </c>
      <c r="H135" s="729" t="str">
        <f>IF(Inventory!H138="","",Inventory!H138)</f>
        <v/>
      </c>
      <c r="I135" s="729" t="str">
        <f>IF(Inventory!I138="","",Inventory!I138)</f>
        <v/>
      </c>
      <c r="J135" s="729" t="str">
        <f>IF(Inventory!J138="","",Inventory!J138)</f>
        <v/>
      </c>
      <c r="K135" s="729" t="str">
        <f>IF(Inventory!K138="","",Inventory!K138)</f>
        <v/>
      </c>
      <c r="L135" s="729" t="str">
        <f>IF(Inventory!L138="","",Inventory!L138)</f>
        <v/>
      </c>
      <c r="M135" s="765" t="str">
        <f>IF(Inventory!M138="","",Inventory!M138)</f>
        <v/>
      </c>
      <c r="N135" s="758" t="str">
        <f>IF(Inventory!N138="","",Inventory!N138)</f>
        <v/>
      </c>
      <c r="O135" s="765" t="str">
        <f>IF(Inventory!O138="","",Inventory!O138)</f>
        <v/>
      </c>
      <c r="P135" s="758" t="str">
        <f>IF(Inventory!P138="","",Inventory!P138)</f>
        <v/>
      </c>
      <c r="Q135" s="521" t="str">
        <f>IF(Inventory!Q138="","",Inventory!Q138)</f>
        <v/>
      </c>
      <c r="R135" s="775" t="str">
        <f>IF(Inventory!R138="","",Inventory!R138)</f>
        <v/>
      </c>
      <c r="S135" s="775" t="str">
        <f>IF(Inventory!S138="","",Inventory!S138)</f>
        <v/>
      </c>
      <c r="T135" s="729" t="str">
        <f>IF(Inventory!T138="","",Inventory!T138)</f>
        <v/>
      </c>
      <c r="U135" s="775" t="str">
        <f>IF(Inventory!U138="","",Inventory!U138)</f>
        <v/>
      </c>
      <c r="V135" s="779" t="str">
        <f>IF(Inventory!V138="","",Inventory!V138)</f>
        <v/>
      </c>
      <c r="W135" s="866"/>
    </row>
    <row r="136" spans="2:23" s="618" customFormat="1" ht="21.95" customHeight="1" x14ac:dyDescent="0.25">
      <c r="B136" s="432">
        <v>130</v>
      </c>
      <c r="C136" s="499" t="str">
        <f>IF(Inventory!C139="","",Inventory!C139)</f>
        <v/>
      </c>
      <c r="D136" s="751" t="str">
        <f>IF(Inventory!D139="","",Inventory!D139)</f>
        <v/>
      </c>
      <c r="E136" s="541" t="str">
        <f>IF(Inventory!E139="","",Inventory!E139)</f>
        <v/>
      </c>
      <c r="F136" s="785" t="str">
        <f>IF(Inventory!F139="","",Inventory!F139)</f>
        <v/>
      </c>
      <c r="G136" s="728" t="str">
        <f>IF(Inventory!G139="","",Inventory!G139)</f>
        <v/>
      </c>
      <c r="H136" s="728" t="str">
        <f>IF(Inventory!H139="","",Inventory!H139)</f>
        <v/>
      </c>
      <c r="I136" s="728" t="str">
        <f>IF(Inventory!I139="","",Inventory!I139)</f>
        <v/>
      </c>
      <c r="J136" s="728" t="str">
        <f>IF(Inventory!J139="","",Inventory!J139)</f>
        <v/>
      </c>
      <c r="K136" s="728" t="str">
        <f>IF(Inventory!K139="","",Inventory!K139)</f>
        <v/>
      </c>
      <c r="L136" s="728" t="str">
        <f>IF(Inventory!L139="","",Inventory!L139)</f>
        <v/>
      </c>
      <c r="M136" s="764" t="str">
        <f>IF(Inventory!M139="","",Inventory!M139)</f>
        <v/>
      </c>
      <c r="N136" s="728" t="str">
        <f>IF(Inventory!N139="","",Inventory!N139)</f>
        <v/>
      </c>
      <c r="O136" s="764" t="str">
        <f>IF(Inventory!O139="","",Inventory!O139)</f>
        <v/>
      </c>
      <c r="P136" s="728" t="str">
        <f>IF(Inventory!P139="","",Inventory!P139)</f>
        <v/>
      </c>
      <c r="Q136" s="520" t="str">
        <f>IF(Inventory!Q139="","",Inventory!Q139)</f>
        <v/>
      </c>
      <c r="R136" s="778" t="str">
        <f>IF(Inventory!R139="","",Inventory!R139)</f>
        <v/>
      </c>
      <c r="S136" s="778" t="str">
        <f>IF(Inventory!S139="","",Inventory!S139)</f>
        <v/>
      </c>
      <c r="T136" s="767" t="str">
        <f>IF(Inventory!T139="","",Inventory!T139)</f>
        <v/>
      </c>
      <c r="U136" s="778" t="str">
        <f>IF(Inventory!U139="","",Inventory!U139)</f>
        <v/>
      </c>
      <c r="V136" s="751" t="str">
        <f>IF(Inventory!V139="","",Inventory!V139)</f>
        <v/>
      </c>
      <c r="W136" s="871"/>
    </row>
    <row r="137" spans="2:23" s="618" customFormat="1" ht="21.95" customHeight="1" x14ac:dyDescent="0.25">
      <c r="B137" s="431">
        <v>131</v>
      </c>
      <c r="C137" s="501" t="str">
        <f>IF(Inventory!C140="","",Inventory!C140)</f>
        <v/>
      </c>
      <c r="D137" s="502" t="str">
        <f>IF(Inventory!D140="","",Inventory!D140)</f>
        <v/>
      </c>
      <c r="E137" s="546" t="str">
        <f>IF(Inventory!E140="","",Inventory!E140)</f>
        <v/>
      </c>
      <c r="F137" s="547" t="str">
        <f>IF(Inventory!F140="","",Inventory!F140)</f>
        <v/>
      </c>
      <c r="G137" s="729" t="str">
        <f>IF(Inventory!G140="","",Inventory!G140)</f>
        <v/>
      </c>
      <c r="H137" s="729" t="str">
        <f>IF(Inventory!H140="","",Inventory!H140)</f>
        <v/>
      </c>
      <c r="I137" s="729" t="str">
        <f>IF(Inventory!I140="","",Inventory!I140)</f>
        <v/>
      </c>
      <c r="J137" s="729" t="str">
        <f>IF(Inventory!J140="","",Inventory!J140)</f>
        <v/>
      </c>
      <c r="K137" s="729" t="str">
        <f>IF(Inventory!K140="","",Inventory!K140)</f>
        <v/>
      </c>
      <c r="L137" s="729" t="str">
        <f>IF(Inventory!L140="","",Inventory!L140)</f>
        <v/>
      </c>
      <c r="M137" s="765" t="str">
        <f>IF(Inventory!M140="","",Inventory!M140)</f>
        <v/>
      </c>
      <c r="N137" s="758" t="str">
        <f>IF(Inventory!N140="","",Inventory!N140)</f>
        <v/>
      </c>
      <c r="O137" s="765" t="str">
        <f>IF(Inventory!O140="","",Inventory!O140)</f>
        <v/>
      </c>
      <c r="P137" s="758" t="str">
        <f>IF(Inventory!P140="","",Inventory!P140)</f>
        <v/>
      </c>
      <c r="Q137" s="521" t="str">
        <f>IF(Inventory!Q140="","",Inventory!Q140)</f>
        <v/>
      </c>
      <c r="R137" s="775" t="str">
        <f>IF(Inventory!R140="","",Inventory!R140)</f>
        <v/>
      </c>
      <c r="S137" s="775" t="str">
        <f>IF(Inventory!S140="","",Inventory!S140)</f>
        <v/>
      </c>
      <c r="T137" s="729" t="str">
        <f>IF(Inventory!T140="","",Inventory!T140)</f>
        <v/>
      </c>
      <c r="U137" s="775" t="str">
        <f>IF(Inventory!U140="","",Inventory!U140)</f>
        <v/>
      </c>
      <c r="V137" s="779" t="str">
        <f>IF(Inventory!V140="","",Inventory!V140)</f>
        <v/>
      </c>
      <c r="W137" s="866"/>
    </row>
    <row r="138" spans="2:23" s="618" customFormat="1" ht="21.95" customHeight="1" x14ac:dyDescent="0.25">
      <c r="B138" s="432">
        <v>132</v>
      </c>
      <c r="C138" s="499" t="str">
        <f>IF(Inventory!C141="","",Inventory!C141)</f>
        <v/>
      </c>
      <c r="D138" s="751" t="str">
        <f>IF(Inventory!D141="","",Inventory!D141)</f>
        <v/>
      </c>
      <c r="E138" s="541" t="str">
        <f>IF(Inventory!E141="","",Inventory!E141)</f>
        <v/>
      </c>
      <c r="F138" s="785" t="str">
        <f>IF(Inventory!F141="","",Inventory!F141)</f>
        <v/>
      </c>
      <c r="G138" s="728" t="str">
        <f>IF(Inventory!G141="","",Inventory!G141)</f>
        <v/>
      </c>
      <c r="H138" s="728" t="str">
        <f>IF(Inventory!H141="","",Inventory!H141)</f>
        <v/>
      </c>
      <c r="I138" s="728" t="str">
        <f>IF(Inventory!I141="","",Inventory!I141)</f>
        <v/>
      </c>
      <c r="J138" s="728" t="str">
        <f>IF(Inventory!J141="","",Inventory!J141)</f>
        <v/>
      </c>
      <c r="K138" s="728" t="str">
        <f>IF(Inventory!K141="","",Inventory!K141)</f>
        <v/>
      </c>
      <c r="L138" s="728" t="str">
        <f>IF(Inventory!L141="","",Inventory!L141)</f>
        <v/>
      </c>
      <c r="M138" s="764" t="str">
        <f>IF(Inventory!M141="","",Inventory!M141)</f>
        <v/>
      </c>
      <c r="N138" s="728" t="str">
        <f>IF(Inventory!N141="","",Inventory!N141)</f>
        <v/>
      </c>
      <c r="O138" s="764" t="str">
        <f>IF(Inventory!O141="","",Inventory!O141)</f>
        <v/>
      </c>
      <c r="P138" s="728" t="str">
        <f>IF(Inventory!P141="","",Inventory!P141)</f>
        <v/>
      </c>
      <c r="Q138" s="520" t="str">
        <f>IF(Inventory!Q141="","",Inventory!Q141)</f>
        <v/>
      </c>
      <c r="R138" s="778" t="str">
        <f>IF(Inventory!R141="","",Inventory!R141)</f>
        <v/>
      </c>
      <c r="S138" s="778" t="str">
        <f>IF(Inventory!S141="","",Inventory!S141)</f>
        <v/>
      </c>
      <c r="T138" s="767" t="str">
        <f>IF(Inventory!T141="","",Inventory!T141)</f>
        <v/>
      </c>
      <c r="U138" s="778" t="str">
        <f>IF(Inventory!U141="","",Inventory!U141)</f>
        <v/>
      </c>
      <c r="V138" s="751" t="str">
        <f>IF(Inventory!V141="","",Inventory!V141)</f>
        <v/>
      </c>
      <c r="W138" s="871"/>
    </row>
    <row r="139" spans="2:23" s="618" customFormat="1" ht="21.95" customHeight="1" x14ac:dyDescent="0.25">
      <c r="B139" s="431">
        <v>133</v>
      </c>
      <c r="C139" s="501" t="str">
        <f>IF(Inventory!C142="","",Inventory!C142)</f>
        <v/>
      </c>
      <c r="D139" s="502" t="str">
        <f>IF(Inventory!D142="","",Inventory!D142)</f>
        <v/>
      </c>
      <c r="E139" s="546" t="str">
        <f>IF(Inventory!E142="","",Inventory!E142)</f>
        <v/>
      </c>
      <c r="F139" s="547" t="str">
        <f>IF(Inventory!F142="","",Inventory!F142)</f>
        <v/>
      </c>
      <c r="G139" s="729" t="str">
        <f>IF(Inventory!G142="","",Inventory!G142)</f>
        <v/>
      </c>
      <c r="H139" s="729" t="str">
        <f>IF(Inventory!H142="","",Inventory!H142)</f>
        <v/>
      </c>
      <c r="I139" s="729" t="str">
        <f>IF(Inventory!I142="","",Inventory!I142)</f>
        <v/>
      </c>
      <c r="J139" s="729" t="str">
        <f>IF(Inventory!J142="","",Inventory!J142)</f>
        <v/>
      </c>
      <c r="K139" s="729" t="str">
        <f>IF(Inventory!K142="","",Inventory!K142)</f>
        <v/>
      </c>
      <c r="L139" s="729" t="str">
        <f>IF(Inventory!L142="","",Inventory!L142)</f>
        <v/>
      </c>
      <c r="M139" s="765" t="str">
        <f>IF(Inventory!M142="","",Inventory!M142)</f>
        <v/>
      </c>
      <c r="N139" s="758" t="str">
        <f>IF(Inventory!N142="","",Inventory!N142)</f>
        <v/>
      </c>
      <c r="O139" s="765" t="str">
        <f>IF(Inventory!O142="","",Inventory!O142)</f>
        <v/>
      </c>
      <c r="P139" s="758" t="str">
        <f>IF(Inventory!P142="","",Inventory!P142)</f>
        <v/>
      </c>
      <c r="Q139" s="521" t="str">
        <f>IF(Inventory!Q142="","",Inventory!Q142)</f>
        <v/>
      </c>
      <c r="R139" s="775" t="str">
        <f>IF(Inventory!R142="","",Inventory!R142)</f>
        <v/>
      </c>
      <c r="S139" s="775" t="str">
        <f>IF(Inventory!S142="","",Inventory!S142)</f>
        <v/>
      </c>
      <c r="T139" s="729" t="str">
        <f>IF(Inventory!T142="","",Inventory!T142)</f>
        <v/>
      </c>
      <c r="U139" s="775" t="str">
        <f>IF(Inventory!U142="","",Inventory!U142)</f>
        <v/>
      </c>
      <c r="V139" s="779" t="str">
        <f>IF(Inventory!V142="","",Inventory!V142)</f>
        <v/>
      </c>
      <c r="W139" s="866"/>
    </row>
    <row r="140" spans="2:23" s="618" customFormat="1" ht="21.95" customHeight="1" x14ac:dyDescent="0.25">
      <c r="B140" s="432">
        <v>134</v>
      </c>
      <c r="C140" s="499" t="str">
        <f>IF(Inventory!C143="","",Inventory!C143)</f>
        <v/>
      </c>
      <c r="D140" s="751" t="str">
        <f>IF(Inventory!D143="","",Inventory!D143)</f>
        <v/>
      </c>
      <c r="E140" s="541" t="str">
        <f>IF(Inventory!E143="","",Inventory!E143)</f>
        <v/>
      </c>
      <c r="F140" s="785" t="str">
        <f>IF(Inventory!F143="","",Inventory!F143)</f>
        <v/>
      </c>
      <c r="G140" s="728" t="str">
        <f>IF(Inventory!G143="","",Inventory!G143)</f>
        <v/>
      </c>
      <c r="H140" s="728" t="str">
        <f>IF(Inventory!H143="","",Inventory!H143)</f>
        <v/>
      </c>
      <c r="I140" s="728" t="str">
        <f>IF(Inventory!I143="","",Inventory!I143)</f>
        <v/>
      </c>
      <c r="J140" s="728" t="str">
        <f>IF(Inventory!J143="","",Inventory!J143)</f>
        <v/>
      </c>
      <c r="K140" s="728" t="str">
        <f>IF(Inventory!K143="","",Inventory!K143)</f>
        <v/>
      </c>
      <c r="L140" s="728" t="str">
        <f>IF(Inventory!L143="","",Inventory!L143)</f>
        <v/>
      </c>
      <c r="M140" s="764" t="str">
        <f>IF(Inventory!M143="","",Inventory!M143)</f>
        <v/>
      </c>
      <c r="N140" s="728" t="str">
        <f>IF(Inventory!N143="","",Inventory!N143)</f>
        <v/>
      </c>
      <c r="O140" s="764" t="str">
        <f>IF(Inventory!O143="","",Inventory!O143)</f>
        <v/>
      </c>
      <c r="P140" s="728" t="str">
        <f>IF(Inventory!P143="","",Inventory!P143)</f>
        <v/>
      </c>
      <c r="Q140" s="520" t="str">
        <f>IF(Inventory!Q143="","",Inventory!Q143)</f>
        <v/>
      </c>
      <c r="R140" s="778" t="str">
        <f>IF(Inventory!R143="","",Inventory!R143)</f>
        <v/>
      </c>
      <c r="S140" s="778" t="str">
        <f>IF(Inventory!S143="","",Inventory!S143)</f>
        <v/>
      </c>
      <c r="T140" s="767" t="str">
        <f>IF(Inventory!T143="","",Inventory!T143)</f>
        <v/>
      </c>
      <c r="U140" s="778" t="str">
        <f>IF(Inventory!U143="","",Inventory!U143)</f>
        <v/>
      </c>
      <c r="V140" s="751" t="str">
        <f>IF(Inventory!V143="","",Inventory!V143)</f>
        <v/>
      </c>
      <c r="W140" s="871"/>
    </row>
    <row r="141" spans="2:23" s="618" customFormat="1" ht="21.95" customHeight="1" x14ac:dyDescent="0.25">
      <c r="B141" s="431">
        <v>135</v>
      </c>
      <c r="C141" s="501" t="str">
        <f>IF(Inventory!C144="","",Inventory!C144)</f>
        <v/>
      </c>
      <c r="D141" s="502" t="str">
        <f>IF(Inventory!D144="","",Inventory!D144)</f>
        <v/>
      </c>
      <c r="E141" s="546" t="str">
        <f>IF(Inventory!E144="","",Inventory!E144)</f>
        <v/>
      </c>
      <c r="F141" s="547" t="str">
        <f>IF(Inventory!F144="","",Inventory!F144)</f>
        <v/>
      </c>
      <c r="G141" s="729" t="str">
        <f>IF(Inventory!G144="","",Inventory!G144)</f>
        <v/>
      </c>
      <c r="H141" s="729" t="str">
        <f>IF(Inventory!H144="","",Inventory!H144)</f>
        <v/>
      </c>
      <c r="I141" s="729" t="str">
        <f>IF(Inventory!I144="","",Inventory!I144)</f>
        <v/>
      </c>
      <c r="J141" s="729" t="str">
        <f>IF(Inventory!J144="","",Inventory!J144)</f>
        <v/>
      </c>
      <c r="K141" s="729" t="str">
        <f>IF(Inventory!K144="","",Inventory!K144)</f>
        <v/>
      </c>
      <c r="L141" s="729" t="str">
        <f>IF(Inventory!L144="","",Inventory!L144)</f>
        <v/>
      </c>
      <c r="M141" s="765" t="str">
        <f>IF(Inventory!M144="","",Inventory!M144)</f>
        <v/>
      </c>
      <c r="N141" s="758" t="str">
        <f>IF(Inventory!N144="","",Inventory!N144)</f>
        <v/>
      </c>
      <c r="O141" s="765" t="str">
        <f>IF(Inventory!O144="","",Inventory!O144)</f>
        <v/>
      </c>
      <c r="P141" s="758" t="str">
        <f>IF(Inventory!P144="","",Inventory!P144)</f>
        <v/>
      </c>
      <c r="Q141" s="521" t="str">
        <f>IF(Inventory!Q144="","",Inventory!Q144)</f>
        <v/>
      </c>
      <c r="R141" s="775" t="str">
        <f>IF(Inventory!R144="","",Inventory!R144)</f>
        <v/>
      </c>
      <c r="S141" s="775" t="str">
        <f>IF(Inventory!S144="","",Inventory!S144)</f>
        <v/>
      </c>
      <c r="T141" s="729" t="str">
        <f>IF(Inventory!T144="","",Inventory!T144)</f>
        <v/>
      </c>
      <c r="U141" s="775" t="str">
        <f>IF(Inventory!U144="","",Inventory!U144)</f>
        <v/>
      </c>
      <c r="V141" s="779" t="str">
        <f>IF(Inventory!V144="","",Inventory!V144)</f>
        <v/>
      </c>
      <c r="W141" s="866"/>
    </row>
    <row r="142" spans="2:23" s="618" customFormat="1" ht="21.95" customHeight="1" x14ac:dyDescent="0.25">
      <c r="B142" s="432">
        <v>136</v>
      </c>
      <c r="C142" s="499" t="str">
        <f>IF(Inventory!C145="","",Inventory!C145)</f>
        <v/>
      </c>
      <c r="D142" s="751" t="str">
        <f>IF(Inventory!D145="","",Inventory!D145)</f>
        <v/>
      </c>
      <c r="E142" s="541" t="str">
        <f>IF(Inventory!E145="","",Inventory!E145)</f>
        <v/>
      </c>
      <c r="F142" s="785" t="str">
        <f>IF(Inventory!F145="","",Inventory!F145)</f>
        <v/>
      </c>
      <c r="G142" s="728" t="str">
        <f>IF(Inventory!G145="","",Inventory!G145)</f>
        <v/>
      </c>
      <c r="H142" s="728" t="str">
        <f>IF(Inventory!H145="","",Inventory!H145)</f>
        <v/>
      </c>
      <c r="I142" s="728" t="str">
        <f>IF(Inventory!I145="","",Inventory!I145)</f>
        <v/>
      </c>
      <c r="J142" s="728" t="str">
        <f>IF(Inventory!J145="","",Inventory!J145)</f>
        <v/>
      </c>
      <c r="K142" s="728" t="str">
        <f>IF(Inventory!K145="","",Inventory!K145)</f>
        <v/>
      </c>
      <c r="L142" s="728" t="str">
        <f>IF(Inventory!L145="","",Inventory!L145)</f>
        <v/>
      </c>
      <c r="M142" s="764" t="str">
        <f>IF(Inventory!M145="","",Inventory!M145)</f>
        <v/>
      </c>
      <c r="N142" s="728" t="str">
        <f>IF(Inventory!N145="","",Inventory!N145)</f>
        <v/>
      </c>
      <c r="O142" s="764" t="str">
        <f>IF(Inventory!O145="","",Inventory!O145)</f>
        <v/>
      </c>
      <c r="P142" s="728" t="str">
        <f>IF(Inventory!P145="","",Inventory!P145)</f>
        <v/>
      </c>
      <c r="Q142" s="520" t="str">
        <f>IF(Inventory!Q145="","",Inventory!Q145)</f>
        <v/>
      </c>
      <c r="R142" s="778" t="str">
        <f>IF(Inventory!R145="","",Inventory!R145)</f>
        <v/>
      </c>
      <c r="S142" s="778" t="str">
        <f>IF(Inventory!S145="","",Inventory!S145)</f>
        <v/>
      </c>
      <c r="T142" s="767" t="str">
        <f>IF(Inventory!T145="","",Inventory!T145)</f>
        <v/>
      </c>
      <c r="U142" s="778" t="str">
        <f>IF(Inventory!U145="","",Inventory!U145)</f>
        <v/>
      </c>
      <c r="V142" s="751" t="str">
        <f>IF(Inventory!V145="","",Inventory!V145)</f>
        <v/>
      </c>
      <c r="W142" s="871"/>
    </row>
    <row r="143" spans="2:23" s="618" customFormat="1" ht="21.95" customHeight="1" x14ac:dyDescent="0.25">
      <c r="B143" s="431">
        <v>137</v>
      </c>
      <c r="C143" s="501" t="str">
        <f>IF(Inventory!C146="","",Inventory!C146)</f>
        <v/>
      </c>
      <c r="D143" s="502" t="str">
        <f>IF(Inventory!D146="","",Inventory!D146)</f>
        <v/>
      </c>
      <c r="E143" s="546" t="str">
        <f>IF(Inventory!E146="","",Inventory!E146)</f>
        <v/>
      </c>
      <c r="F143" s="547" t="str">
        <f>IF(Inventory!F146="","",Inventory!F146)</f>
        <v/>
      </c>
      <c r="G143" s="729" t="str">
        <f>IF(Inventory!G146="","",Inventory!G146)</f>
        <v/>
      </c>
      <c r="H143" s="729" t="str">
        <f>IF(Inventory!H146="","",Inventory!H146)</f>
        <v/>
      </c>
      <c r="I143" s="729" t="str">
        <f>IF(Inventory!I146="","",Inventory!I146)</f>
        <v/>
      </c>
      <c r="J143" s="729" t="str">
        <f>IF(Inventory!J146="","",Inventory!J146)</f>
        <v/>
      </c>
      <c r="K143" s="729" t="str">
        <f>IF(Inventory!K146="","",Inventory!K146)</f>
        <v/>
      </c>
      <c r="L143" s="729" t="str">
        <f>IF(Inventory!L146="","",Inventory!L146)</f>
        <v/>
      </c>
      <c r="M143" s="765" t="str">
        <f>IF(Inventory!M146="","",Inventory!M146)</f>
        <v/>
      </c>
      <c r="N143" s="758" t="str">
        <f>IF(Inventory!N146="","",Inventory!N146)</f>
        <v/>
      </c>
      <c r="O143" s="765" t="str">
        <f>IF(Inventory!O146="","",Inventory!O146)</f>
        <v/>
      </c>
      <c r="P143" s="758" t="str">
        <f>IF(Inventory!P146="","",Inventory!P146)</f>
        <v/>
      </c>
      <c r="Q143" s="521" t="str">
        <f>IF(Inventory!Q146="","",Inventory!Q146)</f>
        <v/>
      </c>
      <c r="R143" s="775" t="str">
        <f>IF(Inventory!R146="","",Inventory!R146)</f>
        <v/>
      </c>
      <c r="S143" s="775" t="str">
        <f>IF(Inventory!S146="","",Inventory!S146)</f>
        <v/>
      </c>
      <c r="T143" s="729" t="str">
        <f>IF(Inventory!T146="","",Inventory!T146)</f>
        <v/>
      </c>
      <c r="U143" s="775" t="str">
        <f>IF(Inventory!U146="","",Inventory!U146)</f>
        <v/>
      </c>
      <c r="V143" s="779" t="str">
        <f>IF(Inventory!V146="","",Inventory!V146)</f>
        <v/>
      </c>
      <c r="W143" s="866"/>
    </row>
    <row r="144" spans="2:23" s="618" customFormat="1" ht="21.95" customHeight="1" x14ac:dyDescent="0.25">
      <c r="B144" s="432">
        <v>138</v>
      </c>
      <c r="C144" s="499" t="str">
        <f>IF(Inventory!C147="","",Inventory!C147)</f>
        <v/>
      </c>
      <c r="D144" s="751" t="str">
        <f>IF(Inventory!D147="","",Inventory!D147)</f>
        <v/>
      </c>
      <c r="E144" s="541" t="str">
        <f>IF(Inventory!E147="","",Inventory!E147)</f>
        <v/>
      </c>
      <c r="F144" s="785" t="str">
        <f>IF(Inventory!F147="","",Inventory!F147)</f>
        <v/>
      </c>
      <c r="G144" s="728" t="str">
        <f>IF(Inventory!G147="","",Inventory!G147)</f>
        <v/>
      </c>
      <c r="H144" s="728" t="str">
        <f>IF(Inventory!H147="","",Inventory!H147)</f>
        <v/>
      </c>
      <c r="I144" s="728" t="str">
        <f>IF(Inventory!I147="","",Inventory!I147)</f>
        <v/>
      </c>
      <c r="J144" s="728" t="str">
        <f>IF(Inventory!J147="","",Inventory!J147)</f>
        <v/>
      </c>
      <c r="K144" s="728" t="str">
        <f>IF(Inventory!K147="","",Inventory!K147)</f>
        <v/>
      </c>
      <c r="L144" s="728" t="str">
        <f>IF(Inventory!L147="","",Inventory!L147)</f>
        <v/>
      </c>
      <c r="M144" s="764" t="str">
        <f>IF(Inventory!M147="","",Inventory!M147)</f>
        <v/>
      </c>
      <c r="N144" s="728" t="str">
        <f>IF(Inventory!N147="","",Inventory!N147)</f>
        <v/>
      </c>
      <c r="O144" s="764" t="str">
        <f>IF(Inventory!O147="","",Inventory!O147)</f>
        <v/>
      </c>
      <c r="P144" s="728" t="str">
        <f>IF(Inventory!P147="","",Inventory!P147)</f>
        <v/>
      </c>
      <c r="Q144" s="520" t="str">
        <f>IF(Inventory!Q147="","",Inventory!Q147)</f>
        <v/>
      </c>
      <c r="R144" s="778" t="str">
        <f>IF(Inventory!R147="","",Inventory!R147)</f>
        <v/>
      </c>
      <c r="S144" s="778" t="str">
        <f>IF(Inventory!S147="","",Inventory!S147)</f>
        <v/>
      </c>
      <c r="T144" s="767" t="str">
        <f>IF(Inventory!T147="","",Inventory!T147)</f>
        <v/>
      </c>
      <c r="U144" s="778" t="str">
        <f>IF(Inventory!U147="","",Inventory!U147)</f>
        <v/>
      </c>
      <c r="V144" s="751" t="str">
        <f>IF(Inventory!V147="","",Inventory!V147)</f>
        <v/>
      </c>
      <c r="W144" s="871"/>
    </row>
    <row r="145" spans="2:23" s="618" customFormat="1" ht="21.95" customHeight="1" x14ac:dyDescent="0.25">
      <c r="B145" s="431">
        <v>139</v>
      </c>
      <c r="C145" s="501" t="str">
        <f>IF(Inventory!C148="","",Inventory!C148)</f>
        <v/>
      </c>
      <c r="D145" s="502" t="str">
        <f>IF(Inventory!D148="","",Inventory!D148)</f>
        <v/>
      </c>
      <c r="E145" s="546" t="str">
        <f>IF(Inventory!E148="","",Inventory!E148)</f>
        <v/>
      </c>
      <c r="F145" s="547" t="str">
        <f>IF(Inventory!F148="","",Inventory!F148)</f>
        <v/>
      </c>
      <c r="G145" s="729" t="str">
        <f>IF(Inventory!G148="","",Inventory!G148)</f>
        <v/>
      </c>
      <c r="H145" s="729" t="str">
        <f>IF(Inventory!H148="","",Inventory!H148)</f>
        <v/>
      </c>
      <c r="I145" s="729" t="str">
        <f>IF(Inventory!I148="","",Inventory!I148)</f>
        <v/>
      </c>
      <c r="J145" s="729" t="str">
        <f>IF(Inventory!J148="","",Inventory!J148)</f>
        <v/>
      </c>
      <c r="K145" s="729" t="str">
        <f>IF(Inventory!K148="","",Inventory!K148)</f>
        <v/>
      </c>
      <c r="L145" s="729" t="str">
        <f>IF(Inventory!L148="","",Inventory!L148)</f>
        <v/>
      </c>
      <c r="M145" s="765" t="str">
        <f>IF(Inventory!M148="","",Inventory!M148)</f>
        <v/>
      </c>
      <c r="N145" s="758" t="str">
        <f>IF(Inventory!N148="","",Inventory!N148)</f>
        <v/>
      </c>
      <c r="O145" s="765" t="str">
        <f>IF(Inventory!O148="","",Inventory!O148)</f>
        <v/>
      </c>
      <c r="P145" s="758" t="str">
        <f>IF(Inventory!P148="","",Inventory!P148)</f>
        <v/>
      </c>
      <c r="Q145" s="521" t="str">
        <f>IF(Inventory!Q148="","",Inventory!Q148)</f>
        <v/>
      </c>
      <c r="R145" s="775" t="str">
        <f>IF(Inventory!R148="","",Inventory!R148)</f>
        <v/>
      </c>
      <c r="S145" s="775" t="str">
        <f>IF(Inventory!S148="","",Inventory!S148)</f>
        <v/>
      </c>
      <c r="T145" s="729" t="str">
        <f>IF(Inventory!T148="","",Inventory!T148)</f>
        <v/>
      </c>
      <c r="U145" s="775" t="str">
        <f>IF(Inventory!U148="","",Inventory!U148)</f>
        <v/>
      </c>
      <c r="V145" s="779" t="str">
        <f>IF(Inventory!V148="","",Inventory!V148)</f>
        <v/>
      </c>
      <c r="W145" s="866"/>
    </row>
    <row r="146" spans="2:23" s="618" customFormat="1" ht="21.95" customHeight="1" x14ac:dyDescent="0.25">
      <c r="B146" s="432">
        <v>140</v>
      </c>
      <c r="C146" s="499" t="str">
        <f>IF(Inventory!C149="","",Inventory!C149)</f>
        <v/>
      </c>
      <c r="D146" s="751" t="str">
        <f>IF(Inventory!D149="","",Inventory!D149)</f>
        <v/>
      </c>
      <c r="E146" s="541" t="str">
        <f>IF(Inventory!E149="","",Inventory!E149)</f>
        <v/>
      </c>
      <c r="F146" s="785" t="str">
        <f>IF(Inventory!F149="","",Inventory!F149)</f>
        <v/>
      </c>
      <c r="G146" s="728" t="str">
        <f>IF(Inventory!G149="","",Inventory!G149)</f>
        <v/>
      </c>
      <c r="H146" s="728" t="str">
        <f>IF(Inventory!H149="","",Inventory!H149)</f>
        <v/>
      </c>
      <c r="I146" s="728" t="str">
        <f>IF(Inventory!I149="","",Inventory!I149)</f>
        <v/>
      </c>
      <c r="J146" s="728" t="str">
        <f>IF(Inventory!J149="","",Inventory!J149)</f>
        <v/>
      </c>
      <c r="K146" s="728" t="str">
        <f>IF(Inventory!K149="","",Inventory!K149)</f>
        <v/>
      </c>
      <c r="L146" s="728" t="str">
        <f>IF(Inventory!L149="","",Inventory!L149)</f>
        <v/>
      </c>
      <c r="M146" s="764" t="str">
        <f>IF(Inventory!M149="","",Inventory!M149)</f>
        <v/>
      </c>
      <c r="N146" s="728" t="str">
        <f>IF(Inventory!N149="","",Inventory!N149)</f>
        <v/>
      </c>
      <c r="O146" s="764" t="str">
        <f>IF(Inventory!O149="","",Inventory!O149)</f>
        <v/>
      </c>
      <c r="P146" s="728" t="str">
        <f>IF(Inventory!P149="","",Inventory!P149)</f>
        <v/>
      </c>
      <c r="Q146" s="520" t="str">
        <f>IF(Inventory!Q149="","",Inventory!Q149)</f>
        <v/>
      </c>
      <c r="R146" s="778" t="str">
        <f>IF(Inventory!R149="","",Inventory!R149)</f>
        <v/>
      </c>
      <c r="S146" s="778" t="str">
        <f>IF(Inventory!S149="","",Inventory!S149)</f>
        <v/>
      </c>
      <c r="T146" s="767" t="str">
        <f>IF(Inventory!T149="","",Inventory!T149)</f>
        <v/>
      </c>
      <c r="U146" s="778" t="str">
        <f>IF(Inventory!U149="","",Inventory!U149)</f>
        <v/>
      </c>
      <c r="V146" s="751" t="str">
        <f>IF(Inventory!V149="","",Inventory!V149)</f>
        <v/>
      </c>
      <c r="W146" s="871"/>
    </row>
    <row r="147" spans="2:23" s="618" customFormat="1" ht="21.95" customHeight="1" x14ac:dyDescent="0.25">
      <c r="B147" s="431">
        <v>141</v>
      </c>
      <c r="C147" s="501" t="str">
        <f>IF(Inventory!C150="","",Inventory!C150)</f>
        <v/>
      </c>
      <c r="D147" s="502" t="str">
        <f>IF(Inventory!D150="","",Inventory!D150)</f>
        <v/>
      </c>
      <c r="E147" s="546" t="str">
        <f>IF(Inventory!E150="","",Inventory!E150)</f>
        <v/>
      </c>
      <c r="F147" s="547" t="str">
        <f>IF(Inventory!F150="","",Inventory!F150)</f>
        <v/>
      </c>
      <c r="G147" s="729" t="str">
        <f>IF(Inventory!G150="","",Inventory!G150)</f>
        <v/>
      </c>
      <c r="H147" s="729" t="str">
        <f>IF(Inventory!H150="","",Inventory!H150)</f>
        <v/>
      </c>
      <c r="I147" s="729" t="str">
        <f>IF(Inventory!I150="","",Inventory!I150)</f>
        <v/>
      </c>
      <c r="J147" s="729" t="str">
        <f>IF(Inventory!J150="","",Inventory!J150)</f>
        <v/>
      </c>
      <c r="K147" s="729" t="str">
        <f>IF(Inventory!K150="","",Inventory!K150)</f>
        <v/>
      </c>
      <c r="L147" s="729" t="str">
        <f>IF(Inventory!L150="","",Inventory!L150)</f>
        <v/>
      </c>
      <c r="M147" s="765" t="str">
        <f>IF(Inventory!M150="","",Inventory!M150)</f>
        <v/>
      </c>
      <c r="N147" s="758" t="str">
        <f>IF(Inventory!N150="","",Inventory!N150)</f>
        <v/>
      </c>
      <c r="O147" s="765" t="str">
        <f>IF(Inventory!O150="","",Inventory!O150)</f>
        <v/>
      </c>
      <c r="P147" s="758" t="str">
        <f>IF(Inventory!P150="","",Inventory!P150)</f>
        <v/>
      </c>
      <c r="Q147" s="521" t="str">
        <f>IF(Inventory!Q150="","",Inventory!Q150)</f>
        <v/>
      </c>
      <c r="R147" s="775" t="str">
        <f>IF(Inventory!R150="","",Inventory!R150)</f>
        <v/>
      </c>
      <c r="S147" s="775" t="str">
        <f>IF(Inventory!S150="","",Inventory!S150)</f>
        <v/>
      </c>
      <c r="T147" s="729" t="str">
        <f>IF(Inventory!T150="","",Inventory!T150)</f>
        <v/>
      </c>
      <c r="U147" s="775" t="str">
        <f>IF(Inventory!U150="","",Inventory!U150)</f>
        <v/>
      </c>
      <c r="V147" s="779" t="str">
        <f>IF(Inventory!V150="","",Inventory!V150)</f>
        <v/>
      </c>
      <c r="W147" s="866"/>
    </row>
    <row r="148" spans="2:23" s="618" customFormat="1" ht="21.95" customHeight="1" x14ac:dyDescent="0.25">
      <c r="B148" s="432">
        <v>142</v>
      </c>
      <c r="C148" s="499" t="str">
        <f>IF(Inventory!C151="","",Inventory!C151)</f>
        <v/>
      </c>
      <c r="D148" s="751" t="str">
        <f>IF(Inventory!D151="","",Inventory!D151)</f>
        <v/>
      </c>
      <c r="E148" s="541" t="str">
        <f>IF(Inventory!E151="","",Inventory!E151)</f>
        <v/>
      </c>
      <c r="F148" s="785" t="str">
        <f>IF(Inventory!F151="","",Inventory!F151)</f>
        <v/>
      </c>
      <c r="G148" s="728" t="str">
        <f>IF(Inventory!G151="","",Inventory!G151)</f>
        <v/>
      </c>
      <c r="H148" s="728" t="str">
        <f>IF(Inventory!H151="","",Inventory!H151)</f>
        <v/>
      </c>
      <c r="I148" s="728" t="str">
        <f>IF(Inventory!I151="","",Inventory!I151)</f>
        <v/>
      </c>
      <c r="J148" s="728" t="str">
        <f>IF(Inventory!J151="","",Inventory!J151)</f>
        <v/>
      </c>
      <c r="K148" s="728" t="str">
        <f>IF(Inventory!K151="","",Inventory!K151)</f>
        <v/>
      </c>
      <c r="L148" s="728" t="str">
        <f>IF(Inventory!L151="","",Inventory!L151)</f>
        <v/>
      </c>
      <c r="M148" s="764" t="str">
        <f>IF(Inventory!M151="","",Inventory!M151)</f>
        <v/>
      </c>
      <c r="N148" s="728" t="str">
        <f>IF(Inventory!N151="","",Inventory!N151)</f>
        <v/>
      </c>
      <c r="O148" s="764" t="str">
        <f>IF(Inventory!O151="","",Inventory!O151)</f>
        <v/>
      </c>
      <c r="P148" s="728" t="str">
        <f>IF(Inventory!P151="","",Inventory!P151)</f>
        <v/>
      </c>
      <c r="Q148" s="520" t="str">
        <f>IF(Inventory!Q151="","",Inventory!Q151)</f>
        <v/>
      </c>
      <c r="R148" s="778" t="str">
        <f>IF(Inventory!R151="","",Inventory!R151)</f>
        <v/>
      </c>
      <c r="S148" s="778" t="str">
        <f>IF(Inventory!S151="","",Inventory!S151)</f>
        <v/>
      </c>
      <c r="T148" s="767" t="str">
        <f>IF(Inventory!T151="","",Inventory!T151)</f>
        <v/>
      </c>
      <c r="U148" s="778" t="str">
        <f>IF(Inventory!U151="","",Inventory!U151)</f>
        <v/>
      </c>
      <c r="V148" s="751" t="str">
        <f>IF(Inventory!V151="","",Inventory!V151)</f>
        <v/>
      </c>
      <c r="W148" s="871"/>
    </row>
    <row r="149" spans="2:23" s="618" customFormat="1" ht="21.95" customHeight="1" x14ac:dyDescent="0.25">
      <c r="B149" s="431">
        <v>143</v>
      </c>
      <c r="C149" s="501" t="str">
        <f>IF(Inventory!C152="","",Inventory!C152)</f>
        <v/>
      </c>
      <c r="D149" s="502" t="str">
        <f>IF(Inventory!D152="","",Inventory!D152)</f>
        <v/>
      </c>
      <c r="E149" s="546" t="str">
        <f>IF(Inventory!E152="","",Inventory!E152)</f>
        <v/>
      </c>
      <c r="F149" s="547" t="str">
        <f>IF(Inventory!F152="","",Inventory!F152)</f>
        <v/>
      </c>
      <c r="G149" s="729" t="str">
        <f>IF(Inventory!G152="","",Inventory!G152)</f>
        <v/>
      </c>
      <c r="H149" s="729" t="str">
        <f>IF(Inventory!H152="","",Inventory!H152)</f>
        <v/>
      </c>
      <c r="I149" s="729" t="str">
        <f>IF(Inventory!I152="","",Inventory!I152)</f>
        <v/>
      </c>
      <c r="J149" s="729" t="str">
        <f>IF(Inventory!J152="","",Inventory!J152)</f>
        <v/>
      </c>
      <c r="K149" s="729" t="str">
        <f>IF(Inventory!K152="","",Inventory!K152)</f>
        <v/>
      </c>
      <c r="L149" s="729" t="str">
        <f>IF(Inventory!L152="","",Inventory!L152)</f>
        <v/>
      </c>
      <c r="M149" s="765" t="str">
        <f>IF(Inventory!M152="","",Inventory!M152)</f>
        <v/>
      </c>
      <c r="N149" s="758" t="str">
        <f>IF(Inventory!N152="","",Inventory!N152)</f>
        <v/>
      </c>
      <c r="O149" s="765" t="str">
        <f>IF(Inventory!O152="","",Inventory!O152)</f>
        <v/>
      </c>
      <c r="P149" s="758" t="str">
        <f>IF(Inventory!P152="","",Inventory!P152)</f>
        <v/>
      </c>
      <c r="Q149" s="521" t="str">
        <f>IF(Inventory!Q152="","",Inventory!Q152)</f>
        <v/>
      </c>
      <c r="R149" s="775" t="str">
        <f>IF(Inventory!R152="","",Inventory!R152)</f>
        <v/>
      </c>
      <c r="S149" s="775" t="str">
        <f>IF(Inventory!S152="","",Inventory!S152)</f>
        <v/>
      </c>
      <c r="T149" s="729" t="str">
        <f>IF(Inventory!T152="","",Inventory!T152)</f>
        <v/>
      </c>
      <c r="U149" s="775" t="str">
        <f>IF(Inventory!U152="","",Inventory!U152)</f>
        <v/>
      </c>
      <c r="V149" s="779" t="str">
        <f>IF(Inventory!V152="","",Inventory!V152)</f>
        <v/>
      </c>
      <c r="W149" s="866"/>
    </row>
    <row r="150" spans="2:23" s="618" customFormat="1" ht="21.95" customHeight="1" x14ac:dyDescent="0.25">
      <c r="B150" s="432">
        <v>144</v>
      </c>
      <c r="C150" s="499" t="str">
        <f>IF(Inventory!C153="","",Inventory!C153)</f>
        <v/>
      </c>
      <c r="D150" s="751" t="str">
        <f>IF(Inventory!D153="","",Inventory!D153)</f>
        <v/>
      </c>
      <c r="E150" s="541" t="str">
        <f>IF(Inventory!E153="","",Inventory!E153)</f>
        <v/>
      </c>
      <c r="F150" s="785" t="str">
        <f>IF(Inventory!F153="","",Inventory!F153)</f>
        <v/>
      </c>
      <c r="G150" s="728" t="str">
        <f>IF(Inventory!G153="","",Inventory!G153)</f>
        <v/>
      </c>
      <c r="H150" s="728" t="str">
        <f>IF(Inventory!H153="","",Inventory!H153)</f>
        <v/>
      </c>
      <c r="I150" s="728" t="str">
        <f>IF(Inventory!I153="","",Inventory!I153)</f>
        <v/>
      </c>
      <c r="J150" s="728" t="str">
        <f>IF(Inventory!J153="","",Inventory!J153)</f>
        <v/>
      </c>
      <c r="K150" s="728" t="str">
        <f>IF(Inventory!K153="","",Inventory!K153)</f>
        <v/>
      </c>
      <c r="L150" s="728" t="str">
        <f>IF(Inventory!L153="","",Inventory!L153)</f>
        <v/>
      </c>
      <c r="M150" s="764" t="str">
        <f>IF(Inventory!M153="","",Inventory!M153)</f>
        <v/>
      </c>
      <c r="N150" s="728" t="str">
        <f>IF(Inventory!N153="","",Inventory!N153)</f>
        <v/>
      </c>
      <c r="O150" s="764" t="str">
        <f>IF(Inventory!O153="","",Inventory!O153)</f>
        <v/>
      </c>
      <c r="P150" s="728" t="str">
        <f>IF(Inventory!P153="","",Inventory!P153)</f>
        <v/>
      </c>
      <c r="Q150" s="520" t="str">
        <f>IF(Inventory!Q153="","",Inventory!Q153)</f>
        <v/>
      </c>
      <c r="R150" s="778" t="str">
        <f>IF(Inventory!R153="","",Inventory!R153)</f>
        <v/>
      </c>
      <c r="S150" s="778" t="str">
        <f>IF(Inventory!S153="","",Inventory!S153)</f>
        <v/>
      </c>
      <c r="T150" s="767" t="str">
        <f>IF(Inventory!T153="","",Inventory!T153)</f>
        <v/>
      </c>
      <c r="U150" s="778" t="str">
        <f>IF(Inventory!U153="","",Inventory!U153)</f>
        <v/>
      </c>
      <c r="V150" s="751" t="str">
        <f>IF(Inventory!V153="","",Inventory!V153)</f>
        <v/>
      </c>
      <c r="W150" s="871"/>
    </row>
    <row r="151" spans="2:23" s="618" customFormat="1" ht="21.95" customHeight="1" x14ac:dyDescent="0.25">
      <c r="B151" s="431">
        <v>145</v>
      </c>
      <c r="C151" s="501" t="str">
        <f>IF(Inventory!C154="","",Inventory!C154)</f>
        <v/>
      </c>
      <c r="D151" s="502" t="str">
        <f>IF(Inventory!D154="","",Inventory!D154)</f>
        <v/>
      </c>
      <c r="E151" s="546" t="str">
        <f>IF(Inventory!E154="","",Inventory!E154)</f>
        <v/>
      </c>
      <c r="F151" s="547" t="str">
        <f>IF(Inventory!F154="","",Inventory!F154)</f>
        <v/>
      </c>
      <c r="G151" s="729" t="str">
        <f>IF(Inventory!G154="","",Inventory!G154)</f>
        <v/>
      </c>
      <c r="H151" s="729" t="str">
        <f>IF(Inventory!H154="","",Inventory!H154)</f>
        <v/>
      </c>
      <c r="I151" s="729" t="str">
        <f>IF(Inventory!I154="","",Inventory!I154)</f>
        <v/>
      </c>
      <c r="J151" s="729" t="str">
        <f>IF(Inventory!J154="","",Inventory!J154)</f>
        <v/>
      </c>
      <c r="K151" s="729" t="str">
        <f>IF(Inventory!K154="","",Inventory!K154)</f>
        <v/>
      </c>
      <c r="L151" s="729" t="str">
        <f>IF(Inventory!L154="","",Inventory!L154)</f>
        <v/>
      </c>
      <c r="M151" s="765" t="str">
        <f>IF(Inventory!M154="","",Inventory!M154)</f>
        <v/>
      </c>
      <c r="N151" s="758" t="str">
        <f>IF(Inventory!N154="","",Inventory!N154)</f>
        <v/>
      </c>
      <c r="O151" s="765" t="str">
        <f>IF(Inventory!O154="","",Inventory!O154)</f>
        <v/>
      </c>
      <c r="P151" s="758" t="str">
        <f>IF(Inventory!P154="","",Inventory!P154)</f>
        <v/>
      </c>
      <c r="Q151" s="521" t="str">
        <f>IF(Inventory!Q154="","",Inventory!Q154)</f>
        <v/>
      </c>
      <c r="R151" s="775" t="str">
        <f>IF(Inventory!R154="","",Inventory!R154)</f>
        <v/>
      </c>
      <c r="S151" s="775" t="str">
        <f>IF(Inventory!S154="","",Inventory!S154)</f>
        <v/>
      </c>
      <c r="T151" s="729" t="str">
        <f>IF(Inventory!T154="","",Inventory!T154)</f>
        <v/>
      </c>
      <c r="U151" s="775" t="str">
        <f>IF(Inventory!U154="","",Inventory!U154)</f>
        <v/>
      </c>
      <c r="V151" s="779" t="str">
        <f>IF(Inventory!V154="","",Inventory!V154)</f>
        <v/>
      </c>
      <c r="W151" s="866"/>
    </row>
    <row r="152" spans="2:23" s="618" customFormat="1" ht="21.95" customHeight="1" x14ac:dyDescent="0.25">
      <c r="B152" s="432">
        <v>146</v>
      </c>
      <c r="C152" s="499" t="str">
        <f>IF(Inventory!C155="","",Inventory!C155)</f>
        <v/>
      </c>
      <c r="D152" s="751" t="str">
        <f>IF(Inventory!D155="","",Inventory!D155)</f>
        <v/>
      </c>
      <c r="E152" s="541" t="str">
        <f>IF(Inventory!E155="","",Inventory!E155)</f>
        <v/>
      </c>
      <c r="F152" s="785" t="str">
        <f>IF(Inventory!F155="","",Inventory!F155)</f>
        <v/>
      </c>
      <c r="G152" s="728" t="str">
        <f>IF(Inventory!G155="","",Inventory!G155)</f>
        <v/>
      </c>
      <c r="H152" s="728" t="str">
        <f>IF(Inventory!H155="","",Inventory!H155)</f>
        <v/>
      </c>
      <c r="I152" s="728" t="str">
        <f>IF(Inventory!I155="","",Inventory!I155)</f>
        <v/>
      </c>
      <c r="J152" s="728" t="str">
        <f>IF(Inventory!J155="","",Inventory!J155)</f>
        <v/>
      </c>
      <c r="K152" s="728" t="str">
        <f>IF(Inventory!K155="","",Inventory!K155)</f>
        <v/>
      </c>
      <c r="L152" s="728" t="str">
        <f>IF(Inventory!L155="","",Inventory!L155)</f>
        <v/>
      </c>
      <c r="M152" s="764" t="str">
        <f>IF(Inventory!M155="","",Inventory!M155)</f>
        <v/>
      </c>
      <c r="N152" s="728" t="str">
        <f>IF(Inventory!N155="","",Inventory!N155)</f>
        <v/>
      </c>
      <c r="O152" s="764" t="str">
        <f>IF(Inventory!O155="","",Inventory!O155)</f>
        <v/>
      </c>
      <c r="P152" s="728" t="str">
        <f>IF(Inventory!P155="","",Inventory!P155)</f>
        <v/>
      </c>
      <c r="Q152" s="520" t="str">
        <f>IF(Inventory!Q155="","",Inventory!Q155)</f>
        <v/>
      </c>
      <c r="R152" s="778" t="str">
        <f>IF(Inventory!R155="","",Inventory!R155)</f>
        <v/>
      </c>
      <c r="S152" s="778" t="str">
        <f>IF(Inventory!S155="","",Inventory!S155)</f>
        <v/>
      </c>
      <c r="T152" s="767" t="str">
        <f>IF(Inventory!T155="","",Inventory!T155)</f>
        <v/>
      </c>
      <c r="U152" s="778" t="str">
        <f>IF(Inventory!U155="","",Inventory!U155)</f>
        <v/>
      </c>
      <c r="V152" s="751" t="str">
        <f>IF(Inventory!V155="","",Inventory!V155)</f>
        <v/>
      </c>
      <c r="W152" s="871"/>
    </row>
    <row r="153" spans="2:23" s="618" customFormat="1" ht="21.95" customHeight="1" x14ac:dyDescent="0.25">
      <c r="B153" s="431">
        <v>147</v>
      </c>
      <c r="C153" s="501" t="str">
        <f>IF(Inventory!C156="","",Inventory!C156)</f>
        <v/>
      </c>
      <c r="D153" s="502" t="str">
        <f>IF(Inventory!D156="","",Inventory!D156)</f>
        <v/>
      </c>
      <c r="E153" s="546" t="str">
        <f>IF(Inventory!E156="","",Inventory!E156)</f>
        <v/>
      </c>
      <c r="F153" s="547" t="str">
        <f>IF(Inventory!F156="","",Inventory!F156)</f>
        <v/>
      </c>
      <c r="G153" s="729" t="str">
        <f>IF(Inventory!G156="","",Inventory!G156)</f>
        <v/>
      </c>
      <c r="H153" s="729" t="str">
        <f>IF(Inventory!H156="","",Inventory!H156)</f>
        <v/>
      </c>
      <c r="I153" s="729" t="str">
        <f>IF(Inventory!I156="","",Inventory!I156)</f>
        <v/>
      </c>
      <c r="J153" s="729" t="str">
        <f>IF(Inventory!J156="","",Inventory!J156)</f>
        <v/>
      </c>
      <c r="K153" s="729" t="str">
        <f>IF(Inventory!K156="","",Inventory!K156)</f>
        <v/>
      </c>
      <c r="L153" s="729" t="str">
        <f>IF(Inventory!L156="","",Inventory!L156)</f>
        <v/>
      </c>
      <c r="M153" s="765" t="str">
        <f>IF(Inventory!M156="","",Inventory!M156)</f>
        <v/>
      </c>
      <c r="N153" s="758" t="str">
        <f>IF(Inventory!N156="","",Inventory!N156)</f>
        <v/>
      </c>
      <c r="O153" s="765" t="str">
        <f>IF(Inventory!O156="","",Inventory!O156)</f>
        <v/>
      </c>
      <c r="P153" s="758" t="str">
        <f>IF(Inventory!P156="","",Inventory!P156)</f>
        <v/>
      </c>
      <c r="Q153" s="521" t="str">
        <f>IF(Inventory!Q156="","",Inventory!Q156)</f>
        <v/>
      </c>
      <c r="R153" s="775" t="str">
        <f>IF(Inventory!R156="","",Inventory!R156)</f>
        <v/>
      </c>
      <c r="S153" s="775" t="str">
        <f>IF(Inventory!S156="","",Inventory!S156)</f>
        <v/>
      </c>
      <c r="T153" s="729" t="str">
        <f>IF(Inventory!T156="","",Inventory!T156)</f>
        <v/>
      </c>
      <c r="U153" s="775" t="str">
        <f>IF(Inventory!U156="","",Inventory!U156)</f>
        <v/>
      </c>
      <c r="V153" s="779" t="str">
        <f>IF(Inventory!V156="","",Inventory!V156)</f>
        <v/>
      </c>
      <c r="W153" s="866"/>
    </row>
    <row r="154" spans="2:23" s="618" customFormat="1" ht="21.95" customHeight="1" x14ac:dyDescent="0.25">
      <c r="B154" s="432">
        <v>148</v>
      </c>
      <c r="C154" s="499" t="str">
        <f>IF(Inventory!C157="","",Inventory!C157)</f>
        <v/>
      </c>
      <c r="D154" s="751" t="str">
        <f>IF(Inventory!D157="","",Inventory!D157)</f>
        <v/>
      </c>
      <c r="E154" s="541" t="str">
        <f>IF(Inventory!E157="","",Inventory!E157)</f>
        <v/>
      </c>
      <c r="F154" s="785" t="str">
        <f>IF(Inventory!F157="","",Inventory!F157)</f>
        <v/>
      </c>
      <c r="G154" s="728" t="str">
        <f>IF(Inventory!G157="","",Inventory!G157)</f>
        <v/>
      </c>
      <c r="H154" s="728" t="str">
        <f>IF(Inventory!H157="","",Inventory!H157)</f>
        <v/>
      </c>
      <c r="I154" s="728" t="str">
        <f>IF(Inventory!I157="","",Inventory!I157)</f>
        <v/>
      </c>
      <c r="J154" s="728" t="str">
        <f>IF(Inventory!J157="","",Inventory!J157)</f>
        <v/>
      </c>
      <c r="K154" s="728" t="str">
        <f>IF(Inventory!K157="","",Inventory!K157)</f>
        <v/>
      </c>
      <c r="L154" s="728" t="str">
        <f>IF(Inventory!L157="","",Inventory!L157)</f>
        <v/>
      </c>
      <c r="M154" s="764" t="str">
        <f>IF(Inventory!M157="","",Inventory!M157)</f>
        <v/>
      </c>
      <c r="N154" s="728" t="str">
        <f>IF(Inventory!N157="","",Inventory!N157)</f>
        <v/>
      </c>
      <c r="O154" s="764" t="str">
        <f>IF(Inventory!O157="","",Inventory!O157)</f>
        <v/>
      </c>
      <c r="P154" s="728" t="str">
        <f>IF(Inventory!P157="","",Inventory!P157)</f>
        <v/>
      </c>
      <c r="Q154" s="520" t="str">
        <f>IF(Inventory!Q157="","",Inventory!Q157)</f>
        <v/>
      </c>
      <c r="R154" s="778" t="str">
        <f>IF(Inventory!R157="","",Inventory!R157)</f>
        <v/>
      </c>
      <c r="S154" s="778" t="str">
        <f>IF(Inventory!S157="","",Inventory!S157)</f>
        <v/>
      </c>
      <c r="T154" s="767" t="str">
        <f>IF(Inventory!T157="","",Inventory!T157)</f>
        <v/>
      </c>
      <c r="U154" s="778" t="str">
        <f>IF(Inventory!U157="","",Inventory!U157)</f>
        <v/>
      </c>
      <c r="V154" s="751" t="str">
        <f>IF(Inventory!V157="","",Inventory!V157)</f>
        <v/>
      </c>
      <c r="W154" s="871"/>
    </row>
    <row r="155" spans="2:23" s="618" customFormat="1" ht="21.95" customHeight="1" x14ac:dyDescent="0.25">
      <c r="B155" s="431">
        <v>149</v>
      </c>
      <c r="C155" s="501" t="str">
        <f>IF(Inventory!C158="","",Inventory!C158)</f>
        <v/>
      </c>
      <c r="D155" s="502" t="str">
        <f>IF(Inventory!D158="","",Inventory!D158)</f>
        <v/>
      </c>
      <c r="E155" s="546" t="str">
        <f>IF(Inventory!E158="","",Inventory!E158)</f>
        <v/>
      </c>
      <c r="F155" s="547" t="str">
        <f>IF(Inventory!F158="","",Inventory!F158)</f>
        <v/>
      </c>
      <c r="G155" s="729" t="str">
        <f>IF(Inventory!G158="","",Inventory!G158)</f>
        <v/>
      </c>
      <c r="H155" s="729" t="str">
        <f>IF(Inventory!H158="","",Inventory!H158)</f>
        <v/>
      </c>
      <c r="I155" s="729" t="str">
        <f>IF(Inventory!I158="","",Inventory!I158)</f>
        <v/>
      </c>
      <c r="J155" s="729" t="str">
        <f>IF(Inventory!J158="","",Inventory!J158)</f>
        <v/>
      </c>
      <c r="K155" s="729" t="str">
        <f>IF(Inventory!K158="","",Inventory!K158)</f>
        <v/>
      </c>
      <c r="L155" s="729" t="str">
        <f>IF(Inventory!L158="","",Inventory!L158)</f>
        <v/>
      </c>
      <c r="M155" s="765" t="str">
        <f>IF(Inventory!M158="","",Inventory!M158)</f>
        <v/>
      </c>
      <c r="N155" s="758" t="str">
        <f>IF(Inventory!N158="","",Inventory!N158)</f>
        <v/>
      </c>
      <c r="O155" s="765" t="str">
        <f>IF(Inventory!O158="","",Inventory!O158)</f>
        <v/>
      </c>
      <c r="P155" s="758" t="str">
        <f>IF(Inventory!P158="","",Inventory!P158)</f>
        <v/>
      </c>
      <c r="Q155" s="521" t="str">
        <f>IF(Inventory!Q158="","",Inventory!Q158)</f>
        <v/>
      </c>
      <c r="R155" s="775" t="str">
        <f>IF(Inventory!R158="","",Inventory!R158)</f>
        <v/>
      </c>
      <c r="S155" s="775" t="str">
        <f>IF(Inventory!S158="","",Inventory!S158)</f>
        <v/>
      </c>
      <c r="T155" s="729" t="str">
        <f>IF(Inventory!T158="","",Inventory!T158)</f>
        <v/>
      </c>
      <c r="U155" s="775" t="str">
        <f>IF(Inventory!U158="","",Inventory!U158)</f>
        <v/>
      </c>
      <c r="V155" s="779" t="str">
        <f>IF(Inventory!V158="","",Inventory!V158)</f>
        <v/>
      </c>
      <c r="W155" s="866"/>
    </row>
    <row r="156" spans="2:23" s="618" customFormat="1" ht="21.95" customHeight="1" x14ac:dyDescent="0.25">
      <c r="B156" s="432">
        <v>150</v>
      </c>
      <c r="C156" s="499" t="str">
        <f>IF(Inventory!C159="","",Inventory!C159)</f>
        <v/>
      </c>
      <c r="D156" s="751" t="str">
        <f>IF(Inventory!D159="","",Inventory!D159)</f>
        <v/>
      </c>
      <c r="E156" s="541" t="str">
        <f>IF(Inventory!E159="","",Inventory!E159)</f>
        <v/>
      </c>
      <c r="F156" s="785" t="str">
        <f>IF(Inventory!F159="","",Inventory!F159)</f>
        <v/>
      </c>
      <c r="G156" s="728" t="str">
        <f>IF(Inventory!G159="","",Inventory!G159)</f>
        <v/>
      </c>
      <c r="H156" s="728" t="str">
        <f>IF(Inventory!H159="","",Inventory!H159)</f>
        <v/>
      </c>
      <c r="I156" s="728" t="str">
        <f>IF(Inventory!I159="","",Inventory!I159)</f>
        <v/>
      </c>
      <c r="J156" s="728" t="str">
        <f>IF(Inventory!J159="","",Inventory!J159)</f>
        <v/>
      </c>
      <c r="K156" s="728" t="str">
        <f>IF(Inventory!K159="","",Inventory!K159)</f>
        <v/>
      </c>
      <c r="L156" s="728" t="str">
        <f>IF(Inventory!L159="","",Inventory!L159)</f>
        <v/>
      </c>
      <c r="M156" s="764" t="str">
        <f>IF(Inventory!M159="","",Inventory!M159)</f>
        <v/>
      </c>
      <c r="N156" s="728" t="str">
        <f>IF(Inventory!N159="","",Inventory!N159)</f>
        <v/>
      </c>
      <c r="O156" s="764" t="str">
        <f>IF(Inventory!O159="","",Inventory!O159)</f>
        <v/>
      </c>
      <c r="P156" s="728" t="str">
        <f>IF(Inventory!P159="","",Inventory!P159)</f>
        <v/>
      </c>
      <c r="Q156" s="520" t="str">
        <f>IF(Inventory!Q159="","",Inventory!Q159)</f>
        <v/>
      </c>
      <c r="R156" s="778" t="str">
        <f>IF(Inventory!R159="","",Inventory!R159)</f>
        <v/>
      </c>
      <c r="S156" s="778" t="str">
        <f>IF(Inventory!S159="","",Inventory!S159)</f>
        <v/>
      </c>
      <c r="T156" s="767" t="str">
        <f>IF(Inventory!T159="","",Inventory!T159)</f>
        <v/>
      </c>
      <c r="U156" s="778" t="str">
        <f>IF(Inventory!U159="","",Inventory!U159)</f>
        <v/>
      </c>
      <c r="V156" s="751" t="str">
        <f>IF(Inventory!V159="","",Inventory!V159)</f>
        <v/>
      </c>
      <c r="W156" s="871"/>
    </row>
    <row r="157" spans="2:23" s="618" customFormat="1" ht="21.95" customHeight="1" x14ac:dyDescent="0.25">
      <c r="B157" s="431">
        <v>151</v>
      </c>
      <c r="C157" s="501" t="str">
        <f>IF(Inventory!C160="","",Inventory!C160)</f>
        <v/>
      </c>
      <c r="D157" s="502" t="str">
        <f>IF(Inventory!D160="","",Inventory!D160)</f>
        <v/>
      </c>
      <c r="E157" s="546" t="str">
        <f>IF(Inventory!E160="","",Inventory!E160)</f>
        <v/>
      </c>
      <c r="F157" s="547" t="str">
        <f>IF(Inventory!F160="","",Inventory!F160)</f>
        <v/>
      </c>
      <c r="G157" s="729" t="str">
        <f>IF(Inventory!G160="","",Inventory!G160)</f>
        <v/>
      </c>
      <c r="H157" s="729" t="str">
        <f>IF(Inventory!H160="","",Inventory!H160)</f>
        <v/>
      </c>
      <c r="I157" s="729" t="str">
        <f>IF(Inventory!I160="","",Inventory!I160)</f>
        <v/>
      </c>
      <c r="J157" s="729" t="str">
        <f>IF(Inventory!J160="","",Inventory!J160)</f>
        <v/>
      </c>
      <c r="K157" s="729" t="str">
        <f>IF(Inventory!K160="","",Inventory!K160)</f>
        <v/>
      </c>
      <c r="L157" s="729" t="str">
        <f>IF(Inventory!L160="","",Inventory!L160)</f>
        <v/>
      </c>
      <c r="M157" s="765" t="str">
        <f>IF(Inventory!M160="","",Inventory!M160)</f>
        <v/>
      </c>
      <c r="N157" s="758" t="str">
        <f>IF(Inventory!N160="","",Inventory!N160)</f>
        <v/>
      </c>
      <c r="O157" s="765" t="str">
        <f>IF(Inventory!O160="","",Inventory!O160)</f>
        <v/>
      </c>
      <c r="P157" s="758" t="str">
        <f>IF(Inventory!P160="","",Inventory!P160)</f>
        <v/>
      </c>
      <c r="Q157" s="521" t="str">
        <f>IF(Inventory!Q160="","",Inventory!Q160)</f>
        <v/>
      </c>
      <c r="R157" s="775" t="str">
        <f>IF(Inventory!R160="","",Inventory!R160)</f>
        <v/>
      </c>
      <c r="S157" s="775" t="str">
        <f>IF(Inventory!S160="","",Inventory!S160)</f>
        <v/>
      </c>
      <c r="T157" s="729" t="str">
        <f>IF(Inventory!T160="","",Inventory!T160)</f>
        <v/>
      </c>
      <c r="U157" s="775" t="str">
        <f>IF(Inventory!U160="","",Inventory!U160)</f>
        <v/>
      </c>
      <c r="V157" s="779" t="str">
        <f>IF(Inventory!V160="","",Inventory!V160)</f>
        <v/>
      </c>
      <c r="W157" s="866"/>
    </row>
    <row r="158" spans="2:23" s="618" customFormat="1" ht="21.95" customHeight="1" x14ac:dyDescent="0.25">
      <c r="B158" s="432">
        <v>152</v>
      </c>
      <c r="C158" s="499" t="str">
        <f>IF(Inventory!C161="","",Inventory!C161)</f>
        <v/>
      </c>
      <c r="D158" s="751" t="str">
        <f>IF(Inventory!D161="","",Inventory!D161)</f>
        <v/>
      </c>
      <c r="E158" s="541" t="str">
        <f>IF(Inventory!E161="","",Inventory!E161)</f>
        <v/>
      </c>
      <c r="F158" s="785" t="str">
        <f>IF(Inventory!F161="","",Inventory!F161)</f>
        <v/>
      </c>
      <c r="G158" s="728" t="str">
        <f>IF(Inventory!G161="","",Inventory!G161)</f>
        <v/>
      </c>
      <c r="H158" s="728" t="str">
        <f>IF(Inventory!H161="","",Inventory!H161)</f>
        <v/>
      </c>
      <c r="I158" s="728" t="str">
        <f>IF(Inventory!I161="","",Inventory!I161)</f>
        <v/>
      </c>
      <c r="J158" s="728" t="str">
        <f>IF(Inventory!J161="","",Inventory!J161)</f>
        <v/>
      </c>
      <c r="K158" s="728" t="str">
        <f>IF(Inventory!K161="","",Inventory!K161)</f>
        <v/>
      </c>
      <c r="L158" s="728" t="str">
        <f>IF(Inventory!L161="","",Inventory!L161)</f>
        <v/>
      </c>
      <c r="M158" s="764" t="str">
        <f>IF(Inventory!M161="","",Inventory!M161)</f>
        <v/>
      </c>
      <c r="N158" s="728" t="str">
        <f>IF(Inventory!N161="","",Inventory!N161)</f>
        <v/>
      </c>
      <c r="O158" s="764" t="str">
        <f>IF(Inventory!O161="","",Inventory!O161)</f>
        <v/>
      </c>
      <c r="P158" s="728" t="str">
        <f>IF(Inventory!P161="","",Inventory!P161)</f>
        <v/>
      </c>
      <c r="Q158" s="520" t="str">
        <f>IF(Inventory!Q161="","",Inventory!Q161)</f>
        <v/>
      </c>
      <c r="R158" s="778" t="str">
        <f>IF(Inventory!R161="","",Inventory!R161)</f>
        <v/>
      </c>
      <c r="S158" s="778" t="str">
        <f>IF(Inventory!S161="","",Inventory!S161)</f>
        <v/>
      </c>
      <c r="T158" s="767" t="str">
        <f>IF(Inventory!T161="","",Inventory!T161)</f>
        <v/>
      </c>
      <c r="U158" s="778" t="str">
        <f>IF(Inventory!U161="","",Inventory!U161)</f>
        <v/>
      </c>
      <c r="V158" s="751" t="str">
        <f>IF(Inventory!V161="","",Inventory!V161)</f>
        <v/>
      </c>
      <c r="W158" s="871"/>
    </row>
    <row r="159" spans="2:23" s="618" customFormat="1" ht="21.95" customHeight="1" x14ac:dyDescent="0.25">
      <c r="B159" s="431">
        <v>153</v>
      </c>
      <c r="C159" s="501" t="str">
        <f>IF(Inventory!C162="","",Inventory!C162)</f>
        <v/>
      </c>
      <c r="D159" s="502" t="str">
        <f>IF(Inventory!D162="","",Inventory!D162)</f>
        <v/>
      </c>
      <c r="E159" s="546" t="str">
        <f>IF(Inventory!E162="","",Inventory!E162)</f>
        <v/>
      </c>
      <c r="F159" s="547" t="str">
        <f>IF(Inventory!F162="","",Inventory!F162)</f>
        <v/>
      </c>
      <c r="G159" s="729" t="str">
        <f>IF(Inventory!G162="","",Inventory!G162)</f>
        <v/>
      </c>
      <c r="H159" s="729" t="str">
        <f>IF(Inventory!H162="","",Inventory!H162)</f>
        <v/>
      </c>
      <c r="I159" s="729" t="str">
        <f>IF(Inventory!I162="","",Inventory!I162)</f>
        <v/>
      </c>
      <c r="J159" s="729" t="str">
        <f>IF(Inventory!J162="","",Inventory!J162)</f>
        <v/>
      </c>
      <c r="K159" s="729" t="str">
        <f>IF(Inventory!K162="","",Inventory!K162)</f>
        <v/>
      </c>
      <c r="L159" s="729" t="str">
        <f>IF(Inventory!L162="","",Inventory!L162)</f>
        <v/>
      </c>
      <c r="M159" s="765" t="str">
        <f>IF(Inventory!M162="","",Inventory!M162)</f>
        <v/>
      </c>
      <c r="N159" s="758" t="str">
        <f>IF(Inventory!N162="","",Inventory!N162)</f>
        <v/>
      </c>
      <c r="O159" s="765" t="str">
        <f>IF(Inventory!O162="","",Inventory!O162)</f>
        <v/>
      </c>
      <c r="P159" s="758" t="str">
        <f>IF(Inventory!P162="","",Inventory!P162)</f>
        <v/>
      </c>
      <c r="Q159" s="521" t="str">
        <f>IF(Inventory!Q162="","",Inventory!Q162)</f>
        <v/>
      </c>
      <c r="R159" s="775" t="str">
        <f>IF(Inventory!R162="","",Inventory!R162)</f>
        <v/>
      </c>
      <c r="S159" s="775" t="str">
        <f>IF(Inventory!S162="","",Inventory!S162)</f>
        <v/>
      </c>
      <c r="T159" s="729" t="str">
        <f>IF(Inventory!T162="","",Inventory!T162)</f>
        <v/>
      </c>
      <c r="U159" s="775" t="str">
        <f>IF(Inventory!U162="","",Inventory!U162)</f>
        <v/>
      </c>
      <c r="V159" s="779" t="str">
        <f>IF(Inventory!V162="","",Inventory!V162)</f>
        <v/>
      </c>
      <c r="W159" s="866"/>
    </row>
    <row r="160" spans="2:23" s="618" customFormat="1" ht="21.95" customHeight="1" x14ac:dyDescent="0.25">
      <c r="B160" s="432">
        <v>154</v>
      </c>
      <c r="C160" s="499" t="str">
        <f>IF(Inventory!C163="","",Inventory!C163)</f>
        <v/>
      </c>
      <c r="D160" s="751" t="str">
        <f>IF(Inventory!D163="","",Inventory!D163)</f>
        <v/>
      </c>
      <c r="E160" s="541" t="str">
        <f>IF(Inventory!E163="","",Inventory!E163)</f>
        <v/>
      </c>
      <c r="F160" s="785" t="str">
        <f>IF(Inventory!F163="","",Inventory!F163)</f>
        <v/>
      </c>
      <c r="G160" s="728" t="str">
        <f>IF(Inventory!G163="","",Inventory!G163)</f>
        <v/>
      </c>
      <c r="H160" s="728" t="str">
        <f>IF(Inventory!H163="","",Inventory!H163)</f>
        <v/>
      </c>
      <c r="I160" s="728" t="str">
        <f>IF(Inventory!I163="","",Inventory!I163)</f>
        <v/>
      </c>
      <c r="J160" s="728" t="str">
        <f>IF(Inventory!J163="","",Inventory!J163)</f>
        <v/>
      </c>
      <c r="K160" s="728" t="str">
        <f>IF(Inventory!K163="","",Inventory!K163)</f>
        <v/>
      </c>
      <c r="L160" s="728" t="str">
        <f>IF(Inventory!L163="","",Inventory!L163)</f>
        <v/>
      </c>
      <c r="M160" s="764" t="str">
        <f>IF(Inventory!M163="","",Inventory!M163)</f>
        <v/>
      </c>
      <c r="N160" s="728" t="str">
        <f>IF(Inventory!N163="","",Inventory!N163)</f>
        <v/>
      </c>
      <c r="O160" s="764" t="str">
        <f>IF(Inventory!O163="","",Inventory!O163)</f>
        <v/>
      </c>
      <c r="P160" s="728" t="str">
        <f>IF(Inventory!P163="","",Inventory!P163)</f>
        <v/>
      </c>
      <c r="Q160" s="520" t="str">
        <f>IF(Inventory!Q163="","",Inventory!Q163)</f>
        <v/>
      </c>
      <c r="R160" s="778" t="str">
        <f>IF(Inventory!R163="","",Inventory!R163)</f>
        <v/>
      </c>
      <c r="S160" s="778" t="str">
        <f>IF(Inventory!S163="","",Inventory!S163)</f>
        <v/>
      </c>
      <c r="T160" s="767" t="str">
        <f>IF(Inventory!T163="","",Inventory!T163)</f>
        <v/>
      </c>
      <c r="U160" s="778" t="str">
        <f>IF(Inventory!U163="","",Inventory!U163)</f>
        <v/>
      </c>
      <c r="V160" s="751" t="str">
        <f>IF(Inventory!V163="","",Inventory!V163)</f>
        <v/>
      </c>
      <c r="W160" s="871"/>
    </row>
    <row r="161" spans="2:23" s="618" customFormat="1" ht="21.95" customHeight="1" x14ac:dyDescent="0.25">
      <c r="B161" s="431">
        <v>155</v>
      </c>
      <c r="C161" s="501" t="str">
        <f>IF(Inventory!C164="","",Inventory!C164)</f>
        <v/>
      </c>
      <c r="D161" s="502" t="str">
        <f>IF(Inventory!D164="","",Inventory!D164)</f>
        <v/>
      </c>
      <c r="E161" s="546" t="str">
        <f>IF(Inventory!E164="","",Inventory!E164)</f>
        <v/>
      </c>
      <c r="F161" s="547" t="str">
        <f>IF(Inventory!F164="","",Inventory!F164)</f>
        <v/>
      </c>
      <c r="G161" s="729" t="str">
        <f>IF(Inventory!G164="","",Inventory!G164)</f>
        <v/>
      </c>
      <c r="H161" s="729" t="str">
        <f>IF(Inventory!H164="","",Inventory!H164)</f>
        <v/>
      </c>
      <c r="I161" s="729" t="str">
        <f>IF(Inventory!I164="","",Inventory!I164)</f>
        <v/>
      </c>
      <c r="J161" s="729" t="str">
        <f>IF(Inventory!J164="","",Inventory!J164)</f>
        <v/>
      </c>
      <c r="K161" s="729" t="str">
        <f>IF(Inventory!K164="","",Inventory!K164)</f>
        <v/>
      </c>
      <c r="L161" s="729" t="str">
        <f>IF(Inventory!L164="","",Inventory!L164)</f>
        <v/>
      </c>
      <c r="M161" s="765" t="str">
        <f>IF(Inventory!M164="","",Inventory!M164)</f>
        <v/>
      </c>
      <c r="N161" s="758" t="str">
        <f>IF(Inventory!N164="","",Inventory!N164)</f>
        <v/>
      </c>
      <c r="O161" s="765" t="str">
        <f>IF(Inventory!O164="","",Inventory!O164)</f>
        <v/>
      </c>
      <c r="P161" s="758" t="str">
        <f>IF(Inventory!P164="","",Inventory!P164)</f>
        <v/>
      </c>
      <c r="Q161" s="521" t="str">
        <f>IF(Inventory!Q164="","",Inventory!Q164)</f>
        <v/>
      </c>
      <c r="R161" s="775" t="str">
        <f>IF(Inventory!R164="","",Inventory!R164)</f>
        <v/>
      </c>
      <c r="S161" s="775" t="str">
        <f>IF(Inventory!S164="","",Inventory!S164)</f>
        <v/>
      </c>
      <c r="T161" s="729" t="str">
        <f>IF(Inventory!T164="","",Inventory!T164)</f>
        <v/>
      </c>
      <c r="U161" s="775" t="str">
        <f>IF(Inventory!U164="","",Inventory!U164)</f>
        <v/>
      </c>
      <c r="V161" s="779" t="str">
        <f>IF(Inventory!V164="","",Inventory!V164)</f>
        <v/>
      </c>
      <c r="W161" s="866"/>
    </row>
    <row r="162" spans="2:23" s="618" customFormat="1" ht="21.95" customHeight="1" x14ac:dyDescent="0.25">
      <c r="B162" s="432">
        <v>156</v>
      </c>
      <c r="C162" s="499" t="str">
        <f>IF(Inventory!C165="","",Inventory!C165)</f>
        <v/>
      </c>
      <c r="D162" s="751" t="str">
        <f>IF(Inventory!D165="","",Inventory!D165)</f>
        <v/>
      </c>
      <c r="E162" s="541" t="str">
        <f>IF(Inventory!E165="","",Inventory!E165)</f>
        <v/>
      </c>
      <c r="F162" s="785" t="str">
        <f>IF(Inventory!F165="","",Inventory!F165)</f>
        <v/>
      </c>
      <c r="G162" s="728" t="str">
        <f>IF(Inventory!G165="","",Inventory!G165)</f>
        <v/>
      </c>
      <c r="H162" s="728" t="str">
        <f>IF(Inventory!H165="","",Inventory!H165)</f>
        <v/>
      </c>
      <c r="I162" s="728" t="str">
        <f>IF(Inventory!I165="","",Inventory!I165)</f>
        <v/>
      </c>
      <c r="J162" s="728" t="str">
        <f>IF(Inventory!J165="","",Inventory!J165)</f>
        <v/>
      </c>
      <c r="K162" s="728" t="str">
        <f>IF(Inventory!K165="","",Inventory!K165)</f>
        <v/>
      </c>
      <c r="L162" s="728" t="str">
        <f>IF(Inventory!L165="","",Inventory!L165)</f>
        <v/>
      </c>
      <c r="M162" s="764" t="str">
        <f>IF(Inventory!M165="","",Inventory!M165)</f>
        <v/>
      </c>
      <c r="N162" s="728" t="str">
        <f>IF(Inventory!N165="","",Inventory!N165)</f>
        <v/>
      </c>
      <c r="O162" s="764" t="str">
        <f>IF(Inventory!O165="","",Inventory!O165)</f>
        <v/>
      </c>
      <c r="P162" s="728" t="str">
        <f>IF(Inventory!P165="","",Inventory!P165)</f>
        <v/>
      </c>
      <c r="Q162" s="520" t="str">
        <f>IF(Inventory!Q165="","",Inventory!Q165)</f>
        <v/>
      </c>
      <c r="R162" s="778" t="str">
        <f>IF(Inventory!R165="","",Inventory!R165)</f>
        <v/>
      </c>
      <c r="S162" s="778" t="str">
        <f>IF(Inventory!S165="","",Inventory!S165)</f>
        <v/>
      </c>
      <c r="T162" s="767" t="str">
        <f>IF(Inventory!T165="","",Inventory!T165)</f>
        <v/>
      </c>
      <c r="U162" s="778" t="str">
        <f>IF(Inventory!U165="","",Inventory!U165)</f>
        <v/>
      </c>
      <c r="V162" s="751" t="str">
        <f>IF(Inventory!V165="","",Inventory!V165)</f>
        <v/>
      </c>
      <c r="W162" s="871"/>
    </row>
    <row r="163" spans="2:23" s="618" customFormat="1" ht="21.95" customHeight="1" x14ac:dyDescent="0.25">
      <c r="B163" s="431">
        <v>157</v>
      </c>
      <c r="C163" s="501" t="str">
        <f>IF(Inventory!C166="","",Inventory!C166)</f>
        <v/>
      </c>
      <c r="D163" s="502" t="str">
        <f>IF(Inventory!D166="","",Inventory!D166)</f>
        <v/>
      </c>
      <c r="E163" s="546" t="str">
        <f>IF(Inventory!E166="","",Inventory!E166)</f>
        <v/>
      </c>
      <c r="F163" s="547" t="str">
        <f>IF(Inventory!F166="","",Inventory!F166)</f>
        <v/>
      </c>
      <c r="G163" s="729" t="str">
        <f>IF(Inventory!G166="","",Inventory!G166)</f>
        <v/>
      </c>
      <c r="H163" s="729" t="str">
        <f>IF(Inventory!H166="","",Inventory!H166)</f>
        <v/>
      </c>
      <c r="I163" s="729" t="str">
        <f>IF(Inventory!I166="","",Inventory!I166)</f>
        <v/>
      </c>
      <c r="J163" s="729" t="str">
        <f>IF(Inventory!J166="","",Inventory!J166)</f>
        <v/>
      </c>
      <c r="K163" s="729" t="str">
        <f>IF(Inventory!K166="","",Inventory!K166)</f>
        <v/>
      </c>
      <c r="L163" s="729" t="str">
        <f>IF(Inventory!L166="","",Inventory!L166)</f>
        <v/>
      </c>
      <c r="M163" s="765" t="str">
        <f>IF(Inventory!M166="","",Inventory!M166)</f>
        <v/>
      </c>
      <c r="N163" s="758" t="str">
        <f>IF(Inventory!N166="","",Inventory!N166)</f>
        <v/>
      </c>
      <c r="O163" s="765" t="str">
        <f>IF(Inventory!O166="","",Inventory!O166)</f>
        <v/>
      </c>
      <c r="P163" s="758" t="str">
        <f>IF(Inventory!P166="","",Inventory!P166)</f>
        <v/>
      </c>
      <c r="Q163" s="521" t="str">
        <f>IF(Inventory!Q166="","",Inventory!Q166)</f>
        <v/>
      </c>
      <c r="R163" s="775" t="str">
        <f>IF(Inventory!R166="","",Inventory!R166)</f>
        <v/>
      </c>
      <c r="S163" s="775" t="str">
        <f>IF(Inventory!S166="","",Inventory!S166)</f>
        <v/>
      </c>
      <c r="T163" s="729" t="str">
        <f>IF(Inventory!T166="","",Inventory!T166)</f>
        <v/>
      </c>
      <c r="U163" s="775" t="str">
        <f>IF(Inventory!U166="","",Inventory!U166)</f>
        <v/>
      </c>
      <c r="V163" s="779" t="str">
        <f>IF(Inventory!V166="","",Inventory!V166)</f>
        <v/>
      </c>
      <c r="W163" s="866"/>
    </row>
    <row r="164" spans="2:23" s="618" customFormat="1" ht="21.95" customHeight="1" x14ac:dyDescent="0.25">
      <c r="B164" s="432">
        <v>158</v>
      </c>
      <c r="C164" s="499" t="str">
        <f>IF(Inventory!C167="","",Inventory!C167)</f>
        <v/>
      </c>
      <c r="D164" s="751" t="str">
        <f>IF(Inventory!D167="","",Inventory!D167)</f>
        <v/>
      </c>
      <c r="E164" s="541" t="str">
        <f>IF(Inventory!E167="","",Inventory!E167)</f>
        <v/>
      </c>
      <c r="F164" s="785" t="str">
        <f>IF(Inventory!F167="","",Inventory!F167)</f>
        <v/>
      </c>
      <c r="G164" s="728" t="str">
        <f>IF(Inventory!G167="","",Inventory!G167)</f>
        <v/>
      </c>
      <c r="H164" s="728" t="str">
        <f>IF(Inventory!H167="","",Inventory!H167)</f>
        <v/>
      </c>
      <c r="I164" s="728" t="str">
        <f>IF(Inventory!I167="","",Inventory!I167)</f>
        <v/>
      </c>
      <c r="J164" s="728" t="str">
        <f>IF(Inventory!J167="","",Inventory!J167)</f>
        <v/>
      </c>
      <c r="K164" s="728" t="str">
        <f>IF(Inventory!K167="","",Inventory!K167)</f>
        <v/>
      </c>
      <c r="L164" s="728" t="str">
        <f>IF(Inventory!L167="","",Inventory!L167)</f>
        <v/>
      </c>
      <c r="M164" s="764" t="str">
        <f>IF(Inventory!M167="","",Inventory!M167)</f>
        <v/>
      </c>
      <c r="N164" s="728" t="str">
        <f>IF(Inventory!N167="","",Inventory!N167)</f>
        <v/>
      </c>
      <c r="O164" s="764" t="str">
        <f>IF(Inventory!O167="","",Inventory!O167)</f>
        <v/>
      </c>
      <c r="P164" s="728" t="str">
        <f>IF(Inventory!P167="","",Inventory!P167)</f>
        <v/>
      </c>
      <c r="Q164" s="520" t="str">
        <f>IF(Inventory!Q167="","",Inventory!Q167)</f>
        <v/>
      </c>
      <c r="R164" s="778" t="str">
        <f>IF(Inventory!R167="","",Inventory!R167)</f>
        <v/>
      </c>
      <c r="S164" s="778" t="str">
        <f>IF(Inventory!S167="","",Inventory!S167)</f>
        <v/>
      </c>
      <c r="T164" s="767" t="str">
        <f>IF(Inventory!T167="","",Inventory!T167)</f>
        <v/>
      </c>
      <c r="U164" s="778" t="str">
        <f>IF(Inventory!U167="","",Inventory!U167)</f>
        <v/>
      </c>
      <c r="V164" s="751" t="str">
        <f>IF(Inventory!V167="","",Inventory!V167)</f>
        <v/>
      </c>
      <c r="W164" s="871"/>
    </row>
    <row r="165" spans="2:23" s="618" customFormat="1" ht="21.95" customHeight="1" x14ac:dyDescent="0.25">
      <c r="B165" s="431">
        <v>159</v>
      </c>
      <c r="C165" s="501" t="str">
        <f>IF(Inventory!C168="","",Inventory!C168)</f>
        <v/>
      </c>
      <c r="D165" s="502" t="str">
        <f>IF(Inventory!D168="","",Inventory!D168)</f>
        <v/>
      </c>
      <c r="E165" s="546" t="str">
        <f>IF(Inventory!E168="","",Inventory!E168)</f>
        <v/>
      </c>
      <c r="F165" s="547" t="str">
        <f>IF(Inventory!F168="","",Inventory!F168)</f>
        <v/>
      </c>
      <c r="G165" s="729" t="str">
        <f>IF(Inventory!G168="","",Inventory!G168)</f>
        <v/>
      </c>
      <c r="H165" s="729" t="str">
        <f>IF(Inventory!H168="","",Inventory!H168)</f>
        <v/>
      </c>
      <c r="I165" s="729" t="str">
        <f>IF(Inventory!I168="","",Inventory!I168)</f>
        <v/>
      </c>
      <c r="J165" s="729" t="str">
        <f>IF(Inventory!J168="","",Inventory!J168)</f>
        <v/>
      </c>
      <c r="K165" s="729" t="str">
        <f>IF(Inventory!K168="","",Inventory!K168)</f>
        <v/>
      </c>
      <c r="L165" s="729" t="str">
        <f>IF(Inventory!L168="","",Inventory!L168)</f>
        <v/>
      </c>
      <c r="M165" s="765" t="str">
        <f>IF(Inventory!M168="","",Inventory!M168)</f>
        <v/>
      </c>
      <c r="N165" s="758" t="str">
        <f>IF(Inventory!N168="","",Inventory!N168)</f>
        <v/>
      </c>
      <c r="O165" s="765" t="str">
        <f>IF(Inventory!O168="","",Inventory!O168)</f>
        <v/>
      </c>
      <c r="P165" s="758" t="str">
        <f>IF(Inventory!P168="","",Inventory!P168)</f>
        <v/>
      </c>
      <c r="Q165" s="521" t="str">
        <f>IF(Inventory!Q168="","",Inventory!Q168)</f>
        <v/>
      </c>
      <c r="R165" s="775" t="str">
        <f>IF(Inventory!R168="","",Inventory!R168)</f>
        <v/>
      </c>
      <c r="S165" s="775" t="str">
        <f>IF(Inventory!S168="","",Inventory!S168)</f>
        <v/>
      </c>
      <c r="T165" s="729" t="str">
        <f>IF(Inventory!T168="","",Inventory!T168)</f>
        <v/>
      </c>
      <c r="U165" s="775" t="str">
        <f>IF(Inventory!U168="","",Inventory!U168)</f>
        <v/>
      </c>
      <c r="V165" s="779" t="str">
        <f>IF(Inventory!V168="","",Inventory!V168)</f>
        <v/>
      </c>
      <c r="W165" s="866"/>
    </row>
    <row r="166" spans="2:23" s="618" customFormat="1" ht="21.95" customHeight="1" x14ac:dyDescent="0.25">
      <c r="B166" s="432">
        <v>160</v>
      </c>
      <c r="C166" s="499" t="str">
        <f>IF(Inventory!C169="","",Inventory!C169)</f>
        <v/>
      </c>
      <c r="D166" s="751" t="str">
        <f>IF(Inventory!D169="","",Inventory!D169)</f>
        <v/>
      </c>
      <c r="E166" s="541" t="str">
        <f>IF(Inventory!E169="","",Inventory!E169)</f>
        <v/>
      </c>
      <c r="F166" s="785" t="str">
        <f>IF(Inventory!F169="","",Inventory!F169)</f>
        <v/>
      </c>
      <c r="G166" s="728" t="str">
        <f>IF(Inventory!G169="","",Inventory!G169)</f>
        <v/>
      </c>
      <c r="H166" s="728" t="str">
        <f>IF(Inventory!H169="","",Inventory!H169)</f>
        <v/>
      </c>
      <c r="I166" s="728" t="str">
        <f>IF(Inventory!I169="","",Inventory!I169)</f>
        <v/>
      </c>
      <c r="J166" s="728" t="str">
        <f>IF(Inventory!J169="","",Inventory!J169)</f>
        <v/>
      </c>
      <c r="K166" s="728" t="str">
        <f>IF(Inventory!K169="","",Inventory!K169)</f>
        <v/>
      </c>
      <c r="L166" s="728" t="str">
        <f>IF(Inventory!L169="","",Inventory!L169)</f>
        <v/>
      </c>
      <c r="M166" s="764" t="str">
        <f>IF(Inventory!M169="","",Inventory!M169)</f>
        <v/>
      </c>
      <c r="N166" s="728" t="str">
        <f>IF(Inventory!N169="","",Inventory!N169)</f>
        <v/>
      </c>
      <c r="O166" s="764" t="str">
        <f>IF(Inventory!O169="","",Inventory!O169)</f>
        <v/>
      </c>
      <c r="P166" s="728" t="str">
        <f>IF(Inventory!P169="","",Inventory!P169)</f>
        <v/>
      </c>
      <c r="Q166" s="520" t="str">
        <f>IF(Inventory!Q169="","",Inventory!Q169)</f>
        <v/>
      </c>
      <c r="R166" s="778" t="str">
        <f>IF(Inventory!R169="","",Inventory!R169)</f>
        <v/>
      </c>
      <c r="S166" s="778" t="str">
        <f>IF(Inventory!S169="","",Inventory!S169)</f>
        <v/>
      </c>
      <c r="T166" s="767" t="str">
        <f>IF(Inventory!T169="","",Inventory!T169)</f>
        <v/>
      </c>
      <c r="U166" s="778" t="str">
        <f>IF(Inventory!U169="","",Inventory!U169)</f>
        <v/>
      </c>
      <c r="V166" s="751" t="str">
        <f>IF(Inventory!V169="","",Inventory!V169)</f>
        <v/>
      </c>
      <c r="W166" s="871"/>
    </row>
    <row r="167" spans="2:23" s="618" customFormat="1" ht="21.95" customHeight="1" x14ac:dyDescent="0.25">
      <c r="B167" s="431">
        <v>161</v>
      </c>
      <c r="C167" s="501" t="str">
        <f>IF(Inventory!C170="","",Inventory!C170)</f>
        <v/>
      </c>
      <c r="D167" s="502" t="str">
        <f>IF(Inventory!D170="","",Inventory!D170)</f>
        <v/>
      </c>
      <c r="E167" s="546" t="str">
        <f>IF(Inventory!E170="","",Inventory!E170)</f>
        <v/>
      </c>
      <c r="F167" s="547" t="str">
        <f>IF(Inventory!F170="","",Inventory!F170)</f>
        <v/>
      </c>
      <c r="G167" s="729" t="str">
        <f>IF(Inventory!G170="","",Inventory!G170)</f>
        <v/>
      </c>
      <c r="H167" s="729" t="str">
        <f>IF(Inventory!H170="","",Inventory!H170)</f>
        <v/>
      </c>
      <c r="I167" s="729" t="str">
        <f>IF(Inventory!I170="","",Inventory!I170)</f>
        <v/>
      </c>
      <c r="J167" s="729" t="str">
        <f>IF(Inventory!J170="","",Inventory!J170)</f>
        <v/>
      </c>
      <c r="K167" s="729" t="str">
        <f>IF(Inventory!K170="","",Inventory!K170)</f>
        <v/>
      </c>
      <c r="L167" s="729" t="str">
        <f>IF(Inventory!L170="","",Inventory!L170)</f>
        <v/>
      </c>
      <c r="M167" s="765" t="str">
        <f>IF(Inventory!M170="","",Inventory!M170)</f>
        <v/>
      </c>
      <c r="N167" s="758" t="str">
        <f>IF(Inventory!N170="","",Inventory!N170)</f>
        <v/>
      </c>
      <c r="O167" s="765" t="str">
        <f>IF(Inventory!O170="","",Inventory!O170)</f>
        <v/>
      </c>
      <c r="P167" s="758" t="str">
        <f>IF(Inventory!P170="","",Inventory!P170)</f>
        <v/>
      </c>
      <c r="Q167" s="521" t="str">
        <f>IF(Inventory!Q170="","",Inventory!Q170)</f>
        <v/>
      </c>
      <c r="R167" s="775" t="str">
        <f>IF(Inventory!R170="","",Inventory!R170)</f>
        <v/>
      </c>
      <c r="S167" s="775" t="str">
        <f>IF(Inventory!S170="","",Inventory!S170)</f>
        <v/>
      </c>
      <c r="T167" s="729" t="str">
        <f>IF(Inventory!T170="","",Inventory!T170)</f>
        <v/>
      </c>
      <c r="U167" s="775" t="str">
        <f>IF(Inventory!U170="","",Inventory!U170)</f>
        <v/>
      </c>
      <c r="V167" s="779" t="str">
        <f>IF(Inventory!V170="","",Inventory!V170)</f>
        <v/>
      </c>
      <c r="W167" s="866"/>
    </row>
    <row r="168" spans="2:23" s="618" customFormat="1" ht="21.95" customHeight="1" x14ac:dyDescent="0.25">
      <c r="B168" s="432">
        <v>162</v>
      </c>
      <c r="C168" s="499" t="str">
        <f>IF(Inventory!C171="","",Inventory!C171)</f>
        <v/>
      </c>
      <c r="D168" s="751" t="str">
        <f>IF(Inventory!D171="","",Inventory!D171)</f>
        <v/>
      </c>
      <c r="E168" s="541" t="str">
        <f>IF(Inventory!E171="","",Inventory!E171)</f>
        <v/>
      </c>
      <c r="F168" s="785" t="str">
        <f>IF(Inventory!F171="","",Inventory!F171)</f>
        <v/>
      </c>
      <c r="G168" s="728" t="str">
        <f>IF(Inventory!G171="","",Inventory!G171)</f>
        <v/>
      </c>
      <c r="H168" s="728" t="str">
        <f>IF(Inventory!H171="","",Inventory!H171)</f>
        <v/>
      </c>
      <c r="I168" s="728" t="str">
        <f>IF(Inventory!I171="","",Inventory!I171)</f>
        <v/>
      </c>
      <c r="J168" s="728" t="str">
        <f>IF(Inventory!J171="","",Inventory!J171)</f>
        <v/>
      </c>
      <c r="K168" s="728" t="str">
        <f>IF(Inventory!K171="","",Inventory!K171)</f>
        <v/>
      </c>
      <c r="L168" s="728" t="str">
        <f>IF(Inventory!L171="","",Inventory!L171)</f>
        <v/>
      </c>
      <c r="M168" s="764" t="str">
        <f>IF(Inventory!M171="","",Inventory!M171)</f>
        <v/>
      </c>
      <c r="N168" s="728" t="str">
        <f>IF(Inventory!N171="","",Inventory!N171)</f>
        <v/>
      </c>
      <c r="O168" s="764" t="str">
        <f>IF(Inventory!O171="","",Inventory!O171)</f>
        <v/>
      </c>
      <c r="P168" s="728" t="str">
        <f>IF(Inventory!P171="","",Inventory!P171)</f>
        <v/>
      </c>
      <c r="Q168" s="520" t="str">
        <f>IF(Inventory!Q171="","",Inventory!Q171)</f>
        <v/>
      </c>
      <c r="R168" s="778" t="str">
        <f>IF(Inventory!R171="","",Inventory!R171)</f>
        <v/>
      </c>
      <c r="S168" s="778" t="str">
        <f>IF(Inventory!S171="","",Inventory!S171)</f>
        <v/>
      </c>
      <c r="T168" s="767" t="str">
        <f>IF(Inventory!T171="","",Inventory!T171)</f>
        <v/>
      </c>
      <c r="U168" s="778" t="str">
        <f>IF(Inventory!U171="","",Inventory!U171)</f>
        <v/>
      </c>
      <c r="V168" s="751" t="str">
        <f>IF(Inventory!V171="","",Inventory!V171)</f>
        <v/>
      </c>
      <c r="W168" s="871"/>
    </row>
    <row r="169" spans="2:23" s="618" customFormat="1" ht="21.95" customHeight="1" x14ac:dyDescent="0.25">
      <c r="B169" s="431">
        <v>163</v>
      </c>
      <c r="C169" s="501" t="str">
        <f>IF(Inventory!C172="","",Inventory!C172)</f>
        <v/>
      </c>
      <c r="D169" s="502" t="str">
        <f>IF(Inventory!D172="","",Inventory!D172)</f>
        <v/>
      </c>
      <c r="E169" s="546" t="str">
        <f>IF(Inventory!E172="","",Inventory!E172)</f>
        <v/>
      </c>
      <c r="F169" s="547" t="str">
        <f>IF(Inventory!F172="","",Inventory!F172)</f>
        <v/>
      </c>
      <c r="G169" s="729" t="str">
        <f>IF(Inventory!G172="","",Inventory!G172)</f>
        <v/>
      </c>
      <c r="H169" s="729" t="str">
        <f>IF(Inventory!H172="","",Inventory!H172)</f>
        <v/>
      </c>
      <c r="I169" s="729" t="str">
        <f>IF(Inventory!I172="","",Inventory!I172)</f>
        <v/>
      </c>
      <c r="J169" s="729" t="str">
        <f>IF(Inventory!J172="","",Inventory!J172)</f>
        <v/>
      </c>
      <c r="K169" s="729" t="str">
        <f>IF(Inventory!K172="","",Inventory!K172)</f>
        <v/>
      </c>
      <c r="L169" s="729" t="str">
        <f>IF(Inventory!L172="","",Inventory!L172)</f>
        <v/>
      </c>
      <c r="M169" s="765" t="str">
        <f>IF(Inventory!M172="","",Inventory!M172)</f>
        <v/>
      </c>
      <c r="N169" s="758" t="str">
        <f>IF(Inventory!N172="","",Inventory!N172)</f>
        <v/>
      </c>
      <c r="O169" s="765" t="str">
        <f>IF(Inventory!O172="","",Inventory!O172)</f>
        <v/>
      </c>
      <c r="P169" s="758" t="str">
        <f>IF(Inventory!P172="","",Inventory!P172)</f>
        <v/>
      </c>
      <c r="Q169" s="521" t="str">
        <f>IF(Inventory!Q172="","",Inventory!Q172)</f>
        <v/>
      </c>
      <c r="R169" s="775" t="str">
        <f>IF(Inventory!R172="","",Inventory!R172)</f>
        <v/>
      </c>
      <c r="S169" s="775" t="str">
        <f>IF(Inventory!S172="","",Inventory!S172)</f>
        <v/>
      </c>
      <c r="T169" s="729" t="str">
        <f>IF(Inventory!T172="","",Inventory!T172)</f>
        <v/>
      </c>
      <c r="U169" s="775" t="str">
        <f>IF(Inventory!U172="","",Inventory!U172)</f>
        <v/>
      </c>
      <c r="V169" s="779" t="str">
        <f>IF(Inventory!V172="","",Inventory!V172)</f>
        <v/>
      </c>
      <c r="W169" s="866"/>
    </row>
    <row r="170" spans="2:23" s="618" customFormat="1" ht="21.95" customHeight="1" x14ac:dyDescent="0.25">
      <c r="B170" s="432">
        <v>164</v>
      </c>
      <c r="C170" s="499" t="str">
        <f>IF(Inventory!C173="","",Inventory!C173)</f>
        <v/>
      </c>
      <c r="D170" s="751" t="str">
        <f>IF(Inventory!D173="","",Inventory!D173)</f>
        <v/>
      </c>
      <c r="E170" s="541" t="str">
        <f>IF(Inventory!E173="","",Inventory!E173)</f>
        <v/>
      </c>
      <c r="F170" s="785" t="str">
        <f>IF(Inventory!F173="","",Inventory!F173)</f>
        <v/>
      </c>
      <c r="G170" s="728" t="str">
        <f>IF(Inventory!G173="","",Inventory!G173)</f>
        <v/>
      </c>
      <c r="H170" s="728" t="str">
        <f>IF(Inventory!H173="","",Inventory!H173)</f>
        <v/>
      </c>
      <c r="I170" s="728" t="str">
        <f>IF(Inventory!I173="","",Inventory!I173)</f>
        <v/>
      </c>
      <c r="J170" s="728" t="str">
        <f>IF(Inventory!J173="","",Inventory!J173)</f>
        <v/>
      </c>
      <c r="K170" s="728" t="str">
        <f>IF(Inventory!K173="","",Inventory!K173)</f>
        <v/>
      </c>
      <c r="L170" s="728" t="str">
        <f>IF(Inventory!L173="","",Inventory!L173)</f>
        <v/>
      </c>
      <c r="M170" s="764" t="str">
        <f>IF(Inventory!M173="","",Inventory!M173)</f>
        <v/>
      </c>
      <c r="N170" s="728" t="str">
        <f>IF(Inventory!N173="","",Inventory!N173)</f>
        <v/>
      </c>
      <c r="O170" s="764" t="str">
        <f>IF(Inventory!O173="","",Inventory!O173)</f>
        <v/>
      </c>
      <c r="P170" s="728" t="str">
        <f>IF(Inventory!P173="","",Inventory!P173)</f>
        <v/>
      </c>
      <c r="Q170" s="520" t="str">
        <f>IF(Inventory!Q173="","",Inventory!Q173)</f>
        <v/>
      </c>
      <c r="R170" s="778" t="str">
        <f>IF(Inventory!R173="","",Inventory!R173)</f>
        <v/>
      </c>
      <c r="S170" s="778" t="str">
        <f>IF(Inventory!S173="","",Inventory!S173)</f>
        <v/>
      </c>
      <c r="T170" s="767" t="str">
        <f>IF(Inventory!T173="","",Inventory!T173)</f>
        <v/>
      </c>
      <c r="U170" s="778" t="str">
        <f>IF(Inventory!U173="","",Inventory!U173)</f>
        <v/>
      </c>
      <c r="V170" s="751" t="str">
        <f>IF(Inventory!V173="","",Inventory!V173)</f>
        <v/>
      </c>
      <c r="W170" s="871"/>
    </row>
    <row r="171" spans="2:23" s="618" customFormat="1" ht="21.95" customHeight="1" x14ac:dyDescent="0.25">
      <c r="B171" s="431">
        <v>165</v>
      </c>
      <c r="C171" s="501" t="str">
        <f>IF(Inventory!C174="","",Inventory!C174)</f>
        <v/>
      </c>
      <c r="D171" s="502" t="str">
        <f>IF(Inventory!D174="","",Inventory!D174)</f>
        <v/>
      </c>
      <c r="E171" s="546" t="str">
        <f>IF(Inventory!E174="","",Inventory!E174)</f>
        <v/>
      </c>
      <c r="F171" s="547" t="str">
        <f>IF(Inventory!F174="","",Inventory!F174)</f>
        <v/>
      </c>
      <c r="G171" s="729" t="str">
        <f>IF(Inventory!G174="","",Inventory!G174)</f>
        <v/>
      </c>
      <c r="H171" s="729" t="str">
        <f>IF(Inventory!H174="","",Inventory!H174)</f>
        <v/>
      </c>
      <c r="I171" s="729" t="str">
        <f>IF(Inventory!I174="","",Inventory!I174)</f>
        <v/>
      </c>
      <c r="J171" s="729" t="str">
        <f>IF(Inventory!J174="","",Inventory!J174)</f>
        <v/>
      </c>
      <c r="K171" s="729" t="str">
        <f>IF(Inventory!K174="","",Inventory!K174)</f>
        <v/>
      </c>
      <c r="L171" s="729" t="str">
        <f>IF(Inventory!L174="","",Inventory!L174)</f>
        <v/>
      </c>
      <c r="M171" s="765" t="str">
        <f>IF(Inventory!M174="","",Inventory!M174)</f>
        <v/>
      </c>
      <c r="N171" s="758" t="str">
        <f>IF(Inventory!N174="","",Inventory!N174)</f>
        <v/>
      </c>
      <c r="O171" s="765" t="str">
        <f>IF(Inventory!O174="","",Inventory!O174)</f>
        <v/>
      </c>
      <c r="P171" s="758" t="str">
        <f>IF(Inventory!P174="","",Inventory!P174)</f>
        <v/>
      </c>
      <c r="Q171" s="521" t="str">
        <f>IF(Inventory!Q174="","",Inventory!Q174)</f>
        <v/>
      </c>
      <c r="R171" s="775" t="str">
        <f>IF(Inventory!R174="","",Inventory!R174)</f>
        <v/>
      </c>
      <c r="S171" s="775" t="str">
        <f>IF(Inventory!S174="","",Inventory!S174)</f>
        <v/>
      </c>
      <c r="T171" s="729" t="str">
        <f>IF(Inventory!T174="","",Inventory!T174)</f>
        <v/>
      </c>
      <c r="U171" s="775" t="str">
        <f>IF(Inventory!U174="","",Inventory!U174)</f>
        <v/>
      </c>
      <c r="V171" s="779" t="str">
        <f>IF(Inventory!V174="","",Inventory!V174)</f>
        <v/>
      </c>
      <c r="W171" s="866"/>
    </row>
    <row r="172" spans="2:23" s="618" customFormat="1" ht="21.95" customHeight="1" x14ac:dyDescent="0.25">
      <c r="B172" s="432">
        <v>166</v>
      </c>
      <c r="C172" s="499" t="str">
        <f>IF(Inventory!C175="","",Inventory!C175)</f>
        <v/>
      </c>
      <c r="D172" s="751" t="str">
        <f>IF(Inventory!D175="","",Inventory!D175)</f>
        <v/>
      </c>
      <c r="E172" s="541" t="str">
        <f>IF(Inventory!E175="","",Inventory!E175)</f>
        <v/>
      </c>
      <c r="F172" s="785" t="str">
        <f>IF(Inventory!F175="","",Inventory!F175)</f>
        <v/>
      </c>
      <c r="G172" s="728" t="str">
        <f>IF(Inventory!G175="","",Inventory!G175)</f>
        <v/>
      </c>
      <c r="H172" s="728" t="str">
        <f>IF(Inventory!H175="","",Inventory!H175)</f>
        <v/>
      </c>
      <c r="I172" s="728" t="str">
        <f>IF(Inventory!I175="","",Inventory!I175)</f>
        <v/>
      </c>
      <c r="J172" s="728" t="str">
        <f>IF(Inventory!J175="","",Inventory!J175)</f>
        <v/>
      </c>
      <c r="K172" s="728" t="str">
        <f>IF(Inventory!K175="","",Inventory!K175)</f>
        <v/>
      </c>
      <c r="L172" s="728" t="str">
        <f>IF(Inventory!L175="","",Inventory!L175)</f>
        <v/>
      </c>
      <c r="M172" s="764" t="str">
        <f>IF(Inventory!M175="","",Inventory!M175)</f>
        <v/>
      </c>
      <c r="N172" s="728" t="str">
        <f>IF(Inventory!N175="","",Inventory!N175)</f>
        <v/>
      </c>
      <c r="O172" s="764" t="str">
        <f>IF(Inventory!O175="","",Inventory!O175)</f>
        <v/>
      </c>
      <c r="P172" s="728" t="str">
        <f>IF(Inventory!P175="","",Inventory!P175)</f>
        <v/>
      </c>
      <c r="Q172" s="520" t="str">
        <f>IF(Inventory!Q175="","",Inventory!Q175)</f>
        <v/>
      </c>
      <c r="R172" s="778" t="str">
        <f>IF(Inventory!R175="","",Inventory!R175)</f>
        <v/>
      </c>
      <c r="S172" s="778" t="str">
        <f>IF(Inventory!S175="","",Inventory!S175)</f>
        <v/>
      </c>
      <c r="T172" s="767" t="str">
        <f>IF(Inventory!T175="","",Inventory!T175)</f>
        <v/>
      </c>
      <c r="U172" s="778" t="str">
        <f>IF(Inventory!U175="","",Inventory!U175)</f>
        <v/>
      </c>
      <c r="V172" s="751" t="str">
        <f>IF(Inventory!V175="","",Inventory!V175)</f>
        <v/>
      </c>
      <c r="W172" s="871"/>
    </row>
    <row r="173" spans="2:23" s="618" customFormat="1" ht="21.95" customHeight="1" x14ac:dyDescent="0.25">
      <c r="B173" s="431">
        <v>167</v>
      </c>
      <c r="C173" s="501" t="str">
        <f>IF(Inventory!C176="","",Inventory!C176)</f>
        <v/>
      </c>
      <c r="D173" s="502" t="str">
        <f>IF(Inventory!D176="","",Inventory!D176)</f>
        <v/>
      </c>
      <c r="E173" s="546" t="str">
        <f>IF(Inventory!E176="","",Inventory!E176)</f>
        <v/>
      </c>
      <c r="F173" s="547" t="str">
        <f>IF(Inventory!F176="","",Inventory!F176)</f>
        <v/>
      </c>
      <c r="G173" s="729" t="str">
        <f>IF(Inventory!G176="","",Inventory!G176)</f>
        <v/>
      </c>
      <c r="H173" s="729" t="str">
        <f>IF(Inventory!H176="","",Inventory!H176)</f>
        <v/>
      </c>
      <c r="I173" s="729" t="str">
        <f>IF(Inventory!I176="","",Inventory!I176)</f>
        <v/>
      </c>
      <c r="J173" s="729" t="str">
        <f>IF(Inventory!J176="","",Inventory!J176)</f>
        <v/>
      </c>
      <c r="K173" s="729" t="str">
        <f>IF(Inventory!K176="","",Inventory!K176)</f>
        <v/>
      </c>
      <c r="L173" s="729" t="str">
        <f>IF(Inventory!L176="","",Inventory!L176)</f>
        <v/>
      </c>
      <c r="M173" s="765" t="str">
        <f>IF(Inventory!M176="","",Inventory!M176)</f>
        <v/>
      </c>
      <c r="N173" s="758" t="str">
        <f>IF(Inventory!N176="","",Inventory!N176)</f>
        <v/>
      </c>
      <c r="O173" s="765" t="str">
        <f>IF(Inventory!O176="","",Inventory!O176)</f>
        <v/>
      </c>
      <c r="P173" s="758" t="str">
        <f>IF(Inventory!P176="","",Inventory!P176)</f>
        <v/>
      </c>
      <c r="Q173" s="521" t="str">
        <f>IF(Inventory!Q176="","",Inventory!Q176)</f>
        <v/>
      </c>
      <c r="R173" s="775" t="str">
        <f>IF(Inventory!R176="","",Inventory!R176)</f>
        <v/>
      </c>
      <c r="S173" s="775" t="str">
        <f>IF(Inventory!S176="","",Inventory!S176)</f>
        <v/>
      </c>
      <c r="T173" s="729" t="str">
        <f>IF(Inventory!T176="","",Inventory!T176)</f>
        <v/>
      </c>
      <c r="U173" s="775" t="str">
        <f>IF(Inventory!U176="","",Inventory!U176)</f>
        <v/>
      </c>
      <c r="V173" s="779" t="str">
        <f>IF(Inventory!V176="","",Inventory!V176)</f>
        <v/>
      </c>
      <c r="W173" s="866"/>
    </row>
    <row r="174" spans="2:23" s="618" customFormat="1" ht="21.95" customHeight="1" x14ac:dyDescent="0.25">
      <c r="B174" s="432">
        <v>168</v>
      </c>
      <c r="C174" s="499" t="str">
        <f>IF(Inventory!C177="","",Inventory!C177)</f>
        <v/>
      </c>
      <c r="D174" s="751" t="str">
        <f>IF(Inventory!D177="","",Inventory!D177)</f>
        <v/>
      </c>
      <c r="E174" s="541" t="str">
        <f>IF(Inventory!E177="","",Inventory!E177)</f>
        <v/>
      </c>
      <c r="F174" s="785" t="str">
        <f>IF(Inventory!F177="","",Inventory!F177)</f>
        <v/>
      </c>
      <c r="G174" s="728" t="str">
        <f>IF(Inventory!G177="","",Inventory!G177)</f>
        <v/>
      </c>
      <c r="H174" s="728" t="str">
        <f>IF(Inventory!H177="","",Inventory!H177)</f>
        <v/>
      </c>
      <c r="I174" s="728" t="str">
        <f>IF(Inventory!I177="","",Inventory!I177)</f>
        <v/>
      </c>
      <c r="J174" s="728" t="str">
        <f>IF(Inventory!J177="","",Inventory!J177)</f>
        <v/>
      </c>
      <c r="K174" s="728" t="str">
        <f>IF(Inventory!K177="","",Inventory!K177)</f>
        <v/>
      </c>
      <c r="L174" s="728" t="str">
        <f>IF(Inventory!L177="","",Inventory!L177)</f>
        <v/>
      </c>
      <c r="M174" s="764" t="str">
        <f>IF(Inventory!M177="","",Inventory!M177)</f>
        <v/>
      </c>
      <c r="N174" s="728" t="str">
        <f>IF(Inventory!N177="","",Inventory!N177)</f>
        <v/>
      </c>
      <c r="O174" s="764" t="str">
        <f>IF(Inventory!O177="","",Inventory!O177)</f>
        <v/>
      </c>
      <c r="P174" s="728" t="str">
        <f>IF(Inventory!P177="","",Inventory!P177)</f>
        <v/>
      </c>
      <c r="Q174" s="520" t="str">
        <f>IF(Inventory!Q177="","",Inventory!Q177)</f>
        <v/>
      </c>
      <c r="R174" s="778" t="str">
        <f>IF(Inventory!R177="","",Inventory!R177)</f>
        <v/>
      </c>
      <c r="S174" s="778" t="str">
        <f>IF(Inventory!S177="","",Inventory!S177)</f>
        <v/>
      </c>
      <c r="T174" s="767" t="str">
        <f>IF(Inventory!T177="","",Inventory!T177)</f>
        <v/>
      </c>
      <c r="U174" s="778" t="str">
        <f>IF(Inventory!U177="","",Inventory!U177)</f>
        <v/>
      </c>
      <c r="V174" s="751" t="str">
        <f>IF(Inventory!V177="","",Inventory!V177)</f>
        <v/>
      </c>
      <c r="W174" s="871"/>
    </row>
    <row r="175" spans="2:23" s="618" customFormat="1" ht="21.95" customHeight="1" x14ac:dyDescent="0.25">
      <c r="B175" s="431">
        <v>169</v>
      </c>
      <c r="C175" s="501" t="str">
        <f>IF(Inventory!C178="","",Inventory!C178)</f>
        <v/>
      </c>
      <c r="D175" s="502" t="str">
        <f>IF(Inventory!D178="","",Inventory!D178)</f>
        <v/>
      </c>
      <c r="E175" s="546" t="str">
        <f>IF(Inventory!E178="","",Inventory!E178)</f>
        <v/>
      </c>
      <c r="F175" s="547" t="str">
        <f>IF(Inventory!F178="","",Inventory!F178)</f>
        <v/>
      </c>
      <c r="G175" s="729" t="str">
        <f>IF(Inventory!G178="","",Inventory!G178)</f>
        <v/>
      </c>
      <c r="H175" s="729" t="str">
        <f>IF(Inventory!H178="","",Inventory!H178)</f>
        <v/>
      </c>
      <c r="I175" s="729" t="str">
        <f>IF(Inventory!I178="","",Inventory!I178)</f>
        <v/>
      </c>
      <c r="J175" s="729" t="str">
        <f>IF(Inventory!J178="","",Inventory!J178)</f>
        <v/>
      </c>
      <c r="K175" s="729" t="str">
        <f>IF(Inventory!K178="","",Inventory!K178)</f>
        <v/>
      </c>
      <c r="L175" s="729" t="str">
        <f>IF(Inventory!L178="","",Inventory!L178)</f>
        <v/>
      </c>
      <c r="M175" s="765" t="str">
        <f>IF(Inventory!M178="","",Inventory!M178)</f>
        <v/>
      </c>
      <c r="N175" s="758" t="str">
        <f>IF(Inventory!N178="","",Inventory!N178)</f>
        <v/>
      </c>
      <c r="O175" s="765" t="str">
        <f>IF(Inventory!O178="","",Inventory!O178)</f>
        <v/>
      </c>
      <c r="P175" s="758" t="str">
        <f>IF(Inventory!P178="","",Inventory!P178)</f>
        <v/>
      </c>
      <c r="Q175" s="521" t="str">
        <f>IF(Inventory!Q178="","",Inventory!Q178)</f>
        <v/>
      </c>
      <c r="R175" s="775" t="str">
        <f>IF(Inventory!R178="","",Inventory!R178)</f>
        <v/>
      </c>
      <c r="S175" s="775" t="str">
        <f>IF(Inventory!S178="","",Inventory!S178)</f>
        <v/>
      </c>
      <c r="T175" s="729" t="str">
        <f>IF(Inventory!T178="","",Inventory!T178)</f>
        <v/>
      </c>
      <c r="U175" s="775" t="str">
        <f>IF(Inventory!U178="","",Inventory!U178)</f>
        <v/>
      </c>
      <c r="V175" s="779" t="str">
        <f>IF(Inventory!V178="","",Inventory!V178)</f>
        <v/>
      </c>
      <c r="W175" s="866"/>
    </row>
    <row r="176" spans="2:23" s="618" customFormat="1" ht="21.95" customHeight="1" x14ac:dyDescent="0.25">
      <c r="B176" s="432">
        <v>170</v>
      </c>
      <c r="C176" s="499" t="str">
        <f>IF(Inventory!C179="","",Inventory!C179)</f>
        <v/>
      </c>
      <c r="D176" s="751" t="str">
        <f>IF(Inventory!D179="","",Inventory!D179)</f>
        <v/>
      </c>
      <c r="E176" s="541" t="str">
        <f>IF(Inventory!E179="","",Inventory!E179)</f>
        <v/>
      </c>
      <c r="F176" s="785" t="str">
        <f>IF(Inventory!F179="","",Inventory!F179)</f>
        <v/>
      </c>
      <c r="G176" s="728" t="str">
        <f>IF(Inventory!G179="","",Inventory!G179)</f>
        <v/>
      </c>
      <c r="H176" s="728" t="str">
        <f>IF(Inventory!H179="","",Inventory!H179)</f>
        <v/>
      </c>
      <c r="I176" s="728" t="str">
        <f>IF(Inventory!I179="","",Inventory!I179)</f>
        <v/>
      </c>
      <c r="J176" s="728" t="str">
        <f>IF(Inventory!J179="","",Inventory!J179)</f>
        <v/>
      </c>
      <c r="K176" s="728" t="str">
        <f>IF(Inventory!K179="","",Inventory!K179)</f>
        <v/>
      </c>
      <c r="L176" s="728" t="str">
        <f>IF(Inventory!L179="","",Inventory!L179)</f>
        <v/>
      </c>
      <c r="M176" s="764" t="str">
        <f>IF(Inventory!M179="","",Inventory!M179)</f>
        <v/>
      </c>
      <c r="N176" s="728" t="str">
        <f>IF(Inventory!N179="","",Inventory!N179)</f>
        <v/>
      </c>
      <c r="O176" s="764" t="str">
        <f>IF(Inventory!O179="","",Inventory!O179)</f>
        <v/>
      </c>
      <c r="P176" s="728" t="str">
        <f>IF(Inventory!P179="","",Inventory!P179)</f>
        <v/>
      </c>
      <c r="Q176" s="520" t="str">
        <f>IF(Inventory!Q179="","",Inventory!Q179)</f>
        <v/>
      </c>
      <c r="R176" s="778" t="str">
        <f>IF(Inventory!R179="","",Inventory!R179)</f>
        <v/>
      </c>
      <c r="S176" s="778" t="str">
        <f>IF(Inventory!S179="","",Inventory!S179)</f>
        <v/>
      </c>
      <c r="T176" s="767" t="str">
        <f>IF(Inventory!T179="","",Inventory!T179)</f>
        <v/>
      </c>
      <c r="U176" s="778" t="str">
        <f>IF(Inventory!U179="","",Inventory!U179)</f>
        <v/>
      </c>
      <c r="V176" s="751" t="str">
        <f>IF(Inventory!V179="","",Inventory!V179)</f>
        <v/>
      </c>
      <c r="W176" s="871"/>
    </row>
    <row r="177" spans="2:23" s="618" customFormat="1" ht="21.95" customHeight="1" x14ac:dyDescent="0.25">
      <c r="B177" s="431">
        <v>171</v>
      </c>
      <c r="C177" s="501" t="str">
        <f>IF(Inventory!C180="","",Inventory!C180)</f>
        <v/>
      </c>
      <c r="D177" s="502" t="str">
        <f>IF(Inventory!D180="","",Inventory!D180)</f>
        <v/>
      </c>
      <c r="E177" s="546" t="str">
        <f>IF(Inventory!E180="","",Inventory!E180)</f>
        <v/>
      </c>
      <c r="F177" s="547" t="str">
        <f>IF(Inventory!F180="","",Inventory!F180)</f>
        <v/>
      </c>
      <c r="G177" s="729" t="str">
        <f>IF(Inventory!G180="","",Inventory!G180)</f>
        <v/>
      </c>
      <c r="H177" s="729" t="str">
        <f>IF(Inventory!H180="","",Inventory!H180)</f>
        <v/>
      </c>
      <c r="I177" s="729" t="str">
        <f>IF(Inventory!I180="","",Inventory!I180)</f>
        <v/>
      </c>
      <c r="J177" s="729" t="str">
        <f>IF(Inventory!J180="","",Inventory!J180)</f>
        <v/>
      </c>
      <c r="K177" s="729" t="str">
        <f>IF(Inventory!K180="","",Inventory!K180)</f>
        <v/>
      </c>
      <c r="L177" s="729" t="str">
        <f>IF(Inventory!L180="","",Inventory!L180)</f>
        <v/>
      </c>
      <c r="M177" s="765" t="str">
        <f>IF(Inventory!M180="","",Inventory!M180)</f>
        <v/>
      </c>
      <c r="N177" s="758" t="str">
        <f>IF(Inventory!N180="","",Inventory!N180)</f>
        <v/>
      </c>
      <c r="O177" s="765" t="str">
        <f>IF(Inventory!O180="","",Inventory!O180)</f>
        <v/>
      </c>
      <c r="P177" s="758" t="str">
        <f>IF(Inventory!P180="","",Inventory!P180)</f>
        <v/>
      </c>
      <c r="Q177" s="521" t="str">
        <f>IF(Inventory!Q180="","",Inventory!Q180)</f>
        <v/>
      </c>
      <c r="R177" s="775" t="str">
        <f>IF(Inventory!R180="","",Inventory!R180)</f>
        <v/>
      </c>
      <c r="S177" s="775" t="str">
        <f>IF(Inventory!S180="","",Inventory!S180)</f>
        <v/>
      </c>
      <c r="T177" s="729" t="str">
        <f>IF(Inventory!T180="","",Inventory!T180)</f>
        <v/>
      </c>
      <c r="U177" s="775" t="str">
        <f>IF(Inventory!U180="","",Inventory!U180)</f>
        <v/>
      </c>
      <c r="V177" s="779" t="str">
        <f>IF(Inventory!V180="","",Inventory!V180)</f>
        <v/>
      </c>
      <c r="W177" s="866"/>
    </row>
    <row r="178" spans="2:23" s="618" customFormat="1" ht="21.95" customHeight="1" x14ac:dyDescent="0.25">
      <c r="B178" s="432">
        <v>172</v>
      </c>
      <c r="C178" s="499" t="str">
        <f>IF(Inventory!C181="","",Inventory!C181)</f>
        <v/>
      </c>
      <c r="D178" s="751" t="str">
        <f>IF(Inventory!D181="","",Inventory!D181)</f>
        <v/>
      </c>
      <c r="E178" s="541" t="str">
        <f>IF(Inventory!E181="","",Inventory!E181)</f>
        <v/>
      </c>
      <c r="F178" s="785" t="str">
        <f>IF(Inventory!F181="","",Inventory!F181)</f>
        <v/>
      </c>
      <c r="G178" s="728" t="str">
        <f>IF(Inventory!G181="","",Inventory!G181)</f>
        <v/>
      </c>
      <c r="H178" s="728" t="str">
        <f>IF(Inventory!H181="","",Inventory!H181)</f>
        <v/>
      </c>
      <c r="I178" s="728" t="str">
        <f>IF(Inventory!I181="","",Inventory!I181)</f>
        <v/>
      </c>
      <c r="J178" s="728" t="str">
        <f>IF(Inventory!J181="","",Inventory!J181)</f>
        <v/>
      </c>
      <c r="K178" s="728" t="str">
        <f>IF(Inventory!K181="","",Inventory!K181)</f>
        <v/>
      </c>
      <c r="L178" s="728" t="str">
        <f>IF(Inventory!L181="","",Inventory!L181)</f>
        <v/>
      </c>
      <c r="M178" s="764" t="str">
        <f>IF(Inventory!M181="","",Inventory!M181)</f>
        <v/>
      </c>
      <c r="N178" s="728" t="str">
        <f>IF(Inventory!N181="","",Inventory!N181)</f>
        <v/>
      </c>
      <c r="O178" s="764" t="str">
        <f>IF(Inventory!O181="","",Inventory!O181)</f>
        <v/>
      </c>
      <c r="P178" s="728" t="str">
        <f>IF(Inventory!P181="","",Inventory!P181)</f>
        <v/>
      </c>
      <c r="Q178" s="520" t="str">
        <f>IF(Inventory!Q181="","",Inventory!Q181)</f>
        <v/>
      </c>
      <c r="R178" s="778" t="str">
        <f>IF(Inventory!R181="","",Inventory!R181)</f>
        <v/>
      </c>
      <c r="S178" s="778" t="str">
        <f>IF(Inventory!S181="","",Inventory!S181)</f>
        <v/>
      </c>
      <c r="T178" s="767" t="str">
        <f>IF(Inventory!T181="","",Inventory!T181)</f>
        <v/>
      </c>
      <c r="U178" s="778" t="str">
        <f>IF(Inventory!U181="","",Inventory!U181)</f>
        <v/>
      </c>
      <c r="V178" s="751" t="str">
        <f>IF(Inventory!V181="","",Inventory!V181)</f>
        <v/>
      </c>
      <c r="W178" s="871"/>
    </row>
    <row r="179" spans="2:23" s="618" customFormat="1" ht="21.95" customHeight="1" x14ac:dyDescent="0.25">
      <c r="B179" s="431">
        <v>173</v>
      </c>
      <c r="C179" s="501" t="str">
        <f>IF(Inventory!C182="","",Inventory!C182)</f>
        <v/>
      </c>
      <c r="D179" s="502" t="str">
        <f>IF(Inventory!D182="","",Inventory!D182)</f>
        <v/>
      </c>
      <c r="E179" s="546" t="str">
        <f>IF(Inventory!E182="","",Inventory!E182)</f>
        <v/>
      </c>
      <c r="F179" s="547" t="str">
        <f>IF(Inventory!F182="","",Inventory!F182)</f>
        <v/>
      </c>
      <c r="G179" s="729" t="str">
        <f>IF(Inventory!G182="","",Inventory!G182)</f>
        <v/>
      </c>
      <c r="H179" s="729" t="str">
        <f>IF(Inventory!H182="","",Inventory!H182)</f>
        <v/>
      </c>
      <c r="I179" s="729" t="str">
        <f>IF(Inventory!I182="","",Inventory!I182)</f>
        <v/>
      </c>
      <c r="J179" s="729" t="str">
        <f>IF(Inventory!J182="","",Inventory!J182)</f>
        <v/>
      </c>
      <c r="K179" s="729" t="str">
        <f>IF(Inventory!K182="","",Inventory!K182)</f>
        <v/>
      </c>
      <c r="L179" s="729" t="str">
        <f>IF(Inventory!L182="","",Inventory!L182)</f>
        <v/>
      </c>
      <c r="M179" s="765" t="str">
        <f>IF(Inventory!M182="","",Inventory!M182)</f>
        <v/>
      </c>
      <c r="N179" s="758" t="str">
        <f>IF(Inventory!N182="","",Inventory!N182)</f>
        <v/>
      </c>
      <c r="O179" s="765" t="str">
        <f>IF(Inventory!O182="","",Inventory!O182)</f>
        <v/>
      </c>
      <c r="P179" s="758" t="str">
        <f>IF(Inventory!P182="","",Inventory!P182)</f>
        <v/>
      </c>
      <c r="Q179" s="521" t="str">
        <f>IF(Inventory!Q182="","",Inventory!Q182)</f>
        <v/>
      </c>
      <c r="R179" s="775" t="str">
        <f>IF(Inventory!R182="","",Inventory!R182)</f>
        <v/>
      </c>
      <c r="S179" s="775" t="str">
        <f>IF(Inventory!S182="","",Inventory!S182)</f>
        <v/>
      </c>
      <c r="T179" s="729" t="str">
        <f>IF(Inventory!T182="","",Inventory!T182)</f>
        <v/>
      </c>
      <c r="U179" s="775" t="str">
        <f>IF(Inventory!U182="","",Inventory!U182)</f>
        <v/>
      </c>
      <c r="V179" s="779" t="str">
        <f>IF(Inventory!V182="","",Inventory!V182)</f>
        <v/>
      </c>
      <c r="W179" s="866"/>
    </row>
    <row r="180" spans="2:23" s="618" customFormat="1" ht="21.95" customHeight="1" x14ac:dyDescent="0.25">
      <c r="B180" s="432">
        <v>174</v>
      </c>
      <c r="C180" s="499" t="str">
        <f>IF(Inventory!C183="","",Inventory!C183)</f>
        <v/>
      </c>
      <c r="D180" s="751" t="str">
        <f>IF(Inventory!D183="","",Inventory!D183)</f>
        <v/>
      </c>
      <c r="E180" s="541" t="str">
        <f>IF(Inventory!E183="","",Inventory!E183)</f>
        <v/>
      </c>
      <c r="F180" s="785" t="str">
        <f>IF(Inventory!F183="","",Inventory!F183)</f>
        <v/>
      </c>
      <c r="G180" s="728" t="str">
        <f>IF(Inventory!G183="","",Inventory!G183)</f>
        <v/>
      </c>
      <c r="H180" s="728" t="str">
        <f>IF(Inventory!H183="","",Inventory!H183)</f>
        <v/>
      </c>
      <c r="I180" s="728" t="str">
        <f>IF(Inventory!I183="","",Inventory!I183)</f>
        <v/>
      </c>
      <c r="J180" s="728" t="str">
        <f>IF(Inventory!J183="","",Inventory!J183)</f>
        <v/>
      </c>
      <c r="K180" s="728" t="str">
        <f>IF(Inventory!K183="","",Inventory!K183)</f>
        <v/>
      </c>
      <c r="L180" s="728" t="str">
        <f>IF(Inventory!L183="","",Inventory!L183)</f>
        <v/>
      </c>
      <c r="M180" s="764" t="str">
        <f>IF(Inventory!M183="","",Inventory!M183)</f>
        <v/>
      </c>
      <c r="N180" s="728" t="str">
        <f>IF(Inventory!N183="","",Inventory!N183)</f>
        <v/>
      </c>
      <c r="O180" s="764" t="str">
        <f>IF(Inventory!O183="","",Inventory!O183)</f>
        <v/>
      </c>
      <c r="P180" s="728" t="str">
        <f>IF(Inventory!P183="","",Inventory!P183)</f>
        <v/>
      </c>
      <c r="Q180" s="520" t="str">
        <f>IF(Inventory!Q183="","",Inventory!Q183)</f>
        <v/>
      </c>
      <c r="R180" s="778" t="str">
        <f>IF(Inventory!R183="","",Inventory!R183)</f>
        <v/>
      </c>
      <c r="S180" s="778" t="str">
        <f>IF(Inventory!S183="","",Inventory!S183)</f>
        <v/>
      </c>
      <c r="T180" s="767" t="str">
        <f>IF(Inventory!T183="","",Inventory!T183)</f>
        <v/>
      </c>
      <c r="U180" s="778" t="str">
        <f>IF(Inventory!U183="","",Inventory!U183)</f>
        <v/>
      </c>
      <c r="V180" s="751" t="str">
        <f>IF(Inventory!V183="","",Inventory!V183)</f>
        <v/>
      </c>
      <c r="W180" s="871"/>
    </row>
    <row r="181" spans="2:23" s="618" customFormat="1" ht="21.95" customHeight="1" x14ac:dyDescent="0.25">
      <c r="B181" s="431">
        <v>175</v>
      </c>
      <c r="C181" s="501" t="str">
        <f>IF(Inventory!C184="","",Inventory!C184)</f>
        <v/>
      </c>
      <c r="D181" s="502" t="str">
        <f>IF(Inventory!D184="","",Inventory!D184)</f>
        <v/>
      </c>
      <c r="E181" s="546" t="str">
        <f>IF(Inventory!E184="","",Inventory!E184)</f>
        <v/>
      </c>
      <c r="F181" s="547" t="str">
        <f>IF(Inventory!F184="","",Inventory!F184)</f>
        <v/>
      </c>
      <c r="G181" s="729" t="str">
        <f>IF(Inventory!G184="","",Inventory!G184)</f>
        <v/>
      </c>
      <c r="H181" s="729" t="str">
        <f>IF(Inventory!H184="","",Inventory!H184)</f>
        <v/>
      </c>
      <c r="I181" s="729" t="str">
        <f>IF(Inventory!I184="","",Inventory!I184)</f>
        <v/>
      </c>
      <c r="J181" s="729" t="str">
        <f>IF(Inventory!J184="","",Inventory!J184)</f>
        <v/>
      </c>
      <c r="K181" s="729" t="str">
        <f>IF(Inventory!K184="","",Inventory!K184)</f>
        <v/>
      </c>
      <c r="L181" s="729" t="str">
        <f>IF(Inventory!L184="","",Inventory!L184)</f>
        <v/>
      </c>
      <c r="M181" s="765" t="str">
        <f>IF(Inventory!M184="","",Inventory!M184)</f>
        <v/>
      </c>
      <c r="N181" s="758" t="str">
        <f>IF(Inventory!N184="","",Inventory!N184)</f>
        <v/>
      </c>
      <c r="O181" s="765" t="str">
        <f>IF(Inventory!O184="","",Inventory!O184)</f>
        <v/>
      </c>
      <c r="P181" s="758" t="str">
        <f>IF(Inventory!P184="","",Inventory!P184)</f>
        <v/>
      </c>
      <c r="Q181" s="521" t="str">
        <f>IF(Inventory!Q184="","",Inventory!Q184)</f>
        <v/>
      </c>
      <c r="R181" s="775" t="str">
        <f>IF(Inventory!R184="","",Inventory!R184)</f>
        <v/>
      </c>
      <c r="S181" s="775" t="str">
        <f>IF(Inventory!S184="","",Inventory!S184)</f>
        <v/>
      </c>
      <c r="T181" s="729" t="str">
        <f>IF(Inventory!T184="","",Inventory!T184)</f>
        <v/>
      </c>
      <c r="U181" s="775" t="str">
        <f>IF(Inventory!U184="","",Inventory!U184)</f>
        <v/>
      </c>
      <c r="V181" s="779" t="str">
        <f>IF(Inventory!V184="","",Inventory!V184)</f>
        <v/>
      </c>
      <c r="W181" s="866"/>
    </row>
    <row r="182" spans="2:23" s="618" customFormat="1" ht="21.95" customHeight="1" x14ac:dyDescent="0.25">
      <c r="B182" s="432">
        <v>176</v>
      </c>
      <c r="C182" s="499" t="str">
        <f>IF(Inventory!C185="","",Inventory!C185)</f>
        <v/>
      </c>
      <c r="D182" s="751" t="str">
        <f>IF(Inventory!D185="","",Inventory!D185)</f>
        <v/>
      </c>
      <c r="E182" s="541" t="str">
        <f>IF(Inventory!E185="","",Inventory!E185)</f>
        <v/>
      </c>
      <c r="F182" s="785" t="str">
        <f>IF(Inventory!F185="","",Inventory!F185)</f>
        <v/>
      </c>
      <c r="G182" s="728" t="str">
        <f>IF(Inventory!G185="","",Inventory!G185)</f>
        <v/>
      </c>
      <c r="H182" s="728" t="str">
        <f>IF(Inventory!H185="","",Inventory!H185)</f>
        <v/>
      </c>
      <c r="I182" s="728" t="str">
        <f>IF(Inventory!I185="","",Inventory!I185)</f>
        <v/>
      </c>
      <c r="J182" s="728" t="str">
        <f>IF(Inventory!J185="","",Inventory!J185)</f>
        <v/>
      </c>
      <c r="K182" s="728" t="str">
        <f>IF(Inventory!K185="","",Inventory!K185)</f>
        <v/>
      </c>
      <c r="L182" s="728" t="str">
        <f>IF(Inventory!L185="","",Inventory!L185)</f>
        <v/>
      </c>
      <c r="M182" s="764" t="str">
        <f>IF(Inventory!M185="","",Inventory!M185)</f>
        <v/>
      </c>
      <c r="N182" s="728" t="str">
        <f>IF(Inventory!N185="","",Inventory!N185)</f>
        <v/>
      </c>
      <c r="O182" s="764" t="str">
        <f>IF(Inventory!O185="","",Inventory!O185)</f>
        <v/>
      </c>
      <c r="P182" s="728" t="str">
        <f>IF(Inventory!P185="","",Inventory!P185)</f>
        <v/>
      </c>
      <c r="Q182" s="520" t="str">
        <f>IF(Inventory!Q185="","",Inventory!Q185)</f>
        <v/>
      </c>
      <c r="R182" s="778" t="str">
        <f>IF(Inventory!R185="","",Inventory!R185)</f>
        <v/>
      </c>
      <c r="S182" s="778" t="str">
        <f>IF(Inventory!S185="","",Inventory!S185)</f>
        <v/>
      </c>
      <c r="T182" s="767" t="str">
        <f>IF(Inventory!T185="","",Inventory!T185)</f>
        <v/>
      </c>
      <c r="U182" s="778" t="str">
        <f>IF(Inventory!U185="","",Inventory!U185)</f>
        <v/>
      </c>
      <c r="V182" s="751" t="str">
        <f>IF(Inventory!V185="","",Inventory!V185)</f>
        <v/>
      </c>
      <c r="W182" s="871"/>
    </row>
    <row r="183" spans="2:23" s="618" customFormat="1" ht="21.95" customHeight="1" x14ac:dyDescent="0.25">
      <c r="B183" s="431">
        <v>177</v>
      </c>
      <c r="C183" s="501" t="str">
        <f>IF(Inventory!C186="","",Inventory!C186)</f>
        <v/>
      </c>
      <c r="D183" s="502" t="str">
        <f>IF(Inventory!D186="","",Inventory!D186)</f>
        <v/>
      </c>
      <c r="E183" s="546" t="str">
        <f>IF(Inventory!E186="","",Inventory!E186)</f>
        <v/>
      </c>
      <c r="F183" s="547" t="str">
        <f>IF(Inventory!F186="","",Inventory!F186)</f>
        <v/>
      </c>
      <c r="G183" s="729" t="str">
        <f>IF(Inventory!G186="","",Inventory!G186)</f>
        <v/>
      </c>
      <c r="H183" s="729" t="str">
        <f>IF(Inventory!H186="","",Inventory!H186)</f>
        <v/>
      </c>
      <c r="I183" s="729" t="str">
        <f>IF(Inventory!I186="","",Inventory!I186)</f>
        <v/>
      </c>
      <c r="J183" s="729" t="str">
        <f>IF(Inventory!J186="","",Inventory!J186)</f>
        <v/>
      </c>
      <c r="K183" s="729" t="str">
        <f>IF(Inventory!K186="","",Inventory!K186)</f>
        <v/>
      </c>
      <c r="L183" s="729" t="str">
        <f>IF(Inventory!L186="","",Inventory!L186)</f>
        <v/>
      </c>
      <c r="M183" s="765" t="str">
        <f>IF(Inventory!M186="","",Inventory!M186)</f>
        <v/>
      </c>
      <c r="N183" s="758" t="str">
        <f>IF(Inventory!N186="","",Inventory!N186)</f>
        <v/>
      </c>
      <c r="O183" s="765" t="str">
        <f>IF(Inventory!O186="","",Inventory!O186)</f>
        <v/>
      </c>
      <c r="P183" s="758" t="str">
        <f>IF(Inventory!P186="","",Inventory!P186)</f>
        <v/>
      </c>
      <c r="Q183" s="521" t="str">
        <f>IF(Inventory!Q186="","",Inventory!Q186)</f>
        <v/>
      </c>
      <c r="R183" s="775" t="str">
        <f>IF(Inventory!R186="","",Inventory!R186)</f>
        <v/>
      </c>
      <c r="S183" s="775" t="str">
        <f>IF(Inventory!S186="","",Inventory!S186)</f>
        <v/>
      </c>
      <c r="T183" s="729" t="str">
        <f>IF(Inventory!T186="","",Inventory!T186)</f>
        <v/>
      </c>
      <c r="U183" s="775" t="str">
        <f>IF(Inventory!U186="","",Inventory!U186)</f>
        <v/>
      </c>
      <c r="V183" s="779" t="str">
        <f>IF(Inventory!V186="","",Inventory!V186)</f>
        <v/>
      </c>
      <c r="W183" s="866"/>
    </row>
    <row r="184" spans="2:23" s="618" customFormat="1" ht="21.95" customHeight="1" x14ac:dyDescent="0.25">
      <c r="B184" s="432">
        <v>178</v>
      </c>
      <c r="C184" s="499" t="str">
        <f>IF(Inventory!C187="","",Inventory!C187)</f>
        <v/>
      </c>
      <c r="D184" s="751" t="str">
        <f>IF(Inventory!D187="","",Inventory!D187)</f>
        <v/>
      </c>
      <c r="E184" s="541" t="str">
        <f>IF(Inventory!E187="","",Inventory!E187)</f>
        <v/>
      </c>
      <c r="F184" s="785" t="str">
        <f>IF(Inventory!F187="","",Inventory!F187)</f>
        <v/>
      </c>
      <c r="G184" s="728" t="str">
        <f>IF(Inventory!G187="","",Inventory!G187)</f>
        <v/>
      </c>
      <c r="H184" s="728" t="str">
        <f>IF(Inventory!H187="","",Inventory!H187)</f>
        <v/>
      </c>
      <c r="I184" s="728" t="str">
        <f>IF(Inventory!I187="","",Inventory!I187)</f>
        <v/>
      </c>
      <c r="J184" s="728" t="str">
        <f>IF(Inventory!J187="","",Inventory!J187)</f>
        <v/>
      </c>
      <c r="K184" s="728" t="str">
        <f>IF(Inventory!K187="","",Inventory!K187)</f>
        <v/>
      </c>
      <c r="L184" s="728" t="str">
        <f>IF(Inventory!L187="","",Inventory!L187)</f>
        <v/>
      </c>
      <c r="M184" s="764" t="str">
        <f>IF(Inventory!M187="","",Inventory!M187)</f>
        <v/>
      </c>
      <c r="N184" s="728" t="str">
        <f>IF(Inventory!N187="","",Inventory!N187)</f>
        <v/>
      </c>
      <c r="O184" s="764" t="str">
        <f>IF(Inventory!O187="","",Inventory!O187)</f>
        <v/>
      </c>
      <c r="P184" s="728" t="str">
        <f>IF(Inventory!P187="","",Inventory!P187)</f>
        <v/>
      </c>
      <c r="Q184" s="520" t="str">
        <f>IF(Inventory!Q187="","",Inventory!Q187)</f>
        <v/>
      </c>
      <c r="R184" s="778" t="str">
        <f>IF(Inventory!R187="","",Inventory!R187)</f>
        <v/>
      </c>
      <c r="S184" s="778" t="str">
        <f>IF(Inventory!S187="","",Inventory!S187)</f>
        <v/>
      </c>
      <c r="T184" s="767" t="str">
        <f>IF(Inventory!T187="","",Inventory!T187)</f>
        <v/>
      </c>
      <c r="U184" s="778" t="str">
        <f>IF(Inventory!U187="","",Inventory!U187)</f>
        <v/>
      </c>
      <c r="V184" s="751" t="str">
        <f>IF(Inventory!V187="","",Inventory!V187)</f>
        <v/>
      </c>
      <c r="W184" s="871"/>
    </row>
    <row r="185" spans="2:23" s="618" customFormat="1" ht="21.95" customHeight="1" x14ac:dyDescent="0.25">
      <c r="B185" s="431">
        <v>179</v>
      </c>
      <c r="C185" s="501" t="str">
        <f>IF(Inventory!C188="","",Inventory!C188)</f>
        <v/>
      </c>
      <c r="D185" s="502" t="str">
        <f>IF(Inventory!D188="","",Inventory!D188)</f>
        <v/>
      </c>
      <c r="E185" s="546" t="str">
        <f>IF(Inventory!E188="","",Inventory!E188)</f>
        <v/>
      </c>
      <c r="F185" s="547" t="str">
        <f>IF(Inventory!F188="","",Inventory!F188)</f>
        <v/>
      </c>
      <c r="G185" s="729" t="str">
        <f>IF(Inventory!G188="","",Inventory!G188)</f>
        <v/>
      </c>
      <c r="H185" s="729" t="str">
        <f>IF(Inventory!H188="","",Inventory!H188)</f>
        <v/>
      </c>
      <c r="I185" s="729" t="str">
        <f>IF(Inventory!I188="","",Inventory!I188)</f>
        <v/>
      </c>
      <c r="J185" s="729" t="str">
        <f>IF(Inventory!J188="","",Inventory!J188)</f>
        <v/>
      </c>
      <c r="K185" s="729" t="str">
        <f>IF(Inventory!K188="","",Inventory!K188)</f>
        <v/>
      </c>
      <c r="L185" s="729" t="str">
        <f>IF(Inventory!L188="","",Inventory!L188)</f>
        <v/>
      </c>
      <c r="M185" s="765" t="str">
        <f>IF(Inventory!M188="","",Inventory!M188)</f>
        <v/>
      </c>
      <c r="N185" s="758" t="str">
        <f>IF(Inventory!N188="","",Inventory!N188)</f>
        <v/>
      </c>
      <c r="O185" s="765" t="str">
        <f>IF(Inventory!O188="","",Inventory!O188)</f>
        <v/>
      </c>
      <c r="P185" s="758" t="str">
        <f>IF(Inventory!P188="","",Inventory!P188)</f>
        <v/>
      </c>
      <c r="Q185" s="521" t="str">
        <f>IF(Inventory!Q188="","",Inventory!Q188)</f>
        <v/>
      </c>
      <c r="R185" s="775" t="str">
        <f>IF(Inventory!R188="","",Inventory!R188)</f>
        <v/>
      </c>
      <c r="S185" s="775" t="str">
        <f>IF(Inventory!S188="","",Inventory!S188)</f>
        <v/>
      </c>
      <c r="T185" s="729" t="str">
        <f>IF(Inventory!T188="","",Inventory!T188)</f>
        <v/>
      </c>
      <c r="U185" s="775" t="str">
        <f>IF(Inventory!U188="","",Inventory!U188)</f>
        <v/>
      </c>
      <c r="V185" s="779" t="str">
        <f>IF(Inventory!V188="","",Inventory!V188)</f>
        <v/>
      </c>
      <c r="W185" s="866"/>
    </row>
    <row r="186" spans="2:23" s="618" customFormat="1" ht="21.95" customHeight="1" x14ac:dyDescent="0.25">
      <c r="B186" s="432">
        <v>180</v>
      </c>
      <c r="C186" s="499" t="str">
        <f>IF(Inventory!C189="","",Inventory!C189)</f>
        <v/>
      </c>
      <c r="D186" s="751" t="str">
        <f>IF(Inventory!D189="","",Inventory!D189)</f>
        <v/>
      </c>
      <c r="E186" s="541" t="str">
        <f>IF(Inventory!E189="","",Inventory!E189)</f>
        <v/>
      </c>
      <c r="F186" s="785" t="str">
        <f>IF(Inventory!F189="","",Inventory!F189)</f>
        <v/>
      </c>
      <c r="G186" s="728" t="str">
        <f>IF(Inventory!G189="","",Inventory!G189)</f>
        <v/>
      </c>
      <c r="H186" s="728" t="str">
        <f>IF(Inventory!H189="","",Inventory!H189)</f>
        <v/>
      </c>
      <c r="I186" s="728" t="str">
        <f>IF(Inventory!I189="","",Inventory!I189)</f>
        <v/>
      </c>
      <c r="J186" s="728" t="str">
        <f>IF(Inventory!J189="","",Inventory!J189)</f>
        <v/>
      </c>
      <c r="K186" s="728" t="str">
        <f>IF(Inventory!K189="","",Inventory!K189)</f>
        <v/>
      </c>
      <c r="L186" s="728" t="str">
        <f>IF(Inventory!L189="","",Inventory!L189)</f>
        <v/>
      </c>
      <c r="M186" s="764" t="str">
        <f>IF(Inventory!M189="","",Inventory!M189)</f>
        <v/>
      </c>
      <c r="N186" s="728" t="str">
        <f>IF(Inventory!N189="","",Inventory!N189)</f>
        <v/>
      </c>
      <c r="O186" s="764" t="str">
        <f>IF(Inventory!O189="","",Inventory!O189)</f>
        <v/>
      </c>
      <c r="P186" s="728" t="str">
        <f>IF(Inventory!P189="","",Inventory!P189)</f>
        <v/>
      </c>
      <c r="Q186" s="520" t="str">
        <f>IF(Inventory!Q189="","",Inventory!Q189)</f>
        <v/>
      </c>
      <c r="R186" s="778" t="str">
        <f>IF(Inventory!R189="","",Inventory!R189)</f>
        <v/>
      </c>
      <c r="S186" s="778" t="str">
        <f>IF(Inventory!S189="","",Inventory!S189)</f>
        <v/>
      </c>
      <c r="T186" s="767" t="str">
        <f>IF(Inventory!T189="","",Inventory!T189)</f>
        <v/>
      </c>
      <c r="U186" s="778" t="str">
        <f>IF(Inventory!U189="","",Inventory!U189)</f>
        <v/>
      </c>
      <c r="V186" s="751" t="str">
        <f>IF(Inventory!V189="","",Inventory!V189)</f>
        <v/>
      </c>
      <c r="W186" s="871"/>
    </row>
    <row r="187" spans="2:23" s="618" customFormat="1" ht="21.95" customHeight="1" x14ac:dyDescent="0.25">
      <c r="B187" s="431">
        <v>181</v>
      </c>
      <c r="C187" s="501" t="str">
        <f>IF(Inventory!C190="","",Inventory!C190)</f>
        <v/>
      </c>
      <c r="D187" s="502" t="str">
        <f>IF(Inventory!D190="","",Inventory!D190)</f>
        <v/>
      </c>
      <c r="E187" s="546" t="str">
        <f>IF(Inventory!E190="","",Inventory!E190)</f>
        <v/>
      </c>
      <c r="F187" s="547" t="str">
        <f>IF(Inventory!F190="","",Inventory!F190)</f>
        <v/>
      </c>
      <c r="G187" s="729" t="str">
        <f>IF(Inventory!G190="","",Inventory!G190)</f>
        <v/>
      </c>
      <c r="H187" s="729" t="str">
        <f>IF(Inventory!H190="","",Inventory!H190)</f>
        <v/>
      </c>
      <c r="I187" s="729" t="str">
        <f>IF(Inventory!I190="","",Inventory!I190)</f>
        <v/>
      </c>
      <c r="J187" s="729" t="str">
        <f>IF(Inventory!J190="","",Inventory!J190)</f>
        <v/>
      </c>
      <c r="K187" s="729" t="str">
        <f>IF(Inventory!K190="","",Inventory!K190)</f>
        <v/>
      </c>
      <c r="L187" s="729" t="str">
        <f>IF(Inventory!L190="","",Inventory!L190)</f>
        <v/>
      </c>
      <c r="M187" s="765" t="str">
        <f>IF(Inventory!M190="","",Inventory!M190)</f>
        <v/>
      </c>
      <c r="N187" s="758" t="str">
        <f>IF(Inventory!N190="","",Inventory!N190)</f>
        <v/>
      </c>
      <c r="O187" s="765" t="str">
        <f>IF(Inventory!O190="","",Inventory!O190)</f>
        <v/>
      </c>
      <c r="P187" s="758" t="str">
        <f>IF(Inventory!P190="","",Inventory!P190)</f>
        <v/>
      </c>
      <c r="Q187" s="521" t="str">
        <f>IF(Inventory!Q190="","",Inventory!Q190)</f>
        <v/>
      </c>
      <c r="R187" s="775" t="str">
        <f>IF(Inventory!R190="","",Inventory!R190)</f>
        <v/>
      </c>
      <c r="S187" s="775" t="str">
        <f>IF(Inventory!S190="","",Inventory!S190)</f>
        <v/>
      </c>
      <c r="T187" s="729" t="str">
        <f>IF(Inventory!T190="","",Inventory!T190)</f>
        <v/>
      </c>
      <c r="U187" s="775" t="str">
        <f>IF(Inventory!U190="","",Inventory!U190)</f>
        <v/>
      </c>
      <c r="V187" s="779" t="str">
        <f>IF(Inventory!V190="","",Inventory!V190)</f>
        <v/>
      </c>
      <c r="W187" s="866"/>
    </row>
    <row r="188" spans="2:23" s="618" customFormat="1" ht="21.95" customHeight="1" x14ac:dyDescent="0.25">
      <c r="B188" s="432">
        <v>182</v>
      </c>
      <c r="C188" s="499" t="str">
        <f>IF(Inventory!C191="","",Inventory!C191)</f>
        <v/>
      </c>
      <c r="D188" s="751" t="str">
        <f>IF(Inventory!D191="","",Inventory!D191)</f>
        <v/>
      </c>
      <c r="E188" s="541" t="str">
        <f>IF(Inventory!E191="","",Inventory!E191)</f>
        <v/>
      </c>
      <c r="F188" s="785" t="str">
        <f>IF(Inventory!F191="","",Inventory!F191)</f>
        <v/>
      </c>
      <c r="G188" s="728" t="str">
        <f>IF(Inventory!G191="","",Inventory!G191)</f>
        <v/>
      </c>
      <c r="H188" s="728" t="str">
        <f>IF(Inventory!H191="","",Inventory!H191)</f>
        <v/>
      </c>
      <c r="I188" s="728" t="str">
        <f>IF(Inventory!I191="","",Inventory!I191)</f>
        <v/>
      </c>
      <c r="J188" s="728" t="str">
        <f>IF(Inventory!J191="","",Inventory!J191)</f>
        <v/>
      </c>
      <c r="K188" s="728" t="str">
        <f>IF(Inventory!K191="","",Inventory!K191)</f>
        <v/>
      </c>
      <c r="L188" s="728" t="str">
        <f>IF(Inventory!L191="","",Inventory!L191)</f>
        <v/>
      </c>
      <c r="M188" s="764" t="str">
        <f>IF(Inventory!M191="","",Inventory!M191)</f>
        <v/>
      </c>
      <c r="N188" s="728" t="str">
        <f>IF(Inventory!N191="","",Inventory!N191)</f>
        <v/>
      </c>
      <c r="O188" s="764" t="str">
        <f>IF(Inventory!O191="","",Inventory!O191)</f>
        <v/>
      </c>
      <c r="P188" s="728" t="str">
        <f>IF(Inventory!P191="","",Inventory!P191)</f>
        <v/>
      </c>
      <c r="Q188" s="520" t="str">
        <f>IF(Inventory!Q191="","",Inventory!Q191)</f>
        <v/>
      </c>
      <c r="R188" s="778" t="str">
        <f>IF(Inventory!R191="","",Inventory!R191)</f>
        <v/>
      </c>
      <c r="S188" s="778" t="str">
        <f>IF(Inventory!S191="","",Inventory!S191)</f>
        <v/>
      </c>
      <c r="T188" s="767" t="str">
        <f>IF(Inventory!T191="","",Inventory!T191)</f>
        <v/>
      </c>
      <c r="U188" s="778" t="str">
        <f>IF(Inventory!U191="","",Inventory!U191)</f>
        <v/>
      </c>
      <c r="V188" s="751" t="str">
        <f>IF(Inventory!V191="","",Inventory!V191)</f>
        <v/>
      </c>
      <c r="W188" s="871"/>
    </row>
    <row r="189" spans="2:23" s="618" customFormat="1" ht="21.95" customHeight="1" x14ac:dyDescent="0.25">
      <c r="B189" s="431">
        <v>183</v>
      </c>
      <c r="C189" s="501" t="str">
        <f>IF(Inventory!C192="","",Inventory!C192)</f>
        <v/>
      </c>
      <c r="D189" s="502" t="str">
        <f>IF(Inventory!D192="","",Inventory!D192)</f>
        <v/>
      </c>
      <c r="E189" s="546" t="str">
        <f>IF(Inventory!E192="","",Inventory!E192)</f>
        <v/>
      </c>
      <c r="F189" s="547" t="str">
        <f>IF(Inventory!F192="","",Inventory!F192)</f>
        <v/>
      </c>
      <c r="G189" s="729" t="str">
        <f>IF(Inventory!G192="","",Inventory!G192)</f>
        <v/>
      </c>
      <c r="H189" s="729" t="str">
        <f>IF(Inventory!H192="","",Inventory!H192)</f>
        <v/>
      </c>
      <c r="I189" s="729" t="str">
        <f>IF(Inventory!I192="","",Inventory!I192)</f>
        <v/>
      </c>
      <c r="J189" s="729" t="str">
        <f>IF(Inventory!J192="","",Inventory!J192)</f>
        <v/>
      </c>
      <c r="K189" s="729" t="str">
        <f>IF(Inventory!K192="","",Inventory!K192)</f>
        <v/>
      </c>
      <c r="L189" s="729" t="str">
        <f>IF(Inventory!L192="","",Inventory!L192)</f>
        <v/>
      </c>
      <c r="M189" s="765" t="str">
        <f>IF(Inventory!M192="","",Inventory!M192)</f>
        <v/>
      </c>
      <c r="N189" s="758" t="str">
        <f>IF(Inventory!N192="","",Inventory!N192)</f>
        <v/>
      </c>
      <c r="O189" s="765" t="str">
        <f>IF(Inventory!O192="","",Inventory!O192)</f>
        <v/>
      </c>
      <c r="P189" s="758" t="str">
        <f>IF(Inventory!P192="","",Inventory!P192)</f>
        <v/>
      </c>
      <c r="Q189" s="521" t="str">
        <f>IF(Inventory!Q192="","",Inventory!Q192)</f>
        <v/>
      </c>
      <c r="R189" s="775" t="str">
        <f>IF(Inventory!R192="","",Inventory!R192)</f>
        <v/>
      </c>
      <c r="S189" s="775" t="str">
        <f>IF(Inventory!S192="","",Inventory!S192)</f>
        <v/>
      </c>
      <c r="T189" s="729" t="str">
        <f>IF(Inventory!T192="","",Inventory!T192)</f>
        <v/>
      </c>
      <c r="U189" s="775" t="str">
        <f>IF(Inventory!U192="","",Inventory!U192)</f>
        <v/>
      </c>
      <c r="V189" s="779" t="str">
        <f>IF(Inventory!V192="","",Inventory!V192)</f>
        <v/>
      </c>
      <c r="W189" s="866"/>
    </row>
    <row r="190" spans="2:23" s="618" customFormat="1" ht="21.95" customHeight="1" x14ac:dyDescent="0.25">
      <c r="B190" s="432">
        <v>184</v>
      </c>
      <c r="C190" s="499" t="str">
        <f>IF(Inventory!C193="","",Inventory!C193)</f>
        <v/>
      </c>
      <c r="D190" s="751" t="str">
        <f>IF(Inventory!D193="","",Inventory!D193)</f>
        <v/>
      </c>
      <c r="E190" s="541" t="str">
        <f>IF(Inventory!E193="","",Inventory!E193)</f>
        <v/>
      </c>
      <c r="F190" s="785" t="str">
        <f>IF(Inventory!F193="","",Inventory!F193)</f>
        <v/>
      </c>
      <c r="G190" s="728" t="str">
        <f>IF(Inventory!G193="","",Inventory!G193)</f>
        <v/>
      </c>
      <c r="H190" s="728" t="str">
        <f>IF(Inventory!H193="","",Inventory!H193)</f>
        <v/>
      </c>
      <c r="I190" s="728" t="str">
        <f>IF(Inventory!I193="","",Inventory!I193)</f>
        <v/>
      </c>
      <c r="J190" s="728" t="str">
        <f>IF(Inventory!J193="","",Inventory!J193)</f>
        <v/>
      </c>
      <c r="K190" s="728" t="str">
        <f>IF(Inventory!K193="","",Inventory!K193)</f>
        <v/>
      </c>
      <c r="L190" s="728" t="str">
        <f>IF(Inventory!L193="","",Inventory!L193)</f>
        <v/>
      </c>
      <c r="M190" s="764" t="str">
        <f>IF(Inventory!M193="","",Inventory!M193)</f>
        <v/>
      </c>
      <c r="N190" s="728" t="str">
        <f>IF(Inventory!N193="","",Inventory!N193)</f>
        <v/>
      </c>
      <c r="O190" s="764" t="str">
        <f>IF(Inventory!O193="","",Inventory!O193)</f>
        <v/>
      </c>
      <c r="P190" s="728" t="str">
        <f>IF(Inventory!P193="","",Inventory!P193)</f>
        <v/>
      </c>
      <c r="Q190" s="520" t="str">
        <f>IF(Inventory!Q193="","",Inventory!Q193)</f>
        <v/>
      </c>
      <c r="R190" s="778" t="str">
        <f>IF(Inventory!R193="","",Inventory!R193)</f>
        <v/>
      </c>
      <c r="S190" s="778" t="str">
        <f>IF(Inventory!S193="","",Inventory!S193)</f>
        <v/>
      </c>
      <c r="T190" s="767" t="str">
        <f>IF(Inventory!T193="","",Inventory!T193)</f>
        <v/>
      </c>
      <c r="U190" s="778" t="str">
        <f>IF(Inventory!U193="","",Inventory!U193)</f>
        <v/>
      </c>
      <c r="V190" s="751" t="str">
        <f>IF(Inventory!V193="","",Inventory!V193)</f>
        <v/>
      </c>
      <c r="W190" s="871"/>
    </row>
    <row r="191" spans="2:23" s="618" customFormat="1" ht="21.95" customHeight="1" x14ac:dyDescent="0.25">
      <c r="B191" s="431">
        <v>185</v>
      </c>
      <c r="C191" s="501" t="str">
        <f>IF(Inventory!C194="","",Inventory!C194)</f>
        <v/>
      </c>
      <c r="D191" s="502" t="str">
        <f>IF(Inventory!D194="","",Inventory!D194)</f>
        <v/>
      </c>
      <c r="E191" s="546" t="str">
        <f>IF(Inventory!E194="","",Inventory!E194)</f>
        <v/>
      </c>
      <c r="F191" s="547" t="str">
        <f>IF(Inventory!F194="","",Inventory!F194)</f>
        <v/>
      </c>
      <c r="G191" s="729" t="str">
        <f>IF(Inventory!G194="","",Inventory!G194)</f>
        <v/>
      </c>
      <c r="H191" s="729" t="str">
        <f>IF(Inventory!H194="","",Inventory!H194)</f>
        <v/>
      </c>
      <c r="I191" s="729" t="str">
        <f>IF(Inventory!I194="","",Inventory!I194)</f>
        <v/>
      </c>
      <c r="J191" s="729" t="str">
        <f>IF(Inventory!J194="","",Inventory!J194)</f>
        <v/>
      </c>
      <c r="K191" s="729" t="str">
        <f>IF(Inventory!K194="","",Inventory!K194)</f>
        <v/>
      </c>
      <c r="L191" s="729" t="str">
        <f>IF(Inventory!L194="","",Inventory!L194)</f>
        <v/>
      </c>
      <c r="M191" s="765" t="str">
        <f>IF(Inventory!M194="","",Inventory!M194)</f>
        <v/>
      </c>
      <c r="N191" s="758" t="str">
        <f>IF(Inventory!N194="","",Inventory!N194)</f>
        <v/>
      </c>
      <c r="O191" s="765" t="str">
        <f>IF(Inventory!O194="","",Inventory!O194)</f>
        <v/>
      </c>
      <c r="P191" s="758" t="str">
        <f>IF(Inventory!P194="","",Inventory!P194)</f>
        <v/>
      </c>
      <c r="Q191" s="521" t="str">
        <f>IF(Inventory!Q194="","",Inventory!Q194)</f>
        <v/>
      </c>
      <c r="R191" s="775" t="str">
        <f>IF(Inventory!R194="","",Inventory!R194)</f>
        <v/>
      </c>
      <c r="S191" s="775" t="str">
        <f>IF(Inventory!S194="","",Inventory!S194)</f>
        <v/>
      </c>
      <c r="T191" s="729" t="str">
        <f>IF(Inventory!T194="","",Inventory!T194)</f>
        <v/>
      </c>
      <c r="U191" s="775" t="str">
        <f>IF(Inventory!U194="","",Inventory!U194)</f>
        <v/>
      </c>
      <c r="V191" s="779" t="str">
        <f>IF(Inventory!V194="","",Inventory!V194)</f>
        <v/>
      </c>
      <c r="W191" s="866"/>
    </row>
    <row r="192" spans="2:23" s="618" customFormat="1" ht="21.95" customHeight="1" x14ac:dyDescent="0.25">
      <c r="B192" s="432">
        <v>186</v>
      </c>
      <c r="C192" s="499" t="str">
        <f>IF(Inventory!C195="","",Inventory!C195)</f>
        <v/>
      </c>
      <c r="D192" s="751" t="str">
        <f>IF(Inventory!D195="","",Inventory!D195)</f>
        <v/>
      </c>
      <c r="E192" s="541" t="str">
        <f>IF(Inventory!E195="","",Inventory!E195)</f>
        <v/>
      </c>
      <c r="F192" s="785" t="str">
        <f>IF(Inventory!F195="","",Inventory!F195)</f>
        <v/>
      </c>
      <c r="G192" s="728" t="str">
        <f>IF(Inventory!G195="","",Inventory!G195)</f>
        <v/>
      </c>
      <c r="H192" s="728" t="str">
        <f>IF(Inventory!H195="","",Inventory!H195)</f>
        <v/>
      </c>
      <c r="I192" s="728" t="str">
        <f>IF(Inventory!I195="","",Inventory!I195)</f>
        <v/>
      </c>
      <c r="J192" s="728" t="str">
        <f>IF(Inventory!J195="","",Inventory!J195)</f>
        <v/>
      </c>
      <c r="K192" s="728" t="str">
        <f>IF(Inventory!K195="","",Inventory!K195)</f>
        <v/>
      </c>
      <c r="L192" s="728" t="str">
        <f>IF(Inventory!L195="","",Inventory!L195)</f>
        <v/>
      </c>
      <c r="M192" s="764" t="str">
        <f>IF(Inventory!M195="","",Inventory!M195)</f>
        <v/>
      </c>
      <c r="N192" s="728" t="str">
        <f>IF(Inventory!N195="","",Inventory!N195)</f>
        <v/>
      </c>
      <c r="O192" s="764" t="str">
        <f>IF(Inventory!O195="","",Inventory!O195)</f>
        <v/>
      </c>
      <c r="P192" s="728" t="str">
        <f>IF(Inventory!P195="","",Inventory!P195)</f>
        <v/>
      </c>
      <c r="Q192" s="520" t="str">
        <f>IF(Inventory!Q195="","",Inventory!Q195)</f>
        <v/>
      </c>
      <c r="R192" s="778" t="str">
        <f>IF(Inventory!R195="","",Inventory!R195)</f>
        <v/>
      </c>
      <c r="S192" s="778" t="str">
        <f>IF(Inventory!S195="","",Inventory!S195)</f>
        <v/>
      </c>
      <c r="T192" s="767" t="str">
        <f>IF(Inventory!T195="","",Inventory!T195)</f>
        <v/>
      </c>
      <c r="U192" s="778" t="str">
        <f>IF(Inventory!U195="","",Inventory!U195)</f>
        <v/>
      </c>
      <c r="V192" s="751" t="str">
        <f>IF(Inventory!V195="","",Inventory!V195)</f>
        <v/>
      </c>
      <c r="W192" s="871"/>
    </row>
    <row r="193" spans="2:23" s="618" customFormat="1" ht="21.95" customHeight="1" x14ac:dyDescent="0.25">
      <c r="B193" s="431">
        <v>187</v>
      </c>
      <c r="C193" s="501" t="str">
        <f>IF(Inventory!C196="","",Inventory!C196)</f>
        <v/>
      </c>
      <c r="D193" s="502" t="str">
        <f>IF(Inventory!D196="","",Inventory!D196)</f>
        <v/>
      </c>
      <c r="E193" s="546" t="str">
        <f>IF(Inventory!E196="","",Inventory!E196)</f>
        <v/>
      </c>
      <c r="F193" s="547" t="str">
        <f>IF(Inventory!F196="","",Inventory!F196)</f>
        <v/>
      </c>
      <c r="G193" s="729" t="str">
        <f>IF(Inventory!G196="","",Inventory!G196)</f>
        <v/>
      </c>
      <c r="H193" s="729" t="str">
        <f>IF(Inventory!H196="","",Inventory!H196)</f>
        <v/>
      </c>
      <c r="I193" s="729" t="str">
        <f>IF(Inventory!I196="","",Inventory!I196)</f>
        <v/>
      </c>
      <c r="J193" s="729" t="str">
        <f>IF(Inventory!J196="","",Inventory!J196)</f>
        <v/>
      </c>
      <c r="K193" s="729" t="str">
        <f>IF(Inventory!K196="","",Inventory!K196)</f>
        <v/>
      </c>
      <c r="L193" s="729" t="str">
        <f>IF(Inventory!L196="","",Inventory!L196)</f>
        <v/>
      </c>
      <c r="M193" s="765" t="str">
        <f>IF(Inventory!M196="","",Inventory!M196)</f>
        <v/>
      </c>
      <c r="N193" s="758" t="str">
        <f>IF(Inventory!N196="","",Inventory!N196)</f>
        <v/>
      </c>
      <c r="O193" s="765" t="str">
        <f>IF(Inventory!O196="","",Inventory!O196)</f>
        <v/>
      </c>
      <c r="P193" s="758" t="str">
        <f>IF(Inventory!P196="","",Inventory!P196)</f>
        <v/>
      </c>
      <c r="Q193" s="521" t="str">
        <f>IF(Inventory!Q196="","",Inventory!Q196)</f>
        <v/>
      </c>
      <c r="R193" s="775" t="str">
        <f>IF(Inventory!R196="","",Inventory!R196)</f>
        <v/>
      </c>
      <c r="S193" s="775" t="str">
        <f>IF(Inventory!S196="","",Inventory!S196)</f>
        <v/>
      </c>
      <c r="T193" s="729" t="str">
        <f>IF(Inventory!T196="","",Inventory!T196)</f>
        <v/>
      </c>
      <c r="U193" s="775" t="str">
        <f>IF(Inventory!U196="","",Inventory!U196)</f>
        <v/>
      </c>
      <c r="V193" s="779" t="str">
        <f>IF(Inventory!V196="","",Inventory!V196)</f>
        <v/>
      </c>
      <c r="W193" s="866"/>
    </row>
    <row r="194" spans="2:23" s="618" customFormat="1" ht="21.95" customHeight="1" x14ac:dyDescent="0.25">
      <c r="B194" s="432">
        <v>188</v>
      </c>
      <c r="C194" s="499" t="str">
        <f>IF(Inventory!C197="","",Inventory!C197)</f>
        <v/>
      </c>
      <c r="D194" s="751" t="str">
        <f>IF(Inventory!D197="","",Inventory!D197)</f>
        <v/>
      </c>
      <c r="E194" s="541" t="str">
        <f>IF(Inventory!E197="","",Inventory!E197)</f>
        <v/>
      </c>
      <c r="F194" s="785" t="str">
        <f>IF(Inventory!F197="","",Inventory!F197)</f>
        <v/>
      </c>
      <c r="G194" s="728" t="str">
        <f>IF(Inventory!G197="","",Inventory!G197)</f>
        <v/>
      </c>
      <c r="H194" s="728" t="str">
        <f>IF(Inventory!H197="","",Inventory!H197)</f>
        <v/>
      </c>
      <c r="I194" s="728" t="str">
        <f>IF(Inventory!I197="","",Inventory!I197)</f>
        <v/>
      </c>
      <c r="J194" s="728" t="str">
        <f>IF(Inventory!J197="","",Inventory!J197)</f>
        <v/>
      </c>
      <c r="K194" s="728" t="str">
        <f>IF(Inventory!K197="","",Inventory!K197)</f>
        <v/>
      </c>
      <c r="L194" s="728" t="str">
        <f>IF(Inventory!L197="","",Inventory!L197)</f>
        <v/>
      </c>
      <c r="M194" s="764" t="str">
        <f>IF(Inventory!M197="","",Inventory!M197)</f>
        <v/>
      </c>
      <c r="N194" s="728" t="str">
        <f>IF(Inventory!N197="","",Inventory!N197)</f>
        <v/>
      </c>
      <c r="O194" s="764" t="str">
        <f>IF(Inventory!O197="","",Inventory!O197)</f>
        <v/>
      </c>
      <c r="P194" s="728" t="str">
        <f>IF(Inventory!P197="","",Inventory!P197)</f>
        <v/>
      </c>
      <c r="Q194" s="520" t="str">
        <f>IF(Inventory!Q197="","",Inventory!Q197)</f>
        <v/>
      </c>
      <c r="R194" s="778" t="str">
        <f>IF(Inventory!R197="","",Inventory!R197)</f>
        <v/>
      </c>
      <c r="S194" s="778" t="str">
        <f>IF(Inventory!S197="","",Inventory!S197)</f>
        <v/>
      </c>
      <c r="T194" s="767" t="str">
        <f>IF(Inventory!T197="","",Inventory!T197)</f>
        <v/>
      </c>
      <c r="U194" s="778" t="str">
        <f>IF(Inventory!U197="","",Inventory!U197)</f>
        <v/>
      </c>
      <c r="V194" s="751" t="str">
        <f>IF(Inventory!V197="","",Inventory!V197)</f>
        <v/>
      </c>
      <c r="W194" s="871"/>
    </row>
    <row r="195" spans="2:23" s="618" customFormat="1" ht="21.95" customHeight="1" x14ac:dyDescent="0.25">
      <c r="B195" s="431">
        <v>189</v>
      </c>
      <c r="C195" s="501" t="str">
        <f>IF(Inventory!C198="","",Inventory!C198)</f>
        <v/>
      </c>
      <c r="D195" s="502" t="str">
        <f>IF(Inventory!D198="","",Inventory!D198)</f>
        <v/>
      </c>
      <c r="E195" s="546" t="str">
        <f>IF(Inventory!E198="","",Inventory!E198)</f>
        <v/>
      </c>
      <c r="F195" s="547" t="str">
        <f>IF(Inventory!F198="","",Inventory!F198)</f>
        <v/>
      </c>
      <c r="G195" s="729" t="str">
        <f>IF(Inventory!G198="","",Inventory!G198)</f>
        <v/>
      </c>
      <c r="H195" s="729" t="str">
        <f>IF(Inventory!H198="","",Inventory!H198)</f>
        <v/>
      </c>
      <c r="I195" s="729" t="str">
        <f>IF(Inventory!I198="","",Inventory!I198)</f>
        <v/>
      </c>
      <c r="J195" s="729" t="str">
        <f>IF(Inventory!J198="","",Inventory!J198)</f>
        <v/>
      </c>
      <c r="K195" s="729" t="str">
        <f>IF(Inventory!K198="","",Inventory!K198)</f>
        <v/>
      </c>
      <c r="L195" s="729" t="str">
        <f>IF(Inventory!L198="","",Inventory!L198)</f>
        <v/>
      </c>
      <c r="M195" s="765" t="str">
        <f>IF(Inventory!M198="","",Inventory!M198)</f>
        <v/>
      </c>
      <c r="N195" s="758" t="str">
        <f>IF(Inventory!N198="","",Inventory!N198)</f>
        <v/>
      </c>
      <c r="O195" s="765" t="str">
        <f>IF(Inventory!O198="","",Inventory!O198)</f>
        <v/>
      </c>
      <c r="P195" s="758" t="str">
        <f>IF(Inventory!P198="","",Inventory!P198)</f>
        <v/>
      </c>
      <c r="Q195" s="521" t="str">
        <f>IF(Inventory!Q198="","",Inventory!Q198)</f>
        <v/>
      </c>
      <c r="R195" s="775" t="str">
        <f>IF(Inventory!R198="","",Inventory!R198)</f>
        <v/>
      </c>
      <c r="S195" s="775" t="str">
        <f>IF(Inventory!S198="","",Inventory!S198)</f>
        <v/>
      </c>
      <c r="T195" s="729" t="str">
        <f>IF(Inventory!T198="","",Inventory!T198)</f>
        <v/>
      </c>
      <c r="U195" s="775" t="str">
        <f>IF(Inventory!U198="","",Inventory!U198)</f>
        <v/>
      </c>
      <c r="V195" s="779" t="str">
        <f>IF(Inventory!V198="","",Inventory!V198)</f>
        <v/>
      </c>
      <c r="W195" s="866"/>
    </row>
    <row r="196" spans="2:23" s="618" customFormat="1" ht="21.95" customHeight="1" x14ac:dyDescent="0.25">
      <c r="B196" s="432">
        <v>190</v>
      </c>
      <c r="C196" s="499" t="str">
        <f>IF(Inventory!C199="","",Inventory!C199)</f>
        <v/>
      </c>
      <c r="D196" s="751" t="str">
        <f>IF(Inventory!D199="","",Inventory!D199)</f>
        <v/>
      </c>
      <c r="E196" s="541" t="str">
        <f>IF(Inventory!E199="","",Inventory!E199)</f>
        <v/>
      </c>
      <c r="F196" s="785" t="str">
        <f>IF(Inventory!F199="","",Inventory!F199)</f>
        <v/>
      </c>
      <c r="G196" s="728" t="str">
        <f>IF(Inventory!G199="","",Inventory!G199)</f>
        <v/>
      </c>
      <c r="H196" s="728" t="str">
        <f>IF(Inventory!H199="","",Inventory!H199)</f>
        <v/>
      </c>
      <c r="I196" s="728" t="str">
        <f>IF(Inventory!I199="","",Inventory!I199)</f>
        <v/>
      </c>
      <c r="J196" s="728" t="str">
        <f>IF(Inventory!J199="","",Inventory!J199)</f>
        <v/>
      </c>
      <c r="K196" s="728" t="str">
        <f>IF(Inventory!K199="","",Inventory!K199)</f>
        <v/>
      </c>
      <c r="L196" s="728" t="str">
        <f>IF(Inventory!L199="","",Inventory!L199)</f>
        <v/>
      </c>
      <c r="M196" s="764" t="str">
        <f>IF(Inventory!M199="","",Inventory!M199)</f>
        <v/>
      </c>
      <c r="N196" s="728" t="str">
        <f>IF(Inventory!N199="","",Inventory!N199)</f>
        <v/>
      </c>
      <c r="O196" s="764" t="str">
        <f>IF(Inventory!O199="","",Inventory!O199)</f>
        <v/>
      </c>
      <c r="P196" s="728" t="str">
        <f>IF(Inventory!P199="","",Inventory!P199)</f>
        <v/>
      </c>
      <c r="Q196" s="520" t="str">
        <f>IF(Inventory!Q199="","",Inventory!Q199)</f>
        <v/>
      </c>
      <c r="R196" s="778" t="str">
        <f>IF(Inventory!R199="","",Inventory!R199)</f>
        <v/>
      </c>
      <c r="S196" s="778" t="str">
        <f>IF(Inventory!S199="","",Inventory!S199)</f>
        <v/>
      </c>
      <c r="T196" s="767" t="str">
        <f>IF(Inventory!T199="","",Inventory!T199)</f>
        <v/>
      </c>
      <c r="U196" s="778" t="str">
        <f>IF(Inventory!U199="","",Inventory!U199)</f>
        <v/>
      </c>
      <c r="V196" s="751" t="str">
        <f>IF(Inventory!V199="","",Inventory!V199)</f>
        <v/>
      </c>
      <c r="W196" s="871"/>
    </row>
    <row r="197" spans="2:23" s="618" customFormat="1" ht="21.95" customHeight="1" x14ac:dyDescent="0.25">
      <c r="B197" s="431">
        <v>191</v>
      </c>
      <c r="C197" s="501" t="str">
        <f>IF(Inventory!C200="","",Inventory!C200)</f>
        <v/>
      </c>
      <c r="D197" s="502" t="str">
        <f>IF(Inventory!D200="","",Inventory!D200)</f>
        <v/>
      </c>
      <c r="E197" s="546" t="str">
        <f>IF(Inventory!E200="","",Inventory!E200)</f>
        <v/>
      </c>
      <c r="F197" s="547" t="str">
        <f>IF(Inventory!F200="","",Inventory!F200)</f>
        <v/>
      </c>
      <c r="G197" s="729" t="str">
        <f>IF(Inventory!G200="","",Inventory!G200)</f>
        <v/>
      </c>
      <c r="H197" s="729" t="str">
        <f>IF(Inventory!H200="","",Inventory!H200)</f>
        <v/>
      </c>
      <c r="I197" s="729" t="str">
        <f>IF(Inventory!I200="","",Inventory!I200)</f>
        <v/>
      </c>
      <c r="J197" s="729" t="str">
        <f>IF(Inventory!J200="","",Inventory!J200)</f>
        <v/>
      </c>
      <c r="K197" s="729" t="str">
        <f>IF(Inventory!K200="","",Inventory!K200)</f>
        <v/>
      </c>
      <c r="L197" s="729" t="str">
        <f>IF(Inventory!L200="","",Inventory!L200)</f>
        <v/>
      </c>
      <c r="M197" s="765" t="str">
        <f>IF(Inventory!M200="","",Inventory!M200)</f>
        <v/>
      </c>
      <c r="N197" s="758" t="str">
        <f>IF(Inventory!N200="","",Inventory!N200)</f>
        <v/>
      </c>
      <c r="O197" s="765" t="str">
        <f>IF(Inventory!O200="","",Inventory!O200)</f>
        <v/>
      </c>
      <c r="P197" s="758" t="str">
        <f>IF(Inventory!P200="","",Inventory!P200)</f>
        <v/>
      </c>
      <c r="Q197" s="521" t="str">
        <f>IF(Inventory!Q200="","",Inventory!Q200)</f>
        <v/>
      </c>
      <c r="R197" s="775" t="str">
        <f>IF(Inventory!R200="","",Inventory!R200)</f>
        <v/>
      </c>
      <c r="S197" s="775" t="str">
        <f>IF(Inventory!S200="","",Inventory!S200)</f>
        <v/>
      </c>
      <c r="T197" s="729" t="str">
        <f>IF(Inventory!T200="","",Inventory!T200)</f>
        <v/>
      </c>
      <c r="U197" s="775" t="str">
        <f>IF(Inventory!U200="","",Inventory!U200)</f>
        <v/>
      </c>
      <c r="V197" s="779" t="str">
        <f>IF(Inventory!V200="","",Inventory!V200)</f>
        <v/>
      </c>
      <c r="W197" s="866"/>
    </row>
    <row r="198" spans="2:23" s="618" customFormat="1" ht="21.95" customHeight="1" x14ac:dyDescent="0.25">
      <c r="B198" s="432">
        <v>192</v>
      </c>
      <c r="C198" s="499" t="str">
        <f>IF(Inventory!C201="","",Inventory!C201)</f>
        <v/>
      </c>
      <c r="D198" s="751" t="str">
        <f>IF(Inventory!D201="","",Inventory!D201)</f>
        <v/>
      </c>
      <c r="E198" s="541" t="str">
        <f>IF(Inventory!E201="","",Inventory!E201)</f>
        <v/>
      </c>
      <c r="F198" s="785" t="str">
        <f>IF(Inventory!F201="","",Inventory!F201)</f>
        <v/>
      </c>
      <c r="G198" s="728" t="str">
        <f>IF(Inventory!G201="","",Inventory!G201)</f>
        <v/>
      </c>
      <c r="H198" s="728" t="str">
        <f>IF(Inventory!H201="","",Inventory!H201)</f>
        <v/>
      </c>
      <c r="I198" s="728" t="str">
        <f>IF(Inventory!I201="","",Inventory!I201)</f>
        <v/>
      </c>
      <c r="J198" s="728" t="str">
        <f>IF(Inventory!J201="","",Inventory!J201)</f>
        <v/>
      </c>
      <c r="K198" s="728" t="str">
        <f>IF(Inventory!K201="","",Inventory!K201)</f>
        <v/>
      </c>
      <c r="L198" s="728" t="str">
        <f>IF(Inventory!L201="","",Inventory!L201)</f>
        <v/>
      </c>
      <c r="M198" s="764" t="str">
        <f>IF(Inventory!M201="","",Inventory!M201)</f>
        <v/>
      </c>
      <c r="N198" s="728" t="str">
        <f>IF(Inventory!N201="","",Inventory!N201)</f>
        <v/>
      </c>
      <c r="O198" s="764" t="str">
        <f>IF(Inventory!O201="","",Inventory!O201)</f>
        <v/>
      </c>
      <c r="P198" s="728" t="str">
        <f>IF(Inventory!P201="","",Inventory!P201)</f>
        <v/>
      </c>
      <c r="Q198" s="520" t="str">
        <f>IF(Inventory!Q201="","",Inventory!Q201)</f>
        <v/>
      </c>
      <c r="R198" s="778" t="str">
        <f>IF(Inventory!R201="","",Inventory!R201)</f>
        <v/>
      </c>
      <c r="S198" s="778" t="str">
        <f>IF(Inventory!S201="","",Inventory!S201)</f>
        <v/>
      </c>
      <c r="T198" s="767" t="str">
        <f>IF(Inventory!T201="","",Inventory!T201)</f>
        <v/>
      </c>
      <c r="U198" s="778" t="str">
        <f>IF(Inventory!U201="","",Inventory!U201)</f>
        <v/>
      </c>
      <c r="V198" s="751" t="str">
        <f>IF(Inventory!V201="","",Inventory!V201)</f>
        <v/>
      </c>
      <c r="W198" s="871"/>
    </row>
    <row r="199" spans="2:23" s="618" customFormat="1" ht="21.95" customHeight="1" x14ac:dyDescent="0.25">
      <c r="B199" s="431">
        <v>193</v>
      </c>
      <c r="C199" s="501" t="str">
        <f>IF(Inventory!C202="","",Inventory!C202)</f>
        <v/>
      </c>
      <c r="D199" s="502" t="str">
        <f>IF(Inventory!D202="","",Inventory!D202)</f>
        <v/>
      </c>
      <c r="E199" s="546" t="str">
        <f>IF(Inventory!E202="","",Inventory!E202)</f>
        <v/>
      </c>
      <c r="F199" s="547" t="str">
        <f>IF(Inventory!F202="","",Inventory!F202)</f>
        <v/>
      </c>
      <c r="G199" s="729" t="str">
        <f>IF(Inventory!G202="","",Inventory!G202)</f>
        <v/>
      </c>
      <c r="H199" s="729" t="str">
        <f>IF(Inventory!H202="","",Inventory!H202)</f>
        <v/>
      </c>
      <c r="I199" s="729" t="str">
        <f>IF(Inventory!I202="","",Inventory!I202)</f>
        <v/>
      </c>
      <c r="J199" s="729" t="str">
        <f>IF(Inventory!J202="","",Inventory!J202)</f>
        <v/>
      </c>
      <c r="K199" s="729" t="str">
        <f>IF(Inventory!K202="","",Inventory!K202)</f>
        <v/>
      </c>
      <c r="L199" s="729" t="str">
        <f>IF(Inventory!L202="","",Inventory!L202)</f>
        <v/>
      </c>
      <c r="M199" s="765" t="str">
        <f>IF(Inventory!M202="","",Inventory!M202)</f>
        <v/>
      </c>
      <c r="N199" s="758" t="str">
        <f>IF(Inventory!N202="","",Inventory!N202)</f>
        <v/>
      </c>
      <c r="O199" s="765" t="str">
        <f>IF(Inventory!O202="","",Inventory!O202)</f>
        <v/>
      </c>
      <c r="P199" s="758" t="str">
        <f>IF(Inventory!P202="","",Inventory!P202)</f>
        <v/>
      </c>
      <c r="Q199" s="521" t="str">
        <f>IF(Inventory!Q202="","",Inventory!Q202)</f>
        <v/>
      </c>
      <c r="R199" s="775" t="str">
        <f>IF(Inventory!R202="","",Inventory!R202)</f>
        <v/>
      </c>
      <c r="S199" s="775" t="str">
        <f>IF(Inventory!S202="","",Inventory!S202)</f>
        <v/>
      </c>
      <c r="T199" s="729" t="str">
        <f>IF(Inventory!T202="","",Inventory!T202)</f>
        <v/>
      </c>
      <c r="U199" s="775" t="str">
        <f>IF(Inventory!U202="","",Inventory!U202)</f>
        <v/>
      </c>
      <c r="V199" s="779" t="str">
        <f>IF(Inventory!V202="","",Inventory!V202)</f>
        <v/>
      </c>
      <c r="W199" s="866"/>
    </row>
    <row r="200" spans="2:23" s="618" customFormat="1" ht="21.95" customHeight="1" x14ac:dyDescent="0.25">
      <c r="B200" s="432">
        <v>194</v>
      </c>
      <c r="C200" s="499" t="str">
        <f>IF(Inventory!C203="","",Inventory!C203)</f>
        <v/>
      </c>
      <c r="D200" s="751" t="str">
        <f>IF(Inventory!D203="","",Inventory!D203)</f>
        <v/>
      </c>
      <c r="E200" s="541" t="str">
        <f>IF(Inventory!E203="","",Inventory!E203)</f>
        <v/>
      </c>
      <c r="F200" s="785" t="str">
        <f>IF(Inventory!F203="","",Inventory!F203)</f>
        <v/>
      </c>
      <c r="G200" s="728" t="str">
        <f>IF(Inventory!G203="","",Inventory!G203)</f>
        <v/>
      </c>
      <c r="H200" s="728" t="str">
        <f>IF(Inventory!H203="","",Inventory!H203)</f>
        <v/>
      </c>
      <c r="I200" s="728" t="str">
        <f>IF(Inventory!I203="","",Inventory!I203)</f>
        <v/>
      </c>
      <c r="J200" s="728" t="str">
        <f>IF(Inventory!J203="","",Inventory!J203)</f>
        <v/>
      </c>
      <c r="K200" s="728" t="str">
        <f>IF(Inventory!K203="","",Inventory!K203)</f>
        <v/>
      </c>
      <c r="L200" s="728" t="str">
        <f>IF(Inventory!L203="","",Inventory!L203)</f>
        <v/>
      </c>
      <c r="M200" s="764" t="str">
        <f>IF(Inventory!M203="","",Inventory!M203)</f>
        <v/>
      </c>
      <c r="N200" s="728" t="str">
        <f>IF(Inventory!N203="","",Inventory!N203)</f>
        <v/>
      </c>
      <c r="O200" s="764" t="str">
        <f>IF(Inventory!O203="","",Inventory!O203)</f>
        <v/>
      </c>
      <c r="P200" s="728" t="str">
        <f>IF(Inventory!P203="","",Inventory!P203)</f>
        <v/>
      </c>
      <c r="Q200" s="520" t="str">
        <f>IF(Inventory!Q203="","",Inventory!Q203)</f>
        <v/>
      </c>
      <c r="R200" s="778" t="str">
        <f>IF(Inventory!R203="","",Inventory!R203)</f>
        <v/>
      </c>
      <c r="S200" s="778" t="str">
        <f>IF(Inventory!S203="","",Inventory!S203)</f>
        <v/>
      </c>
      <c r="T200" s="767" t="str">
        <f>IF(Inventory!T203="","",Inventory!T203)</f>
        <v/>
      </c>
      <c r="U200" s="778" t="str">
        <f>IF(Inventory!U203="","",Inventory!U203)</f>
        <v/>
      </c>
      <c r="V200" s="751" t="str">
        <f>IF(Inventory!V203="","",Inventory!V203)</f>
        <v/>
      </c>
      <c r="W200" s="871"/>
    </row>
    <row r="201" spans="2:23" s="618" customFormat="1" ht="21.95" customHeight="1" x14ac:dyDescent="0.25">
      <c r="B201" s="431">
        <v>195</v>
      </c>
      <c r="C201" s="501" t="str">
        <f>IF(Inventory!C204="","",Inventory!C204)</f>
        <v/>
      </c>
      <c r="D201" s="502" t="str">
        <f>IF(Inventory!D204="","",Inventory!D204)</f>
        <v/>
      </c>
      <c r="E201" s="546" t="str">
        <f>IF(Inventory!E204="","",Inventory!E204)</f>
        <v/>
      </c>
      <c r="F201" s="547" t="str">
        <f>IF(Inventory!F204="","",Inventory!F204)</f>
        <v/>
      </c>
      <c r="G201" s="729" t="str">
        <f>IF(Inventory!G204="","",Inventory!G204)</f>
        <v/>
      </c>
      <c r="H201" s="729" t="str">
        <f>IF(Inventory!H204="","",Inventory!H204)</f>
        <v/>
      </c>
      <c r="I201" s="729" t="str">
        <f>IF(Inventory!I204="","",Inventory!I204)</f>
        <v/>
      </c>
      <c r="J201" s="729" t="str">
        <f>IF(Inventory!J204="","",Inventory!J204)</f>
        <v/>
      </c>
      <c r="K201" s="729" t="str">
        <f>IF(Inventory!K204="","",Inventory!K204)</f>
        <v/>
      </c>
      <c r="L201" s="729" t="str">
        <f>IF(Inventory!L204="","",Inventory!L204)</f>
        <v/>
      </c>
      <c r="M201" s="765" t="str">
        <f>IF(Inventory!M204="","",Inventory!M204)</f>
        <v/>
      </c>
      <c r="N201" s="758" t="str">
        <f>IF(Inventory!N204="","",Inventory!N204)</f>
        <v/>
      </c>
      <c r="O201" s="765" t="str">
        <f>IF(Inventory!O204="","",Inventory!O204)</f>
        <v/>
      </c>
      <c r="P201" s="758" t="str">
        <f>IF(Inventory!P204="","",Inventory!P204)</f>
        <v/>
      </c>
      <c r="Q201" s="521" t="str">
        <f>IF(Inventory!Q204="","",Inventory!Q204)</f>
        <v/>
      </c>
      <c r="R201" s="775" t="str">
        <f>IF(Inventory!R204="","",Inventory!R204)</f>
        <v/>
      </c>
      <c r="S201" s="775" t="str">
        <f>IF(Inventory!S204="","",Inventory!S204)</f>
        <v/>
      </c>
      <c r="T201" s="729" t="str">
        <f>IF(Inventory!T204="","",Inventory!T204)</f>
        <v/>
      </c>
      <c r="U201" s="775" t="str">
        <f>IF(Inventory!U204="","",Inventory!U204)</f>
        <v/>
      </c>
      <c r="V201" s="779" t="str">
        <f>IF(Inventory!V204="","",Inventory!V204)</f>
        <v/>
      </c>
      <c r="W201" s="866"/>
    </row>
    <row r="202" spans="2:23" s="618" customFormat="1" ht="21.95" customHeight="1" x14ac:dyDescent="0.25">
      <c r="B202" s="432">
        <v>196</v>
      </c>
      <c r="C202" s="499" t="str">
        <f>IF(Inventory!C205="","",Inventory!C205)</f>
        <v/>
      </c>
      <c r="D202" s="751" t="str">
        <f>IF(Inventory!D205="","",Inventory!D205)</f>
        <v/>
      </c>
      <c r="E202" s="541" t="str">
        <f>IF(Inventory!E205="","",Inventory!E205)</f>
        <v/>
      </c>
      <c r="F202" s="785" t="str">
        <f>IF(Inventory!F205="","",Inventory!F205)</f>
        <v/>
      </c>
      <c r="G202" s="728" t="str">
        <f>IF(Inventory!G205="","",Inventory!G205)</f>
        <v/>
      </c>
      <c r="H202" s="728" t="str">
        <f>IF(Inventory!H205="","",Inventory!H205)</f>
        <v/>
      </c>
      <c r="I202" s="728" t="str">
        <f>IF(Inventory!I205="","",Inventory!I205)</f>
        <v/>
      </c>
      <c r="J202" s="728" t="str">
        <f>IF(Inventory!J205="","",Inventory!J205)</f>
        <v/>
      </c>
      <c r="K202" s="728" t="str">
        <f>IF(Inventory!K205="","",Inventory!K205)</f>
        <v/>
      </c>
      <c r="L202" s="728" t="str">
        <f>IF(Inventory!L205="","",Inventory!L205)</f>
        <v/>
      </c>
      <c r="M202" s="764" t="str">
        <f>IF(Inventory!M205="","",Inventory!M205)</f>
        <v/>
      </c>
      <c r="N202" s="728" t="str">
        <f>IF(Inventory!N205="","",Inventory!N205)</f>
        <v/>
      </c>
      <c r="O202" s="764" t="str">
        <f>IF(Inventory!O205="","",Inventory!O205)</f>
        <v/>
      </c>
      <c r="P202" s="728" t="str">
        <f>IF(Inventory!P205="","",Inventory!P205)</f>
        <v/>
      </c>
      <c r="Q202" s="520" t="str">
        <f>IF(Inventory!Q205="","",Inventory!Q205)</f>
        <v/>
      </c>
      <c r="R202" s="778" t="str">
        <f>IF(Inventory!R205="","",Inventory!R205)</f>
        <v/>
      </c>
      <c r="S202" s="778" t="str">
        <f>IF(Inventory!S205="","",Inventory!S205)</f>
        <v/>
      </c>
      <c r="T202" s="767" t="str">
        <f>IF(Inventory!T205="","",Inventory!T205)</f>
        <v/>
      </c>
      <c r="U202" s="778" t="str">
        <f>IF(Inventory!U205="","",Inventory!U205)</f>
        <v/>
      </c>
      <c r="V202" s="751" t="str">
        <f>IF(Inventory!V205="","",Inventory!V205)</f>
        <v/>
      </c>
      <c r="W202" s="871"/>
    </row>
    <row r="203" spans="2:23" s="618" customFormat="1" ht="21.95" customHeight="1" x14ac:dyDescent="0.25">
      <c r="B203" s="431">
        <v>197</v>
      </c>
      <c r="C203" s="501" t="str">
        <f>IF(Inventory!C206="","",Inventory!C206)</f>
        <v/>
      </c>
      <c r="D203" s="502" t="str">
        <f>IF(Inventory!D206="","",Inventory!D206)</f>
        <v/>
      </c>
      <c r="E203" s="546" t="str">
        <f>IF(Inventory!E206="","",Inventory!E206)</f>
        <v/>
      </c>
      <c r="F203" s="547" t="str">
        <f>IF(Inventory!F206="","",Inventory!F206)</f>
        <v/>
      </c>
      <c r="G203" s="729" t="str">
        <f>IF(Inventory!G206="","",Inventory!G206)</f>
        <v/>
      </c>
      <c r="H203" s="729" t="str">
        <f>IF(Inventory!H206="","",Inventory!H206)</f>
        <v/>
      </c>
      <c r="I203" s="729" t="str">
        <f>IF(Inventory!I206="","",Inventory!I206)</f>
        <v/>
      </c>
      <c r="J203" s="729" t="str">
        <f>IF(Inventory!J206="","",Inventory!J206)</f>
        <v/>
      </c>
      <c r="K203" s="729" t="str">
        <f>IF(Inventory!K206="","",Inventory!K206)</f>
        <v/>
      </c>
      <c r="L203" s="729" t="str">
        <f>IF(Inventory!L206="","",Inventory!L206)</f>
        <v/>
      </c>
      <c r="M203" s="765" t="str">
        <f>IF(Inventory!M206="","",Inventory!M206)</f>
        <v/>
      </c>
      <c r="N203" s="758" t="str">
        <f>IF(Inventory!N206="","",Inventory!N206)</f>
        <v/>
      </c>
      <c r="O203" s="765" t="str">
        <f>IF(Inventory!O206="","",Inventory!O206)</f>
        <v/>
      </c>
      <c r="P203" s="758" t="str">
        <f>IF(Inventory!P206="","",Inventory!P206)</f>
        <v/>
      </c>
      <c r="Q203" s="521" t="str">
        <f>IF(Inventory!Q206="","",Inventory!Q206)</f>
        <v/>
      </c>
      <c r="R203" s="775" t="str">
        <f>IF(Inventory!R206="","",Inventory!R206)</f>
        <v/>
      </c>
      <c r="S203" s="775" t="str">
        <f>IF(Inventory!S206="","",Inventory!S206)</f>
        <v/>
      </c>
      <c r="T203" s="729" t="str">
        <f>IF(Inventory!T206="","",Inventory!T206)</f>
        <v/>
      </c>
      <c r="U203" s="775" t="str">
        <f>IF(Inventory!U206="","",Inventory!U206)</f>
        <v/>
      </c>
      <c r="V203" s="779" t="str">
        <f>IF(Inventory!V206="","",Inventory!V206)</f>
        <v/>
      </c>
      <c r="W203" s="866"/>
    </row>
    <row r="204" spans="2:23" s="618" customFormat="1" ht="21.95" customHeight="1" x14ac:dyDescent="0.25">
      <c r="B204" s="432">
        <v>198</v>
      </c>
      <c r="C204" s="499" t="str">
        <f>IF(Inventory!C207="","",Inventory!C207)</f>
        <v/>
      </c>
      <c r="D204" s="751" t="str">
        <f>IF(Inventory!D207="","",Inventory!D207)</f>
        <v/>
      </c>
      <c r="E204" s="541" t="str">
        <f>IF(Inventory!E207="","",Inventory!E207)</f>
        <v/>
      </c>
      <c r="F204" s="785" t="str">
        <f>IF(Inventory!F207="","",Inventory!F207)</f>
        <v/>
      </c>
      <c r="G204" s="728" t="str">
        <f>IF(Inventory!G207="","",Inventory!G207)</f>
        <v/>
      </c>
      <c r="H204" s="728" t="str">
        <f>IF(Inventory!H207="","",Inventory!H207)</f>
        <v/>
      </c>
      <c r="I204" s="728" t="str">
        <f>IF(Inventory!I207="","",Inventory!I207)</f>
        <v/>
      </c>
      <c r="J204" s="728" t="str">
        <f>IF(Inventory!J207="","",Inventory!J207)</f>
        <v/>
      </c>
      <c r="K204" s="728" t="str">
        <f>IF(Inventory!K207="","",Inventory!K207)</f>
        <v/>
      </c>
      <c r="L204" s="728" t="str">
        <f>IF(Inventory!L207="","",Inventory!L207)</f>
        <v/>
      </c>
      <c r="M204" s="764" t="str">
        <f>IF(Inventory!M207="","",Inventory!M207)</f>
        <v/>
      </c>
      <c r="N204" s="728" t="str">
        <f>IF(Inventory!N207="","",Inventory!N207)</f>
        <v/>
      </c>
      <c r="O204" s="764" t="str">
        <f>IF(Inventory!O207="","",Inventory!O207)</f>
        <v/>
      </c>
      <c r="P204" s="728" t="str">
        <f>IF(Inventory!P207="","",Inventory!P207)</f>
        <v/>
      </c>
      <c r="Q204" s="520" t="str">
        <f>IF(Inventory!Q207="","",Inventory!Q207)</f>
        <v/>
      </c>
      <c r="R204" s="778" t="str">
        <f>IF(Inventory!R207="","",Inventory!R207)</f>
        <v/>
      </c>
      <c r="S204" s="778" t="str">
        <f>IF(Inventory!S207="","",Inventory!S207)</f>
        <v/>
      </c>
      <c r="T204" s="767" t="str">
        <f>IF(Inventory!T207="","",Inventory!T207)</f>
        <v/>
      </c>
      <c r="U204" s="778" t="str">
        <f>IF(Inventory!U207="","",Inventory!U207)</f>
        <v/>
      </c>
      <c r="V204" s="751" t="str">
        <f>IF(Inventory!V207="","",Inventory!V207)</f>
        <v/>
      </c>
      <c r="W204" s="871"/>
    </row>
    <row r="205" spans="2:23" s="618" customFormat="1" ht="21.95" customHeight="1" x14ac:dyDescent="0.25">
      <c r="B205" s="431">
        <v>199</v>
      </c>
      <c r="C205" s="501" t="str">
        <f>IF(Inventory!C208="","",Inventory!C208)</f>
        <v/>
      </c>
      <c r="D205" s="502" t="str">
        <f>IF(Inventory!D208="","",Inventory!D208)</f>
        <v/>
      </c>
      <c r="E205" s="546" t="str">
        <f>IF(Inventory!E208="","",Inventory!E208)</f>
        <v/>
      </c>
      <c r="F205" s="547" t="str">
        <f>IF(Inventory!F208="","",Inventory!F208)</f>
        <v/>
      </c>
      <c r="G205" s="729" t="str">
        <f>IF(Inventory!G208="","",Inventory!G208)</f>
        <v/>
      </c>
      <c r="H205" s="729" t="str">
        <f>IF(Inventory!H208="","",Inventory!H208)</f>
        <v/>
      </c>
      <c r="I205" s="729" t="str">
        <f>IF(Inventory!I208="","",Inventory!I208)</f>
        <v/>
      </c>
      <c r="J205" s="729" t="str">
        <f>IF(Inventory!J208="","",Inventory!J208)</f>
        <v/>
      </c>
      <c r="K205" s="729" t="str">
        <f>IF(Inventory!K208="","",Inventory!K208)</f>
        <v/>
      </c>
      <c r="L205" s="729" t="str">
        <f>IF(Inventory!L208="","",Inventory!L208)</f>
        <v/>
      </c>
      <c r="M205" s="765" t="str">
        <f>IF(Inventory!M208="","",Inventory!M208)</f>
        <v/>
      </c>
      <c r="N205" s="758" t="str">
        <f>IF(Inventory!N208="","",Inventory!N208)</f>
        <v/>
      </c>
      <c r="O205" s="765" t="str">
        <f>IF(Inventory!O208="","",Inventory!O208)</f>
        <v/>
      </c>
      <c r="P205" s="758" t="str">
        <f>IF(Inventory!P208="","",Inventory!P208)</f>
        <v/>
      </c>
      <c r="Q205" s="521" t="str">
        <f>IF(Inventory!Q208="","",Inventory!Q208)</f>
        <v/>
      </c>
      <c r="R205" s="775" t="str">
        <f>IF(Inventory!R208="","",Inventory!R208)</f>
        <v/>
      </c>
      <c r="S205" s="775" t="str">
        <f>IF(Inventory!S208="","",Inventory!S208)</f>
        <v/>
      </c>
      <c r="T205" s="729" t="str">
        <f>IF(Inventory!T208="","",Inventory!T208)</f>
        <v/>
      </c>
      <c r="U205" s="775" t="str">
        <f>IF(Inventory!U208="","",Inventory!U208)</f>
        <v/>
      </c>
      <c r="V205" s="779" t="str">
        <f>IF(Inventory!V208="","",Inventory!V208)</f>
        <v/>
      </c>
      <c r="W205" s="866"/>
    </row>
    <row r="206" spans="2:23" s="618" customFormat="1" ht="21.95" customHeight="1" x14ac:dyDescent="0.25">
      <c r="B206" s="432">
        <v>200</v>
      </c>
      <c r="C206" s="499" t="str">
        <f>IF(Inventory!C209="","",Inventory!C209)</f>
        <v/>
      </c>
      <c r="D206" s="751" t="str">
        <f>IF(Inventory!D209="","",Inventory!D209)</f>
        <v/>
      </c>
      <c r="E206" s="541" t="str">
        <f>IF(Inventory!E209="","",Inventory!E209)</f>
        <v/>
      </c>
      <c r="F206" s="785" t="str">
        <f>IF(Inventory!F209="","",Inventory!F209)</f>
        <v/>
      </c>
      <c r="G206" s="728" t="str">
        <f>IF(Inventory!G209="","",Inventory!G209)</f>
        <v/>
      </c>
      <c r="H206" s="728" t="str">
        <f>IF(Inventory!H209="","",Inventory!H209)</f>
        <v/>
      </c>
      <c r="I206" s="728" t="str">
        <f>IF(Inventory!I209="","",Inventory!I209)</f>
        <v/>
      </c>
      <c r="J206" s="728" t="str">
        <f>IF(Inventory!J209="","",Inventory!J209)</f>
        <v/>
      </c>
      <c r="K206" s="728" t="str">
        <f>IF(Inventory!K209="","",Inventory!K209)</f>
        <v/>
      </c>
      <c r="L206" s="728" t="str">
        <f>IF(Inventory!L209="","",Inventory!L209)</f>
        <v/>
      </c>
      <c r="M206" s="764" t="str">
        <f>IF(Inventory!M209="","",Inventory!M209)</f>
        <v/>
      </c>
      <c r="N206" s="728" t="str">
        <f>IF(Inventory!N209="","",Inventory!N209)</f>
        <v/>
      </c>
      <c r="O206" s="764" t="str">
        <f>IF(Inventory!O209="","",Inventory!O209)</f>
        <v/>
      </c>
      <c r="P206" s="728" t="str">
        <f>IF(Inventory!P209="","",Inventory!P209)</f>
        <v/>
      </c>
      <c r="Q206" s="520" t="str">
        <f>IF(Inventory!Q209="","",Inventory!Q209)</f>
        <v/>
      </c>
      <c r="R206" s="778" t="str">
        <f>IF(Inventory!R209="","",Inventory!R209)</f>
        <v/>
      </c>
      <c r="S206" s="778" t="str">
        <f>IF(Inventory!S209="","",Inventory!S209)</f>
        <v/>
      </c>
      <c r="T206" s="767" t="str">
        <f>IF(Inventory!T209="","",Inventory!T209)</f>
        <v/>
      </c>
      <c r="U206" s="778" t="str">
        <f>IF(Inventory!U209="","",Inventory!U209)</f>
        <v/>
      </c>
      <c r="V206" s="751" t="str">
        <f>IF(Inventory!V209="","",Inventory!V209)</f>
        <v/>
      </c>
      <c r="W206" s="871"/>
    </row>
    <row r="207" spans="2:23" s="618" customFormat="1" ht="21.95" customHeight="1" x14ac:dyDescent="0.25">
      <c r="B207" s="431">
        <v>201</v>
      </c>
      <c r="C207" s="501" t="str">
        <f>IF(Inventory!C210="","",Inventory!C210)</f>
        <v/>
      </c>
      <c r="D207" s="502" t="str">
        <f>IF(Inventory!D210="","",Inventory!D210)</f>
        <v/>
      </c>
      <c r="E207" s="546" t="str">
        <f>IF(Inventory!E210="","",Inventory!E210)</f>
        <v/>
      </c>
      <c r="F207" s="547" t="str">
        <f>IF(Inventory!F210="","",Inventory!F210)</f>
        <v/>
      </c>
      <c r="G207" s="729" t="str">
        <f>IF(Inventory!G210="","",Inventory!G210)</f>
        <v/>
      </c>
      <c r="H207" s="729" t="str">
        <f>IF(Inventory!H210="","",Inventory!H210)</f>
        <v/>
      </c>
      <c r="I207" s="729" t="str">
        <f>IF(Inventory!I210="","",Inventory!I210)</f>
        <v/>
      </c>
      <c r="J207" s="729" t="str">
        <f>IF(Inventory!J210="","",Inventory!J210)</f>
        <v/>
      </c>
      <c r="K207" s="729" t="str">
        <f>IF(Inventory!K210="","",Inventory!K210)</f>
        <v/>
      </c>
      <c r="L207" s="729" t="str">
        <f>IF(Inventory!L210="","",Inventory!L210)</f>
        <v/>
      </c>
      <c r="M207" s="765" t="str">
        <f>IF(Inventory!M210="","",Inventory!M210)</f>
        <v/>
      </c>
      <c r="N207" s="758" t="str">
        <f>IF(Inventory!N210="","",Inventory!N210)</f>
        <v/>
      </c>
      <c r="O207" s="765" t="str">
        <f>IF(Inventory!O210="","",Inventory!O210)</f>
        <v/>
      </c>
      <c r="P207" s="758" t="str">
        <f>IF(Inventory!P210="","",Inventory!P210)</f>
        <v/>
      </c>
      <c r="Q207" s="521" t="str">
        <f>IF(Inventory!Q210="","",Inventory!Q210)</f>
        <v/>
      </c>
      <c r="R207" s="775" t="str">
        <f>IF(Inventory!R210="","",Inventory!R210)</f>
        <v/>
      </c>
      <c r="S207" s="775" t="str">
        <f>IF(Inventory!S210="","",Inventory!S210)</f>
        <v/>
      </c>
      <c r="T207" s="729" t="str">
        <f>IF(Inventory!T210="","",Inventory!T210)</f>
        <v/>
      </c>
      <c r="U207" s="775" t="str">
        <f>IF(Inventory!U210="","",Inventory!U210)</f>
        <v/>
      </c>
      <c r="V207" s="779" t="str">
        <f>IF(Inventory!V210="","",Inventory!V210)</f>
        <v/>
      </c>
      <c r="W207" s="866"/>
    </row>
    <row r="208" spans="2:23" s="618" customFormat="1" ht="21.95" customHeight="1" x14ac:dyDescent="0.25">
      <c r="B208" s="432">
        <v>202</v>
      </c>
      <c r="C208" s="499" t="str">
        <f>IF(Inventory!C211="","",Inventory!C211)</f>
        <v/>
      </c>
      <c r="D208" s="751" t="str">
        <f>IF(Inventory!D211="","",Inventory!D211)</f>
        <v/>
      </c>
      <c r="E208" s="541" t="str">
        <f>IF(Inventory!E211="","",Inventory!E211)</f>
        <v/>
      </c>
      <c r="F208" s="785" t="str">
        <f>IF(Inventory!F211="","",Inventory!F211)</f>
        <v/>
      </c>
      <c r="G208" s="728" t="str">
        <f>IF(Inventory!G211="","",Inventory!G211)</f>
        <v/>
      </c>
      <c r="H208" s="728" t="str">
        <f>IF(Inventory!H211="","",Inventory!H211)</f>
        <v/>
      </c>
      <c r="I208" s="728" t="str">
        <f>IF(Inventory!I211="","",Inventory!I211)</f>
        <v/>
      </c>
      <c r="J208" s="728" t="str">
        <f>IF(Inventory!J211="","",Inventory!J211)</f>
        <v/>
      </c>
      <c r="K208" s="728" t="str">
        <f>IF(Inventory!K211="","",Inventory!K211)</f>
        <v/>
      </c>
      <c r="L208" s="728" t="str">
        <f>IF(Inventory!L211="","",Inventory!L211)</f>
        <v/>
      </c>
      <c r="M208" s="764" t="str">
        <f>IF(Inventory!M211="","",Inventory!M211)</f>
        <v/>
      </c>
      <c r="N208" s="728" t="str">
        <f>IF(Inventory!N211="","",Inventory!N211)</f>
        <v/>
      </c>
      <c r="O208" s="764" t="str">
        <f>IF(Inventory!O211="","",Inventory!O211)</f>
        <v/>
      </c>
      <c r="P208" s="728" t="str">
        <f>IF(Inventory!P211="","",Inventory!P211)</f>
        <v/>
      </c>
      <c r="Q208" s="520" t="str">
        <f>IF(Inventory!Q211="","",Inventory!Q211)</f>
        <v/>
      </c>
      <c r="R208" s="778" t="str">
        <f>IF(Inventory!R211="","",Inventory!R211)</f>
        <v/>
      </c>
      <c r="S208" s="778" t="str">
        <f>IF(Inventory!S211="","",Inventory!S211)</f>
        <v/>
      </c>
      <c r="T208" s="767" t="str">
        <f>IF(Inventory!T211="","",Inventory!T211)</f>
        <v/>
      </c>
      <c r="U208" s="778" t="str">
        <f>IF(Inventory!U211="","",Inventory!U211)</f>
        <v/>
      </c>
      <c r="V208" s="751" t="str">
        <f>IF(Inventory!V211="","",Inventory!V211)</f>
        <v/>
      </c>
      <c r="W208" s="871"/>
    </row>
    <row r="209" spans="2:23" s="618" customFormat="1" ht="21.95" customHeight="1" x14ac:dyDescent="0.25">
      <c r="B209" s="431">
        <v>203</v>
      </c>
      <c r="C209" s="501" t="str">
        <f>IF(Inventory!C212="","",Inventory!C212)</f>
        <v/>
      </c>
      <c r="D209" s="502" t="str">
        <f>IF(Inventory!D212="","",Inventory!D212)</f>
        <v/>
      </c>
      <c r="E209" s="546" t="str">
        <f>IF(Inventory!E212="","",Inventory!E212)</f>
        <v/>
      </c>
      <c r="F209" s="547" t="str">
        <f>IF(Inventory!F212="","",Inventory!F212)</f>
        <v/>
      </c>
      <c r="G209" s="729" t="str">
        <f>IF(Inventory!G212="","",Inventory!G212)</f>
        <v/>
      </c>
      <c r="H209" s="729" t="str">
        <f>IF(Inventory!H212="","",Inventory!H212)</f>
        <v/>
      </c>
      <c r="I209" s="729" t="str">
        <f>IF(Inventory!I212="","",Inventory!I212)</f>
        <v/>
      </c>
      <c r="J209" s="729" t="str">
        <f>IF(Inventory!J212="","",Inventory!J212)</f>
        <v/>
      </c>
      <c r="K209" s="729" t="str">
        <f>IF(Inventory!K212="","",Inventory!K212)</f>
        <v/>
      </c>
      <c r="L209" s="729" t="str">
        <f>IF(Inventory!L212="","",Inventory!L212)</f>
        <v/>
      </c>
      <c r="M209" s="765" t="str">
        <f>IF(Inventory!M212="","",Inventory!M212)</f>
        <v/>
      </c>
      <c r="N209" s="758" t="str">
        <f>IF(Inventory!N212="","",Inventory!N212)</f>
        <v/>
      </c>
      <c r="O209" s="765" t="str">
        <f>IF(Inventory!O212="","",Inventory!O212)</f>
        <v/>
      </c>
      <c r="P209" s="758" t="str">
        <f>IF(Inventory!P212="","",Inventory!P212)</f>
        <v/>
      </c>
      <c r="Q209" s="521" t="str">
        <f>IF(Inventory!Q212="","",Inventory!Q212)</f>
        <v/>
      </c>
      <c r="R209" s="775" t="str">
        <f>IF(Inventory!R212="","",Inventory!R212)</f>
        <v/>
      </c>
      <c r="S209" s="775" t="str">
        <f>IF(Inventory!S212="","",Inventory!S212)</f>
        <v/>
      </c>
      <c r="T209" s="729" t="str">
        <f>IF(Inventory!T212="","",Inventory!T212)</f>
        <v/>
      </c>
      <c r="U209" s="775" t="str">
        <f>IF(Inventory!U212="","",Inventory!U212)</f>
        <v/>
      </c>
      <c r="V209" s="779" t="str">
        <f>IF(Inventory!V212="","",Inventory!V212)</f>
        <v/>
      </c>
      <c r="W209" s="866"/>
    </row>
    <row r="210" spans="2:23" s="618" customFormat="1" ht="21.95" customHeight="1" x14ac:dyDescent="0.25">
      <c r="B210" s="432">
        <v>204</v>
      </c>
      <c r="C210" s="499" t="str">
        <f>IF(Inventory!C213="","",Inventory!C213)</f>
        <v/>
      </c>
      <c r="D210" s="751" t="str">
        <f>IF(Inventory!D213="","",Inventory!D213)</f>
        <v/>
      </c>
      <c r="E210" s="541" t="str">
        <f>IF(Inventory!E213="","",Inventory!E213)</f>
        <v/>
      </c>
      <c r="F210" s="785" t="str">
        <f>IF(Inventory!F213="","",Inventory!F213)</f>
        <v/>
      </c>
      <c r="G210" s="728" t="str">
        <f>IF(Inventory!G213="","",Inventory!G213)</f>
        <v/>
      </c>
      <c r="H210" s="728" t="str">
        <f>IF(Inventory!H213="","",Inventory!H213)</f>
        <v/>
      </c>
      <c r="I210" s="728" t="str">
        <f>IF(Inventory!I213="","",Inventory!I213)</f>
        <v/>
      </c>
      <c r="J210" s="728" t="str">
        <f>IF(Inventory!J213="","",Inventory!J213)</f>
        <v/>
      </c>
      <c r="K210" s="728" t="str">
        <f>IF(Inventory!K213="","",Inventory!K213)</f>
        <v/>
      </c>
      <c r="L210" s="728" t="str">
        <f>IF(Inventory!L213="","",Inventory!L213)</f>
        <v/>
      </c>
      <c r="M210" s="764" t="str">
        <f>IF(Inventory!M213="","",Inventory!M213)</f>
        <v/>
      </c>
      <c r="N210" s="728" t="str">
        <f>IF(Inventory!N213="","",Inventory!N213)</f>
        <v/>
      </c>
      <c r="O210" s="764" t="str">
        <f>IF(Inventory!O213="","",Inventory!O213)</f>
        <v/>
      </c>
      <c r="P210" s="728" t="str">
        <f>IF(Inventory!P213="","",Inventory!P213)</f>
        <v/>
      </c>
      <c r="Q210" s="520" t="str">
        <f>IF(Inventory!Q213="","",Inventory!Q213)</f>
        <v/>
      </c>
      <c r="R210" s="778" t="str">
        <f>IF(Inventory!R213="","",Inventory!R213)</f>
        <v/>
      </c>
      <c r="S210" s="778" t="str">
        <f>IF(Inventory!S213="","",Inventory!S213)</f>
        <v/>
      </c>
      <c r="T210" s="767" t="str">
        <f>IF(Inventory!T213="","",Inventory!T213)</f>
        <v/>
      </c>
      <c r="U210" s="778" t="str">
        <f>IF(Inventory!U213="","",Inventory!U213)</f>
        <v/>
      </c>
      <c r="V210" s="751" t="str">
        <f>IF(Inventory!V213="","",Inventory!V213)</f>
        <v/>
      </c>
      <c r="W210" s="871"/>
    </row>
    <row r="211" spans="2:23" s="618" customFormat="1" ht="21.95" customHeight="1" x14ac:dyDescent="0.25">
      <c r="B211" s="431">
        <v>205</v>
      </c>
      <c r="C211" s="501" t="str">
        <f>IF(Inventory!C214="","",Inventory!C214)</f>
        <v/>
      </c>
      <c r="D211" s="502" t="str">
        <f>IF(Inventory!D214="","",Inventory!D214)</f>
        <v/>
      </c>
      <c r="E211" s="546" t="str">
        <f>IF(Inventory!E214="","",Inventory!E214)</f>
        <v/>
      </c>
      <c r="F211" s="547" t="str">
        <f>IF(Inventory!F214="","",Inventory!F214)</f>
        <v/>
      </c>
      <c r="G211" s="729" t="str">
        <f>IF(Inventory!G214="","",Inventory!G214)</f>
        <v/>
      </c>
      <c r="H211" s="729" t="str">
        <f>IF(Inventory!H214="","",Inventory!H214)</f>
        <v/>
      </c>
      <c r="I211" s="729" t="str">
        <f>IF(Inventory!I214="","",Inventory!I214)</f>
        <v/>
      </c>
      <c r="J211" s="729" t="str">
        <f>IF(Inventory!J214="","",Inventory!J214)</f>
        <v/>
      </c>
      <c r="K211" s="729" t="str">
        <f>IF(Inventory!K214="","",Inventory!K214)</f>
        <v/>
      </c>
      <c r="L211" s="729" t="str">
        <f>IF(Inventory!L214="","",Inventory!L214)</f>
        <v/>
      </c>
      <c r="M211" s="765" t="str">
        <f>IF(Inventory!M214="","",Inventory!M214)</f>
        <v/>
      </c>
      <c r="N211" s="758" t="str">
        <f>IF(Inventory!N214="","",Inventory!N214)</f>
        <v/>
      </c>
      <c r="O211" s="765" t="str">
        <f>IF(Inventory!O214="","",Inventory!O214)</f>
        <v/>
      </c>
      <c r="P211" s="758" t="str">
        <f>IF(Inventory!P214="","",Inventory!P214)</f>
        <v/>
      </c>
      <c r="Q211" s="521" t="str">
        <f>IF(Inventory!Q214="","",Inventory!Q214)</f>
        <v/>
      </c>
      <c r="R211" s="775" t="str">
        <f>IF(Inventory!R214="","",Inventory!R214)</f>
        <v/>
      </c>
      <c r="S211" s="775" t="str">
        <f>IF(Inventory!S214="","",Inventory!S214)</f>
        <v/>
      </c>
      <c r="T211" s="729" t="str">
        <f>IF(Inventory!T214="","",Inventory!T214)</f>
        <v/>
      </c>
      <c r="U211" s="775" t="str">
        <f>IF(Inventory!U214="","",Inventory!U214)</f>
        <v/>
      </c>
      <c r="V211" s="779" t="str">
        <f>IF(Inventory!V214="","",Inventory!V214)</f>
        <v/>
      </c>
      <c r="W211" s="866"/>
    </row>
    <row r="212" spans="2:23" s="618" customFormat="1" ht="21.95" customHeight="1" x14ac:dyDescent="0.25">
      <c r="B212" s="432">
        <v>206</v>
      </c>
      <c r="C212" s="499" t="str">
        <f>IF(Inventory!C215="","",Inventory!C215)</f>
        <v/>
      </c>
      <c r="D212" s="751" t="str">
        <f>IF(Inventory!D215="","",Inventory!D215)</f>
        <v/>
      </c>
      <c r="E212" s="541" t="str">
        <f>IF(Inventory!E215="","",Inventory!E215)</f>
        <v/>
      </c>
      <c r="F212" s="785" t="str">
        <f>IF(Inventory!F215="","",Inventory!F215)</f>
        <v/>
      </c>
      <c r="G212" s="728" t="str">
        <f>IF(Inventory!G215="","",Inventory!G215)</f>
        <v/>
      </c>
      <c r="H212" s="728" t="str">
        <f>IF(Inventory!H215="","",Inventory!H215)</f>
        <v/>
      </c>
      <c r="I212" s="728" t="str">
        <f>IF(Inventory!I215="","",Inventory!I215)</f>
        <v/>
      </c>
      <c r="J212" s="728" t="str">
        <f>IF(Inventory!J215="","",Inventory!J215)</f>
        <v/>
      </c>
      <c r="K212" s="728" t="str">
        <f>IF(Inventory!K215="","",Inventory!K215)</f>
        <v/>
      </c>
      <c r="L212" s="728" t="str">
        <f>IF(Inventory!L215="","",Inventory!L215)</f>
        <v/>
      </c>
      <c r="M212" s="764" t="str">
        <f>IF(Inventory!M215="","",Inventory!M215)</f>
        <v/>
      </c>
      <c r="N212" s="728" t="str">
        <f>IF(Inventory!N215="","",Inventory!N215)</f>
        <v/>
      </c>
      <c r="O212" s="764" t="str">
        <f>IF(Inventory!O215="","",Inventory!O215)</f>
        <v/>
      </c>
      <c r="P212" s="728" t="str">
        <f>IF(Inventory!P215="","",Inventory!P215)</f>
        <v/>
      </c>
      <c r="Q212" s="520" t="str">
        <f>IF(Inventory!Q215="","",Inventory!Q215)</f>
        <v/>
      </c>
      <c r="R212" s="778" t="str">
        <f>IF(Inventory!R215="","",Inventory!R215)</f>
        <v/>
      </c>
      <c r="S212" s="778" t="str">
        <f>IF(Inventory!S215="","",Inventory!S215)</f>
        <v/>
      </c>
      <c r="T212" s="767" t="str">
        <f>IF(Inventory!T215="","",Inventory!T215)</f>
        <v/>
      </c>
      <c r="U212" s="778" t="str">
        <f>IF(Inventory!U215="","",Inventory!U215)</f>
        <v/>
      </c>
      <c r="V212" s="751" t="str">
        <f>IF(Inventory!V215="","",Inventory!V215)</f>
        <v/>
      </c>
      <c r="W212" s="871"/>
    </row>
    <row r="213" spans="2:23" s="618" customFormat="1" ht="21.95" customHeight="1" x14ac:dyDescent="0.25">
      <c r="B213" s="431">
        <v>207</v>
      </c>
      <c r="C213" s="501" t="str">
        <f>IF(Inventory!C216="","",Inventory!C216)</f>
        <v/>
      </c>
      <c r="D213" s="502" t="str">
        <f>IF(Inventory!D216="","",Inventory!D216)</f>
        <v/>
      </c>
      <c r="E213" s="546" t="str">
        <f>IF(Inventory!E216="","",Inventory!E216)</f>
        <v/>
      </c>
      <c r="F213" s="547" t="str">
        <f>IF(Inventory!F216="","",Inventory!F216)</f>
        <v/>
      </c>
      <c r="G213" s="729" t="str">
        <f>IF(Inventory!G216="","",Inventory!G216)</f>
        <v/>
      </c>
      <c r="H213" s="729" t="str">
        <f>IF(Inventory!H216="","",Inventory!H216)</f>
        <v/>
      </c>
      <c r="I213" s="729" t="str">
        <f>IF(Inventory!I216="","",Inventory!I216)</f>
        <v/>
      </c>
      <c r="J213" s="729" t="str">
        <f>IF(Inventory!J216="","",Inventory!J216)</f>
        <v/>
      </c>
      <c r="K213" s="729" t="str">
        <f>IF(Inventory!K216="","",Inventory!K216)</f>
        <v/>
      </c>
      <c r="L213" s="729" t="str">
        <f>IF(Inventory!L216="","",Inventory!L216)</f>
        <v/>
      </c>
      <c r="M213" s="765" t="str">
        <f>IF(Inventory!M216="","",Inventory!M216)</f>
        <v/>
      </c>
      <c r="N213" s="758" t="str">
        <f>IF(Inventory!N216="","",Inventory!N216)</f>
        <v/>
      </c>
      <c r="O213" s="765" t="str">
        <f>IF(Inventory!O216="","",Inventory!O216)</f>
        <v/>
      </c>
      <c r="P213" s="758" t="str">
        <f>IF(Inventory!P216="","",Inventory!P216)</f>
        <v/>
      </c>
      <c r="Q213" s="521" t="str">
        <f>IF(Inventory!Q216="","",Inventory!Q216)</f>
        <v/>
      </c>
      <c r="R213" s="775" t="str">
        <f>IF(Inventory!R216="","",Inventory!R216)</f>
        <v/>
      </c>
      <c r="S213" s="775" t="str">
        <f>IF(Inventory!S216="","",Inventory!S216)</f>
        <v/>
      </c>
      <c r="T213" s="729" t="str">
        <f>IF(Inventory!T216="","",Inventory!T216)</f>
        <v/>
      </c>
      <c r="U213" s="775" t="str">
        <f>IF(Inventory!U216="","",Inventory!U216)</f>
        <v/>
      </c>
      <c r="V213" s="779" t="str">
        <f>IF(Inventory!V216="","",Inventory!V216)</f>
        <v/>
      </c>
      <c r="W213" s="866"/>
    </row>
    <row r="214" spans="2:23" s="618" customFormat="1" ht="21.95" customHeight="1" x14ac:dyDescent="0.25">
      <c r="B214" s="432">
        <v>208</v>
      </c>
      <c r="C214" s="499" t="str">
        <f>IF(Inventory!C217="","",Inventory!C217)</f>
        <v/>
      </c>
      <c r="D214" s="751" t="str">
        <f>IF(Inventory!D217="","",Inventory!D217)</f>
        <v/>
      </c>
      <c r="E214" s="541" t="str">
        <f>IF(Inventory!E217="","",Inventory!E217)</f>
        <v/>
      </c>
      <c r="F214" s="785" t="str">
        <f>IF(Inventory!F217="","",Inventory!F217)</f>
        <v/>
      </c>
      <c r="G214" s="728" t="str">
        <f>IF(Inventory!G217="","",Inventory!G217)</f>
        <v/>
      </c>
      <c r="H214" s="728" t="str">
        <f>IF(Inventory!H217="","",Inventory!H217)</f>
        <v/>
      </c>
      <c r="I214" s="728" t="str">
        <f>IF(Inventory!I217="","",Inventory!I217)</f>
        <v/>
      </c>
      <c r="J214" s="728" t="str">
        <f>IF(Inventory!J217="","",Inventory!J217)</f>
        <v/>
      </c>
      <c r="K214" s="728" t="str">
        <f>IF(Inventory!K217="","",Inventory!K217)</f>
        <v/>
      </c>
      <c r="L214" s="728" t="str">
        <f>IF(Inventory!L217="","",Inventory!L217)</f>
        <v/>
      </c>
      <c r="M214" s="764" t="str">
        <f>IF(Inventory!M217="","",Inventory!M217)</f>
        <v/>
      </c>
      <c r="N214" s="728" t="str">
        <f>IF(Inventory!N217="","",Inventory!N217)</f>
        <v/>
      </c>
      <c r="O214" s="764" t="str">
        <f>IF(Inventory!O217="","",Inventory!O217)</f>
        <v/>
      </c>
      <c r="P214" s="728" t="str">
        <f>IF(Inventory!P217="","",Inventory!P217)</f>
        <v/>
      </c>
      <c r="Q214" s="520" t="str">
        <f>IF(Inventory!Q217="","",Inventory!Q217)</f>
        <v/>
      </c>
      <c r="R214" s="778" t="str">
        <f>IF(Inventory!R217="","",Inventory!R217)</f>
        <v/>
      </c>
      <c r="S214" s="778" t="str">
        <f>IF(Inventory!S217="","",Inventory!S217)</f>
        <v/>
      </c>
      <c r="T214" s="767" t="str">
        <f>IF(Inventory!T217="","",Inventory!T217)</f>
        <v/>
      </c>
      <c r="U214" s="778" t="str">
        <f>IF(Inventory!U217="","",Inventory!U217)</f>
        <v/>
      </c>
      <c r="V214" s="751" t="str">
        <f>IF(Inventory!V217="","",Inventory!V217)</f>
        <v/>
      </c>
      <c r="W214" s="871"/>
    </row>
    <row r="215" spans="2:23" s="618" customFormat="1" ht="21.95" customHeight="1" x14ac:dyDescent="0.25">
      <c r="B215" s="431">
        <v>209</v>
      </c>
      <c r="C215" s="501" t="str">
        <f>IF(Inventory!C218="","",Inventory!C218)</f>
        <v/>
      </c>
      <c r="D215" s="502" t="str">
        <f>IF(Inventory!D218="","",Inventory!D218)</f>
        <v/>
      </c>
      <c r="E215" s="546" t="str">
        <f>IF(Inventory!E218="","",Inventory!E218)</f>
        <v/>
      </c>
      <c r="F215" s="547" t="str">
        <f>IF(Inventory!F218="","",Inventory!F218)</f>
        <v/>
      </c>
      <c r="G215" s="729" t="str">
        <f>IF(Inventory!G218="","",Inventory!G218)</f>
        <v/>
      </c>
      <c r="H215" s="729" t="str">
        <f>IF(Inventory!H218="","",Inventory!H218)</f>
        <v/>
      </c>
      <c r="I215" s="729" t="str">
        <f>IF(Inventory!I218="","",Inventory!I218)</f>
        <v/>
      </c>
      <c r="J215" s="729" t="str">
        <f>IF(Inventory!J218="","",Inventory!J218)</f>
        <v/>
      </c>
      <c r="K215" s="729" t="str">
        <f>IF(Inventory!K218="","",Inventory!K218)</f>
        <v/>
      </c>
      <c r="L215" s="729" t="str">
        <f>IF(Inventory!L218="","",Inventory!L218)</f>
        <v/>
      </c>
      <c r="M215" s="765" t="str">
        <f>IF(Inventory!M218="","",Inventory!M218)</f>
        <v/>
      </c>
      <c r="N215" s="758" t="str">
        <f>IF(Inventory!N218="","",Inventory!N218)</f>
        <v/>
      </c>
      <c r="O215" s="765" t="str">
        <f>IF(Inventory!O218="","",Inventory!O218)</f>
        <v/>
      </c>
      <c r="P215" s="758" t="str">
        <f>IF(Inventory!P218="","",Inventory!P218)</f>
        <v/>
      </c>
      <c r="Q215" s="521" t="str">
        <f>IF(Inventory!Q218="","",Inventory!Q218)</f>
        <v/>
      </c>
      <c r="R215" s="775" t="str">
        <f>IF(Inventory!R218="","",Inventory!R218)</f>
        <v/>
      </c>
      <c r="S215" s="775" t="str">
        <f>IF(Inventory!S218="","",Inventory!S218)</f>
        <v/>
      </c>
      <c r="T215" s="729" t="str">
        <f>IF(Inventory!T218="","",Inventory!T218)</f>
        <v/>
      </c>
      <c r="U215" s="775" t="str">
        <f>IF(Inventory!U218="","",Inventory!U218)</f>
        <v/>
      </c>
      <c r="V215" s="779" t="str">
        <f>IF(Inventory!V218="","",Inventory!V218)</f>
        <v/>
      </c>
      <c r="W215" s="866"/>
    </row>
    <row r="216" spans="2:23" s="618" customFormat="1" ht="21.95" customHeight="1" x14ac:dyDescent="0.25">
      <c r="B216" s="432">
        <v>210</v>
      </c>
      <c r="C216" s="499" t="str">
        <f>IF(Inventory!C219="","",Inventory!C219)</f>
        <v/>
      </c>
      <c r="D216" s="751" t="str">
        <f>IF(Inventory!D219="","",Inventory!D219)</f>
        <v/>
      </c>
      <c r="E216" s="541" t="str">
        <f>IF(Inventory!E219="","",Inventory!E219)</f>
        <v/>
      </c>
      <c r="F216" s="785" t="str">
        <f>IF(Inventory!F219="","",Inventory!F219)</f>
        <v/>
      </c>
      <c r="G216" s="728" t="str">
        <f>IF(Inventory!G219="","",Inventory!G219)</f>
        <v/>
      </c>
      <c r="H216" s="728" t="str">
        <f>IF(Inventory!H219="","",Inventory!H219)</f>
        <v/>
      </c>
      <c r="I216" s="728" t="str">
        <f>IF(Inventory!I219="","",Inventory!I219)</f>
        <v/>
      </c>
      <c r="J216" s="728" t="str">
        <f>IF(Inventory!J219="","",Inventory!J219)</f>
        <v/>
      </c>
      <c r="K216" s="728" t="str">
        <f>IF(Inventory!K219="","",Inventory!K219)</f>
        <v/>
      </c>
      <c r="L216" s="728" t="str">
        <f>IF(Inventory!L219="","",Inventory!L219)</f>
        <v/>
      </c>
      <c r="M216" s="764" t="str">
        <f>IF(Inventory!M219="","",Inventory!M219)</f>
        <v/>
      </c>
      <c r="N216" s="728" t="str">
        <f>IF(Inventory!N219="","",Inventory!N219)</f>
        <v/>
      </c>
      <c r="O216" s="764" t="str">
        <f>IF(Inventory!O219="","",Inventory!O219)</f>
        <v/>
      </c>
      <c r="P216" s="728" t="str">
        <f>IF(Inventory!P219="","",Inventory!P219)</f>
        <v/>
      </c>
      <c r="Q216" s="520" t="str">
        <f>IF(Inventory!Q219="","",Inventory!Q219)</f>
        <v/>
      </c>
      <c r="R216" s="778" t="str">
        <f>IF(Inventory!R219="","",Inventory!R219)</f>
        <v/>
      </c>
      <c r="S216" s="778" t="str">
        <f>IF(Inventory!S219="","",Inventory!S219)</f>
        <v/>
      </c>
      <c r="T216" s="767" t="str">
        <f>IF(Inventory!T219="","",Inventory!T219)</f>
        <v/>
      </c>
      <c r="U216" s="778" t="str">
        <f>IF(Inventory!U219="","",Inventory!U219)</f>
        <v/>
      </c>
      <c r="V216" s="751" t="str">
        <f>IF(Inventory!V219="","",Inventory!V219)</f>
        <v/>
      </c>
      <c r="W216" s="871"/>
    </row>
    <row r="217" spans="2:23" s="618" customFormat="1" ht="21.95" customHeight="1" x14ac:dyDescent="0.25">
      <c r="B217" s="431">
        <v>211</v>
      </c>
      <c r="C217" s="501" t="str">
        <f>IF(Inventory!C220="","",Inventory!C220)</f>
        <v/>
      </c>
      <c r="D217" s="502" t="str">
        <f>IF(Inventory!D220="","",Inventory!D220)</f>
        <v/>
      </c>
      <c r="E217" s="546" t="str">
        <f>IF(Inventory!E220="","",Inventory!E220)</f>
        <v/>
      </c>
      <c r="F217" s="547" t="str">
        <f>IF(Inventory!F220="","",Inventory!F220)</f>
        <v/>
      </c>
      <c r="G217" s="729" t="str">
        <f>IF(Inventory!G220="","",Inventory!G220)</f>
        <v/>
      </c>
      <c r="H217" s="729" t="str">
        <f>IF(Inventory!H220="","",Inventory!H220)</f>
        <v/>
      </c>
      <c r="I217" s="729" t="str">
        <f>IF(Inventory!I220="","",Inventory!I220)</f>
        <v/>
      </c>
      <c r="J217" s="729" t="str">
        <f>IF(Inventory!J220="","",Inventory!J220)</f>
        <v/>
      </c>
      <c r="K217" s="729" t="str">
        <f>IF(Inventory!K220="","",Inventory!K220)</f>
        <v/>
      </c>
      <c r="L217" s="729" t="str">
        <f>IF(Inventory!L220="","",Inventory!L220)</f>
        <v/>
      </c>
      <c r="M217" s="765" t="str">
        <f>IF(Inventory!M220="","",Inventory!M220)</f>
        <v/>
      </c>
      <c r="N217" s="758" t="str">
        <f>IF(Inventory!N220="","",Inventory!N220)</f>
        <v/>
      </c>
      <c r="O217" s="765" t="str">
        <f>IF(Inventory!O220="","",Inventory!O220)</f>
        <v/>
      </c>
      <c r="P217" s="758" t="str">
        <f>IF(Inventory!P220="","",Inventory!P220)</f>
        <v/>
      </c>
      <c r="Q217" s="521" t="str">
        <f>IF(Inventory!Q220="","",Inventory!Q220)</f>
        <v/>
      </c>
      <c r="R217" s="775" t="str">
        <f>IF(Inventory!R220="","",Inventory!R220)</f>
        <v/>
      </c>
      <c r="S217" s="775" t="str">
        <f>IF(Inventory!S220="","",Inventory!S220)</f>
        <v/>
      </c>
      <c r="T217" s="729" t="str">
        <f>IF(Inventory!T220="","",Inventory!T220)</f>
        <v/>
      </c>
      <c r="U217" s="775" t="str">
        <f>IF(Inventory!U220="","",Inventory!U220)</f>
        <v/>
      </c>
      <c r="V217" s="779" t="str">
        <f>IF(Inventory!V220="","",Inventory!V220)</f>
        <v/>
      </c>
      <c r="W217" s="866"/>
    </row>
    <row r="218" spans="2:23" s="618" customFormat="1" ht="21.95" customHeight="1" x14ac:dyDescent="0.25">
      <c r="B218" s="432">
        <v>212</v>
      </c>
      <c r="C218" s="499" t="str">
        <f>IF(Inventory!C221="","",Inventory!C221)</f>
        <v/>
      </c>
      <c r="D218" s="751" t="str">
        <f>IF(Inventory!D221="","",Inventory!D221)</f>
        <v/>
      </c>
      <c r="E218" s="541" t="str">
        <f>IF(Inventory!E221="","",Inventory!E221)</f>
        <v/>
      </c>
      <c r="F218" s="785" t="str">
        <f>IF(Inventory!F221="","",Inventory!F221)</f>
        <v/>
      </c>
      <c r="G218" s="728" t="str">
        <f>IF(Inventory!G221="","",Inventory!G221)</f>
        <v/>
      </c>
      <c r="H218" s="728" t="str">
        <f>IF(Inventory!H221="","",Inventory!H221)</f>
        <v/>
      </c>
      <c r="I218" s="728" t="str">
        <f>IF(Inventory!I221="","",Inventory!I221)</f>
        <v/>
      </c>
      <c r="J218" s="728" t="str">
        <f>IF(Inventory!J221="","",Inventory!J221)</f>
        <v/>
      </c>
      <c r="K218" s="728" t="str">
        <f>IF(Inventory!K221="","",Inventory!K221)</f>
        <v/>
      </c>
      <c r="L218" s="728" t="str">
        <f>IF(Inventory!L221="","",Inventory!L221)</f>
        <v/>
      </c>
      <c r="M218" s="764" t="str">
        <f>IF(Inventory!M221="","",Inventory!M221)</f>
        <v/>
      </c>
      <c r="N218" s="728" t="str">
        <f>IF(Inventory!N221="","",Inventory!N221)</f>
        <v/>
      </c>
      <c r="O218" s="764" t="str">
        <f>IF(Inventory!O221="","",Inventory!O221)</f>
        <v/>
      </c>
      <c r="P218" s="728" t="str">
        <f>IF(Inventory!P221="","",Inventory!P221)</f>
        <v/>
      </c>
      <c r="Q218" s="520" t="str">
        <f>IF(Inventory!Q221="","",Inventory!Q221)</f>
        <v/>
      </c>
      <c r="R218" s="778" t="str">
        <f>IF(Inventory!R221="","",Inventory!R221)</f>
        <v/>
      </c>
      <c r="S218" s="778" t="str">
        <f>IF(Inventory!S221="","",Inventory!S221)</f>
        <v/>
      </c>
      <c r="T218" s="767" t="str">
        <f>IF(Inventory!T221="","",Inventory!T221)</f>
        <v/>
      </c>
      <c r="U218" s="778" t="str">
        <f>IF(Inventory!U221="","",Inventory!U221)</f>
        <v/>
      </c>
      <c r="V218" s="751" t="str">
        <f>IF(Inventory!V221="","",Inventory!V221)</f>
        <v/>
      </c>
      <c r="W218" s="871"/>
    </row>
    <row r="219" spans="2:23" s="618" customFormat="1" ht="21.95" customHeight="1" x14ac:dyDescent="0.25">
      <c r="B219" s="431">
        <v>213</v>
      </c>
      <c r="C219" s="501" t="str">
        <f>IF(Inventory!C222="","",Inventory!C222)</f>
        <v/>
      </c>
      <c r="D219" s="502" t="str">
        <f>IF(Inventory!D222="","",Inventory!D222)</f>
        <v/>
      </c>
      <c r="E219" s="546" t="str">
        <f>IF(Inventory!E222="","",Inventory!E222)</f>
        <v/>
      </c>
      <c r="F219" s="547" t="str">
        <f>IF(Inventory!F222="","",Inventory!F222)</f>
        <v/>
      </c>
      <c r="G219" s="729" t="str">
        <f>IF(Inventory!G222="","",Inventory!G222)</f>
        <v/>
      </c>
      <c r="H219" s="729" t="str">
        <f>IF(Inventory!H222="","",Inventory!H222)</f>
        <v/>
      </c>
      <c r="I219" s="729" t="str">
        <f>IF(Inventory!I222="","",Inventory!I222)</f>
        <v/>
      </c>
      <c r="J219" s="729" t="str">
        <f>IF(Inventory!J222="","",Inventory!J222)</f>
        <v/>
      </c>
      <c r="K219" s="729" t="str">
        <f>IF(Inventory!K222="","",Inventory!K222)</f>
        <v/>
      </c>
      <c r="L219" s="729" t="str">
        <f>IF(Inventory!L222="","",Inventory!L222)</f>
        <v/>
      </c>
      <c r="M219" s="765" t="str">
        <f>IF(Inventory!M222="","",Inventory!M222)</f>
        <v/>
      </c>
      <c r="N219" s="758" t="str">
        <f>IF(Inventory!N222="","",Inventory!N222)</f>
        <v/>
      </c>
      <c r="O219" s="765" t="str">
        <f>IF(Inventory!O222="","",Inventory!O222)</f>
        <v/>
      </c>
      <c r="P219" s="758" t="str">
        <f>IF(Inventory!P222="","",Inventory!P222)</f>
        <v/>
      </c>
      <c r="Q219" s="521" t="str">
        <f>IF(Inventory!Q222="","",Inventory!Q222)</f>
        <v/>
      </c>
      <c r="R219" s="775" t="str">
        <f>IF(Inventory!R222="","",Inventory!R222)</f>
        <v/>
      </c>
      <c r="S219" s="775" t="str">
        <f>IF(Inventory!S222="","",Inventory!S222)</f>
        <v/>
      </c>
      <c r="T219" s="729" t="str">
        <f>IF(Inventory!T222="","",Inventory!T222)</f>
        <v/>
      </c>
      <c r="U219" s="775" t="str">
        <f>IF(Inventory!U222="","",Inventory!U222)</f>
        <v/>
      </c>
      <c r="V219" s="779" t="str">
        <f>IF(Inventory!V222="","",Inventory!V222)</f>
        <v/>
      </c>
      <c r="W219" s="866"/>
    </row>
    <row r="220" spans="2:23" s="618" customFormat="1" ht="21.95" customHeight="1" x14ac:dyDescent="0.25">
      <c r="B220" s="432">
        <v>214</v>
      </c>
      <c r="C220" s="499" t="str">
        <f>IF(Inventory!C223="","",Inventory!C223)</f>
        <v/>
      </c>
      <c r="D220" s="751" t="str">
        <f>IF(Inventory!D223="","",Inventory!D223)</f>
        <v/>
      </c>
      <c r="E220" s="541" t="str">
        <f>IF(Inventory!E223="","",Inventory!E223)</f>
        <v/>
      </c>
      <c r="F220" s="785" t="str">
        <f>IF(Inventory!F223="","",Inventory!F223)</f>
        <v/>
      </c>
      <c r="G220" s="728" t="str">
        <f>IF(Inventory!G223="","",Inventory!G223)</f>
        <v/>
      </c>
      <c r="H220" s="728" t="str">
        <f>IF(Inventory!H223="","",Inventory!H223)</f>
        <v/>
      </c>
      <c r="I220" s="728" t="str">
        <f>IF(Inventory!I223="","",Inventory!I223)</f>
        <v/>
      </c>
      <c r="J220" s="728" t="str">
        <f>IF(Inventory!J223="","",Inventory!J223)</f>
        <v/>
      </c>
      <c r="K220" s="728" t="str">
        <f>IF(Inventory!K223="","",Inventory!K223)</f>
        <v/>
      </c>
      <c r="L220" s="728" t="str">
        <f>IF(Inventory!L223="","",Inventory!L223)</f>
        <v/>
      </c>
      <c r="M220" s="764" t="str">
        <f>IF(Inventory!M223="","",Inventory!M223)</f>
        <v/>
      </c>
      <c r="N220" s="728" t="str">
        <f>IF(Inventory!N223="","",Inventory!N223)</f>
        <v/>
      </c>
      <c r="O220" s="764" t="str">
        <f>IF(Inventory!O223="","",Inventory!O223)</f>
        <v/>
      </c>
      <c r="P220" s="728" t="str">
        <f>IF(Inventory!P223="","",Inventory!P223)</f>
        <v/>
      </c>
      <c r="Q220" s="520" t="str">
        <f>IF(Inventory!Q223="","",Inventory!Q223)</f>
        <v/>
      </c>
      <c r="R220" s="778" t="str">
        <f>IF(Inventory!R223="","",Inventory!R223)</f>
        <v/>
      </c>
      <c r="S220" s="778" t="str">
        <f>IF(Inventory!S223="","",Inventory!S223)</f>
        <v/>
      </c>
      <c r="T220" s="767" t="str">
        <f>IF(Inventory!T223="","",Inventory!T223)</f>
        <v/>
      </c>
      <c r="U220" s="778" t="str">
        <f>IF(Inventory!U223="","",Inventory!U223)</f>
        <v/>
      </c>
      <c r="V220" s="751" t="str">
        <f>IF(Inventory!V223="","",Inventory!V223)</f>
        <v/>
      </c>
      <c r="W220" s="871"/>
    </row>
    <row r="221" spans="2:23" s="618" customFormat="1" ht="21.95" customHeight="1" x14ac:dyDescent="0.25">
      <c r="B221" s="431">
        <v>215</v>
      </c>
      <c r="C221" s="501" t="str">
        <f>IF(Inventory!C224="","",Inventory!C224)</f>
        <v/>
      </c>
      <c r="D221" s="502" t="str">
        <f>IF(Inventory!D224="","",Inventory!D224)</f>
        <v/>
      </c>
      <c r="E221" s="546" t="str">
        <f>IF(Inventory!E224="","",Inventory!E224)</f>
        <v/>
      </c>
      <c r="F221" s="547" t="str">
        <f>IF(Inventory!F224="","",Inventory!F224)</f>
        <v/>
      </c>
      <c r="G221" s="729" t="str">
        <f>IF(Inventory!G224="","",Inventory!G224)</f>
        <v/>
      </c>
      <c r="H221" s="729" t="str">
        <f>IF(Inventory!H224="","",Inventory!H224)</f>
        <v/>
      </c>
      <c r="I221" s="729" t="str">
        <f>IF(Inventory!I224="","",Inventory!I224)</f>
        <v/>
      </c>
      <c r="J221" s="729" t="str">
        <f>IF(Inventory!J224="","",Inventory!J224)</f>
        <v/>
      </c>
      <c r="K221" s="729" t="str">
        <f>IF(Inventory!K224="","",Inventory!K224)</f>
        <v/>
      </c>
      <c r="L221" s="729" t="str">
        <f>IF(Inventory!L224="","",Inventory!L224)</f>
        <v/>
      </c>
      <c r="M221" s="765" t="str">
        <f>IF(Inventory!M224="","",Inventory!M224)</f>
        <v/>
      </c>
      <c r="N221" s="758" t="str">
        <f>IF(Inventory!N224="","",Inventory!N224)</f>
        <v/>
      </c>
      <c r="O221" s="765" t="str">
        <f>IF(Inventory!O224="","",Inventory!O224)</f>
        <v/>
      </c>
      <c r="P221" s="758" t="str">
        <f>IF(Inventory!P224="","",Inventory!P224)</f>
        <v/>
      </c>
      <c r="Q221" s="521" t="str">
        <f>IF(Inventory!Q224="","",Inventory!Q224)</f>
        <v/>
      </c>
      <c r="R221" s="775" t="str">
        <f>IF(Inventory!R224="","",Inventory!R224)</f>
        <v/>
      </c>
      <c r="S221" s="775" t="str">
        <f>IF(Inventory!S224="","",Inventory!S224)</f>
        <v/>
      </c>
      <c r="T221" s="729" t="str">
        <f>IF(Inventory!T224="","",Inventory!T224)</f>
        <v/>
      </c>
      <c r="U221" s="775" t="str">
        <f>IF(Inventory!U224="","",Inventory!U224)</f>
        <v/>
      </c>
      <c r="V221" s="779" t="str">
        <f>IF(Inventory!V224="","",Inventory!V224)</f>
        <v/>
      </c>
      <c r="W221" s="866"/>
    </row>
    <row r="222" spans="2:23" s="618" customFormat="1" ht="21.95" customHeight="1" x14ac:dyDescent="0.25">
      <c r="B222" s="432">
        <v>216</v>
      </c>
      <c r="C222" s="499" t="str">
        <f>IF(Inventory!C225="","",Inventory!C225)</f>
        <v/>
      </c>
      <c r="D222" s="751" t="str">
        <f>IF(Inventory!D225="","",Inventory!D225)</f>
        <v/>
      </c>
      <c r="E222" s="541" t="str">
        <f>IF(Inventory!E225="","",Inventory!E225)</f>
        <v/>
      </c>
      <c r="F222" s="785" t="str">
        <f>IF(Inventory!F225="","",Inventory!F225)</f>
        <v/>
      </c>
      <c r="G222" s="728" t="str">
        <f>IF(Inventory!G225="","",Inventory!G225)</f>
        <v/>
      </c>
      <c r="H222" s="728" t="str">
        <f>IF(Inventory!H225="","",Inventory!H225)</f>
        <v/>
      </c>
      <c r="I222" s="728" t="str">
        <f>IF(Inventory!I225="","",Inventory!I225)</f>
        <v/>
      </c>
      <c r="J222" s="728" t="str">
        <f>IF(Inventory!J225="","",Inventory!J225)</f>
        <v/>
      </c>
      <c r="K222" s="728" t="str">
        <f>IF(Inventory!K225="","",Inventory!K225)</f>
        <v/>
      </c>
      <c r="L222" s="728" t="str">
        <f>IF(Inventory!L225="","",Inventory!L225)</f>
        <v/>
      </c>
      <c r="M222" s="764" t="str">
        <f>IF(Inventory!M225="","",Inventory!M225)</f>
        <v/>
      </c>
      <c r="N222" s="728" t="str">
        <f>IF(Inventory!N225="","",Inventory!N225)</f>
        <v/>
      </c>
      <c r="O222" s="764" t="str">
        <f>IF(Inventory!O225="","",Inventory!O225)</f>
        <v/>
      </c>
      <c r="P222" s="728" t="str">
        <f>IF(Inventory!P225="","",Inventory!P225)</f>
        <v/>
      </c>
      <c r="Q222" s="520" t="str">
        <f>IF(Inventory!Q225="","",Inventory!Q225)</f>
        <v/>
      </c>
      <c r="R222" s="778" t="str">
        <f>IF(Inventory!R225="","",Inventory!R225)</f>
        <v/>
      </c>
      <c r="S222" s="778" t="str">
        <f>IF(Inventory!S225="","",Inventory!S225)</f>
        <v/>
      </c>
      <c r="T222" s="767" t="str">
        <f>IF(Inventory!T225="","",Inventory!T225)</f>
        <v/>
      </c>
      <c r="U222" s="778" t="str">
        <f>IF(Inventory!U225="","",Inventory!U225)</f>
        <v/>
      </c>
      <c r="V222" s="751" t="str">
        <f>IF(Inventory!V225="","",Inventory!V225)</f>
        <v/>
      </c>
      <c r="W222" s="871"/>
    </row>
    <row r="223" spans="2:23" s="618" customFormat="1" ht="21.95" customHeight="1" x14ac:dyDescent="0.25">
      <c r="B223" s="431">
        <v>217</v>
      </c>
      <c r="C223" s="501" t="str">
        <f>IF(Inventory!C226="","",Inventory!C226)</f>
        <v/>
      </c>
      <c r="D223" s="502" t="str">
        <f>IF(Inventory!D226="","",Inventory!D226)</f>
        <v/>
      </c>
      <c r="E223" s="546" t="str">
        <f>IF(Inventory!E226="","",Inventory!E226)</f>
        <v/>
      </c>
      <c r="F223" s="547" t="str">
        <f>IF(Inventory!F226="","",Inventory!F226)</f>
        <v/>
      </c>
      <c r="G223" s="729" t="str">
        <f>IF(Inventory!G226="","",Inventory!G226)</f>
        <v/>
      </c>
      <c r="H223" s="729" t="str">
        <f>IF(Inventory!H226="","",Inventory!H226)</f>
        <v/>
      </c>
      <c r="I223" s="729" t="str">
        <f>IF(Inventory!I226="","",Inventory!I226)</f>
        <v/>
      </c>
      <c r="J223" s="729" t="str">
        <f>IF(Inventory!J226="","",Inventory!J226)</f>
        <v/>
      </c>
      <c r="K223" s="729" t="str">
        <f>IF(Inventory!K226="","",Inventory!K226)</f>
        <v/>
      </c>
      <c r="L223" s="729" t="str">
        <f>IF(Inventory!L226="","",Inventory!L226)</f>
        <v/>
      </c>
      <c r="M223" s="765" t="str">
        <f>IF(Inventory!M226="","",Inventory!M226)</f>
        <v/>
      </c>
      <c r="N223" s="758" t="str">
        <f>IF(Inventory!N226="","",Inventory!N226)</f>
        <v/>
      </c>
      <c r="O223" s="765" t="str">
        <f>IF(Inventory!O226="","",Inventory!O226)</f>
        <v/>
      </c>
      <c r="P223" s="758" t="str">
        <f>IF(Inventory!P226="","",Inventory!P226)</f>
        <v/>
      </c>
      <c r="Q223" s="521" t="str">
        <f>IF(Inventory!Q226="","",Inventory!Q226)</f>
        <v/>
      </c>
      <c r="R223" s="775" t="str">
        <f>IF(Inventory!R226="","",Inventory!R226)</f>
        <v/>
      </c>
      <c r="S223" s="775" t="str">
        <f>IF(Inventory!S226="","",Inventory!S226)</f>
        <v/>
      </c>
      <c r="T223" s="729" t="str">
        <f>IF(Inventory!T226="","",Inventory!T226)</f>
        <v/>
      </c>
      <c r="U223" s="775" t="str">
        <f>IF(Inventory!U226="","",Inventory!U226)</f>
        <v/>
      </c>
      <c r="V223" s="779" t="str">
        <f>IF(Inventory!V226="","",Inventory!V226)</f>
        <v/>
      </c>
      <c r="W223" s="866"/>
    </row>
    <row r="224" spans="2:23" s="618" customFormat="1" ht="21.95" customHeight="1" x14ac:dyDescent="0.25">
      <c r="B224" s="432">
        <v>218</v>
      </c>
      <c r="C224" s="499" t="str">
        <f>IF(Inventory!C227="","",Inventory!C227)</f>
        <v/>
      </c>
      <c r="D224" s="751" t="str">
        <f>IF(Inventory!D227="","",Inventory!D227)</f>
        <v/>
      </c>
      <c r="E224" s="541" t="str">
        <f>IF(Inventory!E227="","",Inventory!E227)</f>
        <v/>
      </c>
      <c r="F224" s="785" t="str">
        <f>IF(Inventory!F227="","",Inventory!F227)</f>
        <v/>
      </c>
      <c r="G224" s="728" t="str">
        <f>IF(Inventory!G227="","",Inventory!G227)</f>
        <v/>
      </c>
      <c r="H224" s="728" t="str">
        <f>IF(Inventory!H227="","",Inventory!H227)</f>
        <v/>
      </c>
      <c r="I224" s="728" t="str">
        <f>IF(Inventory!I227="","",Inventory!I227)</f>
        <v/>
      </c>
      <c r="J224" s="728" t="str">
        <f>IF(Inventory!J227="","",Inventory!J227)</f>
        <v/>
      </c>
      <c r="K224" s="728" t="str">
        <f>IF(Inventory!K227="","",Inventory!K227)</f>
        <v/>
      </c>
      <c r="L224" s="728" t="str">
        <f>IF(Inventory!L227="","",Inventory!L227)</f>
        <v/>
      </c>
      <c r="M224" s="764" t="str">
        <f>IF(Inventory!M227="","",Inventory!M227)</f>
        <v/>
      </c>
      <c r="N224" s="728" t="str">
        <f>IF(Inventory!N227="","",Inventory!N227)</f>
        <v/>
      </c>
      <c r="O224" s="764" t="str">
        <f>IF(Inventory!O227="","",Inventory!O227)</f>
        <v/>
      </c>
      <c r="P224" s="728" t="str">
        <f>IF(Inventory!P227="","",Inventory!P227)</f>
        <v/>
      </c>
      <c r="Q224" s="520" t="str">
        <f>IF(Inventory!Q227="","",Inventory!Q227)</f>
        <v/>
      </c>
      <c r="R224" s="778" t="str">
        <f>IF(Inventory!R227="","",Inventory!R227)</f>
        <v/>
      </c>
      <c r="S224" s="778" t="str">
        <f>IF(Inventory!S227="","",Inventory!S227)</f>
        <v/>
      </c>
      <c r="T224" s="767" t="str">
        <f>IF(Inventory!T227="","",Inventory!T227)</f>
        <v/>
      </c>
      <c r="U224" s="778" t="str">
        <f>IF(Inventory!U227="","",Inventory!U227)</f>
        <v/>
      </c>
      <c r="V224" s="751" t="str">
        <f>IF(Inventory!V227="","",Inventory!V227)</f>
        <v/>
      </c>
      <c r="W224" s="871"/>
    </row>
    <row r="225" spans="2:23" s="618" customFormat="1" ht="21.95" customHeight="1" x14ac:dyDescent="0.25">
      <c r="B225" s="431">
        <v>219</v>
      </c>
      <c r="C225" s="501" t="str">
        <f>IF(Inventory!C228="","",Inventory!C228)</f>
        <v/>
      </c>
      <c r="D225" s="502" t="str">
        <f>IF(Inventory!D228="","",Inventory!D228)</f>
        <v/>
      </c>
      <c r="E225" s="546" t="str">
        <f>IF(Inventory!E228="","",Inventory!E228)</f>
        <v/>
      </c>
      <c r="F225" s="547" t="str">
        <f>IF(Inventory!F228="","",Inventory!F228)</f>
        <v/>
      </c>
      <c r="G225" s="729" t="str">
        <f>IF(Inventory!G228="","",Inventory!G228)</f>
        <v/>
      </c>
      <c r="H225" s="729" t="str">
        <f>IF(Inventory!H228="","",Inventory!H228)</f>
        <v/>
      </c>
      <c r="I225" s="729" t="str">
        <f>IF(Inventory!I228="","",Inventory!I228)</f>
        <v/>
      </c>
      <c r="J225" s="729" t="str">
        <f>IF(Inventory!J228="","",Inventory!J228)</f>
        <v/>
      </c>
      <c r="K225" s="729" t="str">
        <f>IF(Inventory!K228="","",Inventory!K228)</f>
        <v/>
      </c>
      <c r="L225" s="729" t="str">
        <f>IF(Inventory!L228="","",Inventory!L228)</f>
        <v/>
      </c>
      <c r="M225" s="765" t="str">
        <f>IF(Inventory!M228="","",Inventory!M228)</f>
        <v/>
      </c>
      <c r="N225" s="758" t="str">
        <f>IF(Inventory!N228="","",Inventory!N228)</f>
        <v/>
      </c>
      <c r="O225" s="765" t="str">
        <f>IF(Inventory!O228="","",Inventory!O228)</f>
        <v/>
      </c>
      <c r="P225" s="758" t="str">
        <f>IF(Inventory!P228="","",Inventory!P228)</f>
        <v/>
      </c>
      <c r="Q225" s="521" t="str">
        <f>IF(Inventory!Q228="","",Inventory!Q228)</f>
        <v/>
      </c>
      <c r="R225" s="775" t="str">
        <f>IF(Inventory!R228="","",Inventory!R228)</f>
        <v/>
      </c>
      <c r="S225" s="775" t="str">
        <f>IF(Inventory!S228="","",Inventory!S228)</f>
        <v/>
      </c>
      <c r="T225" s="729" t="str">
        <f>IF(Inventory!T228="","",Inventory!T228)</f>
        <v/>
      </c>
      <c r="U225" s="775" t="str">
        <f>IF(Inventory!U228="","",Inventory!U228)</f>
        <v/>
      </c>
      <c r="V225" s="779" t="str">
        <f>IF(Inventory!V228="","",Inventory!V228)</f>
        <v/>
      </c>
      <c r="W225" s="866"/>
    </row>
    <row r="226" spans="2:23" s="618" customFormat="1" ht="21.95" customHeight="1" x14ac:dyDescent="0.25">
      <c r="B226" s="432">
        <v>220</v>
      </c>
      <c r="C226" s="499" t="str">
        <f>IF(Inventory!C229="","",Inventory!C229)</f>
        <v/>
      </c>
      <c r="D226" s="751" t="str">
        <f>IF(Inventory!D229="","",Inventory!D229)</f>
        <v/>
      </c>
      <c r="E226" s="541" t="str">
        <f>IF(Inventory!E229="","",Inventory!E229)</f>
        <v/>
      </c>
      <c r="F226" s="785" t="str">
        <f>IF(Inventory!F229="","",Inventory!F229)</f>
        <v/>
      </c>
      <c r="G226" s="728" t="str">
        <f>IF(Inventory!G229="","",Inventory!G229)</f>
        <v/>
      </c>
      <c r="H226" s="728" t="str">
        <f>IF(Inventory!H229="","",Inventory!H229)</f>
        <v/>
      </c>
      <c r="I226" s="728" t="str">
        <f>IF(Inventory!I229="","",Inventory!I229)</f>
        <v/>
      </c>
      <c r="J226" s="728" t="str">
        <f>IF(Inventory!J229="","",Inventory!J229)</f>
        <v/>
      </c>
      <c r="K226" s="728" t="str">
        <f>IF(Inventory!K229="","",Inventory!K229)</f>
        <v/>
      </c>
      <c r="L226" s="728" t="str">
        <f>IF(Inventory!L229="","",Inventory!L229)</f>
        <v/>
      </c>
      <c r="M226" s="764" t="str">
        <f>IF(Inventory!M229="","",Inventory!M229)</f>
        <v/>
      </c>
      <c r="N226" s="728" t="str">
        <f>IF(Inventory!N229="","",Inventory!N229)</f>
        <v/>
      </c>
      <c r="O226" s="764" t="str">
        <f>IF(Inventory!O229="","",Inventory!O229)</f>
        <v/>
      </c>
      <c r="P226" s="728" t="str">
        <f>IF(Inventory!P229="","",Inventory!P229)</f>
        <v/>
      </c>
      <c r="Q226" s="520" t="str">
        <f>IF(Inventory!Q229="","",Inventory!Q229)</f>
        <v/>
      </c>
      <c r="R226" s="778" t="str">
        <f>IF(Inventory!R229="","",Inventory!R229)</f>
        <v/>
      </c>
      <c r="S226" s="778" t="str">
        <f>IF(Inventory!S229="","",Inventory!S229)</f>
        <v/>
      </c>
      <c r="T226" s="767" t="str">
        <f>IF(Inventory!T229="","",Inventory!T229)</f>
        <v/>
      </c>
      <c r="U226" s="778" t="str">
        <f>IF(Inventory!U229="","",Inventory!U229)</f>
        <v/>
      </c>
      <c r="V226" s="751" t="str">
        <f>IF(Inventory!V229="","",Inventory!V229)</f>
        <v/>
      </c>
      <c r="W226" s="871"/>
    </row>
    <row r="227" spans="2:23" s="618" customFormat="1" ht="21.95" customHeight="1" x14ac:dyDescent="0.25">
      <c r="B227" s="431">
        <v>221</v>
      </c>
      <c r="C227" s="501" t="str">
        <f>IF(Inventory!C230="","",Inventory!C230)</f>
        <v/>
      </c>
      <c r="D227" s="502" t="str">
        <f>IF(Inventory!D230="","",Inventory!D230)</f>
        <v/>
      </c>
      <c r="E227" s="546" t="str">
        <f>IF(Inventory!E230="","",Inventory!E230)</f>
        <v/>
      </c>
      <c r="F227" s="547" t="str">
        <f>IF(Inventory!F230="","",Inventory!F230)</f>
        <v/>
      </c>
      <c r="G227" s="729" t="str">
        <f>IF(Inventory!G230="","",Inventory!G230)</f>
        <v/>
      </c>
      <c r="H227" s="729" t="str">
        <f>IF(Inventory!H230="","",Inventory!H230)</f>
        <v/>
      </c>
      <c r="I227" s="729" t="str">
        <f>IF(Inventory!I230="","",Inventory!I230)</f>
        <v/>
      </c>
      <c r="J227" s="729" t="str">
        <f>IF(Inventory!J230="","",Inventory!J230)</f>
        <v/>
      </c>
      <c r="K227" s="729" t="str">
        <f>IF(Inventory!K230="","",Inventory!K230)</f>
        <v/>
      </c>
      <c r="L227" s="729" t="str">
        <f>IF(Inventory!L230="","",Inventory!L230)</f>
        <v/>
      </c>
      <c r="M227" s="765" t="str">
        <f>IF(Inventory!M230="","",Inventory!M230)</f>
        <v/>
      </c>
      <c r="N227" s="758" t="str">
        <f>IF(Inventory!N230="","",Inventory!N230)</f>
        <v/>
      </c>
      <c r="O227" s="765" t="str">
        <f>IF(Inventory!O230="","",Inventory!O230)</f>
        <v/>
      </c>
      <c r="P227" s="758" t="str">
        <f>IF(Inventory!P230="","",Inventory!P230)</f>
        <v/>
      </c>
      <c r="Q227" s="521" t="str">
        <f>IF(Inventory!Q230="","",Inventory!Q230)</f>
        <v/>
      </c>
      <c r="R227" s="775" t="str">
        <f>IF(Inventory!R230="","",Inventory!R230)</f>
        <v/>
      </c>
      <c r="S227" s="775" t="str">
        <f>IF(Inventory!S230="","",Inventory!S230)</f>
        <v/>
      </c>
      <c r="T227" s="729" t="str">
        <f>IF(Inventory!T230="","",Inventory!T230)</f>
        <v/>
      </c>
      <c r="U227" s="775" t="str">
        <f>IF(Inventory!U230="","",Inventory!U230)</f>
        <v/>
      </c>
      <c r="V227" s="779" t="str">
        <f>IF(Inventory!V230="","",Inventory!V230)</f>
        <v/>
      </c>
      <c r="W227" s="866"/>
    </row>
    <row r="228" spans="2:23" s="618" customFormat="1" ht="21.95" customHeight="1" x14ac:dyDescent="0.25">
      <c r="B228" s="432">
        <v>222</v>
      </c>
      <c r="C228" s="499" t="str">
        <f>IF(Inventory!C231="","",Inventory!C231)</f>
        <v/>
      </c>
      <c r="D228" s="751" t="str">
        <f>IF(Inventory!D231="","",Inventory!D231)</f>
        <v/>
      </c>
      <c r="E228" s="541" t="str">
        <f>IF(Inventory!E231="","",Inventory!E231)</f>
        <v/>
      </c>
      <c r="F228" s="785" t="str">
        <f>IF(Inventory!F231="","",Inventory!F231)</f>
        <v/>
      </c>
      <c r="G228" s="728" t="str">
        <f>IF(Inventory!G231="","",Inventory!G231)</f>
        <v/>
      </c>
      <c r="H228" s="728" t="str">
        <f>IF(Inventory!H231="","",Inventory!H231)</f>
        <v/>
      </c>
      <c r="I228" s="728" t="str">
        <f>IF(Inventory!I231="","",Inventory!I231)</f>
        <v/>
      </c>
      <c r="J228" s="728" t="str">
        <f>IF(Inventory!J231="","",Inventory!J231)</f>
        <v/>
      </c>
      <c r="K228" s="728" t="str">
        <f>IF(Inventory!K231="","",Inventory!K231)</f>
        <v/>
      </c>
      <c r="L228" s="728" t="str">
        <f>IF(Inventory!L231="","",Inventory!L231)</f>
        <v/>
      </c>
      <c r="M228" s="764" t="str">
        <f>IF(Inventory!M231="","",Inventory!M231)</f>
        <v/>
      </c>
      <c r="N228" s="728" t="str">
        <f>IF(Inventory!N231="","",Inventory!N231)</f>
        <v/>
      </c>
      <c r="O228" s="764" t="str">
        <f>IF(Inventory!O231="","",Inventory!O231)</f>
        <v/>
      </c>
      <c r="P228" s="728" t="str">
        <f>IF(Inventory!P231="","",Inventory!P231)</f>
        <v/>
      </c>
      <c r="Q228" s="520" t="str">
        <f>IF(Inventory!Q231="","",Inventory!Q231)</f>
        <v/>
      </c>
      <c r="R228" s="778" t="str">
        <f>IF(Inventory!R231="","",Inventory!R231)</f>
        <v/>
      </c>
      <c r="S228" s="778" t="str">
        <f>IF(Inventory!S231="","",Inventory!S231)</f>
        <v/>
      </c>
      <c r="T228" s="767" t="str">
        <f>IF(Inventory!T231="","",Inventory!T231)</f>
        <v/>
      </c>
      <c r="U228" s="778" t="str">
        <f>IF(Inventory!U231="","",Inventory!U231)</f>
        <v/>
      </c>
      <c r="V228" s="751" t="str">
        <f>IF(Inventory!V231="","",Inventory!V231)</f>
        <v/>
      </c>
      <c r="W228" s="871"/>
    </row>
    <row r="229" spans="2:23" s="618" customFormat="1" ht="21.95" customHeight="1" x14ac:dyDescent="0.25">
      <c r="B229" s="431">
        <v>223</v>
      </c>
      <c r="C229" s="501" t="str">
        <f>IF(Inventory!C232="","",Inventory!C232)</f>
        <v/>
      </c>
      <c r="D229" s="502" t="str">
        <f>IF(Inventory!D232="","",Inventory!D232)</f>
        <v/>
      </c>
      <c r="E229" s="546" t="str">
        <f>IF(Inventory!E232="","",Inventory!E232)</f>
        <v/>
      </c>
      <c r="F229" s="547" t="str">
        <f>IF(Inventory!F232="","",Inventory!F232)</f>
        <v/>
      </c>
      <c r="G229" s="729" t="str">
        <f>IF(Inventory!G232="","",Inventory!G232)</f>
        <v/>
      </c>
      <c r="H229" s="729" t="str">
        <f>IF(Inventory!H232="","",Inventory!H232)</f>
        <v/>
      </c>
      <c r="I229" s="729" t="str">
        <f>IF(Inventory!I232="","",Inventory!I232)</f>
        <v/>
      </c>
      <c r="J229" s="729" t="str">
        <f>IF(Inventory!J232="","",Inventory!J232)</f>
        <v/>
      </c>
      <c r="K229" s="729" t="str">
        <f>IF(Inventory!K232="","",Inventory!K232)</f>
        <v/>
      </c>
      <c r="L229" s="729" t="str">
        <f>IF(Inventory!L232="","",Inventory!L232)</f>
        <v/>
      </c>
      <c r="M229" s="765" t="str">
        <f>IF(Inventory!M232="","",Inventory!M232)</f>
        <v/>
      </c>
      <c r="N229" s="758" t="str">
        <f>IF(Inventory!N232="","",Inventory!N232)</f>
        <v/>
      </c>
      <c r="O229" s="765" t="str">
        <f>IF(Inventory!O232="","",Inventory!O232)</f>
        <v/>
      </c>
      <c r="P229" s="758" t="str">
        <f>IF(Inventory!P232="","",Inventory!P232)</f>
        <v/>
      </c>
      <c r="Q229" s="521" t="str">
        <f>IF(Inventory!Q232="","",Inventory!Q232)</f>
        <v/>
      </c>
      <c r="R229" s="775" t="str">
        <f>IF(Inventory!R232="","",Inventory!R232)</f>
        <v/>
      </c>
      <c r="S229" s="775" t="str">
        <f>IF(Inventory!S232="","",Inventory!S232)</f>
        <v/>
      </c>
      <c r="T229" s="729" t="str">
        <f>IF(Inventory!T232="","",Inventory!T232)</f>
        <v/>
      </c>
      <c r="U229" s="775" t="str">
        <f>IF(Inventory!U232="","",Inventory!U232)</f>
        <v/>
      </c>
      <c r="V229" s="779" t="str">
        <f>IF(Inventory!V232="","",Inventory!V232)</f>
        <v/>
      </c>
      <c r="W229" s="866"/>
    </row>
    <row r="230" spans="2:23" s="618" customFormat="1" ht="21.95" customHeight="1" x14ac:dyDescent="0.25">
      <c r="B230" s="432">
        <v>224</v>
      </c>
      <c r="C230" s="499" t="str">
        <f>IF(Inventory!C233="","",Inventory!C233)</f>
        <v/>
      </c>
      <c r="D230" s="751" t="str">
        <f>IF(Inventory!D233="","",Inventory!D233)</f>
        <v/>
      </c>
      <c r="E230" s="541" t="str">
        <f>IF(Inventory!E233="","",Inventory!E233)</f>
        <v/>
      </c>
      <c r="F230" s="785" t="str">
        <f>IF(Inventory!F233="","",Inventory!F233)</f>
        <v/>
      </c>
      <c r="G230" s="728" t="str">
        <f>IF(Inventory!G233="","",Inventory!G233)</f>
        <v/>
      </c>
      <c r="H230" s="728" t="str">
        <f>IF(Inventory!H233="","",Inventory!H233)</f>
        <v/>
      </c>
      <c r="I230" s="728" t="str">
        <f>IF(Inventory!I233="","",Inventory!I233)</f>
        <v/>
      </c>
      <c r="J230" s="728" t="str">
        <f>IF(Inventory!J233="","",Inventory!J233)</f>
        <v/>
      </c>
      <c r="K230" s="728" t="str">
        <f>IF(Inventory!K233="","",Inventory!K233)</f>
        <v/>
      </c>
      <c r="L230" s="728" t="str">
        <f>IF(Inventory!L233="","",Inventory!L233)</f>
        <v/>
      </c>
      <c r="M230" s="764" t="str">
        <f>IF(Inventory!M233="","",Inventory!M233)</f>
        <v/>
      </c>
      <c r="N230" s="728" t="str">
        <f>IF(Inventory!N233="","",Inventory!N233)</f>
        <v/>
      </c>
      <c r="O230" s="764" t="str">
        <f>IF(Inventory!O233="","",Inventory!O233)</f>
        <v/>
      </c>
      <c r="P230" s="728" t="str">
        <f>IF(Inventory!P233="","",Inventory!P233)</f>
        <v/>
      </c>
      <c r="Q230" s="520" t="str">
        <f>IF(Inventory!Q233="","",Inventory!Q233)</f>
        <v/>
      </c>
      <c r="R230" s="778" t="str">
        <f>IF(Inventory!R233="","",Inventory!R233)</f>
        <v/>
      </c>
      <c r="S230" s="778" t="str">
        <f>IF(Inventory!S233="","",Inventory!S233)</f>
        <v/>
      </c>
      <c r="T230" s="767" t="str">
        <f>IF(Inventory!T233="","",Inventory!T233)</f>
        <v/>
      </c>
      <c r="U230" s="778" t="str">
        <f>IF(Inventory!U233="","",Inventory!U233)</f>
        <v/>
      </c>
      <c r="V230" s="751" t="str">
        <f>IF(Inventory!V233="","",Inventory!V233)</f>
        <v/>
      </c>
      <c r="W230" s="871"/>
    </row>
    <row r="231" spans="2:23" s="618" customFormat="1" ht="21.95" customHeight="1" x14ac:dyDescent="0.25">
      <c r="B231" s="431">
        <v>225</v>
      </c>
      <c r="C231" s="501" t="str">
        <f>IF(Inventory!C234="","",Inventory!C234)</f>
        <v/>
      </c>
      <c r="D231" s="502" t="str">
        <f>IF(Inventory!D234="","",Inventory!D234)</f>
        <v/>
      </c>
      <c r="E231" s="546" t="str">
        <f>IF(Inventory!E234="","",Inventory!E234)</f>
        <v/>
      </c>
      <c r="F231" s="547" t="str">
        <f>IF(Inventory!F234="","",Inventory!F234)</f>
        <v/>
      </c>
      <c r="G231" s="729" t="str">
        <f>IF(Inventory!G234="","",Inventory!G234)</f>
        <v/>
      </c>
      <c r="H231" s="729" t="str">
        <f>IF(Inventory!H234="","",Inventory!H234)</f>
        <v/>
      </c>
      <c r="I231" s="729" t="str">
        <f>IF(Inventory!I234="","",Inventory!I234)</f>
        <v/>
      </c>
      <c r="J231" s="729" t="str">
        <f>IF(Inventory!J234="","",Inventory!J234)</f>
        <v/>
      </c>
      <c r="K231" s="729" t="str">
        <f>IF(Inventory!K234="","",Inventory!K234)</f>
        <v/>
      </c>
      <c r="L231" s="729" t="str">
        <f>IF(Inventory!L234="","",Inventory!L234)</f>
        <v/>
      </c>
      <c r="M231" s="765" t="str">
        <f>IF(Inventory!M234="","",Inventory!M234)</f>
        <v/>
      </c>
      <c r="N231" s="758" t="str">
        <f>IF(Inventory!N234="","",Inventory!N234)</f>
        <v/>
      </c>
      <c r="O231" s="765" t="str">
        <f>IF(Inventory!O234="","",Inventory!O234)</f>
        <v/>
      </c>
      <c r="P231" s="758" t="str">
        <f>IF(Inventory!P234="","",Inventory!P234)</f>
        <v/>
      </c>
      <c r="Q231" s="521" t="str">
        <f>IF(Inventory!Q234="","",Inventory!Q234)</f>
        <v/>
      </c>
      <c r="R231" s="775" t="str">
        <f>IF(Inventory!R234="","",Inventory!R234)</f>
        <v/>
      </c>
      <c r="S231" s="775" t="str">
        <f>IF(Inventory!S234="","",Inventory!S234)</f>
        <v/>
      </c>
      <c r="T231" s="729" t="str">
        <f>IF(Inventory!T234="","",Inventory!T234)</f>
        <v/>
      </c>
      <c r="U231" s="775" t="str">
        <f>IF(Inventory!U234="","",Inventory!U234)</f>
        <v/>
      </c>
      <c r="V231" s="779" t="str">
        <f>IF(Inventory!V234="","",Inventory!V234)</f>
        <v/>
      </c>
      <c r="W231" s="866"/>
    </row>
    <row r="232" spans="2:23" s="618" customFormat="1" ht="21.95" customHeight="1" x14ac:dyDescent="0.25">
      <c r="B232" s="432">
        <v>226</v>
      </c>
      <c r="C232" s="499" t="str">
        <f>IF(Inventory!C235="","",Inventory!C235)</f>
        <v/>
      </c>
      <c r="D232" s="751" t="str">
        <f>IF(Inventory!D235="","",Inventory!D235)</f>
        <v/>
      </c>
      <c r="E232" s="541" t="str">
        <f>IF(Inventory!E235="","",Inventory!E235)</f>
        <v/>
      </c>
      <c r="F232" s="785" t="str">
        <f>IF(Inventory!F235="","",Inventory!F235)</f>
        <v/>
      </c>
      <c r="G232" s="728" t="str">
        <f>IF(Inventory!G235="","",Inventory!G235)</f>
        <v/>
      </c>
      <c r="H232" s="728" t="str">
        <f>IF(Inventory!H235="","",Inventory!H235)</f>
        <v/>
      </c>
      <c r="I232" s="728" t="str">
        <f>IF(Inventory!I235="","",Inventory!I235)</f>
        <v/>
      </c>
      <c r="J232" s="728" t="str">
        <f>IF(Inventory!J235="","",Inventory!J235)</f>
        <v/>
      </c>
      <c r="K232" s="728" t="str">
        <f>IF(Inventory!K235="","",Inventory!K235)</f>
        <v/>
      </c>
      <c r="L232" s="728" t="str">
        <f>IF(Inventory!L235="","",Inventory!L235)</f>
        <v/>
      </c>
      <c r="M232" s="764" t="str">
        <f>IF(Inventory!M235="","",Inventory!M235)</f>
        <v/>
      </c>
      <c r="N232" s="728" t="str">
        <f>IF(Inventory!N235="","",Inventory!N235)</f>
        <v/>
      </c>
      <c r="O232" s="764" t="str">
        <f>IF(Inventory!O235="","",Inventory!O235)</f>
        <v/>
      </c>
      <c r="P232" s="728" t="str">
        <f>IF(Inventory!P235="","",Inventory!P235)</f>
        <v/>
      </c>
      <c r="Q232" s="520" t="str">
        <f>IF(Inventory!Q235="","",Inventory!Q235)</f>
        <v/>
      </c>
      <c r="R232" s="778" t="str">
        <f>IF(Inventory!R235="","",Inventory!R235)</f>
        <v/>
      </c>
      <c r="S232" s="778" t="str">
        <f>IF(Inventory!S235="","",Inventory!S235)</f>
        <v/>
      </c>
      <c r="T232" s="767" t="str">
        <f>IF(Inventory!T235="","",Inventory!T235)</f>
        <v/>
      </c>
      <c r="U232" s="778" t="str">
        <f>IF(Inventory!U235="","",Inventory!U235)</f>
        <v/>
      </c>
      <c r="V232" s="751" t="str">
        <f>IF(Inventory!V235="","",Inventory!V235)</f>
        <v/>
      </c>
      <c r="W232" s="871"/>
    </row>
    <row r="233" spans="2:23" s="618" customFormat="1" ht="21.95" customHeight="1" x14ac:dyDescent="0.25">
      <c r="B233" s="431">
        <v>227</v>
      </c>
      <c r="C233" s="501" t="str">
        <f>IF(Inventory!C236="","",Inventory!C236)</f>
        <v/>
      </c>
      <c r="D233" s="502" t="str">
        <f>IF(Inventory!D236="","",Inventory!D236)</f>
        <v/>
      </c>
      <c r="E233" s="546" t="str">
        <f>IF(Inventory!E236="","",Inventory!E236)</f>
        <v/>
      </c>
      <c r="F233" s="547" t="str">
        <f>IF(Inventory!F236="","",Inventory!F236)</f>
        <v/>
      </c>
      <c r="G233" s="729" t="str">
        <f>IF(Inventory!G236="","",Inventory!G236)</f>
        <v/>
      </c>
      <c r="H233" s="729" t="str">
        <f>IF(Inventory!H236="","",Inventory!H236)</f>
        <v/>
      </c>
      <c r="I233" s="729" t="str">
        <f>IF(Inventory!I236="","",Inventory!I236)</f>
        <v/>
      </c>
      <c r="J233" s="729" t="str">
        <f>IF(Inventory!J236="","",Inventory!J236)</f>
        <v/>
      </c>
      <c r="K233" s="729" t="str">
        <f>IF(Inventory!K236="","",Inventory!K236)</f>
        <v/>
      </c>
      <c r="L233" s="729" t="str">
        <f>IF(Inventory!L236="","",Inventory!L236)</f>
        <v/>
      </c>
      <c r="M233" s="765" t="str">
        <f>IF(Inventory!M236="","",Inventory!M236)</f>
        <v/>
      </c>
      <c r="N233" s="758" t="str">
        <f>IF(Inventory!N236="","",Inventory!N236)</f>
        <v/>
      </c>
      <c r="O233" s="765" t="str">
        <f>IF(Inventory!O236="","",Inventory!O236)</f>
        <v/>
      </c>
      <c r="P233" s="758" t="str">
        <f>IF(Inventory!P236="","",Inventory!P236)</f>
        <v/>
      </c>
      <c r="Q233" s="521" t="str">
        <f>IF(Inventory!Q236="","",Inventory!Q236)</f>
        <v/>
      </c>
      <c r="R233" s="775" t="str">
        <f>IF(Inventory!R236="","",Inventory!R236)</f>
        <v/>
      </c>
      <c r="S233" s="775" t="str">
        <f>IF(Inventory!S236="","",Inventory!S236)</f>
        <v/>
      </c>
      <c r="T233" s="729" t="str">
        <f>IF(Inventory!T236="","",Inventory!T236)</f>
        <v/>
      </c>
      <c r="U233" s="775" t="str">
        <f>IF(Inventory!U236="","",Inventory!U236)</f>
        <v/>
      </c>
      <c r="V233" s="779" t="str">
        <f>IF(Inventory!V236="","",Inventory!V236)</f>
        <v/>
      </c>
      <c r="W233" s="866"/>
    </row>
    <row r="234" spans="2:23" s="618" customFormat="1" ht="21.95" customHeight="1" x14ac:dyDescent="0.25">
      <c r="B234" s="432">
        <v>228</v>
      </c>
      <c r="C234" s="499" t="str">
        <f>IF(Inventory!C237="","",Inventory!C237)</f>
        <v/>
      </c>
      <c r="D234" s="751" t="str">
        <f>IF(Inventory!D237="","",Inventory!D237)</f>
        <v/>
      </c>
      <c r="E234" s="541" t="str">
        <f>IF(Inventory!E237="","",Inventory!E237)</f>
        <v/>
      </c>
      <c r="F234" s="785" t="str">
        <f>IF(Inventory!F237="","",Inventory!F237)</f>
        <v/>
      </c>
      <c r="G234" s="728" t="str">
        <f>IF(Inventory!G237="","",Inventory!G237)</f>
        <v/>
      </c>
      <c r="H234" s="728" t="str">
        <f>IF(Inventory!H237="","",Inventory!H237)</f>
        <v/>
      </c>
      <c r="I234" s="728" t="str">
        <f>IF(Inventory!I237="","",Inventory!I237)</f>
        <v/>
      </c>
      <c r="J234" s="728" t="str">
        <f>IF(Inventory!J237="","",Inventory!J237)</f>
        <v/>
      </c>
      <c r="K234" s="728" t="str">
        <f>IF(Inventory!K237="","",Inventory!K237)</f>
        <v/>
      </c>
      <c r="L234" s="728" t="str">
        <f>IF(Inventory!L237="","",Inventory!L237)</f>
        <v/>
      </c>
      <c r="M234" s="764" t="str">
        <f>IF(Inventory!M237="","",Inventory!M237)</f>
        <v/>
      </c>
      <c r="N234" s="728" t="str">
        <f>IF(Inventory!N237="","",Inventory!N237)</f>
        <v/>
      </c>
      <c r="O234" s="764" t="str">
        <f>IF(Inventory!O237="","",Inventory!O237)</f>
        <v/>
      </c>
      <c r="P234" s="728" t="str">
        <f>IF(Inventory!P237="","",Inventory!P237)</f>
        <v/>
      </c>
      <c r="Q234" s="520" t="str">
        <f>IF(Inventory!Q237="","",Inventory!Q237)</f>
        <v/>
      </c>
      <c r="R234" s="778" t="str">
        <f>IF(Inventory!R237="","",Inventory!R237)</f>
        <v/>
      </c>
      <c r="S234" s="778" t="str">
        <f>IF(Inventory!S237="","",Inventory!S237)</f>
        <v/>
      </c>
      <c r="T234" s="767" t="str">
        <f>IF(Inventory!T237="","",Inventory!T237)</f>
        <v/>
      </c>
      <c r="U234" s="778" t="str">
        <f>IF(Inventory!U237="","",Inventory!U237)</f>
        <v/>
      </c>
      <c r="V234" s="751" t="str">
        <f>IF(Inventory!V237="","",Inventory!V237)</f>
        <v/>
      </c>
      <c r="W234" s="871"/>
    </row>
    <row r="235" spans="2:23" s="618" customFormat="1" ht="21.95" customHeight="1" x14ac:dyDescent="0.25">
      <c r="B235" s="431">
        <v>229</v>
      </c>
      <c r="C235" s="501" t="str">
        <f>IF(Inventory!C238="","",Inventory!C238)</f>
        <v/>
      </c>
      <c r="D235" s="502" t="str">
        <f>IF(Inventory!D238="","",Inventory!D238)</f>
        <v/>
      </c>
      <c r="E235" s="546" t="str">
        <f>IF(Inventory!E238="","",Inventory!E238)</f>
        <v/>
      </c>
      <c r="F235" s="547" t="str">
        <f>IF(Inventory!F238="","",Inventory!F238)</f>
        <v/>
      </c>
      <c r="G235" s="729" t="str">
        <f>IF(Inventory!G238="","",Inventory!G238)</f>
        <v/>
      </c>
      <c r="H235" s="729" t="str">
        <f>IF(Inventory!H238="","",Inventory!H238)</f>
        <v/>
      </c>
      <c r="I235" s="729" t="str">
        <f>IF(Inventory!I238="","",Inventory!I238)</f>
        <v/>
      </c>
      <c r="J235" s="729" t="str">
        <f>IF(Inventory!J238="","",Inventory!J238)</f>
        <v/>
      </c>
      <c r="K235" s="729" t="str">
        <f>IF(Inventory!K238="","",Inventory!K238)</f>
        <v/>
      </c>
      <c r="L235" s="729" t="str">
        <f>IF(Inventory!L238="","",Inventory!L238)</f>
        <v/>
      </c>
      <c r="M235" s="765" t="str">
        <f>IF(Inventory!M238="","",Inventory!M238)</f>
        <v/>
      </c>
      <c r="N235" s="758" t="str">
        <f>IF(Inventory!N238="","",Inventory!N238)</f>
        <v/>
      </c>
      <c r="O235" s="765" t="str">
        <f>IF(Inventory!O238="","",Inventory!O238)</f>
        <v/>
      </c>
      <c r="P235" s="758" t="str">
        <f>IF(Inventory!P238="","",Inventory!P238)</f>
        <v/>
      </c>
      <c r="Q235" s="521" t="str">
        <f>IF(Inventory!Q238="","",Inventory!Q238)</f>
        <v/>
      </c>
      <c r="R235" s="775" t="str">
        <f>IF(Inventory!R238="","",Inventory!R238)</f>
        <v/>
      </c>
      <c r="S235" s="775" t="str">
        <f>IF(Inventory!S238="","",Inventory!S238)</f>
        <v/>
      </c>
      <c r="T235" s="729" t="str">
        <f>IF(Inventory!T238="","",Inventory!T238)</f>
        <v/>
      </c>
      <c r="U235" s="775" t="str">
        <f>IF(Inventory!U238="","",Inventory!U238)</f>
        <v/>
      </c>
      <c r="V235" s="779" t="str">
        <f>IF(Inventory!V238="","",Inventory!V238)</f>
        <v/>
      </c>
      <c r="W235" s="866"/>
    </row>
    <row r="236" spans="2:23" s="618" customFormat="1" ht="21.95" customHeight="1" x14ac:dyDescent="0.25">
      <c r="B236" s="432">
        <v>230</v>
      </c>
      <c r="C236" s="499" t="str">
        <f>IF(Inventory!C239="","",Inventory!C239)</f>
        <v/>
      </c>
      <c r="D236" s="751" t="str">
        <f>IF(Inventory!D239="","",Inventory!D239)</f>
        <v/>
      </c>
      <c r="E236" s="541" t="str">
        <f>IF(Inventory!E239="","",Inventory!E239)</f>
        <v/>
      </c>
      <c r="F236" s="785" t="str">
        <f>IF(Inventory!F239="","",Inventory!F239)</f>
        <v/>
      </c>
      <c r="G236" s="728" t="str">
        <f>IF(Inventory!G239="","",Inventory!G239)</f>
        <v/>
      </c>
      <c r="H236" s="728" t="str">
        <f>IF(Inventory!H239="","",Inventory!H239)</f>
        <v/>
      </c>
      <c r="I236" s="728" t="str">
        <f>IF(Inventory!I239="","",Inventory!I239)</f>
        <v/>
      </c>
      <c r="J236" s="728" t="str">
        <f>IF(Inventory!J239="","",Inventory!J239)</f>
        <v/>
      </c>
      <c r="K236" s="728" t="str">
        <f>IF(Inventory!K239="","",Inventory!K239)</f>
        <v/>
      </c>
      <c r="L236" s="728" t="str">
        <f>IF(Inventory!L239="","",Inventory!L239)</f>
        <v/>
      </c>
      <c r="M236" s="764" t="str">
        <f>IF(Inventory!M239="","",Inventory!M239)</f>
        <v/>
      </c>
      <c r="N236" s="728" t="str">
        <f>IF(Inventory!N239="","",Inventory!N239)</f>
        <v/>
      </c>
      <c r="O236" s="764" t="str">
        <f>IF(Inventory!O239="","",Inventory!O239)</f>
        <v/>
      </c>
      <c r="P236" s="728" t="str">
        <f>IF(Inventory!P239="","",Inventory!P239)</f>
        <v/>
      </c>
      <c r="Q236" s="520" t="str">
        <f>IF(Inventory!Q239="","",Inventory!Q239)</f>
        <v/>
      </c>
      <c r="R236" s="778" t="str">
        <f>IF(Inventory!R239="","",Inventory!R239)</f>
        <v/>
      </c>
      <c r="S236" s="778" t="str">
        <f>IF(Inventory!S239="","",Inventory!S239)</f>
        <v/>
      </c>
      <c r="T236" s="767" t="str">
        <f>IF(Inventory!T239="","",Inventory!T239)</f>
        <v/>
      </c>
      <c r="U236" s="778" t="str">
        <f>IF(Inventory!U239="","",Inventory!U239)</f>
        <v/>
      </c>
      <c r="V236" s="751" t="str">
        <f>IF(Inventory!V239="","",Inventory!V239)</f>
        <v/>
      </c>
      <c r="W236" s="871"/>
    </row>
    <row r="237" spans="2:23" s="618" customFormat="1" ht="21.95" customHeight="1" x14ac:dyDescent="0.25">
      <c r="B237" s="431">
        <v>231</v>
      </c>
      <c r="C237" s="501" t="str">
        <f>IF(Inventory!C240="","",Inventory!C240)</f>
        <v/>
      </c>
      <c r="D237" s="502" t="str">
        <f>IF(Inventory!D240="","",Inventory!D240)</f>
        <v/>
      </c>
      <c r="E237" s="546" t="str">
        <f>IF(Inventory!E240="","",Inventory!E240)</f>
        <v/>
      </c>
      <c r="F237" s="547" t="str">
        <f>IF(Inventory!F240="","",Inventory!F240)</f>
        <v/>
      </c>
      <c r="G237" s="729" t="str">
        <f>IF(Inventory!G240="","",Inventory!G240)</f>
        <v/>
      </c>
      <c r="H237" s="729" t="str">
        <f>IF(Inventory!H240="","",Inventory!H240)</f>
        <v/>
      </c>
      <c r="I237" s="729" t="str">
        <f>IF(Inventory!I240="","",Inventory!I240)</f>
        <v/>
      </c>
      <c r="J237" s="729" t="str">
        <f>IF(Inventory!J240="","",Inventory!J240)</f>
        <v/>
      </c>
      <c r="K237" s="729" t="str">
        <f>IF(Inventory!K240="","",Inventory!K240)</f>
        <v/>
      </c>
      <c r="L237" s="729" t="str">
        <f>IF(Inventory!L240="","",Inventory!L240)</f>
        <v/>
      </c>
      <c r="M237" s="765" t="str">
        <f>IF(Inventory!M240="","",Inventory!M240)</f>
        <v/>
      </c>
      <c r="N237" s="758" t="str">
        <f>IF(Inventory!N240="","",Inventory!N240)</f>
        <v/>
      </c>
      <c r="O237" s="765" t="str">
        <f>IF(Inventory!O240="","",Inventory!O240)</f>
        <v/>
      </c>
      <c r="P237" s="758" t="str">
        <f>IF(Inventory!P240="","",Inventory!P240)</f>
        <v/>
      </c>
      <c r="Q237" s="521" t="str">
        <f>IF(Inventory!Q240="","",Inventory!Q240)</f>
        <v/>
      </c>
      <c r="R237" s="775" t="str">
        <f>IF(Inventory!R240="","",Inventory!R240)</f>
        <v/>
      </c>
      <c r="S237" s="775" t="str">
        <f>IF(Inventory!S240="","",Inventory!S240)</f>
        <v/>
      </c>
      <c r="T237" s="729" t="str">
        <f>IF(Inventory!T240="","",Inventory!T240)</f>
        <v/>
      </c>
      <c r="U237" s="775" t="str">
        <f>IF(Inventory!U240="","",Inventory!U240)</f>
        <v/>
      </c>
      <c r="V237" s="779" t="str">
        <f>IF(Inventory!V240="","",Inventory!V240)</f>
        <v/>
      </c>
      <c r="W237" s="866"/>
    </row>
    <row r="238" spans="2:23" s="618" customFormat="1" ht="21.95" customHeight="1" x14ac:dyDescent="0.25">
      <c r="B238" s="432">
        <v>232</v>
      </c>
      <c r="C238" s="499" t="str">
        <f>IF(Inventory!C241="","",Inventory!C241)</f>
        <v/>
      </c>
      <c r="D238" s="751" t="str">
        <f>IF(Inventory!D241="","",Inventory!D241)</f>
        <v/>
      </c>
      <c r="E238" s="541" t="str">
        <f>IF(Inventory!E241="","",Inventory!E241)</f>
        <v/>
      </c>
      <c r="F238" s="785" t="str">
        <f>IF(Inventory!F241="","",Inventory!F241)</f>
        <v/>
      </c>
      <c r="G238" s="728" t="str">
        <f>IF(Inventory!G241="","",Inventory!G241)</f>
        <v/>
      </c>
      <c r="H238" s="728" t="str">
        <f>IF(Inventory!H241="","",Inventory!H241)</f>
        <v/>
      </c>
      <c r="I238" s="728" t="str">
        <f>IF(Inventory!I241="","",Inventory!I241)</f>
        <v/>
      </c>
      <c r="J238" s="728" t="str">
        <f>IF(Inventory!J241="","",Inventory!J241)</f>
        <v/>
      </c>
      <c r="K238" s="728" t="str">
        <f>IF(Inventory!K241="","",Inventory!K241)</f>
        <v/>
      </c>
      <c r="L238" s="728" t="str">
        <f>IF(Inventory!L241="","",Inventory!L241)</f>
        <v/>
      </c>
      <c r="M238" s="764" t="str">
        <f>IF(Inventory!M241="","",Inventory!M241)</f>
        <v/>
      </c>
      <c r="N238" s="728" t="str">
        <f>IF(Inventory!N241="","",Inventory!N241)</f>
        <v/>
      </c>
      <c r="O238" s="764" t="str">
        <f>IF(Inventory!O241="","",Inventory!O241)</f>
        <v/>
      </c>
      <c r="P238" s="728" t="str">
        <f>IF(Inventory!P241="","",Inventory!P241)</f>
        <v/>
      </c>
      <c r="Q238" s="520" t="str">
        <f>IF(Inventory!Q241="","",Inventory!Q241)</f>
        <v/>
      </c>
      <c r="R238" s="778" t="str">
        <f>IF(Inventory!R241="","",Inventory!R241)</f>
        <v/>
      </c>
      <c r="S238" s="778" t="str">
        <f>IF(Inventory!S241="","",Inventory!S241)</f>
        <v/>
      </c>
      <c r="T238" s="767" t="str">
        <f>IF(Inventory!T241="","",Inventory!T241)</f>
        <v/>
      </c>
      <c r="U238" s="778" t="str">
        <f>IF(Inventory!U241="","",Inventory!U241)</f>
        <v/>
      </c>
      <c r="V238" s="751" t="str">
        <f>IF(Inventory!V241="","",Inventory!V241)</f>
        <v/>
      </c>
      <c r="W238" s="871"/>
    </row>
    <row r="239" spans="2:23" s="618" customFormat="1" ht="21.95" customHeight="1" x14ac:dyDescent="0.25">
      <c r="B239" s="431">
        <v>233</v>
      </c>
      <c r="C239" s="501" t="str">
        <f>IF(Inventory!C242="","",Inventory!C242)</f>
        <v/>
      </c>
      <c r="D239" s="502" t="str">
        <f>IF(Inventory!D242="","",Inventory!D242)</f>
        <v/>
      </c>
      <c r="E239" s="546" t="str">
        <f>IF(Inventory!E242="","",Inventory!E242)</f>
        <v/>
      </c>
      <c r="F239" s="547" t="str">
        <f>IF(Inventory!F242="","",Inventory!F242)</f>
        <v/>
      </c>
      <c r="G239" s="729" t="str">
        <f>IF(Inventory!G242="","",Inventory!G242)</f>
        <v/>
      </c>
      <c r="H239" s="729" t="str">
        <f>IF(Inventory!H242="","",Inventory!H242)</f>
        <v/>
      </c>
      <c r="I239" s="729" t="str">
        <f>IF(Inventory!I242="","",Inventory!I242)</f>
        <v/>
      </c>
      <c r="J239" s="729" t="str">
        <f>IF(Inventory!J242="","",Inventory!J242)</f>
        <v/>
      </c>
      <c r="K239" s="729" t="str">
        <f>IF(Inventory!K242="","",Inventory!K242)</f>
        <v/>
      </c>
      <c r="L239" s="729" t="str">
        <f>IF(Inventory!L242="","",Inventory!L242)</f>
        <v/>
      </c>
      <c r="M239" s="765" t="str">
        <f>IF(Inventory!M242="","",Inventory!M242)</f>
        <v/>
      </c>
      <c r="N239" s="758" t="str">
        <f>IF(Inventory!N242="","",Inventory!N242)</f>
        <v/>
      </c>
      <c r="O239" s="765" t="str">
        <f>IF(Inventory!O242="","",Inventory!O242)</f>
        <v/>
      </c>
      <c r="P239" s="758" t="str">
        <f>IF(Inventory!P242="","",Inventory!P242)</f>
        <v/>
      </c>
      <c r="Q239" s="521" t="str">
        <f>IF(Inventory!Q242="","",Inventory!Q242)</f>
        <v/>
      </c>
      <c r="R239" s="775" t="str">
        <f>IF(Inventory!R242="","",Inventory!R242)</f>
        <v/>
      </c>
      <c r="S239" s="775" t="str">
        <f>IF(Inventory!S242="","",Inventory!S242)</f>
        <v/>
      </c>
      <c r="T239" s="729" t="str">
        <f>IF(Inventory!T242="","",Inventory!T242)</f>
        <v/>
      </c>
      <c r="U239" s="775" t="str">
        <f>IF(Inventory!U242="","",Inventory!U242)</f>
        <v/>
      </c>
      <c r="V239" s="779" t="str">
        <f>IF(Inventory!V242="","",Inventory!V242)</f>
        <v/>
      </c>
      <c r="W239" s="866"/>
    </row>
    <row r="240" spans="2:23" s="618" customFormat="1" ht="21.95" customHeight="1" x14ac:dyDescent="0.25">
      <c r="B240" s="432">
        <v>234</v>
      </c>
      <c r="C240" s="499" t="str">
        <f>IF(Inventory!C243="","",Inventory!C243)</f>
        <v/>
      </c>
      <c r="D240" s="751" t="str">
        <f>IF(Inventory!D243="","",Inventory!D243)</f>
        <v/>
      </c>
      <c r="E240" s="541" t="str">
        <f>IF(Inventory!E243="","",Inventory!E243)</f>
        <v/>
      </c>
      <c r="F240" s="785" t="str">
        <f>IF(Inventory!F243="","",Inventory!F243)</f>
        <v/>
      </c>
      <c r="G240" s="728" t="str">
        <f>IF(Inventory!G243="","",Inventory!G243)</f>
        <v/>
      </c>
      <c r="H240" s="728" t="str">
        <f>IF(Inventory!H243="","",Inventory!H243)</f>
        <v/>
      </c>
      <c r="I240" s="728" t="str">
        <f>IF(Inventory!I243="","",Inventory!I243)</f>
        <v/>
      </c>
      <c r="J240" s="728" t="str">
        <f>IF(Inventory!J243="","",Inventory!J243)</f>
        <v/>
      </c>
      <c r="K240" s="728" t="str">
        <f>IF(Inventory!K243="","",Inventory!K243)</f>
        <v/>
      </c>
      <c r="L240" s="728" t="str">
        <f>IF(Inventory!L243="","",Inventory!L243)</f>
        <v/>
      </c>
      <c r="M240" s="764" t="str">
        <f>IF(Inventory!M243="","",Inventory!M243)</f>
        <v/>
      </c>
      <c r="N240" s="728" t="str">
        <f>IF(Inventory!N243="","",Inventory!N243)</f>
        <v/>
      </c>
      <c r="O240" s="764" t="str">
        <f>IF(Inventory!O243="","",Inventory!O243)</f>
        <v/>
      </c>
      <c r="P240" s="728" t="str">
        <f>IF(Inventory!P243="","",Inventory!P243)</f>
        <v/>
      </c>
      <c r="Q240" s="520" t="str">
        <f>IF(Inventory!Q243="","",Inventory!Q243)</f>
        <v/>
      </c>
      <c r="R240" s="778" t="str">
        <f>IF(Inventory!R243="","",Inventory!R243)</f>
        <v/>
      </c>
      <c r="S240" s="778" t="str">
        <f>IF(Inventory!S243="","",Inventory!S243)</f>
        <v/>
      </c>
      <c r="T240" s="767" t="str">
        <f>IF(Inventory!T243="","",Inventory!T243)</f>
        <v/>
      </c>
      <c r="U240" s="778" t="str">
        <f>IF(Inventory!U243="","",Inventory!U243)</f>
        <v/>
      </c>
      <c r="V240" s="751" t="str">
        <f>IF(Inventory!V243="","",Inventory!V243)</f>
        <v/>
      </c>
      <c r="W240" s="871"/>
    </row>
    <row r="241" spans="2:23" s="618" customFormat="1" ht="21.95" customHeight="1" x14ac:dyDescent="0.25">
      <c r="B241" s="431">
        <v>235</v>
      </c>
      <c r="C241" s="501" t="str">
        <f>IF(Inventory!C244="","",Inventory!C244)</f>
        <v/>
      </c>
      <c r="D241" s="502" t="str">
        <f>IF(Inventory!D244="","",Inventory!D244)</f>
        <v/>
      </c>
      <c r="E241" s="546" t="str">
        <f>IF(Inventory!E244="","",Inventory!E244)</f>
        <v/>
      </c>
      <c r="F241" s="547" t="str">
        <f>IF(Inventory!F244="","",Inventory!F244)</f>
        <v/>
      </c>
      <c r="G241" s="729" t="str">
        <f>IF(Inventory!G244="","",Inventory!G244)</f>
        <v/>
      </c>
      <c r="H241" s="729" t="str">
        <f>IF(Inventory!H244="","",Inventory!H244)</f>
        <v/>
      </c>
      <c r="I241" s="729" t="str">
        <f>IF(Inventory!I244="","",Inventory!I244)</f>
        <v/>
      </c>
      <c r="J241" s="729" t="str">
        <f>IF(Inventory!J244="","",Inventory!J244)</f>
        <v/>
      </c>
      <c r="K241" s="729" t="str">
        <f>IF(Inventory!K244="","",Inventory!K244)</f>
        <v/>
      </c>
      <c r="L241" s="729" t="str">
        <f>IF(Inventory!L244="","",Inventory!L244)</f>
        <v/>
      </c>
      <c r="M241" s="765" t="str">
        <f>IF(Inventory!M244="","",Inventory!M244)</f>
        <v/>
      </c>
      <c r="N241" s="758" t="str">
        <f>IF(Inventory!N244="","",Inventory!N244)</f>
        <v/>
      </c>
      <c r="O241" s="765" t="str">
        <f>IF(Inventory!O244="","",Inventory!O244)</f>
        <v/>
      </c>
      <c r="P241" s="758" t="str">
        <f>IF(Inventory!P244="","",Inventory!P244)</f>
        <v/>
      </c>
      <c r="Q241" s="521" t="str">
        <f>IF(Inventory!Q244="","",Inventory!Q244)</f>
        <v/>
      </c>
      <c r="R241" s="775" t="str">
        <f>IF(Inventory!R244="","",Inventory!R244)</f>
        <v/>
      </c>
      <c r="S241" s="775" t="str">
        <f>IF(Inventory!S244="","",Inventory!S244)</f>
        <v/>
      </c>
      <c r="T241" s="729" t="str">
        <f>IF(Inventory!T244="","",Inventory!T244)</f>
        <v/>
      </c>
      <c r="U241" s="775" t="str">
        <f>IF(Inventory!U244="","",Inventory!U244)</f>
        <v/>
      </c>
      <c r="V241" s="779" t="str">
        <f>IF(Inventory!V244="","",Inventory!V244)</f>
        <v/>
      </c>
      <c r="W241" s="866"/>
    </row>
    <row r="242" spans="2:23" s="618" customFormat="1" ht="21.95" customHeight="1" x14ac:dyDescent="0.25">
      <c r="B242" s="432">
        <v>236</v>
      </c>
      <c r="C242" s="499" t="str">
        <f>IF(Inventory!C245="","",Inventory!C245)</f>
        <v/>
      </c>
      <c r="D242" s="751" t="str">
        <f>IF(Inventory!D245="","",Inventory!D245)</f>
        <v/>
      </c>
      <c r="E242" s="541" t="str">
        <f>IF(Inventory!E245="","",Inventory!E245)</f>
        <v/>
      </c>
      <c r="F242" s="785" t="str">
        <f>IF(Inventory!F245="","",Inventory!F245)</f>
        <v/>
      </c>
      <c r="G242" s="728" t="str">
        <f>IF(Inventory!G245="","",Inventory!G245)</f>
        <v/>
      </c>
      <c r="H242" s="728" t="str">
        <f>IF(Inventory!H245="","",Inventory!H245)</f>
        <v/>
      </c>
      <c r="I242" s="728" t="str">
        <f>IF(Inventory!I245="","",Inventory!I245)</f>
        <v/>
      </c>
      <c r="J242" s="728" t="str">
        <f>IF(Inventory!J245="","",Inventory!J245)</f>
        <v/>
      </c>
      <c r="K242" s="728" t="str">
        <f>IF(Inventory!K245="","",Inventory!K245)</f>
        <v/>
      </c>
      <c r="L242" s="728" t="str">
        <f>IF(Inventory!L245="","",Inventory!L245)</f>
        <v/>
      </c>
      <c r="M242" s="764" t="str">
        <f>IF(Inventory!M245="","",Inventory!M245)</f>
        <v/>
      </c>
      <c r="N242" s="728" t="str">
        <f>IF(Inventory!N245="","",Inventory!N245)</f>
        <v/>
      </c>
      <c r="O242" s="764" t="str">
        <f>IF(Inventory!O245="","",Inventory!O245)</f>
        <v/>
      </c>
      <c r="P242" s="728" t="str">
        <f>IF(Inventory!P245="","",Inventory!P245)</f>
        <v/>
      </c>
      <c r="Q242" s="520" t="str">
        <f>IF(Inventory!Q245="","",Inventory!Q245)</f>
        <v/>
      </c>
      <c r="R242" s="778" t="str">
        <f>IF(Inventory!R245="","",Inventory!R245)</f>
        <v/>
      </c>
      <c r="S242" s="778" t="str">
        <f>IF(Inventory!S245="","",Inventory!S245)</f>
        <v/>
      </c>
      <c r="T242" s="767" t="str">
        <f>IF(Inventory!T245="","",Inventory!T245)</f>
        <v/>
      </c>
      <c r="U242" s="778" t="str">
        <f>IF(Inventory!U245="","",Inventory!U245)</f>
        <v/>
      </c>
      <c r="V242" s="751" t="str">
        <f>IF(Inventory!V245="","",Inventory!V245)</f>
        <v/>
      </c>
      <c r="W242" s="871"/>
    </row>
    <row r="243" spans="2:23" s="618" customFormat="1" ht="21.95" customHeight="1" x14ac:dyDescent="0.25">
      <c r="B243" s="431">
        <v>237</v>
      </c>
      <c r="C243" s="501" t="str">
        <f>IF(Inventory!C246="","",Inventory!C246)</f>
        <v/>
      </c>
      <c r="D243" s="502" t="str">
        <f>IF(Inventory!D246="","",Inventory!D246)</f>
        <v/>
      </c>
      <c r="E243" s="546" t="str">
        <f>IF(Inventory!E246="","",Inventory!E246)</f>
        <v/>
      </c>
      <c r="F243" s="547" t="str">
        <f>IF(Inventory!F246="","",Inventory!F246)</f>
        <v/>
      </c>
      <c r="G243" s="729" t="str">
        <f>IF(Inventory!G246="","",Inventory!G246)</f>
        <v/>
      </c>
      <c r="H243" s="729" t="str">
        <f>IF(Inventory!H246="","",Inventory!H246)</f>
        <v/>
      </c>
      <c r="I243" s="729" t="str">
        <f>IF(Inventory!I246="","",Inventory!I246)</f>
        <v/>
      </c>
      <c r="J243" s="729" t="str">
        <f>IF(Inventory!J246="","",Inventory!J246)</f>
        <v/>
      </c>
      <c r="K243" s="729" t="str">
        <f>IF(Inventory!K246="","",Inventory!K246)</f>
        <v/>
      </c>
      <c r="L243" s="729" t="str">
        <f>IF(Inventory!L246="","",Inventory!L246)</f>
        <v/>
      </c>
      <c r="M243" s="765" t="str">
        <f>IF(Inventory!M246="","",Inventory!M246)</f>
        <v/>
      </c>
      <c r="N243" s="758" t="str">
        <f>IF(Inventory!N246="","",Inventory!N246)</f>
        <v/>
      </c>
      <c r="O243" s="765" t="str">
        <f>IF(Inventory!O246="","",Inventory!O246)</f>
        <v/>
      </c>
      <c r="P243" s="758" t="str">
        <f>IF(Inventory!P246="","",Inventory!P246)</f>
        <v/>
      </c>
      <c r="Q243" s="521" t="str">
        <f>IF(Inventory!Q246="","",Inventory!Q246)</f>
        <v/>
      </c>
      <c r="R243" s="775" t="str">
        <f>IF(Inventory!R246="","",Inventory!R246)</f>
        <v/>
      </c>
      <c r="S243" s="775" t="str">
        <f>IF(Inventory!S246="","",Inventory!S246)</f>
        <v/>
      </c>
      <c r="T243" s="729" t="str">
        <f>IF(Inventory!T246="","",Inventory!T246)</f>
        <v/>
      </c>
      <c r="U243" s="775" t="str">
        <f>IF(Inventory!U246="","",Inventory!U246)</f>
        <v/>
      </c>
      <c r="V243" s="779" t="str">
        <f>IF(Inventory!V246="","",Inventory!V246)</f>
        <v/>
      </c>
      <c r="W243" s="866"/>
    </row>
    <row r="244" spans="2:23" s="618" customFormat="1" ht="21.95" customHeight="1" x14ac:dyDescent="0.25">
      <c r="B244" s="432">
        <v>238</v>
      </c>
      <c r="C244" s="499" t="str">
        <f>IF(Inventory!C247="","",Inventory!C247)</f>
        <v/>
      </c>
      <c r="D244" s="751" t="str">
        <f>IF(Inventory!D247="","",Inventory!D247)</f>
        <v/>
      </c>
      <c r="E244" s="541" t="str">
        <f>IF(Inventory!E247="","",Inventory!E247)</f>
        <v/>
      </c>
      <c r="F244" s="785" t="str">
        <f>IF(Inventory!F247="","",Inventory!F247)</f>
        <v/>
      </c>
      <c r="G244" s="728" t="str">
        <f>IF(Inventory!G247="","",Inventory!G247)</f>
        <v/>
      </c>
      <c r="H244" s="728" t="str">
        <f>IF(Inventory!H247="","",Inventory!H247)</f>
        <v/>
      </c>
      <c r="I244" s="728" t="str">
        <f>IF(Inventory!I247="","",Inventory!I247)</f>
        <v/>
      </c>
      <c r="J244" s="728" t="str">
        <f>IF(Inventory!J247="","",Inventory!J247)</f>
        <v/>
      </c>
      <c r="K244" s="728" t="str">
        <f>IF(Inventory!K247="","",Inventory!K247)</f>
        <v/>
      </c>
      <c r="L244" s="728" t="str">
        <f>IF(Inventory!L247="","",Inventory!L247)</f>
        <v/>
      </c>
      <c r="M244" s="764" t="str">
        <f>IF(Inventory!M247="","",Inventory!M247)</f>
        <v/>
      </c>
      <c r="N244" s="728" t="str">
        <f>IF(Inventory!N247="","",Inventory!N247)</f>
        <v/>
      </c>
      <c r="O244" s="764" t="str">
        <f>IF(Inventory!O247="","",Inventory!O247)</f>
        <v/>
      </c>
      <c r="P244" s="728" t="str">
        <f>IF(Inventory!P247="","",Inventory!P247)</f>
        <v/>
      </c>
      <c r="Q244" s="520" t="str">
        <f>IF(Inventory!Q247="","",Inventory!Q247)</f>
        <v/>
      </c>
      <c r="R244" s="778" t="str">
        <f>IF(Inventory!R247="","",Inventory!R247)</f>
        <v/>
      </c>
      <c r="S244" s="778" t="str">
        <f>IF(Inventory!S247="","",Inventory!S247)</f>
        <v/>
      </c>
      <c r="T244" s="767" t="str">
        <f>IF(Inventory!T247="","",Inventory!T247)</f>
        <v/>
      </c>
      <c r="U244" s="778" t="str">
        <f>IF(Inventory!U247="","",Inventory!U247)</f>
        <v/>
      </c>
      <c r="V244" s="751" t="str">
        <f>IF(Inventory!V247="","",Inventory!V247)</f>
        <v/>
      </c>
      <c r="W244" s="871"/>
    </row>
    <row r="245" spans="2:23" s="618" customFormat="1" ht="21.95" customHeight="1" x14ac:dyDescent="0.25">
      <c r="B245" s="431">
        <v>239</v>
      </c>
      <c r="C245" s="501" t="str">
        <f>IF(Inventory!C248="","",Inventory!C248)</f>
        <v/>
      </c>
      <c r="D245" s="502" t="str">
        <f>IF(Inventory!D248="","",Inventory!D248)</f>
        <v/>
      </c>
      <c r="E245" s="546" t="str">
        <f>IF(Inventory!E248="","",Inventory!E248)</f>
        <v/>
      </c>
      <c r="F245" s="547" t="str">
        <f>IF(Inventory!F248="","",Inventory!F248)</f>
        <v/>
      </c>
      <c r="G245" s="729" t="str">
        <f>IF(Inventory!G248="","",Inventory!G248)</f>
        <v/>
      </c>
      <c r="H245" s="729" t="str">
        <f>IF(Inventory!H248="","",Inventory!H248)</f>
        <v/>
      </c>
      <c r="I245" s="729" t="str">
        <f>IF(Inventory!I248="","",Inventory!I248)</f>
        <v/>
      </c>
      <c r="J245" s="729" t="str">
        <f>IF(Inventory!J248="","",Inventory!J248)</f>
        <v/>
      </c>
      <c r="K245" s="729" t="str">
        <f>IF(Inventory!K248="","",Inventory!K248)</f>
        <v/>
      </c>
      <c r="L245" s="729" t="str">
        <f>IF(Inventory!L248="","",Inventory!L248)</f>
        <v/>
      </c>
      <c r="M245" s="765" t="str">
        <f>IF(Inventory!M248="","",Inventory!M248)</f>
        <v/>
      </c>
      <c r="N245" s="758" t="str">
        <f>IF(Inventory!N248="","",Inventory!N248)</f>
        <v/>
      </c>
      <c r="O245" s="765" t="str">
        <f>IF(Inventory!O248="","",Inventory!O248)</f>
        <v/>
      </c>
      <c r="P245" s="758" t="str">
        <f>IF(Inventory!P248="","",Inventory!P248)</f>
        <v/>
      </c>
      <c r="Q245" s="521" t="str">
        <f>IF(Inventory!Q248="","",Inventory!Q248)</f>
        <v/>
      </c>
      <c r="R245" s="775" t="str">
        <f>IF(Inventory!R248="","",Inventory!R248)</f>
        <v/>
      </c>
      <c r="S245" s="775" t="str">
        <f>IF(Inventory!S248="","",Inventory!S248)</f>
        <v/>
      </c>
      <c r="T245" s="729" t="str">
        <f>IF(Inventory!T248="","",Inventory!T248)</f>
        <v/>
      </c>
      <c r="U245" s="775" t="str">
        <f>IF(Inventory!U248="","",Inventory!U248)</f>
        <v/>
      </c>
      <c r="V245" s="779" t="str">
        <f>IF(Inventory!V248="","",Inventory!V248)</f>
        <v/>
      </c>
      <c r="W245" s="866"/>
    </row>
    <row r="246" spans="2:23" s="618" customFormat="1" ht="21.95" customHeight="1" x14ac:dyDescent="0.25">
      <c r="B246" s="432">
        <v>240</v>
      </c>
      <c r="C246" s="499" t="str">
        <f>IF(Inventory!C249="","",Inventory!C249)</f>
        <v/>
      </c>
      <c r="D246" s="751" t="str">
        <f>IF(Inventory!D249="","",Inventory!D249)</f>
        <v/>
      </c>
      <c r="E246" s="541" t="str">
        <f>IF(Inventory!E249="","",Inventory!E249)</f>
        <v/>
      </c>
      <c r="F246" s="785" t="str">
        <f>IF(Inventory!F249="","",Inventory!F249)</f>
        <v/>
      </c>
      <c r="G246" s="728" t="str">
        <f>IF(Inventory!G249="","",Inventory!G249)</f>
        <v/>
      </c>
      <c r="H246" s="728" t="str">
        <f>IF(Inventory!H249="","",Inventory!H249)</f>
        <v/>
      </c>
      <c r="I246" s="728" t="str">
        <f>IF(Inventory!I249="","",Inventory!I249)</f>
        <v/>
      </c>
      <c r="J246" s="728" t="str">
        <f>IF(Inventory!J249="","",Inventory!J249)</f>
        <v/>
      </c>
      <c r="K246" s="728" t="str">
        <f>IF(Inventory!K249="","",Inventory!K249)</f>
        <v/>
      </c>
      <c r="L246" s="728" t="str">
        <f>IF(Inventory!L249="","",Inventory!L249)</f>
        <v/>
      </c>
      <c r="M246" s="764" t="str">
        <f>IF(Inventory!M249="","",Inventory!M249)</f>
        <v/>
      </c>
      <c r="N246" s="728" t="str">
        <f>IF(Inventory!N249="","",Inventory!N249)</f>
        <v/>
      </c>
      <c r="O246" s="764" t="str">
        <f>IF(Inventory!O249="","",Inventory!O249)</f>
        <v/>
      </c>
      <c r="P246" s="728" t="str">
        <f>IF(Inventory!P249="","",Inventory!P249)</f>
        <v/>
      </c>
      <c r="Q246" s="520" t="str">
        <f>IF(Inventory!Q249="","",Inventory!Q249)</f>
        <v/>
      </c>
      <c r="R246" s="778" t="str">
        <f>IF(Inventory!R249="","",Inventory!R249)</f>
        <v/>
      </c>
      <c r="S246" s="778" t="str">
        <f>IF(Inventory!S249="","",Inventory!S249)</f>
        <v/>
      </c>
      <c r="T246" s="767" t="str">
        <f>IF(Inventory!T249="","",Inventory!T249)</f>
        <v/>
      </c>
      <c r="U246" s="778" t="str">
        <f>IF(Inventory!U249="","",Inventory!U249)</f>
        <v/>
      </c>
      <c r="V246" s="751" t="str">
        <f>IF(Inventory!V249="","",Inventory!V249)</f>
        <v/>
      </c>
      <c r="W246" s="871"/>
    </row>
    <row r="247" spans="2:23" s="618" customFormat="1" ht="21.95" customHeight="1" x14ac:dyDescent="0.25">
      <c r="B247" s="431">
        <v>241</v>
      </c>
      <c r="C247" s="501" t="str">
        <f>IF(Inventory!C250="","",Inventory!C250)</f>
        <v/>
      </c>
      <c r="D247" s="502" t="str">
        <f>IF(Inventory!D250="","",Inventory!D250)</f>
        <v/>
      </c>
      <c r="E247" s="546" t="str">
        <f>IF(Inventory!E250="","",Inventory!E250)</f>
        <v/>
      </c>
      <c r="F247" s="547" t="str">
        <f>IF(Inventory!F250="","",Inventory!F250)</f>
        <v/>
      </c>
      <c r="G247" s="729" t="str">
        <f>IF(Inventory!G250="","",Inventory!G250)</f>
        <v/>
      </c>
      <c r="H247" s="729" t="str">
        <f>IF(Inventory!H250="","",Inventory!H250)</f>
        <v/>
      </c>
      <c r="I247" s="729" t="str">
        <f>IF(Inventory!I250="","",Inventory!I250)</f>
        <v/>
      </c>
      <c r="J247" s="729" t="str">
        <f>IF(Inventory!J250="","",Inventory!J250)</f>
        <v/>
      </c>
      <c r="K247" s="729" t="str">
        <f>IF(Inventory!K250="","",Inventory!K250)</f>
        <v/>
      </c>
      <c r="L247" s="729" t="str">
        <f>IF(Inventory!L250="","",Inventory!L250)</f>
        <v/>
      </c>
      <c r="M247" s="765" t="str">
        <f>IF(Inventory!M250="","",Inventory!M250)</f>
        <v/>
      </c>
      <c r="N247" s="758" t="str">
        <f>IF(Inventory!N250="","",Inventory!N250)</f>
        <v/>
      </c>
      <c r="O247" s="765" t="str">
        <f>IF(Inventory!O250="","",Inventory!O250)</f>
        <v/>
      </c>
      <c r="P247" s="758" t="str">
        <f>IF(Inventory!P250="","",Inventory!P250)</f>
        <v/>
      </c>
      <c r="Q247" s="521" t="str">
        <f>IF(Inventory!Q250="","",Inventory!Q250)</f>
        <v/>
      </c>
      <c r="R247" s="775" t="str">
        <f>IF(Inventory!R250="","",Inventory!R250)</f>
        <v/>
      </c>
      <c r="S247" s="775" t="str">
        <f>IF(Inventory!S250="","",Inventory!S250)</f>
        <v/>
      </c>
      <c r="T247" s="729" t="str">
        <f>IF(Inventory!T250="","",Inventory!T250)</f>
        <v/>
      </c>
      <c r="U247" s="775" t="str">
        <f>IF(Inventory!U250="","",Inventory!U250)</f>
        <v/>
      </c>
      <c r="V247" s="779" t="str">
        <f>IF(Inventory!V250="","",Inventory!V250)</f>
        <v/>
      </c>
      <c r="W247" s="866"/>
    </row>
    <row r="248" spans="2:23" s="618" customFormat="1" ht="21.95" customHeight="1" x14ac:dyDescent="0.25">
      <c r="B248" s="432">
        <v>242</v>
      </c>
      <c r="C248" s="499" t="str">
        <f>IF(Inventory!C251="","",Inventory!C251)</f>
        <v/>
      </c>
      <c r="D248" s="751" t="str">
        <f>IF(Inventory!D251="","",Inventory!D251)</f>
        <v/>
      </c>
      <c r="E248" s="541" t="str">
        <f>IF(Inventory!E251="","",Inventory!E251)</f>
        <v/>
      </c>
      <c r="F248" s="785" t="str">
        <f>IF(Inventory!F251="","",Inventory!F251)</f>
        <v/>
      </c>
      <c r="G248" s="728" t="str">
        <f>IF(Inventory!G251="","",Inventory!G251)</f>
        <v/>
      </c>
      <c r="H248" s="728" t="str">
        <f>IF(Inventory!H251="","",Inventory!H251)</f>
        <v/>
      </c>
      <c r="I248" s="728" t="str">
        <f>IF(Inventory!I251="","",Inventory!I251)</f>
        <v/>
      </c>
      <c r="J248" s="728" t="str">
        <f>IF(Inventory!J251="","",Inventory!J251)</f>
        <v/>
      </c>
      <c r="K248" s="728" t="str">
        <f>IF(Inventory!K251="","",Inventory!K251)</f>
        <v/>
      </c>
      <c r="L248" s="728" t="str">
        <f>IF(Inventory!L251="","",Inventory!L251)</f>
        <v/>
      </c>
      <c r="M248" s="764" t="str">
        <f>IF(Inventory!M251="","",Inventory!M251)</f>
        <v/>
      </c>
      <c r="N248" s="728" t="str">
        <f>IF(Inventory!N251="","",Inventory!N251)</f>
        <v/>
      </c>
      <c r="O248" s="764" t="str">
        <f>IF(Inventory!O251="","",Inventory!O251)</f>
        <v/>
      </c>
      <c r="P248" s="728" t="str">
        <f>IF(Inventory!P251="","",Inventory!P251)</f>
        <v/>
      </c>
      <c r="Q248" s="520" t="str">
        <f>IF(Inventory!Q251="","",Inventory!Q251)</f>
        <v/>
      </c>
      <c r="R248" s="778" t="str">
        <f>IF(Inventory!R251="","",Inventory!R251)</f>
        <v/>
      </c>
      <c r="S248" s="778" t="str">
        <f>IF(Inventory!S251="","",Inventory!S251)</f>
        <v/>
      </c>
      <c r="T248" s="767" t="str">
        <f>IF(Inventory!T251="","",Inventory!T251)</f>
        <v/>
      </c>
      <c r="U248" s="778" t="str">
        <f>IF(Inventory!U251="","",Inventory!U251)</f>
        <v/>
      </c>
      <c r="V248" s="751" t="str">
        <f>IF(Inventory!V251="","",Inventory!V251)</f>
        <v/>
      </c>
      <c r="W248" s="871"/>
    </row>
    <row r="249" spans="2:23" s="618" customFormat="1" ht="21.95" customHeight="1" x14ac:dyDescent="0.25">
      <c r="B249" s="431">
        <v>243</v>
      </c>
      <c r="C249" s="501" t="str">
        <f>IF(Inventory!C252="","",Inventory!C252)</f>
        <v/>
      </c>
      <c r="D249" s="502" t="str">
        <f>IF(Inventory!D252="","",Inventory!D252)</f>
        <v/>
      </c>
      <c r="E249" s="546" t="str">
        <f>IF(Inventory!E252="","",Inventory!E252)</f>
        <v/>
      </c>
      <c r="F249" s="547" t="str">
        <f>IF(Inventory!F252="","",Inventory!F252)</f>
        <v/>
      </c>
      <c r="G249" s="729" t="str">
        <f>IF(Inventory!G252="","",Inventory!G252)</f>
        <v/>
      </c>
      <c r="H249" s="729" t="str">
        <f>IF(Inventory!H252="","",Inventory!H252)</f>
        <v/>
      </c>
      <c r="I249" s="729" t="str">
        <f>IF(Inventory!I252="","",Inventory!I252)</f>
        <v/>
      </c>
      <c r="J249" s="729" t="str">
        <f>IF(Inventory!J252="","",Inventory!J252)</f>
        <v/>
      </c>
      <c r="K249" s="729" t="str">
        <f>IF(Inventory!K252="","",Inventory!K252)</f>
        <v/>
      </c>
      <c r="L249" s="729" t="str">
        <f>IF(Inventory!L252="","",Inventory!L252)</f>
        <v/>
      </c>
      <c r="M249" s="765" t="str">
        <f>IF(Inventory!M252="","",Inventory!M252)</f>
        <v/>
      </c>
      <c r="N249" s="758" t="str">
        <f>IF(Inventory!N252="","",Inventory!N252)</f>
        <v/>
      </c>
      <c r="O249" s="765" t="str">
        <f>IF(Inventory!O252="","",Inventory!O252)</f>
        <v/>
      </c>
      <c r="P249" s="758" t="str">
        <f>IF(Inventory!P252="","",Inventory!P252)</f>
        <v/>
      </c>
      <c r="Q249" s="521" t="str">
        <f>IF(Inventory!Q252="","",Inventory!Q252)</f>
        <v/>
      </c>
      <c r="R249" s="775" t="str">
        <f>IF(Inventory!R252="","",Inventory!R252)</f>
        <v/>
      </c>
      <c r="S249" s="775" t="str">
        <f>IF(Inventory!S252="","",Inventory!S252)</f>
        <v/>
      </c>
      <c r="T249" s="729" t="str">
        <f>IF(Inventory!T252="","",Inventory!T252)</f>
        <v/>
      </c>
      <c r="U249" s="775" t="str">
        <f>IF(Inventory!U252="","",Inventory!U252)</f>
        <v/>
      </c>
      <c r="V249" s="779" t="str">
        <f>IF(Inventory!V252="","",Inventory!V252)</f>
        <v/>
      </c>
      <c r="W249" s="866"/>
    </row>
    <row r="250" spans="2:23" s="618" customFormat="1" ht="21.95" customHeight="1" x14ac:dyDescent="0.25">
      <c r="B250" s="432">
        <v>244</v>
      </c>
      <c r="C250" s="499" t="str">
        <f>IF(Inventory!C253="","",Inventory!C253)</f>
        <v/>
      </c>
      <c r="D250" s="751" t="str">
        <f>IF(Inventory!D253="","",Inventory!D253)</f>
        <v/>
      </c>
      <c r="E250" s="541" t="str">
        <f>IF(Inventory!E253="","",Inventory!E253)</f>
        <v/>
      </c>
      <c r="F250" s="785" t="str">
        <f>IF(Inventory!F253="","",Inventory!F253)</f>
        <v/>
      </c>
      <c r="G250" s="728" t="str">
        <f>IF(Inventory!G253="","",Inventory!G253)</f>
        <v/>
      </c>
      <c r="H250" s="728" t="str">
        <f>IF(Inventory!H253="","",Inventory!H253)</f>
        <v/>
      </c>
      <c r="I250" s="728" t="str">
        <f>IF(Inventory!I253="","",Inventory!I253)</f>
        <v/>
      </c>
      <c r="J250" s="728" t="str">
        <f>IF(Inventory!J253="","",Inventory!J253)</f>
        <v/>
      </c>
      <c r="K250" s="728" t="str">
        <f>IF(Inventory!K253="","",Inventory!K253)</f>
        <v/>
      </c>
      <c r="L250" s="728" t="str">
        <f>IF(Inventory!L253="","",Inventory!L253)</f>
        <v/>
      </c>
      <c r="M250" s="764" t="str">
        <f>IF(Inventory!M253="","",Inventory!M253)</f>
        <v/>
      </c>
      <c r="N250" s="728" t="str">
        <f>IF(Inventory!N253="","",Inventory!N253)</f>
        <v/>
      </c>
      <c r="O250" s="764" t="str">
        <f>IF(Inventory!O253="","",Inventory!O253)</f>
        <v/>
      </c>
      <c r="P250" s="728" t="str">
        <f>IF(Inventory!P253="","",Inventory!P253)</f>
        <v/>
      </c>
      <c r="Q250" s="520" t="str">
        <f>IF(Inventory!Q253="","",Inventory!Q253)</f>
        <v/>
      </c>
      <c r="R250" s="778" t="str">
        <f>IF(Inventory!R253="","",Inventory!R253)</f>
        <v/>
      </c>
      <c r="S250" s="778" t="str">
        <f>IF(Inventory!S253="","",Inventory!S253)</f>
        <v/>
      </c>
      <c r="T250" s="767" t="str">
        <f>IF(Inventory!T253="","",Inventory!T253)</f>
        <v/>
      </c>
      <c r="U250" s="778" t="str">
        <f>IF(Inventory!U253="","",Inventory!U253)</f>
        <v/>
      </c>
      <c r="V250" s="751" t="str">
        <f>IF(Inventory!V253="","",Inventory!V253)</f>
        <v/>
      </c>
      <c r="W250" s="871"/>
    </row>
    <row r="251" spans="2:23" s="618" customFormat="1" ht="21.95" customHeight="1" x14ac:dyDescent="0.25">
      <c r="B251" s="431">
        <v>245</v>
      </c>
      <c r="C251" s="501" t="str">
        <f>IF(Inventory!C254="","",Inventory!C254)</f>
        <v/>
      </c>
      <c r="D251" s="502" t="str">
        <f>IF(Inventory!D254="","",Inventory!D254)</f>
        <v/>
      </c>
      <c r="E251" s="546" t="str">
        <f>IF(Inventory!E254="","",Inventory!E254)</f>
        <v/>
      </c>
      <c r="F251" s="547" t="str">
        <f>IF(Inventory!F254="","",Inventory!F254)</f>
        <v/>
      </c>
      <c r="G251" s="729" t="str">
        <f>IF(Inventory!G254="","",Inventory!G254)</f>
        <v/>
      </c>
      <c r="H251" s="729" t="str">
        <f>IF(Inventory!H254="","",Inventory!H254)</f>
        <v/>
      </c>
      <c r="I251" s="729" t="str">
        <f>IF(Inventory!I254="","",Inventory!I254)</f>
        <v/>
      </c>
      <c r="J251" s="729" t="str">
        <f>IF(Inventory!J254="","",Inventory!J254)</f>
        <v/>
      </c>
      <c r="K251" s="729" t="str">
        <f>IF(Inventory!K254="","",Inventory!K254)</f>
        <v/>
      </c>
      <c r="L251" s="729" t="str">
        <f>IF(Inventory!L254="","",Inventory!L254)</f>
        <v/>
      </c>
      <c r="M251" s="765" t="str">
        <f>IF(Inventory!M254="","",Inventory!M254)</f>
        <v/>
      </c>
      <c r="N251" s="758" t="str">
        <f>IF(Inventory!N254="","",Inventory!N254)</f>
        <v/>
      </c>
      <c r="O251" s="765" t="str">
        <f>IF(Inventory!O254="","",Inventory!O254)</f>
        <v/>
      </c>
      <c r="P251" s="758" t="str">
        <f>IF(Inventory!P254="","",Inventory!P254)</f>
        <v/>
      </c>
      <c r="Q251" s="521" t="str">
        <f>IF(Inventory!Q254="","",Inventory!Q254)</f>
        <v/>
      </c>
      <c r="R251" s="775" t="str">
        <f>IF(Inventory!R254="","",Inventory!R254)</f>
        <v/>
      </c>
      <c r="S251" s="775" t="str">
        <f>IF(Inventory!S254="","",Inventory!S254)</f>
        <v/>
      </c>
      <c r="T251" s="729" t="str">
        <f>IF(Inventory!T254="","",Inventory!T254)</f>
        <v/>
      </c>
      <c r="U251" s="775" t="str">
        <f>IF(Inventory!U254="","",Inventory!U254)</f>
        <v/>
      </c>
      <c r="V251" s="779" t="str">
        <f>IF(Inventory!V254="","",Inventory!V254)</f>
        <v/>
      </c>
      <c r="W251" s="866"/>
    </row>
    <row r="252" spans="2:23" s="618" customFormat="1" ht="21.95" customHeight="1" x14ac:dyDescent="0.25">
      <c r="B252" s="432">
        <v>246</v>
      </c>
      <c r="C252" s="499" t="str">
        <f>IF(Inventory!C255="","",Inventory!C255)</f>
        <v/>
      </c>
      <c r="D252" s="751" t="str">
        <f>IF(Inventory!D255="","",Inventory!D255)</f>
        <v/>
      </c>
      <c r="E252" s="541" t="str">
        <f>IF(Inventory!E255="","",Inventory!E255)</f>
        <v/>
      </c>
      <c r="F252" s="785" t="str">
        <f>IF(Inventory!F255="","",Inventory!F255)</f>
        <v/>
      </c>
      <c r="G252" s="728" t="str">
        <f>IF(Inventory!G255="","",Inventory!G255)</f>
        <v/>
      </c>
      <c r="H252" s="728" t="str">
        <f>IF(Inventory!H255="","",Inventory!H255)</f>
        <v/>
      </c>
      <c r="I252" s="728" t="str">
        <f>IF(Inventory!I255="","",Inventory!I255)</f>
        <v/>
      </c>
      <c r="J252" s="728" t="str">
        <f>IF(Inventory!J255="","",Inventory!J255)</f>
        <v/>
      </c>
      <c r="K252" s="728" t="str">
        <f>IF(Inventory!K255="","",Inventory!K255)</f>
        <v/>
      </c>
      <c r="L252" s="728" t="str">
        <f>IF(Inventory!L255="","",Inventory!L255)</f>
        <v/>
      </c>
      <c r="M252" s="764" t="str">
        <f>IF(Inventory!M255="","",Inventory!M255)</f>
        <v/>
      </c>
      <c r="N252" s="728" t="str">
        <f>IF(Inventory!N255="","",Inventory!N255)</f>
        <v/>
      </c>
      <c r="O252" s="764" t="str">
        <f>IF(Inventory!O255="","",Inventory!O255)</f>
        <v/>
      </c>
      <c r="P252" s="728" t="str">
        <f>IF(Inventory!P255="","",Inventory!P255)</f>
        <v/>
      </c>
      <c r="Q252" s="520" t="str">
        <f>IF(Inventory!Q255="","",Inventory!Q255)</f>
        <v/>
      </c>
      <c r="R252" s="778" t="str">
        <f>IF(Inventory!R255="","",Inventory!R255)</f>
        <v/>
      </c>
      <c r="S252" s="778" t="str">
        <f>IF(Inventory!S255="","",Inventory!S255)</f>
        <v/>
      </c>
      <c r="T252" s="767" t="str">
        <f>IF(Inventory!T255="","",Inventory!T255)</f>
        <v/>
      </c>
      <c r="U252" s="778" t="str">
        <f>IF(Inventory!U255="","",Inventory!U255)</f>
        <v/>
      </c>
      <c r="V252" s="751" t="str">
        <f>IF(Inventory!V255="","",Inventory!V255)</f>
        <v/>
      </c>
      <c r="W252" s="871"/>
    </row>
    <row r="253" spans="2:23" s="618" customFormat="1" ht="21.95" customHeight="1" x14ac:dyDescent="0.25">
      <c r="B253" s="431">
        <v>247</v>
      </c>
      <c r="C253" s="501" t="str">
        <f>IF(Inventory!C256="","",Inventory!C256)</f>
        <v/>
      </c>
      <c r="D253" s="502" t="str">
        <f>IF(Inventory!D256="","",Inventory!D256)</f>
        <v/>
      </c>
      <c r="E253" s="546" t="str">
        <f>IF(Inventory!E256="","",Inventory!E256)</f>
        <v/>
      </c>
      <c r="F253" s="547" t="str">
        <f>IF(Inventory!F256="","",Inventory!F256)</f>
        <v/>
      </c>
      <c r="G253" s="729" t="str">
        <f>IF(Inventory!G256="","",Inventory!G256)</f>
        <v/>
      </c>
      <c r="H253" s="729" t="str">
        <f>IF(Inventory!H256="","",Inventory!H256)</f>
        <v/>
      </c>
      <c r="I253" s="729" t="str">
        <f>IF(Inventory!I256="","",Inventory!I256)</f>
        <v/>
      </c>
      <c r="J253" s="729" t="str">
        <f>IF(Inventory!J256="","",Inventory!J256)</f>
        <v/>
      </c>
      <c r="K253" s="729" t="str">
        <f>IF(Inventory!K256="","",Inventory!K256)</f>
        <v/>
      </c>
      <c r="L253" s="729" t="str">
        <f>IF(Inventory!L256="","",Inventory!L256)</f>
        <v/>
      </c>
      <c r="M253" s="765" t="str">
        <f>IF(Inventory!M256="","",Inventory!M256)</f>
        <v/>
      </c>
      <c r="N253" s="758" t="str">
        <f>IF(Inventory!N256="","",Inventory!N256)</f>
        <v/>
      </c>
      <c r="O253" s="765" t="str">
        <f>IF(Inventory!O256="","",Inventory!O256)</f>
        <v/>
      </c>
      <c r="P253" s="758" t="str">
        <f>IF(Inventory!P256="","",Inventory!P256)</f>
        <v/>
      </c>
      <c r="Q253" s="521" t="str">
        <f>IF(Inventory!Q256="","",Inventory!Q256)</f>
        <v/>
      </c>
      <c r="R253" s="775" t="str">
        <f>IF(Inventory!R256="","",Inventory!R256)</f>
        <v/>
      </c>
      <c r="S253" s="775" t="str">
        <f>IF(Inventory!S256="","",Inventory!S256)</f>
        <v/>
      </c>
      <c r="T253" s="729" t="str">
        <f>IF(Inventory!T256="","",Inventory!T256)</f>
        <v/>
      </c>
      <c r="U253" s="775" t="str">
        <f>IF(Inventory!U256="","",Inventory!U256)</f>
        <v/>
      </c>
      <c r="V253" s="779" t="str">
        <f>IF(Inventory!V256="","",Inventory!V256)</f>
        <v/>
      </c>
      <c r="W253" s="866"/>
    </row>
    <row r="254" spans="2:23" s="618" customFormat="1" ht="21.95" customHeight="1" x14ac:dyDescent="0.25">
      <c r="B254" s="432">
        <v>248</v>
      </c>
      <c r="C254" s="499" t="str">
        <f>IF(Inventory!C257="","",Inventory!C257)</f>
        <v/>
      </c>
      <c r="D254" s="751" t="str">
        <f>IF(Inventory!D257="","",Inventory!D257)</f>
        <v/>
      </c>
      <c r="E254" s="541" t="str">
        <f>IF(Inventory!E257="","",Inventory!E257)</f>
        <v/>
      </c>
      <c r="F254" s="785" t="str">
        <f>IF(Inventory!F257="","",Inventory!F257)</f>
        <v/>
      </c>
      <c r="G254" s="728" t="str">
        <f>IF(Inventory!G257="","",Inventory!G257)</f>
        <v/>
      </c>
      <c r="H254" s="728" t="str">
        <f>IF(Inventory!H257="","",Inventory!H257)</f>
        <v/>
      </c>
      <c r="I254" s="728" t="str">
        <f>IF(Inventory!I257="","",Inventory!I257)</f>
        <v/>
      </c>
      <c r="J254" s="728" t="str">
        <f>IF(Inventory!J257="","",Inventory!J257)</f>
        <v/>
      </c>
      <c r="K254" s="728" t="str">
        <f>IF(Inventory!K257="","",Inventory!K257)</f>
        <v/>
      </c>
      <c r="L254" s="728" t="str">
        <f>IF(Inventory!L257="","",Inventory!L257)</f>
        <v/>
      </c>
      <c r="M254" s="764" t="str">
        <f>IF(Inventory!M257="","",Inventory!M257)</f>
        <v/>
      </c>
      <c r="N254" s="728" t="str">
        <f>IF(Inventory!N257="","",Inventory!N257)</f>
        <v/>
      </c>
      <c r="O254" s="764" t="str">
        <f>IF(Inventory!O257="","",Inventory!O257)</f>
        <v/>
      </c>
      <c r="P254" s="728" t="str">
        <f>IF(Inventory!P257="","",Inventory!P257)</f>
        <v/>
      </c>
      <c r="Q254" s="520" t="str">
        <f>IF(Inventory!Q257="","",Inventory!Q257)</f>
        <v/>
      </c>
      <c r="R254" s="778" t="str">
        <f>IF(Inventory!R257="","",Inventory!R257)</f>
        <v/>
      </c>
      <c r="S254" s="778" t="str">
        <f>IF(Inventory!S257="","",Inventory!S257)</f>
        <v/>
      </c>
      <c r="T254" s="767" t="str">
        <f>IF(Inventory!T257="","",Inventory!T257)</f>
        <v/>
      </c>
      <c r="U254" s="778" t="str">
        <f>IF(Inventory!U257="","",Inventory!U257)</f>
        <v/>
      </c>
      <c r="V254" s="751" t="str">
        <f>IF(Inventory!V257="","",Inventory!V257)</f>
        <v/>
      </c>
      <c r="W254" s="871"/>
    </row>
    <row r="255" spans="2:23" s="618" customFormat="1" ht="21.95" customHeight="1" x14ac:dyDescent="0.25">
      <c r="B255" s="431">
        <v>249</v>
      </c>
      <c r="C255" s="501" t="str">
        <f>IF(Inventory!C258="","",Inventory!C258)</f>
        <v/>
      </c>
      <c r="D255" s="502" t="str">
        <f>IF(Inventory!D258="","",Inventory!D258)</f>
        <v/>
      </c>
      <c r="E255" s="546" t="str">
        <f>IF(Inventory!E258="","",Inventory!E258)</f>
        <v/>
      </c>
      <c r="F255" s="547" t="str">
        <f>IF(Inventory!F258="","",Inventory!F258)</f>
        <v/>
      </c>
      <c r="G255" s="729" t="str">
        <f>IF(Inventory!G258="","",Inventory!G258)</f>
        <v/>
      </c>
      <c r="H255" s="729" t="str">
        <f>IF(Inventory!H258="","",Inventory!H258)</f>
        <v/>
      </c>
      <c r="I255" s="729" t="str">
        <f>IF(Inventory!I258="","",Inventory!I258)</f>
        <v/>
      </c>
      <c r="J255" s="729" t="str">
        <f>IF(Inventory!J258="","",Inventory!J258)</f>
        <v/>
      </c>
      <c r="K255" s="729" t="str">
        <f>IF(Inventory!K258="","",Inventory!K258)</f>
        <v/>
      </c>
      <c r="L255" s="729" t="str">
        <f>IF(Inventory!L258="","",Inventory!L258)</f>
        <v/>
      </c>
      <c r="M255" s="765" t="str">
        <f>IF(Inventory!M258="","",Inventory!M258)</f>
        <v/>
      </c>
      <c r="N255" s="758" t="str">
        <f>IF(Inventory!N258="","",Inventory!N258)</f>
        <v/>
      </c>
      <c r="O255" s="765" t="str">
        <f>IF(Inventory!O258="","",Inventory!O258)</f>
        <v/>
      </c>
      <c r="P255" s="758" t="str">
        <f>IF(Inventory!P258="","",Inventory!P258)</f>
        <v/>
      </c>
      <c r="Q255" s="521" t="str">
        <f>IF(Inventory!Q258="","",Inventory!Q258)</f>
        <v/>
      </c>
      <c r="R255" s="775" t="str">
        <f>IF(Inventory!R258="","",Inventory!R258)</f>
        <v/>
      </c>
      <c r="S255" s="775" t="str">
        <f>IF(Inventory!S258="","",Inventory!S258)</f>
        <v/>
      </c>
      <c r="T255" s="729" t="str">
        <f>IF(Inventory!T258="","",Inventory!T258)</f>
        <v/>
      </c>
      <c r="U255" s="775" t="str">
        <f>IF(Inventory!U258="","",Inventory!U258)</f>
        <v/>
      </c>
      <c r="V255" s="779" t="str">
        <f>IF(Inventory!V258="","",Inventory!V258)</f>
        <v/>
      </c>
      <c r="W255" s="866"/>
    </row>
    <row r="256" spans="2:23" s="618" customFormat="1" ht="21.95" customHeight="1" thickBot="1" x14ac:dyDescent="0.3">
      <c r="B256" s="432">
        <v>250</v>
      </c>
      <c r="C256" s="503" t="str">
        <f>IF(Inventory!C259="","",Inventory!C259)</f>
        <v/>
      </c>
      <c r="D256" s="768" t="str">
        <f>IF(Inventory!D259="","",Inventory!D259)</f>
        <v/>
      </c>
      <c r="E256" s="544" t="str">
        <f>IF(Inventory!E259="","",Inventory!E259)</f>
        <v/>
      </c>
      <c r="F256" s="786" t="str">
        <f>IF(Inventory!F259="","",Inventory!F259)</f>
        <v/>
      </c>
      <c r="G256" s="730" t="str">
        <f>IF(Inventory!G259="","",Inventory!G259)</f>
        <v/>
      </c>
      <c r="H256" s="730" t="str">
        <f>IF(Inventory!H259="","",Inventory!H259)</f>
        <v/>
      </c>
      <c r="I256" s="730" t="str">
        <f>IF(Inventory!I259="","",Inventory!I259)</f>
        <v/>
      </c>
      <c r="J256" s="730" t="str">
        <f>IF(Inventory!J259="","",Inventory!J259)</f>
        <v/>
      </c>
      <c r="K256" s="730" t="str">
        <f>IF(Inventory!K259="","",Inventory!K259)</f>
        <v/>
      </c>
      <c r="L256" s="730" t="str">
        <f>IF(Inventory!L259="","",Inventory!L259)</f>
        <v/>
      </c>
      <c r="M256" s="766" t="str">
        <f>IF(Inventory!M259="","",Inventory!M259)</f>
        <v/>
      </c>
      <c r="N256" s="730" t="str">
        <f>IF(Inventory!N259="","",Inventory!N259)</f>
        <v/>
      </c>
      <c r="O256" s="766" t="str">
        <f>IF(Inventory!O259="","",Inventory!O259)</f>
        <v/>
      </c>
      <c r="P256" s="730" t="str">
        <f>IF(Inventory!P259="","",Inventory!P259)</f>
        <v/>
      </c>
      <c r="Q256" s="522" t="str">
        <f>IF(Inventory!Q259="","",Inventory!Q259)</f>
        <v/>
      </c>
      <c r="R256" s="782" t="str">
        <f>IF(Inventory!R259="","",Inventory!R259)</f>
        <v/>
      </c>
      <c r="S256" s="782" t="str">
        <f>IF(Inventory!S259="","",Inventory!S259)</f>
        <v/>
      </c>
      <c r="T256" s="769" t="str">
        <f>IF(Inventory!T259="","",Inventory!T259)</f>
        <v/>
      </c>
      <c r="U256" s="782" t="str">
        <f>IF(Inventory!U259="","",Inventory!U259)</f>
        <v/>
      </c>
      <c r="V256" s="768" t="str">
        <f>IF(Inventory!V259="","",Inventory!V259)</f>
        <v/>
      </c>
      <c r="W256" s="872"/>
    </row>
    <row r="257" spans="2:23" s="617" customFormat="1" ht="15.75" customHeight="1" thickBot="1" x14ac:dyDescent="0.3">
      <c r="B257" s="564"/>
      <c r="C257" s="867"/>
      <c r="D257" s="867"/>
      <c r="E257" s="867"/>
      <c r="F257" s="867"/>
      <c r="G257" s="867"/>
      <c r="H257" s="867"/>
      <c r="I257" s="867"/>
      <c r="J257" s="867"/>
      <c r="K257" s="867"/>
      <c r="L257" s="867"/>
      <c r="M257" s="867"/>
      <c r="N257" s="867"/>
      <c r="O257" s="867"/>
      <c r="P257" s="867"/>
      <c r="Q257" s="867"/>
      <c r="R257" s="867"/>
      <c r="S257" s="867"/>
      <c r="T257" s="867"/>
      <c r="U257" s="867"/>
      <c r="V257" s="867"/>
      <c r="W257" s="868"/>
    </row>
  </sheetData>
  <sheetProtection password="D24D" sheet="1" objects="1" scenarios="1"/>
  <mergeCells count="20">
    <mergeCell ref="W4:W6"/>
    <mergeCell ref="T5:T6"/>
    <mergeCell ref="U5:U6"/>
    <mergeCell ref="V5:V6"/>
    <mergeCell ref="E5:E6"/>
    <mergeCell ref="F5:F6"/>
    <mergeCell ref="G5:G6"/>
    <mergeCell ref="H5:H6"/>
    <mergeCell ref="I5:I6"/>
    <mergeCell ref="M5:M6"/>
    <mergeCell ref="N5:N6"/>
    <mergeCell ref="O5:O6"/>
    <mergeCell ref="B4:B6"/>
    <mergeCell ref="C4:C6"/>
    <mergeCell ref="D4:D6"/>
    <mergeCell ref="E4:V4"/>
    <mergeCell ref="P5:P6"/>
    <mergeCell ref="Q5:Q6"/>
    <mergeCell ref="R5:R6"/>
    <mergeCell ref="S5:S6"/>
  </mergeCells>
  <dataValidations count="1">
    <dataValidation type="list" allowBlank="1" showInputMessage="1" showErrorMessage="1" sqref="W7:W256">
      <formula1>"Y,N"</formula1>
    </dataValidation>
  </dataValidations>
  <pageMargins left="0.7" right="0.7" top="0.75" bottom="0.75" header="0.3" footer="0.3"/>
  <pageSetup scale="44" fitToHeight="100" orientation="landscape" r:id="rId1"/>
  <ignoredErrors>
    <ignoredError sqref="C8:F91 C92:F256 M92:M256 M7:M91 N92:V256 N7:V91 G7:L91 G92:L256 C7:F7"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B257"/>
  <sheetViews>
    <sheetView zoomScale="80" zoomScaleNormal="80" workbookViewId="0">
      <pane ySplit="6" topLeftCell="A7" activePane="bottomLeft" state="frozen"/>
      <selection pane="bottomLeft" activeCell="C7" sqref="C7"/>
    </sheetView>
  </sheetViews>
  <sheetFormatPr defaultRowHeight="12.75" x14ac:dyDescent="0.25"/>
  <cols>
    <col min="1" max="1" width="2.7109375" style="616" customWidth="1"/>
    <col min="2" max="2" width="6.7109375" style="616" customWidth="1"/>
    <col min="3" max="3" width="18.85546875" style="616" bestFit="1" customWidth="1"/>
    <col min="4" max="4" width="25.7109375" style="616" customWidth="1"/>
    <col min="5" max="5" width="20.7109375" style="616" customWidth="1"/>
    <col min="6" max="6" width="12" style="616" hidden="1" customWidth="1"/>
    <col min="7" max="8" width="20.7109375" style="616" customWidth="1"/>
    <col min="9" max="9" width="11.7109375" style="616" bestFit="1" customWidth="1"/>
    <col min="10" max="10" width="8.5703125" style="616" customWidth="1"/>
    <col min="11" max="11" width="8.42578125" style="616" bestFit="1" customWidth="1"/>
    <col min="12" max="12" width="10.85546875" style="616" customWidth="1"/>
    <col min="13" max="15" width="10.85546875" style="616" hidden="1" customWidth="1"/>
    <col min="16" max="16" width="13.5703125" style="616" hidden="1" customWidth="1"/>
    <col min="17" max="17" width="10.85546875" style="616" hidden="1" customWidth="1"/>
    <col min="18" max="18" width="13.5703125" style="616" hidden="1" customWidth="1"/>
    <col min="19" max="19" width="8.7109375" style="616" customWidth="1"/>
    <col min="20" max="20" width="10.85546875" style="616" customWidth="1"/>
    <col min="21" max="21" width="8.7109375" style="616" customWidth="1"/>
    <col min="22" max="22" width="5.7109375" style="616" customWidth="1"/>
    <col min="23" max="24" width="15.7109375" style="616" customWidth="1"/>
    <col min="25" max="25" width="10.140625" style="616" customWidth="1"/>
    <col min="26" max="26" width="15.7109375" style="616" customWidth="1"/>
    <col min="27" max="27" width="10.140625" style="616" customWidth="1"/>
    <col min="28" max="28" width="5.7109375" style="616" customWidth="1"/>
    <col min="29" max="16384" width="9.140625" style="616"/>
  </cols>
  <sheetData>
    <row r="1" spans="1:28" ht="9.9499999999999993" customHeight="1" thickBot="1" x14ac:dyDescent="0.3">
      <c r="A1" s="615"/>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row>
    <row r="2" spans="1:28" s="617" customFormat="1" ht="24.95" customHeight="1" thickBot="1" x14ac:dyDescent="0.3">
      <c r="B2" s="869" t="s">
        <v>556</v>
      </c>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3"/>
    </row>
    <row r="3" spans="1:28" s="618" customFormat="1" ht="9.9499999999999993" customHeight="1" thickBot="1" x14ac:dyDescent="0.3">
      <c r="B3" s="428"/>
      <c r="C3" s="428"/>
      <c r="D3" s="619"/>
      <c r="E3" s="619"/>
      <c r="F3" s="619"/>
      <c r="G3" s="619"/>
      <c r="H3" s="619"/>
      <c r="I3" s="619"/>
      <c r="J3" s="619"/>
      <c r="K3" s="619"/>
      <c r="L3" s="619"/>
      <c r="M3" s="619"/>
      <c r="N3" s="619"/>
      <c r="O3" s="619"/>
      <c r="P3" s="619"/>
      <c r="Q3" s="619"/>
      <c r="R3" s="619"/>
      <c r="S3" s="619"/>
      <c r="T3" s="619"/>
      <c r="U3" s="619"/>
      <c r="V3" s="619"/>
      <c r="W3" s="619"/>
      <c r="X3" s="619"/>
      <c r="Y3" s="619"/>
      <c r="Z3" s="619"/>
      <c r="AA3" s="619"/>
    </row>
    <row r="4" spans="1:28" s="430" customFormat="1" ht="15" customHeight="1" x14ac:dyDescent="0.25">
      <c r="B4" s="1014"/>
      <c r="C4" s="1011" t="s">
        <v>281</v>
      </c>
      <c r="D4" s="1008" t="s">
        <v>35</v>
      </c>
      <c r="E4" s="1029" t="s">
        <v>282</v>
      </c>
      <c r="F4" s="1030"/>
      <c r="G4" s="1030"/>
      <c r="H4" s="1030"/>
      <c r="I4" s="1030"/>
      <c r="J4" s="1030"/>
      <c r="K4" s="1030"/>
      <c r="L4" s="1030"/>
      <c r="M4" s="1030"/>
      <c r="N4" s="1030"/>
      <c r="O4" s="1030"/>
      <c r="P4" s="1030"/>
      <c r="Q4" s="1030"/>
      <c r="R4" s="1030"/>
      <c r="S4" s="1030"/>
      <c r="T4" s="1030"/>
      <c r="U4" s="1030"/>
      <c r="V4" s="1030"/>
      <c r="W4" s="1030"/>
      <c r="X4" s="1030"/>
      <c r="Y4" s="1030"/>
      <c r="Z4" s="1030"/>
      <c r="AA4" s="1031"/>
      <c r="AB4" s="1045" t="s">
        <v>377</v>
      </c>
    </row>
    <row r="5" spans="1:28" s="430" customFormat="1" ht="45" customHeight="1" x14ac:dyDescent="0.25">
      <c r="B5" s="1015"/>
      <c r="C5" s="1012"/>
      <c r="D5" s="1009"/>
      <c r="E5" s="1002" t="s">
        <v>39</v>
      </c>
      <c r="F5" s="993" t="s">
        <v>291</v>
      </c>
      <c r="G5" s="993" t="s">
        <v>548</v>
      </c>
      <c r="H5" s="993" t="s">
        <v>49</v>
      </c>
      <c r="I5" s="526" t="s">
        <v>75</v>
      </c>
      <c r="J5" s="526" t="s">
        <v>532</v>
      </c>
      <c r="K5" s="526" t="s">
        <v>285</v>
      </c>
      <c r="L5" s="993" t="s">
        <v>569</v>
      </c>
      <c r="M5" s="993" t="s">
        <v>473</v>
      </c>
      <c r="N5" s="993" t="s">
        <v>557</v>
      </c>
      <c r="O5" s="993" t="s">
        <v>474</v>
      </c>
      <c r="P5" s="993" t="s">
        <v>475</v>
      </c>
      <c r="Q5" s="993" t="s">
        <v>476</v>
      </c>
      <c r="R5" s="993" t="s">
        <v>477</v>
      </c>
      <c r="S5" s="993" t="s">
        <v>571</v>
      </c>
      <c r="T5" s="993" t="s">
        <v>568</v>
      </c>
      <c r="U5" s="993" t="s">
        <v>570</v>
      </c>
      <c r="V5" s="993" t="s">
        <v>40</v>
      </c>
      <c r="W5" s="993" t="s">
        <v>616</v>
      </c>
      <c r="X5" s="993" t="s">
        <v>617</v>
      </c>
      <c r="Y5" s="993" t="s">
        <v>585</v>
      </c>
      <c r="Z5" s="993" t="s">
        <v>618</v>
      </c>
      <c r="AA5" s="995" t="s">
        <v>584</v>
      </c>
      <c r="AB5" s="1046"/>
    </row>
    <row r="6" spans="1:28" s="618" customFormat="1" ht="45" customHeight="1" thickBot="1" x14ac:dyDescent="0.3">
      <c r="B6" s="1016"/>
      <c r="C6" s="1013"/>
      <c r="D6" s="1010"/>
      <c r="E6" s="1003"/>
      <c r="F6" s="994"/>
      <c r="G6" s="994"/>
      <c r="H6" s="994"/>
      <c r="I6" s="847" t="s">
        <v>76</v>
      </c>
      <c r="J6" s="847" t="s">
        <v>531</v>
      </c>
      <c r="K6" s="847" t="s">
        <v>284</v>
      </c>
      <c r="L6" s="994"/>
      <c r="M6" s="994"/>
      <c r="N6" s="994"/>
      <c r="O6" s="994"/>
      <c r="P6" s="994"/>
      <c r="Q6" s="994"/>
      <c r="R6" s="994"/>
      <c r="S6" s="994"/>
      <c r="T6" s="994"/>
      <c r="U6" s="994"/>
      <c r="V6" s="994"/>
      <c r="W6" s="994"/>
      <c r="X6" s="994"/>
      <c r="Y6" s="994"/>
      <c r="Z6" s="994"/>
      <c r="AA6" s="996"/>
      <c r="AB6" s="1047"/>
    </row>
    <row r="7" spans="1:28" s="618" customFormat="1" ht="21.95" customHeight="1" x14ac:dyDescent="0.25">
      <c r="B7" s="431">
        <v>1</v>
      </c>
      <c r="C7" s="497" t="str">
        <f>IF(Inventory!C10="","",Inventory!C10)</f>
        <v/>
      </c>
      <c r="D7" s="498" t="str">
        <f>IF(Inventory!D10="","",Inventory!D10)</f>
        <v/>
      </c>
      <c r="E7" s="555" t="str">
        <f>IF(Inventory!W10="","",Inventory!W10)</f>
        <v/>
      </c>
      <c r="F7" s="787" t="str">
        <f>IF(Inventory!X10="","",Inventory!X10)</f>
        <v/>
      </c>
      <c r="G7" s="787" t="str">
        <f>IF(Inventory!Y10="","",Inventory!Y10)</f>
        <v/>
      </c>
      <c r="H7" s="727" t="str">
        <f>IF(Inventory!Z10="","",Inventory!Z10)</f>
        <v/>
      </c>
      <c r="I7" s="727" t="str">
        <f>IF(Inventory!AA10="","",Inventory!AA10)</f>
        <v/>
      </c>
      <c r="J7" s="727" t="str">
        <f>IF(Inventory!AB10="","",Inventory!AB10)</f>
        <v/>
      </c>
      <c r="K7" s="727" t="str">
        <f>IF(Inventory!AC10="","",Inventory!AC10)</f>
        <v/>
      </c>
      <c r="L7" s="763" t="str">
        <f>IF(Inventory!AD10="","",Inventory!AD10)</f>
        <v/>
      </c>
      <c r="M7" s="537">
        <f>IF(Inventory!AE10="","",Inventory!AE10)</f>
        <v>0</v>
      </c>
      <c r="N7" s="537">
        <f>IF(Inventory!AF10="","",Inventory!AF10)</f>
        <v>0</v>
      </c>
      <c r="O7" s="537">
        <f>IF(Inventory!AG10="","",Inventory!AG10)</f>
        <v>0</v>
      </c>
      <c r="P7" s="537">
        <f>IF(Inventory!AH10="","",Inventory!AH10)</f>
        <v>0</v>
      </c>
      <c r="Q7" s="537">
        <f>IF(Inventory!AI10="","",Inventory!AI10)</f>
        <v>0</v>
      </c>
      <c r="R7" s="537">
        <f>IF(Inventory!AJ10="","",Inventory!AJ10)</f>
        <v>999999999</v>
      </c>
      <c r="S7" s="757" t="str">
        <f>IF(Inventory!AK10="","",Inventory!AK10)</f>
        <v/>
      </c>
      <c r="T7" s="763" t="str">
        <f>IF(Inventory!AL10="","",Inventory!AL10)</f>
        <v/>
      </c>
      <c r="U7" s="757" t="str">
        <f>IF(Inventory!AM10="","",Inventory!AM10)</f>
        <v/>
      </c>
      <c r="V7" s="727" t="str">
        <f>IF(Inventory!AN10="","",Inventory!AN10)</f>
        <v/>
      </c>
      <c r="W7" s="783" t="str">
        <f>IF(Inventory!AO10="","",Inventory!AO10)</f>
        <v/>
      </c>
      <c r="X7" s="783" t="str">
        <f>IF(Inventory!AP10="","",Inventory!AP10)</f>
        <v/>
      </c>
      <c r="Y7" s="727" t="str">
        <f>IF(Inventory!AQ10="","",Inventory!AQ10)</f>
        <v/>
      </c>
      <c r="Z7" s="783" t="str">
        <f>IF(Inventory!AR10="","",Inventory!AR10)</f>
        <v/>
      </c>
      <c r="AA7" s="784" t="str">
        <f>IF(Inventory!AS10="","",Inventory!AS10)</f>
        <v/>
      </c>
      <c r="AB7" s="865"/>
    </row>
    <row r="8" spans="1:28" s="618" customFormat="1" ht="21.95" customHeight="1" x14ac:dyDescent="0.25">
      <c r="B8" s="432">
        <v>2</v>
      </c>
      <c r="C8" s="499" t="str">
        <f>IF(Inventory!C11="","",Inventory!C11)</f>
        <v/>
      </c>
      <c r="D8" s="751" t="str">
        <f>IF(Inventory!D11="","",Inventory!D11)</f>
        <v/>
      </c>
      <c r="E8" s="556" t="str">
        <f>IF(Inventory!W11="","",Inventory!W11)</f>
        <v/>
      </c>
      <c r="F8" s="785" t="str">
        <f>IF(Inventory!X11="","",Inventory!X11)</f>
        <v/>
      </c>
      <c r="G8" s="785" t="str">
        <f>IF(Inventory!Y11="","",Inventory!Y11)</f>
        <v/>
      </c>
      <c r="H8" s="767" t="str">
        <f>IF(Inventory!Z11="","",Inventory!Z11)</f>
        <v/>
      </c>
      <c r="I8" s="767" t="str">
        <f>IF(Inventory!AA11="","",Inventory!AA11)</f>
        <v/>
      </c>
      <c r="J8" s="767" t="str">
        <f>IF(Inventory!AB11="","",Inventory!AB11)</f>
        <v/>
      </c>
      <c r="K8" s="767" t="str">
        <f>IF(Inventory!AC11="","",Inventory!AC11)</f>
        <v/>
      </c>
      <c r="L8" s="776" t="str">
        <f>IF(Inventory!AD11="","",Inventory!AD11)</f>
        <v/>
      </c>
      <c r="M8" s="527">
        <f>IF(Inventory!AE11="","",Inventory!AE11)</f>
        <v>0</v>
      </c>
      <c r="N8" s="527">
        <f>IF(Inventory!AF11="","",Inventory!AF11)</f>
        <v>0</v>
      </c>
      <c r="O8" s="527">
        <f>IF(Inventory!AG11="","",Inventory!AG11)</f>
        <v>0</v>
      </c>
      <c r="P8" s="527">
        <f>IF(Inventory!AH11="","",Inventory!AH11)</f>
        <v>0</v>
      </c>
      <c r="Q8" s="527">
        <f>IF(Inventory!AI11="","",Inventory!AI11)</f>
        <v>0</v>
      </c>
      <c r="R8" s="527">
        <f>IF(Inventory!AJ11="","",Inventory!AJ11)</f>
        <v>999999999</v>
      </c>
      <c r="S8" s="777" t="str">
        <f>IF(Inventory!AK11="","",Inventory!AK11)</f>
        <v/>
      </c>
      <c r="T8" s="776" t="str">
        <f>IF(Inventory!AL11="","",Inventory!AL11)</f>
        <v/>
      </c>
      <c r="U8" s="777" t="str">
        <f>IF(Inventory!AM11="","",Inventory!AM11)</f>
        <v/>
      </c>
      <c r="V8" s="767" t="str">
        <f>IF(Inventory!AN11="","",Inventory!AN11)</f>
        <v/>
      </c>
      <c r="W8" s="778" t="str">
        <f>IF(Inventory!AO11="","",Inventory!AO11)</f>
        <v/>
      </c>
      <c r="X8" s="778" t="str">
        <f>IF(Inventory!AP11="","",Inventory!AP11)</f>
        <v/>
      </c>
      <c r="Y8" s="767" t="str">
        <f>IF(Inventory!AQ11="","",Inventory!AQ11)</f>
        <v/>
      </c>
      <c r="Z8" s="778" t="str">
        <f>IF(Inventory!AR11="","",Inventory!AR11)</f>
        <v/>
      </c>
      <c r="AA8" s="751" t="str">
        <f>IF(Inventory!AS11="","",Inventory!AS11)</f>
        <v/>
      </c>
      <c r="AB8" s="871"/>
    </row>
    <row r="9" spans="1:28" s="618" customFormat="1" ht="21.95" customHeight="1" x14ac:dyDescent="0.25">
      <c r="B9" s="431">
        <v>3</v>
      </c>
      <c r="C9" s="501" t="str">
        <f>IF(Inventory!C12="","",Inventory!C12)</f>
        <v/>
      </c>
      <c r="D9" s="502" t="str">
        <f>IF(Inventory!D12="","",Inventory!D12)</f>
        <v/>
      </c>
      <c r="E9" s="557" t="str">
        <f>IF(Inventory!W12="","",Inventory!W12)</f>
        <v/>
      </c>
      <c r="F9" s="788" t="str">
        <f>IF(Inventory!X12="","",Inventory!X12)</f>
        <v/>
      </c>
      <c r="G9" s="788" t="str">
        <f>IF(Inventory!Y12="","",Inventory!Y12)</f>
        <v/>
      </c>
      <c r="H9" s="729" t="str">
        <f>IF(Inventory!Z12="","",Inventory!Z12)</f>
        <v/>
      </c>
      <c r="I9" s="729" t="str">
        <f>IF(Inventory!AA12="","",Inventory!AA12)</f>
        <v/>
      </c>
      <c r="J9" s="729" t="str">
        <f>IF(Inventory!AB12="","",Inventory!AB12)</f>
        <v/>
      </c>
      <c r="K9" s="729" t="str">
        <f>IF(Inventory!AC12="","",Inventory!AC12)</f>
        <v/>
      </c>
      <c r="L9" s="765" t="str">
        <f>IF(Inventory!AD12="","",Inventory!AD12)</f>
        <v/>
      </c>
      <c r="M9" s="527">
        <f>IF(Inventory!AE12="","",Inventory!AE12)</f>
        <v>0</v>
      </c>
      <c r="N9" s="527">
        <f>IF(Inventory!AF12="","",Inventory!AF12)</f>
        <v>0</v>
      </c>
      <c r="O9" s="527">
        <f>IF(Inventory!AG12="","",Inventory!AG12)</f>
        <v>0</v>
      </c>
      <c r="P9" s="527">
        <f>IF(Inventory!AH12="","",Inventory!AH12)</f>
        <v>0</v>
      </c>
      <c r="Q9" s="527">
        <f>IF(Inventory!AI12="","",Inventory!AI12)</f>
        <v>0</v>
      </c>
      <c r="R9" s="527">
        <f>IF(Inventory!AJ12="","",Inventory!AJ12)</f>
        <v>999999999</v>
      </c>
      <c r="S9" s="758" t="str">
        <f>IF(Inventory!AK12="","",Inventory!AK12)</f>
        <v/>
      </c>
      <c r="T9" s="765" t="str">
        <f>IF(Inventory!AL12="","",Inventory!AL12)</f>
        <v/>
      </c>
      <c r="U9" s="758" t="str">
        <f>IF(Inventory!AM12="","",Inventory!AM12)</f>
        <v/>
      </c>
      <c r="V9" s="729" t="str">
        <f>IF(Inventory!AN12="","",Inventory!AN12)</f>
        <v/>
      </c>
      <c r="W9" s="775" t="str">
        <f>IF(Inventory!AO12="","",Inventory!AO12)</f>
        <v/>
      </c>
      <c r="X9" s="775" t="str">
        <f>IF(Inventory!AP12="","",Inventory!AP12)</f>
        <v/>
      </c>
      <c r="Y9" s="729" t="str">
        <f>IF(Inventory!AQ12="","",Inventory!AQ12)</f>
        <v/>
      </c>
      <c r="Z9" s="775" t="str">
        <f>IF(Inventory!AR12="","",Inventory!AR12)</f>
        <v/>
      </c>
      <c r="AA9" s="779" t="str">
        <f>IF(Inventory!AS12="","",Inventory!AS12)</f>
        <v/>
      </c>
      <c r="AB9" s="866"/>
    </row>
    <row r="10" spans="1:28" s="618" customFormat="1" ht="21.95" customHeight="1" x14ac:dyDescent="0.25">
      <c r="B10" s="432">
        <v>4</v>
      </c>
      <c r="C10" s="499" t="str">
        <f>IF(Inventory!C13="","",Inventory!C13)</f>
        <v/>
      </c>
      <c r="D10" s="751" t="str">
        <f>IF(Inventory!D13="","",Inventory!D13)</f>
        <v/>
      </c>
      <c r="E10" s="556" t="str">
        <f>IF(Inventory!W13="","",Inventory!W13)</f>
        <v/>
      </c>
      <c r="F10" s="785" t="str">
        <f>IF(Inventory!X13="","",Inventory!X13)</f>
        <v/>
      </c>
      <c r="G10" s="785" t="str">
        <f>IF(Inventory!Y13="","",Inventory!Y13)</f>
        <v/>
      </c>
      <c r="H10" s="767" t="str">
        <f>IF(Inventory!Z13="","",Inventory!Z13)</f>
        <v/>
      </c>
      <c r="I10" s="767" t="str">
        <f>IF(Inventory!AA13="","",Inventory!AA13)</f>
        <v/>
      </c>
      <c r="J10" s="767" t="str">
        <f>IF(Inventory!AB13="","",Inventory!AB13)</f>
        <v/>
      </c>
      <c r="K10" s="767" t="str">
        <f>IF(Inventory!AC13="","",Inventory!AC13)</f>
        <v/>
      </c>
      <c r="L10" s="776" t="str">
        <f>IF(Inventory!AD13="","",Inventory!AD13)</f>
        <v/>
      </c>
      <c r="M10" s="527">
        <f>IF(Inventory!AE13="","",Inventory!AE13)</f>
        <v>0</v>
      </c>
      <c r="N10" s="527">
        <f>IF(Inventory!AF13="","",Inventory!AF13)</f>
        <v>0</v>
      </c>
      <c r="O10" s="527">
        <f>IF(Inventory!AG13="","",Inventory!AG13)</f>
        <v>0</v>
      </c>
      <c r="P10" s="527">
        <f>IF(Inventory!AH13="","",Inventory!AH13)</f>
        <v>0</v>
      </c>
      <c r="Q10" s="527">
        <f>IF(Inventory!AI13="","",Inventory!AI13)</f>
        <v>0</v>
      </c>
      <c r="R10" s="527">
        <f>IF(Inventory!AJ13="","",Inventory!AJ13)</f>
        <v>999999999</v>
      </c>
      <c r="S10" s="777" t="str">
        <f>IF(Inventory!AK13="","",Inventory!AK13)</f>
        <v/>
      </c>
      <c r="T10" s="776" t="str">
        <f>IF(Inventory!AL13="","",Inventory!AL13)</f>
        <v/>
      </c>
      <c r="U10" s="777" t="str">
        <f>IF(Inventory!AM13="","",Inventory!AM13)</f>
        <v/>
      </c>
      <c r="V10" s="767" t="str">
        <f>IF(Inventory!AN13="","",Inventory!AN13)</f>
        <v/>
      </c>
      <c r="W10" s="778" t="str">
        <f>IF(Inventory!AO13="","",Inventory!AO13)</f>
        <v/>
      </c>
      <c r="X10" s="778" t="str">
        <f>IF(Inventory!AP13="","",Inventory!AP13)</f>
        <v/>
      </c>
      <c r="Y10" s="767" t="str">
        <f>IF(Inventory!AQ13="","",Inventory!AQ13)</f>
        <v/>
      </c>
      <c r="Z10" s="778" t="str">
        <f>IF(Inventory!AR13="","",Inventory!AR13)</f>
        <v/>
      </c>
      <c r="AA10" s="751" t="str">
        <f>IF(Inventory!AS13="","",Inventory!AS13)</f>
        <v/>
      </c>
      <c r="AB10" s="871"/>
    </row>
    <row r="11" spans="1:28" s="618" customFormat="1" ht="21.95" customHeight="1" x14ac:dyDescent="0.25">
      <c r="B11" s="431">
        <v>5</v>
      </c>
      <c r="C11" s="501" t="str">
        <f>IF(Inventory!C14="","",Inventory!C14)</f>
        <v/>
      </c>
      <c r="D11" s="502" t="str">
        <f>IF(Inventory!D14="","",Inventory!D14)</f>
        <v/>
      </c>
      <c r="E11" s="557" t="str">
        <f>IF(Inventory!W14="","",Inventory!W14)</f>
        <v/>
      </c>
      <c r="F11" s="788" t="str">
        <f>IF(Inventory!X14="","",Inventory!X14)</f>
        <v/>
      </c>
      <c r="G11" s="788" t="str">
        <f>IF(Inventory!Y14="","",Inventory!Y14)</f>
        <v/>
      </c>
      <c r="H11" s="729" t="str">
        <f>IF(Inventory!Z14="","",Inventory!Z14)</f>
        <v/>
      </c>
      <c r="I11" s="729" t="str">
        <f>IF(Inventory!AA14="","",Inventory!AA14)</f>
        <v/>
      </c>
      <c r="J11" s="729" t="str">
        <f>IF(Inventory!AB14="","",Inventory!AB14)</f>
        <v/>
      </c>
      <c r="K11" s="729" t="str">
        <f>IF(Inventory!AC14="","",Inventory!AC14)</f>
        <v/>
      </c>
      <c r="L11" s="765" t="str">
        <f>IF(Inventory!AD14="","",Inventory!AD14)</f>
        <v/>
      </c>
      <c r="M11" s="527">
        <f>IF(Inventory!AE14="","",Inventory!AE14)</f>
        <v>0</v>
      </c>
      <c r="N11" s="527">
        <f>IF(Inventory!AF14="","",Inventory!AF14)</f>
        <v>0</v>
      </c>
      <c r="O11" s="527">
        <f>IF(Inventory!AG14="","",Inventory!AG14)</f>
        <v>0</v>
      </c>
      <c r="P11" s="527">
        <f>IF(Inventory!AH14="","",Inventory!AH14)</f>
        <v>0</v>
      </c>
      <c r="Q11" s="527">
        <f>IF(Inventory!AI14="","",Inventory!AI14)</f>
        <v>0</v>
      </c>
      <c r="R11" s="527">
        <f>IF(Inventory!AJ14="","",Inventory!AJ14)</f>
        <v>999999999</v>
      </c>
      <c r="S11" s="758" t="str">
        <f>IF(Inventory!AK14="","",Inventory!AK14)</f>
        <v/>
      </c>
      <c r="T11" s="765" t="str">
        <f>IF(Inventory!AL14="","",Inventory!AL14)</f>
        <v/>
      </c>
      <c r="U11" s="758" t="str">
        <f>IF(Inventory!AM14="","",Inventory!AM14)</f>
        <v/>
      </c>
      <c r="V11" s="729" t="str">
        <f>IF(Inventory!AN14="","",Inventory!AN14)</f>
        <v/>
      </c>
      <c r="W11" s="775" t="str">
        <f>IF(Inventory!AO14="","",Inventory!AO14)</f>
        <v/>
      </c>
      <c r="X11" s="775" t="str">
        <f>IF(Inventory!AP14="","",Inventory!AP14)</f>
        <v/>
      </c>
      <c r="Y11" s="729" t="str">
        <f>IF(Inventory!AQ14="","",Inventory!AQ14)</f>
        <v/>
      </c>
      <c r="Z11" s="775" t="str">
        <f>IF(Inventory!AR14="","",Inventory!AR14)</f>
        <v/>
      </c>
      <c r="AA11" s="779" t="str">
        <f>IF(Inventory!AS14="","",Inventory!AS14)</f>
        <v/>
      </c>
      <c r="AB11" s="866"/>
    </row>
    <row r="12" spans="1:28" s="618" customFormat="1" ht="21.95" customHeight="1" x14ac:dyDescent="0.25">
      <c r="B12" s="432">
        <v>6</v>
      </c>
      <c r="C12" s="499" t="str">
        <f>IF(Inventory!C15="","",Inventory!C15)</f>
        <v/>
      </c>
      <c r="D12" s="751" t="str">
        <f>IF(Inventory!D15="","",Inventory!D15)</f>
        <v/>
      </c>
      <c r="E12" s="556" t="str">
        <f>IF(Inventory!W15="","",Inventory!W15)</f>
        <v/>
      </c>
      <c r="F12" s="785" t="str">
        <f>IF(Inventory!X15="","",Inventory!X15)</f>
        <v/>
      </c>
      <c r="G12" s="785" t="str">
        <f>IF(Inventory!Y15="","",Inventory!Y15)</f>
        <v/>
      </c>
      <c r="H12" s="767" t="str">
        <f>IF(Inventory!Z15="","",Inventory!Z15)</f>
        <v/>
      </c>
      <c r="I12" s="767" t="str">
        <f>IF(Inventory!AA15="","",Inventory!AA15)</f>
        <v/>
      </c>
      <c r="J12" s="767" t="str">
        <f>IF(Inventory!AB15="","",Inventory!AB15)</f>
        <v/>
      </c>
      <c r="K12" s="767" t="str">
        <f>IF(Inventory!AC15="","",Inventory!AC15)</f>
        <v/>
      </c>
      <c r="L12" s="776" t="str">
        <f>IF(Inventory!AD15="","",Inventory!AD15)</f>
        <v/>
      </c>
      <c r="M12" s="527">
        <f>IF(Inventory!AE15="","",Inventory!AE15)</f>
        <v>0</v>
      </c>
      <c r="N12" s="527">
        <f>IF(Inventory!AF15="","",Inventory!AF15)</f>
        <v>0</v>
      </c>
      <c r="O12" s="527">
        <f>IF(Inventory!AG15="","",Inventory!AG15)</f>
        <v>0</v>
      </c>
      <c r="P12" s="527">
        <f>IF(Inventory!AH15="","",Inventory!AH15)</f>
        <v>0</v>
      </c>
      <c r="Q12" s="527">
        <f>IF(Inventory!AI15="","",Inventory!AI15)</f>
        <v>0</v>
      </c>
      <c r="R12" s="527">
        <f>IF(Inventory!AJ15="","",Inventory!AJ15)</f>
        <v>999999999</v>
      </c>
      <c r="S12" s="777" t="str">
        <f>IF(Inventory!AK15="","",Inventory!AK15)</f>
        <v/>
      </c>
      <c r="T12" s="776" t="str">
        <f>IF(Inventory!AL15="","",Inventory!AL15)</f>
        <v/>
      </c>
      <c r="U12" s="777" t="str">
        <f>IF(Inventory!AM15="","",Inventory!AM15)</f>
        <v/>
      </c>
      <c r="V12" s="767" t="str">
        <f>IF(Inventory!AN15="","",Inventory!AN15)</f>
        <v/>
      </c>
      <c r="W12" s="778" t="str">
        <f>IF(Inventory!AO15="","",Inventory!AO15)</f>
        <v/>
      </c>
      <c r="X12" s="778" t="str">
        <f>IF(Inventory!AP15="","",Inventory!AP15)</f>
        <v/>
      </c>
      <c r="Y12" s="767" t="str">
        <f>IF(Inventory!AQ15="","",Inventory!AQ15)</f>
        <v/>
      </c>
      <c r="Z12" s="778" t="str">
        <f>IF(Inventory!AR15="","",Inventory!AR15)</f>
        <v/>
      </c>
      <c r="AA12" s="751" t="str">
        <f>IF(Inventory!AS15="","",Inventory!AS15)</f>
        <v/>
      </c>
      <c r="AB12" s="871"/>
    </row>
    <row r="13" spans="1:28" s="618" customFormat="1" ht="21.95" customHeight="1" x14ac:dyDescent="0.25">
      <c r="B13" s="431">
        <v>7</v>
      </c>
      <c r="C13" s="501" t="str">
        <f>IF(Inventory!C16="","",Inventory!C16)</f>
        <v/>
      </c>
      <c r="D13" s="502" t="str">
        <f>IF(Inventory!D16="","",Inventory!D16)</f>
        <v/>
      </c>
      <c r="E13" s="557" t="str">
        <f>IF(Inventory!W16="","",Inventory!W16)</f>
        <v/>
      </c>
      <c r="F13" s="788" t="str">
        <f>IF(Inventory!X16="","",Inventory!X16)</f>
        <v/>
      </c>
      <c r="G13" s="788" t="str">
        <f>IF(Inventory!Y16="","",Inventory!Y16)</f>
        <v/>
      </c>
      <c r="H13" s="729" t="str">
        <f>IF(Inventory!Z16="","",Inventory!Z16)</f>
        <v/>
      </c>
      <c r="I13" s="729" t="str">
        <f>IF(Inventory!AA16="","",Inventory!AA16)</f>
        <v/>
      </c>
      <c r="J13" s="729" t="str">
        <f>IF(Inventory!AB16="","",Inventory!AB16)</f>
        <v/>
      </c>
      <c r="K13" s="729" t="str">
        <f>IF(Inventory!AC16="","",Inventory!AC16)</f>
        <v/>
      </c>
      <c r="L13" s="765" t="str">
        <f>IF(Inventory!AD16="","",Inventory!AD16)</f>
        <v/>
      </c>
      <c r="M13" s="527">
        <f>IF(Inventory!AE16="","",Inventory!AE16)</f>
        <v>0</v>
      </c>
      <c r="N13" s="527">
        <f>IF(Inventory!AF16="","",Inventory!AF16)</f>
        <v>0</v>
      </c>
      <c r="O13" s="527">
        <f>IF(Inventory!AG16="","",Inventory!AG16)</f>
        <v>0</v>
      </c>
      <c r="P13" s="527">
        <f>IF(Inventory!AH16="","",Inventory!AH16)</f>
        <v>0</v>
      </c>
      <c r="Q13" s="527">
        <f>IF(Inventory!AI16="","",Inventory!AI16)</f>
        <v>0</v>
      </c>
      <c r="R13" s="527">
        <f>IF(Inventory!AJ16="","",Inventory!AJ16)</f>
        <v>999999999</v>
      </c>
      <c r="S13" s="758" t="str">
        <f>IF(Inventory!AK16="","",Inventory!AK16)</f>
        <v/>
      </c>
      <c r="T13" s="765" t="str">
        <f>IF(Inventory!AL16="","",Inventory!AL16)</f>
        <v/>
      </c>
      <c r="U13" s="758" t="str">
        <f>IF(Inventory!AM16="","",Inventory!AM16)</f>
        <v/>
      </c>
      <c r="V13" s="729" t="str">
        <f>IF(Inventory!AN16="","",Inventory!AN16)</f>
        <v/>
      </c>
      <c r="W13" s="775" t="str">
        <f>IF(Inventory!AO16="","",Inventory!AO16)</f>
        <v/>
      </c>
      <c r="X13" s="775" t="str">
        <f>IF(Inventory!AP16="","",Inventory!AP16)</f>
        <v/>
      </c>
      <c r="Y13" s="729" t="str">
        <f>IF(Inventory!AQ16="","",Inventory!AQ16)</f>
        <v/>
      </c>
      <c r="Z13" s="775" t="str">
        <f>IF(Inventory!AR16="","",Inventory!AR16)</f>
        <v/>
      </c>
      <c r="AA13" s="779" t="str">
        <f>IF(Inventory!AS16="","",Inventory!AS16)</f>
        <v/>
      </c>
      <c r="AB13" s="866"/>
    </row>
    <row r="14" spans="1:28" s="618" customFormat="1" ht="21.95" customHeight="1" x14ac:dyDescent="0.25">
      <c r="B14" s="432">
        <v>8</v>
      </c>
      <c r="C14" s="499" t="str">
        <f>IF(Inventory!C17="","",Inventory!C17)</f>
        <v/>
      </c>
      <c r="D14" s="751" t="str">
        <f>IF(Inventory!D17="","",Inventory!D17)</f>
        <v/>
      </c>
      <c r="E14" s="556" t="str">
        <f>IF(Inventory!W17="","",Inventory!W17)</f>
        <v/>
      </c>
      <c r="F14" s="785" t="str">
        <f>IF(Inventory!X17="","",Inventory!X17)</f>
        <v/>
      </c>
      <c r="G14" s="785" t="str">
        <f>IF(Inventory!Y17="","",Inventory!Y17)</f>
        <v/>
      </c>
      <c r="H14" s="767" t="str">
        <f>IF(Inventory!Z17="","",Inventory!Z17)</f>
        <v/>
      </c>
      <c r="I14" s="767" t="str">
        <f>IF(Inventory!AA17="","",Inventory!AA17)</f>
        <v/>
      </c>
      <c r="J14" s="767" t="str">
        <f>IF(Inventory!AB17="","",Inventory!AB17)</f>
        <v/>
      </c>
      <c r="K14" s="767" t="str">
        <f>IF(Inventory!AC17="","",Inventory!AC17)</f>
        <v/>
      </c>
      <c r="L14" s="776" t="str">
        <f>IF(Inventory!AD17="","",Inventory!AD17)</f>
        <v/>
      </c>
      <c r="M14" s="527">
        <f>IF(Inventory!AE17="","",Inventory!AE17)</f>
        <v>0</v>
      </c>
      <c r="N14" s="527">
        <f>IF(Inventory!AF17="","",Inventory!AF17)</f>
        <v>0</v>
      </c>
      <c r="O14" s="527">
        <f>IF(Inventory!AG17="","",Inventory!AG17)</f>
        <v>0</v>
      </c>
      <c r="P14" s="527">
        <f>IF(Inventory!AH17="","",Inventory!AH17)</f>
        <v>0</v>
      </c>
      <c r="Q14" s="527">
        <f>IF(Inventory!AI17="","",Inventory!AI17)</f>
        <v>0</v>
      </c>
      <c r="R14" s="527">
        <f>IF(Inventory!AJ17="","",Inventory!AJ17)</f>
        <v>999999999</v>
      </c>
      <c r="S14" s="777" t="str">
        <f>IF(Inventory!AK17="","",Inventory!AK17)</f>
        <v/>
      </c>
      <c r="T14" s="776" t="str">
        <f>IF(Inventory!AL17="","",Inventory!AL17)</f>
        <v/>
      </c>
      <c r="U14" s="777" t="str">
        <f>IF(Inventory!AM17="","",Inventory!AM17)</f>
        <v/>
      </c>
      <c r="V14" s="767" t="str">
        <f>IF(Inventory!AN17="","",Inventory!AN17)</f>
        <v/>
      </c>
      <c r="W14" s="778" t="str">
        <f>IF(Inventory!AO17="","",Inventory!AO17)</f>
        <v/>
      </c>
      <c r="X14" s="778" t="str">
        <f>IF(Inventory!AP17="","",Inventory!AP17)</f>
        <v/>
      </c>
      <c r="Y14" s="767" t="str">
        <f>IF(Inventory!AQ17="","",Inventory!AQ17)</f>
        <v/>
      </c>
      <c r="Z14" s="778" t="str">
        <f>IF(Inventory!AR17="","",Inventory!AR17)</f>
        <v/>
      </c>
      <c r="AA14" s="751" t="str">
        <f>IF(Inventory!AS17="","",Inventory!AS17)</f>
        <v/>
      </c>
      <c r="AB14" s="871"/>
    </row>
    <row r="15" spans="1:28" s="618" customFormat="1" ht="21.95" customHeight="1" x14ac:dyDescent="0.25">
      <c r="B15" s="431">
        <v>9</v>
      </c>
      <c r="C15" s="501" t="str">
        <f>IF(Inventory!C18="","",Inventory!C18)</f>
        <v/>
      </c>
      <c r="D15" s="502" t="str">
        <f>IF(Inventory!D18="","",Inventory!D18)</f>
        <v/>
      </c>
      <c r="E15" s="557" t="str">
        <f>IF(Inventory!W18="","",Inventory!W18)</f>
        <v/>
      </c>
      <c r="F15" s="788" t="str">
        <f>IF(Inventory!X18="","",Inventory!X18)</f>
        <v/>
      </c>
      <c r="G15" s="788" t="str">
        <f>IF(Inventory!Y18="","",Inventory!Y18)</f>
        <v/>
      </c>
      <c r="H15" s="729" t="str">
        <f>IF(Inventory!Z18="","",Inventory!Z18)</f>
        <v/>
      </c>
      <c r="I15" s="729" t="str">
        <f>IF(Inventory!AA18="","",Inventory!AA18)</f>
        <v/>
      </c>
      <c r="J15" s="729" t="str">
        <f>IF(Inventory!AB18="","",Inventory!AB18)</f>
        <v/>
      </c>
      <c r="K15" s="729" t="str">
        <f>IF(Inventory!AC18="","",Inventory!AC18)</f>
        <v/>
      </c>
      <c r="L15" s="765" t="str">
        <f>IF(Inventory!AD18="","",Inventory!AD18)</f>
        <v/>
      </c>
      <c r="M15" s="527">
        <f>IF(Inventory!AE18="","",Inventory!AE18)</f>
        <v>0</v>
      </c>
      <c r="N15" s="527">
        <f>IF(Inventory!AF18="","",Inventory!AF18)</f>
        <v>0</v>
      </c>
      <c r="O15" s="527">
        <f>IF(Inventory!AG18="","",Inventory!AG18)</f>
        <v>0</v>
      </c>
      <c r="P15" s="527">
        <f>IF(Inventory!AH18="","",Inventory!AH18)</f>
        <v>0</v>
      </c>
      <c r="Q15" s="527">
        <f>IF(Inventory!AI18="","",Inventory!AI18)</f>
        <v>0</v>
      </c>
      <c r="R15" s="527">
        <f>IF(Inventory!AJ18="","",Inventory!AJ18)</f>
        <v>999999999</v>
      </c>
      <c r="S15" s="758" t="str">
        <f>IF(Inventory!AK18="","",Inventory!AK18)</f>
        <v/>
      </c>
      <c r="T15" s="765" t="str">
        <f>IF(Inventory!AL18="","",Inventory!AL18)</f>
        <v/>
      </c>
      <c r="U15" s="758" t="str">
        <f>IF(Inventory!AM18="","",Inventory!AM18)</f>
        <v/>
      </c>
      <c r="V15" s="729" t="str">
        <f>IF(Inventory!AN18="","",Inventory!AN18)</f>
        <v/>
      </c>
      <c r="W15" s="775" t="str">
        <f>IF(Inventory!AO18="","",Inventory!AO18)</f>
        <v/>
      </c>
      <c r="X15" s="775" t="str">
        <f>IF(Inventory!AP18="","",Inventory!AP18)</f>
        <v/>
      </c>
      <c r="Y15" s="729" t="str">
        <f>IF(Inventory!AQ18="","",Inventory!AQ18)</f>
        <v/>
      </c>
      <c r="Z15" s="775" t="str">
        <f>IF(Inventory!AR18="","",Inventory!AR18)</f>
        <v/>
      </c>
      <c r="AA15" s="779" t="str">
        <f>IF(Inventory!AS18="","",Inventory!AS18)</f>
        <v/>
      </c>
      <c r="AB15" s="866"/>
    </row>
    <row r="16" spans="1:28" s="618" customFormat="1" ht="21.95" customHeight="1" x14ac:dyDescent="0.25">
      <c r="B16" s="432">
        <v>10</v>
      </c>
      <c r="C16" s="499" t="str">
        <f>IF(Inventory!C19="","",Inventory!C19)</f>
        <v/>
      </c>
      <c r="D16" s="751" t="str">
        <f>IF(Inventory!D19="","",Inventory!D19)</f>
        <v/>
      </c>
      <c r="E16" s="556" t="str">
        <f>IF(Inventory!W19="","",Inventory!W19)</f>
        <v/>
      </c>
      <c r="F16" s="785" t="str">
        <f>IF(Inventory!X19="","",Inventory!X19)</f>
        <v/>
      </c>
      <c r="G16" s="785" t="str">
        <f>IF(Inventory!Y19="","",Inventory!Y19)</f>
        <v/>
      </c>
      <c r="H16" s="767" t="str">
        <f>IF(Inventory!Z19="","",Inventory!Z19)</f>
        <v/>
      </c>
      <c r="I16" s="767" t="str">
        <f>IF(Inventory!AA19="","",Inventory!AA19)</f>
        <v/>
      </c>
      <c r="J16" s="767" t="str">
        <f>IF(Inventory!AB19="","",Inventory!AB19)</f>
        <v/>
      </c>
      <c r="K16" s="767" t="str">
        <f>IF(Inventory!AC19="","",Inventory!AC19)</f>
        <v/>
      </c>
      <c r="L16" s="776" t="str">
        <f>IF(Inventory!AD19="","",Inventory!AD19)</f>
        <v/>
      </c>
      <c r="M16" s="527">
        <f>IF(Inventory!AE19="","",Inventory!AE19)</f>
        <v>0</v>
      </c>
      <c r="N16" s="527">
        <f>IF(Inventory!AF19="","",Inventory!AF19)</f>
        <v>0</v>
      </c>
      <c r="O16" s="527">
        <f>IF(Inventory!AG19="","",Inventory!AG19)</f>
        <v>0</v>
      </c>
      <c r="P16" s="527">
        <f>IF(Inventory!AH19="","",Inventory!AH19)</f>
        <v>0</v>
      </c>
      <c r="Q16" s="527">
        <f>IF(Inventory!AI19="","",Inventory!AI19)</f>
        <v>0</v>
      </c>
      <c r="R16" s="527">
        <f>IF(Inventory!AJ19="","",Inventory!AJ19)</f>
        <v>999999999</v>
      </c>
      <c r="S16" s="777" t="str">
        <f>IF(Inventory!AK19="","",Inventory!AK19)</f>
        <v/>
      </c>
      <c r="T16" s="776" t="str">
        <f>IF(Inventory!AL19="","",Inventory!AL19)</f>
        <v/>
      </c>
      <c r="U16" s="777" t="str">
        <f>IF(Inventory!AM19="","",Inventory!AM19)</f>
        <v/>
      </c>
      <c r="V16" s="767" t="str">
        <f>IF(Inventory!AN19="","",Inventory!AN19)</f>
        <v/>
      </c>
      <c r="W16" s="778" t="str">
        <f>IF(Inventory!AO19="","",Inventory!AO19)</f>
        <v/>
      </c>
      <c r="X16" s="778" t="str">
        <f>IF(Inventory!AP19="","",Inventory!AP19)</f>
        <v/>
      </c>
      <c r="Y16" s="767" t="str">
        <f>IF(Inventory!AQ19="","",Inventory!AQ19)</f>
        <v/>
      </c>
      <c r="Z16" s="778" t="str">
        <f>IF(Inventory!AR19="","",Inventory!AR19)</f>
        <v/>
      </c>
      <c r="AA16" s="751" t="str">
        <f>IF(Inventory!AS19="","",Inventory!AS19)</f>
        <v/>
      </c>
      <c r="AB16" s="871"/>
    </row>
    <row r="17" spans="2:28" s="618" customFormat="1" ht="21.95" customHeight="1" x14ac:dyDescent="0.25">
      <c r="B17" s="431">
        <v>11</v>
      </c>
      <c r="C17" s="501" t="str">
        <f>IF(Inventory!C20="","",Inventory!C20)</f>
        <v/>
      </c>
      <c r="D17" s="502" t="str">
        <f>IF(Inventory!D20="","",Inventory!D20)</f>
        <v/>
      </c>
      <c r="E17" s="557" t="str">
        <f>IF(Inventory!W20="","",Inventory!W20)</f>
        <v/>
      </c>
      <c r="F17" s="788" t="str">
        <f>IF(Inventory!X20="","",Inventory!X20)</f>
        <v/>
      </c>
      <c r="G17" s="788" t="str">
        <f>IF(Inventory!Y20="","",Inventory!Y20)</f>
        <v/>
      </c>
      <c r="H17" s="729" t="str">
        <f>IF(Inventory!Z20="","",Inventory!Z20)</f>
        <v/>
      </c>
      <c r="I17" s="729" t="str">
        <f>IF(Inventory!AA20="","",Inventory!AA20)</f>
        <v/>
      </c>
      <c r="J17" s="729" t="str">
        <f>IF(Inventory!AB20="","",Inventory!AB20)</f>
        <v/>
      </c>
      <c r="K17" s="729" t="str">
        <f>IF(Inventory!AC20="","",Inventory!AC20)</f>
        <v/>
      </c>
      <c r="L17" s="765" t="str">
        <f>IF(Inventory!AD20="","",Inventory!AD20)</f>
        <v/>
      </c>
      <c r="M17" s="527">
        <f>IF(Inventory!AE20="","",Inventory!AE20)</f>
        <v>0</v>
      </c>
      <c r="N17" s="527">
        <f>IF(Inventory!AF20="","",Inventory!AF20)</f>
        <v>0</v>
      </c>
      <c r="O17" s="527">
        <f>IF(Inventory!AG20="","",Inventory!AG20)</f>
        <v>0</v>
      </c>
      <c r="P17" s="527">
        <f>IF(Inventory!AH20="","",Inventory!AH20)</f>
        <v>0</v>
      </c>
      <c r="Q17" s="527">
        <f>IF(Inventory!AI20="","",Inventory!AI20)</f>
        <v>0</v>
      </c>
      <c r="R17" s="527">
        <f>IF(Inventory!AJ20="","",Inventory!AJ20)</f>
        <v>999999999</v>
      </c>
      <c r="S17" s="758" t="str">
        <f>IF(Inventory!AK20="","",Inventory!AK20)</f>
        <v/>
      </c>
      <c r="T17" s="765" t="str">
        <f>IF(Inventory!AL20="","",Inventory!AL20)</f>
        <v/>
      </c>
      <c r="U17" s="758" t="str">
        <f>IF(Inventory!AM20="","",Inventory!AM20)</f>
        <v/>
      </c>
      <c r="V17" s="729" t="str">
        <f>IF(Inventory!AN20="","",Inventory!AN20)</f>
        <v/>
      </c>
      <c r="W17" s="775" t="str">
        <f>IF(Inventory!AO20="","",Inventory!AO20)</f>
        <v/>
      </c>
      <c r="X17" s="775" t="str">
        <f>IF(Inventory!AP20="","",Inventory!AP20)</f>
        <v/>
      </c>
      <c r="Y17" s="729" t="str">
        <f>IF(Inventory!AQ20="","",Inventory!AQ20)</f>
        <v/>
      </c>
      <c r="Z17" s="775" t="str">
        <f>IF(Inventory!AR20="","",Inventory!AR20)</f>
        <v/>
      </c>
      <c r="AA17" s="779" t="str">
        <f>IF(Inventory!AS20="","",Inventory!AS20)</f>
        <v/>
      </c>
      <c r="AB17" s="866"/>
    </row>
    <row r="18" spans="2:28" s="618" customFormat="1" ht="21.95" customHeight="1" x14ac:dyDescent="0.25">
      <c r="B18" s="432">
        <v>12</v>
      </c>
      <c r="C18" s="499" t="str">
        <f>IF(Inventory!C21="","",Inventory!C21)</f>
        <v/>
      </c>
      <c r="D18" s="751" t="str">
        <f>IF(Inventory!D21="","",Inventory!D21)</f>
        <v/>
      </c>
      <c r="E18" s="556" t="str">
        <f>IF(Inventory!W21="","",Inventory!W21)</f>
        <v/>
      </c>
      <c r="F18" s="785" t="str">
        <f>IF(Inventory!X21="","",Inventory!X21)</f>
        <v/>
      </c>
      <c r="G18" s="785" t="str">
        <f>IF(Inventory!Y21="","",Inventory!Y21)</f>
        <v/>
      </c>
      <c r="H18" s="767" t="str">
        <f>IF(Inventory!Z21="","",Inventory!Z21)</f>
        <v/>
      </c>
      <c r="I18" s="767" t="str">
        <f>IF(Inventory!AA21="","",Inventory!AA21)</f>
        <v/>
      </c>
      <c r="J18" s="767" t="str">
        <f>IF(Inventory!AB21="","",Inventory!AB21)</f>
        <v/>
      </c>
      <c r="K18" s="767" t="str">
        <f>IF(Inventory!AC21="","",Inventory!AC21)</f>
        <v/>
      </c>
      <c r="L18" s="776" t="str">
        <f>IF(Inventory!AD21="","",Inventory!AD21)</f>
        <v/>
      </c>
      <c r="M18" s="527">
        <f>IF(Inventory!AE21="","",Inventory!AE21)</f>
        <v>0</v>
      </c>
      <c r="N18" s="527">
        <f>IF(Inventory!AF21="","",Inventory!AF21)</f>
        <v>0</v>
      </c>
      <c r="O18" s="527">
        <f>IF(Inventory!AG21="","",Inventory!AG21)</f>
        <v>0</v>
      </c>
      <c r="P18" s="527">
        <f>IF(Inventory!AH21="","",Inventory!AH21)</f>
        <v>0</v>
      </c>
      <c r="Q18" s="527">
        <f>IF(Inventory!AI21="","",Inventory!AI21)</f>
        <v>0</v>
      </c>
      <c r="R18" s="527">
        <f>IF(Inventory!AJ21="","",Inventory!AJ21)</f>
        <v>999999999</v>
      </c>
      <c r="S18" s="777" t="str">
        <f>IF(Inventory!AK21="","",Inventory!AK21)</f>
        <v/>
      </c>
      <c r="T18" s="776" t="str">
        <f>IF(Inventory!AL21="","",Inventory!AL21)</f>
        <v/>
      </c>
      <c r="U18" s="777" t="str">
        <f>IF(Inventory!AM21="","",Inventory!AM21)</f>
        <v/>
      </c>
      <c r="V18" s="767" t="str">
        <f>IF(Inventory!AN21="","",Inventory!AN21)</f>
        <v/>
      </c>
      <c r="W18" s="778" t="str">
        <f>IF(Inventory!AO21="","",Inventory!AO21)</f>
        <v/>
      </c>
      <c r="X18" s="778" t="str">
        <f>IF(Inventory!AP21="","",Inventory!AP21)</f>
        <v/>
      </c>
      <c r="Y18" s="767" t="str">
        <f>IF(Inventory!AQ21="","",Inventory!AQ21)</f>
        <v/>
      </c>
      <c r="Z18" s="778" t="str">
        <f>IF(Inventory!AR21="","",Inventory!AR21)</f>
        <v/>
      </c>
      <c r="AA18" s="751" t="str">
        <f>IF(Inventory!AS21="","",Inventory!AS21)</f>
        <v/>
      </c>
      <c r="AB18" s="871"/>
    </row>
    <row r="19" spans="2:28" s="618" customFormat="1" ht="21.95" customHeight="1" x14ac:dyDescent="0.25">
      <c r="B19" s="431">
        <v>13</v>
      </c>
      <c r="C19" s="501" t="str">
        <f>IF(Inventory!C22="","",Inventory!C22)</f>
        <v/>
      </c>
      <c r="D19" s="502" t="str">
        <f>IF(Inventory!D22="","",Inventory!D22)</f>
        <v/>
      </c>
      <c r="E19" s="557" t="str">
        <f>IF(Inventory!W22="","",Inventory!W22)</f>
        <v/>
      </c>
      <c r="F19" s="788" t="str">
        <f>IF(Inventory!X22="","",Inventory!X22)</f>
        <v/>
      </c>
      <c r="G19" s="788" t="str">
        <f>IF(Inventory!Y22="","",Inventory!Y22)</f>
        <v/>
      </c>
      <c r="H19" s="729" t="str">
        <f>IF(Inventory!Z22="","",Inventory!Z22)</f>
        <v/>
      </c>
      <c r="I19" s="729" t="str">
        <f>IF(Inventory!AA22="","",Inventory!AA22)</f>
        <v/>
      </c>
      <c r="J19" s="729" t="str">
        <f>IF(Inventory!AB22="","",Inventory!AB22)</f>
        <v/>
      </c>
      <c r="K19" s="729" t="str">
        <f>IF(Inventory!AC22="","",Inventory!AC22)</f>
        <v/>
      </c>
      <c r="L19" s="765" t="str">
        <f>IF(Inventory!AD22="","",Inventory!AD22)</f>
        <v/>
      </c>
      <c r="M19" s="527">
        <f>IF(Inventory!AE22="","",Inventory!AE22)</f>
        <v>0</v>
      </c>
      <c r="N19" s="527">
        <f>IF(Inventory!AF22="","",Inventory!AF22)</f>
        <v>0</v>
      </c>
      <c r="O19" s="527">
        <f>IF(Inventory!AG22="","",Inventory!AG22)</f>
        <v>0</v>
      </c>
      <c r="P19" s="527">
        <f>IF(Inventory!AH22="","",Inventory!AH22)</f>
        <v>0</v>
      </c>
      <c r="Q19" s="527">
        <f>IF(Inventory!AI22="","",Inventory!AI22)</f>
        <v>0</v>
      </c>
      <c r="R19" s="527">
        <f>IF(Inventory!AJ22="","",Inventory!AJ22)</f>
        <v>999999999</v>
      </c>
      <c r="S19" s="758" t="str">
        <f>IF(Inventory!AK22="","",Inventory!AK22)</f>
        <v/>
      </c>
      <c r="T19" s="765" t="str">
        <f>IF(Inventory!AL22="","",Inventory!AL22)</f>
        <v/>
      </c>
      <c r="U19" s="758" t="str">
        <f>IF(Inventory!AM22="","",Inventory!AM22)</f>
        <v/>
      </c>
      <c r="V19" s="729" t="str">
        <f>IF(Inventory!AN22="","",Inventory!AN22)</f>
        <v/>
      </c>
      <c r="W19" s="775" t="str">
        <f>IF(Inventory!AO22="","",Inventory!AO22)</f>
        <v/>
      </c>
      <c r="X19" s="775" t="str">
        <f>IF(Inventory!AP22="","",Inventory!AP22)</f>
        <v/>
      </c>
      <c r="Y19" s="729" t="str">
        <f>IF(Inventory!AQ22="","",Inventory!AQ22)</f>
        <v/>
      </c>
      <c r="Z19" s="775" t="str">
        <f>IF(Inventory!AR22="","",Inventory!AR22)</f>
        <v/>
      </c>
      <c r="AA19" s="779" t="str">
        <f>IF(Inventory!AS22="","",Inventory!AS22)</f>
        <v/>
      </c>
      <c r="AB19" s="866"/>
    </row>
    <row r="20" spans="2:28" s="618" customFormat="1" ht="21.95" customHeight="1" x14ac:dyDescent="0.25">
      <c r="B20" s="432">
        <v>14</v>
      </c>
      <c r="C20" s="499" t="str">
        <f>IF(Inventory!C23="","",Inventory!C23)</f>
        <v/>
      </c>
      <c r="D20" s="751" t="str">
        <f>IF(Inventory!D23="","",Inventory!D23)</f>
        <v/>
      </c>
      <c r="E20" s="556" t="str">
        <f>IF(Inventory!W23="","",Inventory!W23)</f>
        <v/>
      </c>
      <c r="F20" s="785" t="str">
        <f>IF(Inventory!X23="","",Inventory!X23)</f>
        <v/>
      </c>
      <c r="G20" s="785" t="str">
        <f>IF(Inventory!Y23="","",Inventory!Y23)</f>
        <v/>
      </c>
      <c r="H20" s="767" t="str">
        <f>IF(Inventory!Z23="","",Inventory!Z23)</f>
        <v/>
      </c>
      <c r="I20" s="767" t="str">
        <f>IF(Inventory!AA23="","",Inventory!AA23)</f>
        <v/>
      </c>
      <c r="J20" s="767" t="str">
        <f>IF(Inventory!AB23="","",Inventory!AB23)</f>
        <v/>
      </c>
      <c r="K20" s="767" t="str">
        <f>IF(Inventory!AC23="","",Inventory!AC23)</f>
        <v/>
      </c>
      <c r="L20" s="776" t="str">
        <f>IF(Inventory!AD23="","",Inventory!AD23)</f>
        <v/>
      </c>
      <c r="M20" s="527">
        <f>IF(Inventory!AE23="","",Inventory!AE23)</f>
        <v>0</v>
      </c>
      <c r="N20" s="527">
        <f>IF(Inventory!AF23="","",Inventory!AF23)</f>
        <v>0</v>
      </c>
      <c r="O20" s="527">
        <f>IF(Inventory!AG23="","",Inventory!AG23)</f>
        <v>0</v>
      </c>
      <c r="P20" s="527">
        <f>IF(Inventory!AH23="","",Inventory!AH23)</f>
        <v>0</v>
      </c>
      <c r="Q20" s="527">
        <f>IF(Inventory!AI23="","",Inventory!AI23)</f>
        <v>0</v>
      </c>
      <c r="R20" s="527">
        <f>IF(Inventory!AJ23="","",Inventory!AJ23)</f>
        <v>999999999</v>
      </c>
      <c r="S20" s="777" t="str">
        <f>IF(Inventory!AK23="","",Inventory!AK23)</f>
        <v/>
      </c>
      <c r="T20" s="776" t="str">
        <f>IF(Inventory!AL23="","",Inventory!AL23)</f>
        <v/>
      </c>
      <c r="U20" s="777" t="str">
        <f>IF(Inventory!AM23="","",Inventory!AM23)</f>
        <v/>
      </c>
      <c r="V20" s="767" t="str">
        <f>IF(Inventory!AN23="","",Inventory!AN23)</f>
        <v/>
      </c>
      <c r="W20" s="778" t="str">
        <f>IF(Inventory!AO23="","",Inventory!AO23)</f>
        <v/>
      </c>
      <c r="X20" s="778" t="str">
        <f>IF(Inventory!AP23="","",Inventory!AP23)</f>
        <v/>
      </c>
      <c r="Y20" s="767" t="str">
        <f>IF(Inventory!AQ23="","",Inventory!AQ23)</f>
        <v/>
      </c>
      <c r="Z20" s="778" t="str">
        <f>IF(Inventory!AR23="","",Inventory!AR23)</f>
        <v/>
      </c>
      <c r="AA20" s="751" t="str">
        <f>IF(Inventory!AS23="","",Inventory!AS23)</f>
        <v/>
      </c>
      <c r="AB20" s="871"/>
    </row>
    <row r="21" spans="2:28" s="618" customFormat="1" ht="21.95" customHeight="1" x14ac:dyDescent="0.25">
      <c r="B21" s="431">
        <v>15</v>
      </c>
      <c r="C21" s="501" t="str">
        <f>IF(Inventory!C24="","",Inventory!C24)</f>
        <v/>
      </c>
      <c r="D21" s="502" t="str">
        <f>IF(Inventory!D24="","",Inventory!D24)</f>
        <v/>
      </c>
      <c r="E21" s="557" t="str">
        <f>IF(Inventory!W24="","",Inventory!W24)</f>
        <v/>
      </c>
      <c r="F21" s="788" t="str">
        <f>IF(Inventory!X24="","",Inventory!X24)</f>
        <v/>
      </c>
      <c r="G21" s="788" t="str">
        <f>IF(Inventory!Y24="","",Inventory!Y24)</f>
        <v/>
      </c>
      <c r="H21" s="729" t="str">
        <f>IF(Inventory!Z24="","",Inventory!Z24)</f>
        <v/>
      </c>
      <c r="I21" s="729" t="str">
        <f>IF(Inventory!AA24="","",Inventory!AA24)</f>
        <v/>
      </c>
      <c r="J21" s="729" t="str">
        <f>IF(Inventory!AB24="","",Inventory!AB24)</f>
        <v/>
      </c>
      <c r="K21" s="729" t="str">
        <f>IF(Inventory!AC24="","",Inventory!AC24)</f>
        <v/>
      </c>
      <c r="L21" s="765" t="str">
        <f>IF(Inventory!AD24="","",Inventory!AD24)</f>
        <v/>
      </c>
      <c r="M21" s="527">
        <f>IF(Inventory!AE24="","",Inventory!AE24)</f>
        <v>0</v>
      </c>
      <c r="N21" s="527">
        <f>IF(Inventory!AF24="","",Inventory!AF24)</f>
        <v>0</v>
      </c>
      <c r="O21" s="527">
        <f>IF(Inventory!AG24="","",Inventory!AG24)</f>
        <v>0</v>
      </c>
      <c r="P21" s="527">
        <f>IF(Inventory!AH24="","",Inventory!AH24)</f>
        <v>0</v>
      </c>
      <c r="Q21" s="527">
        <f>IF(Inventory!AI24="","",Inventory!AI24)</f>
        <v>0</v>
      </c>
      <c r="R21" s="527">
        <f>IF(Inventory!AJ24="","",Inventory!AJ24)</f>
        <v>999999999</v>
      </c>
      <c r="S21" s="758" t="str">
        <f>IF(Inventory!AK24="","",Inventory!AK24)</f>
        <v/>
      </c>
      <c r="T21" s="765" t="str">
        <f>IF(Inventory!AL24="","",Inventory!AL24)</f>
        <v/>
      </c>
      <c r="U21" s="758" t="str">
        <f>IF(Inventory!AM24="","",Inventory!AM24)</f>
        <v/>
      </c>
      <c r="V21" s="729" t="str">
        <f>IF(Inventory!AN24="","",Inventory!AN24)</f>
        <v/>
      </c>
      <c r="W21" s="775" t="str">
        <f>IF(Inventory!AO24="","",Inventory!AO24)</f>
        <v/>
      </c>
      <c r="X21" s="775" t="str">
        <f>IF(Inventory!AP24="","",Inventory!AP24)</f>
        <v/>
      </c>
      <c r="Y21" s="729" t="str">
        <f>IF(Inventory!AQ24="","",Inventory!AQ24)</f>
        <v/>
      </c>
      <c r="Z21" s="775" t="str">
        <f>IF(Inventory!AR24="","",Inventory!AR24)</f>
        <v/>
      </c>
      <c r="AA21" s="779" t="str">
        <f>IF(Inventory!AS24="","",Inventory!AS24)</f>
        <v/>
      </c>
      <c r="AB21" s="866"/>
    </row>
    <row r="22" spans="2:28" s="618" customFormat="1" ht="21.95" customHeight="1" x14ac:dyDescent="0.25">
      <c r="B22" s="432">
        <v>16</v>
      </c>
      <c r="C22" s="499" t="str">
        <f>IF(Inventory!C25="","",Inventory!C25)</f>
        <v/>
      </c>
      <c r="D22" s="751" t="str">
        <f>IF(Inventory!D25="","",Inventory!D25)</f>
        <v/>
      </c>
      <c r="E22" s="556" t="str">
        <f>IF(Inventory!W25="","",Inventory!W25)</f>
        <v/>
      </c>
      <c r="F22" s="785" t="str">
        <f>IF(Inventory!X25="","",Inventory!X25)</f>
        <v/>
      </c>
      <c r="G22" s="785" t="str">
        <f>IF(Inventory!Y25="","",Inventory!Y25)</f>
        <v/>
      </c>
      <c r="H22" s="767" t="str">
        <f>IF(Inventory!Z25="","",Inventory!Z25)</f>
        <v/>
      </c>
      <c r="I22" s="767" t="str">
        <f>IF(Inventory!AA25="","",Inventory!AA25)</f>
        <v/>
      </c>
      <c r="J22" s="767" t="str">
        <f>IF(Inventory!AB25="","",Inventory!AB25)</f>
        <v/>
      </c>
      <c r="K22" s="767" t="str">
        <f>IF(Inventory!AC25="","",Inventory!AC25)</f>
        <v/>
      </c>
      <c r="L22" s="776" t="str">
        <f>IF(Inventory!AD25="","",Inventory!AD25)</f>
        <v/>
      </c>
      <c r="M22" s="527">
        <f>IF(Inventory!AE25="","",Inventory!AE25)</f>
        <v>0</v>
      </c>
      <c r="N22" s="527">
        <f>IF(Inventory!AF25="","",Inventory!AF25)</f>
        <v>0</v>
      </c>
      <c r="O22" s="527">
        <f>IF(Inventory!AG25="","",Inventory!AG25)</f>
        <v>0</v>
      </c>
      <c r="P22" s="527">
        <f>IF(Inventory!AH25="","",Inventory!AH25)</f>
        <v>0</v>
      </c>
      <c r="Q22" s="527">
        <f>IF(Inventory!AI25="","",Inventory!AI25)</f>
        <v>0</v>
      </c>
      <c r="R22" s="527">
        <f>IF(Inventory!AJ25="","",Inventory!AJ25)</f>
        <v>999999999</v>
      </c>
      <c r="S22" s="777" t="str">
        <f>IF(Inventory!AK25="","",Inventory!AK25)</f>
        <v/>
      </c>
      <c r="T22" s="776" t="str">
        <f>IF(Inventory!AL25="","",Inventory!AL25)</f>
        <v/>
      </c>
      <c r="U22" s="777" t="str">
        <f>IF(Inventory!AM25="","",Inventory!AM25)</f>
        <v/>
      </c>
      <c r="V22" s="767" t="str">
        <f>IF(Inventory!AN25="","",Inventory!AN25)</f>
        <v/>
      </c>
      <c r="W22" s="778" t="str">
        <f>IF(Inventory!AO25="","",Inventory!AO25)</f>
        <v/>
      </c>
      <c r="X22" s="778" t="str">
        <f>IF(Inventory!AP25="","",Inventory!AP25)</f>
        <v/>
      </c>
      <c r="Y22" s="767" t="str">
        <f>IF(Inventory!AQ25="","",Inventory!AQ25)</f>
        <v/>
      </c>
      <c r="Z22" s="778" t="str">
        <f>IF(Inventory!AR25="","",Inventory!AR25)</f>
        <v/>
      </c>
      <c r="AA22" s="751" t="str">
        <f>IF(Inventory!AS25="","",Inventory!AS25)</f>
        <v/>
      </c>
      <c r="AB22" s="871"/>
    </row>
    <row r="23" spans="2:28" s="618" customFormat="1" ht="21.95" customHeight="1" x14ac:dyDescent="0.25">
      <c r="B23" s="431">
        <v>17</v>
      </c>
      <c r="C23" s="501" t="str">
        <f>IF(Inventory!C26="","",Inventory!C26)</f>
        <v/>
      </c>
      <c r="D23" s="502" t="str">
        <f>IF(Inventory!D26="","",Inventory!D26)</f>
        <v/>
      </c>
      <c r="E23" s="557" t="str">
        <f>IF(Inventory!W26="","",Inventory!W26)</f>
        <v/>
      </c>
      <c r="F23" s="788" t="str">
        <f>IF(Inventory!X26="","",Inventory!X26)</f>
        <v/>
      </c>
      <c r="G23" s="788" t="str">
        <f>IF(Inventory!Y26="","",Inventory!Y26)</f>
        <v/>
      </c>
      <c r="H23" s="729" t="str">
        <f>IF(Inventory!Z26="","",Inventory!Z26)</f>
        <v/>
      </c>
      <c r="I23" s="729" t="str">
        <f>IF(Inventory!AA26="","",Inventory!AA26)</f>
        <v/>
      </c>
      <c r="J23" s="729" t="str">
        <f>IF(Inventory!AB26="","",Inventory!AB26)</f>
        <v/>
      </c>
      <c r="K23" s="729" t="str">
        <f>IF(Inventory!AC26="","",Inventory!AC26)</f>
        <v/>
      </c>
      <c r="L23" s="765" t="str">
        <f>IF(Inventory!AD26="","",Inventory!AD26)</f>
        <v/>
      </c>
      <c r="M23" s="527">
        <f>IF(Inventory!AE26="","",Inventory!AE26)</f>
        <v>0</v>
      </c>
      <c r="N23" s="527">
        <f>IF(Inventory!AF26="","",Inventory!AF26)</f>
        <v>0</v>
      </c>
      <c r="O23" s="527">
        <f>IF(Inventory!AG26="","",Inventory!AG26)</f>
        <v>0</v>
      </c>
      <c r="P23" s="527">
        <f>IF(Inventory!AH26="","",Inventory!AH26)</f>
        <v>0</v>
      </c>
      <c r="Q23" s="527">
        <f>IF(Inventory!AI26="","",Inventory!AI26)</f>
        <v>0</v>
      </c>
      <c r="R23" s="527">
        <f>IF(Inventory!AJ26="","",Inventory!AJ26)</f>
        <v>999999999</v>
      </c>
      <c r="S23" s="758" t="str">
        <f>IF(Inventory!AK26="","",Inventory!AK26)</f>
        <v/>
      </c>
      <c r="T23" s="765" t="str">
        <f>IF(Inventory!AL26="","",Inventory!AL26)</f>
        <v/>
      </c>
      <c r="U23" s="758" t="str">
        <f>IF(Inventory!AM26="","",Inventory!AM26)</f>
        <v/>
      </c>
      <c r="V23" s="729" t="str">
        <f>IF(Inventory!AN26="","",Inventory!AN26)</f>
        <v/>
      </c>
      <c r="W23" s="775" t="str">
        <f>IF(Inventory!AO26="","",Inventory!AO26)</f>
        <v/>
      </c>
      <c r="X23" s="775" t="str">
        <f>IF(Inventory!AP26="","",Inventory!AP26)</f>
        <v/>
      </c>
      <c r="Y23" s="729" t="str">
        <f>IF(Inventory!AQ26="","",Inventory!AQ26)</f>
        <v/>
      </c>
      <c r="Z23" s="775" t="str">
        <f>IF(Inventory!AR26="","",Inventory!AR26)</f>
        <v/>
      </c>
      <c r="AA23" s="779" t="str">
        <f>IF(Inventory!AS26="","",Inventory!AS26)</f>
        <v/>
      </c>
      <c r="AB23" s="866"/>
    </row>
    <row r="24" spans="2:28" s="618" customFormat="1" ht="21.95" customHeight="1" x14ac:dyDescent="0.25">
      <c r="B24" s="432">
        <v>18</v>
      </c>
      <c r="C24" s="499" t="str">
        <f>IF(Inventory!C27="","",Inventory!C27)</f>
        <v/>
      </c>
      <c r="D24" s="751" t="str">
        <f>IF(Inventory!D27="","",Inventory!D27)</f>
        <v/>
      </c>
      <c r="E24" s="556" t="str">
        <f>IF(Inventory!W27="","",Inventory!W27)</f>
        <v/>
      </c>
      <c r="F24" s="785" t="str">
        <f>IF(Inventory!X27="","",Inventory!X27)</f>
        <v/>
      </c>
      <c r="G24" s="785" t="str">
        <f>IF(Inventory!Y27="","",Inventory!Y27)</f>
        <v/>
      </c>
      <c r="H24" s="767" t="str">
        <f>IF(Inventory!Z27="","",Inventory!Z27)</f>
        <v/>
      </c>
      <c r="I24" s="767" t="str">
        <f>IF(Inventory!AA27="","",Inventory!AA27)</f>
        <v/>
      </c>
      <c r="J24" s="767" t="str">
        <f>IF(Inventory!AB27="","",Inventory!AB27)</f>
        <v/>
      </c>
      <c r="K24" s="767" t="str">
        <f>IF(Inventory!AC27="","",Inventory!AC27)</f>
        <v/>
      </c>
      <c r="L24" s="776" t="str">
        <f>IF(Inventory!AD27="","",Inventory!AD27)</f>
        <v/>
      </c>
      <c r="M24" s="527">
        <f>IF(Inventory!AE27="","",Inventory!AE27)</f>
        <v>0</v>
      </c>
      <c r="N24" s="527">
        <f>IF(Inventory!AF27="","",Inventory!AF27)</f>
        <v>0</v>
      </c>
      <c r="O24" s="527">
        <f>IF(Inventory!AG27="","",Inventory!AG27)</f>
        <v>0</v>
      </c>
      <c r="P24" s="527">
        <f>IF(Inventory!AH27="","",Inventory!AH27)</f>
        <v>0</v>
      </c>
      <c r="Q24" s="527">
        <f>IF(Inventory!AI27="","",Inventory!AI27)</f>
        <v>0</v>
      </c>
      <c r="R24" s="527">
        <f>IF(Inventory!AJ27="","",Inventory!AJ27)</f>
        <v>999999999</v>
      </c>
      <c r="S24" s="777" t="str">
        <f>IF(Inventory!AK27="","",Inventory!AK27)</f>
        <v/>
      </c>
      <c r="T24" s="776" t="str">
        <f>IF(Inventory!AL27="","",Inventory!AL27)</f>
        <v/>
      </c>
      <c r="U24" s="777" t="str">
        <f>IF(Inventory!AM27="","",Inventory!AM27)</f>
        <v/>
      </c>
      <c r="V24" s="767" t="str">
        <f>IF(Inventory!AN27="","",Inventory!AN27)</f>
        <v/>
      </c>
      <c r="W24" s="778" t="str">
        <f>IF(Inventory!AO27="","",Inventory!AO27)</f>
        <v/>
      </c>
      <c r="X24" s="778" t="str">
        <f>IF(Inventory!AP27="","",Inventory!AP27)</f>
        <v/>
      </c>
      <c r="Y24" s="767" t="str">
        <f>IF(Inventory!AQ27="","",Inventory!AQ27)</f>
        <v/>
      </c>
      <c r="Z24" s="778" t="str">
        <f>IF(Inventory!AR27="","",Inventory!AR27)</f>
        <v/>
      </c>
      <c r="AA24" s="751" t="str">
        <f>IF(Inventory!AS27="","",Inventory!AS27)</f>
        <v/>
      </c>
      <c r="AB24" s="871"/>
    </row>
    <row r="25" spans="2:28" s="618" customFormat="1" ht="21.95" customHeight="1" x14ac:dyDescent="0.25">
      <c r="B25" s="431">
        <v>19</v>
      </c>
      <c r="C25" s="501" t="str">
        <f>IF(Inventory!C28="","",Inventory!C28)</f>
        <v/>
      </c>
      <c r="D25" s="502" t="str">
        <f>IF(Inventory!D28="","",Inventory!D28)</f>
        <v/>
      </c>
      <c r="E25" s="557" t="str">
        <f>IF(Inventory!W28="","",Inventory!W28)</f>
        <v/>
      </c>
      <c r="F25" s="788" t="str">
        <f>IF(Inventory!X28="","",Inventory!X28)</f>
        <v/>
      </c>
      <c r="G25" s="788" t="str">
        <f>IF(Inventory!Y28="","",Inventory!Y28)</f>
        <v/>
      </c>
      <c r="H25" s="729" t="str">
        <f>IF(Inventory!Z28="","",Inventory!Z28)</f>
        <v/>
      </c>
      <c r="I25" s="729" t="str">
        <f>IF(Inventory!AA28="","",Inventory!AA28)</f>
        <v/>
      </c>
      <c r="J25" s="729" t="str">
        <f>IF(Inventory!AB28="","",Inventory!AB28)</f>
        <v/>
      </c>
      <c r="K25" s="729" t="str">
        <f>IF(Inventory!AC28="","",Inventory!AC28)</f>
        <v/>
      </c>
      <c r="L25" s="765" t="str">
        <f>IF(Inventory!AD28="","",Inventory!AD28)</f>
        <v/>
      </c>
      <c r="M25" s="527">
        <f>IF(Inventory!AE28="","",Inventory!AE28)</f>
        <v>0</v>
      </c>
      <c r="N25" s="527">
        <f>IF(Inventory!AF28="","",Inventory!AF28)</f>
        <v>0</v>
      </c>
      <c r="O25" s="527">
        <f>IF(Inventory!AG28="","",Inventory!AG28)</f>
        <v>0</v>
      </c>
      <c r="P25" s="527">
        <f>IF(Inventory!AH28="","",Inventory!AH28)</f>
        <v>0</v>
      </c>
      <c r="Q25" s="527">
        <f>IF(Inventory!AI28="","",Inventory!AI28)</f>
        <v>0</v>
      </c>
      <c r="R25" s="527">
        <f>IF(Inventory!AJ28="","",Inventory!AJ28)</f>
        <v>999999999</v>
      </c>
      <c r="S25" s="758" t="str">
        <f>IF(Inventory!AK28="","",Inventory!AK28)</f>
        <v/>
      </c>
      <c r="T25" s="765" t="str">
        <f>IF(Inventory!AL28="","",Inventory!AL28)</f>
        <v/>
      </c>
      <c r="U25" s="758" t="str">
        <f>IF(Inventory!AM28="","",Inventory!AM28)</f>
        <v/>
      </c>
      <c r="V25" s="729" t="str">
        <f>IF(Inventory!AN28="","",Inventory!AN28)</f>
        <v/>
      </c>
      <c r="W25" s="775" t="str">
        <f>IF(Inventory!AO28="","",Inventory!AO28)</f>
        <v/>
      </c>
      <c r="X25" s="775" t="str">
        <f>IF(Inventory!AP28="","",Inventory!AP28)</f>
        <v/>
      </c>
      <c r="Y25" s="729" t="str">
        <f>IF(Inventory!AQ28="","",Inventory!AQ28)</f>
        <v/>
      </c>
      <c r="Z25" s="775" t="str">
        <f>IF(Inventory!AR28="","",Inventory!AR28)</f>
        <v/>
      </c>
      <c r="AA25" s="779" t="str">
        <f>IF(Inventory!AS28="","",Inventory!AS28)</f>
        <v/>
      </c>
      <c r="AB25" s="866"/>
    </row>
    <row r="26" spans="2:28" s="618" customFormat="1" ht="21.95" customHeight="1" x14ac:dyDescent="0.25">
      <c r="B26" s="432">
        <v>20</v>
      </c>
      <c r="C26" s="499" t="str">
        <f>IF(Inventory!C29="","",Inventory!C29)</f>
        <v/>
      </c>
      <c r="D26" s="751" t="str">
        <f>IF(Inventory!D29="","",Inventory!D29)</f>
        <v/>
      </c>
      <c r="E26" s="556" t="str">
        <f>IF(Inventory!W29="","",Inventory!W29)</f>
        <v/>
      </c>
      <c r="F26" s="785" t="str">
        <f>IF(Inventory!X29="","",Inventory!X29)</f>
        <v/>
      </c>
      <c r="G26" s="785" t="str">
        <f>IF(Inventory!Y29="","",Inventory!Y29)</f>
        <v/>
      </c>
      <c r="H26" s="767" t="str">
        <f>IF(Inventory!Z29="","",Inventory!Z29)</f>
        <v/>
      </c>
      <c r="I26" s="767" t="str">
        <f>IF(Inventory!AA29="","",Inventory!AA29)</f>
        <v/>
      </c>
      <c r="J26" s="767" t="str">
        <f>IF(Inventory!AB29="","",Inventory!AB29)</f>
        <v/>
      </c>
      <c r="K26" s="767" t="str">
        <f>IF(Inventory!AC29="","",Inventory!AC29)</f>
        <v/>
      </c>
      <c r="L26" s="776" t="str">
        <f>IF(Inventory!AD29="","",Inventory!AD29)</f>
        <v/>
      </c>
      <c r="M26" s="527">
        <f>IF(Inventory!AE29="","",Inventory!AE29)</f>
        <v>0</v>
      </c>
      <c r="N26" s="527">
        <f>IF(Inventory!AF29="","",Inventory!AF29)</f>
        <v>0</v>
      </c>
      <c r="O26" s="527">
        <f>IF(Inventory!AG29="","",Inventory!AG29)</f>
        <v>0</v>
      </c>
      <c r="P26" s="527">
        <f>IF(Inventory!AH29="","",Inventory!AH29)</f>
        <v>0</v>
      </c>
      <c r="Q26" s="527">
        <f>IF(Inventory!AI29="","",Inventory!AI29)</f>
        <v>0</v>
      </c>
      <c r="R26" s="527">
        <f>IF(Inventory!AJ29="","",Inventory!AJ29)</f>
        <v>999999999</v>
      </c>
      <c r="S26" s="777" t="str">
        <f>IF(Inventory!AK29="","",Inventory!AK29)</f>
        <v/>
      </c>
      <c r="T26" s="776" t="str">
        <f>IF(Inventory!AL29="","",Inventory!AL29)</f>
        <v/>
      </c>
      <c r="U26" s="777" t="str">
        <f>IF(Inventory!AM29="","",Inventory!AM29)</f>
        <v/>
      </c>
      <c r="V26" s="767" t="str">
        <f>IF(Inventory!AN29="","",Inventory!AN29)</f>
        <v/>
      </c>
      <c r="W26" s="778" t="str">
        <f>IF(Inventory!AO29="","",Inventory!AO29)</f>
        <v/>
      </c>
      <c r="X26" s="778" t="str">
        <f>IF(Inventory!AP29="","",Inventory!AP29)</f>
        <v/>
      </c>
      <c r="Y26" s="767" t="str">
        <f>IF(Inventory!AQ29="","",Inventory!AQ29)</f>
        <v/>
      </c>
      <c r="Z26" s="778" t="str">
        <f>IF(Inventory!AR29="","",Inventory!AR29)</f>
        <v/>
      </c>
      <c r="AA26" s="751" t="str">
        <f>IF(Inventory!AS29="","",Inventory!AS29)</f>
        <v/>
      </c>
      <c r="AB26" s="871"/>
    </row>
    <row r="27" spans="2:28" s="618" customFormat="1" ht="21.95" customHeight="1" x14ac:dyDescent="0.25">
      <c r="B27" s="431">
        <v>21</v>
      </c>
      <c r="C27" s="501" t="str">
        <f>IF(Inventory!C30="","",Inventory!C30)</f>
        <v/>
      </c>
      <c r="D27" s="502" t="str">
        <f>IF(Inventory!D30="","",Inventory!D30)</f>
        <v/>
      </c>
      <c r="E27" s="557" t="str">
        <f>IF(Inventory!W30="","",Inventory!W30)</f>
        <v/>
      </c>
      <c r="F27" s="788" t="str">
        <f>IF(Inventory!X30="","",Inventory!X30)</f>
        <v/>
      </c>
      <c r="G27" s="788" t="str">
        <f>IF(Inventory!Y30="","",Inventory!Y30)</f>
        <v/>
      </c>
      <c r="H27" s="729" t="str">
        <f>IF(Inventory!Z30="","",Inventory!Z30)</f>
        <v/>
      </c>
      <c r="I27" s="729" t="str">
        <f>IF(Inventory!AA30="","",Inventory!AA30)</f>
        <v/>
      </c>
      <c r="J27" s="729" t="str">
        <f>IF(Inventory!AB30="","",Inventory!AB30)</f>
        <v/>
      </c>
      <c r="K27" s="729" t="str">
        <f>IF(Inventory!AC30="","",Inventory!AC30)</f>
        <v/>
      </c>
      <c r="L27" s="765" t="str">
        <f>IF(Inventory!AD30="","",Inventory!AD30)</f>
        <v/>
      </c>
      <c r="M27" s="527">
        <f>IF(Inventory!AE30="","",Inventory!AE30)</f>
        <v>0</v>
      </c>
      <c r="N27" s="527">
        <f>IF(Inventory!AF30="","",Inventory!AF30)</f>
        <v>0</v>
      </c>
      <c r="O27" s="527">
        <f>IF(Inventory!AG30="","",Inventory!AG30)</f>
        <v>0</v>
      </c>
      <c r="P27" s="527">
        <f>IF(Inventory!AH30="","",Inventory!AH30)</f>
        <v>0</v>
      </c>
      <c r="Q27" s="527">
        <f>IF(Inventory!AI30="","",Inventory!AI30)</f>
        <v>0</v>
      </c>
      <c r="R27" s="527">
        <f>IF(Inventory!AJ30="","",Inventory!AJ30)</f>
        <v>999999999</v>
      </c>
      <c r="S27" s="758" t="str">
        <f>IF(Inventory!AK30="","",Inventory!AK30)</f>
        <v/>
      </c>
      <c r="T27" s="765" t="str">
        <f>IF(Inventory!AL30="","",Inventory!AL30)</f>
        <v/>
      </c>
      <c r="U27" s="758" t="str">
        <f>IF(Inventory!AM30="","",Inventory!AM30)</f>
        <v/>
      </c>
      <c r="V27" s="729" t="str">
        <f>IF(Inventory!AN30="","",Inventory!AN30)</f>
        <v/>
      </c>
      <c r="W27" s="775" t="str">
        <f>IF(Inventory!AO30="","",Inventory!AO30)</f>
        <v/>
      </c>
      <c r="X27" s="775" t="str">
        <f>IF(Inventory!AP30="","",Inventory!AP30)</f>
        <v/>
      </c>
      <c r="Y27" s="729" t="str">
        <f>IF(Inventory!AQ30="","",Inventory!AQ30)</f>
        <v/>
      </c>
      <c r="Z27" s="775" t="str">
        <f>IF(Inventory!AR30="","",Inventory!AR30)</f>
        <v/>
      </c>
      <c r="AA27" s="779" t="str">
        <f>IF(Inventory!AS30="","",Inventory!AS30)</f>
        <v/>
      </c>
      <c r="AB27" s="866"/>
    </row>
    <row r="28" spans="2:28" s="618" customFormat="1" ht="21.95" customHeight="1" x14ac:dyDescent="0.25">
      <c r="B28" s="432">
        <v>22</v>
      </c>
      <c r="C28" s="499" t="str">
        <f>IF(Inventory!C31="","",Inventory!C31)</f>
        <v/>
      </c>
      <c r="D28" s="751" t="str">
        <f>IF(Inventory!D31="","",Inventory!D31)</f>
        <v/>
      </c>
      <c r="E28" s="556" t="str">
        <f>IF(Inventory!W31="","",Inventory!W31)</f>
        <v/>
      </c>
      <c r="F28" s="785" t="str">
        <f>IF(Inventory!X31="","",Inventory!X31)</f>
        <v/>
      </c>
      <c r="G28" s="785" t="str">
        <f>IF(Inventory!Y31="","",Inventory!Y31)</f>
        <v/>
      </c>
      <c r="H28" s="767" t="str">
        <f>IF(Inventory!Z31="","",Inventory!Z31)</f>
        <v/>
      </c>
      <c r="I28" s="767" t="str">
        <f>IF(Inventory!AA31="","",Inventory!AA31)</f>
        <v/>
      </c>
      <c r="J28" s="767" t="str">
        <f>IF(Inventory!AB31="","",Inventory!AB31)</f>
        <v/>
      </c>
      <c r="K28" s="767" t="str">
        <f>IF(Inventory!AC31="","",Inventory!AC31)</f>
        <v/>
      </c>
      <c r="L28" s="776" t="str">
        <f>IF(Inventory!AD31="","",Inventory!AD31)</f>
        <v/>
      </c>
      <c r="M28" s="527">
        <f>IF(Inventory!AE31="","",Inventory!AE31)</f>
        <v>0</v>
      </c>
      <c r="N28" s="527">
        <f>IF(Inventory!AF31="","",Inventory!AF31)</f>
        <v>0</v>
      </c>
      <c r="O28" s="527">
        <f>IF(Inventory!AG31="","",Inventory!AG31)</f>
        <v>0</v>
      </c>
      <c r="P28" s="527">
        <f>IF(Inventory!AH31="","",Inventory!AH31)</f>
        <v>0</v>
      </c>
      <c r="Q28" s="527">
        <f>IF(Inventory!AI31="","",Inventory!AI31)</f>
        <v>0</v>
      </c>
      <c r="R28" s="527">
        <f>IF(Inventory!AJ31="","",Inventory!AJ31)</f>
        <v>999999999</v>
      </c>
      <c r="S28" s="777" t="str">
        <f>IF(Inventory!AK31="","",Inventory!AK31)</f>
        <v/>
      </c>
      <c r="T28" s="776" t="str">
        <f>IF(Inventory!AL31="","",Inventory!AL31)</f>
        <v/>
      </c>
      <c r="U28" s="777" t="str">
        <f>IF(Inventory!AM31="","",Inventory!AM31)</f>
        <v/>
      </c>
      <c r="V28" s="767" t="str">
        <f>IF(Inventory!AN31="","",Inventory!AN31)</f>
        <v/>
      </c>
      <c r="W28" s="778" t="str">
        <f>IF(Inventory!AO31="","",Inventory!AO31)</f>
        <v/>
      </c>
      <c r="X28" s="778" t="str">
        <f>IF(Inventory!AP31="","",Inventory!AP31)</f>
        <v/>
      </c>
      <c r="Y28" s="767" t="str">
        <f>IF(Inventory!AQ31="","",Inventory!AQ31)</f>
        <v/>
      </c>
      <c r="Z28" s="778" t="str">
        <f>IF(Inventory!AR31="","",Inventory!AR31)</f>
        <v/>
      </c>
      <c r="AA28" s="751" t="str">
        <f>IF(Inventory!AS31="","",Inventory!AS31)</f>
        <v/>
      </c>
      <c r="AB28" s="871"/>
    </row>
    <row r="29" spans="2:28" s="618" customFormat="1" ht="21.95" customHeight="1" x14ac:dyDescent="0.25">
      <c r="B29" s="431">
        <v>23</v>
      </c>
      <c r="C29" s="501" t="str">
        <f>IF(Inventory!C32="","",Inventory!C32)</f>
        <v/>
      </c>
      <c r="D29" s="502" t="str">
        <f>IF(Inventory!D32="","",Inventory!D32)</f>
        <v/>
      </c>
      <c r="E29" s="557" t="str">
        <f>IF(Inventory!W32="","",Inventory!W32)</f>
        <v/>
      </c>
      <c r="F29" s="788" t="str">
        <f>IF(Inventory!X32="","",Inventory!X32)</f>
        <v/>
      </c>
      <c r="G29" s="788" t="str">
        <f>IF(Inventory!Y32="","",Inventory!Y32)</f>
        <v/>
      </c>
      <c r="H29" s="729" t="str">
        <f>IF(Inventory!Z32="","",Inventory!Z32)</f>
        <v/>
      </c>
      <c r="I29" s="729" t="str">
        <f>IF(Inventory!AA32="","",Inventory!AA32)</f>
        <v/>
      </c>
      <c r="J29" s="729" t="str">
        <f>IF(Inventory!AB32="","",Inventory!AB32)</f>
        <v/>
      </c>
      <c r="K29" s="729" t="str">
        <f>IF(Inventory!AC32="","",Inventory!AC32)</f>
        <v/>
      </c>
      <c r="L29" s="765" t="str">
        <f>IF(Inventory!AD32="","",Inventory!AD32)</f>
        <v/>
      </c>
      <c r="M29" s="527">
        <f>IF(Inventory!AE32="","",Inventory!AE32)</f>
        <v>0</v>
      </c>
      <c r="N29" s="527">
        <f>IF(Inventory!AF32="","",Inventory!AF32)</f>
        <v>0</v>
      </c>
      <c r="O29" s="527">
        <f>IF(Inventory!AG32="","",Inventory!AG32)</f>
        <v>0</v>
      </c>
      <c r="P29" s="527">
        <f>IF(Inventory!AH32="","",Inventory!AH32)</f>
        <v>0</v>
      </c>
      <c r="Q29" s="527">
        <f>IF(Inventory!AI32="","",Inventory!AI32)</f>
        <v>0</v>
      </c>
      <c r="R29" s="527">
        <f>IF(Inventory!AJ32="","",Inventory!AJ32)</f>
        <v>999999999</v>
      </c>
      <c r="S29" s="758" t="str">
        <f>IF(Inventory!AK32="","",Inventory!AK32)</f>
        <v/>
      </c>
      <c r="T29" s="765" t="str">
        <f>IF(Inventory!AL32="","",Inventory!AL32)</f>
        <v/>
      </c>
      <c r="U29" s="758" t="str">
        <f>IF(Inventory!AM32="","",Inventory!AM32)</f>
        <v/>
      </c>
      <c r="V29" s="729" t="str">
        <f>IF(Inventory!AN32="","",Inventory!AN32)</f>
        <v/>
      </c>
      <c r="W29" s="775" t="str">
        <f>IF(Inventory!AO32="","",Inventory!AO32)</f>
        <v/>
      </c>
      <c r="X29" s="775" t="str">
        <f>IF(Inventory!AP32="","",Inventory!AP32)</f>
        <v/>
      </c>
      <c r="Y29" s="729" t="str">
        <f>IF(Inventory!AQ32="","",Inventory!AQ32)</f>
        <v/>
      </c>
      <c r="Z29" s="775" t="str">
        <f>IF(Inventory!AR32="","",Inventory!AR32)</f>
        <v/>
      </c>
      <c r="AA29" s="779" t="str">
        <f>IF(Inventory!AS32="","",Inventory!AS32)</f>
        <v/>
      </c>
      <c r="AB29" s="866"/>
    </row>
    <row r="30" spans="2:28" s="618" customFormat="1" ht="21.95" customHeight="1" x14ac:dyDescent="0.25">
      <c r="B30" s="432">
        <v>24</v>
      </c>
      <c r="C30" s="499" t="str">
        <f>IF(Inventory!C33="","",Inventory!C33)</f>
        <v/>
      </c>
      <c r="D30" s="751" t="str">
        <f>IF(Inventory!D33="","",Inventory!D33)</f>
        <v/>
      </c>
      <c r="E30" s="556" t="str">
        <f>IF(Inventory!W33="","",Inventory!W33)</f>
        <v/>
      </c>
      <c r="F30" s="785" t="str">
        <f>IF(Inventory!X33="","",Inventory!X33)</f>
        <v/>
      </c>
      <c r="G30" s="785" t="str">
        <f>IF(Inventory!Y33="","",Inventory!Y33)</f>
        <v/>
      </c>
      <c r="H30" s="767" t="str">
        <f>IF(Inventory!Z33="","",Inventory!Z33)</f>
        <v/>
      </c>
      <c r="I30" s="767" t="str">
        <f>IF(Inventory!AA33="","",Inventory!AA33)</f>
        <v/>
      </c>
      <c r="J30" s="767" t="str">
        <f>IF(Inventory!AB33="","",Inventory!AB33)</f>
        <v/>
      </c>
      <c r="K30" s="767" t="str">
        <f>IF(Inventory!AC33="","",Inventory!AC33)</f>
        <v/>
      </c>
      <c r="L30" s="776" t="str">
        <f>IF(Inventory!AD33="","",Inventory!AD33)</f>
        <v/>
      </c>
      <c r="M30" s="527">
        <f>IF(Inventory!AE33="","",Inventory!AE33)</f>
        <v>0</v>
      </c>
      <c r="N30" s="527">
        <f>IF(Inventory!AF33="","",Inventory!AF33)</f>
        <v>0</v>
      </c>
      <c r="O30" s="527">
        <f>IF(Inventory!AG33="","",Inventory!AG33)</f>
        <v>0</v>
      </c>
      <c r="P30" s="527">
        <f>IF(Inventory!AH33="","",Inventory!AH33)</f>
        <v>0</v>
      </c>
      <c r="Q30" s="527">
        <f>IF(Inventory!AI33="","",Inventory!AI33)</f>
        <v>0</v>
      </c>
      <c r="R30" s="527">
        <f>IF(Inventory!AJ33="","",Inventory!AJ33)</f>
        <v>999999999</v>
      </c>
      <c r="S30" s="777" t="str">
        <f>IF(Inventory!AK33="","",Inventory!AK33)</f>
        <v/>
      </c>
      <c r="T30" s="776" t="str">
        <f>IF(Inventory!AL33="","",Inventory!AL33)</f>
        <v/>
      </c>
      <c r="U30" s="777" t="str">
        <f>IF(Inventory!AM33="","",Inventory!AM33)</f>
        <v/>
      </c>
      <c r="V30" s="767" t="str">
        <f>IF(Inventory!AN33="","",Inventory!AN33)</f>
        <v/>
      </c>
      <c r="W30" s="778" t="str">
        <f>IF(Inventory!AO33="","",Inventory!AO33)</f>
        <v/>
      </c>
      <c r="X30" s="778" t="str">
        <f>IF(Inventory!AP33="","",Inventory!AP33)</f>
        <v/>
      </c>
      <c r="Y30" s="767" t="str">
        <f>IF(Inventory!AQ33="","",Inventory!AQ33)</f>
        <v/>
      </c>
      <c r="Z30" s="778" t="str">
        <f>IF(Inventory!AR33="","",Inventory!AR33)</f>
        <v/>
      </c>
      <c r="AA30" s="751" t="str">
        <f>IF(Inventory!AS33="","",Inventory!AS33)</f>
        <v/>
      </c>
      <c r="AB30" s="871"/>
    </row>
    <row r="31" spans="2:28" s="618" customFormat="1" ht="21.95" customHeight="1" x14ac:dyDescent="0.25">
      <c r="B31" s="431">
        <v>25</v>
      </c>
      <c r="C31" s="501" t="str">
        <f>IF(Inventory!C34="","",Inventory!C34)</f>
        <v/>
      </c>
      <c r="D31" s="502" t="str">
        <f>IF(Inventory!D34="","",Inventory!D34)</f>
        <v/>
      </c>
      <c r="E31" s="557" t="str">
        <f>IF(Inventory!W34="","",Inventory!W34)</f>
        <v/>
      </c>
      <c r="F31" s="788" t="str">
        <f>IF(Inventory!X34="","",Inventory!X34)</f>
        <v/>
      </c>
      <c r="G31" s="788" t="str">
        <f>IF(Inventory!Y34="","",Inventory!Y34)</f>
        <v/>
      </c>
      <c r="H31" s="729" t="str">
        <f>IF(Inventory!Z34="","",Inventory!Z34)</f>
        <v/>
      </c>
      <c r="I31" s="729" t="str">
        <f>IF(Inventory!AA34="","",Inventory!AA34)</f>
        <v/>
      </c>
      <c r="J31" s="729" t="str">
        <f>IF(Inventory!AB34="","",Inventory!AB34)</f>
        <v/>
      </c>
      <c r="K31" s="729" t="str">
        <f>IF(Inventory!AC34="","",Inventory!AC34)</f>
        <v/>
      </c>
      <c r="L31" s="765" t="str">
        <f>IF(Inventory!AD34="","",Inventory!AD34)</f>
        <v/>
      </c>
      <c r="M31" s="527">
        <f>IF(Inventory!AE34="","",Inventory!AE34)</f>
        <v>0</v>
      </c>
      <c r="N31" s="527">
        <f>IF(Inventory!AF34="","",Inventory!AF34)</f>
        <v>0</v>
      </c>
      <c r="O31" s="527">
        <f>IF(Inventory!AG34="","",Inventory!AG34)</f>
        <v>0</v>
      </c>
      <c r="P31" s="527">
        <f>IF(Inventory!AH34="","",Inventory!AH34)</f>
        <v>0</v>
      </c>
      <c r="Q31" s="527">
        <f>IF(Inventory!AI34="","",Inventory!AI34)</f>
        <v>0</v>
      </c>
      <c r="R31" s="527">
        <f>IF(Inventory!AJ34="","",Inventory!AJ34)</f>
        <v>999999999</v>
      </c>
      <c r="S31" s="758" t="str">
        <f>IF(Inventory!AK34="","",Inventory!AK34)</f>
        <v/>
      </c>
      <c r="T31" s="765" t="str">
        <f>IF(Inventory!AL34="","",Inventory!AL34)</f>
        <v/>
      </c>
      <c r="U31" s="758" t="str">
        <f>IF(Inventory!AM34="","",Inventory!AM34)</f>
        <v/>
      </c>
      <c r="V31" s="729" t="str">
        <f>IF(Inventory!AN34="","",Inventory!AN34)</f>
        <v/>
      </c>
      <c r="W31" s="775" t="str">
        <f>IF(Inventory!AO34="","",Inventory!AO34)</f>
        <v/>
      </c>
      <c r="X31" s="775" t="str">
        <f>IF(Inventory!AP34="","",Inventory!AP34)</f>
        <v/>
      </c>
      <c r="Y31" s="729" t="str">
        <f>IF(Inventory!AQ34="","",Inventory!AQ34)</f>
        <v/>
      </c>
      <c r="Z31" s="775" t="str">
        <f>IF(Inventory!AR34="","",Inventory!AR34)</f>
        <v/>
      </c>
      <c r="AA31" s="779" t="str">
        <f>IF(Inventory!AS34="","",Inventory!AS34)</f>
        <v/>
      </c>
      <c r="AB31" s="866"/>
    </row>
    <row r="32" spans="2:28" s="618" customFormat="1" ht="21.95" customHeight="1" x14ac:dyDescent="0.25">
      <c r="B32" s="432">
        <v>26</v>
      </c>
      <c r="C32" s="499" t="str">
        <f>IF(Inventory!C35="","",Inventory!C35)</f>
        <v/>
      </c>
      <c r="D32" s="751" t="str">
        <f>IF(Inventory!D35="","",Inventory!D35)</f>
        <v/>
      </c>
      <c r="E32" s="556" t="str">
        <f>IF(Inventory!W35="","",Inventory!W35)</f>
        <v/>
      </c>
      <c r="F32" s="785" t="str">
        <f>IF(Inventory!X35="","",Inventory!X35)</f>
        <v/>
      </c>
      <c r="G32" s="785" t="str">
        <f>IF(Inventory!Y35="","",Inventory!Y35)</f>
        <v/>
      </c>
      <c r="H32" s="767" t="str">
        <f>IF(Inventory!Z35="","",Inventory!Z35)</f>
        <v/>
      </c>
      <c r="I32" s="767" t="str">
        <f>IF(Inventory!AA35="","",Inventory!AA35)</f>
        <v/>
      </c>
      <c r="J32" s="767" t="str">
        <f>IF(Inventory!AB35="","",Inventory!AB35)</f>
        <v/>
      </c>
      <c r="K32" s="767" t="str">
        <f>IF(Inventory!AC35="","",Inventory!AC35)</f>
        <v/>
      </c>
      <c r="L32" s="776" t="str">
        <f>IF(Inventory!AD35="","",Inventory!AD35)</f>
        <v/>
      </c>
      <c r="M32" s="527">
        <f>IF(Inventory!AE35="","",Inventory!AE35)</f>
        <v>0</v>
      </c>
      <c r="N32" s="527">
        <f>IF(Inventory!AF35="","",Inventory!AF35)</f>
        <v>0</v>
      </c>
      <c r="O32" s="527">
        <f>IF(Inventory!AG35="","",Inventory!AG35)</f>
        <v>0</v>
      </c>
      <c r="P32" s="527">
        <f>IF(Inventory!AH35="","",Inventory!AH35)</f>
        <v>0</v>
      </c>
      <c r="Q32" s="527">
        <f>IF(Inventory!AI35="","",Inventory!AI35)</f>
        <v>0</v>
      </c>
      <c r="R32" s="527">
        <f>IF(Inventory!AJ35="","",Inventory!AJ35)</f>
        <v>999999999</v>
      </c>
      <c r="S32" s="777" t="str">
        <f>IF(Inventory!AK35="","",Inventory!AK35)</f>
        <v/>
      </c>
      <c r="T32" s="776" t="str">
        <f>IF(Inventory!AL35="","",Inventory!AL35)</f>
        <v/>
      </c>
      <c r="U32" s="777" t="str">
        <f>IF(Inventory!AM35="","",Inventory!AM35)</f>
        <v/>
      </c>
      <c r="V32" s="767" t="str">
        <f>IF(Inventory!AN35="","",Inventory!AN35)</f>
        <v/>
      </c>
      <c r="W32" s="778" t="str">
        <f>IF(Inventory!AO35="","",Inventory!AO35)</f>
        <v/>
      </c>
      <c r="X32" s="778" t="str">
        <f>IF(Inventory!AP35="","",Inventory!AP35)</f>
        <v/>
      </c>
      <c r="Y32" s="767" t="str">
        <f>IF(Inventory!AQ35="","",Inventory!AQ35)</f>
        <v/>
      </c>
      <c r="Z32" s="778" t="str">
        <f>IF(Inventory!AR35="","",Inventory!AR35)</f>
        <v/>
      </c>
      <c r="AA32" s="751" t="str">
        <f>IF(Inventory!AS35="","",Inventory!AS35)</f>
        <v/>
      </c>
      <c r="AB32" s="871"/>
    </row>
    <row r="33" spans="2:28" s="618" customFormat="1" ht="21.95" customHeight="1" x14ac:dyDescent="0.25">
      <c r="B33" s="431">
        <v>27</v>
      </c>
      <c r="C33" s="501" t="str">
        <f>IF(Inventory!C36="","",Inventory!C36)</f>
        <v/>
      </c>
      <c r="D33" s="502" t="str">
        <f>IF(Inventory!D36="","",Inventory!D36)</f>
        <v/>
      </c>
      <c r="E33" s="557" t="str">
        <f>IF(Inventory!W36="","",Inventory!W36)</f>
        <v/>
      </c>
      <c r="F33" s="788" t="str">
        <f>IF(Inventory!X36="","",Inventory!X36)</f>
        <v/>
      </c>
      <c r="G33" s="788" t="str">
        <f>IF(Inventory!Y36="","",Inventory!Y36)</f>
        <v/>
      </c>
      <c r="H33" s="729" t="str">
        <f>IF(Inventory!Z36="","",Inventory!Z36)</f>
        <v/>
      </c>
      <c r="I33" s="729" t="str">
        <f>IF(Inventory!AA36="","",Inventory!AA36)</f>
        <v/>
      </c>
      <c r="J33" s="729" t="str">
        <f>IF(Inventory!AB36="","",Inventory!AB36)</f>
        <v/>
      </c>
      <c r="K33" s="729" t="str">
        <f>IF(Inventory!AC36="","",Inventory!AC36)</f>
        <v/>
      </c>
      <c r="L33" s="765" t="str">
        <f>IF(Inventory!AD36="","",Inventory!AD36)</f>
        <v/>
      </c>
      <c r="M33" s="527">
        <f>IF(Inventory!AE36="","",Inventory!AE36)</f>
        <v>0</v>
      </c>
      <c r="N33" s="527">
        <f>IF(Inventory!AF36="","",Inventory!AF36)</f>
        <v>0</v>
      </c>
      <c r="O33" s="527">
        <f>IF(Inventory!AG36="","",Inventory!AG36)</f>
        <v>0</v>
      </c>
      <c r="P33" s="527">
        <f>IF(Inventory!AH36="","",Inventory!AH36)</f>
        <v>0</v>
      </c>
      <c r="Q33" s="527">
        <f>IF(Inventory!AI36="","",Inventory!AI36)</f>
        <v>0</v>
      </c>
      <c r="R33" s="527">
        <f>IF(Inventory!AJ36="","",Inventory!AJ36)</f>
        <v>999999999</v>
      </c>
      <c r="S33" s="758" t="str">
        <f>IF(Inventory!AK36="","",Inventory!AK36)</f>
        <v/>
      </c>
      <c r="T33" s="765" t="str">
        <f>IF(Inventory!AL36="","",Inventory!AL36)</f>
        <v/>
      </c>
      <c r="U33" s="758" t="str">
        <f>IF(Inventory!AM36="","",Inventory!AM36)</f>
        <v/>
      </c>
      <c r="V33" s="729" t="str">
        <f>IF(Inventory!AN36="","",Inventory!AN36)</f>
        <v/>
      </c>
      <c r="W33" s="775" t="str">
        <f>IF(Inventory!AO36="","",Inventory!AO36)</f>
        <v/>
      </c>
      <c r="X33" s="775" t="str">
        <f>IF(Inventory!AP36="","",Inventory!AP36)</f>
        <v/>
      </c>
      <c r="Y33" s="729" t="str">
        <f>IF(Inventory!AQ36="","",Inventory!AQ36)</f>
        <v/>
      </c>
      <c r="Z33" s="775" t="str">
        <f>IF(Inventory!AR36="","",Inventory!AR36)</f>
        <v/>
      </c>
      <c r="AA33" s="779" t="str">
        <f>IF(Inventory!AS36="","",Inventory!AS36)</f>
        <v/>
      </c>
      <c r="AB33" s="866"/>
    </row>
    <row r="34" spans="2:28" s="618" customFormat="1" ht="21.95" customHeight="1" x14ac:dyDescent="0.25">
      <c r="B34" s="432">
        <v>28</v>
      </c>
      <c r="C34" s="499" t="str">
        <f>IF(Inventory!C37="","",Inventory!C37)</f>
        <v/>
      </c>
      <c r="D34" s="751" t="str">
        <f>IF(Inventory!D37="","",Inventory!D37)</f>
        <v/>
      </c>
      <c r="E34" s="556" t="str">
        <f>IF(Inventory!W37="","",Inventory!W37)</f>
        <v/>
      </c>
      <c r="F34" s="785" t="str">
        <f>IF(Inventory!X37="","",Inventory!X37)</f>
        <v/>
      </c>
      <c r="G34" s="785" t="str">
        <f>IF(Inventory!Y37="","",Inventory!Y37)</f>
        <v/>
      </c>
      <c r="H34" s="767" t="str">
        <f>IF(Inventory!Z37="","",Inventory!Z37)</f>
        <v/>
      </c>
      <c r="I34" s="767" t="str">
        <f>IF(Inventory!AA37="","",Inventory!AA37)</f>
        <v/>
      </c>
      <c r="J34" s="767" t="str">
        <f>IF(Inventory!AB37="","",Inventory!AB37)</f>
        <v/>
      </c>
      <c r="K34" s="767" t="str">
        <f>IF(Inventory!AC37="","",Inventory!AC37)</f>
        <v/>
      </c>
      <c r="L34" s="776" t="str">
        <f>IF(Inventory!AD37="","",Inventory!AD37)</f>
        <v/>
      </c>
      <c r="M34" s="527">
        <f>IF(Inventory!AE37="","",Inventory!AE37)</f>
        <v>0</v>
      </c>
      <c r="N34" s="527">
        <f>IF(Inventory!AF37="","",Inventory!AF37)</f>
        <v>0</v>
      </c>
      <c r="O34" s="527">
        <f>IF(Inventory!AG37="","",Inventory!AG37)</f>
        <v>0</v>
      </c>
      <c r="P34" s="527">
        <f>IF(Inventory!AH37="","",Inventory!AH37)</f>
        <v>0</v>
      </c>
      <c r="Q34" s="527">
        <f>IF(Inventory!AI37="","",Inventory!AI37)</f>
        <v>0</v>
      </c>
      <c r="R34" s="527">
        <f>IF(Inventory!AJ37="","",Inventory!AJ37)</f>
        <v>999999999</v>
      </c>
      <c r="S34" s="777" t="str">
        <f>IF(Inventory!AK37="","",Inventory!AK37)</f>
        <v/>
      </c>
      <c r="T34" s="776" t="str">
        <f>IF(Inventory!AL37="","",Inventory!AL37)</f>
        <v/>
      </c>
      <c r="U34" s="777" t="str">
        <f>IF(Inventory!AM37="","",Inventory!AM37)</f>
        <v/>
      </c>
      <c r="V34" s="767" t="str">
        <f>IF(Inventory!AN37="","",Inventory!AN37)</f>
        <v/>
      </c>
      <c r="W34" s="778" t="str">
        <f>IF(Inventory!AO37="","",Inventory!AO37)</f>
        <v/>
      </c>
      <c r="X34" s="778" t="str">
        <f>IF(Inventory!AP37="","",Inventory!AP37)</f>
        <v/>
      </c>
      <c r="Y34" s="767" t="str">
        <f>IF(Inventory!AQ37="","",Inventory!AQ37)</f>
        <v/>
      </c>
      <c r="Z34" s="778" t="str">
        <f>IF(Inventory!AR37="","",Inventory!AR37)</f>
        <v/>
      </c>
      <c r="AA34" s="751" t="str">
        <f>IF(Inventory!AS37="","",Inventory!AS37)</f>
        <v/>
      </c>
      <c r="AB34" s="871"/>
    </row>
    <row r="35" spans="2:28" s="618" customFormat="1" ht="21.95" customHeight="1" x14ac:dyDescent="0.25">
      <c r="B35" s="431">
        <v>29</v>
      </c>
      <c r="C35" s="501" t="str">
        <f>IF(Inventory!C38="","",Inventory!C38)</f>
        <v/>
      </c>
      <c r="D35" s="502" t="str">
        <f>IF(Inventory!D38="","",Inventory!D38)</f>
        <v/>
      </c>
      <c r="E35" s="557" t="str">
        <f>IF(Inventory!W38="","",Inventory!W38)</f>
        <v/>
      </c>
      <c r="F35" s="788" t="str">
        <f>IF(Inventory!X38="","",Inventory!X38)</f>
        <v/>
      </c>
      <c r="G35" s="788" t="str">
        <f>IF(Inventory!Y38="","",Inventory!Y38)</f>
        <v/>
      </c>
      <c r="H35" s="729" t="str">
        <f>IF(Inventory!Z38="","",Inventory!Z38)</f>
        <v/>
      </c>
      <c r="I35" s="729" t="str">
        <f>IF(Inventory!AA38="","",Inventory!AA38)</f>
        <v/>
      </c>
      <c r="J35" s="729" t="str">
        <f>IF(Inventory!AB38="","",Inventory!AB38)</f>
        <v/>
      </c>
      <c r="K35" s="729" t="str">
        <f>IF(Inventory!AC38="","",Inventory!AC38)</f>
        <v/>
      </c>
      <c r="L35" s="765" t="str">
        <f>IF(Inventory!AD38="","",Inventory!AD38)</f>
        <v/>
      </c>
      <c r="M35" s="527">
        <f>IF(Inventory!AE38="","",Inventory!AE38)</f>
        <v>0</v>
      </c>
      <c r="N35" s="527">
        <f>IF(Inventory!AF38="","",Inventory!AF38)</f>
        <v>0</v>
      </c>
      <c r="O35" s="527">
        <f>IF(Inventory!AG38="","",Inventory!AG38)</f>
        <v>0</v>
      </c>
      <c r="P35" s="527">
        <f>IF(Inventory!AH38="","",Inventory!AH38)</f>
        <v>0</v>
      </c>
      <c r="Q35" s="527">
        <f>IF(Inventory!AI38="","",Inventory!AI38)</f>
        <v>0</v>
      </c>
      <c r="R35" s="527">
        <f>IF(Inventory!AJ38="","",Inventory!AJ38)</f>
        <v>999999999</v>
      </c>
      <c r="S35" s="758" t="str">
        <f>IF(Inventory!AK38="","",Inventory!AK38)</f>
        <v/>
      </c>
      <c r="T35" s="765" t="str">
        <f>IF(Inventory!AL38="","",Inventory!AL38)</f>
        <v/>
      </c>
      <c r="U35" s="758" t="str">
        <f>IF(Inventory!AM38="","",Inventory!AM38)</f>
        <v/>
      </c>
      <c r="V35" s="729" t="str">
        <f>IF(Inventory!AN38="","",Inventory!AN38)</f>
        <v/>
      </c>
      <c r="W35" s="775" t="str">
        <f>IF(Inventory!AO38="","",Inventory!AO38)</f>
        <v/>
      </c>
      <c r="X35" s="775" t="str">
        <f>IF(Inventory!AP38="","",Inventory!AP38)</f>
        <v/>
      </c>
      <c r="Y35" s="729" t="str">
        <f>IF(Inventory!AQ38="","",Inventory!AQ38)</f>
        <v/>
      </c>
      <c r="Z35" s="775" t="str">
        <f>IF(Inventory!AR38="","",Inventory!AR38)</f>
        <v/>
      </c>
      <c r="AA35" s="779" t="str">
        <f>IF(Inventory!AS38="","",Inventory!AS38)</f>
        <v/>
      </c>
      <c r="AB35" s="866"/>
    </row>
    <row r="36" spans="2:28" s="618" customFormat="1" ht="21.95" customHeight="1" x14ac:dyDescent="0.25">
      <c r="B36" s="432">
        <v>30</v>
      </c>
      <c r="C36" s="499" t="str">
        <f>IF(Inventory!C39="","",Inventory!C39)</f>
        <v/>
      </c>
      <c r="D36" s="751" t="str">
        <f>IF(Inventory!D39="","",Inventory!D39)</f>
        <v/>
      </c>
      <c r="E36" s="556" t="str">
        <f>IF(Inventory!W39="","",Inventory!W39)</f>
        <v/>
      </c>
      <c r="F36" s="785" t="str">
        <f>IF(Inventory!X39="","",Inventory!X39)</f>
        <v/>
      </c>
      <c r="G36" s="785" t="str">
        <f>IF(Inventory!Y39="","",Inventory!Y39)</f>
        <v/>
      </c>
      <c r="H36" s="767" t="str">
        <f>IF(Inventory!Z39="","",Inventory!Z39)</f>
        <v/>
      </c>
      <c r="I36" s="767" t="str">
        <f>IF(Inventory!AA39="","",Inventory!AA39)</f>
        <v/>
      </c>
      <c r="J36" s="767" t="str">
        <f>IF(Inventory!AB39="","",Inventory!AB39)</f>
        <v/>
      </c>
      <c r="K36" s="767" t="str">
        <f>IF(Inventory!AC39="","",Inventory!AC39)</f>
        <v/>
      </c>
      <c r="L36" s="776" t="str">
        <f>IF(Inventory!AD39="","",Inventory!AD39)</f>
        <v/>
      </c>
      <c r="M36" s="527">
        <f>IF(Inventory!AE39="","",Inventory!AE39)</f>
        <v>0</v>
      </c>
      <c r="N36" s="527">
        <f>IF(Inventory!AF39="","",Inventory!AF39)</f>
        <v>0</v>
      </c>
      <c r="O36" s="527">
        <f>IF(Inventory!AG39="","",Inventory!AG39)</f>
        <v>0</v>
      </c>
      <c r="P36" s="527">
        <f>IF(Inventory!AH39="","",Inventory!AH39)</f>
        <v>0</v>
      </c>
      <c r="Q36" s="527">
        <f>IF(Inventory!AI39="","",Inventory!AI39)</f>
        <v>0</v>
      </c>
      <c r="R36" s="527">
        <f>IF(Inventory!AJ39="","",Inventory!AJ39)</f>
        <v>999999999</v>
      </c>
      <c r="S36" s="777" t="str">
        <f>IF(Inventory!AK39="","",Inventory!AK39)</f>
        <v/>
      </c>
      <c r="T36" s="776" t="str">
        <f>IF(Inventory!AL39="","",Inventory!AL39)</f>
        <v/>
      </c>
      <c r="U36" s="777" t="str">
        <f>IF(Inventory!AM39="","",Inventory!AM39)</f>
        <v/>
      </c>
      <c r="V36" s="767" t="str">
        <f>IF(Inventory!AN39="","",Inventory!AN39)</f>
        <v/>
      </c>
      <c r="W36" s="778" t="str">
        <f>IF(Inventory!AO39="","",Inventory!AO39)</f>
        <v/>
      </c>
      <c r="X36" s="778" t="str">
        <f>IF(Inventory!AP39="","",Inventory!AP39)</f>
        <v/>
      </c>
      <c r="Y36" s="767" t="str">
        <f>IF(Inventory!AQ39="","",Inventory!AQ39)</f>
        <v/>
      </c>
      <c r="Z36" s="778" t="str">
        <f>IF(Inventory!AR39="","",Inventory!AR39)</f>
        <v/>
      </c>
      <c r="AA36" s="751" t="str">
        <f>IF(Inventory!AS39="","",Inventory!AS39)</f>
        <v/>
      </c>
      <c r="AB36" s="871"/>
    </row>
    <row r="37" spans="2:28" s="618" customFormat="1" ht="21.95" customHeight="1" x14ac:dyDescent="0.25">
      <c r="B37" s="431">
        <v>31</v>
      </c>
      <c r="C37" s="501" t="str">
        <f>IF(Inventory!C40="","",Inventory!C40)</f>
        <v/>
      </c>
      <c r="D37" s="502" t="str">
        <f>IF(Inventory!D40="","",Inventory!D40)</f>
        <v/>
      </c>
      <c r="E37" s="557" t="str">
        <f>IF(Inventory!W40="","",Inventory!W40)</f>
        <v/>
      </c>
      <c r="F37" s="788" t="str">
        <f>IF(Inventory!X40="","",Inventory!X40)</f>
        <v/>
      </c>
      <c r="G37" s="788" t="str">
        <f>IF(Inventory!Y40="","",Inventory!Y40)</f>
        <v/>
      </c>
      <c r="H37" s="729" t="str">
        <f>IF(Inventory!Z40="","",Inventory!Z40)</f>
        <v/>
      </c>
      <c r="I37" s="729" t="str">
        <f>IF(Inventory!AA40="","",Inventory!AA40)</f>
        <v/>
      </c>
      <c r="J37" s="729" t="str">
        <f>IF(Inventory!AB40="","",Inventory!AB40)</f>
        <v/>
      </c>
      <c r="K37" s="729" t="str">
        <f>IF(Inventory!AC40="","",Inventory!AC40)</f>
        <v/>
      </c>
      <c r="L37" s="765" t="str">
        <f>IF(Inventory!AD40="","",Inventory!AD40)</f>
        <v/>
      </c>
      <c r="M37" s="527">
        <f>IF(Inventory!AE40="","",Inventory!AE40)</f>
        <v>0</v>
      </c>
      <c r="N37" s="527">
        <f>IF(Inventory!AF40="","",Inventory!AF40)</f>
        <v>0</v>
      </c>
      <c r="O37" s="527">
        <f>IF(Inventory!AG40="","",Inventory!AG40)</f>
        <v>0</v>
      </c>
      <c r="P37" s="527">
        <f>IF(Inventory!AH40="","",Inventory!AH40)</f>
        <v>0</v>
      </c>
      <c r="Q37" s="527">
        <f>IF(Inventory!AI40="","",Inventory!AI40)</f>
        <v>0</v>
      </c>
      <c r="R37" s="527">
        <f>IF(Inventory!AJ40="","",Inventory!AJ40)</f>
        <v>999999999</v>
      </c>
      <c r="S37" s="758" t="str">
        <f>IF(Inventory!AK40="","",Inventory!AK40)</f>
        <v/>
      </c>
      <c r="T37" s="765" t="str">
        <f>IF(Inventory!AL40="","",Inventory!AL40)</f>
        <v/>
      </c>
      <c r="U37" s="758" t="str">
        <f>IF(Inventory!AM40="","",Inventory!AM40)</f>
        <v/>
      </c>
      <c r="V37" s="729" t="str">
        <f>IF(Inventory!AN40="","",Inventory!AN40)</f>
        <v/>
      </c>
      <c r="W37" s="775" t="str">
        <f>IF(Inventory!AO40="","",Inventory!AO40)</f>
        <v/>
      </c>
      <c r="X37" s="775" t="str">
        <f>IF(Inventory!AP40="","",Inventory!AP40)</f>
        <v/>
      </c>
      <c r="Y37" s="729" t="str">
        <f>IF(Inventory!AQ40="","",Inventory!AQ40)</f>
        <v/>
      </c>
      <c r="Z37" s="775" t="str">
        <f>IF(Inventory!AR40="","",Inventory!AR40)</f>
        <v/>
      </c>
      <c r="AA37" s="779" t="str">
        <f>IF(Inventory!AS40="","",Inventory!AS40)</f>
        <v/>
      </c>
      <c r="AB37" s="866"/>
    </row>
    <row r="38" spans="2:28" s="618" customFormat="1" ht="21.95" customHeight="1" x14ac:dyDescent="0.25">
      <c r="B38" s="432">
        <v>32</v>
      </c>
      <c r="C38" s="499" t="str">
        <f>IF(Inventory!C41="","",Inventory!C41)</f>
        <v/>
      </c>
      <c r="D38" s="751" t="str">
        <f>IF(Inventory!D41="","",Inventory!D41)</f>
        <v/>
      </c>
      <c r="E38" s="556" t="str">
        <f>IF(Inventory!W41="","",Inventory!W41)</f>
        <v/>
      </c>
      <c r="F38" s="785" t="str">
        <f>IF(Inventory!X41="","",Inventory!X41)</f>
        <v/>
      </c>
      <c r="G38" s="785" t="str">
        <f>IF(Inventory!Y41="","",Inventory!Y41)</f>
        <v/>
      </c>
      <c r="H38" s="767" t="str">
        <f>IF(Inventory!Z41="","",Inventory!Z41)</f>
        <v/>
      </c>
      <c r="I38" s="767" t="str">
        <f>IF(Inventory!AA41="","",Inventory!AA41)</f>
        <v/>
      </c>
      <c r="J38" s="767" t="str">
        <f>IF(Inventory!AB41="","",Inventory!AB41)</f>
        <v/>
      </c>
      <c r="K38" s="767" t="str">
        <f>IF(Inventory!AC41="","",Inventory!AC41)</f>
        <v/>
      </c>
      <c r="L38" s="776" t="str">
        <f>IF(Inventory!AD41="","",Inventory!AD41)</f>
        <v/>
      </c>
      <c r="M38" s="527">
        <f>IF(Inventory!AE41="","",Inventory!AE41)</f>
        <v>0</v>
      </c>
      <c r="N38" s="527">
        <f>IF(Inventory!AF41="","",Inventory!AF41)</f>
        <v>0</v>
      </c>
      <c r="O38" s="527">
        <f>IF(Inventory!AG41="","",Inventory!AG41)</f>
        <v>0</v>
      </c>
      <c r="P38" s="527">
        <f>IF(Inventory!AH41="","",Inventory!AH41)</f>
        <v>0</v>
      </c>
      <c r="Q38" s="527">
        <f>IF(Inventory!AI41="","",Inventory!AI41)</f>
        <v>0</v>
      </c>
      <c r="R38" s="527">
        <f>IF(Inventory!AJ41="","",Inventory!AJ41)</f>
        <v>999999999</v>
      </c>
      <c r="S38" s="777" t="str">
        <f>IF(Inventory!AK41="","",Inventory!AK41)</f>
        <v/>
      </c>
      <c r="T38" s="776" t="str">
        <f>IF(Inventory!AL41="","",Inventory!AL41)</f>
        <v/>
      </c>
      <c r="U38" s="777" t="str">
        <f>IF(Inventory!AM41="","",Inventory!AM41)</f>
        <v/>
      </c>
      <c r="V38" s="767" t="str">
        <f>IF(Inventory!AN41="","",Inventory!AN41)</f>
        <v/>
      </c>
      <c r="W38" s="778" t="str">
        <f>IF(Inventory!AO41="","",Inventory!AO41)</f>
        <v/>
      </c>
      <c r="X38" s="778" t="str">
        <f>IF(Inventory!AP41="","",Inventory!AP41)</f>
        <v/>
      </c>
      <c r="Y38" s="767" t="str">
        <f>IF(Inventory!AQ41="","",Inventory!AQ41)</f>
        <v/>
      </c>
      <c r="Z38" s="778" t="str">
        <f>IF(Inventory!AR41="","",Inventory!AR41)</f>
        <v/>
      </c>
      <c r="AA38" s="751" t="str">
        <f>IF(Inventory!AS41="","",Inventory!AS41)</f>
        <v/>
      </c>
      <c r="AB38" s="871"/>
    </row>
    <row r="39" spans="2:28" s="618" customFormat="1" ht="21.95" customHeight="1" x14ac:dyDescent="0.25">
      <c r="B39" s="431">
        <v>33</v>
      </c>
      <c r="C39" s="501" t="str">
        <f>IF(Inventory!C42="","",Inventory!C42)</f>
        <v/>
      </c>
      <c r="D39" s="502" t="str">
        <f>IF(Inventory!D42="","",Inventory!D42)</f>
        <v/>
      </c>
      <c r="E39" s="557" t="str">
        <f>IF(Inventory!W42="","",Inventory!W42)</f>
        <v/>
      </c>
      <c r="F39" s="788" t="str">
        <f>IF(Inventory!X42="","",Inventory!X42)</f>
        <v/>
      </c>
      <c r="G39" s="788" t="str">
        <f>IF(Inventory!Y42="","",Inventory!Y42)</f>
        <v/>
      </c>
      <c r="H39" s="729" t="str">
        <f>IF(Inventory!Z42="","",Inventory!Z42)</f>
        <v/>
      </c>
      <c r="I39" s="729" t="str">
        <f>IF(Inventory!AA42="","",Inventory!AA42)</f>
        <v/>
      </c>
      <c r="J39" s="729" t="str">
        <f>IF(Inventory!AB42="","",Inventory!AB42)</f>
        <v/>
      </c>
      <c r="K39" s="729" t="str">
        <f>IF(Inventory!AC42="","",Inventory!AC42)</f>
        <v/>
      </c>
      <c r="L39" s="765" t="str">
        <f>IF(Inventory!AD42="","",Inventory!AD42)</f>
        <v/>
      </c>
      <c r="M39" s="527">
        <f>IF(Inventory!AE42="","",Inventory!AE42)</f>
        <v>0</v>
      </c>
      <c r="N39" s="527">
        <f>IF(Inventory!AF42="","",Inventory!AF42)</f>
        <v>0</v>
      </c>
      <c r="O39" s="527">
        <f>IF(Inventory!AG42="","",Inventory!AG42)</f>
        <v>0</v>
      </c>
      <c r="P39" s="527">
        <f>IF(Inventory!AH42="","",Inventory!AH42)</f>
        <v>0</v>
      </c>
      <c r="Q39" s="527">
        <f>IF(Inventory!AI42="","",Inventory!AI42)</f>
        <v>0</v>
      </c>
      <c r="R39" s="527">
        <f>IF(Inventory!AJ42="","",Inventory!AJ42)</f>
        <v>999999999</v>
      </c>
      <c r="S39" s="758" t="str">
        <f>IF(Inventory!AK42="","",Inventory!AK42)</f>
        <v/>
      </c>
      <c r="T39" s="765" t="str">
        <f>IF(Inventory!AL42="","",Inventory!AL42)</f>
        <v/>
      </c>
      <c r="U39" s="758" t="str">
        <f>IF(Inventory!AM42="","",Inventory!AM42)</f>
        <v/>
      </c>
      <c r="V39" s="729" t="str">
        <f>IF(Inventory!AN42="","",Inventory!AN42)</f>
        <v/>
      </c>
      <c r="W39" s="775" t="str">
        <f>IF(Inventory!AO42="","",Inventory!AO42)</f>
        <v/>
      </c>
      <c r="X39" s="775" t="str">
        <f>IF(Inventory!AP42="","",Inventory!AP42)</f>
        <v/>
      </c>
      <c r="Y39" s="729" t="str">
        <f>IF(Inventory!AQ42="","",Inventory!AQ42)</f>
        <v/>
      </c>
      <c r="Z39" s="775" t="str">
        <f>IF(Inventory!AR42="","",Inventory!AR42)</f>
        <v/>
      </c>
      <c r="AA39" s="779" t="str">
        <f>IF(Inventory!AS42="","",Inventory!AS42)</f>
        <v/>
      </c>
      <c r="AB39" s="866"/>
    </row>
    <row r="40" spans="2:28" s="618" customFormat="1" ht="21.95" customHeight="1" x14ac:dyDescent="0.25">
      <c r="B40" s="432">
        <v>34</v>
      </c>
      <c r="C40" s="499" t="str">
        <f>IF(Inventory!C43="","",Inventory!C43)</f>
        <v/>
      </c>
      <c r="D40" s="751" t="str">
        <f>IF(Inventory!D43="","",Inventory!D43)</f>
        <v/>
      </c>
      <c r="E40" s="556" t="str">
        <f>IF(Inventory!W43="","",Inventory!W43)</f>
        <v/>
      </c>
      <c r="F40" s="785" t="str">
        <f>IF(Inventory!X43="","",Inventory!X43)</f>
        <v/>
      </c>
      <c r="G40" s="785" t="str">
        <f>IF(Inventory!Y43="","",Inventory!Y43)</f>
        <v/>
      </c>
      <c r="H40" s="767" t="str">
        <f>IF(Inventory!Z43="","",Inventory!Z43)</f>
        <v/>
      </c>
      <c r="I40" s="767" t="str">
        <f>IF(Inventory!AA43="","",Inventory!AA43)</f>
        <v/>
      </c>
      <c r="J40" s="767" t="str">
        <f>IF(Inventory!AB43="","",Inventory!AB43)</f>
        <v/>
      </c>
      <c r="K40" s="767" t="str">
        <f>IF(Inventory!AC43="","",Inventory!AC43)</f>
        <v/>
      </c>
      <c r="L40" s="776" t="str">
        <f>IF(Inventory!AD43="","",Inventory!AD43)</f>
        <v/>
      </c>
      <c r="M40" s="527">
        <f>IF(Inventory!AE43="","",Inventory!AE43)</f>
        <v>0</v>
      </c>
      <c r="N40" s="527">
        <f>IF(Inventory!AF43="","",Inventory!AF43)</f>
        <v>0</v>
      </c>
      <c r="O40" s="527">
        <f>IF(Inventory!AG43="","",Inventory!AG43)</f>
        <v>0</v>
      </c>
      <c r="P40" s="527">
        <f>IF(Inventory!AH43="","",Inventory!AH43)</f>
        <v>0</v>
      </c>
      <c r="Q40" s="527">
        <f>IF(Inventory!AI43="","",Inventory!AI43)</f>
        <v>0</v>
      </c>
      <c r="R40" s="527">
        <f>IF(Inventory!AJ43="","",Inventory!AJ43)</f>
        <v>999999999</v>
      </c>
      <c r="S40" s="777" t="str">
        <f>IF(Inventory!AK43="","",Inventory!AK43)</f>
        <v/>
      </c>
      <c r="T40" s="776" t="str">
        <f>IF(Inventory!AL43="","",Inventory!AL43)</f>
        <v/>
      </c>
      <c r="U40" s="777" t="str">
        <f>IF(Inventory!AM43="","",Inventory!AM43)</f>
        <v/>
      </c>
      <c r="V40" s="767" t="str">
        <f>IF(Inventory!AN43="","",Inventory!AN43)</f>
        <v/>
      </c>
      <c r="W40" s="778" t="str">
        <f>IF(Inventory!AO43="","",Inventory!AO43)</f>
        <v/>
      </c>
      <c r="X40" s="778" t="str">
        <f>IF(Inventory!AP43="","",Inventory!AP43)</f>
        <v/>
      </c>
      <c r="Y40" s="767" t="str">
        <f>IF(Inventory!AQ43="","",Inventory!AQ43)</f>
        <v/>
      </c>
      <c r="Z40" s="778" t="str">
        <f>IF(Inventory!AR43="","",Inventory!AR43)</f>
        <v/>
      </c>
      <c r="AA40" s="751" t="str">
        <f>IF(Inventory!AS43="","",Inventory!AS43)</f>
        <v/>
      </c>
      <c r="AB40" s="871"/>
    </row>
    <row r="41" spans="2:28" s="618" customFormat="1" ht="21.95" customHeight="1" x14ac:dyDescent="0.25">
      <c r="B41" s="431">
        <v>35</v>
      </c>
      <c r="C41" s="501" t="str">
        <f>IF(Inventory!C44="","",Inventory!C44)</f>
        <v/>
      </c>
      <c r="D41" s="502" t="str">
        <f>IF(Inventory!D44="","",Inventory!D44)</f>
        <v/>
      </c>
      <c r="E41" s="557" t="str">
        <f>IF(Inventory!W44="","",Inventory!W44)</f>
        <v/>
      </c>
      <c r="F41" s="788" t="str">
        <f>IF(Inventory!X44="","",Inventory!X44)</f>
        <v/>
      </c>
      <c r="G41" s="788" t="str">
        <f>IF(Inventory!Y44="","",Inventory!Y44)</f>
        <v/>
      </c>
      <c r="H41" s="729" t="str">
        <f>IF(Inventory!Z44="","",Inventory!Z44)</f>
        <v/>
      </c>
      <c r="I41" s="729" t="str">
        <f>IF(Inventory!AA44="","",Inventory!AA44)</f>
        <v/>
      </c>
      <c r="J41" s="729" t="str">
        <f>IF(Inventory!AB44="","",Inventory!AB44)</f>
        <v/>
      </c>
      <c r="K41" s="729" t="str">
        <f>IF(Inventory!AC44="","",Inventory!AC44)</f>
        <v/>
      </c>
      <c r="L41" s="765" t="str">
        <f>IF(Inventory!AD44="","",Inventory!AD44)</f>
        <v/>
      </c>
      <c r="M41" s="527">
        <f>IF(Inventory!AE44="","",Inventory!AE44)</f>
        <v>0</v>
      </c>
      <c r="N41" s="527">
        <f>IF(Inventory!AF44="","",Inventory!AF44)</f>
        <v>0</v>
      </c>
      <c r="O41" s="527">
        <f>IF(Inventory!AG44="","",Inventory!AG44)</f>
        <v>0</v>
      </c>
      <c r="P41" s="527">
        <f>IF(Inventory!AH44="","",Inventory!AH44)</f>
        <v>0</v>
      </c>
      <c r="Q41" s="527">
        <f>IF(Inventory!AI44="","",Inventory!AI44)</f>
        <v>0</v>
      </c>
      <c r="R41" s="527">
        <f>IF(Inventory!AJ44="","",Inventory!AJ44)</f>
        <v>999999999</v>
      </c>
      <c r="S41" s="758" t="str">
        <f>IF(Inventory!AK44="","",Inventory!AK44)</f>
        <v/>
      </c>
      <c r="T41" s="765" t="str">
        <f>IF(Inventory!AL44="","",Inventory!AL44)</f>
        <v/>
      </c>
      <c r="U41" s="758" t="str">
        <f>IF(Inventory!AM44="","",Inventory!AM44)</f>
        <v/>
      </c>
      <c r="V41" s="729" t="str">
        <f>IF(Inventory!AN44="","",Inventory!AN44)</f>
        <v/>
      </c>
      <c r="W41" s="775" t="str">
        <f>IF(Inventory!AO44="","",Inventory!AO44)</f>
        <v/>
      </c>
      <c r="X41" s="775" t="str">
        <f>IF(Inventory!AP44="","",Inventory!AP44)</f>
        <v/>
      </c>
      <c r="Y41" s="729" t="str">
        <f>IF(Inventory!AQ44="","",Inventory!AQ44)</f>
        <v/>
      </c>
      <c r="Z41" s="775" t="str">
        <f>IF(Inventory!AR44="","",Inventory!AR44)</f>
        <v/>
      </c>
      <c r="AA41" s="779" t="str">
        <f>IF(Inventory!AS44="","",Inventory!AS44)</f>
        <v/>
      </c>
      <c r="AB41" s="866"/>
    </row>
    <row r="42" spans="2:28" s="618" customFormat="1" ht="21.95" customHeight="1" x14ac:dyDescent="0.25">
      <c r="B42" s="432">
        <v>36</v>
      </c>
      <c r="C42" s="499" t="str">
        <f>IF(Inventory!C45="","",Inventory!C45)</f>
        <v/>
      </c>
      <c r="D42" s="751" t="str">
        <f>IF(Inventory!D45="","",Inventory!D45)</f>
        <v/>
      </c>
      <c r="E42" s="556" t="str">
        <f>IF(Inventory!W45="","",Inventory!W45)</f>
        <v/>
      </c>
      <c r="F42" s="785" t="str">
        <f>IF(Inventory!X45="","",Inventory!X45)</f>
        <v/>
      </c>
      <c r="G42" s="785" t="str">
        <f>IF(Inventory!Y45="","",Inventory!Y45)</f>
        <v/>
      </c>
      <c r="H42" s="767" t="str">
        <f>IF(Inventory!Z45="","",Inventory!Z45)</f>
        <v/>
      </c>
      <c r="I42" s="767" t="str">
        <f>IF(Inventory!AA45="","",Inventory!AA45)</f>
        <v/>
      </c>
      <c r="J42" s="767" t="str">
        <f>IF(Inventory!AB45="","",Inventory!AB45)</f>
        <v/>
      </c>
      <c r="K42" s="767" t="str">
        <f>IF(Inventory!AC45="","",Inventory!AC45)</f>
        <v/>
      </c>
      <c r="L42" s="776" t="str">
        <f>IF(Inventory!AD45="","",Inventory!AD45)</f>
        <v/>
      </c>
      <c r="M42" s="527">
        <f>IF(Inventory!AE45="","",Inventory!AE45)</f>
        <v>0</v>
      </c>
      <c r="N42" s="527">
        <f>IF(Inventory!AF45="","",Inventory!AF45)</f>
        <v>0</v>
      </c>
      <c r="O42" s="527">
        <f>IF(Inventory!AG45="","",Inventory!AG45)</f>
        <v>0</v>
      </c>
      <c r="P42" s="527">
        <f>IF(Inventory!AH45="","",Inventory!AH45)</f>
        <v>0</v>
      </c>
      <c r="Q42" s="527">
        <f>IF(Inventory!AI45="","",Inventory!AI45)</f>
        <v>0</v>
      </c>
      <c r="R42" s="527">
        <f>IF(Inventory!AJ45="","",Inventory!AJ45)</f>
        <v>999999999</v>
      </c>
      <c r="S42" s="777" t="str">
        <f>IF(Inventory!AK45="","",Inventory!AK45)</f>
        <v/>
      </c>
      <c r="T42" s="776" t="str">
        <f>IF(Inventory!AL45="","",Inventory!AL45)</f>
        <v/>
      </c>
      <c r="U42" s="777" t="str">
        <f>IF(Inventory!AM45="","",Inventory!AM45)</f>
        <v/>
      </c>
      <c r="V42" s="767" t="str">
        <f>IF(Inventory!AN45="","",Inventory!AN45)</f>
        <v/>
      </c>
      <c r="W42" s="778" t="str">
        <f>IF(Inventory!AO45="","",Inventory!AO45)</f>
        <v/>
      </c>
      <c r="X42" s="778" t="str">
        <f>IF(Inventory!AP45="","",Inventory!AP45)</f>
        <v/>
      </c>
      <c r="Y42" s="767" t="str">
        <f>IF(Inventory!AQ45="","",Inventory!AQ45)</f>
        <v/>
      </c>
      <c r="Z42" s="778" t="str">
        <f>IF(Inventory!AR45="","",Inventory!AR45)</f>
        <v/>
      </c>
      <c r="AA42" s="751" t="str">
        <f>IF(Inventory!AS45="","",Inventory!AS45)</f>
        <v/>
      </c>
      <c r="AB42" s="871"/>
    </row>
    <row r="43" spans="2:28" s="618" customFormat="1" ht="21.95" customHeight="1" x14ac:dyDescent="0.25">
      <c r="B43" s="431">
        <v>37</v>
      </c>
      <c r="C43" s="501" t="str">
        <f>IF(Inventory!C46="","",Inventory!C46)</f>
        <v/>
      </c>
      <c r="D43" s="502" t="str">
        <f>IF(Inventory!D46="","",Inventory!D46)</f>
        <v/>
      </c>
      <c r="E43" s="557" t="str">
        <f>IF(Inventory!W46="","",Inventory!W46)</f>
        <v/>
      </c>
      <c r="F43" s="788" t="str">
        <f>IF(Inventory!X46="","",Inventory!X46)</f>
        <v/>
      </c>
      <c r="G43" s="788" t="str">
        <f>IF(Inventory!Y46="","",Inventory!Y46)</f>
        <v/>
      </c>
      <c r="H43" s="729" t="str">
        <f>IF(Inventory!Z46="","",Inventory!Z46)</f>
        <v/>
      </c>
      <c r="I43" s="729" t="str">
        <f>IF(Inventory!AA46="","",Inventory!AA46)</f>
        <v/>
      </c>
      <c r="J43" s="729" t="str">
        <f>IF(Inventory!AB46="","",Inventory!AB46)</f>
        <v/>
      </c>
      <c r="K43" s="729" t="str">
        <f>IF(Inventory!AC46="","",Inventory!AC46)</f>
        <v/>
      </c>
      <c r="L43" s="765" t="str">
        <f>IF(Inventory!AD46="","",Inventory!AD46)</f>
        <v/>
      </c>
      <c r="M43" s="527">
        <f>IF(Inventory!AE46="","",Inventory!AE46)</f>
        <v>0</v>
      </c>
      <c r="N43" s="527">
        <f>IF(Inventory!AF46="","",Inventory!AF46)</f>
        <v>0</v>
      </c>
      <c r="O43" s="527">
        <f>IF(Inventory!AG46="","",Inventory!AG46)</f>
        <v>0</v>
      </c>
      <c r="P43" s="527">
        <f>IF(Inventory!AH46="","",Inventory!AH46)</f>
        <v>0</v>
      </c>
      <c r="Q43" s="527">
        <f>IF(Inventory!AI46="","",Inventory!AI46)</f>
        <v>0</v>
      </c>
      <c r="R43" s="527">
        <f>IF(Inventory!AJ46="","",Inventory!AJ46)</f>
        <v>999999999</v>
      </c>
      <c r="S43" s="758" t="str">
        <f>IF(Inventory!AK46="","",Inventory!AK46)</f>
        <v/>
      </c>
      <c r="T43" s="765" t="str">
        <f>IF(Inventory!AL46="","",Inventory!AL46)</f>
        <v/>
      </c>
      <c r="U43" s="758" t="str">
        <f>IF(Inventory!AM46="","",Inventory!AM46)</f>
        <v/>
      </c>
      <c r="V43" s="729" t="str">
        <f>IF(Inventory!AN46="","",Inventory!AN46)</f>
        <v/>
      </c>
      <c r="W43" s="775" t="str">
        <f>IF(Inventory!AO46="","",Inventory!AO46)</f>
        <v/>
      </c>
      <c r="X43" s="775" t="str">
        <f>IF(Inventory!AP46="","",Inventory!AP46)</f>
        <v/>
      </c>
      <c r="Y43" s="729" t="str">
        <f>IF(Inventory!AQ46="","",Inventory!AQ46)</f>
        <v/>
      </c>
      <c r="Z43" s="775" t="str">
        <f>IF(Inventory!AR46="","",Inventory!AR46)</f>
        <v/>
      </c>
      <c r="AA43" s="779" t="str">
        <f>IF(Inventory!AS46="","",Inventory!AS46)</f>
        <v/>
      </c>
      <c r="AB43" s="866"/>
    </row>
    <row r="44" spans="2:28" s="618" customFormat="1" ht="21.95" customHeight="1" x14ac:dyDescent="0.25">
      <c r="B44" s="432">
        <v>38</v>
      </c>
      <c r="C44" s="499" t="str">
        <f>IF(Inventory!C47="","",Inventory!C47)</f>
        <v/>
      </c>
      <c r="D44" s="751" t="str">
        <f>IF(Inventory!D47="","",Inventory!D47)</f>
        <v/>
      </c>
      <c r="E44" s="556" t="str">
        <f>IF(Inventory!W47="","",Inventory!W47)</f>
        <v/>
      </c>
      <c r="F44" s="785" t="str">
        <f>IF(Inventory!X47="","",Inventory!X47)</f>
        <v/>
      </c>
      <c r="G44" s="785" t="str">
        <f>IF(Inventory!Y47="","",Inventory!Y47)</f>
        <v/>
      </c>
      <c r="H44" s="767" t="str">
        <f>IF(Inventory!Z47="","",Inventory!Z47)</f>
        <v/>
      </c>
      <c r="I44" s="767" t="str">
        <f>IF(Inventory!AA47="","",Inventory!AA47)</f>
        <v/>
      </c>
      <c r="J44" s="767" t="str">
        <f>IF(Inventory!AB47="","",Inventory!AB47)</f>
        <v/>
      </c>
      <c r="K44" s="767" t="str">
        <f>IF(Inventory!AC47="","",Inventory!AC47)</f>
        <v/>
      </c>
      <c r="L44" s="776" t="str">
        <f>IF(Inventory!AD47="","",Inventory!AD47)</f>
        <v/>
      </c>
      <c r="M44" s="527">
        <f>IF(Inventory!AE47="","",Inventory!AE47)</f>
        <v>0</v>
      </c>
      <c r="N44" s="527">
        <f>IF(Inventory!AF47="","",Inventory!AF47)</f>
        <v>0</v>
      </c>
      <c r="O44" s="527">
        <f>IF(Inventory!AG47="","",Inventory!AG47)</f>
        <v>0</v>
      </c>
      <c r="P44" s="527">
        <f>IF(Inventory!AH47="","",Inventory!AH47)</f>
        <v>0</v>
      </c>
      <c r="Q44" s="527">
        <f>IF(Inventory!AI47="","",Inventory!AI47)</f>
        <v>0</v>
      </c>
      <c r="R44" s="527">
        <f>IF(Inventory!AJ47="","",Inventory!AJ47)</f>
        <v>999999999</v>
      </c>
      <c r="S44" s="777" t="str">
        <f>IF(Inventory!AK47="","",Inventory!AK47)</f>
        <v/>
      </c>
      <c r="T44" s="776" t="str">
        <f>IF(Inventory!AL47="","",Inventory!AL47)</f>
        <v/>
      </c>
      <c r="U44" s="777" t="str">
        <f>IF(Inventory!AM47="","",Inventory!AM47)</f>
        <v/>
      </c>
      <c r="V44" s="767" t="str">
        <f>IF(Inventory!AN47="","",Inventory!AN47)</f>
        <v/>
      </c>
      <c r="W44" s="778" t="str">
        <f>IF(Inventory!AO47="","",Inventory!AO47)</f>
        <v/>
      </c>
      <c r="X44" s="778" t="str">
        <f>IF(Inventory!AP47="","",Inventory!AP47)</f>
        <v/>
      </c>
      <c r="Y44" s="767" t="str">
        <f>IF(Inventory!AQ47="","",Inventory!AQ47)</f>
        <v/>
      </c>
      <c r="Z44" s="778" t="str">
        <f>IF(Inventory!AR47="","",Inventory!AR47)</f>
        <v/>
      </c>
      <c r="AA44" s="751" t="str">
        <f>IF(Inventory!AS47="","",Inventory!AS47)</f>
        <v/>
      </c>
      <c r="AB44" s="871"/>
    </row>
    <row r="45" spans="2:28" s="618" customFormat="1" ht="21.95" customHeight="1" x14ac:dyDescent="0.25">
      <c r="B45" s="431">
        <v>39</v>
      </c>
      <c r="C45" s="501" t="str">
        <f>IF(Inventory!C48="","",Inventory!C48)</f>
        <v/>
      </c>
      <c r="D45" s="502" t="str">
        <f>IF(Inventory!D48="","",Inventory!D48)</f>
        <v/>
      </c>
      <c r="E45" s="557" t="str">
        <f>IF(Inventory!W48="","",Inventory!W48)</f>
        <v/>
      </c>
      <c r="F45" s="788" t="str">
        <f>IF(Inventory!X48="","",Inventory!X48)</f>
        <v/>
      </c>
      <c r="G45" s="788" t="str">
        <f>IF(Inventory!Y48="","",Inventory!Y48)</f>
        <v/>
      </c>
      <c r="H45" s="729" t="str">
        <f>IF(Inventory!Z48="","",Inventory!Z48)</f>
        <v/>
      </c>
      <c r="I45" s="729" t="str">
        <f>IF(Inventory!AA48="","",Inventory!AA48)</f>
        <v/>
      </c>
      <c r="J45" s="729" t="str">
        <f>IF(Inventory!AB48="","",Inventory!AB48)</f>
        <v/>
      </c>
      <c r="K45" s="729" t="str">
        <f>IF(Inventory!AC48="","",Inventory!AC48)</f>
        <v/>
      </c>
      <c r="L45" s="765" t="str">
        <f>IF(Inventory!AD48="","",Inventory!AD48)</f>
        <v/>
      </c>
      <c r="M45" s="527">
        <f>IF(Inventory!AE48="","",Inventory!AE48)</f>
        <v>0</v>
      </c>
      <c r="N45" s="527">
        <f>IF(Inventory!AF48="","",Inventory!AF48)</f>
        <v>0</v>
      </c>
      <c r="O45" s="527">
        <f>IF(Inventory!AG48="","",Inventory!AG48)</f>
        <v>0</v>
      </c>
      <c r="P45" s="527">
        <f>IF(Inventory!AH48="","",Inventory!AH48)</f>
        <v>0</v>
      </c>
      <c r="Q45" s="527">
        <f>IF(Inventory!AI48="","",Inventory!AI48)</f>
        <v>0</v>
      </c>
      <c r="R45" s="527">
        <f>IF(Inventory!AJ48="","",Inventory!AJ48)</f>
        <v>999999999</v>
      </c>
      <c r="S45" s="758" t="str">
        <f>IF(Inventory!AK48="","",Inventory!AK48)</f>
        <v/>
      </c>
      <c r="T45" s="765" t="str">
        <f>IF(Inventory!AL48="","",Inventory!AL48)</f>
        <v/>
      </c>
      <c r="U45" s="758" t="str">
        <f>IF(Inventory!AM48="","",Inventory!AM48)</f>
        <v/>
      </c>
      <c r="V45" s="729" t="str">
        <f>IF(Inventory!AN48="","",Inventory!AN48)</f>
        <v/>
      </c>
      <c r="W45" s="775" t="str">
        <f>IF(Inventory!AO48="","",Inventory!AO48)</f>
        <v/>
      </c>
      <c r="X45" s="775" t="str">
        <f>IF(Inventory!AP48="","",Inventory!AP48)</f>
        <v/>
      </c>
      <c r="Y45" s="729" t="str">
        <f>IF(Inventory!AQ48="","",Inventory!AQ48)</f>
        <v/>
      </c>
      <c r="Z45" s="775" t="str">
        <f>IF(Inventory!AR48="","",Inventory!AR48)</f>
        <v/>
      </c>
      <c r="AA45" s="779" t="str">
        <f>IF(Inventory!AS48="","",Inventory!AS48)</f>
        <v/>
      </c>
      <c r="AB45" s="866"/>
    </row>
    <row r="46" spans="2:28" s="618" customFormat="1" ht="21.95" customHeight="1" x14ac:dyDescent="0.25">
      <c r="B46" s="432">
        <v>40</v>
      </c>
      <c r="C46" s="499" t="str">
        <f>IF(Inventory!C49="","",Inventory!C49)</f>
        <v/>
      </c>
      <c r="D46" s="751" t="str">
        <f>IF(Inventory!D49="","",Inventory!D49)</f>
        <v/>
      </c>
      <c r="E46" s="556" t="str">
        <f>IF(Inventory!W49="","",Inventory!W49)</f>
        <v/>
      </c>
      <c r="F46" s="785" t="str">
        <f>IF(Inventory!X49="","",Inventory!X49)</f>
        <v/>
      </c>
      <c r="G46" s="785" t="str">
        <f>IF(Inventory!Y49="","",Inventory!Y49)</f>
        <v/>
      </c>
      <c r="H46" s="767" t="str">
        <f>IF(Inventory!Z49="","",Inventory!Z49)</f>
        <v/>
      </c>
      <c r="I46" s="767" t="str">
        <f>IF(Inventory!AA49="","",Inventory!AA49)</f>
        <v/>
      </c>
      <c r="J46" s="767" t="str">
        <f>IF(Inventory!AB49="","",Inventory!AB49)</f>
        <v/>
      </c>
      <c r="K46" s="767" t="str">
        <f>IF(Inventory!AC49="","",Inventory!AC49)</f>
        <v/>
      </c>
      <c r="L46" s="776" t="str">
        <f>IF(Inventory!AD49="","",Inventory!AD49)</f>
        <v/>
      </c>
      <c r="M46" s="527">
        <f>IF(Inventory!AE49="","",Inventory!AE49)</f>
        <v>0</v>
      </c>
      <c r="N46" s="527">
        <f>IF(Inventory!AF49="","",Inventory!AF49)</f>
        <v>0</v>
      </c>
      <c r="O46" s="527">
        <f>IF(Inventory!AG49="","",Inventory!AG49)</f>
        <v>0</v>
      </c>
      <c r="P46" s="527">
        <f>IF(Inventory!AH49="","",Inventory!AH49)</f>
        <v>0</v>
      </c>
      <c r="Q46" s="527">
        <f>IF(Inventory!AI49="","",Inventory!AI49)</f>
        <v>0</v>
      </c>
      <c r="R46" s="527">
        <f>IF(Inventory!AJ49="","",Inventory!AJ49)</f>
        <v>999999999</v>
      </c>
      <c r="S46" s="777" t="str">
        <f>IF(Inventory!AK49="","",Inventory!AK49)</f>
        <v/>
      </c>
      <c r="T46" s="776" t="str">
        <f>IF(Inventory!AL49="","",Inventory!AL49)</f>
        <v/>
      </c>
      <c r="U46" s="777" t="str">
        <f>IF(Inventory!AM49="","",Inventory!AM49)</f>
        <v/>
      </c>
      <c r="V46" s="767" t="str">
        <f>IF(Inventory!AN49="","",Inventory!AN49)</f>
        <v/>
      </c>
      <c r="W46" s="778" t="str">
        <f>IF(Inventory!AO49="","",Inventory!AO49)</f>
        <v/>
      </c>
      <c r="X46" s="778" t="str">
        <f>IF(Inventory!AP49="","",Inventory!AP49)</f>
        <v/>
      </c>
      <c r="Y46" s="767" t="str">
        <f>IF(Inventory!AQ49="","",Inventory!AQ49)</f>
        <v/>
      </c>
      <c r="Z46" s="778" t="str">
        <f>IF(Inventory!AR49="","",Inventory!AR49)</f>
        <v/>
      </c>
      <c r="AA46" s="751" t="str">
        <f>IF(Inventory!AS49="","",Inventory!AS49)</f>
        <v/>
      </c>
      <c r="AB46" s="871"/>
    </row>
    <row r="47" spans="2:28" s="618" customFormat="1" ht="21.95" customHeight="1" x14ac:dyDescent="0.25">
      <c r="B47" s="431">
        <v>41</v>
      </c>
      <c r="C47" s="501" t="str">
        <f>IF(Inventory!C50="","",Inventory!C50)</f>
        <v/>
      </c>
      <c r="D47" s="502" t="str">
        <f>IF(Inventory!D50="","",Inventory!D50)</f>
        <v/>
      </c>
      <c r="E47" s="557" t="str">
        <f>IF(Inventory!W50="","",Inventory!W50)</f>
        <v/>
      </c>
      <c r="F47" s="788" t="str">
        <f>IF(Inventory!X50="","",Inventory!X50)</f>
        <v/>
      </c>
      <c r="G47" s="788" t="str">
        <f>IF(Inventory!Y50="","",Inventory!Y50)</f>
        <v/>
      </c>
      <c r="H47" s="729" t="str">
        <f>IF(Inventory!Z50="","",Inventory!Z50)</f>
        <v/>
      </c>
      <c r="I47" s="729" t="str">
        <f>IF(Inventory!AA50="","",Inventory!AA50)</f>
        <v/>
      </c>
      <c r="J47" s="729" t="str">
        <f>IF(Inventory!AB50="","",Inventory!AB50)</f>
        <v/>
      </c>
      <c r="K47" s="729" t="str">
        <f>IF(Inventory!AC50="","",Inventory!AC50)</f>
        <v/>
      </c>
      <c r="L47" s="765" t="str">
        <f>IF(Inventory!AD50="","",Inventory!AD50)</f>
        <v/>
      </c>
      <c r="M47" s="527">
        <f>IF(Inventory!AE50="","",Inventory!AE50)</f>
        <v>0</v>
      </c>
      <c r="N47" s="527">
        <f>IF(Inventory!AF50="","",Inventory!AF50)</f>
        <v>0</v>
      </c>
      <c r="O47" s="527">
        <f>IF(Inventory!AG50="","",Inventory!AG50)</f>
        <v>0</v>
      </c>
      <c r="P47" s="527">
        <f>IF(Inventory!AH50="","",Inventory!AH50)</f>
        <v>0</v>
      </c>
      <c r="Q47" s="527">
        <f>IF(Inventory!AI50="","",Inventory!AI50)</f>
        <v>0</v>
      </c>
      <c r="R47" s="527">
        <f>IF(Inventory!AJ50="","",Inventory!AJ50)</f>
        <v>999999999</v>
      </c>
      <c r="S47" s="758" t="str">
        <f>IF(Inventory!AK50="","",Inventory!AK50)</f>
        <v/>
      </c>
      <c r="T47" s="765" t="str">
        <f>IF(Inventory!AL50="","",Inventory!AL50)</f>
        <v/>
      </c>
      <c r="U47" s="758" t="str">
        <f>IF(Inventory!AM50="","",Inventory!AM50)</f>
        <v/>
      </c>
      <c r="V47" s="729" t="str">
        <f>IF(Inventory!AN50="","",Inventory!AN50)</f>
        <v/>
      </c>
      <c r="W47" s="775" t="str">
        <f>IF(Inventory!AO50="","",Inventory!AO50)</f>
        <v/>
      </c>
      <c r="X47" s="775" t="str">
        <f>IF(Inventory!AP50="","",Inventory!AP50)</f>
        <v/>
      </c>
      <c r="Y47" s="729" t="str">
        <f>IF(Inventory!AQ50="","",Inventory!AQ50)</f>
        <v/>
      </c>
      <c r="Z47" s="775" t="str">
        <f>IF(Inventory!AR50="","",Inventory!AR50)</f>
        <v/>
      </c>
      <c r="AA47" s="779" t="str">
        <f>IF(Inventory!AS50="","",Inventory!AS50)</f>
        <v/>
      </c>
      <c r="AB47" s="866"/>
    </row>
    <row r="48" spans="2:28" s="618" customFormat="1" ht="21.95" customHeight="1" x14ac:dyDescent="0.25">
      <c r="B48" s="432">
        <v>42</v>
      </c>
      <c r="C48" s="499" t="str">
        <f>IF(Inventory!C51="","",Inventory!C51)</f>
        <v/>
      </c>
      <c r="D48" s="751" t="str">
        <f>IF(Inventory!D51="","",Inventory!D51)</f>
        <v/>
      </c>
      <c r="E48" s="556" t="str">
        <f>IF(Inventory!W51="","",Inventory!W51)</f>
        <v/>
      </c>
      <c r="F48" s="785" t="str">
        <f>IF(Inventory!X51="","",Inventory!X51)</f>
        <v/>
      </c>
      <c r="G48" s="785" t="str">
        <f>IF(Inventory!Y51="","",Inventory!Y51)</f>
        <v/>
      </c>
      <c r="H48" s="767" t="str">
        <f>IF(Inventory!Z51="","",Inventory!Z51)</f>
        <v/>
      </c>
      <c r="I48" s="767" t="str">
        <f>IF(Inventory!AA51="","",Inventory!AA51)</f>
        <v/>
      </c>
      <c r="J48" s="767" t="str">
        <f>IF(Inventory!AB51="","",Inventory!AB51)</f>
        <v/>
      </c>
      <c r="K48" s="767" t="str">
        <f>IF(Inventory!AC51="","",Inventory!AC51)</f>
        <v/>
      </c>
      <c r="L48" s="776" t="str">
        <f>IF(Inventory!AD51="","",Inventory!AD51)</f>
        <v/>
      </c>
      <c r="M48" s="527">
        <f>IF(Inventory!AE51="","",Inventory!AE51)</f>
        <v>0</v>
      </c>
      <c r="N48" s="527">
        <f>IF(Inventory!AF51="","",Inventory!AF51)</f>
        <v>0</v>
      </c>
      <c r="O48" s="527">
        <f>IF(Inventory!AG51="","",Inventory!AG51)</f>
        <v>0</v>
      </c>
      <c r="P48" s="527">
        <f>IF(Inventory!AH51="","",Inventory!AH51)</f>
        <v>0</v>
      </c>
      <c r="Q48" s="527">
        <f>IF(Inventory!AI51="","",Inventory!AI51)</f>
        <v>0</v>
      </c>
      <c r="R48" s="527">
        <f>IF(Inventory!AJ51="","",Inventory!AJ51)</f>
        <v>999999999</v>
      </c>
      <c r="S48" s="777" t="str">
        <f>IF(Inventory!AK51="","",Inventory!AK51)</f>
        <v/>
      </c>
      <c r="T48" s="776" t="str">
        <f>IF(Inventory!AL51="","",Inventory!AL51)</f>
        <v/>
      </c>
      <c r="U48" s="777" t="str">
        <f>IF(Inventory!AM51="","",Inventory!AM51)</f>
        <v/>
      </c>
      <c r="V48" s="767" t="str">
        <f>IF(Inventory!AN51="","",Inventory!AN51)</f>
        <v/>
      </c>
      <c r="W48" s="778" t="str">
        <f>IF(Inventory!AO51="","",Inventory!AO51)</f>
        <v/>
      </c>
      <c r="X48" s="778" t="str">
        <f>IF(Inventory!AP51="","",Inventory!AP51)</f>
        <v/>
      </c>
      <c r="Y48" s="767" t="str">
        <f>IF(Inventory!AQ51="","",Inventory!AQ51)</f>
        <v/>
      </c>
      <c r="Z48" s="778" t="str">
        <f>IF(Inventory!AR51="","",Inventory!AR51)</f>
        <v/>
      </c>
      <c r="AA48" s="751" t="str">
        <f>IF(Inventory!AS51="","",Inventory!AS51)</f>
        <v/>
      </c>
      <c r="AB48" s="871"/>
    </row>
    <row r="49" spans="2:28" s="618" customFormat="1" ht="21.95" customHeight="1" x14ac:dyDescent="0.25">
      <c r="B49" s="431">
        <v>43</v>
      </c>
      <c r="C49" s="501" t="str">
        <f>IF(Inventory!C52="","",Inventory!C52)</f>
        <v/>
      </c>
      <c r="D49" s="502" t="str">
        <f>IF(Inventory!D52="","",Inventory!D52)</f>
        <v/>
      </c>
      <c r="E49" s="557" t="str">
        <f>IF(Inventory!W52="","",Inventory!W52)</f>
        <v/>
      </c>
      <c r="F49" s="788" t="str">
        <f>IF(Inventory!X52="","",Inventory!X52)</f>
        <v/>
      </c>
      <c r="G49" s="788" t="str">
        <f>IF(Inventory!Y52="","",Inventory!Y52)</f>
        <v/>
      </c>
      <c r="H49" s="729" t="str">
        <f>IF(Inventory!Z52="","",Inventory!Z52)</f>
        <v/>
      </c>
      <c r="I49" s="729" t="str">
        <f>IF(Inventory!AA52="","",Inventory!AA52)</f>
        <v/>
      </c>
      <c r="J49" s="729" t="str">
        <f>IF(Inventory!AB52="","",Inventory!AB52)</f>
        <v/>
      </c>
      <c r="K49" s="729" t="str">
        <f>IF(Inventory!AC52="","",Inventory!AC52)</f>
        <v/>
      </c>
      <c r="L49" s="765" t="str">
        <f>IF(Inventory!AD52="","",Inventory!AD52)</f>
        <v/>
      </c>
      <c r="M49" s="527">
        <f>IF(Inventory!AE52="","",Inventory!AE52)</f>
        <v>0</v>
      </c>
      <c r="N49" s="527">
        <f>IF(Inventory!AF52="","",Inventory!AF52)</f>
        <v>0</v>
      </c>
      <c r="O49" s="527">
        <f>IF(Inventory!AG52="","",Inventory!AG52)</f>
        <v>0</v>
      </c>
      <c r="P49" s="527">
        <f>IF(Inventory!AH52="","",Inventory!AH52)</f>
        <v>0</v>
      </c>
      <c r="Q49" s="527">
        <f>IF(Inventory!AI52="","",Inventory!AI52)</f>
        <v>0</v>
      </c>
      <c r="R49" s="527">
        <f>IF(Inventory!AJ52="","",Inventory!AJ52)</f>
        <v>999999999</v>
      </c>
      <c r="S49" s="758" t="str">
        <f>IF(Inventory!AK52="","",Inventory!AK52)</f>
        <v/>
      </c>
      <c r="T49" s="765" t="str">
        <f>IF(Inventory!AL52="","",Inventory!AL52)</f>
        <v/>
      </c>
      <c r="U49" s="758" t="str">
        <f>IF(Inventory!AM52="","",Inventory!AM52)</f>
        <v/>
      </c>
      <c r="V49" s="729" t="str">
        <f>IF(Inventory!AN52="","",Inventory!AN52)</f>
        <v/>
      </c>
      <c r="W49" s="775" t="str">
        <f>IF(Inventory!AO52="","",Inventory!AO52)</f>
        <v/>
      </c>
      <c r="X49" s="775" t="str">
        <f>IF(Inventory!AP52="","",Inventory!AP52)</f>
        <v/>
      </c>
      <c r="Y49" s="729" t="str">
        <f>IF(Inventory!AQ52="","",Inventory!AQ52)</f>
        <v/>
      </c>
      <c r="Z49" s="775" t="str">
        <f>IF(Inventory!AR52="","",Inventory!AR52)</f>
        <v/>
      </c>
      <c r="AA49" s="779" t="str">
        <f>IF(Inventory!AS52="","",Inventory!AS52)</f>
        <v/>
      </c>
      <c r="AB49" s="866"/>
    </row>
    <row r="50" spans="2:28" s="618" customFormat="1" ht="21.95" customHeight="1" x14ac:dyDescent="0.25">
      <c r="B50" s="432">
        <v>44</v>
      </c>
      <c r="C50" s="499" t="str">
        <f>IF(Inventory!C53="","",Inventory!C53)</f>
        <v/>
      </c>
      <c r="D50" s="751" t="str">
        <f>IF(Inventory!D53="","",Inventory!D53)</f>
        <v/>
      </c>
      <c r="E50" s="556" t="str">
        <f>IF(Inventory!W53="","",Inventory!W53)</f>
        <v/>
      </c>
      <c r="F50" s="785" t="str">
        <f>IF(Inventory!X53="","",Inventory!X53)</f>
        <v/>
      </c>
      <c r="G50" s="785" t="str">
        <f>IF(Inventory!Y53="","",Inventory!Y53)</f>
        <v/>
      </c>
      <c r="H50" s="767" t="str">
        <f>IF(Inventory!Z53="","",Inventory!Z53)</f>
        <v/>
      </c>
      <c r="I50" s="767" t="str">
        <f>IF(Inventory!AA53="","",Inventory!AA53)</f>
        <v/>
      </c>
      <c r="J50" s="767" t="str">
        <f>IF(Inventory!AB53="","",Inventory!AB53)</f>
        <v/>
      </c>
      <c r="K50" s="767" t="str">
        <f>IF(Inventory!AC53="","",Inventory!AC53)</f>
        <v/>
      </c>
      <c r="L50" s="776" t="str">
        <f>IF(Inventory!AD53="","",Inventory!AD53)</f>
        <v/>
      </c>
      <c r="M50" s="527">
        <f>IF(Inventory!AE53="","",Inventory!AE53)</f>
        <v>0</v>
      </c>
      <c r="N50" s="527">
        <f>IF(Inventory!AF53="","",Inventory!AF53)</f>
        <v>0</v>
      </c>
      <c r="O50" s="527">
        <f>IF(Inventory!AG53="","",Inventory!AG53)</f>
        <v>0</v>
      </c>
      <c r="P50" s="527">
        <f>IF(Inventory!AH53="","",Inventory!AH53)</f>
        <v>0</v>
      </c>
      <c r="Q50" s="527">
        <f>IF(Inventory!AI53="","",Inventory!AI53)</f>
        <v>0</v>
      </c>
      <c r="R50" s="527">
        <f>IF(Inventory!AJ53="","",Inventory!AJ53)</f>
        <v>999999999</v>
      </c>
      <c r="S50" s="777" t="str">
        <f>IF(Inventory!AK53="","",Inventory!AK53)</f>
        <v/>
      </c>
      <c r="T50" s="776" t="str">
        <f>IF(Inventory!AL53="","",Inventory!AL53)</f>
        <v/>
      </c>
      <c r="U50" s="777" t="str">
        <f>IF(Inventory!AM53="","",Inventory!AM53)</f>
        <v/>
      </c>
      <c r="V50" s="767" t="str">
        <f>IF(Inventory!AN53="","",Inventory!AN53)</f>
        <v/>
      </c>
      <c r="W50" s="778" t="str">
        <f>IF(Inventory!AO53="","",Inventory!AO53)</f>
        <v/>
      </c>
      <c r="X50" s="778" t="str">
        <f>IF(Inventory!AP53="","",Inventory!AP53)</f>
        <v/>
      </c>
      <c r="Y50" s="767" t="str">
        <f>IF(Inventory!AQ53="","",Inventory!AQ53)</f>
        <v/>
      </c>
      <c r="Z50" s="778" t="str">
        <f>IF(Inventory!AR53="","",Inventory!AR53)</f>
        <v/>
      </c>
      <c r="AA50" s="751" t="str">
        <f>IF(Inventory!AS53="","",Inventory!AS53)</f>
        <v/>
      </c>
      <c r="AB50" s="871"/>
    </row>
    <row r="51" spans="2:28" s="618" customFormat="1" ht="21.95" customHeight="1" x14ac:dyDescent="0.25">
      <c r="B51" s="431">
        <v>45</v>
      </c>
      <c r="C51" s="501" t="str">
        <f>IF(Inventory!C54="","",Inventory!C54)</f>
        <v/>
      </c>
      <c r="D51" s="502" t="str">
        <f>IF(Inventory!D54="","",Inventory!D54)</f>
        <v/>
      </c>
      <c r="E51" s="557" t="str">
        <f>IF(Inventory!W54="","",Inventory!W54)</f>
        <v/>
      </c>
      <c r="F51" s="788" t="str">
        <f>IF(Inventory!X54="","",Inventory!X54)</f>
        <v/>
      </c>
      <c r="G51" s="788" t="str">
        <f>IF(Inventory!Y54="","",Inventory!Y54)</f>
        <v/>
      </c>
      <c r="H51" s="729" t="str">
        <f>IF(Inventory!Z54="","",Inventory!Z54)</f>
        <v/>
      </c>
      <c r="I51" s="729" t="str">
        <f>IF(Inventory!AA54="","",Inventory!AA54)</f>
        <v/>
      </c>
      <c r="J51" s="729" t="str">
        <f>IF(Inventory!AB54="","",Inventory!AB54)</f>
        <v/>
      </c>
      <c r="K51" s="729" t="str">
        <f>IF(Inventory!AC54="","",Inventory!AC54)</f>
        <v/>
      </c>
      <c r="L51" s="765" t="str">
        <f>IF(Inventory!AD54="","",Inventory!AD54)</f>
        <v/>
      </c>
      <c r="M51" s="527">
        <f>IF(Inventory!AE54="","",Inventory!AE54)</f>
        <v>0</v>
      </c>
      <c r="N51" s="527">
        <f>IF(Inventory!AF54="","",Inventory!AF54)</f>
        <v>0</v>
      </c>
      <c r="O51" s="527">
        <f>IF(Inventory!AG54="","",Inventory!AG54)</f>
        <v>0</v>
      </c>
      <c r="P51" s="527">
        <f>IF(Inventory!AH54="","",Inventory!AH54)</f>
        <v>0</v>
      </c>
      <c r="Q51" s="527">
        <f>IF(Inventory!AI54="","",Inventory!AI54)</f>
        <v>0</v>
      </c>
      <c r="R51" s="527">
        <f>IF(Inventory!AJ54="","",Inventory!AJ54)</f>
        <v>999999999</v>
      </c>
      <c r="S51" s="758" t="str">
        <f>IF(Inventory!AK54="","",Inventory!AK54)</f>
        <v/>
      </c>
      <c r="T51" s="765" t="str">
        <f>IF(Inventory!AL54="","",Inventory!AL54)</f>
        <v/>
      </c>
      <c r="U51" s="758" t="str">
        <f>IF(Inventory!AM54="","",Inventory!AM54)</f>
        <v/>
      </c>
      <c r="V51" s="729" t="str">
        <f>IF(Inventory!AN54="","",Inventory!AN54)</f>
        <v/>
      </c>
      <c r="W51" s="775" t="str">
        <f>IF(Inventory!AO54="","",Inventory!AO54)</f>
        <v/>
      </c>
      <c r="X51" s="775" t="str">
        <f>IF(Inventory!AP54="","",Inventory!AP54)</f>
        <v/>
      </c>
      <c r="Y51" s="729" t="str">
        <f>IF(Inventory!AQ54="","",Inventory!AQ54)</f>
        <v/>
      </c>
      <c r="Z51" s="775" t="str">
        <f>IF(Inventory!AR54="","",Inventory!AR54)</f>
        <v/>
      </c>
      <c r="AA51" s="779" t="str">
        <f>IF(Inventory!AS54="","",Inventory!AS54)</f>
        <v/>
      </c>
      <c r="AB51" s="866"/>
    </row>
    <row r="52" spans="2:28" s="618" customFormat="1" ht="21.95" customHeight="1" x14ac:dyDescent="0.25">
      <c r="B52" s="432">
        <v>46</v>
      </c>
      <c r="C52" s="499" t="str">
        <f>IF(Inventory!C55="","",Inventory!C55)</f>
        <v/>
      </c>
      <c r="D52" s="751" t="str">
        <f>IF(Inventory!D55="","",Inventory!D55)</f>
        <v/>
      </c>
      <c r="E52" s="556" t="str">
        <f>IF(Inventory!W55="","",Inventory!W55)</f>
        <v/>
      </c>
      <c r="F52" s="785" t="str">
        <f>IF(Inventory!X55="","",Inventory!X55)</f>
        <v/>
      </c>
      <c r="G52" s="785" t="str">
        <f>IF(Inventory!Y55="","",Inventory!Y55)</f>
        <v/>
      </c>
      <c r="H52" s="767" t="str">
        <f>IF(Inventory!Z55="","",Inventory!Z55)</f>
        <v/>
      </c>
      <c r="I52" s="767" t="str">
        <f>IF(Inventory!AA55="","",Inventory!AA55)</f>
        <v/>
      </c>
      <c r="J52" s="767" t="str">
        <f>IF(Inventory!AB55="","",Inventory!AB55)</f>
        <v/>
      </c>
      <c r="K52" s="767" t="str">
        <f>IF(Inventory!AC55="","",Inventory!AC55)</f>
        <v/>
      </c>
      <c r="L52" s="776" t="str">
        <f>IF(Inventory!AD55="","",Inventory!AD55)</f>
        <v/>
      </c>
      <c r="M52" s="527">
        <f>IF(Inventory!AE55="","",Inventory!AE55)</f>
        <v>0</v>
      </c>
      <c r="N52" s="527">
        <f>IF(Inventory!AF55="","",Inventory!AF55)</f>
        <v>0</v>
      </c>
      <c r="O52" s="527">
        <f>IF(Inventory!AG55="","",Inventory!AG55)</f>
        <v>0</v>
      </c>
      <c r="P52" s="527">
        <f>IF(Inventory!AH55="","",Inventory!AH55)</f>
        <v>0</v>
      </c>
      <c r="Q52" s="527">
        <f>IF(Inventory!AI55="","",Inventory!AI55)</f>
        <v>0</v>
      </c>
      <c r="R52" s="527">
        <f>IF(Inventory!AJ55="","",Inventory!AJ55)</f>
        <v>999999999</v>
      </c>
      <c r="S52" s="777" t="str">
        <f>IF(Inventory!AK55="","",Inventory!AK55)</f>
        <v/>
      </c>
      <c r="T52" s="776" t="str">
        <f>IF(Inventory!AL55="","",Inventory!AL55)</f>
        <v/>
      </c>
      <c r="U52" s="777" t="str">
        <f>IF(Inventory!AM55="","",Inventory!AM55)</f>
        <v/>
      </c>
      <c r="V52" s="767" t="str">
        <f>IF(Inventory!AN55="","",Inventory!AN55)</f>
        <v/>
      </c>
      <c r="W52" s="778" t="str">
        <f>IF(Inventory!AO55="","",Inventory!AO55)</f>
        <v/>
      </c>
      <c r="X52" s="778" t="str">
        <f>IF(Inventory!AP55="","",Inventory!AP55)</f>
        <v/>
      </c>
      <c r="Y52" s="767" t="str">
        <f>IF(Inventory!AQ55="","",Inventory!AQ55)</f>
        <v/>
      </c>
      <c r="Z52" s="778" t="str">
        <f>IF(Inventory!AR55="","",Inventory!AR55)</f>
        <v/>
      </c>
      <c r="AA52" s="751" t="str">
        <f>IF(Inventory!AS55="","",Inventory!AS55)</f>
        <v/>
      </c>
      <c r="AB52" s="871"/>
    </row>
    <row r="53" spans="2:28" s="618" customFormat="1" ht="21.95" customHeight="1" x14ac:dyDescent="0.25">
      <c r="B53" s="431">
        <v>47</v>
      </c>
      <c r="C53" s="501" t="str">
        <f>IF(Inventory!C56="","",Inventory!C56)</f>
        <v/>
      </c>
      <c r="D53" s="502" t="str">
        <f>IF(Inventory!D56="","",Inventory!D56)</f>
        <v/>
      </c>
      <c r="E53" s="557" t="str">
        <f>IF(Inventory!W56="","",Inventory!W56)</f>
        <v/>
      </c>
      <c r="F53" s="788" t="str">
        <f>IF(Inventory!X56="","",Inventory!X56)</f>
        <v/>
      </c>
      <c r="G53" s="788" t="str">
        <f>IF(Inventory!Y56="","",Inventory!Y56)</f>
        <v/>
      </c>
      <c r="H53" s="729" t="str">
        <f>IF(Inventory!Z56="","",Inventory!Z56)</f>
        <v/>
      </c>
      <c r="I53" s="729" t="str">
        <f>IF(Inventory!AA56="","",Inventory!AA56)</f>
        <v/>
      </c>
      <c r="J53" s="729" t="str">
        <f>IF(Inventory!AB56="","",Inventory!AB56)</f>
        <v/>
      </c>
      <c r="K53" s="729" t="str">
        <f>IF(Inventory!AC56="","",Inventory!AC56)</f>
        <v/>
      </c>
      <c r="L53" s="765" t="str">
        <f>IF(Inventory!AD56="","",Inventory!AD56)</f>
        <v/>
      </c>
      <c r="M53" s="527">
        <f>IF(Inventory!AE56="","",Inventory!AE56)</f>
        <v>0</v>
      </c>
      <c r="N53" s="527">
        <f>IF(Inventory!AF56="","",Inventory!AF56)</f>
        <v>0</v>
      </c>
      <c r="O53" s="527">
        <f>IF(Inventory!AG56="","",Inventory!AG56)</f>
        <v>0</v>
      </c>
      <c r="P53" s="527">
        <f>IF(Inventory!AH56="","",Inventory!AH56)</f>
        <v>0</v>
      </c>
      <c r="Q53" s="527">
        <f>IF(Inventory!AI56="","",Inventory!AI56)</f>
        <v>0</v>
      </c>
      <c r="R53" s="527">
        <f>IF(Inventory!AJ56="","",Inventory!AJ56)</f>
        <v>999999999</v>
      </c>
      <c r="S53" s="758" t="str">
        <f>IF(Inventory!AK56="","",Inventory!AK56)</f>
        <v/>
      </c>
      <c r="T53" s="765" t="str">
        <f>IF(Inventory!AL56="","",Inventory!AL56)</f>
        <v/>
      </c>
      <c r="U53" s="758" t="str">
        <f>IF(Inventory!AM56="","",Inventory!AM56)</f>
        <v/>
      </c>
      <c r="V53" s="729" t="str">
        <f>IF(Inventory!AN56="","",Inventory!AN56)</f>
        <v/>
      </c>
      <c r="W53" s="775" t="str">
        <f>IF(Inventory!AO56="","",Inventory!AO56)</f>
        <v/>
      </c>
      <c r="X53" s="775" t="str">
        <f>IF(Inventory!AP56="","",Inventory!AP56)</f>
        <v/>
      </c>
      <c r="Y53" s="729" t="str">
        <f>IF(Inventory!AQ56="","",Inventory!AQ56)</f>
        <v/>
      </c>
      <c r="Z53" s="775" t="str">
        <f>IF(Inventory!AR56="","",Inventory!AR56)</f>
        <v/>
      </c>
      <c r="AA53" s="779" t="str">
        <f>IF(Inventory!AS56="","",Inventory!AS56)</f>
        <v/>
      </c>
      <c r="AB53" s="866"/>
    </row>
    <row r="54" spans="2:28" s="618" customFormat="1" ht="21.95" customHeight="1" x14ac:dyDescent="0.25">
      <c r="B54" s="432">
        <v>48</v>
      </c>
      <c r="C54" s="499" t="str">
        <f>IF(Inventory!C57="","",Inventory!C57)</f>
        <v/>
      </c>
      <c r="D54" s="751" t="str">
        <f>IF(Inventory!D57="","",Inventory!D57)</f>
        <v/>
      </c>
      <c r="E54" s="556" t="str">
        <f>IF(Inventory!W57="","",Inventory!W57)</f>
        <v/>
      </c>
      <c r="F54" s="785" t="str">
        <f>IF(Inventory!X57="","",Inventory!X57)</f>
        <v/>
      </c>
      <c r="G54" s="785" t="str">
        <f>IF(Inventory!Y57="","",Inventory!Y57)</f>
        <v/>
      </c>
      <c r="H54" s="767" t="str">
        <f>IF(Inventory!Z57="","",Inventory!Z57)</f>
        <v/>
      </c>
      <c r="I54" s="767" t="str">
        <f>IF(Inventory!AA57="","",Inventory!AA57)</f>
        <v/>
      </c>
      <c r="J54" s="767" t="str">
        <f>IF(Inventory!AB57="","",Inventory!AB57)</f>
        <v/>
      </c>
      <c r="K54" s="767" t="str">
        <f>IF(Inventory!AC57="","",Inventory!AC57)</f>
        <v/>
      </c>
      <c r="L54" s="776" t="str">
        <f>IF(Inventory!AD57="","",Inventory!AD57)</f>
        <v/>
      </c>
      <c r="M54" s="527">
        <f>IF(Inventory!AE57="","",Inventory!AE57)</f>
        <v>0</v>
      </c>
      <c r="N54" s="527">
        <f>IF(Inventory!AF57="","",Inventory!AF57)</f>
        <v>0</v>
      </c>
      <c r="O54" s="527">
        <f>IF(Inventory!AG57="","",Inventory!AG57)</f>
        <v>0</v>
      </c>
      <c r="P54" s="527">
        <f>IF(Inventory!AH57="","",Inventory!AH57)</f>
        <v>0</v>
      </c>
      <c r="Q54" s="527">
        <f>IF(Inventory!AI57="","",Inventory!AI57)</f>
        <v>0</v>
      </c>
      <c r="R54" s="527">
        <f>IF(Inventory!AJ57="","",Inventory!AJ57)</f>
        <v>999999999</v>
      </c>
      <c r="S54" s="777" t="str">
        <f>IF(Inventory!AK57="","",Inventory!AK57)</f>
        <v/>
      </c>
      <c r="T54" s="776" t="str">
        <f>IF(Inventory!AL57="","",Inventory!AL57)</f>
        <v/>
      </c>
      <c r="U54" s="777" t="str">
        <f>IF(Inventory!AM57="","",Inventory!AM57)</f>
        <v/>
      </c>
      <c r="V54" s="767" t="str">
        <f>IF(Inventory!AN57="","",Inventory!AN57)</f>
        <v/>
      </c>
      <c r="W54" s="778" t="str">
        <f>IF(Inventory!AO57="","",Inventory!AO57)</f>
        <v/>
      </c>
      <c r="X54" s="778" t="str">
        <f>IF(Inventory!AP57="","",Inventory!AP57)</f>
        <v/>
      </c>
      <c r="Y54" s="767" t="str">
        <f>IF(Inventory!AQ57="","",Inventory!AQ57)</f>
        <v/>
      </c>
      <c r="Z54" s="778" t="str">
        <f>IF(Inventory!AR57="","",Inventory!AR57)</f>
        <v/>
      </c>
      <c r="AA54" s="751" t="str">
        <f>IF(Inventory!AS57="","",Inventory!AS57)</f>
        <v/>
      </c>
      <c r="AB54" s="871"/>
    </row>
    <row r="55" spans="2:28" s="618" customFormat="1" ht="21.95" customHeight="1" x14ac:dyDescent="0.25">
      <c r="B55" s="431">
        <v>49</v>
      </c>
      <c r="C55" s="501" t="str">
        <f>IF(Inventory!C58="","",Inventory!C58)</f>
        <v/>
      </c>
      <c r="D55" s="502" t="str">
        <f>IF(Inventory!D58="","",Inventory!D58)</f>
        <v/>
      </c>
      <c r="E55" s="557" t="str">
        <f>IF(Inventory!W58="","",Inventory!W58)</f>
        <v/>
      </c>
      <c r="F55" s="788" t="str">
        <f>IF(Inventory!X58="","",Inventory!X58)</f>
        <v/>
      </c>
      <c r="G55" s="788" t="str">
        <f>IF(Inventory!Y58="","",Inventory!Y58)</f>
        <v/>
      </c>
      <c r="H55" s="729" t="str">
        <f>IF(Inventory!Z58="","",Inventory!Z58)</f>
        <v/>
      </c>
      <c r="I55" s="729" t="str">
        <f>IF(Inventory!AA58="","",Inventory!AA58)</f>
        <v/>
      </c>
      <c r="J55" s="729" t="str">
        <f>IF(Inventory!AB58="","",Inventory!AB58)</f>
        <v/>
      </c>
      <c r="K55" s="729" t="str">
        <f>IF(Inventory!AC58="","",Inventory!AC58)</f>
        <v/>
      </c>
      <c r="L55" s="765" t="str">
        <f>IF(Inventory!AD58="","",Inventory!AD58)</f>
        <v/>
      </c>
      <c r="M55" s="527">
        <f>IF(Inventory!AE58="","",Inventory!AE58)</f>
        <v>0</v>
      </c>
      <c r="N55" s="527">
        <f>IF(Inventory!AF58="","",Inventory!AF58)</f>
        <v>0</v>
      </c>
      <c r="O55" s="527">
        <f>IF(Inventory!AG58="","",Inventory!AG58)</f>
        <v>0</v>
      </c>
      <c r="P55" s="527">
        <f>IF(Inventory!AH58="","",Inventory!AH58)</f>
        <v>0</v>
      </c>
      <c r="Q55" s="527">
        <f>IF(Inventory!AI58="","",Inventory!AI58)</f>
        <v>0</v>
      </c>
      <c r="R55" s="527">
        <f>IF(Inventory!AJ58="","",Inventory!AJ58)</f>
        <v>999999999</v>
      </c>
      <c r="S55" s="758" t="str">
        <f>IF(Inventory!AK58="","",Inventory!AK58)</f>
        <v/>
      </c>
      <c r="T55" s="765" t="str">
        <f>IF(Inventory!AL58="","",Inventory!AL58)</f>
        <v/>
      </c>
      <c r="U55" s="758" t="str">
        <f>IF(Inventory!AM58="","",Inventory!AM58)</f>
        <v/>
      </c>
      <c r="V55" s="729" t="str">
        <f>IF(Inventory!AN58="","",Inventory!AN58)</f>
        <v/>
      </c>
      <c r="W55" s="775" t="str">
        <f>IF(Inventory!AO58="","",Inventory!AO58)</f>
        <v/>
      </c>
      <c r="X55" s="775" t="str">
        <f>IF(Inventory!AP58="","",Inventory!AP58)</f>
        <v/>
      </c>
      <c r="Y55" s="729" t="str">
        <f>IF(Inventory!AQ58="","",Inventory!AQ58)</f>
        <v/>
      </c>
      <c r="Z55" s="775" t="str">
        <f>IF(Inventory!AR58="","",Inventory!AR58)</f>
        <v/>
      </c>
      <c r="AA55" s="779" t="str">
        <f>IF(Inventory!AS58="","",Inventory!AS58)</f>
        <v/>
      </c>
      <c r="AB55" s="866"/>
    </row>
    <row r="56" spans="2:28" s="618" customFormat="1" ht="21.95" customHeight="1" x14ac:dyDescent="0.25">
      <c r="B56" s="432">
        <v>50</v>
      </c>
      <c r="C56" s="499" t="str">
        <f>IF(Inventory!C59="","",Inventory!C59)</f>
        <v/>
      </c>
      <c r="D56" s="751" t="str">
        <f>IF(Inventory!D59="","",Inventory!D59)</f>
        <v/>
      </c>
      <c r="E56" s="556" t="str">
        <f>IF(Inventory!W59="","",Inventory!W59)</f>
        <v/>
      </c>
      <c r="F56" s="785" t="str">
        <f>IF(Inventory!X59="","",Inventory!X59)</f>
        <v/>
      </c>
      <c r="G56" s="785" t="str">
        <f>IF(Inventory!Y59="","",Inventory!Y59)</f>
        <v/>
      </c>
      <c r="H56" s="767" t="str">
        <f>IF(Inventory!Z59="","",Inventory!Z59)</f>
        <v/>
      </c>
      <c r="I56" s="767" t="str">
        <f>IF(Inventory!AA59="","",Inventory!AA59)</f>
        <v/>
      </c>
      <c r="J56" s="767" t="str">
        <f>IF(Inventory!AB59="","",Inventory!AB59)</f>
        <v/>
      </c>
      <c r="K56" s="767" t="str">
        <f>IF(Inventory!AC59="","",Inventory!AC59)</f>
        <v/>
      </c>
      <c r="L56" s="776" t="str">
        <f>IF(Inventory!AD59="","",Inventory!AD59)</f>
        <v/>
      </c>
      <c r="M56" s="527">
        <f>IF(Inventory!AE59="","",Inventory!AE59)</f>
        <v>0</v>
      </c>
      <c r="N56" s="527">
        <f>IF(Inventory!AF59="","",Inventory!AF59)</f>
        <v>0</v>
      </c>
      <c r="O56" s="527">
        <f>IF(Inventory!AG59="","",Inventory!AG59)</f>
        <v>0</v>
      </c>
      <c r="P56" s="527">
        <f>IF(Inventory!AH59="","",Inventory!AH59)</f>
        <v>0</v>
      </c>
      <c r="Q56" s="527">
        <f>IF(Inventory!AI59="","",Inventory!AI59)</f>
        <v>0</v>
      </c>
      <c r="R56" s="527">
        <f>IF(Inventory!AJ59="","",Inventory!AJ59)</f>
        <v>999999999</v>
      </c>
      <c r="S56" s="777" t="str">
        <f>IF(Inventory!AK59="","",Inventory!AK59)</f>
        <v/>
      </c>
      <c r="T56" s="776" t="str">
        <f>IF(Inventory!AL59="","",Inventory!AL59)</f>
        <v/>
      </c>
      <c r="U56" s="777" t="str">
        <f>IF(Inventory!AM59="","",Inventory!AM59)</f>
        <v/>
      </c>
      <c r="V56" s="767" t="str">
        <f>IF(Inventory!AN59="","",Inventory!AN59)</f>
        <v/>
      </c>
      <c r="W56" s="778" t="str">
        <f>IF(Inventory!AO59="","",Inventory!AO59)</f>
        <v/>
      </c>
      <c r="X56" s="778" t="str">
        <f>IF(Inventory!AP59="","",Inventory!AP59)</f>
        <v/>
      </c>
      <c r="Y56" s="767" t="str">
        <f>IF(Inventory!AQ59="","",Inventory!AQ59)</f>
        <v/>
      </c>
      <c r="Z56" s="778" t="str">
        <f>IF(Inventory!AR59="","",Inventory!AR59)</f>
        <v/>
      </c>
      <c r="AA56" s="751" t="str">
        <f>IF(Inventory!AS59="","",Inventory!AS59)</f>
        <v/>
      </c>
      <c r="AB56" s="871"/>
    </row>
    <row r="57" spans="2:28" s="618" customFormat="1" ht="21.95" customHeight="1" x14ac:dyDescent="0.25">
      <c r="B57" s="431">
        <v>51</v>
      </c>
      <c r="C57" s="501" t="str">
        <f>IF(Inventory!C60="","",Inventory!C60)</f>
        <v/>
      </c>
      <c r="D57" s="502" t="str">
        <f>IF(Inventory!D60="","",Inventory!D60)</f>
        <v/>
      </c>
      <c r="E57" s="557" t="str">
        <f>IF(Inventory!W60="","",Inventory!W60)</f>
        <v/>
      </c>
      <c r="F57" s="788" t="str">
        <f>IF(Inventory!X60="","",Inventory!X60)</f>
        <v/>
      </c>
      <c r="G57" s="788" t="str">
        <f>IF(Inventory!Y60="","",Inventory!Y60)</f>
        <v/>
      </c>
      <c r="H57" s="729" t="str">
        <f>IF(Inventory!Z60="","",Inventory!Z60)</f>
        <v/>
      </c>
      <c r="I57" s="729" t="str">
        <f>IF(Inventory!AA60="","",Inventory!AA60)</f>
        <v/>
      </c>
      <c r="J57" s="729" t="str">
        <f>IF(Inventory!AB60="","",Inventory!AB60)</f>
        <v/>
      </c>
      <c r="K57" s="729" t="str">
        <f>IF(Inventory!AC60="","",Inventory!AC60)</f>
        <v/>
      </c>
      <c r="L57" s="765" t="str">
        <f>IF(Inventory!AD60="","",Inventory!AD60)</f>
        <v/>
      </c>
      <c r="M57" s="527">
        <f>IF(Inventory!AE60="","",Inventory!AE60)</f>
        <v>0</v>
      </c>
      <c r="N57" s="527">
        <f>IF(Inventory!AF60="","",Inventory!AF60)</f>
        <v>0</v>
      </c>
      <c r="O57" s="527">
        <f>IF(Inventory!AG60="","",Inventory!AG60)</f>
        <v>0</v>
      </c>
      <c r="P57" s="527">
        <f>IF(Inventory!AH60="","",Inventory!AH60)</f>
        <v>0</v>
      </c>
      <c r="Q57" s="527">
        <f>IF(Inventory!AI60="","",Inventory!AI60)</f>
        <v>0</v>
      </c>
      <c r="R57" s="527">
        <f>IF(Inventory!AJ60="","",Inventory!AJ60)</f>
        <v>999999999</v>
      </c>
      <c r="S57" s="758" t="str">
        <f>IF(Inventory!AK60="","",Inventory!AK60)</f>
        <v/>
      </c>
      <c r="T57" s="765" t="str">
        <f>IF(Inventory!AL60="","",Inventory!AL60)</f>
        <v/>
      </c>
      <c r="U57" s="758" t="str">
        <f>IF(Inventory!AM60="","",Inventory!AM60)</f>
        <v/>
      </c>
      <c r="V57" s="729" t="str">
        <f>IF(Inventory!AN60="","",Inventory!AN60)</f>
        <v/>
      </c>
      <c r="W57" s="775" t="str">
        <f>IF(Inventory!AO60="","",Inventory!AO60)</f>
        <v/>
      </c>
      <c r="X57" s="775" t="str">
        <f>IF(Inventory!AP60="","",Inventory!AP60)</f>
        <v/>
      </c>
      <c r="Y57" s="729" t="str">
        <f>IF(Inventory!AQ60="","",Inventory!AQ60)</f>
        <v/>
      </c>
      <c r="Z57" s="775" t="str">
        <f>IF(Inventory!AR60="","",Inventory!AR60)</f>
        <v/>
      </c>
      <c r="AA57" s="779" t="str">
        <f>IF(Inventory!AS60="","",Inventory!AS60)</f>
        <v/>
      </c>
      <c r="AB57" s="866"/>
    </row>
    <row r="58" spans="2:28" s="618" customFormat="1" ht="21.95" customHeight="1" x14ac:dyDescent="0.25">
      <c r="B58" s="432">
        <v>52</v>
      </c>
      <c r="C58" s="499" t="str">
        <f>IF(Inventory!C61="","",Inventory!C61)</f>
        <v/>
      </c>
      <c r="D58" s="751" t="str">
        <f>IF(Inventory!D61="","",Inventory!D61)</f>
        <v/>
      </c>
      <c r="E58" s="556" t="str">
        <f>IF(Inventory!W61="","",Inventory!W61)</f>
        <v/>
      </c>
      <c r="F58" s="785" t="str">
        <f>IF(Inventory!X61="","",Inventory!X61)</f>
        <v/>
      </c>
      <c r="G58" s="785" t="str">
        <f>IF(Inventory!Y61="","",Inventory!Y61)</f>
        <v/>
      </c>
      <c r="H58" s="767" t="str">
        <f>IF(Inventory!Z61="","",Inventory!Z61)</f>
        <v/>
      </c>
      <c r="I58" s="767" t="str">
        <f>IF(Inventory!AA61="","",Inventory!AA61)</f>
        <v/>
      </c>
      <c r="J58" s="767" t="str">
        <f>IF(Inventory!AB61="","",Inventory!AB61)</f>
        <v/>
      </c>
      <c r="K58" s="767" t="str">
        <f>IF(Inventory!AC61="","",Inventory!AC61)</f>
        <v/>
      </c>
      <c r="L58" s="776" t="str">
        <f>IF(Inventory!AD61="","",Inventory!AD61)</f>
        <v/>
      </c>
      <c r="M58" s="527">
        <f>IF(Inventory!AE61="","",Inventory!AE61)</f>
        <v>0</v>
      </c>
      <c r="N58" s="527">
        <f>IF(Inventory!AF61="","",Inventory!AF61)</f>
        <v>0</v>
      </c>
      <c r="O58" s="527">
        <f>IF(Inventory!AG61="","",Inventory!AG61)</f>
        <v>0</v>
      </c>
      <c r="P58" s="527">
        <f>IF(Inventory!AH61="","",Inventory!AH61)</f>
        <v>0</v>
      </c>
      <c r="Q58" s="527">
        <f>IF(Inventory!AI61="","",Inventory!AI61)</f>
        <v>0</v>
      </c>
      <c r="R58" s="527">
        <f>IF(Inventory!AJ61="","",Inventory!AJ61)</f>
        <v>999999999</v>
      </c>
      <c r="S58" s="777" t="str">
        <f>IF(Inventory!AK61="","",Inventory!AK61)</f>
        <v/>
      </c>
      <c r="T58" s="776" t="str">
        <f>IF(Inventory!AL61="","",Inventory!AL61)</f>
        <v/>
      </c>
      <c r="U58" s="777" t="str">
        <f>IF(Inventory!AM61="","",Inventory!AM61)</f>
        <v/>
      </c>
      <c r="V58" s="767" t="str">
        <f>IF(Inventory!AN61="","",Inventory!AN61)</f>
        <v/>
      </c>
      <c r="W58" s="778" t="str">
        <f>IF(Inventory!AO61="","",Inventory!AO61)</f>
        <v/>
      </c>
      <c r="X58" s="778" t="str">
        <f>IF(Inventory!AP61="","",Inventory!AP61)</f>
        <v/>
      </c>
      <c r="Y58" s="767" t="str">
        <f>IF(Inventory!AQ61="","",Inventory!AQ61)</f>
        <v/>
      </c>
      <c r="Z58" s="778" t="str">
        <f>IF(Inventory!AR61="","",Inventory!AR61)</f>
        <v/>
      </c>
      <c r="AA58" s="751" t="str">
        <f>IF(Inventory!AS61="","",Inventory!AS61)</f>
        <v/>
      </c>
      <c r="AB58" s="871"/>
    </row>
    <row r="59" spans="2:28" s="618" customFormat="1" ht="21.95" customHeight="1" x14ac:dyDescent="0.25">
      <c r="B59" s="431">
        <v>53</v>
      </c>
      <c r="C59" s="501" t="str">
        <f>IF(Inventory!C62="","",Inventory!C62)</f>
        <v/>
      </c>
      <c r="D59" s="502" t="str">
        <f>IF(Inventory!D62="","",Inventory!D62)</f>
        <v/>
      </c>
      <c r="E59" s="557" t="str">
        <f>IF(Inventory!W62="","",Inventory!W62)</f>
        <v/>
      </c>
      <c r="F59" s="788" t="str">
        <f>IF(Inventory!X62="","",Inventory!X62)</f>
        <v/>
      </c>
      <c r="G59" s="788" t="str">
        <f>IF(Inventory!Y62="","",Inventory!Y62)</f>
        <v/>
      </c>
      <c r="H59" s="729" t="str">
        <f>IF(Inventory!Z62="","",Inventory!Z62)</f>
        <v/>
      </c>
      <c r="I59" s="729" t="str">
        <f>IF(Inventory!AA62="","",Inventory!AA62)</f>
        <v/>
      </c>
      <c r="J59" s="729" t="str">
        <f>IF(Inventory!AB62="","",Inventory!AB62)</f>
        <v/>
      </c>
      <c r="K59" s="729" t="str">
        <f>IF(Inventory!AC62="","",Inventory!AC62)</f>
        <v/>
      </c>
      <c r="L59" s="765" t="str">
        <f>IF(Inventory!AD62="","",Inventory!AD62)</f>
        <v/>
      </c>
      <c r="M59" s="527">
        <f>IF(Inventory!AE62="","",Inventory!AE62)</f>
        <v>0</v>
      </c>
      <c r="N59" s="527">
        <f>IF(Inventory!AF62="","",Inventory!AF62)</f>
        <v>0</v>
      </c>
      <c r="O59" s="527">
        <f>IF(Inventory!AG62="","",Inventory!AG62)</f>
        <v>0</v>
      </c>
      <c r="P59" s="527">
        <f>IF(Inventory!AH62="","",Inventory!AH62)</f>
        <v>0</v>
      </c>
      <c r="Q59" s="527">
        <f>IF(Inventory!AI62="","",Inventory!AI62)</f>
        <v>0</v>
      </c>
      <c r="R59" s="527">
        <f>IF(Inventory!AJ62="","",Inventory!AJ62)</f>
        <v>999999999</v>
      </c>
      <c r="S59" s="758" t="str">
        <f>IF(Inventory!AK62="","",Inventory!AK62)</f>
        <v/>
      </c>
      <c r="T59" s="765" t="str">
        <f>IF(Inventory!AL62="","",Inventory!AL62)</f>
        <v/>
      </c>
      <c r="U59" s="758" t="str">
        <f>IF(Inventory!AM62="","",Inventory!AM62)</f>
        <v/>
      </c>
      <c r="V59" s="729" t="str">
        <f>IF(Inventory!AN62="","",Inventory!AN62)</f>
        <v/>
      </c>
      <c r="W59" s="775" t="str">
        <f>IF(Inventory!AO62="","",Inventory!AO62)</f>
        <v/>
      </c>
      <c r="X59" s="775" t="str">
        <f>IF(Inventory!AP62="","",Inventory!AP62)</f>
        <v/>
      </c>
      <c r="Y59" s="729" t="str">
        <f>IF(Inventory!AQ62="","",Inventory!AQ62)</f>
        <v/>
      </c>
      <c r="Z59" s="775" t="str">
        <f>IF(Inventory!AR62="","",Inventory!AR62)</f>
        <v/>
      </c>
      <c r="AA59" s="779" t="str">
        <f>IF(Inventory!AS62="","",Inventory!AS62)</f>
        <v/>
      </c>
      <c r="AB59" s="866"/>
    </row>
    <row r="60" spans="2:28" s="618" customFormat="1" ht="21.95" customHeight="1" x14ac:dyDescent="0.25">
      <c r="B60" s="432">
        <v>54</v>
      </c>
      <c r="C60" s="499" t="str">
        <f>IF(Inventory!C63="","",Inventory!C63)</f>
        <v/>
      </c>
      <c r="D60" s="751" t="str">
        <f>IF(Inventory!D63="","",Inventory!D63)</f>
        <v/>
      </c>
      <c r="E60" s="556" t="str">
        <f>IF(Inventory!W63="","",Inventory!W63)</f>
        <v/>
      </c>
      <c r="F60" s="785" t="str">
        <f>IF(Inventory!X63="","",Inventory!X63)</f>
        <v/>
      </c>
      <c r="G60" s="785" t="str">
        <f>IF(Inventory!Y63="","",Inventory!Y63)</f>
        <v/>
      </c>
      <c r="H60" s="767" t="str">
        <f>IF(Inventory!Z63="","",Inventory!Z63)</f>
        <v/>
      </c>
      <c r="I60" s="767" t="str">
        <f>IF(Inventory!AA63="","",Inventory!AA63)</f>
        <v/>
      </c>
      <c r="J60" s="767" t="str">
        <f>IF(Inventory!AB63="","",Inventory!AB63)</f>
        <v/>
      </c>
      <c r="K60" s="767" t="str">
        <f>IF(Inventory!AC63="","",Inventory!AC63)</f>
        <v/>
      </c>
      <c r="L60" s="776" t="str">
        <f>IF(Inventory!AD63="","",Inventory!AD63)</f>
        <v/>
      </c>
      <c r="M60" s="527">
        <f>IF(Inventory!AE63="","",Inventory!AE63)</f>
        <v>0</v>
      </c>
      <c r="N60" s="527">
        <f>IF(Inventory!AF63="","",Inventory!AF63)</f>
        <v>0</v>
      </c>
      <c r="O60" s="527">
        <f>IF(Inventory!AG63="","",Inventory!AG63)</f>
        <v>0</v>
      </c>
      <c r="P60" s="527">
        <f>IF(Inventory!AH63="","",Inventory!AH63)</f>
        <v>0</v>
      </c>
      <c r="Q60" s="527">
        <f>IF(Inventory!AI63="","",Inventory!AI63)</f>
        <v>0</v>
      </c>
      <c r="R60" s="527">
        <f>IF(Inventory!AJ63="","",Inventory!AJ63)</f>
        <v>999999999</v>
      </c>
      <c r="S60" s="777" t="str">
        <f>IF(Inventory!AK63="","",Inventory!AK63)</f>
        <v/>
      </c>
      <c r="T60" s="776" t="str">
        <f>IF(Inventory!AL63="","",Inventory!AL63)</f>
        <v/>
      </c>
      <c r="U60" s="777" t="str">
        <f>IF(Inventory!AM63="","",Inventory!AM63)</f>
        <v/>
      </c>
      <c r="V60" s="767" t="str">
        <f>IF(Inventory!AN63="","",Inventory!AN63)</f>
        <v/>
      </c>
      <c r="W60" s="778" t="str">
        <f>IF(Inventory!AO63="","",Inventory!AO63)</f>
        <v/>
      </c>
      <c r="X60" s="778" t="str">
        <f>IF(Inventory!AP63="","",Inventory!AP63)</f>
        <v/>
      </c>
      <c r="Y60" s="767" t="str">
        <f>IF(Inventory!AQ63="","",Inventory!AQ63)</f>
        <v/>
      </c>
      <c r="Z60" s="778" t="str">
        <f>IF(Inventory!AR63="","",Inventory!AR63)</f>
        <v/>
      </c>
      <c r="AA60" s="751" t="str">
        <f>IF(Inventory!AS63="","",Inventory!AS63)</f>
        <v/>
      </c>
      <c r="AB60" s="871"/>
    </row>
    <row r="61" spans="2:28" s="618" customFormat="1" ht="21.95" customHeight="1" x14ac:dyDescent="0.25">
      <c r="B61" s="431">
        <v>55</v>
      </c>
      <c r="C61" s="501" t="str">
        <f>IF(Inventory!C64="","",Inventory!C64)</f>
        <v/>
      </c>
      <c r="D61" s="502" t="str">
        <f>IF(Inventory!D64="","",Inventory!D64)</f>
        <v/>
      </c>
      <c r="E61" s="557" t="str">
        <f>IF(Inventory!W64="","",Inventory!W64)</f>
        <v/>
      </c>
      <c r="F61" s="788" t="str">
        <f>IF(Inventory!X64="","",Inventory!X64)</f>
        <v/>
      </c>
      <c r="G61" s="788" t="str">
        <f>IF(Inventory!Y64="","",Inventory!Y64)</f>
        <v/>
      </c>
      <c r="H61" s="729" t="str">
        <f>IF(Inventory!Z64="","",Inventory!Z64)</f>
        <v/>
      </c>
      <c r="I61" s="729" t="str">
        <f>IF(Inventory!AA64="","",Inventory!AA64)</f>
        <v/>
      </c>
      <c r="J61" s="729" t="str">
        <f>IF(Inventory!AB64="","",Inventory!AB64)</f>
        <v/>
      </c>
      <c r="K61" s="729" t="str">
        <f>IF(Inventory!AC64="","",Inventory!AC64)</f>
        <v/>
      </c>
      <c r="L61" s="765" t="str">
        <f>IF(Inventory!AD64="","",Inventory!AD64)</f>
        <v/>
      </c>
      <c r="M61" s="527">
        <f>IF(Inventory!AE64="","",Inventory!AE64)</f>
        <v>0</v>
      </c>
      <c r="N61" s="527">
        <f>IF(Inventory!AF64="","",Inventory!AF64)</f>
        <v>0</v>
      </c>
      <c r="O61" s="527">
        <f>IF(Inventory!AG64="","",Inventory!AG64)</f>
        <v>0</v>
      </c>
      <c r="P61" s="527">
        <f>IF(Inventory!AH64="","",Inventory!AH64)</f>
        <v>0</v>
      </c>
      <c r="Q61" s="527">
        <f>IF(Inventory!AI64="","",Inventory!AI64)</f>
        <v>0</v>
      </c>
      <c r="R61" s="527">
        <f>IF(Inventory!AJ64="","",Inventory!AJ64)</f>
        <v>999999999</v>
      </c>
      <c r="S61" s="758" t="str">
        <f>IF(Inventory!AK64="","",Inventory!AK64)</f>
        <v/>
      </c>
      <c r="T61" s="765" t="str">
        <f>IF(Inventory!AL64="","",Inventory!AL64)</f>
        <v/>
      </c>
      <c r="U61" s="758" t="str">
        <f>IF(Inventory!AM64="","",Inventory!AM64)</f>
        <v/>
      </c>
      <c r="V61" s="729" t="str">
        <f>IF(Inventory!AN64="","",Inventory!AN64)</f>
        <v/>
      </c>
      <c r="W61" s="775" t="str">
        <f>IF(Inventory!AO64="","",Inventory!AO64)</f>
        <v/>
      </c>
      <c r="X61" s="775" t="str">
        <f>IF(Inventory!AP64="","",Inventory!AP64)</f>
        <v/>
      </c>
      <c r="Y61" s="729" t="str">
        <f>IF(Inventory!AQ64="","",Inventory!AQ64)</f>
        <v/>
      </c>
      <c r="Z61" s="775" t="str">
        <f>IF(Inventory!AR64="","",Inventory!AR64)</f>
        <v/>
      </c>
      <c r="AA61" s="779" t="str">
        <f>IF(Inventory!AS64="","",Inventory!AS64)</f>
        <v/>
      </c>
      <c r="AB61" s="866"/>
    </row>
    <row r="62" spans="2:28" s="618" customFormat="1" ht="21.95" customHeight="1" x14ac:dyDescent="0.25">
      <c r="B62" s="432">
        <v>56</v>
      </c>
      <c r="C62" s="499" t="str">
        <f>IF(Inventory!C65="","",Inventory!C65)</f>
        <v/>
      </c>
      <c r="D62" s="751" t="str">
        <f>IF(Inventory!D65="","",Inventory!D65)</f>
        <v/>
      </c>
      <c r="E62" s="556" t="str">
        <f>IF(Inventory!W65="","",Inventory!W65)</f>
        <v/>
      </c>
      <c r="F62" s="785" t="str">
        <f>IF(Inventory!X65="","",Inventory!X65)</f>
        <v/>
      </c>
      <c r="G62" s="785" t="str">
        <f>IF(Inventory!Y65="","",Inventory!Y65)</f>
        <v/>
      </c>
      <c r="H62" s="767" t="str">
        <f>IF(Inventory!Z65="","",Inventory!Z65)</f>
        <v/>
      </c>
      <c r="I62" s="767" t="str">
        <f>IF(Inventory!AA65="","",Inventory!AA65)</f>
        <v/>
      </c>
      <c r="J62" s="767" t="str">
        <f>IF(Inventory!AB65="","",Inventory!AB65)</f>
        <v/>
      </c>
      <c r="K62" s="767" t="str">
        <f>IF(Inventory!AC65="","",Inventory!AC65)</f>
        <v/>
      </c>
      <c r="L62" s="776" t="str">
        <f>IF(Inventory!AD65="","",Inventory!AD65)</f>
        <v/>
      </c>
      <c r="M62" s="527">
        <f>IF(Inventory!AE65="","",Inventory!AE65)</f>
        <v>0</v>
      </c>
      <c r="N62" s="527">
        <f>IF(Inventory!AF65="","",Inventory!AF65)</f>
        <v>0</v>
      </c>
      <c r="O62" s="527">
        <f>IF(Inventory!AG65="","",Inventory!AG65)</f>
        <v>0</v>
      </c>
      <c r="P62" s="527">
        <f>IF(Inventory!AH65="","",Inventory!AH65)</f>
        <v>0</v>
      </c>
      <c r="Q62" s="527">
        <f>IF(Inventory!AI65="","",Inventory!AI65)</f>
        <v>0</v>
      </c>
      <c r="R62" s="527">
        <f>IF(Inventory!AJ65="","",Inventory!AJ65)</f>
        <v>999999999</v>
      </c>
      <c r="S62" s="777" t="str">
        <f>IF(Inventory!AK65="","",Inventory!AK65)</f>
        <v/>
      </c>
      <c r="T62" s="776" t="str">
        <f>IF(Inventory!AL65="","",Inventory!AL65)</f>
        <v/>
      </c>
      <c r="U62" s="777" t="str">
        <f>IF(Inventory!AM65="","",Inventory!AM65)</f>
        <v/>
      </c>
      <c r="V62" s="767" t="str">
        <f>IF(Inventory!AN65="","",Inventory!AN65)</f>
        <v/>
      </c>
      <c r="W62" s="778" t="str">
        <f>IF(Inventory!AO65="","",Inventory!AO65)</f>
        <v/>
      </c>
      <c r="X62" s="778" t="str">
        <f>IF(Inventory!AP65="","",Inventory!AP65)</f>
        <v/>
      </c>
      <c r="Y62" s="767" t="str">
        <f>IF(Inventory!AQ65="","",Inventory!AQ65)</f>
        <v/>
      </c>
      <c r="Z62" s="778" t="str">
        <f>IF(Inventory!AR65="","",Inventory!AR65)</f>
        <v/>
      </c>
      <c r="AA62" s="751" t="str">
        <f>IF(Inventory!AS65="","",Inventory!AS65)</f>
        <v/>
      </c>
      <c r="AB62" s="871"/>
    </row>
    <row r="63" spans="2:28" s="618" customFormat="1" ht="21.95" customHeight="1" x14ac:dyDescent="0.25">
      <c r="B63" s="431">
        <v>57</v>
      </c>
      <c r="C63" s="501" t="str">
        <f>IF(Inventory!C66="","",Inventory!C66)</f>
        <v/>
      </c>
      <c r="D63" s="502" t="str">
        <f>IF(Inventory!D66="","",Inventory!D66)</f>
        <v/>
      </c>
      <c r="E63" s="557" t="str">
        <f>IF(Inventory!W66="","",Inventory!W66)</f>
        <v/>
      </c>
      <c r="F63" s="788" t="str">
        <f>IF(Inventory!X66="","",Inventory!X66)</f>
        <v/>
      </c>
      <c r="G63" s="788" t="str">
        <f>IF(Inventory!Y66="","",Inventory!Y66)</f>
        <v/>
      </c>
      <c r="H63" s="729" t="str">
        <f>IF(Inventory!Z66="","",Inventory!Z66)</f>
        <v/>
      </c>
      <c r="I63" s="729" t="str">
        <f>IF(Inventory!AA66="","",Inventory!AA66)</f>
        <v/>
      </c>
      <c r="J63" s="729" t="str">
        <f>IF(Inventory!AB66="","",Inventory!AB66)</f>
        <v/>
      </c>
      <c r="K63" s="729" t="str">
        <f>IF(Inventory!AC66="","",Inventory!AC66)</f>
        <v/>
      </c>
      <c r="L63" s="765" t="str">
        <f>IF(Inventory!AD66="","",Inventory!AD66)</f>
        <v/>
      </c>
      <c r="M63" s="527">
        <f>IF(Inventory!AE66="","",Inventory!AE66)</f>
        <v>0</v>
      </c>
      <c r="N63" s="527">
        <f>IF(Inventory!AF66="","",Inventory!AF66)</f>
        <v>0</v>
      </c>
      <c r="O63" s="527">
        <f>IF(Inventory!AG66="","",Inventory!AG66)</f>
        <v>0</v>
      </c>
      <c r="P63" s="527">
        <f>IF(Inventory!AH66="","",Inventory!AH66)</f>
        <v>0</v>
      </c>
      <c r="Q63" s="527">
        <f>IF(Inventory!AI66="","",Inventory!AI66)</f>
        <v>0</v>
      </c>
      <c r="R63" s="527">
        <f>IF(Inventory!AJ66="","",Inventory!AJ66)</f>
        <v>999999999</v>
      </c>
      <c r="S63" s="758" t="str">
        <f>IF(Inventory!AK66="","",Inventory!AK66)</f>
        <v/>
      </c>
      <c r="T63" s="765" t="str">
        <f>IF(Inventory!AL66="","",Inventory!AL66)</f>
        <v/>
      </c>
      <c r="U63" s="758" t="str">
        <f>IF(Inventory!AM66="","",Inventory!AM66)</f>
        <v/>
      </c>
      <c r="V63" s="729" t="str">
        <f>IF(Inventory!AN66="","",Inventory!AN66)</f>
        <v/>
      </c>
      <c r="W63" s="775" t="str">
        <f>IF(Inventory!AO66="","",Inventory!AO66)</f>
        <v/>
      </c>
      <c r="X63" s="775" t="str">
        <f>IF(Inventory!AP66="","",Inventory!AP66)</f>
        <v/>
      </c>
      <c r="Y63" s="729" t="str">
        <f>IF(Inventory!AQ66="","",Inventory!AQ66)</f>
        <v/>
      </c>
      <c r="Z63" s="775" t="str">
        <f>IF(Inventory!AR66="","",Inventory!AR66)</f>
        <v/>
      </c>
      <c r="AA63" s="779" t="str">
        <f>IF(Inventory!AS66="","",Inventory!AS66)</f>
        <v/>
      </c>
      <c r="AB63" s="866"/>
    </row>
    <row r="64" spans="2:28" s="618" customFormat="1" ht="21.95" customHeight="1" x14ac:dyDescent="0.25">
      <c r="B64" s="432">
        <v>58</v>
      </c>
      <c r="C64" s="499" t="str">
        <f>IF(Inventory!C67="","",Inventory!C67)</f>
        <v/>
      </c>
      <c r="D64" s="751" t="str">
        <f>IF(Inventory!D67="","",Inventory!D67)</f>
        <v/>
      </c>
      <c r="E64" s="556" t="str">
        <f>IF(Inventory!W67="","",Inventory!W67)</f>
        <v/>
      </c>
      <c r="F64" s="785" t="str">
        <f>IF(Inventory!X67="","",Inventory!X67)</f>
        <v/>
      </c>
      <c r="G64" s="785" t="str">
        <f>IF(Inventory!Y67="","",Inventory!Y67)</f>
        <v/>
      </c>
      <c r="H64" s="767" t="str">
        <f>IF(Inventory!Z67="","",Inventory!Z67)</f>
        <v/>
      </c>
      <c r="I64" s="767" t="str">
        <f>IF(Inventory!AA67="","",Inventory!AA67)</f>
        <v/>
      </c>
      <c r="J64" s="767" t="str">
        <f>IF(Inventory!AB67="","",Inventory!AB67)</f>
        <v/>
      </c>
      <c r="K64" s="767" t="str">
        <f>IF(Inventory!AC67="","",Inventory!AC67)</f>
        <v/>
      </c>
      <c r="L64" s="776" t="str">
        <f>IF(Inventory!AD67="","",Inventory!AD67)</f>
        <v/>
      </c>
      <c r="M64" s="527">
        <f>IF(Inventory!AE67="","",Inventory!AE67)</f>
        <v>0</v>
      </c>
      <c r="N64" s="527">
        <f>IF(Inventory!AF67="","",Inventory!AF67)</f>
        <v>0</v>
      </c>
      <c r="O64" s="527">
        <f>IF(Inventory!AG67="","",Inventory!AG67)</f>
        <v>0</v>
      </c>
      <c r="P64" s="527">
        <f>IF(Inventory!AH67="","",Inventory!AH67)</f>
        <v>0</v>
      </c>
      <c r="Q64" s="527">
        <f>IF(Inventory!AI67="","",Inventory!AI67)</f>
        <v>0</v>
      </c>
      <c r="R64" s="527">
        <f>IF(Inventory!AJ67="","",Inventory!AJ67)</f>
        <v>999999999</v>
      </c>
      <c r="S64" s="777" t="str">
        <f>IF(Inventory!AK67="","",Inventory!AK67)</f>
        <v/>
      </c>
      <c r="T64" s="776" t="str">
        <f>IF(Inventory!AL67="","",Inventory!AL67)</f>
        <v/>
      </c>
      <c r="U64" s="777" t="str">
        <f>IF(Inventory!AM67="","",Inventory!AM67)</f>
        <v/>
      </c>
      <c r="V64" s="767" t="str">
        <f>IF(Inventory!AN67="","",Inventory!AN67)</f>
        <v/>
      </c>
      <c r="W64" s="778" t="str">
        <f>IF(Inventory!AO67="","",Inventory!AO67)</f>
        <v/>
      </c>
      <c r="X64" s="778" t="str">
        <f>IF(Inventory!AP67="","",Inventory!AP67)</f>
        <v/>
      </c>
      <c r="Y64" s="767" t="str">
        <f>IF(Inventory!AQ67="","",Inventory!AQ67)</f>
        <v/>
      </c>
      <c r="Z64" s="778" t="str">
        <f>IF(Inventory!AR67="","",Inventory!AR67)</f>
        <v/>
      </c>
      <c r="AA64" s="751" t="str">
        <f>IF(Inventory!AS67="","",Inventory!AS67)</f>
        <v/>
      </c>
      <c r="AB64" s="871"/>
    </row>
    <row r="65" spans="2:28" s="618" customFormat="1" ht="21.95" customHeight="1" x14ac:dyDescent="0.25">
      <c r="B65" s="431">
        <v>59</v>
      </c>
      <c r="C65" s="501" t="str">
        <f>IF(Inventory!C68="","",Inventory!C68)</f>
        <v/>
      </c>
      <c r="D65" s="502" t="str">
        <f>IF(Inventory!D68="","",Inventory!D68)</f>
        <v/>
      </c>
      <c r="E65" s="557" t="str">
        <f>IF(Inventory!W68="","",Inventory!W68)</f>
        <v/>
      </c>
      <c r="F65" s="788" t="str">
        <f>IF(Inventory!X68="","",Inventory!X68)</f>
        <v/>
      </c>
      <c r="G65" s="788" t="str">
        <f>IF(Inventory!Y68="","",Inventory!Y68)</f>
        <v/>
      </c>
      <c r="H65" s="729" t="str">
        <f>IF(Inventory!Z68="","",Inventory!Z68)</f>
        <v/>
      </c>
      <c r="I65" s="729" t="str">
        <f>IF(Inventory!AA68="","",Inventory!AA68)</f>
        <v/>
      </c>
      <c r="J65" s="729" t="str">
        <f>IF(Inventory!AB68="","",Inventory!AB68)</f>
        <v/>
      </c>
      <c r="K65" s="729" t="str">
        <f>IF(Inventory!AC68="","",Inventory!AC68)</f>
        <v/>
      </c>
      <c r="L65" s="765" t="str">
        <f>IF(Inventory!AD68="","",Inventory!AD68)</f>
        <v/>
      </c>
      <c r="M65" s="527">
        <f>IF(Inventory!AE68="","",Inventory!AE68)</f>
        <v>0</v>
      </c>
      <c r="N65" s="527">
        <f>IF(Inventory!AF68="","",Inventory!AF68)</f>
        <v>0</v>
      </c>
      <c r="O65" s="527">
        <f>IF(Inventory!AG68="","",Inventory!AG68)</f>
        <v>0</v>
      </c>
      <c r="P65" s="527">
        <f>IF(Inventory!AH68="","",Inventory!AH68)</f>
        <v>0</v>
      </c>
      <c r="Q65" s="527">
        <f>IF(Inventory!AI68="","",Inventory!AI68)</f>
        <v>0</v>
      </c>
      <c r="R65" s="527">
        <f>IF(Inventory!AJ68="","",Inventory!AJ68)</f>
        <v>999999999</v>
      </c>
      <c r="S65" s="758" t="str">
        <f>IF(Inventory!AK68="","",Inventory!AK68)</f>
        <v/>
      </c>
      <c r="T65" s="765" t="str">
        <f>IF(Inventory!AL68="","",Inventory!AL68)</f>
        <v/>
      </c>
      <c r="U65" s="758" t="str">
        <f>IF(Inventory!AM68="","",Inventory!AM68)</f>
        <v/>
      </c>
      <c r="V65" s="729" t="str">
        <f>IF(Inventory!AN68="","",Inventory!AN68)</f>
        <v/>
      </c>
      <c r="W65" s="775" t="str">
        <f>IF(Inventory!AO68="","",Inventory!AO68)</f>
        <v/>
      </c>
      <c r="X65" s="775" t="str">
        <f>IF(Inventory!AP68="","",Inventory!AP68)</f>
        <v/>
      </c>
      <c r="Y65" s="729" t="str">
        <f>IF(Inventory!AQ68="","",Inventory!AQ68)</f>
        <v/>
      </c>
      <c r="Z65" s="775" t="str">
        <f>IF(Inventory!AR68="","",Inventory!AR68)</f>
        <v/>
      </c>
      <c r="AA65" s="779" t="str">
        <f>IF(Inventory!AS68="","",Inventory!AS68)</f>
        <v/>
      </c>
      <c r="AB65" s="866"/>
    </row>
    <row r="66" spans="2:28" s="618" customFormat="1" ht="21.95" customHeight="1" x14ac:dyDescent="0.25">
      <c r="B66" s="432">
        <v>60</v>
      </c>
      <c r="C66" s="499" t="str">
        <f>IF(Inventory!C69="","",Inventory!C69)</f>
        <v/>
      </c>
      <c r="D66" s="751" t="str">
        <f>IF(Inventory!D69="","",Inventory!D69)</f>
        <v/>
      </c>
      <c r="E66" s="556" t="str">
        <f>IF(Inventory!W69="","",Inventory!W69)</f>
        <v/>
      </c>
      <c r="F66" s="785" t="str">
        <f>IF(Inventory!X69="","",Inventory!X69)</f>
        <v/>
      </c>
      <c r="G66" s="785" t="str">
        <f>IF(Inventory!Y69="","",Inventory!Y69)</f>
        <v/>
      </c>
      <c r="H66" s="767" t="str">
        <f>IF(Inventory!Z69="","",Inventory!Z69)</f>
        <v/>
      </c>
      <c r="I66" s="767" t="str">
        <f>IF(Inventory!AA69="","",Inventory!AA69)</f>
        <v/>
      </c>
      <c r="J66" s="767" t="str">
        <f>IF(Inventory!AB69="","",Inventory!AB69)</f>
        <v/>
      </c>
      <c r="K66" s="767" t="str">
        <f>IF(Inventory!AC69="","",Inventory!AC69)</f>
        <v/>
      </c>
      <c r="L66" s="776" t="str">
        <f>IF(Inventory!AD69="","",Inventory!AD69)</f>
        <v/>
      </c>
      <c r="M66" s="527">
        <f>IF(Inventory!AE69="","",Inventory!AE69)</f>
        <v>0</v>
      </c>
      <c r="N66" s="527">
        <f>IF(Inventory!AF69="","",Inventory!AF69)</f>
        <v>0</v>
      </c>
      <c r="O66" s="527">
        <f>IF(Inventory!AG69="","",Inventory!AG69)</f>
        <v>0</v>
      </c>
      <c r="P66" s="527">
        <f>IF(Inventory!AH69="","",Inventory!AH69)</f>
        <v>0</v>
      </c>
      <c r="Q66" s="527">
        <f>IF(Inventory!AI69="","",Inventory!AI69)</f>
        <v>0</v>
      </c>
      <c r="R66" s="527">
        <f>IF(Inventory!AJ69="","",Inventory!AJ69)</f>
        <v>999999999</v>
      </c>
      <c r="S66" s="777" t="str">
        <f>IF(Inventory!AK69="","",Inventory!AK69)</f>
        <v/>
      </c>
      <c r="T66" s="776" t="str">
        <f>IF(Inventory!AL69="","",Inventory!AL69)</f>
        <v/>
      </c>
      <c r="U66" s="777" t="str">
        <f>IF(Inventory!AM69="","",Inventory!AM69)</f>
        <v/>
      </c>
      <c r="V66" s="767" t="str">
        <f>IF(Inventory!AN69="","",Inventory!AN69)</f>
        <v/>
      </c>
      <c r="W66" s="778" t="str">
        <f>IF(Inventory!AO69="","",Inventory!AO69)</f>
        <v/>
      </c>
      <c r="X66" s="778" t="str">
        <f>IF(Inventory!AP69="","",Inventory!AP69)</f>
        <v/>
      </c>
      <c r="Y66" s="767" t="str">
        <f>IF(Inventory!AQ69="","",Inventory!AQ69)</f>
        <v/>
      </c>
      <c r="Z66" s="778" t="str">
        <f>IF(Inventory!AR69="","",Inventory!AR69)</f>
        <v/>
      </c>
      <c r="AA66" s="751" t="str">
        <f>IF(Inventory!AS69="","",Inventory!AS69)</f>
        <v/>
      </c>
      <c r="AB66" s="871"/>
    </row>
    <row r="67" spans="2:28" s="618" customFormat="1" ht="21.95" customHeight="1" x14ac:dyDescent="0.25">
      <c r="B67" s="431">
        <v>61</v>
      </c>
      <c r="C67" s="501" t="str">
        <f>IF(Inventory!C70="","",Inventory!C70)</f>
        <v/>
      </c>
      <c r="D67" s="502" t="str">
        <f>IF(Inventory!D70="","",Inventory!D70)</f>
        <v/>
      </c>
      <c r="E67" s="557" t="str">
        <f>IF(Inventory!W70="","",Inventory!W70)</f>
        <v/>
      </c>
      <c r="F67" s="788" t="str">
        <f>IF(Inventory!X70="","",Inventory!X70)</f>
        <v/>
      </c>
      <c r="G67" s="788" t="str">
        <f>IF(Inventory!Y70="","",Inventory!Y70)</f>
        <v/>
      </c>
      <c r="H67" s="729" t="str">
        <f>IF(Inventory!Z70="","",Inventory!Z70)</f>
        <v/>
      </c>
      <c r="I67" s="729" t="str">
        <f>IF(Inventory!AA70="","",Inventory!AA70)</f>
        <v/>
      </c>
      <c r="J67" s="729" t="str">
        <f>IF(Inventory!AB70="","",Inventory!AB70)</f>
        <v/>
      </c>
      <c r="K67" s="729" t="str">
        <f>IF(Inventory!AC70="","",Inventory!AC70)</f>
        <v/>
      </c>
      <c r="L67" s="765" t="str">
        <f>IF(Inventory!AD70="","",Inventory!AD70)</f>
        <v/>
      </c>
      <c r="M67" s="527">
        <f>IF(Inventory!AE70="","",Inventory!AE70)</f>
        <v>0</v>
      </c>
      <c r="N67" s="527">
        <f>IF(Inventory!AF70="","",Inventory!AF70)</f>
        <v>0</v>
      </c>
      <c r="O67" s="527">
        <f>IF(Inventory!AG70="","",Inventory!AG70)</f>
        <v>0</v>
      </c>
      <c r="P67" s="527">
        <f>IF(Inventory!AH70="","",Inventory!AH70)</f>
        <v>0</v>
      </c>
      <c r="Q67" s="527">
        <f>IF(Inventory!AI70="","",Inventory!AI70)</f>
        <v>0</v>
      </c>
      <c r="R67" s="527">
        <f>IF(Inventory!AJ70="","",Inventory!AJ70)</f>
        <v>999999999</v>
      </c>
      <c r="S67" s="758" t="str">
        <f>IF(Inventory!AK70="","",Inventory!AK70)</f>
        <v/>
      </c>
      <c r="T67" s="765" t="str">
        <f>IF(Inventory!AL70="","",Inventory!AL70)</f>
        <v/>
      </c>
      <c r="U67" s="758" t="str">
        <f>IF(Inventory!AM70="","",Inventory!AM70)</f>
        <v/>
      </c>
      <c r="V67" s="729" t="str">
        <f>IF(Inventory!AN70="","",Inventory!AN70)</f>
        <v/>
      </c>
      <c r="W67" s="775" t="str">
        <f>IF(Inventory!AO70="","",Inventory!AO70)</f>
        <v/>
      </c>
      <c r="X67" s="775" t="str">
        <f>IF(Inventory!AP70="","",Inventory!AP70)</f>
        <v/>
      </c>
      <c r="Y67" s="729" t="str">
        <f>IF(Inventory!AQ70="","",Inventory!AQ70)</f>
        <v/>
      </c>
      <c r="Z67" s="775" t="str">
        <f>IF(Inventory!AR70="","",Inventory!AR70)</f>
        <v/>
      </c>
      <c r="AA67" s="779" t="str">
        <f>IF(Inventory!AS70="","",Inventory!AS70)</f>
        <v/>
      </c>
      <c r="AB67" s="866"/>
    </row>
    <row r="68" spans="2:28" s="618" customFormat="1" ht="21.95" customHeight="1" x14ac:dyDescent="0.25">
      <c r="B68" s="432">
        <v>62</v>
      </c>
      <c r="C68" s="499" t="str">
        <f>IF(Inventory!C71="","",Inventory!C71)</f>
        <v/>
      </c>
      <c r="D68" s="751" t="str">
        <f>IF(Inventory!D71="","",Inventory!D71)</f>
        <v/>
      </c>
      <c r="E68" s="556" t="str">
        <f>IF(Inventory!W71="","",Inventory!W71)</f>
        <v/>
      </c>
      <c r="F68" s="785" t="str">
        <f>IF(Inventory!X71="","",Inventory!X71)</f>
        <v/>
      </c>
      <c r="G68" s="785" t="str">
        <f>IF(Inventory!Y71="","",Inventory!Y71)</f>
        <v/>
      </c>
      <c r="H68" s="767" t="str">
        <f>IF(Inventory!Z71="","",Inventory!Z71)</f>
        <v/>
      </c>
      <c r="I68" s="767" t="str">
        <f>IF(Inventory!AA71="","",Inventory!AA71)</f>
        <v/>
      </c>
      <c r="J68" s="767" t="str">
        <f>IF(Inventory!AB71="","",Inventory!AB71)</f>
        <v/>
      </c>
      <c r="K68" s="767" t="str">
        <f>IF(Inventory!AC71="","",Inventory!AC71)</f>
        <v/>
      </c>
      <c r="L68" s="776" t="str">
        <f>IF(Inventory!AD71="","",Inventory!AD71)</f>
        <v/>
      </c>
      <c r="M68" s="527">
        <f>IF(Inventory!AE71="","",Inventory!AE71)</f>
        <v>0</v>
      </c>
      <c r="N68" s="527">
        <f>IF(Inventory!AF71="","",Inventory!AF71)</f>
        <v>0</v>
      </c>
      <c r="O68" s="527">
        <f>IF(Inventory!AG71="","",Inventory!AG71)</f>
        <v>0</v>
      </c>
      <c r="P68" s="527">
        <f>IF(Inventory!AH71="","",Inventory!AH71)</f>
        <v>0</v>
      </c>
      <c r="Q68" s="527">
        <f>IF(Inventory!AI71="","",Inventory!AI71)</f>
        <v>0</v>
      </c>
      <c r="R68" s="527">
        <f>IF(Inventory!AJ71="","",Inventory!AJ71)</f>
        <v>999999999</v>
      </c>
      <c r="S68" s="777" t="str">
        <f>IF(Inventory!AK71="","",Inventory!AK71)</f>
        <v/>
      </c>
      <c r="T68" s="776" t="str">
        <f>IF(Inventory!AL71="","",Inventory!AL71)</f>
        <v/>
      </c>
      <c r="U68" s="777" t="str">
        <f>IF(Inventory!AM71="","",Inventory!AM71)</f>
        <v/>
      </c>
      <c r="V68" s="767" t="str">
        <f>IF(Inventory!AN71="","",Inventory!AN71)</f>
        <v/>
      </c>
      <c r="W68" s="778" t="str">
        <f>IF(Inventory!AO71="","",Inventory!AO71)</f>
        <v/>
      </c>
      <c r="X68" s="778" t="str">
        <f>IF(Inventory!AP71="","",Inventory!AP71)</f>
        <v/>
      </c>
      <c r="Y68" s="767" t="str">
        <f>IF(Inventory!AQ71="","",Inventory!AQ71)</f>
        <v/>
      </c>
      <c r="Z68" s="778" t="str">
        <f>IF(Inventory!AR71="","",Inventory!AR71)</f>
        <v/>
      </c>
      <c r="AA68" s="751" t="str">
        <f>IF(Inventory!AS71="","",Inventory!AS71)</f>
        <v/>
      </c>
      <c r="AB68" s="871"/>
    </row>
    <row r="69" spans="2:28" s="618" customFormat="1" ht="21.95" customHeight="1" x14ac:dyDescent="0.25">
      <c r="B69" s="431">
        <v>63</v>
      </c>
      <c r="C69" s="501" t="str">
        <f>IF(Inventory!C72="","",Inventory!C72)</f>
        <v/>
      </c>
      <c r="D69" s="502" t="str">
        <f>IF(Inventory!D72="","",Inventory!D72)</f>
        <v/>
      </c>
      <c r="E69" s="557" t="str">
        <f>IF(Inventory!W72="","",Inventory!W72)</f>
        <v/>
      </c>
      <c r="F69" s="788" t="str">
        <f>IF(Inventory!X72="","",Inventory!X72)</f>
        <v/>
      </c>
      <c r="G69" s="788" t="str">
        <f>IF(Inventory!Y72="","",Inventory!Y72)</f>
        <v/>
      </c>
      <c r="H69" s="729" t="str">
        <f>IF(Inventory!Z72="","",Inventory!Z72)</f>
        <v/>
      </c>
      <c r="I69" s="729" t="str">
        <f>IF(Inventory!AA72="","",Inventory!AA72)</f>
        <v/>
      </c>
      <c r="J69" s="729" t="str">
        <f>IF(Inventory!AB72="","",Inventory!AB72)</f>
        <v/>
      </c>
      <c r="K69" s="729" t="str">
        <f>IF(Inventory!AC72="","",Inventory!AC72)</f>
        <v/>
      </c>
      <c r="L69" s="765" t="str">
        <f>IF(Inventory!AD72="","",Inventory!AD72)</f>
        <v/>
      </c>
      <c r="M69" s="527">
        <f>IF(Inventory!AE72="","",Inventory!AE72)</f>
        <v>0</v>
      </c>
      <c r="N69" s="527">
        <f>IF(Inventory!AF72="","",Inventory!AF72)</f>
        <v>0</v>
      </c>
      <c r="O69" s="527">
        <f>IF(Inventory!AG72="","",Inventory!AG72)</f>
        <v>0</v>
      </c>
      <c r="P69" s="527">
        <f>IF(Inventory!AH72="","",Inventory!AH72)</f>
        <v>0</v>
      </c>
      <c r="Q69" s="527">
        <f>IF(Inventory!AI72="","",Inventory!AI72)</f>
        <v>0</v>
      </c>
      <c r="R69" s="527">
        <f>IF(Inventory!AJ72="","",Inventory!AJ72)</f>
        <v>999999999</v>
      </c>
      <c r="S69" s="758" t="str">
        <f>IF(Inventory!AK72="","",Inventory!AK72)</f>
        <v/>
      </c>
      <c r="T69" s="765" t="str">
        <f>IF(Inventory!AL72="","",Inventory!AL72)</f>
        <v/>
      </c>
      <c r="U69" s="758" t="str">
        <f>IF(Inventory!AM72="","",Inventory!AM72)</f>
        <v/>
      </c>
      <c r="V69" s="729" t="str">
        <f>IF(Inventory!AN72="","",Inventory!AN72)</f>
        <v/>
      </c>
      <c r="W69" s="775" t="str">
        <f>IF(Inventory!AO72="","",Inventory!AO72)</f>
        <v/>
      </c>
      <c r="X69" s="775" t="str">
        <f>IF(Inventory!AP72="","",Inventory!AP72)</f>
        <v/>
      </c>
      <c r="Y69" s="729" t="str">
        <f>IF(Inventory!AQ72="","",Inventory!AQ72)</f>
        <v/>
      </c>
      <c r="Z69" s="775" t="str">
        <f>IF(Inventory!AR72="","",Inventory!AR72)</f>
        <v/>
      </c>
      <c r="AA69" s="779" t="str">
        <f>IF(Inventory!AS72="","",Inventory!AS72)</f>
        <v/>
      </c>
      <c r="AB69" s="866"/>
    </row>
    <row r="70" spans="2:28" s="618" customFormat="1" ht="21.95" customHeight="1" x14ac:dyDescent="0.25">
      <c r="B70" s="432">
        <v>64</v>
      </c>
      <c r="C70" s="499" t="str">
        <f>IF(Inventory!C73="","",Inventory!C73)</f>
        <v/>
      </c>
      <c r="D70" s="751" t="str">
        <f>IF(Inventory!D73="","",Inventory!D73)</f>
        <v/>
      </c>
      <c r="E70" s="556" t="str">
        <f>IF(Inventory!W73="","",Inventory!W73)</f>
        <v/>
      </c>
      <c r="F70" s="785" t="str">
        <f>IF(Inventory!X73="","",Inventory!X73)</f>
        <v/>
      </c>
      <c r="G70" s="785" t="str">
        <f>IF(Inventory!Y73="","",Inventory!Y73)</f>
        <v/>
      </c>
      <c r="H70" s="767" t="str">
        <f>IF(Inventory!Z73="","",Inventory!Z73)</f>
        <v/>
      </c>
      <c r="I70" s="767" t="str">
        <f>IF(Inventory!AA73="","",Inventory!AA73)</f>
        <v/>
      </c>
      <c r="J70" s="767" t="str">
        <f>IF(Inventory!AB73="","",Inventory!AB73)</f>
        <v/>
      </c>
      <c r="K70" s="767" t="str">
        <f>IF(Inventory!AC73="","",Inventory!AC73)</f>
        <v/>
      </c>
      <c r="L70" s="776" t="str">
        <f>IF(Inventory!AD73="","",Inventory!AD73)</f>
        <v/>
      </c>
      <c r="M70" s="527">
        <f>IF(Inventory!AE73="","",Inventory!AE73)</f>
        <v>0</v>
      </c>
      <c r="N70" s="527">
        <f>IF(Inventory!AF73="","",Inventory!AF73)</f>
        <v>0</v>
      </c>
      <c r="O70" s="527">
        <f>IF(Inventory!AG73="","",Inventory!AG73)</f>
        <v>0</v>
      </c>
      <c r="P70" s="527">
        <f>IF(Inventory!AH73="","",Inventory!AH73)</f>
        <v>0</v>
      </c>
      <c r="Q70" s="527">
        <f>IF(Inventory!AI73="","",Inventory!AI73)</f>
        <v>0</v>
      </c>
      <c r="R70" s="527">
        <f>IF(Inventory!AJ73="","",Inventory!AJ73)</f>
        <v>999999999</v>
      </c>
      <c r="S70" s="777" t="str">
        <f>IF(Inventory!AK73="","",Inventory!AK73)</f>
        <v/>
      </c>
      <c r="T70" s="776" t="str">
        <f>IF(Inventory!AL73="","",Inventory!AL73)</f>
        <v/>
      </c>
      <c r="U70" s="777" t="str">
        <f>IF(Inventory!AM73="","",Inventory!AM73)</f>
        <v/>
      </c>
      <c r="V70" s="767" t="str">
        <f>IF(Inventory!AN73="","",Inventory!AN73)</f>
        <v/>
      </c>
      <c r="W70" s="778" t="str">
        <f>IF(Inventory!AO73="","",Inventory!AO73)</f>
        <v/>
      </c>
      <c r="X70" s="778" t="str">
        <f>IF(Inventory!AP73="","",Inventory!AP73)</f>
        <v/>
      </c>
      <c r="Y70" s="767" t="str">
        <f>IF(Inventory!AQ73="","",Inventory!AQ73)</f>
        <v/>
      </c>
      <c r="Z70" s="778" t="str">
        <f>IF(Inventory!AR73="","",Inventory!AR73)</f>
        <v/>
      </c>
      <c r="AA70" s="751" t="str">
        <f>IF(Inventory!AS73="","",Inventory!AS73)</f>
        <v/>
      </c>
      <c r="AB70" s="871"/>
    </row>
    <row r="71" spans="2:28" s="618" customFormat="1" ht="21.95" customHeight="1" x14ac:dyDescent="0.25">
      <c r="B71" s="431">
        <v>65</v>
      </c>
      <c r="C71" s="501" t="str">
        <f>IF(Inventory!C74="","",Inventory!C74)</f>
        <v/>
      </c>
      <c r="D71" s="502" t="str">
        <f>IF(Inventory!D74="","",Inventory!D74)</f>
        <v/>
      </c>
      <c r="E71" s="557" t="str">
        <f>IF(Inventory!W74="","",Inventory!W74)</f>
        <v/>
      </c>
      <c r="F71" s="788" t="str">
        <f>IF(Inventory!X74="","",Inventory!X74)</f>
        <v/>
      </c>
      <c r="G71" s="788" t="str">
        <f>IF(Inventory!Y74="","",Inventory!Y74)</f>
        <v/>
      </c>
      <c r="H71" s="729" t="str">
        <f>IF(Inventory!Z74="","",Inventory!Z74)</f>
        <v/>
      </c>
      <c r="I71" s="729" t="str">
        <f>IF(Inventory!AA74="","",Inventory!AA74)</f>
        <v/>
      </c>
      <c r="J71" s="729" t="str">
        <f>IF(Inventory!AB74="","",Inventory!AB74)</f>
        <v/>
      </c>
      <c r="K71" s="729" t="str">
        <f>IF(Inventory!AC74="","",Inventory!AC74)</f>
        <v/>
      </c>
      <c r="L71" s="765" t="str">
        <f>IF(Inventory!AD74="","",Inventory!AD74)</f>
        <v/>
      </c>
      <c r="M71" s="527">
        <f>IF(Inventory!AE74="","",Inventory!AE74)</f>
        <v>0</v>
      </c>
      <c r="N71" s="527">
        <f>IF(Inventory!AF74="","",Inventory!AF74)</f>
        <v>0</v>
      </c>
      <c r="O71" s="527">
        <f>IF(Inventory!AG74="","",Inventory!AG74)</f>
        <v>0</v>
      </c>
      <c r="P71" s="527">
        <f>IF(Inventory!AH74="","",Inventory!AH74)</f>
        <v>0</v>
      </c>
      <c r="Q71" s="527">
        <f>IF(Inventory!AI74="","",Inventory!AI74)</f>
        <v>0</v>
      </c>
      <c r="R71" s="527">
        <f>IF(Inventory!AJ74="","",Inventory!AJ74)</f>
        <v>999999999</v>
      </c>
      <c r="S71" s="758" t="str">
        <f>IF(Inventory!AK74="","",Inventory!AK74)</f>
        <v/>
      </c>
      <c r="T71" s="765" t="str">
        <f>IF(Inventory!AL74="","",Inventory!AL74)</f>
        <v/>
      </c>
      <c r="U71" s="758" t="str">
        <f>IF(Inventory!AM74="","",Inventory!AM74)</f>
        <v/>
      </c>
      <c r="V71" s="729" t="str">
        <f>IF(Inventory!AN74="","",Inventory!AN74)</f>
        <v/>
      </c>
      <c r="W71" s="775" t="str">
        <f>IF(Inventory!AO74="","",Inventory!AO74)</f>
        <v/>
      </c>
      <c r="X71" s="775" t="str">
        <f>IF(Inventory!AP74="","",Inventory!AP74)</f>
        <v/>
      </c>
      <c r="Y71" s="729" t="str">
        <f>IF(Inventory!AQ74="","",Inventory!AQ74)</f>
        <v/>
      </c>
      <c r="Z71" s="775" t="str">
        <f>IF(Inventory!AR74="","",Inventory!AR74)</f>
        <v/>
      </c>
      <c r="AA71" s="779" t="str">
        <f>IF(Inventory!AS74="","",Inventory!AS74)</f>
        <v/>
      </c>
      <c r="AB71" s="866"/>
    </row>
    <row r="72" spans="2:28" s="618" customFormat="1" ht="21.95" customHeight="1" x14ac:dyDescent="0.25">
      <c r="B72" s="432">
        <v>66</v>
      </c>
      <c r="C72" s="499" t="str">
        <f>IF(Inventory!C75="","",Inventory!C75)</f>
        <v/>
      </c>
      <c r="D72" s="751" t="str">
        <f>IF(Inventory!D75="","",Inventory!D75)</f>
        <v/>
      </c>
      <c r="E72" s="556" t="str">
        <f>IF(Inventory!W75="","",Inventory!W75)</f>
        <v/>
      </c>
      <c r="F72" s="785" t="str">
        <f>IF(Inventory!X75="","",Inventory!X75)</f>
        <v/>
      </c>
      <c r="G72" s="785" t="str">
        <f>IF(Inventory!Y75="","",Inventory!Y75)</f>
        <v/>
      </c>
      <c r="H72" s="767" t="str">
        <f>IF(Inventory!Z75="","",Inventory!Z75)</f>
        <v/>
      </c>
      <c r="I72" s="767" t="str">
        <f>IF(Inventory!AA75="","",Inventory!AA75)</f>
        <v/>
      </c>
      <c r="J72" s="767" t="str">
        <f>IF(Inventory!AB75="","",Inventory!AB75)</f>
        <v/>
      </c>
      <c r="K72" s="767" t="str">
        <f>IF(Inventory!AC75="","",Inventory!AC75)</f>
        <v/>
      </c>
      <c r="L72" s="776" t="str">
        <f>IF(Inventory!AD75="","",Inventory!AD75)</f>
        <v/>
      </c>
      <c r="M72" s="527">
        <f>IF(Inventory!AE75="","",Inventory!AE75)</f>
        <v>0</v>
      </c>
      <c r="N72" s="527">
        <f>IF(Inventory!AF75="","",Inventory!AF75)</f>
        <v>0</v>
      </c>
      <c r="O72" s="527">
        <f>IF(Inventory!AG75="","",Inventory!AG75)</f>
        <v>0</v>
      </c>
      <c r="P72" s="527">
        <f>IF(Inventory!AH75="","",Inventory!AH75)</f>
        <v>0</v>
      </c>
      <c r="Q72" s="527">
        <f>IF(Inventory!AI75="","",Inventory!AI75)</f>
        <v>0</v>
      </c>
      <c r="R72" s="527">
        <f>IF(Inventory!AJ75="","",Inventory!AJ75)</f>
        <v>999999999</v>
      </c>
      <c r="S72" s="777" t="str">
        <f>IF(Inventory!AK75="","",Inventory!AK75)</f>
        <v/>
      </c>
      <c r="T72" s="776" t="str">
        <f>IF(Inventory!AL75="","",Inventory!AL75)</f>
        <v/>
      </c>
      <c r="U72" s="777" t="str">
        <f>IF(Inventory!AM75="","",Inventory!AM75)</f>
        <v/>
      </c>
      <c r="V72" s="767" t="str">
        <f>IF(Inventory!AN75="","",Inventory!AN75)</f>
        <v/>
      </c>
      <c r="W72" s="778" t="str">
        <f>IF(Inventory!AO75="","",Inventory!AO75)</f>
        <v/>
      </c>
      <c r="X72" s="778" t="str">
        <f>IF(Inventory!AP75="","",Inventory!AP75)</f>
        <v/>
      </c>
      <c r="Y72" s="767" t="str">
        <f>IF(Inventory!AQ75="","",Inventory!AQ75)</f>
        <v/>
      </c>
      <c r="Z72" s="778" t="str">
        <f>IF(Inventory!AR75="","",Inventory!AR75)</f>
        <v/>
      </c>
      <c r="AA72" s="751" t="str">
        <f>IF(Inventory!AS75="","",Inventory!AS75)</f>
        <v/>
      </c>
      <c r="AB72" s="871"/>
    </row>
    <row r="73" spans="2:28" s="618" customFormat="1" ht="21.95" customHeight="1" x14ac:dyDescent="0.25">
      <c r="B73" s="431">
        <v>67</v>
      </c>
      <c r="C73" s="501" t="str">
        <f>IF(Inventory!C76="","",Inventory!C76)</f>
        <v/>
      </c>
      <c r="D73" s="502" t="str">
        <f>IF(Inventory!D76="","",Inventory!D76)</f>
        <v/>
      </c>
      <c r="E73" s="557" t="str">
        <f>IF(Inventory!W76="","",Inventory!W76)</f>
        <v/>
      </c>
      <c r="F73" s="788" t="str">
        <f>IF(Inventory!X76="","",Inventory!X76)</f>
        <v/>
      </c>
      <c r="G73" s="788" t="str">
        <f>IF(Inventory!Y76="","",Inventory!Y76)</f>
        <v/>
      </c>
      <c r="H73" s="729" t="str">
        <f>IF(Inventory!Z76="","",Inventory!Z76)</f>
        <v/>
      </c>
      <c r="I73" s="729" t="str">
        <f>IF(Inventory!AA76="","",Inventory!AA76)</f>
        <v/>
      </c>
      <c r="J73" s="729" t="str">
        <f>IF(Inventory!AB76="","",Inventory!AB76)</f>
        <v/>
      </c>
      <c r="K73" s="729" t="str">
        <f>IF(Inventory!AC76="","",Inventory!AC76)</f>
        <v/>
      </c>
      <c r="L73" s="765" t="str">
        <f>IF(Inventory!AD76="","",Inventory!AD76)</f>
        <v/>
      </c>
      <c r="M73" s="527">
        <f>IF(Inventory!AE76="","",Inventory!AE76)</f>
        <v>0</v>
      </c>
      <c r="N73" s="527">
        <f>IF(Inventory!AF76="","",Inventory!AF76)</f>
        <v>0</v>
      </c>
      <c r="O73" s="527">
        <f>IF(Inventory!AG76="","",Inventory!AG76)</f>
        <v>0</v>
      </c>
      <c r="P73" s="527">
        <f>IF(Inventory!AH76="","",Inventory!AH76)</f>
        <v>0</v>
      </c>
      <c r="Q73" s="527">
        <f>IF(Inventory!AI76="","",Inventory!AI76)</f>
        <v>0</v>
      </c>
      <c r="R73" s="527">
        <f>IF(Inventory!AJ76="","",Inventory!AJ76)</f>
        <v>999999999</v>
      </c>
      <c r="S73" s="758" t="str">
        <f>IF(Inventory!AK76="","",Inventory!AK76)</f>
        <v/>
      </c>
      <c r="T73" s="765" t="str">
        <f>IF(Inventory!AL76="","",Inventory!AL76)</f>
        <v/>
      </c>
      <c r="U73" s="758" t="str">
        <f>IF(Inventory!AM76="","",Inventory!AM76)</f>
        <v/>
      </c>
      <c r="V73" s="729" t="str">
        <f>IF(Inventory!AN76="","",Inventory!AN76)</f>
        <v/>
      </c>
      <c r="W73" s="775" t="str">
        <f>IF(Inventory!AO76="","",Inventory!AO76)</f>
        <v/>
      </c>
      <c r="X73" s="775" t="str">
        <f>IF(Inventory!AP76="","",Inventory!AP76)</f>
        <v/>
      </c>
      <c r="Y73" s="729" t="str">
        <f>IF(Inventory!AQ76="","",Inventory!AQ76)</f>
        <v/>
      </c>
      <c r="Z73" s="775" t="str">
        <f>IF(Inventory!AR76="","",Inventory!AR76)</f>
        <v/>
      </c>
      <c r="AA73" s="779" t="str">
        <f>IF(Inventory!AS76="","",Inventory!AS76)</f>
        <v/>
      </c>
      <c r="AB73" s="866"/>
    </row>
    <row r="74" spans="2:28" s="618" customFormat="1" ht="21.95" customHeight="1" x14ac:dyDescent="0.25">
      <c r="B74" s="432">
        <v>68</v>
      </c>
      <c r="C74" s="499" t="str">
        <f>IF(Inventory!C77="","",Inventory!C77)</f>
        <v/>
      </c>
      <c r="D74" s="751" t="str">
        <f>IF(Inventory!D77="","",Inventory!D77)</f>
        <v/>
      </c>
      <c r="E74" s="556" t="str">
        <f>IF(Inventory!W77="","",Inventory!W77)</f>
        <v/>
      </c>
      <c r="F74" s="785" t="str">
        <f>IF(Inventory!X77="","",Inventory!X77)</f>
        <v/>
      </c>
      <c r="G74" s="785" t="str">
        <f>IF(Inventory!Y77="","",Inventory!Y77)</f>
        <v/>
      </c>
      <c r="H74" s="767" t="str">
        <f>IF(Inventory!Z77="","",Inventory!Z77)</f>
        <v/>
      </c>
      <c r="I74" s="767" t="str">
        <f>IF(Inventory!AA77="","",Inventory!AA77)</f>
        <v/>
      </c>
      <c r="J74" s="767" t="str">
        <f>IF(Inventory!AB77="","",Inventory!AB77)</f>
        <v/>
      </c>
      <c r="K74" s="767" t="str">
        <f>IF(Inventory!AC77="","",Inventory!AC77)</f>
        <v/>
      </c>
      <c r="L74" s="776" t="str">
        <f>IF(Inventory!AD77="","",Inventory!AD77)</f>
        <v/>
      </c>
      <c r="M74" s="527">
        <f>IF(Inventory!AE77="","",Inventory!AE77)</f>
        <v>0</v>
      </c>
      <c r="N74" s="527">
        <f>IF(Inventory!AF77="","",Inventory!AF77)</f>
        <v>0</v>
      </c>
      <c r="O74" s="527">
        <f>IF(Inventory!AG77="","",Inventory!AG77)</f>
        <v>0</v>
      </c>
      <c r="P74" s="527">
        <f>IF(Inventory!AH77="","",Inventory!AH77)</f>
        <v>0</v>
      </c>
      <c r="Q74" s="527">
        <f>IF(Inventory!AI77="","",Inventory!AI77)</f>
        <v>0</v>
      </c>
      <c r="R74" s="527">
        <f>IF(Inventory!AJ77="","",Inventory!AJ77)</f>
        <v>999999999</v>
      </c>
      <c r="S74" s="777" t="str">
        <f>IF(Inventory!AK77="","",Inventory!AK77)</f>
        <v/>
      </c>
      <c r="T74" s="776" t="str">
        <f>IF(Inventory!AL77="","",Inventory!AL77)</f>
        <v/>
      </c>
      <c r="U74" s="777" t="str">
        <f>IF(Inventory!AM77="","",Inventory!AM77)</f>
        <v/>
      </c>
      <c r="V74" s="767" t="str">
        <f>IF(Inventory!AN77="","",Inventory!AN77)</f>
        <v/>
      </c>
      <c r="W74" s="778" t="str">
        <f>IF(Inventory!AO77="","",Inventory!AO77)</f>
        <v/>
      </c>
      <c r="X74" s="778" t="str">
        <f>IF(Inventory!AP77="","",Inventory!AP77)</f>
        <v/>
      </c>
      <c r="Y74" s="767" t="str">
        <f>IF(Inventory!AQ77="","",Inventory!AQ77)</f>
        <v/>
      </c>
      <c r="Z74" s="778" t="str">
        <f>IF(Inventory!AR77="","",Inventory!AR77)</f>
        <v/>
      </c>
      <c r="AA74" s="751" t="str">
        <f>IF(Inventory!AS77="","",Inventory!AS77)</f>
        <v/>
      </c>
      <c r="AB74" s="871"/>
    </row>
    <row r="75" spans="2:28" s="618" customFormat="1" ht="21.95" customHeight="1" x14ac:dyDescent="0.25">
      <c r="B75" s="431">
        <v>69</v>
      </c>
      <c r="C75" s="501" t="str">
        <f>IF(Inventory!C78="","",Inventory!C78)</f>
        <v/>
      </c>
      <c r="D75" s="502" t="str">
        <f>IF(Inventory!D78="","",Inventory!D78)</f>
        <v/>
      </c>
      <c r="E75" s="557" t="str">
        <f>IF(Inventory!W78="","",Inventory!W78)</f>
        <v/>
      </c>
      <c r="F75" s="788" t="str">
        <f>IF(Inventory!X78="","",Inventory!X78)</f>
        <v/>
      </c>
      <c r="G75" s="788" t="str">
        <f>IF(Inventory!Y78="","",Inventory!Y78)</f>
        <v/>
      </c>
      <c r="H75" s="729" t="str">
        <f>IF(Inventory!Z78="","",Inventory!Z78)</f>
        <v/>
      </c>
      <c r="I75" s="729" t="str">
        <f>IF(Inventory!AA78="","",Inventory!AA78)</f>
        <v/>
      </c>
      <c r="J75" s="729" t="str">
        <f>IF(Inventory!AB78="","",Inventory!AB78)</f>
        <v/>
      </c>
      <c r="K75" s="729" t="str">
        <f>IF(Inventory!AC78="","",Inventory!AC78)</f>
        <v/>
      </c>
      <c r="L75" s="765" t="str">
        <f>IF(Inventory!AD78="","",Inventory!AD78)</f>
        <v/>
      </c>
      <c r="M75" s="527">
        <f>IF(Inventory!AE78="","",Inventory!AE78)</f>
        <v>0</v>
      </c>
      <c r="N75" s="527">
        <f>IF(Inventory!AF78="","",Inventory!AF78)</f>
        <v>0</v>
      </c>
      <c r="O75" s="527">
        <f>IF(Inventory!AG78="","",Inventory!AG78)</f>
        <v>0</v>
      </c>
      <c r="P75" s="527">
        <f>IF(Inventory!AH78="","",Inventory!AH78)</f>
        <v>0</v>
      </c>
      <c r="Q75" s="527">
        <f>IF(Inventory!AI78="","",Inventory!AI78)</f>
        <v>0</v>
      </c>
      <c r="R75" s="527">
        <f>IF(Inventory!AJ78="","",Inventory!AJ78)</f>
        <v>999999999</v>
      </c>
      <c r="S75" s="758" t="str">
        <f>IF(Inventory!AK78="","",Inventory!AK78)</f>
        <v/>
      </c>
      <c r="T75" s="765" t="str">
        <f>IF(Inventory!AL78="","",Inventory!AL78)</f>
        <v/>
      </c>
      <c r="U75" s="758" t="str">
        <f>IF(Inventory!AM78="","",Inventory!AM78)</f>
        <v/>
      </c>
      <c r="V75" s="729" t="str">
        <f>IF(Inventory!AN78="","",Inventory!AN78)</f>
        <v/>
      </c>
      <c r="W75" s="775" t="str">
        <f>IF(Inventory!AO78="","",Inventory!AO78)</f>
        <v/>
      </c>
      <c r="X75" s="775" t="str">
        <f>IF(Inventory!AP78="","",Inventory!AP78)</f>
        <v/>
      </c>
      <c r="Y75" s="729" t="str">
        <f>IF(Inventory!AQ78="","",Inventory!AQ78)</f>
        <v/>
      </c>
      <c r="Z75" s="775" t="str">
        <f>IF(Inventory!AR78="","",Inventory!AR78)</f>
        <v/>
      </c>
      <c r="AA75" s="779" t="str">
        <f>IF(Inventory!AS78="","",Inventory!AS78)</f>
        <v/>
      </c>
      <c r="AB75" s="866"/>
    </row>
    <row r="76" spans="2:28" s="618" customFormat="1" ht="21.95" customHeight="1" x14ac:dyDescent="0.25">
      <c r="B76" s="432">
        <v>70</v>
      </c>
      <c r="C76" s="499" t="str">
        <f>IF(Inventory!C79="","",Inventory!C79)</f>
        <v/>
      </c>
      <c r="D76" s="751" t="str">
        <f>IF(Inventory!D79="","",Inventory!D79)</f>
        <v/>
      </c>
      <c r="E76" s="556" t="str">
        <f>IF(Inventory!W79="","",Inventory!W79)</f>
        <v/>
      </c>
      <c r="F76" s="785" t="str">
        <f>IF(Inventory!X79="","",Inventory!X79)</f>
        <v/>
      </c>
      <c r="G76" s="785" t="str">
        <f>IF(Inventory!Y79="","",Inventory!Y79)</f>
        <v/>
      </c>
      <c r="H76" s="767" t="str">
        <f>IF(Inventory!Z79="","",Inventory!Z79)</f>
        <v/>
      </c>
      <c r="I76" s="767" t="str">
        <f>IF(Inventory!AA79="","",Inventory!AA79)</f>
        <v/>
      </c>
      <c r="J76" s="767" t="str">
        <f>IF(Inventory!AB79="","",Inventory!AB79)</f>
        <v/>
      </c>
      <c r="K76" s="767" t="str">
        <f>IF(Inventory!AC79="","",Inventory!AC79)</f>
        <v/>
      </c>
      <c r="L76" s="776" t="str">
        <f>IF(Inventory!AD79="","",Inventory!AD79)</f>
        <v/>
      </c>
      <c r="M76" s="527">
        <f>IF(Inventory!AE79="","",Inventory!AE79)</f>
        <v>0</v>
      </c>
      <c r="N76" s="527">
        <f>IF(Inventory!AF79="","",Inventory!AF79)</f>
        <v>0</v>
      </c>
      <c r="O76" s="527">
        <f>IF(Inventory!AG79="","",Inventory!AG79)</f>
        <v>0</v>
      </c>
      <c r="P76" s="527">
        <f>IF(Inventory!AH79="","",Inventory!AH79)</f>
        <v>0</v>
      </c>
      <c r="Q76" s="527">
        <f>IF(Inventory!AI79="","",Inventory!AI79)</f>
        <v>0</v>
      </c>
      <c r="R76" s="527">
        <f>IF(Inventory!AJ79="","",Inventory!AJ79)</f>
        <v>999999999</v>
      </c>
      <c r="S76" s="777" t="str">
        <f>IF(Inventory!AK79="","",Inventory!AK79)</f>
        <v/>
      </c>
      <c r="T76" s="776" t="str">
        <f>IF(Inventory!AL79="","",Inventory!AL79)</f>
        <v/>
      </c>
      <c r="U76" s="777" t="str">
        <f>IF(Inventory!AM79="","",Inventory!AM79)</f>
        <v/>
      </c>
      <c r="V76" s="767" t="str">
        <f>IF(Inventory!AN79="","",Inventory!AN79)</f>
        <v/>
      </c>
      <c r="W76" s="778" t="str">
        <f>IF(Inventory!AO79="","",Inventory!AO79)</f>
        <v/>
      </c>
      <c r="X76" s="778" t="str">
        <f>IF(Inventory!AP79="","",Inventory!AP79)</f>
        <v/>
      </c>
      <c r="Y76" s="767" t="str">
        <f>IF(Inventory!AQ79="","",Inventory!AQ79)</f>
        <v/>
      </c>
      <c r="Z76" s="778" t="str">
        <f>IF(Inventory!AR79="","",Inventory!AR79)</f>
        <v/>
      </c>
      <c r="AA76" s="751" t="str">
        <f>IF(Inventory!AS79="","",Inventory!AS79)</f>
        <v/>
      </c>
      <c r="AB76" s="871"/>
    </row>
    <row r="77" spans="2:28" s="618" customFormat="1" ht="21.95" customHeight="1" x14ac:dyDescent="0.25">
      <c r="B77" s="431">
        <v>71</v>
      </c>
      <c r="C77" s="501" t="str">
        <f>IF(Inventory!C80="","",Inventory!C80)</f>
        <v/>
      </c>
      <c r="D77" s="502" t="str">
        <f>IF(Inventory!D80="","",Inventory!D80)</f>
        <v/>
      </c>
      <c r="E77" s="557" t="str">
        <f>IF(Inventory!W80="","",Inventory!W80)</f>
        <v/>
      </c>
      <c r="F77" s="788" t="str">
        <f>IF(Inventory!X80="","",Inventory!X80)</f>
        <v/>
      </c>
      <c r="G77" s="788" t="str">
        <f>IF(Inventory!Y80="","",Inventory!Y80)</f>
        <v/>
      </c>
      <c r="H77" s="729" t="str">
        <f>IF(Inventory!Z80="","",Inventory!Z80)</f>
        <v/>
      </c>
      <c r="I77" s="729" t="str">
        <f>IF(Inventory!AA80="","",Inventory!AA80)</f>
        <v/>
      </c>
      <c r="J77" s="729" t="str">
        <f>IF(Inventory!AB80="","",Inventory!AB80)</f>
        <v/>
      </c>
      <c r="K77" s="729" t="str">
        <f>IF(Inventory!AC80="","",Inventory!AC80)</f>
        <v/>
      </c>
      <c r="L77" s="765" t="str">
        <f>IF(Inventory!AD80="","",Inventory!AD80)</f>
        <v/>
      </c>
      <c r="M77" s="527">
        <f>IF(Inventory!AE80="","",Inventory!AE80)</f>
        <v>0</v>
      </c>
      <c r="N77" s="527">
        <f>IF(Inventory!AF80="","",Inventory!AF80)</f>
        <v>0</v>
      </c>
      <c r="O77" s="527">
        <f>IF(Inventory!AG80="","",Inventory!AG80)</f>
        <v>0</v>
      </c>
      <c r="P77" s="527">
        <f>IF(Inventory!AH80="","",Inventory!AH80)</f>
        <v>0</v>
      </c>
      <c r="Q77" s="527">
        <f>IF(Inventory!AI80="","",Inventory!AI80)</f>
        <v>0</v>
      </c>
      <c r="R77" s="527">
        <f>IF(Inventory!AJ80="","",Inventory!AJ80)</f>
        <v>999999999</v>
      </c>
      <c r="S77" s="758" t="str">
        <f>IF(Inventory!AK80="","",Inventory!AK80)</f>
        <v/>
      </c>
      <c r="T77" s="765" t="str">
        <f>IF(Inventory!AL80="","",Inventory!AL80)</f>
        <v/>
      </c>
      <c r="U77" s="758" t="str">
        <f>IF(Inventory!AM80="","",Inventory!AM80)</f>
        <v/>
      </c>
      <c r="V77" s="729" t="str">
        <f>IF(Inventory!AN80="","",Inventory!AN80)</f>
        <v/>
      </c>
      <c r="W77" s="775" t="str">
        <f>IF(Inventory!AO80="","",Inventory!AO80)</f>
        <v/>
      </c>
      <c r="X77" s="775" t="str">
        <f>IF(Inventory!AP80="","",Inventory!AP80)</f>
        <v/>
      </c>
      <c r="Y77" s="729" t="str">
        <f>IF(Inventory!AQ80="","",Inventory!AQ80)</f>
        <v/>
      </c>
      <c r="Z77" s="775" t="str">
        <f>IF(Inventory!AR80="","",Inventory!AR80)</f>
        <v/>
      </c>
      <c r="AA77" s="779" t="str">
        <f>IF(Inventory!AS80="","",Inventory!AS80)</f>
        <v/>
      </c>
      <c r="AB77" s="866"/>
    </row>
    <row r="78" spans="2:28" s="618" customFormat="1" ht="21.95" customHeight="1" x14ac:dyDescent="0.25">
      <c r="B78" s="432">
        <v>72</v>
      </c>
      <c r="C78" s="499" t="str">
        <f>IF(Inventory!C81="","",Inventory!C81)</f>
        <v/>
      </c>
      <c r="D78" s="751" t="str">
        <f>IF(Inventory!D81="","",Inventory!D81)</f>
        <v/>
      </c>
      <c r="E78" s="556" t="str">
        <f>IF(Inventory!W81="","",Inventory!W81)</f>
        <v/>
      </c>
      <c r="F78" s="785" t="str">
        <f>IF(Inventory!X81="","",Inventory!X81)</f>
        <v/>
      </c>
      <c r="G78" s="785" t="str">
        <f>IF(Inventory!Y81="","",Inventory!Y81)</f>
        <v/>
      </c>
      <c r="H78" s="767" t="str">
        <f>IF(Inventory!Z81="","",Inventory!Z81)</f>
        <v/>
      </c>
      <c r="I78" s="767" t="str">
        <f>IF(Inventory!AA81="","",Inventory!AA81)</f>
        <v/>
      </c>
      <c r="J78" s="767" t="str">
        <f>IF(Inventory!AB81="","",Inventory!AB81)</f>
        <v/>
      </c>
      <c r="K78" s="767" t="str">
        <f>IF(Inventory!AC81="","",Inventory!AC81)</f>
        <v/>
      </c>
      <c r="L78" s="776" t="str">
        <f>IF(Inventory!AD81="","",Inventory!AD81)</f>
        <v/>
      </c>
      <c r="M78" s="527">
        <f>IF(Inventory!AE81="","",Inventory!AE81)</f>
        <v>0</v>
      </c>
      <c r="N78" s="527">
        <f>IF(Inventory!AF81="","",Inventory!AF81)</f>
        <v>0</v>
      </c>
      <c r="O78" s="527">
        <f>IF(Inventory!AG81="","",Inventory!AG81)</f>
        <v>0</v>
      </c>
      <c r="P78" s="527">
        <f>IF(Inventory!AH81="","",Inventory!AH81)</f>
        <v>0</v>
      </c>
      <c r="Q78" s="527">
        <f>IF(Inventory!AI81="","",Inventory!AI81)</f>
        <v>0</v>
      </c>
      <c r="R78" s="527">
        <f>IF(Inventory!AJ81="","",Inventory!AJ81)</f>
        <v>999999999</v>
      </c>
      <c r="S78" s="777" t="str">
        <f>IF(Inventory!AK81="","",Inventory!AK81)</f>
        <v/>
      </c>
      <c r="T78" s="776" t="str">
        <f>IF(Inventory!AL81="","",Inventory!AL81)</f>
        <v/>
      </c>
      <c r="U78" s="777" t="str">
        <f>IF(Inventory!AM81="","",Inventory!AM81)</f>
        <v/>
      </c>
      <c r="V78" s="767" t="str">
        <f>IF(Inventory!AN81="","",Inventory!AN81)</f>
        <v/>
      </c>
      <c r="W78" s="778" t="str">
        <f>IF(Inventory!AO81="","",Inventory!AO81)</f>
        <v/>
      </c>
      <c r="X78" s="778" t="str">
        <f>IF(Inventory!AP81="","",Inventory!AP81)</f>
        <v/>
      </c>
      <c r="Y78" s="767" t="str">
        <f>IF(Inventory!AQ81="","",Inventory!AQ81)</f>
        <v/>
      </c>
      <c r="Z78" s="778" t="str">
        <f>IF(Inventory!AR81="","",Inventory!AR81)</f>
        <v/>
      </c>
      <c r="AA78" s="751" t="str">
        <f>IF(Inventory!AS81="","",Inventory!AS81)</f>
        <v/>
      </c>
      <c r="AB78" s="871"/>
    </row>
    <row r="79" spans="2:28" s="618" customFormat="1" ht="21.95" customHeight="1" x14ac:dyDescent="0.25">
      <c r="B79" s="431">
        <v>73</v>
      </c>
      <c r="C79" s="501" t="str">
        <f>IF(Inventory!C82="","",Inventory!C82)</f>
        <v/>
      </c>
      <c r="D79" s="502" t="str">
        <f>IF(Inventory!D82="","",Inventory!D82)</f>
        <v/>
      </c>
      <c r="E79" s="557" t="str">
        <f>IF(Inventory!W82="","",Inventory!W82)</f>
        <v/>
      </c>
      <c r="F79" s="788" t="str">
        <f>IF(Inventory!X82="","",Inventory!X82)</f>
        <v/>
      </c>
      <c r="G79" s="788" t="str">
        <f>IF(Inventory!Y82="","",Inventory!Y82)</f>
        <v/>
      </c>
      <c r="H79" s="729" t="str">
        <f>IF(Inventory!Z82="","",Inventory!Z82)</f>
        <v/>
      </c>
      <c r="I79" s="729" t="str">
        <f>IF(Inventory!AA82="","",Inventory!AA82)</f>
        <v/>
      </c>
      <c r="J79" s="729" t="str">
        <f>IF(Inventory!AB82="","",Inventory!AB82)</f>
        <v/>
      </c>
      <c r="K79" s="729" t="str">
        <f>IF(Inventory!AC82="","",Inventory!AC82)</f>
        <v/>
      </c>
      <c r="L79" s="765" t="str">
        <f>IF(Inventory!AD82="","",Inventory!AD82)</f>
        <v/>
      </c>
      <c r="M79" s="527">
        <f>IF(Inventory!AE82="","",Inventory!AE82)</f>
        <v>0</v>
      </c>
      <c r="N79" s="527">
        <f>IF(Inventory!AF82="","",Inventory!AF82)</f>
        <v>0</v>
      </c>
      <c r="O79" s="527">
        <f>IF(Inventory!AG82="","",Inventory!AG82)</f>
        <v>0</v>
      </c>
      <c r="P79" s="527">
        <f>IF(Inventory!AH82="","",Inventory!AH82)</f>
        <v>0</v>
      </c>
      <c r="Q79" s="527">
        <f>IF(Inventory!AI82="","",Inventory!AI82)</f>
        <v>0</v>
      </c>
      <c r="R79" s="527">
        <f>IF(Inventory!AJ82="","",Inventory!AJ82)</f>
        <v>999999999</v>
      </c>
      <c r="S79" s="758" t="str">
        <f>IF(Inventory!AK82="","",Inventory!AK82)</f>
        <v/>
      </c>
      <c r="T79" s="765" t="str">
        <f>IF(Inventory!AL82="","",Inventory!AL82)</f>
        <v/>
      </c>
      <c r="U79" s="758" t="str">
        <f>IF(Inventory!AM82="","",Inventory!AM82)</f>
        <v/>
      </c>
      <c r="V79" s="729" t="str">
        <f>IF(Inventory!AN82="","",Inventory!AN82)</f>
        <v/>
      </c>
      <c r="W79" s="775" t="str">
        <f>IF(Inventory!AO82="","",Inventory!AO82)</f>
        <v/>
      </c>
      <c r="X79" s="775" t="str">
        <f>IF(Inventory!AP82="","",Inventory!AP82)</f>
        <v/>
      </c>
      <c r="Y79" s="729" t="str">
        <f>IF(Inventory!AQ82="","",Inventory!AQ82)</f>
        <v/>
      </c>
      <c r="Z79" s="775" t="str">
        <f>IF(Inventory!AR82="","",Inventory!AR82)</f>
        <v/>
      </c>
      <c r="AA79" s="779" t="str">
        <f>IF(Inventory!AS82="","",Inventory!AS82)</f>
        <v/>
      </c>
      <c r="AB79" s="866"/>
    </row>
    <row r="80" spans="2:28" s="618" customFormat="1" ht="21.95" customHeight="1" x14ac:dyDescent="0.25">
      <c r="B80" s="432">
        <v>74</v>
      </c>
      <c r="C80" s="499" t="str">
        <f>IF(Inventory!C83="","",Inventory!C83)</f>
        <v/>
      </c>
      <c r="D80" s="751" t="str">
        <f>IF(Inventory!D83="","",Inventory!D83)</f>
        <v/>
      </c>
      <c r="E80" s="556" t="str">
        <f>IF(Inventory!W83="","",Inventory!W83)</f>
        <v/>
      </c>
      <c r="F80" s="785" t="str">
        <f>IF(Inventory!X83="","",Inventory!X83)</f>
        <v/>
      </c>
      <c r="G80" s="785" t="str">
        <f>IF(Inventory!Y83="","",Inventory!Y83)</f>
        <v/>
      </c>
      <c r="H80" s="767" t="str">
        <f>IF(Inventory!Z83="","",Inventory!Z83)</f>
        <v/>
      </c>
      <c r="I80" s="767" t="str">
        <f>IF(Inventory!AA83="","",Inventory!AA83)</f>
        <v/>
      </c>
      <c r="J80" s="767" t="str">
        <f>IF(Inventory!AB83="","",Inventory!AB83)</f>
        <v/>
      </c>
      <c r="K80" s="767" t="str">
        <f>IF(Inventory!AC83="","",Inventory!AC83)</f>
        <v/>
      </c>
      <c r="L80" s="776" t="str">
        <f>IF(Inventory!AD83="","",Inventory!AD83)</f>
        <v/>
      </c>
      <c r="M80" s="527">
        <f>IF(Inventory!AE83="","",Inventory!AE83)</f>
        <v>0</v>
      </c>
      <c r="N80" s="527">
        <f>IF(Inventory!AF83="","",Inventory!AF83)</f>
        <v>0</v>
      </c>
      <c r="O80" s="527">
        <f>IF(Inventory!AG83="","",Inventory!AG83)</f>
        <v>0</v>
      </c>
      <c r="P80" s="527">
        <f>IF(Inventory!AH83="","",Inventory!AH83)</f>
        <v>0</v>
      </c>
      <c r="Q80" s="527">
        <f>IF(Inventory!AI83="","",Inventory!AI83)</f>
        <v>0</v>
      </c>
      <c r="R80" s="527">
        <f>IF(Inventory!AJ83="","",Inventory!AJ83)</f>
        <v>999999999</v>
      </c>
      <c r="S80" s="777" t="str">
        <f>IF(Inventory!AK83="","",Inventory!AK83)</f>
        <v/>
      </c>
      <c r="T80" s="776" t="str">
        <f>IF(Inventory!AL83="","",Inventory!AL83)</f>
        <v/>
      </c>
      <c r="U80" s="777" t="str">
        <f>IF(Inventory!AM83="","",Inventory!AM83)</f>
        <v/>
      </c>
      <c r="V80" s="767" t="str">
        <f>IF(Inventory!AN83="","",Inventory!AN83)</f>
        <v/>
      </c>
      <c r="W80" s="778" t="str">
        <f>IF(Inventory!AO83="","",Inventory!AO83)</f>
        <v/>
      </c>
      <c r="X80" s="778" t="str">
        <f>IF(Inventory!AP83="","",Inventory!AP83)</f>
        <v/>
      </c>
      <c r="Y80" s="767" t="str">
        <f>IF(Inventory!AQ83="","",Inventory!AQ83)</f>
        <v/>
      </c>
      <c r="Z80" s="778" t="str">
        <f>IF(Inventory!AR83="","",Inventory!AR83)</f>
        <v/>
      </c>
      <c r="AA80" s="751" t="str">
        <f>IF(Inventory!AS83="","",Inventory!AS83)</f>
        <v/>
      </c>
      <c r="AB80" s="871"/>
    </row>
    <row r="81" spans="2:28" s="618" customFormat="1" ht="21.95" customHeight="1" x14ac:dyDescent="0.25">
      <c r="B81" s="431">
        <v>75</v>
      </c>
      <c r="C81" s="501" t="str">
        <f>IF(Inventory!C84="","",Inventory!C84)</f>
        <v/>
      </c>
      <c r="D81" s="502" t="str">
        <f>IF(Inventory!D84="","",Inventory!D84)</f>
        <v/>
      </c>
      <c r="E81" s="557" t="str">
        <f>IF(Inventory!W84="","",Inventory!W84)</f>
        <v/>
      </c>
      <c r="F81" s="788" t="str">
        <f>IF(Inventory!X84="","",Inventory!X84)</f>
        <v/>
      </c>
      <c r="G81" s="788" t="str">
        <f>IF(Inventory!Y84="","",Inventory!Y84)</f>
        <v/>
      </c>
      <c r="H81" s="729" t="str">
        <f>IF(Inventory!Z84="","",Inventory!Z84)</f>
        <v/>
      </c>
      <c r="I81" s="729" t="str">
        <f>IF(Inventory!AA84="","",Inventory!AA84)</f>
        <v/>
      </c>
      <c r="J81" s="729" t="str">
        <f>IF(Inventory!AB84="","",Inventory!AB84)</f>
        <v/>
      </c>
      <c r="K81" s="729" t="str">
        <f>IF(Inventory!AC84="","",Inventory!AC84)</f>
        <v/>
      </c>
      <c r="L81" s="765" t="str">
        <f>IF(Inventory!AD84="","",Inventory!AD84)</f>
        <v/>
      </c>
      <c r="M81" s="527">
        <f>IF(Inventory!AE84="","",Inventory!AE84)</f>
        <v>0</v>
      </c>
      <c r="N81" s="527">
        <f>IF(Inventory!AF84="","",Inventory!AF84)</f>
        <v>0</v>
      </c>
      <c r="O81" s="527">
        <f>IF(Inventory!AG84="","",Inventory!AG84)</f>
        <v>0</v>
      </c>
      <c r="P81" s="527">
        <f>IF(Inventory!AH84="","",Inventory!AH84)</f>
        <v>0</v>
      </c>
      <c r="Q81" s="527">
        <f>IF(Inventory!AI84="","",Inventory!AI84)</f>
        <v>0</v>
      </c>
      <c r="R81" s="527">
        <f>IF(Inventory!AJ84="","",Inventory!AJ84)</f>
        <v>999999999</v>
      </c>
      <c r="S81" s="758" t="str">
        <f>IF(Inventory!AK84="","",Inventory!AK84)</f>
        <v/>
      </c>
      <c r="T81" s="765" t="str">
        <f>IF(Inventory!AL84="","",Inventory!AL84)</f>
        <v/>
      </c>
      <c r="U81" s="758" t="str">
        <f>IF(Inventory!AM84="","",Inventory!AM84)</f>
        <v/>
      </c>
      <c r="V81" s="729" t="str">
        <f>IF(Inventory!AN84="","",Inventory!AN84)</f>
        <v/>
      </c>
      <c r="W81" s="775" t="str">
        <f>IF(Inventory!AO84="","",Inventory!AO84)</f>
        <v/>
      </c>
      <c r="X81" s="775" t="str">
        <f>IF(Inventory!AP84="","",Inventory!AP84)</f>
        <v/>
      </c>
      <c r="Y81" s="729" t="str">
        <f>IF(Inventory!AQ84="","",Inventory!AQ84)</f>
        <v/>
      </c>
      <c r="Z81" s="775" t="str">
        <f>IF(Inventory!AR84="","",Inventory!AR84)</f>
        <v/>
      </c>
      <c r="AA81" s="779" t="str">
        <f>IF(Inventory!AS84="","",Inventory!AS84)</f>
        <v/>
      </c>
      <c r="AB81" s="866"/>
    </row>
    <row r="82" spans="2:28" s="618" customFormat="1" ht="21.95" customHeight="1" x14ac:dyDescent="0.25">
      <c r="B82" s="432">
        <v>76</v>
      </c>
      <c r="C82" s="499" t="str">
        <f>IF(Inventory!C85="","",Inventory!C85)</f>
        <v/>
      </c>
      <c r="D82" s="751" t="str">
        <f>IF(Inventory!D85="","",Inventory!D85)</f>
        <v/>
      </c>
      <c r="E82" s="556" t="str">
        <f>IF(Inventory!W85="","",Inventory!W85)</f>
        <v/>
      </c>
      <c r="F82" s="785" t="str">
        <f>IF(Inventory!X85="","",Inventory!X85)</f>
        <v/>
      </c>
      <c r="G82" s="785" t="str">
        <f>IF(Inventory!Y85="","",Inventory!Y85)</f>
        <v/>
      </c>
      <c r="H82" s="767" t="str">
        <f>IF(Inventory!Z85="","",Inventory!Z85)</f>
        <v/>
      </c>
      <c r="I82" s="767" t="str">
        <f>IF(Inventory!AA85="","",Inventory!AA85)</f>
        <v/>
      </c>
      <c r="J82" s="767" t="str">
        <f>IF(Inventory!AB85="","",Inventory!AB85)</f>
        <v/>
      </c>
      <c r="K82" s="767" t="str">
        <f>IF(Inventory!AC85="","",Inventory!AC85)</f>
        <v/>
      </c>
      <c r="L82" s="776" t="str">
        <f>IF(Inventory!AD85="","",Inventory!AD85)</f>
        <v/>
      </c>
      <c r="M82" s="527">
        <f>IF(Inventory!AE85="","",Inventory!AE85)</f>
        <v>0</v>
      </c>
      <c r="N82" s="527">
        <f>IF(Inventory!AF85="","",Inventory!AF85)</f>
        <v>0</v>
      </c>
      <c r="O82" s="527">
        <f>IF(Inventory!AG85="","",Inventory!AG85)</f>
        <v>0</v>
      </c>
      <c r="P82" s="527">
        <f>IF(Inventory!AH85="","",Inventory!AH85)</f>
        <v>0</v>
      </c>
      <c r="Q82" s="527">
        <f>IF(Inventory!AI85="","",Inventory!AI85)</f>
        <v>0</v>
      </c>
      <c r="R82" s="527">
        <f>IF(Inventory!AJ85="","",Inventory!AJ85)</f>
        <v>999999999</v>
      </c>
      <c r="S82" s="777" t="str">
        <f>IF(Inventory!AK85="","",Inventory!AK85)</f>
        <v/>
      </c>
      <c r="T82" s="776" t="str">
        <f>IF(Inventory!AL85="","",Inventory!AL85)</f>
        <v/>
      </c>
      <c r="U82" s="777" t="str">
        <f>IF(Inventory!AM85="","",Inventory!AM85)</f>
        <v/>
      </c>
      <c r="V82" s="767" t="str">
        <f>IF(Inventory!AN85="","",Inventory!AN85)</f>
        <v/>
      </c>
      <c r="W82" s="778" t="str">
        <f>IF(Inventory!AO85="","",Inventory!AO85)</f>
        <v/>
      </c>
      <c r="X82" s="778" t="str">
        <f>IF(Inventory!AP85="","",Inventory!AP85)</f>
        <v/>
      </c>
      <c r="Y82" s="767" t="str">
        <f>IF(Inventory!AQ85="","",Inventory!AQ85)</f>
        <v/>
      </c>
      <c r="Z82" s="778" t="str">
        <f>IF(Inventory!AR85="","",Inventory!AR85)</f>
        <v/>
      </c>
      <c r="AA82" s="751" t="str">
        <f>IF(Inventory!AS85="","",Inventory!AS85)</f>
        <v/>
      </c>
      <c r="AB82" s="871"/>
    </row>
    <row r="83" spans="2:28" s="618" customFormat="1" ht="21.95" customHeight="1" x14ac:dyDescent="0.25">
      <c r="B83" s="431">
        <v>77</v>
      </c>
      <c r="C83" s="501" t="str">
        <f>IF(Inventory!C86="","",Inventory!C86)</f>
        <v/>
      </c>
      <c r="D83" s="502" t="str">
        <f>IF(Inventory!D86="","",Inventory!D86)</f>
        <v/>
      </c>
      <c r="E83" s="557" t="str">
        <f>IF(Inventory!W86="","",Inventory!W86)</f>
        <v/>
      </c>
      <c r="F83" s="788" t="str">
        <f>IF(Inventory!X86="","",Inventory!X86)</f>
        <v/>
      </c>
      <c r="G83" s="788" t="str">
        <f>IF(Inventory!Y86="","",Inventory!Y86)</f>
        <v/>
      </c>
      <c r="H83" s="729" t="str">
        <f>IF(Inventory!Z86="","",Inventory!Z86)</f>
        <v/>
      </c>
      <c r="I83" s="729" t="str">
        <f>IF(Inventory!AA86="","",Inventory!AA86)</f>
        <v/>
      </c>
      <c r="J83" s="729" t="str">
        <f>IF(Inventory!AB86="","",Inventory!AB86)</f>
        <v/>
      </c>
      <c r="K83" s="729" t="str">
        <f>IF(Inventory!AC86="","",Inventory!AC86)</f>
        <v/>
      </c>
      <c r="L83" s="765" t="str">
        <f>IF(Inventory!AD86="","",Inventory!AD86)</f>
        <v/>
      </c>
      <c r="M83" s="527">
        <f>IF(Inventory!AE86="","",Inventory!AE86)</f>
        <v>0</v>
      </c>
      <c r="N83" s="527">
        <f>IF(Inventory!AF86="","",Inventory!AF86)</f>
        <v>0</v>
      </c>
      <c r="O83" s="527">
        <f>IF(Inventory!AG86="","",Inventory!AG86)</f>
        <v>0</v>
      </c>
      <c r="P83" s="527">
        <f>IF(Inventory!AH86="","",Inventory!AH86)</f>
        <v>0</v>
      </c>
      <c r="Q83" s="527">
        <f>IF(Inventory!AI86="","",Inventory!AI86)</f>
        <v>0</v>
      </c>
      <c r="R83" s="527">
        <f>IF(Inventory!AJ86="","",Inventory!AJ86)</f>
        <v>999999999</v>
      </c>
      <c r="S83" s="758" t="str">
        <f>IF(Inventory!AK86="","",Inventory!AK86)</f>
        <v/>
      </c>
      <c r="T83" s="765" t="str">
        <f>IF(Inventory!AL86="","",Inventory!AL86)</f>
        <v/>
      </c>
      <c r="U83" s="758" t="str">
        <f>IF(Inventory!AM86="","",Inventory!AM86)</f>
        <v/>
      </c>
      <c r="V83" s="729" t="str">
        <f>IF(Inventory!AN86="","",Inventory!AN86)</f>
        <v/>
      </c>
      <c r="W83" s="775" t="str">
        <f>IF(Inventory!AO86="","",Inventory!AO86)</f>
        <v/>
      </c>
      <c r="X83" s="775" t="str">
        <f>IF(Inventory!AP86="","",Inventory!AP86)</f>
        <v/>
      </c>
      <c r="Y83" s="729" t="str">
        <f>IF(Inventory!AQ86="","",Inventory!AQ86)</f>
        <v/>
      </c>
      <c r="Z83" s="775" t="str">
        <f>IF(Inventory!AR86="","",Inventory!AR86)</f>
        <v/>
      </c>
      <c r="AA83" s="779" t="str">
        <f>IF(Inventory!AS86="","",Inventory!AS86)</f>
        <v/>
      </c>
      <c r="AB83" s="866"/>
    </row>
    <row r="84" spans="2:28" s="618" customFormat="1" ht="21.95" customHeight="1" x14ac:dyDescent="0.25">
      <c r="B84" s="432">
        <v>78</v>
      </c>
      <c r="C84" s="499" t="str">
        <f>IF(Inventory!C87="","",Inventory!C87)</f>
        <v/>
      </c>
      <c r="D84" s="751" t="str">
        <f>IF(Inventory!D87="","",Inventory!D87)</f>
        <v/>
      </c>
      <c r="E84" s="556" t="str">
        <f>IF(Inventory!W87="","",Inventory!W87)</f>
        <v/>
      </c>
      <c r="F84" s="785" t="str">
        <f>IF(Inventory!X87="","",Inventory!X87)</f>
        <v/>
      </c>
      <c r="G84" s="785" t="str">
        <f>IF(Inventory!Y87="","",Inventory!Y87)</f>
        <v/>
      </c>
      <c r="H84" s="767" t="str">
        <f>IF(Inventory!Z87="","",Inventory!Z87)</f>
        <v/>
      </c>
      <c r="I84" s="767" t="str">
        <f>IF(Inventory!AA87="","",Inventory!AA87)</f>
        <v/>
      </c>
      <c r="J84" s="767" t="str">
        <f>IF(Inventory!AB87="","",Inventory!AB87)</f>
        <v/>
      </c>
      <c r="K84" s="767" t="str">
        <f>IF(Inventory!AC87="","",Inventory!AC87)</f>
        <v/>
      </c>
      <c r="L84" s="776" t="str">
        <f>IF(Inventory!AD87="","",Inventory!AD87)</f>
        <v/>
      </c>
      <c r="M84" s="527">
        <f>IF(Inventory!AE87="","",Inventory!AE87)</f>
        <v>0</v>
      </c>
      <c r="N84" s="527">
        <f>IF(Inventory!AF87="","",Inventory!AF87)</f>
        <v>0</v>
      </c>
      <c r="O84" s="527">
        <f>IF(Inventory!AG87="","",Inventory!AG87)</f>
        <v>0</v>
      </c>
      <c r="P84" s="527">
        <f>IF(Inventory!AH87="","",Inventory!AH87)</f>
        <v>0</v>
      </c>
      <c r="Q84" s="527">
        <f>IF(Inventory!AI87="","",Inventory!AI87)</f>
        <v>0</v>
      </c>
      <c r="R84" s="527">
        <f>IF(Inventory!AJ87="","",Inventory!AJ87)</f>
        <v>999999999</v>
      </c>
      <c r="S84" s="777" t="str">
        <f>IF(Inventory!AK87="","",Inventory!AK87)</f>
        <v/>
      </c>
      <c r="T84" s="776" t="str">
        <f>IF(Inventory!AL87="","",Inventory!AL87)</f>
        <v/>
      </c>
      <c r="U84" s="777" t="str">
        <f>IF(Inventory!AM87="","",Inventory!AM87)</f>
        <v/>
      </c>
      <c r="V84" s="767" t="str">
        <f>IF(Inventory!AN87="","",Inventory!AN87)</f>
        <v/>
      </c>
      <c r="W84" s="778" t="str">
        <f>IF(Inventory!AO87="","",Inventory!AO87)</f>
        <v/>
      </c>
      <c r="X84" s="778" t="str">
        <f>IF(Inventory!AP87="","",Inventory!AP87)</f>
        <v/>
      </c>
      <c r="Y84" s="767" t="str">
        <f>IF(Inventory!AQ87="","",Inventory!AQ87)</f>
        <v/>
      </c>
      <c r="Z84" s="778" t="str">
        <f>IF(Inventory!AR87="","",Inventory!AR87)</f>
        <v/>
      </c>
      <c r="AA84" s="751" t="str">
        <f>IF(Inventory!AS87="","",Inventory!AS87)</f>
        <v/>
      </c>
      <c r="AB84" s="871"/>
    </row>
    <row r="85" spans="2:28" s="618" customFormat="1" ht="21.95" customHeight="1" x14ac:dyDescent="0.25">
      <c r="B85" s="431">
        <v>79</v>
      </c>
      <c r="C85" s="501" t="str">
        <f>IF(Inventory!C88="","",Inventory!C88)</f>
        <v/>
      </c>
      <c r="D85" s="502" t="str">
        <f>IF(Inventory!D88="","",Inventory!D88)</f>
        <v/>
      </c>
      <c r="E85" s="557" t="str">
        <f>IF(Inventory!W88="","",Inventory!W88)</f>
        <v/>
      </c>
      <c r="F85" s="788" t="str">
        <f>IF(Inventory!X88="","",Inventory!X88)</f>
        <v/>
      </c>
      <c r="G85" s="788" t="str">
        <f>IF(Inventory!Y88="","",Inventory!Y88)</f>
        <v/>
      </c>
      <c r="H85" s="729" t="str">
        <f>IF(Inventory!Z88="","",Inventory!Z88)</f>
        <v/>
      </c>
      <c r="I85" s="729" t="str">
        <f>IF(Inventory!AA88="","",Inventory!AA88)</f>
        <v/>
      </c>
      <c r="J85" s="729" t="str">
        <f>IF(Inventory!AB88="","",Inventory!AB88)</f>
        <v/>
      </c>
      <c r="K85" s="729" t="str">
        <f>IF(Inventory!AC88="","",Inventory!AC88)</f>
        <v/>
      </c>
      <c r="L85" s="765" t="str">
        <f>IF(Inventory!AD88="","",Inventory!AD88)</f>
        <v/>
      </c>
      <c r="M85" s="527">
        <f>IF(Inventory!AE88="","",Inventory!AE88)</f>
        <v>0</v>
      </c>
      <c r="N85" s="527">
        <f>IF(Inventory!AF88="","",Inventory!AF88)</f>
        <v>0</v>
      </c>
      <c r="O85" s="527">
        <f>IF(Inventory!AG88="","",Inventory!AG88)</f>
        <v>0</v>
      </c>
      <c r="P85" s="527">
        <f>IF(Inventory!AH88="","",Inventory!AH88)</f>
        <v>0</v>
      </c>
      <c r="Q85" s="527">
        <f>IF(Inventory!AI88="","",Inventory!AI88)</f>
        <v>0</v>
      </c>
      <c r="R85" s="527">
        <f>IF(Inventory!AJ88="","",Inventory!AJ88)</f>
        <v>999999999</v>
      </c>
      <c r="S85" s="758" t="str">
        <f>IF(Inventory!AK88="","",Inventory!AK88)</f>
        <v/>
      </c>
      <c r="T85" s="765" t="str">
        <f>IF(Inventory!AL88="","",Inventory!AL88)</f>
        <v/>
      </c>
      <c r="U85" s="758" t="str">
        <f>IF(Inventory!AM88="","",Inventory!AM88)</f>
        <v/>
      </c>
      <c r="V85" s="729" t="str">
        <f>IF(Inventory!AN88="","",Inventory!AN88)</f>
        <v/>
      </c>
      <c r="W85" s="775" t="str">
        <f>IF(Inventory!AO88="","",Inventory!AO88)</f>
        <v/>
      </c>
      <c r="X85" s="775" t="str">
        <f>IF(Inventory!AP88="","",Inventory!AP88)</f>
        <v/>
      </c>
      <c r="Y85" s="729" t="str">
        <f>IF(Inventory!AQ88="","",Inventory!AQ88)</f>
        <v/>
      </c>
      <c r="Z85" s="775" t="str">
        <f>IF(Inventory!AR88="","",Inventory!AR88)</f>
        <v/>
      </c>
      <c r="AA85" s="779" t="str">
        <f>IF(Inventory!AS88="","",Inventory!AS88)</f>
        <v/>
      </c>
      <c r="AB85" s="866"/>
    </row>
    <row r="86" spans="2:28" s="618" customFormat="1" ht="21.95" customHeight="1" x14ac:dyDescent="0.25">
      <c r="B86" s="432">
        <v>80</v>
      </c>
      <c r="C86" s="499" t="str">
        <f>IF(Inventory!C89="","",Inventory!C89)</f>
        <v/>
      </c>
      <c r="D86" s="751" t="str">
        <f>IF(Inventory!D89="","",Inventory!D89)</f>
        <v/>
      </c>
      <c r="E86" s="556" t="str">
        <f>IF(Inventory!W89="","",Inventory!W89)</f>
        <v/>
      </c>
      <c r="F86" s="785" t="str">
        <f>IF(Inventory!X89="","",Inventory!X89)</f>
        <v/>
      </c>
      <c r="G86" s="785" t="str">
        <f>IF(Inventory!Y89="","",Inventory!Y89)</f>
        <v/>
      </c>
      <c r="H86" s="767" t="str">
        <f>IF(Inventory!Z89="","",Inventory!Z89)</f>
        <v/>
      </c>
      <c r="I86" s="767" t="str">
        <f>IF(Inventory!AA89="","",Inventory!AA89)</f>
        <v/>
      </c>
      <c r="J86" s="767" t="str">
        <f>IF(Inventory!AB89="","",Inventory!AB89)</f>
        <v/>
      </c>
      <c r="K86" s="767" t="str">
        <f>IF(Inventory!AC89="","",Inventory!AC89)</f>
        <v/>
      </c>
      <c r="L86" s="776" t="str">
        <f>IF(Inventory!AD89="","",Inventory!AD89)</f>
        <v/>
      </c>
      <c r="M86" s="527">
        <f>IF(Inventory!AE89="","",Inventory!AE89)</f>
        <v>0</v>
      </c>
      <c r="N86" s="527">
        <f>IF(Inventory!AF89="","",Inventory!AF89)</f>
        <v>0</v>
      </c>
      <c r="O86" s="527">
        <f>IF(Inventory!AG89="","",Inventory!AG89)</f>
        <v>0</v>
      </c>
      <c r="P86" s="527">
        <f>IF(Inventory!AH89="","",Inventory!AH89)</f>
        <v>0</v>
      </c>
      <c r="Q86" s="527">
        <f>IF(Inventory!AI89="","",Inventory!AI89)</f>
        <v>0</v>
      </c>
      <c r="R86" s="527">
        <f>IF(Inventory!AJ89="","",Inventory!AJ89)</f>
        <v>999999999</v>
      </c>
      <c r="S86" s="777" t="str">
        <f>IF(Inventory!AK89="","",Inventory!AK89)</f>
        <v/>
      </c>
      <c r="T86" s="776" t="str">
        <f>IF(Inventory!AL89="","",Inventory!AL89)</f>
        <v/>
      </c>
      <c r="U86" s="777" t="str">
        <f>IF(Inventory!AM89="","",Inventory!AM89)</f>
        <v/>
      </c>
      <c r="V86" s="767" t="str">
        <f>IF(Inventory!AN89="","",Inventory!AN89)</f>
        <v/>
      </c>
      <c r="W86" s="778" t="str">
        <f>IF(Inventory!AO89="","",Inventory!AO89)</f>
        <v/>
      </c>
      <c r="X86" s="778" t="str">
        <f>IF(Inventory!AP89="","",Inventory!AP89)</f>
        <v/>
      </c>
      <c r="Y86" s="767" t="str">
        <f>IF(Inventory!AQ89="","",Inventory!AQ89)</f>
        <v/>
      </c>
      <c r="Z86" s="778" t="str">
        <f>IF(Inventory!AR89="","",Inventory!AR89)</f>
        <v/>
      </c>
      <c r="AA86" s="751" t="str">
        <f>IF(Inventory!AS89="","",Inventory!AS89)</f>
        <v/>
      </c>
      <c r="AB86" s="871"/>
    </row>
    <row r="87" spans="2:28" s="618" customFormat="1" ht="21.95" customHeight="1" x14ac:dyDescent="0.25">
      <c r="B87" s="431">
        <v>81</v>
      </c>
      <c r="C87" s="501" t="str">
        <f>IF(Inventory!C90="","",Inventory!C90)</f>
        <v/>
      </c>
      <c r="D87" s="502" t="str">
        <f>IF(Inventory!D90="","",Inventory!D90)</f>
        <v/>
      </c>
      <c r="E87" s="557" t="str">
        <f>IF(Inventory!W90="","",Inventory!W90)</f>
        <v/>
      </c>
      <c r="F87" s="788" t="str">
        <f>IF(Inventory!X90="","",Inventory!X90)</f>
        <v/>
      </c>
      <c r="G87" s="788" t="str">
        <f>IF(Inventory!Y90="","",Inventory!Y90)</f>
        <v/>
      </c>
      <c r="H87" s="729" t="str">
        <f>IF(Inventory!Z90="","",Inventory!Z90)</f>
        <v/>
      </c>
      <c r="I87" s="729" t="str">
        <f>IF(Inventory!AA90="","",Inventory!AA90)</f>
        <v/>
      </c>
      <c r="J87" s="729" t="str">
        <f>IF(Inventory!AB90="","",Inventory!AB90)</f>
        <v/>
      </c>
      <c r="K87" s="729" t="str">
        <f>IF(Inventory!AC90="","",Inventory!AC90)</f>
        <v/>
      </c>
      <c r="L87" s="765" t="str">
        <f>IF(Inventory!AD90="","",Inventory!AD90)</f>
        <v/>
      </c>
      <c r="M87" s="527">
        <f>IF(Inventory!AE90="","",Inventory!AE90)</f>
        <v>0</v>
      </c>
      <c r="N87" s="527">
        <f>IF(Inventory!AF90="","",Inventory!AF90)</f>
        <v>0</v>
      </c>
      <c r="O87" s="527">
        <f>IF(Inventory!AG90="","",Inventory!AG90)</f>
        <v>0</v>
      </c>
      <c r="P87" s="527">
        <f>IF(Inventory!AH90="","",Inventory!AH90)</f>
        <v>0</v>
      </c>
      <c r="Q87" s="527">
        <f>IF(Inventory!AI90="","",Inventory!AI90)</f>
        <v>0</v>
      </c>
      <c r="R87" s="527">
        <f>IF(Inventory!AJ90="","",Inventory!AJ90)</f>
        <v>999999999</v>
      </c>
      <c r="S87" s="758" t="str">
        <f>IF(Inventory!AK90="","",Inventory!AK90)</f>
        <v/>
      </c>
      <c r="T87" s="765" t="str">
        <f>IF(Inventory!AL90="","",Inventory!AL90)</f>
        <v/>
      </c>
      <c r="U87" s="758" t="str">
        <f>IF(Inventory!AM90="","",Inventory!AM90)</f>
        <v/>
      </c>
      <c r="V87" s="729" t="str">
        <f>IF(Inventory!AN90="","",Inventory!AN90)</f>
        <v/>
      </c>
      <c r="W87" s="775" t="str">
        <f>IF(Inventory!AO90="","",Inventory!AO90)</f>
        <v/>
      </c>
      <c r="X87" s="775" t="str">
        <f>IF(Inventory!AP90="","",Inventory!AP90)</f>
        <v/>
      </c>
      <c r="Y87" s="729" t="str">
        <f>IF(Inventory!AQ90="","",Inventory!AQ90)</f>
        <v/>
      </c>
      <c r="Z87" s="775" t="str">
        <f>IF(Inventory!AR90="","",Inventory!AR90)</f>
        <v/>
      </c>
      <c r="AA87" s="779" t="str">
        <f>IF(Inventory!AS90="","",Inventory!AS90)</f>
        <v/>
      </c>
      <c r="AB87" s="866"/>
    </row>
    <row r="88" spans="2:28" s="618" customFormat="1" ht="21.95" customHeight="1" x14ac:dyDescent="0.25">
      <c r="B88" s="432">
        <v>82</v>
      </c>
      <c r="C88" s="499" t="str">
        <f>IF(Inventory!C91="","",Inventory!C91)</f>
        <v/>
      </c>
      <c r="D88" s="751" t="str">
        <f>IF(Inventory!D91="","",Inventory!D91)</f>
        <v/>
      </c>
      <c r="E88" s="556" t="str">
        <f>IF(Inventory!W91="","",Inventory!W91)</f>
        <v/>
      </c>
      <c r="F88" s="785" t="str">
        <f>IF(Inventory!X91="","",Inventory!X91)</f>
        <v/>
      </c>
      <c r="G88" s="785" t="str">
        <f>IF(Inventory!Y91="","",Inventory!Y91)</f>
        <v/>
      </c>
      <c r="H88" s="767" t="str">
        <f>IF(Inventory!Z91="","",Inventory!Z91)</f>
        <v/>
      </c>
      <c r="I88" s="767" t="str">
        <f>IF(Inventory!AA91="","",Inventory!AA91)</f>
        <v/>
      </c>
      <c r="J88" s="767" t="str">
        <f>IF(Inventory!AB91="","",Inventory!AB91)</f>
        <v/>
      </c>
      <c r="K88" s="767" t="str">
        <f>IF(Inventory!AC91="","",Inventory!AC91)</f>
        <v/>
      </c>
      <c r="L88" s="776" t="str">
        <f>IF(Inventory!AD91="","",Inventory!AD91)</f>
        <v/>
      </c>
      <c r="M88" s="527">
        <f>IF(Inventory!AE91="","",Inventory!AE91)</f>
        <v>0</v>
      </c>
      <c r="N88" s="527">
        <f>IF(Inventory!AF91="","",Inventory!AF91)</f>
        <v>0</v>
      </c>
      <c r="O88" s="527">
        <f>IF(Inventory!AG91="","",Inventory!AG91)</f>
        <v>0</v>
      </c>
      <c r="P88" s="527">
        <f>IF(Inventory!AH91="","",Inventory!AH91)</f>
        <v>0</v>
      </c>
      <c r="Q88" s="527">
        <f>IF(Inventory!AI91="","",Inventory!AI91)</f>
        <v>0</v>
      </c>
      <c r="R88" s="527">
        <f>IF(Inventory!AJ91="","",Inventory!AJ91)</f>
        <v>999999999</v>
      </c>
      <c r="S88" s="777" t="str">
        <f>IF(Inventory!AK91="","",Inventory!AK91)</f>
        <v/>
      </c>
      <c r="T88" s="776" t="str">
        <f>IF(Inventory!AL91="","",Inventory!AL91)</f>
        <v/>
      </c>
      <c r="U88" s="777" t="str">
        <f>IF(Inventory!AM91="","",Inventory!AM91)</f>
        <v/>
      </c>
      <c r="V88" s="767" t="str">
        <f>IF(Inventory!AN91="","",Inventory!AN91)</f>
        <v/>
      </c>
      <c r="W88" s="778" t="str">
        <f>IF(Inventory!AO91="","",Inventory!AO91)</f>
        <v/>
      </c>
      <c r="X88" s="778" t="str">
        <f>IF(Inventory!AP91="","",Inventory!AP91)</f>
        <v/>
      </c>
      <c r="Y88" s="767" t="str">
        <f>IF(Inventory!AQ91="","",Inventory!AQ91)</f>
        <v/>
      </c>
      <c r="Z88" s="778" t="str">
        <f>IF(Inventory!AR91="","",Inventory!AR91)</f>
        <v/>
      </c>
      <c r="AA88" s="751" t="str">
        <f>IF(Inventory!AS91="","",Inventory!AS91)</f>
        <v/>
      </c>
      <c r="AB88" s="871"/>
    </row>
    <row r="89" spans="2:28" s="618" customFormat="1" ht="21.95" customHeight="1" x14ac:dyDescent="0.25">
      <c r="B89" s="431">
        <v>83</v>
      </c>
      <c r="C89" s="501" t="str">
        <f>IF(Inventory!C92="","",Inventory!C92)</f>
        <v/>
      </c>
      <c r="D89" s="502" t="str">
        <f>IF(Inventory!D92="","",Inventory!D92)</f>
        <v/>
      </c>
      <c r="E89" s="557" t="str">
        <f>IF(Inventory!W92="","",Inventory!W92)</f>
        <v/>
      </c>
      <c r="F89" s="788" t="str">
        <f>IF(Inventory!X92="","",Inventory!X92)</f>
        <v/>
      </c>
      <c r="G89" s="788" t="str">
        <f>IF(Inventory!Y92="","",Inventory!Y92)</f>
        <v/>
      </c>
      <c r="H89" s="729" t="str">
        <f>IF(Inventory!Z92="","",Inventory!Z92)</f>
        <v/>
      </c>
      <c r="I89" s="729" t="str">
        <f>IF(Inventory!AA92="","",Inventory!AA92)</f>
        <v/>
      </c>
      <c r="J89" s="729" t="str">
        <f>IF(Inventory!AB92="","",Inventory!AB92)</f>
        <v/>
      </c>
      <c r="K89" s="729" t="str">
        <f>IF(Inventory!AC92="","",Inventory!AC92)</f>
        <v/>
      </c>
      <c r="L89" s="765" t="str">
        <f>IF(Inventory!AD92="","",Inventory!AD92)</f>
        <v/>
      </c>
      <c r="M89" s="527">
        <f>IF(Inventory!AE92="","",Inventory!AE92)</f>
        <v>0</v>
      </c>
      <c r="N89" s="527">
        <f>IF(Inventory!AF92="","",Inventory!AF92)</f>
        <v>0</v>
      </c>
      <c r="O89" s="527">
        <f>IF(Inventory!AG92="","",Inventory!AG92)</f>
        <v>0</v>
      </c>
      <c r="P89" s="527">
        <f>IF(Inventory!AH92="","",Inventory!AH92)</f>
        <v>0</v>
      </c>
      <c r="Q89" s="527">
        <f>IF(Inventory!AI92="","",Inventory!AI92)</f>
        <v>0</v>
      </c>
      <c r="R89" s="527">
        <f>IF(Inventory!AJ92="","",Inventory!AJ92)</f>
        <v>999999999</v>
      </c>
      <c r="S89" s="758" t="str">
        <f>IF(Inventory!AK92="","",Inventory!AK92)</f>
        <v/>
      </c>
      <c r="T89" s="765" t="str">
        <f>IF(Inventory!AL92="","",Inventory!AL92)</f>
        <v/>
      </c>
      <c r="U89" s="758" t="str">
        <f>IF(Inventory!AM92="","",Inventory!AM92)</f>
        <v/>
      </c>
      <c r="V89" s="729" t="str">
        <f>IF(Inventory!AN92="","",Inventory!AN92)</f>
        <v/>
      </c>
      <c r="W89" s="775" t="str">
        <f>IF(Inventory!AO92="","",Inventory!AO92)</f>
        <v/>
      </c>
      <c r="X89" s="775" t="str">
        <f>IF(Inventory!AP92="","",Inventory!AP92)</f>
        <v/>
      </c>
      <c r="Y89" s="729" t="str">
        <f>IF(Inventory!AQ92="","",Inventory!AQ92)</f>
        <v/>
      </c>
      <c r="Z89" s="775" t="str">
        <f>IF(Inventory!AR92="","",Inventory!AR92)</f>
        <v/>
      </c>
      <c r="AA89" s="779" t="str">
        <f>IF(Inventory!AS92="","",Inventory!AS92)</f>
        <v/>
      </c>
      <c r="AB89" s="866"/>
    </row>
    <row r="90" spans="2:28" s="618" customFormat="1" ht="21.95" customHeight="1" x14ac:dyDescent="0.25">
      <c r="B90" s="432">
        <v>84</v>
      </c>
      <c r="C90" s="499" t="str">
        <f>IF(Inventory!C93="","",Inventory!C93)</f>
        <v/>
      </c>
      <c r="D90" s="751" t="str">
        <f>IF(Inventory!D93="","",Inventory!D93)</f>
        <v/>
      </c>
      <c r="E90" s="556" t="str">
        <f>IF(Inventory!W93="","",Inventory!W93)</f>
        <v/>
      </c>
      <c r="F90" s="785" t="str">
        <f>IF(Inventory!X93="","",Inventory!X93)</f>
        <v/>
      </c>
      <c r="G90" s="785" t="str">
        <f>IF(Inventory!Y93="","",Inventory!Y93)</f>
        <v/>
      </c>
      <c r="H90" s="767" t="str">
        <f>IF(Inventory!Z93="","",Inventory!Z93)</f>
        <v/>
      </c>
      <c r="I90" s="767" t="str">
        <f>IF(Inventory!AA93="","",Inventory!AA93)</f>
        <v/>
      </c>
      <c r="J90" s="767" t="str">
        <f>IF(Inventory!AB93="","",Inventory!AB93)</f>
        <v/>
      </c>
      <c r="K90" s="767" t="str">
        <f>IF(Inventory!AC93="","",Inventory!AC93)</f>
        <v/>
      </c>
      <c r="L90" s="776" t="str">
        <f>IF(Inventory!AD93="","",Inventory!AD93)</f>
        <v/>
      </c>
      <c r="M90" s="527">
        <f>IF(Inventory!AE93="","",Inventory!AE93)</f>
        <v>0</v>
      </c>
      <c r="N90" s="527">
        <f>IF(Inventory!AF93="","",Inventory!AF93)</f>
        <v>0</v>
      </c>
      <c r="O90" s="527">
        <f>IF(Inventory!AG93="","",Inventory!AG93)</f>
        <v>0</v>
      </c>
      <c r="P90" s="527">
        <f>IF(Inventory!AH93="","",Inventory!AH93)</f>
        <v>0</v>
      </c>
      <c r="Q90" s="527">
        <f>IF(Inventory!AI93="","",Inventory!AI93)</f>
        <v>0</v>
      </c>
      <c r="R90" s="527">
        <f>IF(Inventory!AJ93="","",Inventory!AJ93)</f>
        <v>999999999</v>
      </c>
      <c r="S90" s="777" t="str">
        <f>IF(Inventory!AK93="","",Inventory!AK93)</f>
        <v/>
      </c>
      <c r="T90" s="776" t="str">
        <f>IF(Inventory!AL93="","",Inventory!AL93)</f>
        <v/>
      </c>
      <c r="U90" s="777" t="str">
        <f>IF(Inventory!AM93="","",Inventory!AM93)</f>
        <v/>
      </c>
      <c r="V90" s="767" t="str">
        <f>IF(Inventory!AN93="","",Inventory!AN93)</f>
        <v/>
      </c>
      <c r="W90" s="778" t="str">
        <f>IF(Inventory!AO93="","",Inventory!AO93)</f>
        <v/>
      </c>
      <c r="X90" s="778" t="str">
        <f>IF(Inventory!AP93="","",Inventory!AP93)</f>
        <v/>
      </c>
      <c r="Y90" s="767" t="str">
        <f>IF(Inventory!AQ93="","",Inventory!AQ93)</f>
        <v/>
      </c>
      <c r="Z90" s="778" t="str">
        <f>IF(Inventory!AR93="","",Inventory!AR93)</f>
        <v/>
      </c>
      <c r="AA90" s="751" t="str">
        <f>IF(Inventory!AS93="","",Inventory!AS93)</f>
        <v/>
      </c>
      <c r="AB90" s="871"/>
    </row>
    <row r="91" spans="2:28" s="618" customFormat="1" ht="21.95" customHeight="1" x14ac:dyDescent="0.25">
      <c r="B91" s="431">
        <v>85</v>
      </c>
      <c r="C91" s="501" t="str">
        <f>IF(Inventory!C94="","",Inventory!C94)</f>
        <v/>
      </c>
      <c r="D91" s="502" t="str">
        <f>IF(Inventory!D94="","",Inventory!D94)</f>
        <v/>
      </c>
      <c r="E91" s="557" t="str">
        <f>IF(Inventory!W94="","",Inventory!W94)</f>
        <v/>
      </c>
      <c r="F91" s="788" t="str">
        <f>IF(Inventory!X94="","",Inventory!X94)</f>
        <v/>
      </c>
      <c r="G91" s="788" t="str">
        <f>IF(Inventory!Y94="","",Inventory!Y94)</f>
        <v/>
      </c>
      <c r="H91" s="729" t="str">
        <f>IF(Inventory!Z94="","",Inventory!Z94)</f>
        <v/>
      </c>
      <c r="I91" s="729" t="str">
        <f>IF(Inventory!AA94="","",Inventory!AA94)</f>
        <v/>
      </c>
      <c r="J91" s="729" t="str">
        <f>IF(Inventory!AB94="","",Inventory!AB94)</f>
        <v/>
      </c>
      <c r="K91" s="729" t="str">
        <f>IF(Inventory!AC94="","",Inventory!AC94)</f>
        <v/>
      </c>
      <c r="L91" s="765" t="str">
        <f>IF(Inventory!AD94="","",Inventory!AD94)</f>
        <v/>
      </c>
      <c r="M91" s="527">
        <f>IF(Inventory!AE94="","",Inventory!AE94)</f>
        <v>0</v>
      </c>
      <c r="N91" s="527">
        <f>IF(Inventory!AF94="","",Inventory!AF94)</f>
        <v>0</v>
      </c>
      <c r="O91" s="527">
        <f>IF(Inventory!AG94="","",Inventory!AG94)</f>
        <v>0</v>
      </c>
      <c r="P91" s="527">
        <f>IF(Inventory!AH94="","",Inventory!AH94)</f>
        <v>0</v>
      </c>
      <c r="Q91" s="527">
        <f>IF(Inventory!AI94="","",Inventory!AI94)</f>
        <v>0</v>
      </c>
      <c r="R91" s="527">
        <f>IF(Inventory!AJ94="","",Inventory!AJ94)</f>
        <v>999999999</v>
      </c>
      <c r="S91" s="758" t="str">
        <f>IF(Inventory!AK94="","",Inventory!AK94)</f>
        <v/>
      </c>
      <c r="T91" s="765" t="str">
        <f>IF(Inventory!AL94="","",Inventory!AL94)</f>
        <v/>
      </c>
      <c r="U91" s="758" t="str">
        <f>IF(Inventory!AM94="","",Inventory!AM94)</f>
        <v/>
      </c>
      <c r="V91" s="729" t="str">
        <f>IF(Inventory!AN94="","",Inventory!AN94)</f>
        <v/>
      </c>
      <c r="W91" s="775" t="str">
        <f>IF(Inventory!AO94="","",Inventory!AO94)</f>
        <v/>
      </c>
      <c r="X91" s="775" t="str">
        <f>IF(Inventory!AP94="","",Inventory!AP94)</f>
        <v/>
      </c>
      <c r="Y91" s="729" t="str">
        <f>IF(Inventory!AQ94="","",Inventory!AQ94)</f>
        <v/>
      </c>
      <c r="Z91" s="775" t="str">
        <f>IF(Inventory!AR94="","",Inventory!AR94)</f>
        <v/>
      </c>
      <c r="AA91" s="779" t="str">
        <f>IF(Inventory!AS94="","",Inventory!AS94)</f>
        <v/>
      </c>
      <c r="AB91" s="866"/>
    </row>
    <row r="92" spans="2:28" s="618" customFormat="1" ht="21.95" customHeight="1" x14ac:dyDescent="0.25">
      <c r="B92" s="432">
        <v>86</v>
      </c>
      <c r="C92" s="499" t="str">
        <f>IF(Inventory!C95="","",Inventory!C95)</f>
        <v/>
      </c>
      <c r="D92" s="751" t="str">
        <f>IF(Inventory!D95="","",Inventory!D95)</f>
        <v/>
      </c>
      <c r="E92" s="556" t="str">
        <f>IF(Inventory!W95="","",Inventory!W95)</f>
        <v/>
      </c>
      <c r="F92" s="785" t="str">
        <f>IF(Inventory!X95="","",Inventory!X95)</f>
        <v/>
      </c>
      <c r="G92" s="785" t="str">
        <f>IF(Inventory!Y95="","",Inventory!Y95)</f>
        <v/>
      </c>
      <c r="H92" s="767" t="str">
        <f>IF(Inventory!Z95="","",Inventory!Z95)</f>
        <v/>
      </c>
      <c r="I92" s="767" t="str">
        <f>IF(Inventory!AA95="","",Inventory!AA95)</f>
        <v/>
      </c>
      <c r="J92" s="767" t="str">
        <f>IF(Inventory!AB95="","",Inventory!AB95)</f>
        <v/>
      </c>
      <c r="K92" s="767" t="str">
        <f>IF(Inventory!AC95="","",Inventory!AC95)</f>
        <v/>
      </c>
      <c r="L92" s="776" t="str">
        <f>IF(Inventory!AD95="","",Inventory!AD95)</f>
        <v/>
      </c>
      <c r="M92" s="527">
        <f>IF(Inventory!AE95="","",Inventory!AE95)</f>
        <v>0</v>
      </c>
      <c r="N92" s="527">
        <f>IF(Inventory!AF95="","",Inventory!AF95)</f>
        <v>0</v>
      </c>
      <c r="O92" s="527">
        <f>IF(Inventory!AG95="","",Inventory!AG95)</f>
        <v>0</v>
      </c>
      <c r="P92" s="527">
        <f>IF(Inventory!AH95="","",Inventory!AH95)</f>
        <v>0</v>
      </c>
      <c r="Q92" s="527">
        <f>IF(Inventory!AI95="","",Inventory!AI95)</f>
        <v>0</v>
      </c>
      <c r="R92" s="527">
        <f>IF(Inventory!AJ95="","",Inventory!AJ95)</f>
        <v>999999999</v>
      </c>
      <c r="S92" s="777" t="str">
        <f>IF(Inventory!AK95="","",Inventory!AK95)</f>
        <v/>
      </c>
      <c r="T92" s="776" t="str">
        <f>IF(Inventory!AL95="","",Inventory!AL95)</f>
        <v/>
      </c>
      <c r="U92" s="777" t="str">
        <f>IF(Inventory!AM95="","",Inventory!AM95)</f>
        <v/>
      </c>
      <c r="V92" s="767" t="str">
        <f>IF(Inventory!AN95="","",Inventory!AN95)</f>
        <v/>
      </c>
      <c r="W92" s="778" t="str">
        <f>IF(Inventory!AO95="","",Inventory!AO95)</f>
        <v/>
      </c>
      <c r="X92" s="778" t="str">
        <f>IF(Inventory!AP95="","",Inventory!AP95)</f>
        <v/>
      </c>
      <c r="Y92" s="767" t="str">
        <f>IF(Inventory!AQ95="","",Inventory!AQ95)</f>
        <v/>
      </c>
      <c r="Z92" s="778" t="str">
        <f>IF(Inventory!AR95="","",Inventory!AR95)</f>
        <v/>
      </c>
      <c r="AA92" s="751" t="str">
        <f>IF(Inventory!AS95="","",Inventory!AS95)</f>
        <v/>
      </c>
      <c r="AB92" s="871"/>
    </row>
    <row r="93" spans="2:28" s="618" customFormat="1" ht="21.95" customHeight="1" x14ac:dyDescent="0.25">
      <c r="B93" s="431">
        <v>87</v>
      </c>
      <c r="C93" s="501" t="str">
        <f>IF(Inventory!C96="","",Inventory!C96)</f>
        <v/>
      </c>
      <c r="D93" s="502" t="str">
        <f>IF(Inventory!D96="","",Inventory!D96)</f>
        <v/>
      </c>
      <c r="E93" s="557" t="str">
        <f>IF(Inventory!W96="","",Inventory!W96)</f>
        <v/>
      </c>
      <c r="F93" s="788" t="str">
        <f>IF(Inventory!X96="","",Inventory!X96)</f>
        <v/>
      </c>
      <c r="G93" s="788" t="str">
        <f>IF(Inventory!Y96="","",Inventory!Y96)</f>
        <v/>
      </c>
      <c r="H93" s="729" t="str">
        <f>IF(Inventory!Z96="","",Inventory!Z96)</f>
        <v/>
      </c>
      <c r="I93" s="729" t="str">
        <f>IF(Inventory!AA96="","",Inventory!AA96)</f>
        <v/>
      </c>
      <c r="J93" s="729" t="str">
        <f>IF(Inventory!AB96="","",Inventory!AB96)</f>
        <v/>
      </c>
      <c r="K93" s="729" t="str">
        <f>IF(Inventory!AC96="","",Inventory!AC96)</f>
        <v/>
      </c>
      <c r="L93" s="765" t="str">
        <f>IF(Inventory!AD96="","",Inventory!AD96)</f>
        <v/>
      </c>
      <c r="M93" s="527">
        <f>IF(Inventory!AE96="","",Inventory!AE96)</f>
        <v>0</v>
      </c>
      <c r="N93" s="527">
        <f>IF(Inventory!AF96="","",Inventory!AF96)</f>
        <v>0</v>
      </c>
      <c r="O93" s="527">
        <f>IF(Inventory!AG96="","",Inventory!AG96)</f>
        <v>0</v>
      </c>
      <c r="P93" s="527">
        <f>IF(Inventory!AH96="","",Inventory!AH96)</f>
        <v>0</v>
      </c>
      <c r="Q93" s="527">
        <f>IF(Inventory!AI96="","",Inventory!AI96)</f>
        <v>0</v>
      </c>
      <c r="R93" s="527">
        <f>IF(Inventory!AJ96="","",Inventory!AJ96)</f>
        <v>999999999</v>
      </c>
      <c r="S93" s="758" t="str">
        <f>IF(Inventory!AK96="","",Inventory!AK96)</f>
        <v/>
      </c>
      <c r="T93" s="765" t="str">
        <f>IF(Inventory!AL96="","",Inventory!AL96)</f>
        <v/>
      </c>
      <c r="U93" s="758" t="str">
        <f>IF(Inventory!AM96="","",Inventory!AM96)</f>
        <v/>
      </c>
      <c r="V93" s="729" t="str">
        <f>IF(Inventory!AN96="","",Inventory!AN96)</f>
        <v/>
      </c>
      <c r="W93" s="775" t="str">
        <f>IF(Inventory!AO96="","",Inventory!AO96)</f>
        <v/>
      </c>
      <c r="X93" s="775" t="str">
        <f>IF(Inventory!AP96="","",Inventory!AP96)</f>
        <v/>
      </c>
      <c r="Y93" s="729" t="str">
        <f>IF(Inventory!AQ96="","",Inventory!AQ96)</f>
        <v/>
      </c>
      <c r="Z93" s="775" t="str">
        <f>IF(Inventory!AR96="","",Inventory!AR96)</f>
        <v/>
      </c>
      <c r="AA93" s="779" t="str">
        <f>IF(Inventory!AS96="","",Inventory!AS96)</f>
        <v/>
      </c>
      <c r="AB93" s="866"/>
    </row>
    <row r="94" spans="2:28" s="618" customFormat="1" ht="21.95" customHeight="1" x14ac:dyDescent="0.25">
      <c r="B94" s="432">
        <v>88</v>
      </c>
      <c r="C94" s="499" t="str">
        <f>IF(Inventory!C97="","",Inventory!C97)</f>
        <v/>
      </c>
      <c r="D94" s="751" t="str">
        <f>IF(Inventory!D97="","",Inventory!D97)</f>
        <v/>
      </c>
      <c r="E94" s="556" t="str">
        <f>IF(Inventory!W97="","",Inventory!W97)</f>
        <v/>
      </c>
      <c r="F94" s="785" t="str">
        <f>IF(Inventory!X97="","",Inventory!X97)</f>
        <v/>
      </c>
      <c r="G94" s="785" t="str">
        <f>IF(Inventory!Y97="","",Inventory!Y97)</f>
        <v/>
      </c>
      <c r="H94" s="767" t="str">
        <f>IF(Inventory!Z97="","",Inventory!Z97)</f>
        <v/>
      </c>
      <c r="I94" s="767" t="str">
        <f>IF(Inventory!AA97="","",Inventory!AA97)</f>
        <v/>
      </c>
      <c r="J94" s="767" t="str">
        <f>IF(Inventory!AB97="","",Inventory!AB97)</f>
        <v/>
      </c>
      <c r="K94" s="767" t="str">
        <f>IF(Inventory!AC97="","",Inventory!AC97)</f>
        <v/>
      </c>
      <c r="L94" s="776" t="str">
        <f>IF(Inventory!AD97="","",Inventory!AD97)</f>
        <v/>
      </c>
      <c r="M94" s="527">
        <f>IF(Inventory!AE97="","",Inventory!AE97)</f>
        <v>0</v>
      </c>
      <c r="N94" s="527">
        <f>IF(Inventory!AF97="","",Inventory!AF97)</f>
        <v>0</v>
      </c>
      <c r="O94" s="527">
        <f>IF(Inventory!AG97="","",Inventory!AG97)</f>
        <v>0</v>
      </c>
      <c r="P94" s="527">
        <f>IF(Inventory!AH97="","",Inventory!AH97)</f>
        <v>0</v>
      </c>
      <c r="Q94" s="527">
        <f>IF(Inventory!AI97="","",Inventory!AI97)</f>
        <v>0</v>
      </c>
      <c r="R94" s="527">
        <f>IF(Inventory!AJ97="","",Inventory!AJ97)</f>
        <v>999999999</v>
      </c>
      <c r="S94" s="777" t="str">
        <f>IF(Inventory!AK97="","",Inventory!AK97)</f>
        <v/>
      </c>
      <c r="T94" s="776" t="str">
        <f>IF(Inventory!AL97="","",Inventory!AL97)</f>
        <v/>
      </c>
      <c r="U94" s="777" t="str">
        <f>IF(Inventory!AM97="","",Inventory!AM97)</f>
        <v/>
      </c>
      <c r="V94" s="767" t="str">
        <f>IF(Inventory!AN97="","",Inventory!AN97)</f>
        <v/>
      </c>
      <c r="W94" s="778" t="str">
        <f>IF(Inventory!AO97="","",Inventory!AO97)</f>
        <v/>
      </c>
      <c r="X94" s="778" t="str">
        <f>IF(Inventory!AP97="","",Inventory!AP97)</f>
        <v/>
      </c>
      <c r="Y94" s="767" t="str">
        <f>IF(Inventory!AQ97="","",Inventory!AQ97)</f>
        <v/>
      </c>
      <c r="Z94" s="778" t="str">
        <f>IF(Inventory!AR97="","",Inventory!AR97)</f>
        <v/>
      </c>
      <c r="AA94" s="751" t="str">
        <f>IF(Inventory!AS97="","",Inventory!AS97)</f>
        <v/>
      </c>
      <c r="AB94" s="871"/>
    </row>
    <row r="95" spans="2:28" s="618" customFormat="1" ht="21.95" customHeight="1" x14ac:dyDescent="0.25">
      <c r="B95" s="431">
        <v>89</v>
      </c>
      <c r="C95" s="501" t="str">
        <f>IF(Inventory!C98="","",Inventory!C98)</f>
        <v/>
      </c>
      <c r="D95" s="502" t="str">
        <f>IF(Inventory!D98="","",Inventory!D98)</f>
        <v/>
      </c>
      <c r="E95" s="557" t="str">
        <f>IF(Inventory!W98="","",Inventory!W98)</f>
        <v/>
      </c>
      <c r="F95" s="788" t="str">
        <f>IF(Inventory!X98="","",Inventory!X98)</f>
        <v/>
      </c>
      <c r="G95" s="788" t="str">
        <f>IF(Inventory!Y98="","",Inventory!Y98)</f>
        <v/>
      </c>
      <c r="H95" s="729" t="str">
        <f>IF(Inventory!Z98="","",Inventory!Z98)</f>
        <v/>
      </c>
      <c r="I95" s="729" t="str">
        <f>IF(Inventory!AA98="","",Inventory!AA98)</f>
        <v/>
      </c>
      <c r="J95" s="729" t="str">
        <f>IF(Inventory!AB98="","",Inventory!AB98)</f>
        <v/>
      </c>
      <c r="K95" s="729" t="str">
        <f>IF(Inventory!AC98="","",Inventory!AC98)</f>
        <v/>
      </c>
      <c r="L95" s="765" t="str">
        <f>IF(Inventory!AD98="","",Inventory!AD98)</f>
        <v/>
      </c>
      <c r="M95" s="527">
        <f>IF(Inventory!AE98="","",Inventory!AE98)</f>
        <v>0</v>
      </c>
      <c r="N95" s="527">
        <f>IF(Inventory!AF98="","",Inventory!AF98)</f>
        <v>0</v>
      </c>
      <c r="O95" s="527">
        <f>IF(Inventory!AG98="","",Inventory!AG98)</f>
        <v>0</v>
      </c>
      <c r="P95" s="527">
        <f>IF(Inventory!AH98="","",Inventory!AH98)</f>
        <v>0</v>
      </c>
      <c r="Q95" s="527">
        <f>IF(Inventory!AI98="","",Inventory!AI98)</f>
        <v>0</v>
      </c>
      <c r="R95" s="527">
        <f>IF(Inventory!AJ98="","",Inventory!AJ98)</f>
        <v>999999999</v>
      </c>
      <c r="S95" s="758" t="str">
        <f>IF(Inventory!AK98="","",Inventory!AK98)</f>
        <v/>
      </c>
      <c r="T95" s="765" t="str">
        <f>IF(Inventory!AL98="","",Inventory!AL98)</f>
        <v/>
      </c>
      <c r="U95" s="758" t="str">
        <f>IF(Inventory!AM98="","",Inventory!AM98)</f>
        <v/>
      </c>
      <c r="V95" s="729" t="str">
        <f>IF(Inventory!AN98="","",Inventory!AN98)</f>
        <v/>
      </c>
      <c r="W95" s="775" t="str">
        <f>IF(Inventory!AO98="","",Inventory!AO98)</f>
        <v/>
      </c>
      <c r="X95" s="775" t="str">
        <f>IF(Inventory!AP98="","",Inventory!AP98)</f>
        <v/>
      </c>
      <c r="Y95" s="729" t="str">
        <f>IF(Inventory!AQ98="","",Inventory!AQ98)</f>
        <v/>
      </c>
      <c r="Z95" s="775" t="str">
        <f>IF(Inventory!AR98="","",Inventory!AR98)</f>
        <v/>
      </c>
      <c r="AA95" s="779" t="str">
        <f>IF(Inventory!AS98="","",Inventory!AS98)</f>
        <v/>
      </c>
      <c r="AB95" s="866"/>
    </row>
    <row r="96" spans="2:28" s="618" customFormat="1" ht="21.95" customHeight="1" x14ac:dyDescent="0.25">
      <c r="B96" s="432">
        <v>90</v>
      </c>
      <c r="C96" s="499" t="str">
        <f>IF(Inventory!C99="","",Inventory!C99)</f>
        <v/>
      </c>
      <c r="D96" s="751" t="str">
        <f>IF(Inventory!D99="","",Inventory!D99)</f>
        <v/>
      </c>
      <c r="E96" s="556" t="str">
        <f>IF(Inventory!W99="","",Inventory!W99)</f>
        <v/>
      </c>
      <c r="F96" s="785" t="str">
        <f>IF(Inventory!X99="","",Inventory!X99)</f>
        <v/>
      </c>
      <c r="G96" s="785" t="str">
        <f>IF(Inventory!Y99="","",Inventory!Y99)</f>
        <v/>
      </c>
      <c r="H96" s="767" t="str">
        <f>IF(Inventory!Z99="","",Inventory!Z99)</f>
        <v/>
      </c>
      <c r="I96" s="767" t="str">
        <f>IF(Inventory!AA99="","",Inventory!AA99)</f>
        <v/>
      </c>
      <c r="J96" s="767" t="str">
        <f>IF(Inventory!AB99="","",Inventory!AB99)</f>
        <v/>
      </c>
      <c r="K96" s="767" t="str">
        <f>IF(Inventory!AC99="","",Inventory!AC99)</f>
        <v/>
      </c>
      <c r="L96" s="776" t="str">
        <f>IF(Inventory!AD99="","",Inventory!AD99)</f>
        <v/>
      </c>
      <c r="M96" s="527">
        <f>IF(Inventory!AE99="","",Inventory!AE99)</f>
        <v>0</v>
      </c>
      <c r="N96" s="527">
        <f>IF(Inventory!AF99="","",Inventory!AF99)</f>
        <v>0</v>
      </c>
      <c r="O96" s="527">
        <f>IF(Inventory!AG99="","",Inventory!AG99)</f>
        <v>0</v>
      </c>
      <c r="P96" s="527">
        <f>IF(Inventory!AH99="","",Inventory!AH99)</f>
        <v>0</v>
      </c>
      <c r="Q96" s="527">
        <f>IF(Inventory!AI99="","",Inventory!AI99)</f>
        <v>0</v>
      </c>
      <c r="R96" s="527">
        <f>IF(Inventory!AJ99="","",Inventory!AJ99)</f>
        <v>999999999</v>
      </c>
      <c r="S96" s="777" t="str">
        <f>IF(Inventory!AK99="","",Inventory!AK99)</f>
        <v/>
      </c>
      <c r="T96" s="776" t="str">
        <f>IF(Inventory!AL99="","",Inventory!AL99)</f>
        <v/>
      </c>
      <c r="U96" s="777" t="str">
        <f>IF(Inventory!AM99="","",Inventory!AM99)</f>
        <v/>
      </c>
      <c r="V96" s="767" t="str">
        <f>IF(Inventory!AN99="","",Inventory!AN99)</f>
        <v/>
      </c>
      <c r="W96" s="778" t="str">
        <f>IF(Inventory!AO99="","",Inventory!AO99)</f>
        <v/>
      </c>
      <c r="X96" s="778" t="str">
        <f>IF(Inventory!AP99="","",Inventory!AP99)</f>
        <v/>
      </c>
      <c r="Y96" s="767" t="str">
        <f>IF(Inventory!AQ99="","",Inventory!AQ99)</f>
        <v/>
      </c>
      <c r="Z96" s="778" t="str">
        <f>IF(Inventory!AR99="","",Inventory!AR99)</f>
        <v/>
      </c>
      <c r="AA96" s="751" t="str">
        <f>IF(Inventory!AS99="","",Inventory!AS99)</f>
        <v/>
      </c>
      <c r="AB96" s="871"/>
    </row>
    <row r="97" spans="2:28" s="618" customFormat="1" ht="21.95" customHeight="1" x14ac:dyDescent="0.25">
      <c r="B97" s="431">
        <v>91</v>
      </c>
      <c r="C97" s="501" t="str">
        <f>IF(Inventory!C100="","",Inventory!C100)</f>
        <v/>
      </c>
      <c r="D97" s="502" t="str">
        <f>IF(Inventory!D100="","",Inventory!D100)</f>
        <v/>
      </c>
      <c r="E97" s="557" t="str">
        <f>IF(Inventory!W100="","",Inventory!W100)</f>
        <v/>
      </c>
      <c r="F97" s="788" t="str">
        <f>IF(Inventory!X100="","",Inventory!X100)</f>
        <v/>
      </c>
      <c r="G97" s="788" t="str">
        <f>IF(Inventory!Y100="","",Inventory!Y100)</f>
        <v/>
      </c>
      <c r="H97" s="729" t="str">
        <f>IF(Inventory!Z100="","",Inventory!Z100)</f>
        <v/>
      </c>
      <c r="I97" s="729" t="str">
        <f>IF(Inventory!AA100="","",Inventory!AA100)</f>
        <v/>
      </c>
      <c r="J97" s="729" t="str">
        <f>IF(Inventory!AB100="","",Inventory!AB100)</f>
        <v/>
      </c>
      <c r="K97" s="729" t="str">
        <f>IF(Inventory!AC100="","",Inventory!AC100)</f>
        <v/>
      </c>
      <c r="L97" s="765" t="str">
        <f>IF(Inventory!AD100="","",Inventory!AD100)</f>
        <v/>
      </c>
      <c r="M97" s="527">
        <f>IF(Inventory!AE100="","",Inventory!AE100)</f>
        <v>0</v>
      </c>
      <c r="N97" s="527">
        <f>IF(Inventory!AF100="","",Inventory!AF100)</f>
        <v>0</v>
      </c>
      <c r="O97" s="527">
        <f>IF(Inventory!AG100="","",Inventory!AG100)</f>
        <v>0</v>
      </c>
      <c r="P97" s="527">
        <f>IF(Inventory!AH100="","",Inventory!AH100)</f>
        <v>0</v>
      </c>
      <c r="Q97" s="527">
        <f>IF(Inventory!AI100="","",Inventory!AI100)</f>
        <v>0</v>
      </c>
      <c r="R97" s="527">
        <f>IF(Inventory!AJ100="","",Inventory!AJ100)</f>
        <v>999999999</v>
      </c>
      <c r="S97" s="758" t="str">
        <f>IF(Inventory!AK100="","",Inventory!AK100)</f>
        <v/>
      </c>
      <c r="T97" s="765" t="str">
        <f>IF(Inventory!AL100="","",Inventory!AL100)</f>
        <v/>
      </c>
      <c r="U97" s="758" t="str">
        <f>IF(Inventory!AM100="","",Inventory!AM100)</f>
        <v/>
      </c>
      <c r="V97" s="729" t="str">
        <f>IF(Inventory!AN100="","",Inventory!AN100)</f>
        <v/>
      </c>
      <c r="W97" s="775" t="str">
        <f>IF(Inventory!AO100="","",Inventory!AO100)</f>
        <v/>
      </c>
      <c r="X97" s="775" t="str">
        <f>IF(Inventory!AP100="","",Inventory!AP100)</f>
        <v/>
      </c>
      <c r="Y97" s="729" t="str">
        <f>IF(Inventory!AQ100="","",Inventory!AQ100)</f>
        <v/>
      </c>
      <c r="Z97" s="775" t="str">
        <f>IF(Inventory!AR100="","",Inventory!AR100)</f>
        <v/>
      </c>
      <c r="AA97" s="779" t="str">
        <f>IF(Inventory!AS100="","",Inventory!AS100)</f>
        <v/>
      </c>
      <c r="AB97" s="866"/>
    </row>
    <row r="98" spans="2:28" s="618" customFormat="1" ht="21.95" customHeight="1" x14ac:dyDescent="0.25">
      <c r="B98" s="432">
        <v>92</v>
      </c>
      <c r="C98" s="499" t="str">
        <f>IF(Inventory!C101="","",Inventory!C101)</f>
        <v/>
      </c>
      <c r="D98" s="751" t="str">
        <f>IF(Inventory!D101="","",Inventory!D101)</f>
        <v/>
      </c>
      <c r="E98" s="556" t="str">
        <f>IF(Inventory!W101="","",Inventory!W101)</f>
        <v/>
      </c>
      <c r="F98" s="785" t="str">
        <f>IF(Inventory!X101="","",Inventory!X101)</f>
        <v/>
      </c>
      <c r="G98" s="785" t="str">
        <f>IF(Inventory!Y101="","",Inventory!Y101)</f>
        <v/>
      </c>
      <c r="H98" s="767" t="str">
        <f>IF(Inventory!Z101="","",Inventory!Z101)</f>
        <v/>
      </c>
      <c r="I98" s="767" t="str">
        <f>IF(Inventory!AA101="","",Inventory!AA101)</f>
        <v/>
      </c>
      <c r="J98" s="767" t="str">
        <f>IF(Inventory!AB101="","",Inventory!AB101)</f>
        <v/>
      </c>
      <c r="K98" s="767" t="str">
        <f>IF(Inventory!AC101="","",Inventory!AC101)</f>
        <v/>
      </c>
      <c r="L98" s="776" t="str">
        <f>IF(Inventory!AD101="","",Inventory!AD101)</f>
        <v/>
      </c>
      <c r="M98" s="527">
        <f>IF(Inventory!AE101="","",Inventory!AE101)</f>
        <v>0</v>
      </c>
      <c r="N98" s="527">
        <f>IF(Inventory!AF101="","",Inventory!AF101)</f>
        <v>0</v>
      </c>
      <c r="O98" s="527">
        <f>IF(Inventory!AG101="","",Inventory!AG101)</f>
        <v>0</v>
      </c>
      <c r="P98" s="527">
        <f>IF(Inventory!AH101="","",Inventory!AH101)</f>
        <v>0</v>
      </c>
      <c r="Q98" s="527">
        <f>IF(Inventory!AI101="","",Inventory!AI101)</f>
        <v>0</v>
      </c>
      <c r="R98" s="527">
        <f>IF(Inventory!AJ101="","",Inventory!AJ101)</f>
        <v>999999999</v>
      </c>
      <c r="S98" s="777" t="str">
        <f>IF(Inventory!AK101="","",Inventory!AK101)</f>
        <v/>
      </c>
      <c r="T98" s="776" t="str">
        <f>IF(Inventory!AL101="","",Inventory!AL101)</f>
        <v/>
      </c>
      <c r="U98" s="777" t="str">
        <f>IF(Inventory!AM101="","",Inventory!AM101)</f>
        <v/>
      </c>
      <c r="V98" s="767" t="str">
        <f>IF(Inventory!AN101="","",Inventory!AN101)</f>
        <v/>
      </c>
      <c r="W98" s="778" t="str">
        <f>IF(Inventory!AO101="","",Inventory!AO101)</f>
        <v/>
      </c>
      <c r="X98" s="778" t="str">
        <f>IF(Inventory!AP101="","",Inventory!AP101)</f>
        <v/>
      </c>
      <c r="Y98" s="767" t="str">
        <f>IF(Inventory!AQ101="","",Inventory!AQ101)</f>
        <v/>
      </c>
      <c r="Z98" s="778" t="str">
        <f>IF(Inventory!AR101="","",Inventory!AR101)</f>
        <v/>
      </c>
      <c r="AA98" s="751" t="str">
        <f>IF(Inventory!AS101="","",Inventory!AS101)</f>
        <v/>
      </c>
      <c r="AB98" s="871"/>
    </row>
    <row r="99" spans="2:28" s="618" customFormat="1" ht="21.95" customHeight="1" x14ac:dyDescent="0.25">
      <c r="B99" s="431">
        <v>93</v>
      </c>
      <c r="C99" s="501" t="str">
        <f>IF(Inventory!C102="","",Inventory!C102)</f>
        <v/>
      </c>
      <c r="D99" s="502" t="str">
        <f>IF(Inventory!D102="","",Inventory!D102)</f>
        <v/>
      </c>
      <c r="E99" s="557" t="str">
        <f>IF(Inventory!W102="","",Inventory!W102)</f>
        <v/>
      </c>
      <c r="F99" s="788" t="str">
        <f>IF(Inventory!X102="","",Inventory!X102)</f>
        <v/>
      </c>
      <c r="G99" s="788" t="str">
        <f>IF(Inventory!Y102="","",Inventory!Y102)</f>
        <v/>
      </c>
      <c r="H99" s="729" t="str">
        <f>IF(Inventory!Z102="","",Inventory!Z102)</f>
        <v/>
      </c>
      <c r="I99" s="729" t="str">
        <f>IF(Inventory!AA102="","",Inventory!AA102)</f>
        <v/>
      </c>
      <c r="J99" s="729" t="str">
        <f>IF(Inventory!AB102="","",Inventory!AB102)</f>
        <v/>
      </c>
      <c r="K99" s="729" t="str">
        <f>IF(Inventory!AC102="","",Inventory!AC102)</f>
        <v/>
      </c>
      <c r="L99" s="765" t="str">
        <f>IF(Inventory!AD102="","",Inventory!AD102)</f>
        <v/>
      </c>
      <c r="M99" s="527">
        <f>IF(Inventory!AE102="","",Inventory!AE102)</f>
        <v>0</v>
      </c>
      <c r="N99" s="527">
        <f>IF(Inventory!AF102="","",Inventory!AF102)</f>
        <v>0</v>
      </c>
      <c r="O99" s="527">
        <f>IF(Inventory!AG102="","",Inventory!AG102)</f>
        <v>0</v>
      </c>
      <c r="P99" s="527">
        <f>IF(Inventory!AH102="","",Inventory!AH102)</f>
        <v>0</v>
      </c>
      <c r="Q99" s="527">
        <f>IF(Inventory!AI102="","",Inventory!AI102)</f>
        <v>0</v>
      </c>
      <c r="R99" s="527">
        <f>IF(Inventory!AJ102="","",Inventory!AJ102)</f>
        <v>999999999</v>
      </c>
      <c r="S99" s="758" t="str">
        <f>IF(Inventory!AK102="","",Inventory!AK102)</f>
        <v/>
      </c>
      <c r="T99" s="765" t="str">
        <f>IF(Inventory!AL102="","",Inventory!AL102)</f>
        <v/>
      </c>
      <c r="U99" s="758" t="str">
        <f>IF(Inventory!AM102="","",Inventory!AM102)</f>
        <v/>
      </c>
      <c r="V99" s="729" t="str">
        <f>IF(Inventory!AN102="","",Inventory!AN102)</f>
        <v/>
      </c>
      <c r="W99" s="775" t="str">
        <f>IF(Inventory!AO102="","",Inventory!AO102)</f>
        <v/>
      </c>
      <c r="X99" s="775" t="str">
        <f>IF(Inventory!AP102="","",Inventory!AP102)</f>
        <v/>
      </c>
      <c r="Y99" s="729" t="str">
        <f>IF(Inventory!AQ102="","",Inventory!AQ102)</f>
        <v/>
      </c>
      <c r="Z99" s="775" t="str">
        <f>IF(Inventory!AR102="","",Inventory!AR102)</f>
        <v/>
      </c>
      <c r="AA99" s="779" t="str">
        <f>IF(Inventory!AS102="","",Inventory!AS102)</f>
        <v/>
      </c>
      <c r="AB99" s="866"/>
    </row>
    <row r="100" spans="2:28" s="618" customFormat="1" ht="21.95" customHeight="1" x14ac:dyDescent="0.25">
      <c r="B100" s="432">
        <v>94</v>
      </c>
      <c r="C100" s="499" t="str">
        <f>IF(Inventory!C103="","",Inventory!C103)</f>
        <v/>
      </c>
      <c r="D100" s="751" t="str">
        <f>IF(Inventory!D103="","",Inventory!D103)</f>
        <v/>
      </c>
      <c r="E100" s="556" t="str">
        <f>IF(Inventory!W103="","",Inventory!W103)</f>
        <v/>
      </c>
      <c r="F100" s="785" t="str">
        <f>IF(Inventory!X103="","",Inventory!X103)</f>
        <v/>
      </c>
      <c r="G100" s="785" t="str">
        <f>IF(Inventory!Y103="","",Inventory!Y103)</f>
        <v/>
      </c>
      <c r="H100" s="767" t="str">
        <f>IF(Inventory!Z103="","",Inventory!Z103)</f>
        <v/>
      </c>
      <c r="I100" s="767" t="str">
        <f>IF(Inventory!AA103="","",Inventory!AA103)</f>
        <v/>
      </c>
      <c r="J100" s="767" t="str">
        <f>IF(Inventory!AB103="","",Inventory!AB103)</f>
        <v/>
      </c>
      <c r="K100" s="767" t="str">
        <f>IF(Inventory!AC103="","",Inventory!AC103)</f>
        <v/>
      </c>
      <c r="L100" s="776" t="str">
        <f>IF(Inventory!AD103="","",Inventory!AD103)</f>
        <v/>
      </c>
      <c r="M100" s="527">
        <f>IF(Inventory!AE103="","",Inventory!AE103)</f>
        <v>0</v>
      </c>
      <c r="N100" s="527">
        <f>IF(Inventory!AF103="","",Inventory!AF103)</f>
        <v>0</v>
      </c>
      <c r="O100" s="527">
        <f>IF(Inventory!AG103="","",Inventory!AG103)</f>
        <v>0</v>
      </c>
      <c r="P100" s="527">
        <f>IF(Inventory!AH103="","",Inventory!AH103)</f>
        <v>0</v>
      </c>
      <c r="Q100" s="527">
        <f>IF(Inventory!AI103="","",Inventory!AI103)</f>
        <v>0</v>
      </c>
      <c r="R100" s="527">
        <f>IF(Inventory!AJ103="","",Inventory!AJ103)</f>
        <v>999999999</v>
      </c>
      <c r="S100" s="777" t="str">
        <f>IF(Inventory!AK103="","",Inventory!AK103)</f>
        <v/>
      </c>
      <c r="T100" s="776" t="str">
        <f>IF(Inventory!AL103="","",Inventory!AL103)</f>
        <v/>
      </c>
      <c r="U100" s="777" t="str">
        <f>IF(Inventory!AM103="","",Inventory!AM103)</f>
        <v/>
      </c>
      <c r="V100" s="767" t="str">
        <f>IF(Inventory!AN103="","",Inventory!AN103)</f>
        <v/>
      </c>
      <c r="W100" s="778" t="str">
        <f>IF(Inventory!AO103="","",Inventory!AO103)</f>
        <v/>
      </c>
      <c r="X100" s="778" t="str">
        <f>IF(Inventory!AP103="","",Inventory!AP103)</f>
        <v/>
      </c>
      <c r="Y100" s="767" t="str">
        <f>IF(Inventory!AQ103="","",Inventory!AQ103)</f>
        <v/>
      </c>
      <c r="Z100" s="778" t="str">
        <f>IF(Inventory!AR103="","",Inventory!AR103)</f>
        <v/>
      </c>
      <c r="AA100" s="751" t="str">
        <f>IF(Inventory!AS103="","",Inventory!AS103)</f>
        <v/>
      </c>
      <c r="AB100" s="871"/>
    </row>
    <row r="101" spans="2:28" s="618" customFormat="1" ht="21.95" customHeight="1" x14ac:dyDescent="0.25">
      <c r="B101" s="431">
        <v>95</v>
      </c>
      <c r="C101" s="501" t="str">
        <f>IF(Inventory!C104="","",Inventory!C104)</f>
        <v/>
      </c>
      <c r="D101" s="502" t="str">
        <f>IF(Inventory!D104="","",Inventory!D104)</f>
        <v/>
      </c>
      <c r="E101" s="557" t="str">
        <f>IF(Inventory!W104="","",Inventory!W104)</f>
        <v/>
      </c>
      <c r="F101" s="788" t="str">
        <f>IF(Inventory!X104="","",Inventory!X104)</f>
        <v/>
      </c>
      <c r="G101" s="788" t="str">
        <f>IF(Inventory!Y104="","",Inventory!Y104)</f>
        <v/>
      </c>
      <c r="H101" s="729" t="str">
        <f>IF(Inventory!Z104="","",Inventory!Z104)</f>
        <v/>
      </c>
      <c r="I101" s="729" t="str">
        <f>IF(Inventory!AA104="","",Inventory!AA104)</f>
        <v/>
      </c>
      <c r="J101" s="729" t="str">
        <f>IF(Inventory!AB104="","",Inventory!AB104)</f>
        <v/>
      </c>
      <c r="K101" s="729" t="str">
        <f>IF(Inventory!AC104="","",Inventory!AC104)</f>
        <v/>
      </c>
      <c r="L101" s="765" t="str">
        <f>IF(Inventory!AD104="","",Inventory!AD104)</f>
        <v/>
      </c>
      <c r="M101" s="527">
        <f>IF(Inventory!AE104="","",Inventory!AE104)</f>
        <v>0</v>
      </c>
      <c r="N101" s="527">
        <f>IF(Inventory!AF104="","",Inventory!AF104)</f>
        <v>0</v>
      </c>
      <c r="O101" s="527">
        <f>IF(Inventory!AG104="","",Inventory!AG104)</f>
        <v>0</v>
      </c>
      <c r="P101" s="527">
        <f>IF(Inventory!AH104="","",Inventory!AH104)</f>
        <v>0</v>
      </c>
      <c r="Q101" s="527">
        <f>IF(Inventory!AI104="","",Inventory!AI104)</f>
        <v>0</v>
      </c>
      <c r="R101" s="527">
        <f>IF(Inventory!AJ104="","",Inventory!AJ104)</f>
        <v>999999999</v>
      </c>
      <c r="S101" s="758" t="str">
        <f>IF(Inventory!AK104="","",Inventory!AK104)</f>
        <v/>
      </c>
      <c r="T101" s="765" t="str">
        <f>IF(Inventory!AL104="","",Inventory!AL104)</f>
        <v/>
      </c>
      <c r="U101" s="758" t="str">
        <f>IF(Inventory!AM104="","",Inventory!AM104)</f>
        <v/>
      </c>
      <c r="V101" s="729" t="str">
        <f>IF(Inventory!AN104="","",Inventory!AN104)</f>
        <v/>
      </c>
      <c r="W101" s="775" t="str">
        <f>IF(Inventory!AO104="","",Inventory!AO104)</f>
        <v/>
      </c>
      <c r="X101" s="775" t="str">
        <f>IF(Inventory!AP104="","",Inventory!AP104)</f>
        <v/>
      </c>
      <c r="Y101" s="729" t="str">
        <f>IF(Inventory!AQ104="","",Inventory!AQ104)</f>
        <v/>
      </c>
      <c r="Z101" s="775" t="str">
        <f>IF(Inventory!AR104="","",Inventory!AR104)</f>
        <v/>
      </c>
      <c r="AA101" s="779" t="str">
        <f>IF(Inventory!AS104="","",Inventory!AS104)</f>
        <v/>
      </c>
      <c r="AB101" s="866"/>
    </row>
    <row r="102" spans="2:28" s="618" customFormat="1" ht="21.95" customHeight="1" x14ac:dyDescent="0.25">
      <c r="B102" s="432">
        <v>96</v>
      </c>
      <c r="C102" s="499" t="str">
        <f>IF(Inventory!C105="","",Inventory!C105)</f>
        <v/>
      </c>
      <c r="D102" s="751" t="str">
        <f>IF(Inventory!D105="","",Inventory!D105)</f>
        <v/>
      </c>
      <c r="E102" s="556" t="str">
        <f>IF(Inventory!W105="","",Inventory!W105)</f>
        <v/>
      </c>
      <c r="F102" s="785" t="str">
        <f>IF(Inventory!X105="","",Inventory!X105)</f>
        <v/>
      </c>
      <c r="G102" s="785" t="str">
        <f>IF(Inventory!Y105="","",Inventory!Y105)</f>
        <v/>
      </c>
      <c r="H102" s="767" t="str">
        <f>IF(Inventory!Z105="","",Inventory!Z105)</f>
        <v/>
      </c>
      <c r="I102" s="767" t="str">
        <f>IF(Inventory!AA105="","",Inventory!AA105)</f>
        <v/>
      </c>
      <c r="J102" s="767" t="str">
        <f>IF(Inventory!AB105="","",Inventory!AB105)</f>
        <v/>
      </c>
      <c r="K102" s="767" t="str">
        <f>IF(Inventory!AC105="","",Inventory!AC105)</f>
        <v/>
      </c>
      <c r="L102" s="776" t="str">
        <f>IF(Inventory!AD105="","",Inventory!AD105)</f>
        <v/>
      </c>
      <c r="M102" s="527">
        <f>IF(Inventory!AE105="","",Inventory!AE105)</f>
        <v>0</v>
      </c>
      <c r="N102" s="527">
        <f>IF(Inventory!AF105="","",Inventory!AF105)</f>
        <v>0</v>
      </c>
      <c r="O102" s="527">
        <f>IF(Inventory!AG105="","",Inventory!AG105)</f>
        <v>0</v>
      </c>
      <c r="P102" s="527">
        <f>IF(Inventory!AH105="","",Inventory!AH105)</f>
        <v>0</v>
      </c>
      <c r="Q102" s="527">
        <f>IF(Inventory!AI105="","",Inventory!AI105)</f>
        <v>0</v>
      </c>
      <c r="R102" s="527">
        <f>IF(Inventory!AJ105="","",Inventory!AJ105)</f>
        <v>999999999</v>
      </c>
      <c r="S102" s="777" t="str">
        <f>IF(Inventory!AK105="","",Inventory!AK105)</f>
        <v/>
      </c>
      <c r="T102" s="776" t="str">
        <f>IF(Inventory!AL105="","",Inventory!AL105)</f>
        <v/>
      </c>
      <c r="U102" s="777" t="str">
        <f>IF(Inventory!AM105="","",Inventory!AM105)</f>
        <v/>
      </c>
      <c r="V102" s="767" t="str">
        <f>IF(Inventory!AN105="","",Inventory!AN105)</f>
        <v/>
      </c>
      <c r="W102" s="778" t="str">
        <f>IF(Inventory!AO105="","",Inventory!AO105)</f>
        <v/>
      </c>
      <c r="X102" s="778" t="str">
        <f>IF(Inventory!AP105="","",Inventory!AP105)</f>
        <v/>
      </c>
      <c r="Y102" s="767" t="str">
        <f>IF(Inventory!AQ105="","",Inventory!AQ105)</f>
        <v/>
      </c>
      <c r="Z102" s="778" t="str">
        <f>IF(Inventory!AR105="","",Inventory!AR105)</f>
        <v/>
      </c>
      <c r="AA102" s="751" t="str">
        <f>IF(Inventory!AS105="","",Inventory!AS105)</f>
        <v/>
      </c>
      <c r="AB102" s="871"/>
    </row>
    <row r="103" spans="2:28" s="618" customFormat="1" ht="21.95" customHeight="1" x14ac:dyDescent="0.25">
      <c r="B103" s="431">
        <v>97</v>
      </c>
      <c r="C103" s="501" t="str">
        <f>IF(Inventory!C106="","",Inventory!C106)</f>
        <v/>
      </c>
      <c r="D103" s="502" t="str">
        <f>IF(Inventory!D106="","",Inventory!D106)</f>
        <v/>
      </c>
      <c r="E103" s="557" t="str">
        <f>IF(Inventory!W106="","",Inventory!W106)</f>
        <v/>
      </c>
      <c r="F103" s="788" t="str">
        <f>IF(Inventory!X106="","",Inventory!X106)</f>
        <v/>
      </c>
      <c r="G103" s="788" t="str">
        <f>IF(Inventory!Y106="","",Inventory!Y106)</f>
        <v/>
      </c>
      <c r="H103" s="729" t="str">
        <f>IF(Inventory!Z106="","",Inventory!Z106)</f>
        <v/>
      </c>
      <c r="I103" s="729" t="str">
        <f>IF(Inventory!AA106="","",Inventory!AA106)</f>
        <v/>
      </c>
      <c r="J103" s="729" t="str">
        <f>IF(Inventory!AB106="","",Inventory!AB106)</f>
        <v/>
      </c>
      <c r="K103" s="729" t="str">
        <f>IF(Inventory!AC106="","",Inventory!AC106)</f>
        <v/>
      </c>
      <c r="L103" s="765" t="str">
        <f>IF(Inventory!AD106="","",Inventory!AD106)</f>
        <v/>
      </c>
      <c r="M103" s="527">
        <f>IF(Inventory!AE106="","",Inventory!AE106)</f>
        <v>0</v>
      </c>
      <c r="N103" s="527">
        <f>IF(Inventory!AF106="","",Inventory!AF106)</f>
        <v>0</v>
      </c>
      <c r="O103" s="527">
        <f>IF(Inventory!AG106="","",Inventory!AG106)</f>
        <v>0</v>
      </c>
      <c r="P103" s="527">
        <f>IF(Inventory!AH106="","",Inventory!AH106)</f>
        <v>0</v>
      </c>
      <c r="Q103" s="527">
        <f>IF(Inventory!AI106="","",Inventory!AI106)</f>
        <v>0</v>
      </c>
      <c r="R103" s="527">
        <f>IF(Inventory!AJ106="","",Inventory!AJ106)</f>
        <v>999999999</v>
      </c>
      <c r="S103" s="758" t="str">
        <f>IF(Inventory!AK106="","",Inventory!AK106)</f>
        <v/>
      </c>
      <c r="T103" s="765" t="str">
        <f>IF(Inventory!AL106="","",Inventory!AL106)</f>
        <v/>
      </c>
      <c r="U103" s="758" t="str">
        <f>IF(Inventory!AM106="","",Inventory!AM106)</f>
        <v/>
      </c>
      <c r="V103" s="729" t="str">
        <f>IF(Inventory!AN106="","",Inventory!AN106)</f>
        <v/>
      </c>
      <c r="W103" s="775" t="str">
        <f>IF(Inventory!AO106="","",Inventory!AO106)</f>
        <v/>
      </c>
      <c r="X103" s="775" t="str">
        <f>IF(Inventory!AP106="","",Inventory!AP106)</f>
        <v/>
      </c>
      <c r="Y103" s="729" t="str">
        <f>IF(Inventory!AQ106="","",Inventory!AQ106)</f>
        <v/>
      </c>
      <c r="Z103" s="775" t="str">
        <f>IF(Inventory!AR106="","",Inventory!AR106)</f>
        <v/>
      </c>
      <c r="AA103" s="779" t="str">
        <f>IF(Inventory!AS106="","",Inventory!AS106)</f>
        <v/>
      </c>
      <c r="AB103" s="866"/>
    </row>
    <row r="104" spans="2:28" s="618" customFormat="1" ht="21.95" customHeight="1" x14ac:dyDescent="0.25">
      <c r="B104" s="432">
        <v>98</v>
      </c>
      <c r="C104" s="499" t="str">
        <f>IF(Inventory!C107="","",Inventory!C107)</f>
        <v/>
      </c>
      <c r="D104" s="751" t="str">
        <f>IF(Inventory!D107="","",Inventory!D107)</f>
        <v/>
      </c>
      <c r="E104" s="556" t="str">
        <f>IF(Inventory!W107="","",Inventory!W107)</f>
        <v/>
      </c>
      <c r="F104" s="785" t="str">
        <f>IF(Inventory!X107="","",Inventory!X107)</f>
        <v/>
      </c>
      <c r="G104" s="785" t="str">
        <f>IF(Inventory!Y107="","",Inventory!Y107)</f>
        <v/>
      </c>
      <c r="H104" s="767" t="str">
        <f>IF(Inventory!Z107="","",Inventory!Z107)</f>
        <v/>
      </c>
      <c r="I104" s="767" t="str">
        <f>IF(Inventory!AA107="","",Inventory!AA107)</f>
        <v/>
      </c>
      <c r="J104" s="767" t="str">
        <f>IF(Inventory!AB107="","",Inventory!AB107)</f>
        <v/>
      </c>
      <c r="K104" s="767" t="str">
        <f>IF(Inventory!AC107="","",Inventory!AC107)</f>
        <v/>
      </c>
      <c r="L104" s="776" t="str">
        <f>IF(Inventory!AD107="","",Inventory!AD107)</f>
        <v/>
      </c>
      <c r="M104" s="527">
        <f>IF(Inventory!AE107="","",Inventory!AE107)</f>
        <v>0</v>
      </c>
      <c r="N104" s="527">
        <f>IF(Inventory!AF107="","",Inventory!AF107)</f>
        <v>0</v>
      </c>
      <c r="O104" s="527">
        <f>IF(Inventory!AG107="","",Inventory!AG107)</f>
        <v>0</v>
      </c>
      <c r="P104" s="527">
        <f>IF(Inventory!AH107="","",Inventory!AH107)</f>
        <v>0</v>
      </c>
      <c r="Q104" s="527">
        <f>IF(Inventory!AI107="","",Inventory!AI107)</f>
        <v>0</v>
      </c>
      <c r="R104" s="527">
        <f>IF(Inventory!AJ107="","",Inventory!AJ107)</f>
        <v>999999999</v>
      </c>
      <c r="S104" s="777" t="str">
        <f>IF(Inventory!AK107="","",Inventory!AK107)</f>
        <v/>
      </c>
      <c r="T104" s="776" t="str">
        <f>IF(Inventory!AL107="","",Inventory!AL107)</f>
        <v/>
      </c>
      <c r="U104" s="777" t="str">
        <f>IF(Inventory!AM107="","",Inventory!AM107)</f>
        <v/>
      </c>
      <c r="V104" s="767" t="str">
        <f>IF(Inventory!AN107="","",Inventory!AN107)</f>
        <v/>
      </c>
      <c r="W104" s="778" t="str">
        <f>IF(Inventory!AO107="","",Inventory!AO107)</f>
        <v/>
      </c>
      <c r="X104" s="778" t="str">
        <f>IF(Inventory!AP107="","",Inventory!AP107)</f>
        <v/>
      </c>
      <c r="Y104" s="767" t="str">
        <f>IF(Inventory!AQ107="","",Inventory!AQ107)</f>
        <v/>
      </c>
      <c r="Z104" s="778" t="str">
        <f>IF(Inventory!AR107="","",Inventory!AR107)</f>
        <v/>
      </c>
      <c r="AA104" s="751" t="str">
        <f>IF(Inventory!AS107="","",Inventory!AS107)</f>
        <v/>
      </c>
      <c r="AB104" s="871"/>
    </row>
    <row r="105" spans="2:28" s="618" customFormat="1" ht="21.95" customHeight="1" x14ac:dyDescent="0.25">
      <c r="B105" s="431">
        <v>99</v>
      </c>
      <c r="C105" s="501" t="str">
        <f>IF(Inventory!C108="","",Inventory!C108)</f>
        <v/>
      </c>
      <c r="D105" s="502" t="str">
        <f>IF(Inventory!D108="","",Inventory!D108)</f>
        <v/>
      </c>
      <c r="E105" s="557" t="str">
        <f>IF(Inventory!W108="","",Inventory!W108)</f>
        <v/>
      </c>
      <c r="F105" s="788" t="str">
        <f>IF(Inventory!X108="","",Inventory!X108)</f>
        <v/>
      </c>
      <c r="G105" s="788" t="str">
        <f>IF(Inventory!Y108="","",Inventory!Y108)</f>
        <v/>
      </c>
      <c r="H105" s="729" t="str">
        <f>IF(Inventory!Z108="","",Inventory!Z108)</f>
        <v/>
      </c>
      <c r="I105" s="729" t="str">
        <f>IF(Inventory!AA108="","",Inventory!AA108)</f>
        <v/>
      </c>
      <c r="J105" s="729" t="str">
        <f>IF(Inventory!AB108="","",Inventory!AB108)</f>
        <v/>
      </c>
      <c r="K105" s="729" t="str">
        <f>IF(Inventory!AC108="","",Inventory!AC108)</f>
        <v/>
      </c>
      <c r="L105" s="765" t="str">
        <f>IF(Inventory!AD108="","",Inventory!AD108)</f>
        <v/>
      </c>
      <c r="M105" s="527">
        <f>IF(Inventory!AE108="","",Inventory!AE108)</f>
        <v>0</v>
      </c>
      <c r="N105" s="527">
        <f>IF(Inventory!AF108="","",Inventory!AF108)</f>
        <v>0</v>
      </c>
      <c r="O105" s="527">
        <f>IF(Inventory!AG108="","",Inventory!AG108)</f>
        <v>0</v>
      </c>
      <c r="P105" s="527">
        <f>IF(Inventory!AH108="","",Inventory!AH108)</f>
        <v>0</v>
      </c>
      <c r="Q105" s="527">
        <f>IF(Inventory!AI108="","",Inventory!AI108)</f>
        <v>0</v>
      </c>
      <c r="R105" s="527">
        <f>IF(Inventory!AJ108="","",Inventory!AJ108)</f>
        <v>999999999</v>
      </c>
      <c r="S105" s="758" t="str">
        <f>IF(Inventory!AK108="","",Inventory!AK108)</f>
        <v/>
      </c>
      <c r="T105" s="765" t="str">
        <f>IF(Inventory!AL108="","",Inventory!AL108)</f>
        <v/>
      </c>
      <c r="U105" s="758" t="str">
        <f>IF(Inventory!AM108="","",Inventory!AM108)</f>
        <v/>
      </c>
      <c r="V105" s="729" t="str">
        <f>IF(Inventory!AN108="","",Inventory!AN108)</f>
        <v/>
      </c>
      <c r="W105" s="775" t="str">
        <f>IF(Inventory!AO108="","",Inventory!AO108)</f>
        <v/>
      </c>
      <c r="X105" s="775" t="str">
        <f>IF(Inventory!AP108="","",Inventory!AP108)</f>
        <v/>
      </c>
      <c r="Y105" s="729" t="str">
        <f>IF(Inventory!AQ108="","",Inventory!AQ108)</f>
        <v/>
      </c>
      <c r="Z105" s="775" t="str">
        <f>IF(Inventory!AR108="","",Inventory!AR108)</f>
        <v/>
      </c>
      <c r="AA105" s="779" t="str">
        <f>IF(Inventory!AS108="","",Inventory!AS108)</f>
        <v/>
      </c>
      <c r="AB105" s="866"/>
    </row>
    <row r="106" spans="2:28" s="618" customFormat="1" ht="21.95" customHeight="1" x14ac:dyDescent="0.25">
      <c r="B106" s="432">
        <v>100</v>
      </c>
      <c r="C106" s="499" t="str">
        <f>IF(Inventory!C109="","",Inventory!C109)</f>
        <v/>
      </c>
      <c r="D106" s="751" t="str">
        <f>IF(Inventory!D109="","",Inventory!D109)</f>
        <v/>
      </c>
      <c r="E106" s="556" t="str">
        <f>IF(Inventory!W109="","",Inventory!W109)</f>
        <v/>
      </c>
      <c r="F106" s="785" t="str">
        <f>IF(Inventory!X109="","",Inventory!X109)</f>
        <v/>
      </c>
      <c r="G106" s="785" t="str">
        <f>IF(Inventory!Y109="","",Inventory!Y109)</f>
        <v/>
      </c>
      <c r="H106" s="767" t="str">
        <f>IF(Inventory!Z109="","",Inventory!Z109)</f>
        <v/>
      </c>
      <c r="I106" s="767" t="str">
        <f>IF(Inventory!AA109="","",Inventory!AA109)</f>
        <v/>
      </c>
      <c r="J106" s="767" t="str">
        <f>IF(Inventory!AB109="","",Inventory!AB109)</f>
        <v/>
      </c>
      <c r="K106" s="767" t="str">
        <f>IF(Inventory!AC109="","",Inventory!AC109)</f>
        <v/>
      </c>
      <c r="L106" s="776" t="str">
        <f>IF(Inventory!AD109="","",Inventory!AD109)</f>
        <v/>
      </c>
      <c r="M106" s="527">
        <f>IF(Inventory!AE109="","",Inventory!AE109)</f>
        <v>0</v>
      </c>
      <c r="N106" s="527">
        <f>IF(Inventory!AF109="","",Inventory!AF109)</f>
        <v>0</v>
      </c>
      <c r="O106" s="527">
        <f>IF(Inventory!AG109="","",Inventory!AG109)</f>
        <v>0</v>
      </c>
      <c r="P106" s="527">
        <f>IF(Inventory!AH109="","",Inventory!AH109)</f>
        <v>0</v>
      </c>
      <c r="Q106" s="527">
        <f>IF(Inventory!AI109="","",Inventory!AI109)</f>
        <v>0</v>
      </c>
      <c r="R106" s="527">
        <f>IF(Inventory!AJ109="","",Inventory!AJ109)</f>
        <v>999999999</v>
      </c>
      <c r="S106" s="777" t="str">
        <f>IF(Inventory!AK109="","",Inventory!AK109)</f>
        <v/>
      </c>
      <c r="T106" s="776" t="str">
        <f>IF(Inventory!AL109="","",Inventory!AL109)</f>
        <v/>
      </c>
      <c r="U106" s="777" t="str">
        <f>IF(Inventory!AM109="","",Inventory!AM109)</f>
        <v/>
      </c>
      <c r="V106" s="767" t="str">
        <f>IF(Inventory!AN109="","",Inventory!AN109)</f>
        <v/>
      </c>
      <c r="W106" s="778" t="str">
        <f>IF(Inventory!AO109="","",Inventory!AO109)</f>
        <v/>
      </c>
      <c r="X106" s="778" t="str">
        <f>IF(Inventory!AP109="","",Inventory!AP109)</f>
        <v/>
      </c>
      <c r="Y106" s="767" t="str">
        <f>IF(Inventory!AQ109="","",Inventory!AQ109)</f>
        <v/>
      </c>
      <c r="Z106" s="778" t="str">
        <f>IF(Inventory!AR109="","",Inventory!AR109)</f>
        <v/>
      </c>
      <c r="AA106" s="751" t="str">
        <f>IF(Inventory!AS109="","",Inventory!AS109)</f>
        <v/>
      </c>
      <c r="AB106" s="871"/>
    </row>
    <row r="107" spans="2:28" s="618" customFormat="1" ht="21.95" customHeight="1" x14ac:dyDescent="0.25">
      <c r="B107" s="431">
        <v>101</v>
      </c>
      <c r="C107" s="501" t="str">
        <f>IF(Inventory!C110="","",Inventory!C110)</f>
        <v/>
      </c>
      <c r="D107" s="502" t="str">
        <f>IF(Inventory!D110="","",Inventory!D110)</f>
        <v/>
      </c>
      <c r="E107" s="557" t="str">
        <f>IF(Inventory!W110="","",Inventory!W110)</f>
        <v/>
      </c>
      <c r="F107" s="788" t="str">
        <f>IF(Inventory!X110="","",Inventory!X110)</f>
        <v/>
      </c>
      <c r="G107" s="788" t="str">
        <f>IF(Inventory!Y110="","",Inventory!Y110)</f>
        <v/>
      </c>
      <c r="H107" s="729" t="str">
        <f>IF(Inventory!Z110="","",Inventory!Z110)</f>
        <v/>
      </c>
      <c r="I107" s="729" t="str">
        <f>IF(Inventory!AA110="","",Inventory!AA110)</f>
        <v/>
      </c>
      <c r="J107" s="729" t="str">
        <f>IF(Inventory!AB110="","",Inventory!AB110)</f>
        <v/>
      </c>
      <c r="K107" s="729" t="str">
        <f>IF(Inventory!AC110="","",Inventory!AC110)</f>
        <v/>
      </c>
      <c r="L107" s="765" t="str">
        <f>IF(Inventory!AD110="","",Inventory!AD110)</f>
        <v/>
      </c>
      <c r="M107" s="527">
        <f>IF(Inventory!AE110="","",Inventory!AE110)</f>
        <v>0</v>
      </c>
      <c r="N107" s="527">
        <f>IF(Inventory!AF110="","",Inventory!AF110)</f>
        <v>0</v>
      </c>
      <c r="O107" s="527">
        <f>IF(Inventory!AG110="","",Inventory!AG110)</f>
        <v>0</v>
      </c>
      <c r="P107" s="527">
        <f>IF(Inventory!AH110="","",Inventory!AH110)</f>
        <v>0</v>
      </c>
      <c r="Q107" s="527">
        <f>IF(Inventory!AI110="","",Inventory!AI110)</f>
        <v>0</v>
      </c>
      <c r="R107" s="527">
        <f>IF(Inventory!AJ110="","",Inventory!AJ110)</f>
        <v>999999999</v>
      </c>
      <c r="S107" s="758" t="str">
        <f>IF(Inventory!AK110="","",Inventory!AK110)</f>
        <v/>
      </c>
      <c r="T107" s="765" t="str">
        <f>IF(Inventory!AL110="","",Inventory!AL110)</f>
        <v/>
      </c>
      <c r="U107" s="758" t="str">
        <f>IF(Inventory!AM110="","",Inventory!AM110)</f>
        <v/>
      </c>
      <c r="V107" s="729" t="str">
        <f>IF(Inventory!AN110="","",Inventory!AN110)</f>
        <v/>
      </c>
      <c r="W107" s="775" t="str">
        <f>IF(Inventory!AO110="","",Inventory!AO110)</f>
        <v/>
      </c>
      <c r="X107" s="775" t="str">
        <f>IF(Inventory!AP110="","",Inventory!AP110)</f>
        <v/>
      </c>
      <c r="Y107" s="729" t="str">
        <f>IF(Inventory!AQ110="","",Inventory!AQ110)</f>
        <v/>
      </c>
      <c r="Z107" s="775" t="str">
        <f>IF(Inventory!AR110="","",Inventory!AR110)</f>
        <v/>
      </c>
      <c r="AA107" s="779" t="str">
        <f>IF(Inventory!AS110="","",Inventory!AS110)</f>
        <v/>
      </c>
      <c r="AB107" s="866"/>
    </row>
    <row r="108" spans="2:28" s="618" customFormat="1" ht="21.95" customHeight="1" x14ac:dyDescent="0.25">
      <c r="B108" s="432">
        <v>102</v>
      </c>
      <c r="C108" s="499" t="str">
        <f>IF(Inventory!C111="","",Inventory!C111)</f>
        <v/>
      </c>
      <c r="D108" s="751" t="str">
        <f>IF(Inventory!D111="","",Inventory!D111)</f>
        <v/>
      </c>
      <c r="E108" s="556" t="str">
        <f>IF(Inventory!W111="","",Inventory!W111)</f>
        <v/>
      </c>
      <c r="F108" s="785" t="str">
        <f>IF(Inventory!X111="","",Inventory!X111)</f>
        <v/>
      </c>
      <c r="G108" s="785" t="str">
        <f>IF(Inventory!Y111="","",Inventory!Y111)</f>
        <v/>
      </c>
      <c r="H108" s="767" t="str">
        <f>IF(Inventory!Z111="","",Inventory!Z111)</f>
        <v/>
      </c>
      <c r="I108" s="767" t="str">
        <f>IF(Inventory!AA111="","",Inventory!AA111)</f>
        <v/>
      </c>
      <c r="J108" s="767" t="str">
        <f>IF(Inventory!AB111="","",Inventory!AB111)</f>
        <v/>
      </c>
      <c r="K108" s="767" t="str">
        <f>IF(Inventory!AC111="","",Inventory!AC111)</f>
        <v/>
      </c>
      <c r="L108" s="776" t="str">
        <f>IF(Inventory!AD111="","",Inventory!AD111)</f>
        <v/>
      </c>
      <c r="M108" s="527">
        <f>IF(Inventory!AE111="","",Inventory!AE111)</f>
        <v>0</v>
      </c>
      <c r="N108" s="527">
        <f>IF(Inventory!AF111="","",Inventory!AF111)</f>
        <v>0</v>
      </c>
      <c r="O108" s="527">
        <f>IF(Inventory!AG111="","",Inventory!AG111)</f>
        <v>0</v>
      </c>
      <c r="P108" s="527">
        <f>IF(Inventory!AH111="","",Inventory!AH111)</f>
        <v>0</v>
      </c>
      <c r="Q108" s="527">
        <f>IF(Inventory!AI111="","",Inventory!AI111)</f>
        <v>0</v>
      </c>
      <c r="R108" s="527">
        <f>IF(Inventory!AJ111="","",Inventory!AJ111)</f>
        <v>999999999</v>
      </c>
      <c r="S108" s="777" t="str">
        <f>IF(Inventory!AK111="","",Inventory!AK111)</f>
        <v/>
      </c>
      <c r="T108" s="776" t="str">
        <f>IF(Inventory!AL111="","",Inventory!AL111)</f>
        <v/>
      </c>
      <c r="U108" s="777" t="str">
        <f>IF(Inventory!AM111="","",Inventory!AM111)</f>
        <v/>
      </c>
      <c r="V108" s="767" t="str">
        <f>IF(Inventory!AN111="","",Inventory!AN111)</f>
        <v/>
      </c>
      <c r="W108" s="778" t="str">
        <f>IF(Inventory!AO111="","",Inventory!AO111)</f>
        <v/>
      </c>
      <c r="X108" s="778" t="str">
        <f>IF(Inventory!AP111="","",Inventory!AP111)</f>
        <v/>
      </c>
      <c r="Y108" s="767" t="str">
        <f>IF(Inventory!AQ111="","",Inventory!AQ111)</f>
        <v/>
      </c>
      <c r="Z108" s="778" t="str">
        <f>IF(Inventory!AR111="","",Inventory!AR111)</f>
        <v/>
      </c>
      <c r="AA108" s="751" t="str">
        <f>IF(Inventory!AS111="","",Inventory!AS111)</f>
        <v/>
      </c>
      <c r="AB108" s="871"/>
    </row>
    <row r="109" spans="2:28" s="618" customFormat="1" ht="21.95" customHeight="1" x14ac:dyDescent="0.25">
      <c r="B109" s="431">
        <v>103</v>
      </c>
      <c r="C109" s="501" t="str">
        <f>IF(Inventory!C112="","",Inventory!C112)</f>
        <v/>
      </c>
      <c r="D109" s="502" t="str">
        <f>IF(Inventory!D112="","",Inventory!D112)</f>
        <v/>
      </c>
      <c r="E109" s="557" t="str">
        <f>IF(Inventory!W112="","",Inventory!W112)</f>
        <v/>
      </c>
      <c r="F109" s="788" t="str">
        <f>IF(Inventory!X112="","",Inventory!X112)</f>
        <v/>
      </c>
      <c r="G109" s="788" t="str">
        <f>IF(Inventory!Y112="","",Inventory!Y112)</f>
        <v/>
      </c>
      <c r="H109" s="729" t="str">
        <f>IF(Inventory!Z112="","",Inventory!Z112)</f>
        <v/>
      </c>
      <c r="I109" s="729" t="str">
        <f>IF(Inventory!AA112="","",Inventory!AA112)</f>
        <v/>
      </c>
      <c r="J109" s="729" t="str">
        <f>IF(Inventory!AB112="","",Inventory!AB112)</f>
        <v/>
      </c>
      <c r="K109" s="729" t="str">
        <f>IF(Inventory!AC112="","",Inventory!AC112)</f>
        <v/>
      </c>
      <c r="L109" s="765" t="str">
        <f>IF(Inventory!AD112="","",Inventory!AD112)</f>
        <v/>
      </c>
      <c r="M109" s="527">
        <f>IF(Inventory!AE112="","",Inventory!AE112)</f>
        <v>0</v>
      </c>
      <c r="N109" s="527">
        <f>IF(Inventory!AF112="","",Inventory!AF112)</f>
        <v>0</v>
      </c>
      <c r="O109" s="527">
        <f>IF(Inventory!AG112="","",Inventory!AG112)</f>
        <v>0</v>
      </c>
      <c r="P109" s="527">
        <f>IF(Inventory!AH112="","",Inventory!AH112)</f>
        <v>0</v>
      </c>
      <c r="Q109" s="527">
        <f>IF(Inventory!AI112="","",Inventory!AI112)</f>
        <v>0</v>
      </c>
      <c r="R109" s="527">
        <f>IF(Inventory!AJ112="","",Inventory!AJ112)</f>
        <v>999999999</v>
      </c>
      <c r="S109" s="758" t="str">
        <f>IF(Inventory!AK112="","",Inventory!AK112)</f>
        <v/>
      </c>
      <c r="T109" s="765" t="str">
        <f>IF(Inventory!AL112="","",Inventory!AL112)</f>
        <v/>
      </c>
      <c r="U109" s="758" t="str">
        <f>IF(Inventory!AM112="","",Inventory!AM112)</f>
        <v/>
      </c>
      <c r="V109" s="729" t="str">
        <f>IF(Inventory!AN112="","",Inventory!AN112)</f>
        <v/>
      </c>
      <c r="W109" s="775" t="str">
        <f>IF(Inventory!AO112="","",Inventory!AO112)</f>
        <v/>
      </c>
      <c r="X109" s="775" t="str">
        <f>IF(Inventory!AP112="","",Inventory!AP112)</f>
        <v/>
      </c>
      <c r="Y109" s="729" t="str">
        <f>IF(Inventory!AQ112="","",Inventory!AQ112)</f>
        <v/>
      </c>
      <c r="Z109" s="775" t="str">
        <f>IF(Inventory!AR112="","",Inventory!AR112)</f>
        <v/>
      </c>
      <c r="AA109" s="779" t="str">
        <f>IF(Inventory!AS112="","",Inventory!AS112)</f>
        <v/>
      </c>
      <c r="AB109" s="866"/>
    </row>
    <row r="110" spans="2:28" s="618" customFormat="1" ht="21.95" customHeight="1" x14ac:dyDescent="0.25">
      <c r="B110" s="432">
        <v>104</v>
      </c>
      <c r="C110" s="499" t="str">
        <f>IF(Inventory!C113="","",Inventory!C113)</f>
        <v/>
      </c>
      <c r="D110" s="751" t="str">
        <f>IF(Inventory!D113="","",Inventory!D113)</f>
        <v/>
      </c>
      <c r="E110" s="556" t="str">
        <f>IF(Inventory!W113="","",Inventory!W113)</f>
        <v/>
      </c>
      <c r="F110" s="785" t="str">
        <f>IF(Inventory!X113="","",Inventory!X113)</f>
        <v/>
      </c>
      <c r="G110" s="785" t="str">
        <f>IF(Inventory!Y113="","",Inventory!Y113)</f>
        <v/>
      </c>
      <c r="H110" s="767" t="str">
        <f>IF(Inventory!Z113="","",Inventory!Z113)</f>
        <v/>
      </c>
      <c r="I110" s="767" t="str">
        <f>IF(Inventory!AA113="","",Inventory!AA113)</f>
        <v/>
      </c>
      <c r="J110" s="767" t="str">
        <f>IF(Inventory!AB113="","",Inventory!AB113)</f>
        <v/>
      </c>
      <c r="K110" s="767" t="str">
        <f>IF(Inventory!AC113="","",Inventory!AC113)</f>
        <v/>
      </c>
      <c r="L110" s="776" t="str">
        <f>IF(Inventory!AD113="","",Inventory!AD113)</f>
        <v/>
      </c>
      <c r="M110" s="527">
        <f>IF(Inventory!AE113="","",Inventory!AE113)</f>
        <v>0</v>
      </c>
      <c r="N110" s="527">
        <f>IF(Inventory!AF113="","",Inventory!AF113)</f>
        <v>0</v>
      </c>
      <c r="O110" s="527">
        <f>IF(Inventory!AG113="","",Inventory!AG113)</f>
        <v>0</v>
      </c>
      <c r="P110" s="527">
        <f>IF(Inventory!AH113="","",Inventory!AH113)</f>
        <v>0</v>
      </c>
      <c r="Q110" s="527">
        <f>IF(Inventory!AI113="","",Inventory!AI113)</f>
        <v>0</v>
      </c>
      <c r="R110" s="527">
        <f>IF(Inventory!AJ113="","",Inventory!AJ113)</f>
        <v>999999999</v>
      </c>
      <c r="S110" s="777" t="str">
        <f>IF(Inventory!AK113="","",Inventory!AK113)</f>
        <v/>
      </c>
      <c r="T110" s="776" t="str">
        <f>IF(Inventory!AL113="","",Inventory!AL113)</f>
        <v/>
      </c>
      <c r="U110" s="777" t="str">
        <f>IF(Inventory!AM113="","",Inventory!AM113)</f>
        <v/>
      </c>
      <c r="V110" s="767" t="str">
        <f>IF(Inventory!AN113="","",Inventory!AN113)</f>
        <v/>
      </c>
      <c r="W110" s="778" t="str">
        <f>IF(Inventory!AO113="","",Inventory!AO113)</f>
        <v/>
      </c>
      <c r="X110" s="778" t="str">
        <f>IF(Inventory!AP113="","",Inventory!AP113)</f>
        <v/>
      </c>
      <c r="Y110" s="767" t="str">
        <f>IF(Inventory!AQ113="","",Inventory!AQ113)</f>
        <v/>
      </c>
      <c r="Z110" s="778" t="str">
        <f>IF(Inventory!AR113="","",Inventory!AR113)</f>
        <v/>
      </c>
      <c r="AA110" s="751" t="str">
        <f>IF(Inventory!AS113="","",Inventory!AS113)</f>
        <v/>
      </c>
      <c r="AB110" s="871"/>
    </row>
    <row r="111" spans="2:28" s="618" customFormat="1" ht="21.95" customHeight="1" x14ac:dyDescent="0.25">
      <c r="B111" s="431">
        <v>105</v>
      </c>
      <c r="C111" s="501" t="str">
        <f>IF(Inventory!C114="","",Inventory!C114)</f>
        <v/>
      </c>
      <c r="D111" s="502" t="str">
        <f>IF(Inventory!D114="","",Inventory!D114)</f>
        <v/>
      </c>
      <c r="E111" s="557" t="str">
        <f>IF(Inventory!W114="","",Inventory!W114)</f>
        <v/>
      </c>
      <c r="F111" s="788" t="str">
        <f>IF(Inventory!X114="","",Inventory!X114)</f>
        <v/>
      </c>
      <c r="G111" s="788" t="str">
        <f>IF(Inventory!Y114="","",Inventory!Y114)</f>
        <v/>
      </c>
      <c r="H111" s="729" t="str">
        <f>IF(Inventory!Z114="","",Inventory!Z114)</f>
        <v/>
      </c>
      <c r="I111" s="729" t="str">
        <f>IF(Inventory!AA114="","",Inventory!AA114)</f>
        <v/>
      </c>
      <c r="J111" s="729" t="str">
        <f>IF(Inventory!AB114="","",Inventory!AB114)</f>
        <v/>
      </c>
      <c r="K111" s="729" t="str">
        <f>IF(Inventory!AC114="","",Inventory!AC114)</f>
        <v/>
      </c>
      <c r="L111" s="765" t="str">
        <f>IF(Inventory!AD114="","",Inventory!AD114)</f>
        <v/>
      </c>
      <c r="M111" s="527">
        <f>IF(Inventory!AE114="","",Inventory!AE114)</f>
        <v>0</v>
      </c>
      <c r="N111" s="527">
        <f>IF(Inventory!AF114="","",Inventory!AF114)</f>
        <v>0</v>
      </c>
      <c r="O111" s="527">
        <f>IF(Inventory!AG114="","",Inventory!AG114)</f>
        <v>0</v>
      </c>
      <c r="P111" s="527">
        <f>IF(Inventory!AH114="","",Inventory!AH114)</f>
        <v>0</v>
      </c>
      <c r="Q111" s="527">
        <f>IF(Inventory!AI114="","",Inventory!AI114)</f>
        <v>0</v>
      </c>
      <c r="R111" s="527">
        <f>IF(Inventory!AJ114="","",Inventory!AJ114)</f>
        <v>999999999</v>
      </c>
      <c r="S111" s="758" t="str">
        <f>IF(Inventory!AK114="","",Inventory!AK114)</f>
        <v/>
      </c>
      <c r="T111" s="765" t="str">
        <f>IF(Inventory!AL114="","",Inventory!AL114)</f>
        <v/>
      </c>
      <c r="U111" s="758" t="str">
        <f>IF(Inventory!AM114="","",Inventory!AM114)</f>
        <v/>
      </c>
      <c r="V111" s="729" t="str">
        <f>IF(Inventory!AN114="","",Inventory!AN114)</f>
        <v/>
      </c>
      <c r="W111" s="775" t="str">
        <f>IF(Inventory!AO114="","",Inventory!AO114)</f>
        <v/>
      </c>
      <c r="X111" s="775" t="str">
        <f>IF(Inventory!AP114="","",Inventory!AP114)</f>
        <v/>
      </c>
      <c r="Y111" s="729" t="str">
        <f>IF(Inventory!AQ114="","",Inventory!AQ114)</f>
        <v/>
      </c>
      <c r="Z111" s="775" t="str">
        <f>IF(Inventory!AR114="","",Inventory!AR114)</f>
        <v/>
      </c>
      <c r="AA111" s="779" t="str">
        <f>IF(Inventory!AS114="","",Inventory!AS114)</f>
        <v/>
      </c>
      <c r="AB111" s="866"/>
    </row>
    <row r="112" spans="2:28" s="618" customFormat="1" ht="21.95" customHeight="1" x14ac:dyDescent="0.25">
      <c r="B112" s="432">
        <v>106</v>
      </c>
      <c r="C112" s="499" t="str">
        <f>IF(Inventory!C115="","",Inventory!C115)</f>
        <v/>
      </c>
      <c r="D112" s="751" t="str">
        <f>IF(Inventory!D115="","",Inventory!D115)</f>
        <v/>
      </c>
      <c r="E112" s="556" t="str">
        <f>IF(Inventory!W115="","",Inventory!W115)</f>
        <v/>
      </c>
      <c r="F112" s="785" t="str">
        <f>IF(Inventory!X115="","",Inventory!X115)</f>
        <v/>
      </c>
      <c r="G112" s="785" t="str">
        <f>IF(Inventory!Y115="","",Inventory!Y115)</f>
        <v/>
      </c>
      <c r="H112" s="767" t="str">
        <f>IF(Inventory!Z115="","",Inventory!Z115)</f>
        <v/>
      </c>
      <c r="I112" s="767" t="str">
        <f>IF(Inventory!AA115="","",Inventory!AA115)</f>
        <v/>
      </c>
      <c r="J112" s="767" t="str">
        <f>IF(Inventory!AB115="","",Inventory!AB115)</f>
        <v/>
      </c>
      <c r="K112" s="767" t="str">
        <f>IF(Inventory!AC115="","",Inventory!AC115)</f>
        <v/>
      </c>
      <c r="L112" s="776" t="str">
        <f>IF(Inventory!AD115="","",Inventory!AD115)</f>
        <v/>
      </c>
      <c r="M112" s="527">
        <f>IF(Inventory!AE115="","",Inventory!AE115)</f>
        <v>0</v>
      </c>
      <c r="N112" s="527">
        <f>IF(Inventory!AF115="","",Inventory!AF115)</f>
        <v>0</v>
      </c>
      <c r="O112" s="527">
        <f>IF(Inventory!AG115="","",Inventory!AG115)</f>
        <v>0</v>
      </c>
      <c r="P112" s="527">
        <f>IF(Inventory!AH115="","",Inventory!AH115)</f>
        <v>0</v>
      </c>
      <c r="Q112" s="527">
        <f>IF(Inventory!AI115="","",Inventory!AI115)</f>
        <v>0</v>
      </c>
      <c r="R112" s="527">
        <f>IF(Inventory!AJ115="","",Inventory!AJ115)</f>
        <v>999999999</v>
      </c>
      <c r="S112" s="777" t="str">
        <f>IF(Inventory!AK115="","",Inventory!AK115)</f>
        <v/>
      </c>
      <c r="T112" s="776" t="str">
        <f>IF(Inventory!AL115="","",Inventory!AL115)</f>
        <v/>
      </c>
      <c r="U112" s="777" t="str">
        <f>IF(Inventory!AM115="","",Inventory!AM115)</f>
        <v/>
      </c>
      <c r="V112" s="767" t="str">
        <f>IF(Inventory!AN115="","",Inventory!AN115)</f>
        <v/>
      </c>
      <c r="W112" s="778" t="str">
        <f>IF(Inventory!AO115="","",Inventory!AO115)</f>
        <v/>
      </c>
      <c r="X112" s="778" t="str">
        <f>IF(Inventory!AP115="","",Inventory!AP115)</f>
        <v/>
      </c>
      <c r="Y112" s="767" t="str">
        <f>IF(Inventory!AQ115="","",Inventory!AQ115)</f>
        <v/>
      </c>
      <c r="Z112" s="778" t="str">
        <f>IF(Inventory!AR115="","",Inventory!AR115)</f>
        <v/>
      </c>
      <c r="AA112" s="751" t="str">
        <f>IF(Inventory!AS115="","",Inventory!AS115)</f>
        <v/>
      </c>
      <c r="AB112" s="871"/>
    </row>
    <row r="113" spans="2:28" s="618" customFormat="1" ht="21.95" customHeight="1" x14ac:dyDescent="0.25">
      <c r="B113" s="431">
        <v>107</v>
      </c>
      <c r="C113" s="501" t="str">
        <f>IF(Inventory!C116="","",Inventory!C116)</f>
        <v/>
      </c>
      <c r="D113" s="502" t="str">
        <f>IF(Inventory!D116="","",Inventory!D116)</f>
        <v/>
      </c>
      <c r="E113" s="557" t="str">
        <f>IF(Inventory!W116="","",Inventory!W116)</f>
        <v/>
      </c>
      <c r="F113" s="788" t="str">
        <f>IF(Inventory!X116="","",Inventory!X116)</f>
        <v/>
      </c>
      <c r="G113" s="788" t="str">
        <f>IF(Inventory!Y116="","",Inventory!Y116)</f>
        <v/>
      </c>
      <c r="H113" s="729" t="str">
        <f>IF(Inventory!Z116="","",Inventory!Z116)</f>
        <v/>
      </c>
      <c r="I113" s="729" t="str">
        <f>IF(Inventory!AA116="","",Inventory!AA116)</f>
        <v/>
      </c>
      <c r="J113" s="729" t="str">
        <f>IF(Inventory!AB116="","",Inventory!AB116)</f>
        <v/>
      </c>
      <c r="K113" s="729" t="str">
        <f>IF(Inventory!AC116="","",Inventory!AC116)</f>
        <v/>
      </c>
      <c r="L113" s="765" t="str">
        <f>IF(Inventory!AD116="","",Inventory!AD116)</f>
        <v/>
      </c>
      <c r="M113" s="527">
        <f>IF(Inventory!AE116="","",Inventory!AE116)</f>
        <v>0</v>
      </c>
      <c r="N113" s="527">
        <f>IF(Inventory!AF116="","",Inventory!AF116)</f>
        <v>0</v>
      </c>
      <c r="O113" s="527">
        <f>IF(Inventory!AG116="","",Inventory!AG116)</f>
        <v>0</v>
      </c>
      <c r="P113" s="527">
        <f>IF(Inventory!AH116="","",Inventory!AH116)</f>
        <v>0</v>
      </c>
      <c r="Q113" s="527">
        <f>IF(Inventory!AI116="","",Inventory!AI116)</f>
        <v>0</v>
      </c>
      <c r="R113" s="527">
        <f>IF(Inventory!AJ116="","",Inventory!AJ116)</f>
        <v>999999999</v>
      </c>
      <c r="S113" s="758" t="str">
        <f>IF(Inventory!AK116="","",Inventory!AK116)</f>
        <v/>
      </c>
      <c r="T113" s="765" t="str">
        <f>IF(Inventory!AL116="","",Inventory!AL116)</f>
        <v/>
      </c>
      <c r="U113" s="758" t="str">
        <f>IF(Inventory!AM116="","",Inventory!AM116)</f>
        <v/>
      </c>
      <c r="V113" s="729" t="str">
        <f>IF(Inventory!AN116="","",Inventory!AN116)</f>
        <v/>
      </c>
      <c r="W113" s="775" t="str">
        <f>IF(Inventory!AO116="","",Inventory!AO116)</f>
        <v/>
      </c>
      <c r="X113" s="775" t="str">
        <f>IF(Inventory!AP116="","",Inventory!AP116)</f>
        <v/>
      </c>
      <c r="Y113" s="729" t="str">
        <f>IF(Inventory!AQ116="","",Inventory!AQ116)</f>
        <v/>
      </c>
      <c r="Z113" s="775" t="str">
        <f>IF(Inventory!AR116="","",Inventory!AR116)</f>
        <v/>
      </c>
      <c r="AA113" s="779" t="str">
        <f>IF(Inventory!AS116="","",Inventory!AS116)</f>
        <v/>
      </c>
      <c r="AB113" s="866"/>
    </row>
    <row r="114" spans="2:28" s="618" customFormat="1" ht="21.95" customHeight="1" x14ac:dyDescent="0.25">
      <c r="B114" s="432">
        <v>108</v>
      </c>
      <c r="C114" s="499" t="str">
        <f>IF(Inventory!C117="","",Inventory!C117)</f>
        <v/>
      </c>
      <c r="D114" s="751" t="str">
        <f>IF(Inventory!D117="","",Inventory!D117)</f>
        <v/>
      </c>
      <c r="E114" s="556" t="str">
        <f>IF(Inventory!W117="","",Inventory!W117)</f>
        <v/>
      </c>
      <c r="F114" s="785" t="str">
        <f>IF(Inventory!X117="","",Inventory!X117)</f>
        <v/>
      </c>
      <c r="G114" s="785" t="str">
        <f>IF(Inventory!Y117="","",Inventory!Y117)</f>
        <v/>
      </c>
      <c r="H114" s="767" t="str">
        <f>IF(Inventory!Z117="","",Inventory!Z117)</f>
        <v/>
      </c>
      <c r="I114" s="767" t="str">
        <f>IF(Inventory!AA117="","",Inventory!AA117)</f>
        <v/>
      </c>
      <c r="J114" s="767" t="str">
        <f>IF(Inventory!AB117="","",Inventory!AB117)</f>
        <v/>
      </c>
      <c r="K114" s="767" t="str">
        <f>IF(Inventory!AC117="","",Inventory!AC117)</f>
        <v/>
      </c>
      <c r="L114" s="776" t="str">
        <f>IF(Inventory!AD117="","",Inventory!AD117)</f>
        <v/>
      </c>
      <c r="M114" s="527">
        <f>IF(Inventory!AE117="","",Inventory!AE117)</f>
        <v>0</v>
      </c>
      <c r="N114" s="527">
        <f>IF(Inventory!AF117="","",Inventory!AF117)</f>
        <v>0</v>
      </c>
      <c r="O114" s="527">
        <f>IF(Inventory!AG117="","",Inventory!AG117)</f>
        <v>0</v>
      </c>
      <c r="P114" s="527">
        <f>IF(Inventory!AH117="","",Inventory!AH117)</f>
        <v>0</v>
      </c>
      <c r="Q114" s="527">
        <f>IF(Inventory!AI117="","",Inventory!AI117)</f>
        <v>0</v>
      </c>
      <c r="R114" s="527">
        <f>IF(Inventory!AJ117="","",Inventory!AJ117)</f>
        <v>999999999</v>
      </c>
      <c r="S114" s="777" t="str">
        <f>IF(Inventory!AK117="","",Inventory!AK117)</f>
        <v/>
      </c>
      <c r="T114" s="776" t="str">
        <f>IF(Inventory!AL117="","",Inventory!AL117)</f>
        <v/>
      </c>
      <c r="U114" s="777" t="str">
        <f>IF(Inventory!AM117="","",Inventory!AM117)</f>
        <v/>
      </c>
      <c r="V114" s="767" t="str">
        <f>IF(Inventory!AN117="","",Inventory!AN117)</f>
        <v/>
      </c>
      <c r="W114" s="778" t="str">
        <f>IF(Inventory!AO117="","",Inventory!AO117)</f>
        <v/>
      </c>
      <c r="X114" s="778" t="str">
        <f>IF(Inventory!AP117="","",Inventory!AP117)</f>
        <v/>
      </c>
      <c r="Y114" s="767" t="str">
        <f>IF(Inventory!AQ117="","",Inventory!AQ117)</f>
        <v/>
      </c>
      <c r="Z114" s="778" t="str">
        <f>IF(Inventory!AR117="","",Inventory!AR117)</f>
        <v/>
      </c>
      <c r="AA114" s="751" t="str">
        <f>IF(Inventory!AS117="","",Inventory!AS117)</f>
        <v/>
      </c>
      <c r="AB114" s="871"/>
    </row>
    <row r="115" spans="2:28" s="618" customFormat="1" ht="21.95" customHeight="1" x14ac:dyDescent="0.25">
      <c r="B115" s="431">
        <v>109</v>
      </c>
      <c r="C115" s="501" t="str">
        <f>IF(Inventory!C118="","",Inventory!C118)</f>
        <v/>
      </c>
      <c r="D115" s="502" t="str">
        <f>IF(Inventory!D118="","",Inventory!D118)</f>
        <v/>
      </c>
      <c r="E115" s="557" t="str">
        <f>IF(Inventory!W118="","",Inventory!W118)</f>
        <v/>
      </c>
      <c r="F115" s="788" t="str">
        <f>IF(Inventory!X118="","",Inventory!X118)</f>
        <v/>
      </c>
      <c r="G115" s="788" t="str">
        <f>IF(Inventory!Y118="","",Inventory!Y118)</f>
        <v/>
      </c>
      <c r="H115" s="729" t="str">
        <f>IF(Inventory!Z118="","",Inventory!Z118)</f>
        <v/>
      </c>
      <c r="I115" s="729" t="str">
        <f>IF(Inventory!AA118="","",Inventory!AA118)</f>
        <v/>
      </c>
      <c r="J115" s="729" t="str">
        <f>IF(Inventory!AB118="","",Inventory!AB118)</f>
        <v/>
      </c>
      <c r="K115" s="729" t="str">
        <f>IF(Inventory!AC118="","",Inventory!AC118)</f>
        <v/>
      </c>
      <c r="L115" s="765" t="str">
        <f>IF(Inventory!AD118="","",Inventory!AD118)</f>
        <v/>
      </c>
      <c r="M115" s="527">
        <f>IF(Inventory!AE118="","",Inventory!AE118)</f>
        <v>0</v>
      </c>
      <c r="N115" s="527">
        <f>IF(Inventory!AF118="","",Inventory!AF118)</f>
        <v>0</v>
      </c>
      <c r="O115" s="527">
        <f>IF(Inventory!AG118="","",Inventory!AG118)</f>
        <v>0</v>
      </c>
      <c r="P115" s="527">
        <f>IF(Inventory!AH118="","",Inventory!AH118)</f>
        <v>0</v>
      </c>
      <c r="Q115" s="527">
        <f>IF(Inventory!AI118="","",Inventory!AI118)</f>
        <v>0</v>
      </c>
      <c r="R115" s="527">
        <f>IF(Inventory!AJ118="","",Inventory!AJ118)</f>
        <v>999999999</v>
      </c>
      <c r="S115" s="758" t="str">
        <f>IF(Inventory!AK118="","",Inventory!AK118)</f>
        <v/>
      </c>
      <c r="T115" s="765" t="str">
        <f>IF(Inventory!AL118="","",Inventory!AL118)</f>
        <v/>
      </c>
      <c r="U115" s="758" t="str">
        <f>IF(Inventory!AM118="","",Inventory!AM118)</f>
        <v/>
      </c>
      <c r="V115" s="729" t="str">
        <f>IF(Inventory!AN118="","",Inventory!AN118)</f>
        <v/>
      </c>
      <c r="W115" s="775" t="str">
        <f>IF(Inventory!AO118="","",Inventory!AO118)</f>
        <v/>
      </c>
      <c r="X115" s="775" t="str">
        <f>IF(Inventory!AP118="","",Inventory!AP118)</f>
        <v/>
      </c>
      <c r="Y115" s="729" t="str">
        <f>IF(Inventory!AQ118="","",Inventory!AQ118)</f>
        <v/>
      </c>
      <c r="Z115" s="775" t="str">
        <f>IF(Inventory!AR118="","",Inventory!AR118)</f>
        <v/>
      </c>
      <c r="AA115" s="779" t="str">
        <f>IF(Inventory!AS118="","",Inventory!AS118)</f>
        <v/>
      </c>
      <c r="AB115" s="866"/>
    </row>
    <row r="116" spans="2:28" s="618" customFormat="1" ht="21.95" customHeight="1" x14ac:dyDescent="0.25">
      <c r="B116" s="432">
        <v>110</v>
      </c>
      <c r="C116" s="499" t="str">
        <f>IF(Inventory!C119="","",Inventory!C119)</f>
        <v/>
      </c>
      <c r="D116" s="751" t="str">
        <f>IF(Inventory!D119="","",Inventory!D119)</f>
        <v/>
      </c>
      <c r="E116" s="556" t="str">
        <f>IF(Inventory!W119="","",Inventory!W119)</f>
        <v/>
      </c>
      <c r="F116" s="785" t="str">
        <f>IF(Inventory!X119="","",Inventory!X119)</f>
        <v/>
      </c>
      <c r="G116" s="785" t="str">
        <f>IF(Inventory!Y119="","",Inventory!Y119)</f>
        <v/>
      </c>
      <c r="H116" s="767" t="str">
        <f>IF(Inventory!Z119="","",Inventory!Z119)</f>
        <v/>
      </c>
      <c r="I116" s="767" t="str">
        <f>IF(Inventory!AA119="","",Inventory!AA119)</f>
        <v/>
      </c>
      <c r="J116" s="767" t="str">
        <f>IF(Inventory!AB119="","",Inventory!AB119)</f>
        <v/>
      </c>
      <c r="K116" s="767" t="str">
        <f>IF(Inventory!AC119="","",Inventory!AC119)</f>
        <v/>
      </c>
      <c r="L116" s="776" t="str">
        <f>IF(Inventory!AD119="","",Inventory!AD119)</f>
        <v/>
      </c>
      <c r="M116" s="527">
        <f>IF(Inventory!AE119="","",Inventory!AE119)</f>
        <v>0</v>
      </c>
      <c r="N116" s="527">
        <f>IF(Inventory!AF119="","",Inventory!AF119)</f>
        <v>0</v>
      </c>
      <c r="O116" s="527">
        <f>IF(Inventory!AG119="","",Inventory!AG119)</f>
        <v>0</v>
      </c>
      <c r="P116" s="527">
        <f>IF(Inventory!AH119="","",Inventory!AH119)</f>
        <v>0</v>
      </c>
      <c r="Q116" s="527">
        <f>IF(Inventory!AI119="","",Inventory!AI119)</f>
        <v>0</v>
      </c>
      <c r="R116" s="527">
        <f>IF(Inventory!AJ119="","",Inventory!AJ119)</f>
        <v>999999999</v>
      </c>
      <c r="S116" s="777" t="str">
        <f>IF(Inventory!AK119="","",Inventory!AK119)</f>
        <v/>
      </c>
      <c r="T116" s="776" t="str">
        <f>IF(Inventory!AL119="","",Inventory!AL119)</f>
        <v/>
      </c>
      <c r="U116" s="777" t="str">
        <f>IF(Inventory!AM119="","",Inventory!AM119)</f>
        <v/>
      </c>
      <c r="V116" s="767" t="str">
        <f>IF(Inventory!AN119="","",Inventory!AN119)</f>
        <v/>
      </c>
      <c r="W116" s="778" t="str">
        <f>IF(Inventory!AO119="","",Inventory!AO119)</f>
        <v/>
      </c>
      <c r="X116" s="778" t="str">
        <f>IF(Inventory!AP119="","",Inventory!AP119)</f>
        <v/>
      </c>
      <c r="Y116" s="767" t="str">
        <f>IF(Inventory!AQ119="","",Inventory!AQ119)</f>
        <v/>
      </c>
      <c r="Z116" s="778" t="str">
        <f>IF(Inventory!AR119="","",Inventory!AR119)</f>
        <v/>
      </c>
      <c r="AA116" s="751" t="str">
        <f>IF(Inventory!AS119="","",Inventory!AS119)</f>
        <v/>
      </c>
      <c r="AB116" s="871"/>
    </row>
    <row r="117" spans="2:28" s="618" customFormat="1" ht="21.95" customHeight="1" x14ac:dyDescent="0.25">
      <c r="B117" s="431">
        <v>111</v>
      </c>
      <c r="C117" s="501" t="str">
        <f>IF(Inventory!C120="","",Inventory!C120)</f>
        <v/>
      </c>
      <c r="D117" s="502" t="str">
        <f>IF(Inventory!D120="","",Inventory!D120)</f>
        <v/>
      </c>
      <c r="E117" s="557" t="str">
        <f>IF(Inventory!W120="","",Inventory!W120)</f>
        <v/>
      </c>
      <c r="F117" s="788" t="str">
        <f>IF(Inventory!X120="","",Inventory!X120)</f>
        <v/>
      </c>
      <c r="G117" s="788" t="str">
        <f>IF(Inventory!Y120="","",Inventory!Y120)</f>
        <v/>
      </c>
      <c r="H117" s="729" t="str">
        <f>IF(Inventory!Z120="","",Inventory!Z120)</f>
        <v/>
      </c>
      <c r="I117" s="729" t="str">
        <f>IF(Inventory!AA120="","",Inventory!AA120)</f>
        <v/>
      </c>
      <c r="J117" s="729" t="str">
        <f>IF(Inventory!AB120="","",Inventory!AB120)</f>
        <v/>
      </c>
      <c r="K117" s="729" t="str">
        <f>IF(Inventory!AC120="","",Inventory!AC120)</f>
        <v/>
      </c>
      <c r="L117" s="765" t="str">
        <f>IF(Inventory!AD120="","",Inventory!AD120)</f>
        <v/>
      </c>
      <c r="M117" s="527">
        <f>IF(Inventory!AE120="","",Inventory!AE120)</f>
        <v>0</v>
      </c>
      <c r="N117" s="527">
        <f>IF(Inventory!AF120="","",Inventory!AF120)</f>
        <v>0</v>
      </c>
      <c r="O117" s="527">
        <f>IF(Inventory!AG120="","",Inventory!AG120)</f>
        <v>0</v>
      </c>
      <c r="P117" s="527">
        <f>IF(Inventory!AH120="","",Inventory!AH120)</f>
        <v>0</v>
      </c>
      <c r="Q117" s="527">
        <f>IF(Inventory!AI120="","",Inventory!AI120)</f>
        <v>0</v>
      </c>
      <c r="R117" s="527">
        <f>IF(Inventory!AJ120="","",Inventory!AJ120)</f>
        <v>999999999</v>
      </c>
      <c r="S117" s="758" t="str">
        <f>IF(Inventory!AK120="","",Inventory!AK120)</f>
        <v/>
      </c>
      <c r="T117" s="765" t="str">
        <f>IF(Inventory!AL120="","",Inventory!AL120)</f>
        <v/>
      </c>
      <c r="U117" s="758" t="str">
        <f>IF(Inventory!AM120="","",Inventory!AM120)</f>
        <v/>
      </c>
      <c r="V117" s="729" t="str">
        <f>IF(Inventory!AN120="","",Inventory!AN120)</f>
        <v/>
      </c>
      <c r="W117" s="775" t="str">
        <f>IF(Inventory!AO120="","",Inventory!AO120)</f>
        <v/>
      </c>
      <c r="X117" s="775" t="str">
        <f>IF(Inventory!AP120="","",Inventory!AP120)</f>
        <v/>
      </c>
      <c r="Y117" s="729" t="str">
        <f>IF(Inventory!AQ120="","",Inventory!AQ120)</f>
        <v/>
      </c>
      <c r="Z117" s="775" t="str">
        <f>IF(Inventory!AR120="","",Inventory!AR120)</f>
        <v/>
      </c>
      <c r="AA117" s="779" t="str">
        <f>IF(Inventory!AS120="","",Inventory!AS120)</f>
        <v/>
      </c>
      <c r="AB117" s="866"/>
    </row>
    <row r="118" spans="2:28" s="618" customFormat="1" ht="21.95" customHeight="1" x14ac:dyDescent="0.25">
      <c r="B118" s="432">
        <v>112</v>
      </c>
      <c r="C118" s="499" t="str">
        <f>IF(Inventory!C121="","",Inventory!C121)</f>
        <v/>
      </c>
      <c r="D118" s="751" t="str">
        <f>IF(Inventory!D121="","",Inventory!D121)</f>
        <v/>
      </c>
      <c r="E118" s="556" t="str">
        <f>IF(Inventory!W121="","",Inventory!W121)</f>
        <v/>
      </c>
      <c r="F118" s="785" t="str">
        <f>IF(Inventory!X121="","",Inventory!X121)</f>
        <v/>
      </c>
      <c r="G118" s="785" t="str">
        <f>IF(Inventory!Y121="","",Inventory!Y121)</f>
        <v/>
      </c>
      <c r="H118" s="767" t="str">
        <f>IF(Inventory!Z121="","",Inventory!Z121)</f>
        <v/>
      </c>
      <c r="I118" s="767" t="str">
        <f>IF(Inventory!AA121="","",Inventory!AA121)</f>
        <v/>
      </c>
      <c r="J118" s="767" t="str">
        <f>IF(Inventory!AB121="","",Inventory!AB121)</f>
        <v/>
      </c>
      <c r="K118" s="767" t="str">
        <f>IF(Inventory!AC121="","",Inventory!AC121)</f>
        <v/>
      </c>
      <c r="L118" s="776" t="str">
        <f>IF(Inventory!AD121="","",Inventory!AD121)</f>
        <v/>
      </c>
      <c r="M118" s="527">
        <f>IF(Inventory!AE121="","",Inventory!AE121)</f>
        <v>0</v>
      </c>
      <c r="N118" s="527">
        <f>IF(Inventory!AF121="","",Inventory!AF121)</f>
        <v>0</v>
      </c>
      <c r="O118" s="527">
        <f>IF(Inventory!AG121="","",Inventory!AG121)</f>
        <v>0</v>
      </c>
      <c r="P118" s="527">
        <f>IF(Inventory!AH121="","",Inventory!AH121)</f>
        <v>0</v>
      </c>
      <c r="Q118" s="527">
        <f>IF(Inventory!AI121="","",Inventory!AI121)</f>
        <v>0</v>
      </c>
      <c r="R118" s="527">
        <f>IF(Inventory!AJ121="","",Inventory!AJ121)</f>
        <v>999999999</v>
      </c>
      <c r="S118" s="777" t="str">
        <f>IF(Inventory!AK121="","",Inventory!AK121)</f>
        <v/>
      </c>
      <c r="T118" s="776" t="str">
        <f>IF(Inventory!AL121="","",Inventory!AL121)</f>
        <v/>
      </c>
      <c r="U118" s="777" t="str">
        <f>IF(Inventory!AM121="","",Inventory!AM121)</f>
        <v/>
      </c>
      <c r="V118" s="767" t="str">
        <f>IF(Inventory!AN121="","",Inventory!AN121)</f>
        <v/>
      </c>
      <c r="W118" s="778" t="str">
        <f>IF(Inventory!AO121="","",Inventory!AO121)</f>
        <v/>
      </c>
      <c r="X118" s="778" t="str">
        <f>IF(Inventory!AP121="","",Inventory!AP121)</f>
        <v/>
      </c>
      <c r="Y118" s="767" t="str">
        <f>IF(Inventory!AQ121="","",Inventory!AQ121)</f>
        <v/>
      </c>
      <c r="Z118" s="778" t="str">
        <f>IF(Inventory!AR121="","",Inventory!AR121)</f>
        <v/>
      </c>
      <c r="AA118" s="751" t="str">
        <f>IF(Inventory!AS121="","",Inventory!AS121)</f>
        <v/>
      </c>
      <c r="AB118" s="871"/>
    </row>
    <row r="119" spans="2:28" s="618" customFormat="1" ht="21.95" customHeight="1" x14ac:dyDescent="0.25">
      <c r="B119" s="431">
        <v>113</v>
      </c>
      <c r="C119" s="501" t="str">
        <f>IF(Inventory!C122="","",Inventory!C122)</f>
        <v/>
      </c>
      <c r="D119" s="502" t="str">
        <f>IF(Inventory!D122="","",Inventory!D122)</f>
        <v/>
      </c>
      <c r="E119" s="557" t="str">
        <f>IF(Inventory!W122="","",Inventory!W122)</f>
        <v/>
      </c>
      <c r="F119" s="788" t="str">
        <f>IF(Inventory!X122="","",Inventory!X122)</f>
        <v/>
      </c>
      <c r="G119" s="788" t="str">
        <f>IF(Inventory!Y122="","",Inventory!Y122)</f>
        <v/>
      </c>
      <c r="H119" s="729" t="str">
        <f>IF(Inventory!Z122="","",Inventory!Z122)</f>
        <v/>
      </c>
      <c r="I119" s="729" t="str">
        <f>IF(Inventory!AA122="","",Inventory!AA122)</f>
        <v/>
      </c>
      <c r="J119" s="729" t="str">
        <f>IF(Inventory!AB122="","",Inventory!AB122)</f>
        <v/>
      </c>
      <c r="K119" s="729" t="str">
        <f>IF(Inventory!AC122="","",Inventory!AC122)</f>
        <v/>
      </c>
      <c r="L119" s="765" t="str">
        <f>IF(Inventory!AD122="","",Inventory!AD122)</f>
        <v/>
      </c>
      <c r="M119" s="527">
        <f>IF(Inventory!AE122="","",Inventory!AE122)</f>
        <v>0</v>
      </c>
      <c r="N119" s="527">
        <f>IF(Inventory!AF122="","",Inventory!AF122)</f>
        <v>0</v>
      </c>
      <c r="O119" s="527">
        <f>IF(Inventory!AG122="","",Inventory!AG122)</f>
        <v>0</v>
      </c>
      <c r="P119" s="527">
        <f>IF(Inventory!AH122="","",Inventory!AH122)</f>
        <v>0</v>
      </c>
      <c r="Q119" s="527">
        <f>IF(Inventory!AI122="","",Inventory!AI122)</f>
        <v>0</v>
      </c>
      <c r="R119" s="527">
        <f>IF(Inventory!AJ122="","",Inventory!AJ122)</f>
        <v>999999999</v>
      </c>
      <c r="S119" s="758" t="str">
        <f>IF(Inventory!AK122="","",Inventory!AK122)</f>
        <v/>
      </c>
      <c r="T119" s="765" t="str">
        <f>IF(Inventory!AL122="","",Inventory!AL122)</f>
        <v/>
      </c>
      <c r="U119" s="758" t="str">
        <f>IF(Inventory!AM122="","",Inventory!AM122)</f>
        <v/>
      </c>
      <c r="V119" s="729" t="str">
        <f>IF(Inventory!AN122="","",Inventory!AN122)</f>
        <v/>
      </c>
      <c r="W119" s="775" t="str">
        <f>IF(Inventory!AO122="","",Inventory!AO122)</f>
        <v/>
      </c>
      <c r="X119" s="775" t="str">
        <f>IF(Inventory!AP122="","",Inventory!AP122)</f>
        <v/>
      </c>
      <c r="Y119" s="729" t="str">
        <f>IF(Inventory!AQ122="","",Inventory!AQ122)</f>
        <v/>
      </c>
      <c r="Z119" s="775" t="str">
        <f>IF(Inventory!AR122="","",Inventory!AR122)</f>
        <v/>
      </c>
      <c r="AA119" s="779" t="str">
        <f>IF(Inventory!AS122="","",Inventory!AS122)</f>
        <v/>
      </c>
      <c r="AB119" s="866"/>
    </row>
    <row r="120" spans="2:28" s="618" customFormat="1" ht="21.95" customHeight="1" x14ac:dyDescent="0.25">
      <c r="B120" s="432">
        <v>114</v>
      </c>
      <c r="C120" s="499" t="str">
        <f>IF(Inventory!C123="","",Inventory!C123)</f>
        <v/>
      </c>
      <c r="D120" s="751" t="str">
        <f>IF(Inventory!D123="","",Inventory!D123)</f>
        <v/>
      </c>
      <c r="E120" s="556" t="str">
        <f>IF(Inventory!W123="","",Inventory!W123)</f>
        <v/>
      </c>
      <c r="F120" s="785" t="str">
        <f>IF(Inventory!X123="","",Inventory!X123)</f>
        <v/>
      </c>
      <c r="G120" s="785" t="str">
        <f>IF(Inventory!Y123="","",Inventory!Y123)</f>
        <v/>
      </c>
      <c r="H120" s="767" t="str">
        <f>IF(Inventory!Z123="","",Inventory!Z123)</f>
        <v/>
      </c>
      <c r="I120" s="767" t="str">
        <f>IF(Inventory!AA123="","",Inventory!AA123)</f>
        <v/>
      </c>
      <c r="J120" s="767" t="str">
        <f>IF(Inventory!AB123="","",Inventory!AB123)</f>
        <v/>
      </c>
      <c r="K120" s="767" t="str">
        <f>IF(Inventory!AC123="","",Inventory!AC123)</f>
        <v/>
      </c>
      <c r="L120" s="776" t="str">
        <f>IF(Inventory!AD123="","",Inventory!AD123)</f>
        <v/>
      </c>
      <c r="M120" s="527">
        <f>IF(Inventory!AE123="","",Inventory!AE123)</f>
        <v>0</v>
      </c>
      <c r="N120" s="527">
        <f>IF(Inventory!AF123="","",Inventory!AF123)</f>
        <v>0</v>
      </c>
      <c r="O120" s="527">
        <f>IF(Inventory!AG123="","",Inventory!AG123)</f>
        <v>0</v>
      </c>
      <c r="P120" s="527">
        <f>IF(Inventory!AH123="","",Inventory!AH123)</f>
        <v>0</v>
      </c>
      <c r="Q120" s="527">
        <f>IF(Inventory!AI123="","",Inventory!AI123)</f>
        <v>0</v>
      </c>
      <c r="R120" s="527">
        <f>IF(Inventory!AJ123="","",Inventory!AJ123)</f>
        <v>999999999</v>
      </c>
      <c r="S120" s="777" t="str">
        <f>IF(Inventory!AK123="","",Inventory!AK123)</f>
        <v/>
      </c>
      <c r="T120" s="776" t="str">
        <f>IF(Inventory!AL123="","",Inventory!AL123)</f>
        <v/>
      </c>
      <c r="U120" s="777" t="str">
        <f>IF(Inventory!AM123="","",Inventory!AM123)</f>
        <v/>
      </c>
      <c r="V120" s="767" t="str">
        <f>IF(Inventory!AN123="","",Inventory!AN123)</f>
        <v/>
      </c>
      <c r="W120" s="778" t="str">
        <f>IF(Inventory!AO123="","",Inventory!AO123)</f>
        <v/>
      </c>
      <c r="X120" s="778" t="str">
        <f>IF(Inventory!AP123="","",Inventory!AP123)</f>
        <v/>
      </c>
      <c r="Y120" s="767" t="str">
        <f>IF(Inventory!AQ123="","",Inventory!AQ123)</f>
        <v/>
      </c>
      <c r="Z120" s="778" t="str">
        <f>IF(Inventory!AR123="","",Inventory!AR123)</f>
        <v/>
      </c>
      <c r="AA120" s="751" t="str">
        <f>IF(Inventory!AS123="","",Inventory!AS123)</f>
        <v/>
      </c>
      <c r="AB120" s="871"/>
    </row>
    <row r="121" spans="2:28" s="618" customFormat="1" ht="21.95" customHeight="1" x14ac:dyDescent="0.25">
      <c r="B121" s="431">
        <v>115</v>
      </c>
      <c r="C121" s="501" t="str">
        <f>IF(Inventory!C124="","",Inventory!C124)</f>
        <v/>
      </c>
      <c r="D121" s="502" t="str">
        <f>IF(Inventory!D124="","",Inventory!D124)</f>
        <v/>
      </c>
      <c r="E121" s="557" t="str">
        <f>IF(Inventory!W124="","",Inventory!W124)</f>
        <v/>
      </c>
      <c r="F121" s="788" t="str">
        <f>IF(Inventory!X124="","",Inventory!X124)</f>
        <v/>
      </c>
      <c r="G121" s="788" t="str">
        <f>IF(Inventory!Y124="","",Inventory!Y124)</f>
        <v/>
      </c>
      <c r="H121" s="729" t="str">
        <f>IF(Inventory!Z124="","",Inventory!Z124)</f>
        <v/>
      </c>
      <c r="I121" s="729" t="str">
        <f>IF(Inventory!AA124="","",Inventory!AA124)</f>
        <v/>
      </c>
      <c r="J121" s="729" t="str">
        <f>IF(Inventory!AB124="","",Inventory!AB124)</f>
        <v/>
      </c>
      <c r="K121" s="729" t="str">
        <f>IF(Inventory!AC124="","",Inventory!AC124)</f>
        <v/>
      </c>
      <c r="L121" s="765" t="str">
        <f>IF(Inventory!AD124="","",Inventory!AD124)</f>
        <v/>
      </c>
      <c r="M121" s="527">
        <f>IF(Inventory!AE124="","",Inventory!AE124)</f>
        <v>0</v>
      </c>
      <c r="N121" s="527">
        <f>IF(Inventory!AF124="","",Inventory!AF124)</f>
        <v>0</v>
      </c>
      <c r="O121" s="527">
        <f>IF(Inventory!AG124="","",Inventory!AG124)</f>
        <v>0</v>
      </c>
      <c r="P121" s="527">
        <f>IF(Inventory!AH124="","",Inventory!AH124)</f>
        <v>0</v>
      </c>
      <c r="Q121" s="527">
        <f>IF(Inventory!AI124="","",Inventory!AI124)</f>
        <v>0</v>
      </c>
      <c r="R121" s="527">
        <f>IF(Inventory!AJ124="","",Inventory!AJ124)</f>
        <v>999999999</v>
      </c>
      <c r="S121" s="758" t="str">
        <f>IF(Inventory!AK124="","",Inventory!AK124)</f>
        <v/>
      </c>
      <c r="T121" s="765" t="str">
        <f>IF(Inventory!AL124="","",Inventory!AL124)</f>
        <v/>
      </c>
      <c r="U121" s="758" t="str">
        <f>IF(Inventory!AM124="","",Inventory!AM124)</f>
        <v/>
      </c>
      <c r="V121" s="729" t="str">
        <f>IF(Inventory!AN124="","",Inventory!AN124)</f>
        <v/>
      </c>
      <c r="W121" s="775" t="str">
        <f>IF(Inventory!AO124="","",Inventory!AO124)</f>
        <v/>
      </c>
      <c r="X121" s="775" t="str">
        <f>IF(Inventory!AP124="","",Inventory!AP124)</f>
        <v/>
      </c>
      <c r="Y121" s="729" t="str">
        <f>IF(Inventory!AQ124="","",Inventory!AQ124)</f>
        <v/>
      </c>
      <c r="Z121" s="775" t="str">
        <f>IF(Inventory!AR124="","",Inventory!AR124)</f>
        <v/>
      </c>
      <c r="AA121" s="779" t="str">
        <f>IF(Inventory!AS124="","",Inventory!AS124)</f>
        <v/>
      </c>
      <c r="AB121" s="866"/>
    </row>
    <row r="122" spans="2:28" s="618" customFormat="1" ht="21.95" customHeight="1" x14ac:dyDescent="0.25">
      <c r="B122" s="432">
        <v>116</v>
      </c>
      <c r="C122" s="499" t="str">
        <f>IF(Inventory!C125="","",Inventory!C125)</f>
        <v/>
      </c>
      <c r="D122" s="751" t="str">
        <f>IF(Inventory!D125="","",Inventory!D125)</f>
        <v/>
      </c>
      <c r="E122" s="556" t="str">
        <f>IF(Inventory!W125="","",Inventory!W125)</f>
        <v/>
      </c>
      <c r="F122" s="785" t="str">
        <f>IF(Inventory!X125="","",Inventory!X125)</f>
        <v/>
      </c>
      <c r="G122" s="785" t="str">
        <f>IF(Inventory!Y125="","",Inventory!Y125)</f>
        <v/>
      </c>
      <c r="H122" s="767" t="str">
        <f>IF(Inventory!Z125="","",Inventory!Z125)</f>
        <v/>
      </c>
      <c r="I122" s="767" t="str">
        <f>IF(Inventory!AA125="","",Inventory!AA125)</f>
        <v/>
      </c>
      <c r="J122" s="767" t="str">
        <f>IF(Inventory!AB125="","",Inventory!AB125)</f>
        <v/>
      </c>
      <c r="K122" s="767" t="str">
        <f>IF(Inventory!AC125="","",Inventory!AC125)</f>
        <v/>
      </c>
      <c r="L122" s="776" t="str">
        <f>IF(Inventory!AD125="","",Inventory!AD125)</f>
        <v/>
      </c>
      <c r="M122" s="527">
        <f>IF(Inventory!AE125="","",Inventory!AE125)</f>
        <v>0</v>
      </c>
      <c r="N122" s="527">
        <f>IF(Inventory!AF125="","",Inventory!AF125)</f>
        <v>0</v>
      </c>
      <c r="O122" s="527">
        <f>IF(Inventory!AG125="","",Inventory!AG125)</f>
        <v>0</v>
      </c>
      <c r="P122" s="527">
        <f>IF(Inventory!AH125="","",Inventory!AH125)</f>
        <v>0</v>
      </c>
      <c r="Q122" s="527">
        <f>IF(Inventory!AI125="","",Inventory!AI125)</f>
        <v>0</v>
      </c>
      <c r="R122" s="527">
        <f>IF(Inventory!AJ125="","",Inventory!AJ125)</f>
        <v>999999999</v>
      </c>
      <c r="S122" s="777" t="str">
        <f>IF(Inventory!AK125="","",Inventory!AK125)</f>
        <v/>
      </c>
      <c r="T122" s="776" t="str">
        <f>IF(Inventory!AL125="","",Inventory!AL125)</f>
        <v/>
      </c>
      <c r="U122" s="777" t="str">
        <f>IF(Inventory!AM125="","",Inventory!AM125)</f>
        <v/>
      </c>
      <c r="V122" s="767" t="str">
        <f>IF(Inventory!AN125="","",Inventory!AN125)</f>
        <v/>
      </c>
      <c r="W122" s="778" t="str">
        <f>IF(Inventory!AO125="","",Inventory!AO125)</f>
        <v/>
      </c>
      <c r="X122" s="778" t="str">
        <f>IF(Inventory!AP125="","",Inventory!AP125)</f>
        <v/>
      </c>
      <c r="Y122" s="767" t="str">
        <f>IF(Inventory!AQ125="","",Inventory!AQ125)</f>
        <v/>
      </c>
      <c r="Z122" s="778" t="str">
        <f>IF(Inventory!AR125="","",Inventory!AR125)</f>
        <v/>
      </c>
      <c r="AA122" s="751" t="str">
        <f>IF(Inventory!AS125="","",Inventory!AS125)</f>
        <v/>
      </c>
      <c r="AB122" s="871"/>
    </row>
    <row r="123" spans="2:28" s="618" customFormat="1" ht="21.95" customHeight="1" x14ac:dyDescent="0.25">
      <c r="B123" s="431">
        <v>117</v>
      </c>
      <c r="C123" s="501" t="str">
        <f>IF(Inventory!C126="","",Inventory!C126)</f>
        <v/>
      </c>
      <c r="D123" s="502" t="str">
        <f>IF(Inventory!D126="","",Inventory!D126)</f>
        <v/>
      </c>
      <c r="E123" s="557" t="str">
        <f>IF(Inventory!W126="","",Inventory!W126)</f>
        <v/>
      </c>
      <c r="F123" s="788" t="str">
        <f>IF(Inventory!X126="","",Inventory!X126)</f>
        <v/>
      </c>
      <c r="G123" s="788" t="str">
        <f>IF(Inventory!Y126="","",Inventory!Y126)</f>
        <v/>
      </c>
      <c r="H123" s="729" t="str">
        <f>IF(Inventory!Z126="","",Inventory!Z126)</f>
        <v/>
      </c>
      <c r="I123" s="729" t="str">
        <f>IF(Inventory!AA126="","",Inventory!AA126)</f>
        <v/>
      </c>
      <c r="J123" s="729" t="str">
        <f>IF(Inventory!AB126="","",Inventory!AB126)</f>
        <v/>
      </c>
      <c r="K123" s="729" t="str">
        <f>IF(Inventory!AC126="","",Inventory!AC126)</f>
        <v/>
      </c>
      <c r="L123" s="765" t="str">
        <f>IF(Inventory!AD126="","",Inventory!AD126)</f>
        <v/>
      </c>
      <c r="M123" s="527">
        <f>IF(Inventory!AE126="","",Inventory!AE126)</f>
        <v>0</v>
      </c>
      <c r="N123" s="527">
        <f>IF(Inventory!AF126="","",Inventory!AF126)</f>
        <v>0</v>
      </c>
      <c r="O123" s="527">
        <f>IF(Inventory!AG126="","",Inventory!AG126)</f>
        <v>0</v>
      </c>
      <c r="P123" s="527">
        <f>IF(Inventory!AH126="","",Inventory!AH126)</f>
        <v>0</v>
      </c>
      <c r="Q123" s="527">
        <f>IF(Inventory!AI126="","",Inventory!AI126)</f>
        <v>0</v>
      </c>
      <c r="R123" s="527">
        <f>IF(Inventory!AJ126="","",Inventory!AJ126)</f>
        <v>999999999</v>
      </c>
      <c r="S123" s="758" t="str">
        <f>IF(Inventory!AK126="","",Inventory!AK126)</f>
        <v/>
      </c>
      <c r="T123" s="765" t="str">
        <f>IF(Inventory!AL126="","",Inventory!AL126)</f>
        <v/>
      </c>
      <c r="U123" s="758" t="str">
        <f>IF(Inventory!AM126="","",Inventory!AM126)</f>
        <v/>
      </c>
      <c r="V123" s="729" t="str">
        <f>IF(Inventory!AN126="","",Inventory!AN126)</f>
        <v/>
      </c>
      <c r="W123" s="775" t="str">
        <f>IF(Inventory!AO126="","",Inventory!AO126)</f>
        <v/>
      </c>
      <c r="X123" s="775" t="str">
        <f>IF(Inventory!AP126="","",Inventory!AP126)</f>
        <v/>
      </c>
      <c r="Y123" s="729" t="str">
        <f>IF(Inventory!AQ126="","",Inventory!AQ126)</f>
        <v/>
      </c>
      <c r="Z123" s="775" t="str">
        <f>IF(Inventory!AR126="","",Inventory!AR126)</f>
        <v/>
      </c>
      <c r="AA123" s="779" t="str">
        <f>IF(Inventory!AS126="","",Inventory!AS126)</f>
        <v/>
      </c>
      <c r="AB123" s="866"/>
    </row>
    <row r="124" spans="2:28" s="618" customFormat="1" ht="21.95" customHeight="1" x14ac:dyDescent="0.25">
      <c r="B124" s="432">
        <v>118</v>
      </c>
      <c r="C124" s="499" t="str">
        <f>IF(Inventory!C127="","",Inventory!C127)</f>
        <v/>
      </c>
      <c r="D124" s="751" t="str">
        <f>IF(Inventory!D127="","",Inventory!D127)</f>
        <v/>
      </c>
      <c r="E124" s="556" t="str">
        <f>IF(Inventory!W127="","",Inventory!W127)</f>
        <v/>
      </c>
      <c r="F124" s="785" t="str">
        <f>IF(Inventory!X127="","",Inventory!X127)</f>
        <v/>
      </c>
      <c r="G124" s="785" t="str">
        <f>IF(Inventory!Y127="","",Inventory!Y127)</f>
        <v/>
      </c>
      <c r="H124" s="767" t="str">
        <f>IF(Inventory!Z127="","",Inventory!Z127)</f>
        <v/>
      </c>
      <c r="I124" s="767" t="str">
        <f>IF(Inventory!AA127="","",Inventory!AA127)</f>
        <v/>
      </c>
      <c r="J124" s="767" t="str">
        <f>IF(Inventory!AB127="","",Inventory!AB127)</f>
        <v/>
      </c>
      <c r="K124" s="767" t="str">
        <f>IF(Inventory!AC127="","",Inventory!AC127)</f>
        <v/>
      </c>
      <c r="L124" s="776" t="str">
        <f>IF(Inventory!AD127="","",Inventory!AD127)</f>
        <v/>
      </c>
      <c r="M124" s="527">
        <f>IF(Inventory!AE127="","",Inventory!AE127)</f>
        <v>0</v>
      </c>
      <c r="N124" s="527">
        <f>IF(Inventory!AF127="","",Inventory!AF127)</f>
        <v>0</v>
      </c>
      <c r="O124" s="527">
        <f>IF(Inventory!AG127="","",Inventory!AG127)</f>
        <v>0</v>
      </c>
      <c r="P124" s="527">
        <f>IF(Inventory!AH127="","",Inventory!AH127)</f>
        <v>0</v>
      </c>
      <c r="Q124" s="527">
        <f>IF(Inventory!AI127="","",Inventory!AI127)</f>
        <v>0</v>
      </c>
      <c r="R124" s="527">
        <f>IF(Inventory!AJ127="","",Inventory!AJ127)</f>
        <v>999999999</v>
      </c>
      <c r="S124" s="777" t="str">
        <f>IF(Inventory!AK127="","",Inventory!AK127)</f>
        <v/>
      </c>
      <c r="T124" s="776" t="str">
        <f>IF(Inventory!AL127="","",Inventory!AL127)</f>
        <v/>
      </c>
      <c r="U124" s="777" t="str">
        <f>IF(Inventory!AM127="","",Inventory!AM127)</f>
        <v/>
      </c>
      <c r="V124" s="767" t="str">
        <f>IF(Inventory!AN127="","",Inventory!AN127)</f>
        <v/>
      </c>
      <c r="W124" s="778" t="str">
        <f>IF(Inventory!AO127="","",Inventory!AO127)</f>
        <v/>
      </c>
      <c r="X124" s="778" t="str">
        <f>IF(Inventory!AP127="","",Inventory!AP127)</f>
        <v/>
      </c>
      <c r="Y124" s="767" t="str">
        <f>IF(Inventory!AQ127="","",Inventory!AQ127)</f>
        <v/>
      </c>
      <c r="Z124" s="778" t="str">
        <f>IF(Inventory!AR127="","",Inventory!AR127)</f>
        <v/>
      </c>
      <c r="AA124" s="751" t="str">
        <f>IF(Inventory!AS127="","",Inventory!AS127)</f>
        <v/>
      </c>
      <c r="AB124" s="871"/>
    </row>
    <row r="125" spans="2:28" s="618" customFormat="1" ht="21.95" customHeight="1" x14ac:dyDescent="0.25">
      <c r="B125" s="431">
        <v>119</v>
      </c>
      <c r="C125" s="501" t="str">
        <f>IF(Inventory!C128="","",Inventory!C128)</f>
        <v/>
      </c>
      <c r="D125" s="502" t="str">
        <f>IF(Inventory!D128="","",Inventory!D128)</f>
        <v/>
      </c>
      <c r="E125" s="557" t="str">
        <f>IF(Inventory!W128="","",Inventory!W128)</f>
        <v/>
      </c>
      <c r="F125" s="788" t="str">
        <f>IF(Inventory!X128="","",Inventory!X128)</f>
        <v/>
      </c>
      <c r="G125" s="788" t="str">
        <f>IF(Inventory!Y128="","",Inventory!Y128)</f>
        <v/>
      </c>
      <c r="H125" s="729" t="str">
        <f>IF(Inventory!Z128="","",Inventory!Z128)</f>
        <v/>
      </c>
      <c r="I125" s="729" t="str">
        <f>IF(Inventory!AA128="","",Inventory!AA128)</f>
        <v/>
      </c>
      <c r="J125" s="729" t="str">
        <f>IF(Inventory!AB128="","",Inventory!AB128)</f>
        <v/>
      </c>
      <c r="K125" s="729" t="str">
        <f>IF(Inventory!AC128="","",Inventory!AC128)</f>
        <v/>
      </c>
      <c r="L125" s="765" t="str">
        <f>IF(Inventory!AD128="","",Inventory!AD128)</f>
        <v/>
      </c>
      <c r="M125" s="527">
        <f>IF(Inventory!AE128="","",Inventory!AE128)</f>
        <v>0</v>
      </c>
      <c r="N125" s="527">
        <f>IF(Inventory!AF128="","",Inventory!AF128)</f>
        <v>0</v>
      </c>
      <c r="O125" s="527">
        <f>IF(Inventory!AG128="","",Inventory!AG128)</f>
        <v>0</v>
      </c>
      <c r="P125" s="527">
        <f>IF(Inventory!AH128="","",Inventory!AH128)</f>
        <v>0</v>
      </c>
      <c r="Q125" s="527">
        <f>IF(Inventory!AI128="","",Inventory!AI128)</f>
        <v>0</v>
      </c>
      <c r="R125" s="527">
        <f>IF(Inventory!AJ128="","",Inventory!AJ128)</f>
        <v>999999999</v>
      </c>
      <c r="S125" s="758" t="str">
        <f>IF(Inventory!AK128="","",Inventory!AK128)</f>
        <v/>
      </c>
      <c r="T125" s="765" t="str">
        <f>IF(Inventory!AL128="","",Inventory!AL128)</f>
        <v/>
      </c>
      <c r="U125" s="758" t="str">
        <f>IF(Inventory!AM128="","",Inventory!AM128)</f>
        <v/>
      </c>
      <c r="V125" s="729" t="str">
        <f>IF(Inventory!AN128="","",Inventory!AN128)</f>
        <v/>
      </c>
      <c r="W125" s="775" t="str">
        <f>IF(Inventory!AO128="","",Inventory!AO128)</f>
        <v/>
      </c>
      <c r="X125" s="775" t="str">
        <f>IF(Inventory!AP128="","",Inventory!AP128)</f>
        <v/>
      </c>
      <c r="Y125" s="729" t="str">
        <f>IF(Inventory!AQ128="","",Inventory!AQ128)</f>
        <v/>
      </c>
      <c r="Z125" s="775" t="str">
        <f>IF(Inventory!AR128="","",Inventory!AR128)</f>
        <v/>
      </c>
      <c r="AA125" s="779" t="str">
        <f>IF(Inventory!AS128="","",Inventory!AS128)</f>
        <v/>
      </c>
      <c r="AB125" s="866"/>
    </row>
    <row r="126" spans="2:28" s="618" customFormat="1" ht="21.95" customHeight="1" x14ac:dyDescent="0.25">
      <c r="B126" s="432">
        <v>120</v>
      </c>
      <c r="C126" s="499" t="str">
        <f>IF(Inventory!C129="","",Inventory!C129)</f>
        <v/>
      </c>
      <c r="D126" s="751" t="str">
        <f>IF(Inventory!D129="","",Inventory!D129)</f>
        <v/>
      </c>
      <c r="E126" s="556" t="str">
        <f>IF(Inventory!W129="","",Inventory!W129)</f>
        <v/>
      </c>
      <c r="F126" s="785" t="str">
        <f>IF(Inventory!X129="","",Inventory!X129)</f>
        <v/>
      </c>
      <c r="G126" s="785" t="str">
        <f>IF(Inventory!Y129="","",Inventory!Y129)</f>
        <v/>
      </c>
      <c r="H126" s="767" t="str">
        <f>IF(Inventory!Z129="","",Inventory!Z129)</f>
        <v/>
      </c>
      <c r="I126" s="767" t="str">
        <f>IF(Inventory!AA129="","",Inventory!AA129)</f>
        <v/>
      </c>
      <c r="J126" s="767" t="str">
        <f>IF(Inventory!AB129="","",Inventory!AB129)</f>
        <v/>
      </c>
      <c r="K126" s="767" t="str">
        <f>IF(Inventory!AC129="","",Inventory!AC129)</f>
        <v/>
      </c>
      <c r="L126" s="776" t="str">
        <f>IF(Inventory!AD129="","",Inventory!AD129)</f>
        <v/>
      </c>
      <c r="M126" s="527">
        <f>IF(Inventory!AE129="","",Inventory!AE129)</f>
        <v>0</v>
      </c>
      <c r="N126" s="527">
        <f>IF(Inventory!AF129="","",Inventory!AF129)</f>
        <v>0</v>
      </c>
      <c r="O126" s="527">
        <f>IF(Inventory!AG129="","",Inventory!AG129)</f>
        <v>0</v>
      </c>
      <c r="P126" s="527">
        <f>IF(Inventory!AH129="","",Inventory!AH129)</f>
        <v>0</v>
      </c>
      <c r="Q126" s="527">
        <f>IF(Inventory!AI129="","",Inventory!AI129)</f>
        <v>0</v>
      </c>
      <c r="R126" s="527">
        <f>IF(Inventory!AJ129="","",Inventory!AJ129)</f>
        <v>999999999</v>
      </c>
      <c r="S126" s="777" t="str">
        <f>IF(Inventory!AK129="","",Inventory!AK129)</f>
        <v/>
      </c>
      <c r="T126" s="776" t="str">
        <f>IF(Inventory!AL129="","",Inventory!AL129)</f>
        <v/>
      </c>
      <c r="U126" s="777" t="str">
        <f>IF(Inventory!AM129="","",Inventory!AM129)</f>
        <v/>
      </c>
      <c r="V126" s="767" t="str">
        <f>IF(Inventory!AN129="","",Inventory!AN129)</f>
        <v/>
      </c>
      <c r="W126" s="778" t="str">
        <f>IF(Inventory!AO129="","",Inventory!AO129)</f>
        <v/>
      </c>
      <c r="X126" s="778" t="str">
        <f>IF(Inventory!AP129="","",Inventory!AP129)</f>
        <v/>
      </c>
      <c r="Y126" s="767" t="str">
        <f>IF(Inventory!AQ129="","",Inventory!AQ129)</f>
        <v/>
      </c>
      <c r="Z126" s="778" t="str">
        <f>IF(Inventory!AR129="","",Inventory!AR129)</f>
        <v/>
      </c>
      <c r="AA126" s="751" t="str">
        <f>IF(Inventory!AS129="","",Inventory!AS129)</f>
        <v/>
      </c>
      <c r="AB126" s="871"/>
    </row>
    <row r="127" spans="2:28" s="618" customFormat="1" ht="21.95" customHeight="1" x14ac:dyDescent="0.25">
      <c r="B127" s="431">
        <v>121</v>
      </c>
      <c r="C127" s="501" t="str">
        <f>IF(Inventory!C130="","",Inventory!C130)</f>
        <v/>
      </c>
      <c r="D127" s="502" t="str">
        <f>IF(Inventory!D130="","",Inventory!D130)</f>
        <v/>
      </c>
      <c r="E127" s="557" t="str">
        <f>IF(Inventory!W130="","",Inventory!W130)</f>
        <v/>
      </c>
      <c r="F127" s="788" t="str">
        <f>IF(Inventory!X130="","",Inventory!X130)</f>
        <v/>
      </c>
      <c r="G127" s="788" t="str">
        <f>IF(Inventory!Y130="","",Inventory!Y130)</f>
        <v/>
      </c>
      <c r="H127" s="729" t="str">
        <f>IF(Inventory!Z130="","",Inventory!Z130)</f>
        <v/>
      </c>
      <c r="I127" s="729" t="str">
        <f>IF(Inventory!AA130="","",Inventory!AA130)</f>
        <v/>
      </c>
      <c r="J127" s="729" t="str">
        <f>IF(Inventory!AB130="","",Inventory!AB130)</f>
        <v/>
      </c>
      <c r="K127" s="729" t="str">
        <f>IF(Inventory!AC130="","",Inventory!AC130)</f>
        <v/>
      </c>
      <c r="L127" s="765" t="str">
        <f>IF(Inventory!AD130="","",Inventory!AD130)</f>
        <v/>
      </c>
      <c r="M127" s="527">
        <f>IF(Inventory!AE130="","",Inventory!AE130)</f>
        <v>0</v>
      </c>
      <c r="N127" s="527">
        <f>IF(Inventory!AF130="","",Inventory!AF130)</f>
        <v>0</v>
      </c>
      <c r="O127" s="527">
        <f>IF(Inventory!AG130="","",Inventory!AG130)</f>
        <v>0</v>
      </c>
      <c r="P127" s="527">
        <f>IF(Inventory!AH130="","",Inventory!AH130)</f>
        <v>0</v>
      </c>
      <c r="Q127" s="527">
        <f>IF(Inventory!AI130="","",Inventory!AI130)</f>
        <v>0</v>
      </c>
      <c r="R127" s="527">
        <f>IF(Inventory!AJ130="","",Inventory!AJ130)</f>
        <v>999999999</v>
      </c>
      <c r="S127" s="758" t="str">
        <f>IF(Inventory!AK130="","",Inventory!AK130)</f>
        <v/>
      </c>
      <c r="T127" s="765" t="str">
        <f>IF(Inventory!AL130="","",Inventory!AL130)</f>
        <v/>
      </c>
      <c r="U127" s="758" t="str">
        <f>IF(Inventory!AM130="","",Inventory!AM130)</f>
        <v/>
      </c>
      <c r="V127" s="729" t="str">
        <f>IF(Inventory!AN130="","",Inventory!AN130)</f>
        <v/>
      </c>
      <c r="W127" s="775" t="str">
        <f>IF(Inventory!AO130="","",Inventory!AO130)</f>
        <v/>
      </c>
      <c r="X127" s="775" t="str">
        <f>IF(Inventory!AP130="","",Inventory!AP130)</f>
        <v/>
      </c>
      <c r="Y127" s="729" t="str">
        <f>IF(Inventory!AQ130="","",Inventory!AQ130)</f>
        <v/>
      </c>
      <c r="Z127" s="775" t="str">
        <f>IF(Inventory!AR130="","",Inventory!AR130)</f>
        <v/>
      </c>
      <c r="AA127" s="779" t="str">
        <f>IF(Inventory!AS130="","",Inventory!AS130)</f>
        <v/>
      </c>
      <c r="AB127" s="866"/>
    </row>
    <row r="128" spans="2:28" s="618" customFormat="1" ht="21.95" customHeight="1" x14ac:dyDescent="0.25">
      <c r="B128" s="432">
        <v>122</v>
      </c>
      <c r="C128" s="499" t="str">
        <f>IF(Inventory!C131="","",Inventory!C131)</f>
        <v/>
      </c>
      <c r="D128" s="751" t="str">
        <f>IF(Inventory!D131="","",Inventory!D131)</f>
        <v/>
      </c>
      <c r="E128" s="556" t="str">
        <f>IF(Inventory!W131="","",Inventory!W131)</f>
        <v/>
      </c>
      <c r="F128" s="785" t="str">
        <f>IF(Inventory!X131="","",Inventory!X131)</f>
        <v/>
      </c>
      <c r="G128" s="785" t="str">
        <f>IF(Inventory!Y131="","",Inventory!Y131)</f>
        <v/>
      </c>
      <c r="H128" s="767" t="str">
        <f>IF(Inventory!Z131="","",Inventory!Z131)</f>
        <v/>
      </c>
      <c r="I128" s="767" t="str">
        <f>IF(Inventory!AA131="","",Inventory!AA131)</f>
        <v/>
      </c>
      <c r="J128" s="767" t="str">
        <f>IF(Inventory!AB131="","",Inventory!AB131)</f>
        <v/>
      </c>
      <c r="K128" s="767" t="str">
        <f>IF(Inventory!AC131="","",Inventory!AC131)</f>
        <v/>
      </c>
      <c r="L128" s="776" t="str">
        <f>IF(Inventory!AD131="","",Inventory!AD131)</f>
        <v/>
      </c>
      <c r="M128" s="527">
        <f>IF(Inventory!AE131="","",Inventory!AE131)</f>
        <v>0</v>
      </c>
      <c r="N128" s="527">
        <f>IF(Inventory!AF131="","",Inventory!AF131)</f>
        <v>0</v>
      </c>
      <c r="O128" s="527">
        <f>IF(Inventory!AG131="","",Inventory!AG131)</f>
        <v>0</v>
      </c>
      <c r="P128" s="527">
        <f>IF(Inventory!AH131="","",Inventory!AH131)</f>
        <v>0</v>
      </c>
      <c r="Q128" s="527">
        <f>IF(Inventory!AI131="","",Inventory!AI131)</f>
        <v>0</v>
      </c>
      <c r="R128" s="527">
        <f>IF(Inventory!AJ131="","",Inventory!AJ131)</f>
        <v>999999999</v>
      </c>
      <c r="S128" s="777" t="str">
        <f>IF(Inventory!AK131="","",Inventory!AK131)</f>
        <v/>
      </c>
      <c r="T128" s="776" t="str">
        <f>IF(Inventory!AL131="","",Inventory!AL131)</f>
        <v/>
      </c>
      <c r="U128" s="777" t="str">
        <f>IF(Inventory!AM131="","",Inventory!AM131)</f>
        <v/>
      </c>
      <c r="V128" s="767" t="str">
        <f>IF(Inventory!AN131="","",Inventory!AN131)</f>
        <v/>
      </c>
      <c r="W128" s="778" t="str">
        <f>IF(Inventory!AO131="","",Inventory!AO131)</f>
        <v/>
      </c>
      <c r="X128" s="778" t="str">
        <f>IF(Inventory!AP131="","",Inventory!AP131)</f>
        <v/>
      </c>
      <c r="Y128" s="767" t="str">
        <f>IF(Inventory!AQ131="","",Inventory!AQ131)</f>
        <v/>
      </c>
      <c r="Z128" s="778" t="str">
        <f>IF(Inventory!AR131="","",Inventory!AR131)</f>
        <v/>
      </c>
      <c r="AA128" s="751" t="str">
        <f>IF(Inventory!AS131="","",Inventory!AS131)</f>
        <v/>
      </c>
      <c r="AB128" s="871"/>
    </row>
    <row r="129" spans="2:28" s="618" customFormat="1" ht="21.95" customHeight="1" x14ac:dyDescent="0.25">
      <c r="B129" s="431">
        <v>123</v>
      </c>
      <c r="C129" s="501" t="str">
        <f>IF(Inventory!C132="","",Inventory!C132)</f>
        <v/>
      </c>
      <c r="D129" s="502" t="str">
        <f>IF(Inventory!D132="","",Inventory!D132)</f>
        <v/>
      </c>
      <c r="E129" s="557" t="str">
        <f>IF(Inventory!W132="","",Inventory!W132)</f>
        <v/>
      </c>
      <c r="F129" s="788" t="str">
        <f>IF(Inventory!X132="","",Inventory!X132)</f>
        <v/>
      </c>
      <c r="G129" s="788" t="str">
        <f>IF(Inventory!Y132="","",Inventory!Y132)</f>
        <v/>
      </c>
      <c r="H129" s="729" t="str">
        <f>IF(Inventory!Z132="","",Inventory!Z132)</f>
        <v/>
      </c>
      <c r="I129" s="729" t="str">
        <f>IF(Inventory!AA132="","",Inventory!AA132)</f>
        <v/>
      </c>
      <c r="J129" s="729" t="str">
        <f>IF(Inventory!AB132="","",Inventory!AB132)</f>
        <v/>
      </c>
      <c r="K129" s="729" t="str">
        <f>IF(Inventory!AC132="","",Inventory!AC132)</f>
        <v/>
      </c>
      <c r="L129" s="765" t="str">
        <f>IF(Inventory!AD132="","",Inventory!AD132)</f>
        <v/>
      </c>
      <c r="M129" s="527">
        <f>IF(Inventory!AE132="","",Inventory!AE132)</f>
        <v>0</v>
      </c>
      <c r="N129" s="527">
        <f>IF(Inventory!AF132="","",Inventory!AF132)</f>
        <v>0</v>
      </c>
      <c r="O129" s="527">
        <f>IF(Inventory!AG132="","",Inventory!AG132)</f>
        <v>0</v>
      </c>
      <c r="P129" s="527">
        <f>IF(Inventory!AH132="","",Inventory!AH132)</f>
        <v>0</v>
      </c>
      <c r="Q129" s="527">
        <f>IF(Inventory!AI132="","",Inventory!AI132)</f>
        <v>0</v>
      </c>
      <c r="R129" s="527">
        <f>IF(Inventory!AJ132="","",Inventory!AJ132)</f>
        <v>999999999</v>
      </c>
      <c r="S129" s="758" t="str">
        <f>IF(Inventory!AK132="","",Inventory!AK132)</f>
        <v/>
      </c>
      <c r="T129" s="765" t="str">
        <f>IF(Inventory!AL132="","",Inventory!AL132)</f>
        <v/>
      </c>
      <c r="U129" s="758" t="str">
        <f>IF(Inventory!AM132="","",Inventory!AM132)</f>
        <v/>
      </c>
      <c r="V129" s="729" t="str">
        <f>IF(Inventory!AN132="","",Inventory!AN132)</f>
        <v/>
      </c>
      <c r="W129" s="775" t="str">
        <f>IF(Inventory!AO132="","",Inventory!AO132)</f>
        <v/>
      </c>
      <c r="X129" s="775" t="str">
        <f>IF(Inventory!AP132="","",Inventory!AP132)</f>
        <v/>
      </c>
      <c r="Y129" s="729" t="str">
        <f>IF(Inventory!AQ132="","",Inventory!AQ132)</f>
        <v/>
      </c>
      <c r="Z129" s="775" t="str">
        <f>IF(Inventory!AR132="","",Inventory!AR132)</f>
        <v/>
      </c>
      <c r="AA129" s="779" t="str">
        <f>IF(Inventory!AS132="","",Inventory!AS132)</f>
        <v/>
      </c>
      <c r="AB129" s="866"/>
    </row>
    <row r="130" spans="2:28" s="618" customFormat="1" ht="21.95" customHeight="1" x14ac:dyDescent="0.25">
      <c r="B130" s="432">
        <v>124</v>
      </c>
      <c r="C130" s="499" t="str">
        <f>IF(Inventory!C133="","",Inventory!C133)</f>
        <v/>
      </c>
      <c r="D130" s="751" t="str">
        <f>IF(Inventory!D133="","",Inventory!D133)</f>
        <v/>
      </c>
      <c r="E130" s="556" t="str">
        <f>IF(Inventory!W133="","",Inventory!W133)</f>
        <v/>
      </c>
      <c r="F130" s="785" t="str">
        <f>IF(Inventory!X133="","",Inventory!X133)</f>
        <v/>
      </c>
      <c r="G130" s="785" t="str">
        <f>IF(Inventory!Y133="","",Inventory!Y133)</f>
        <v/>
      </c>
      <c r="H130" s="767" t="str">
        <f>IF(Inventory!Z133="","",Inventory!Z133)</f>
        <v/>
      </c>
      <c r="I130" s="767" t="str">
        <f>IF(Inventory!AA133="","",Inventory!AA133)</f>
        <v/>
      </c>
      <c r="J130" s="767" t="str">
        <f>IF(Inventory!AB133="","",Inventory!AB133)</f>
        <v/>
      </c>
      <c r="K130" s="767" t="str">
        <f>IF(Inventory!AC133="","",Inventory!AC133)</f>
        <v/>
      </c>
      <c r="L130" s="776" t="str">
        <f>IF(Inventory!AD133="","",Inventory!AD133)</f>
        <v/>
      </c>
      <c r="M130" s="527">
        <f>IF(Inventory!AE133="","",Inventory!AE133)</f>
        <v>0</v>
      </c>
      <c r="N130" s="527">
        <f>IF(Inventory!AF133="","",Inventory!AF133)</f>
        <v>0</v>
      </c>
      <c r="O130" s="527">
        <f>IF(Inventory!AG133="","",Inventory!AG133)</f>
        <v>0</v>
      </c>
      <c r="P130" s="527">
        <f>IF(Inventory!AH133="","",Inventory!AH133)</f>
        <v>0</v>
      </c>
      <c r="Q130" s="527">
        <f>IF(Inventory!AI133="","",Inventory!AI133)</f>
        <v>0</v>
      </c>
      <c r="R130" s="527">
        <f>IF(Inventory!AJ133="","",Inventory!AJ133)</f>
        <v>999999999</v>
      </c>
      <c r="S130" s="777" t="str">
        <f>IF(Inventory!AK133="","",Inventory!AK133)</f>
        <v/>
      </c>
      <c r="T130" s="776" t="str">
        <f>IF(Inventory!AL133="","",Inventory!AL133)</f>
        <v/>
      </c>
      <c r="U130" s="777" t="str">
        <f>IF(Inventory!AM133="","",Inventory!AM133)</f>
        <v/>
      </c>
      <c r="V130" s="767" t="str">
        <f>IF(Inventory!AN133="","",Inventory!AN133)</f>
        <v/>
      </c>
      <c r="W130" s="778" t="str">
        <f>IF(Inventory!AO133="","",Inventory!AO133)</f>
        <v/>
      </c>
      <c r="X130" s="778" t="str">
        <f>IF(Inventory!AP133="","",Inventory!AP133)</f>
        <v/>
      </c>
      <c r="Y130" s="767" t="str">
        <f>IF(Inventory!AQ133="","",Inventory!AQ133)</f>
        <v/>
      </c>
      <c r="Z130" s="778" t="str">
        <f>IF(Inventory!AR133="","",Inventory!AR133)</f>
        <v/>
      </c>
      <c r="AA130" s="751" t="str">
        <f>IF(Inventory!AS133="","",Inventory!AS133)</f>
        <v/>
      </c>
      <c r="AB130" s="871"/>
    </row>
    <row r="131" spans="2:28" s="618" customFormat="1" ht="21.95" customHeight="1" x14ac:dyDescent="0.25">
      <c r="B131" s="431">
        <v>125</v>
      </c>
      <c r="C131" s="501" t="str">
        <f>IF(Inventory!C134="","",Inventory!C134)</f>
        <v/>
      </c>
      <c r="D131" s="502" t="str">
        <f>IF(Inventory!D134="","",Inventory!D134)</f>
        <v/>
      </c>
      <c r="E131" s="557" t="str">
        <f>IF(Inventory!W134="","",Inventory!W134)</f>
        <v/>
      </c>
      <c r="F131" s="788" t="str">
        <f>IF(Inventory!X134="","",Inventory!X134)</f>
        <v/>
      </c>
      <c r="G131" s="788" t="str">
        <f>IF(Inventory!Y134="","",Inventory!Y134)</f>
        <v/>
      </c>
      <c r="H131" s="729" t="str">
        <f>IF(Inventory!Z134="","",Inventory!Z134)</f>
        <v/>
      </c>
      <c r="I131" s="729" t="str">
        <f>IF(Inventory!AA134="","",Inventory!AA134)</f>
        <v/>
      </c>
      <c r="J131" s="729" t="str">
        <f>IF(Inventory!AB134="","",Inventory!AB134)</f>
        <v/>
      </c>
      <c r="K131" s="729" t="str">
        <f>IF(Inventory!AC134="","",Inventory!AC134)</f>
        <v/>
      </c>
      <c r="L131" s="765" t="str">
        <f>IF(Inventory!AD134="","",Inventory!AD134)</f>
        <v/>
      </c>
      <c r="M131" s="527">
        <f>IF(Inventory!AE134="","",Inventory!AE134)</f>
        <v>0</v>
      </c>
      <c r="N131" s="527">
        <f>IF(Inventory!AF134="","",Inventory!AF134)</f>
        <v>0</v>
      </c>
      <c r="O131" s="527">
        <f>IF(Inventory!AG134="","",Inventory!AG134)</f>
        <v>0</v>
      </c>
      <c r="P131" s="527">
        <f>IF(Inventory!AH134="","",Inventory!AH134)</f>
        <v>0</v>
      </c>
      <c r="Q131" s="527">
        <f>IF(Inventory!AI134="","",Inventory!AI134)</f>
        <v>0</v>
      </c>
      <c r="R131" s="527">
        <f>IF(Inventory!AJ134="","",Inventory!AJ134)</f>
        <v>999999999</v>
      </c>
      <c r="S131" s="758" t="str">
        <f>IF(Inventory!AK134="","",Inventory!AK134)</f>
        <v/>
      </c>
      <c r="T131" s="765" t="str">
        <f>IF(Inventory!AL134="","",Inventory!AL134)</f>
        <v/>
      </c>
      <c r="U131" s="758" t="str">
        <f>IF(Inventory!AM134="","",Inventory!AM134)</f>
        <v/>
      </c>
      <c r="V131" s="729" t="str">
        <f>IF(Inventory!AN134="","",Inventory!AN134)</f>
        <v/>
      </c>
      <c r="W131" s="775" t="str">
        <f>IF(Inventory!AO134="","",Inventory!AO134)</f>
        <v/>
      </c>
      <c r="X131" s="775" t="str">
        <f>IF(Inventory!AP134="","",Inventory!AP134)</f>
        <v/>
      </c>
      <c r="Y131" s="729" t="str">
        <f>IF(Inventory!AQ134="","",Inventory!AQ134)</f>
        <v/>
      </c>
      <c r="Z131" s="775" t="str">
        <f>IF(Inventory!AR134="","",Inventory!AR134)</f>
        <v/>
      </c>
      <c r="AA131" s="779" t="str">
        <f>IF(Inventory!AS134="","",Inventory!AS134)</f>
        <v/>
      </c>
      <c r="AB131" s="866"/>
    </row>
    <row r="132" spans="2:28" s="618" customFormat="1" ht="21.95" customHeight="1" x14ac:dyDescent="0.25">
      <c r="B132" s="432">
        <v>126</v>
      </c>
      <c r="C132" s="499" t="str">
        <f>IF(Inventory!C135="","",Inventory!C135)</f>
        <v/>
      </c>
      <c r="D132" s="751" t="str">
        <f>IF(Inventory!D135="","",Inventory!D135)</f>
        <v/>
      </c>
      <c r="E132" s="556" t="str">
        <f>IF(Inventory!W135="","",Inventory!W135)</f>
        <v/>
      </c>
      <c r="F132" s="785" t="str">
        <f>IF(Inventory!X135="","",Inventory!X135)</f>
        <v/>
      </c>
      <c r="G132" s="785" t="str">
        <f>IF(Inventory!Y135="","",Inventory!Y135)</f>
        <v/>
      </c>
      <c r="H132" s="767" t="str">
        <f>IF(Inventory!Z135="","",Inventory!Z135)</f>
        <v/>
      </c>
      <c r="I132" s="767" t="str">
        <f>IF(Inventory!AA135="","",Inventory!AA135)</f>
        <v/>
      </c>
      <c r="J132" s="767" t="str">
        <f>IF(Inventory!AB135="","",Inventory!AB135)</f>
        <v/>
      </c>
      <c r="K132" s="767" t="str">
        <f>IF(Inventory!AC135="","",Inventory!AC135)</f>
        <v/>
      </c>
      <c r="L132" s="776" t="str">
        <f>IF(Inventory!AD135="","",Inventory!AD135)</f>
        <v/>
      </c>
      <c r="M132" s="527">
        <f>IF(Inventory!AE135="","",Inventory!AE135)</f>
        <v>0</v>
      </c>
      <c r="N132" s="527">
        <f>IF(Inventory!AF135="","",Inventory!AF135)</f>
        <v>0</v>
      </c>
      <c r="O132" s="527">
        <f>IF(Inventory!AG135="","",Inventory!AG135)</f>
        <v>0</v>
      </c>
      <c r="P132" s="527">
        <f>IF(Inventory!AH135="","",Inventory!AH135)</f>
        <v>0</v>
      </c>
      <c r="Q132" s="527">
        <f>IF(Inventory!AI135="","",Inventory!AI135)</f>
        <v>0</v>
      </c>
      <c r="R132" s="527">
        <f>IF(Inventory!AJ135="","",Inventory!AJ135)</f>
        <v>999999999</v>
      </c>
      <c r="S132" s="777" t="str">
        <f>IF(Inventory!AK135="","",Inventory!AK135)</f>
        <v/>
      </c>
      <c r="T132" s="776" t="str">
        <f>IF(Inventory!AL135="","",Inventory!AL135)</f>
        <v/>
      </c>
      <c r="U132" s="777" t="str">
        <f>IF(Inventory!AM135="","",Inventory!AM135)</f>
        <v/>
      </c>
      <c r="V132" s="767" t="str">
        <f>IF(Inventory!AN135="","",Inventory!AN135)</f>
        <v/>
      </c>
      <c r="W132" s="778" t="str">
        <f>IF(Inventory!AO135="","",Inventory!AO135)</f>
        <v/>
      </c>
      <c r="X132" s="778" t="str">
        <f>IF(Inventory!AP135="","",Inventory!AP135)</f>
        <v/>
      </c>
      <c r="Y132" s="767" t="str">
        <f>IF(Inventory!AQ135="","",Inventory!AQ135)</f>
        <v/>
      </c>
      <c r="Z132" s="778" t="str">
        <f>IF(Inventory!AR135="","",Inventory!AR135)</f>
        <v/>
      </c>
      <c r="AA132" s="751" t="str">
        <f>IF(Inventory!AS135="","",Inventory!AS135)</f>
        <v/>
      </c>
      <c r="AB132" s="871"/>
    </row>
    <row r="133" spans="2:28" s="618" customFormat="1" ht="21.95" customHeight="1" x14ac:dyDescent="0.25">
      <c r="B133" s="431">
        <v>127</v>
      </c>
      <c r="C133" s="501" t="str">
        <f>IF(Inventory!C136="","",Inventory!C136)</f>
        <v/>
      </c>
      <c r="D133" s="502" t="str">
        <f>IF(Inventory!D136="","",Inventory!D136)</f>
        <v/>
      </c>
      <c r="E133" s="557" t="str">
        <f>IF(Inventory!W136="","",Inventory!W136)</f>
        <v/>
      </c>
      <c r="F133" s="788" t="str">
        <f>IF(Inventory!X136="","",Inventory!X136)</f>
        <v/>
      </c>
      <c r="G133" s="788" t="str">
        <f>IF(Inventory!Y136="","",Inventory!Y136)</f>
        <v/>
      </c>
      <c r="H133" s="729" t="str">
        <f>IF(Inventory!Z136="","",Inventory!Z136)</f>
        <v/>
      </c>
      <c r="I133" s="729" t="str">
        <f>IF(Inventory!AA136="","",Inventory!AA136)</f>
        <v/>
      </c>
      <c r="J133" s="729" t="str">
        <f>IF(Inventory!AB136="","",Inventory!AB136)</f>
        <v/>
      </c>
      <c r="K133" s="729" t="str">
        <f>IF(Inventory!AC136="","",Inventory!AC136)</f>
        <v/>
      </c>
      <c r="L133" s="765" t="str">
        <f>IF(Inventory!AD136="","",Inventory!AD136)</f>
        <v/>
      </c>
      <c r="M133" s="527">
        <f>IF(Inventory!AE136="","",Inventory!AE136)</f>
        <v>0</v>
      </c>
      <c r="N133" s="527">
        <f>IF(Inventory!AF136="","",Inventory!AF136)</f>
        <v>0</v>
      </c>
      <c r="O133" s="527">
        <f>IF(Inventory!AG136="","",Inventory!AG136)</f>
        <v>0</v>
      </c>
      <c r="P133" s="527">
        <f>IF(Inventory!AH136="","",Inventory!AH136)</f>
        <v>0</v>
      </c>
      <c r="Q133" s="527">
        <f>IF(Inventory!AI136="","",Inventory!AI136)</f>
        <v>0</v>
      </c>
      <c r="R133" s="527">
        <f>IF(Inventory!AJ136="","",Inventory!AJ136)</f>
        <v>999999999</v>
      </c>
      <c r="S133" s="758" t="str">
        <f>IF(Inventory!AK136="","",Inventory!AK136)</f>
        <v/>
      </c>
      <c r="T133" s="765" t="str">
        <f>IF(Inventory!AL136="","",Inventory!AL136)</f>
        <v/>
      </c>
      <c r="U133" s="758" t="str">
        <f>IF(Inventory!AM136="","",Inventory!AM136)</f>
        <v/>
      </c>
      <c r="V133" s="729" t="str">
        <f>IF(Inventory!AN136="","",Inventory!AN136)</f>
        <v/>
      </c>
      <c r="W133" s="775" t="str">
        <f>IF(Inventory!AO136="","",Inventory!AO136)</f>
        <v/>
      </c>
      <c r="X133" s="775" t="str">
        <f>IF(Inventory!AP136="","",Inventory!AP136)</f>
        <v/>
      </c>
      <c r="Y133" s="729" t="str">
        <f>IF(Inventory!AQ136="","",Inventory!AQ136)</f>
        <v/>
      </c>
      <c r="Z133" s="775" t="str">
        <f>IF(Inventory!AR136="","",Inventory!AR136)</f>
        <v/>
      </c>
      <c r="AA133" s="779" t="str">
        <f>IF(Inventory!AS136="","",Inventory!AS136)</f>
        <v/>
      </c>
      <c r="AB133" s="866"/>
    </row>
    <row r="134" spans="2:28" s="618" customFormat="1" ht="21.95" customHeight="1" x14ac:dyDescent="0.25">
      <c r="B134" s="432">
        <v>128</v>
      </c>
      <c r="C134" s="499" t="str">
        <f>IF(Inventory!C137="","",Inventory!C137)</f>
        <v/>
      </c>
      <c r="D134" s="751" t="str">
        <f>IF(Inventory!D137="","",Inventory!D137)</f>
        <v/>
      </c>
      <c r="E134" s="556" t="str">
        <f>IF(Inventory!W137="","",Inventory!W137)</f>
        <v/>
      </c>
      <c r="F134" s="785" t="str">
        <f>IF(Inventory!X137="","",Inventory!X137)</f>
        <v/>
      </c>
      <c r="G134" s="785" t="str">
        <f>IF(Inventory!Y137="","",Inventory!Y137)</f>
        <v/>
      </c>
      <c r="H134" s="767" t="str">
        <f>IF(Inventory!Z137="","",Inventory!Z137)</f>
        <v/>
      </c>
      <c r="I134" s="767" t="str">
        <f>IF(Inventory!AA137="","",Inventory!AA137)</f>
        <v/>
      </c>
      <c r="J134" s="767" t="str">
        <f>IF(Inventory!AB137="","",Inventory!AB137)</f>
        <v/>
      </c>
      <c r="K134" s="767" t="str">
        <f>IF(Inventory!AC137="","",Inventory!AC137)</f>
        <v/>
      </c>
      <c r="L134" s="776" t="str">
        <f>IF(Inventory!AD137="","",Inventory!AD137)</f>
        <v/>
      </c>
      <c r="M134" s="527">
        <f>IF(Inventory!AE137="","",Inventory!AE137)</f>
        <v>0</v>
      </c>
      <c r="N134" s="527">
        <f>IF(Inventory!AF137="","",Inventory!AF137)</f>
        <v>0</v>
      </c>
      <c r="O134" s="527">
        <f>IF(Inventory!AG137="","",Inventory!AG137)</f>
        <v>0</v>
      </c>
      <c r="P134" s="527">
        <f>IF(Inventory!AH137="","",Inventory!AH137)</f>
        <v>0</v>
      </c>
      <c r="Q134" s="527">
        <f>IF(Inventory!AI137="","",Inventory!AI137)</f>
        <v>0</v>
      </c>
      <c r="R134" s="527">
        <f>IF(Inventory!AJ137="","",Inventory!AJ137)</f>
        <v>999999999</v>
      </c>
      <c r="S134" s="777" t="str">
        <f>IF(Inventory!AK137="","",Inventory!AK137)</f>
        <v/>
      </c>
      <c r="T134" s="776" t="str">
        <f>IF(Inventory!AL137="","",Inventory!AL137)</f>
        <v/>
      </c>
      <c r="U134" s="777" t="str">
        <f>IF(Inventory!AM137="","",Inventory!AM137)</f>
        <v/>
      </c>
      <c r="V134" s="767" t="str">
        <f>IF(Inventory!AN137="","",Inventory!AN137)</f>
        <v/>
      </c>
      <c r="W134" s="778" t="str">
        <f>IF(Inventory!AO137="","",Inventory!AO137)</f>
        <v/>
      </c>
      <c r="X134" s="778" t="str">
        <f>IF(Inventory!AP137="","",Inventory!AP137)</f>
        <v/>
      </c>
      <c r="Y134" s="767" t="str">
        <f>IF(Inventory!AQ137="","",Inventory!AQ137)</f>
        <v/>
      </c>
      <c r="Z134" s="778" t="str">
        <f>IF(Inventory!AR137="","",Inventory!AR137)</f>
        <v/>
      </c>
      <c r="AA134" s="751" t="str">
        <f>IF(Inventory!AS137="","",Inventory!AS137)</f>
        <v/>
      </c>
      <c r="AB134" s="871"/>
    </row>
    <row r="135" spans="2:28" s="618" customFormat="1" ht="21.95" customHeight="1" x14ac:dyDescent="0.25">
      <c r="B135" s="431">
        <v>129</v>
      </c>
      <c r="C135" s="501" t="str">
        <f>IF(Inventory!C138="","",Inventory!C138)</f>
        <v/>
      </c>
      <c r="D135" s="502" t="str">
        <f>IF(Inventory!D138="","",Inventory!D138)</f>
        <v/>
      </c>
      <c r="E135" s="557" t="str">
        <f>IF(Inventory!W138="","",Inventory!W138)</f>
        <v/>
      </c>
      <c r="F135" s="788" t="str">
        <f>IF(Inventory!X138="","",Inventory!X138)</f>
        <v/>
      </c>
      <c r="G135" s="788" t="str">
        <f>IF(Inventory!Y138="","",Inventory!Y138)</f>
        <v/>
      </c>
      <c r="H135" s="729" t="str">
        <f>IF(Inventory!Z138="","",Inventory!Z138)</f>
        <v/>
      </c>
      <c r="I135" s="729" t="str">
        <f>IF(Inventory!AA138="","",Inventory!AA138)</f>
        <v/>
      </c>
      <c r="J135" s="729" t="str">
        <f>IF(Inventory!AB138="","",Inventory!AB138)</f>
        <v/>
      </c>
      <c r="K135" s="729" t="str">
        <f>IF(Inventory!AC138="","",Inventory!AC138)</f>
        <v/>
      </c>
      <c r="L135" s="765" t="str">
        <f>IF(Inventory!AD138="","",Inventory!AD138)</f>
        <v/>
      </c>
      <c r="M135" s="527">
        <f>IF(Inventory!AE138="","",Inventory!AE138)</f>
        <v>0</v>
      </c>
      <c r="N135" s="527">
        <f>IF(Inventory!AF138="","",Inventory!AF138)</f>
        <v>0</v>
      </c>
      <c r="O135" s="527">
        <f>IF(Inventory!AG138="","",Inventory!AG138)</f>
        <v>0</v>
      </c>
      <c r="P135" s="527">
        <f>IF(Inventory!AH138="","",Inventory!AH138)</f>
        <v>0</v>
      </c>
      <c r="Q135" s="527">
        <f>IF(Inventory!AI138="","",Inventory!AI138)</f>
        <v>0</v>
      </c>
      <c r="R135" s="527">
        <f>IF(Inventory!AJ138="","",Inventory!AJ138)</f>
        <v>999999999</v>
      </c>
      <c r="S135" s="758" t="str">
        <f>IF(Inventory!AK138="","",Inventory!AK138)</f>
        <v/>
      </c>
      <c r="T135" s="765" t="str">
        <f>IF(Inventory!AL138="","",Inventory!AL138)</f>
        <v/>
      </c>
      <c r="U135" s="758" t="str">
        <f>IF(Inventory!AM138="","",Inventory!AM138)</f>
        <v/>
      </c>
      <c r="V135" s="729" t="str">
        <f>IF(Inventory!AN138="","",Inventory!AN138)</f>
        <v/>
      </c>
      <c r="W135" s="775" t="str">
        <f>IF(Inventory!AO138="","",Inventory!AO138)</f>
        <v/>
      </c>
      <c r="X135" s="775" t="str">
        <f>IF(Inventory!AP138="","",Inventory!AP138)</f>
        <v/>
      </c>
      <c r="Y135" s="729" t="str">
        <f>IF(Inventory!AQ138="","",Inventory!AQ138)</f>
        <v/>
      </c>
      <c r="Z135" s="775" t="str">
        <f>IF(Inventory!AR138="","",Inventory!AR138)</f>
        <v/>
      </c>
      <c r="AA135" s="779" t="str">
        <f>IF(Inventory!AS138="","",Inventory!AS138)</f>
        <v/>
      </c>
      <c r="AB135" s="866"/>
    </row>
    <row r="136" spans="2:28" s="618" customFormat="1" ht="21.95" customHeight="1" x14ac:dyDescent="0.25">
      <c r="B136" s="432">
        <v>130</v>
      </c>
      <c r="C136" s="499" t="str">
        <f>IF(Inventory!C139="","",Inventory!C139)</f>
        <v/>
      </c>
      <c r="D136" s="751" t="str">
        <f>IF(Inventory!D139="","",Inventory!D139)</f>
        <v/>
      </c>
      <c r="E136" s="556" t="str">
        <f>IF(Inventory!W139="","",Inventory!W139)</f>
        <v/>
      </c>
      <c r="F136" s="785" t="str">
        <f>IF(Inventory!X139="","",Inventory!X139)</f>
        <v/>
      </c>
      <c r="G136" s="785" t="str">
        <f>IF(Inventory!Y139="","",Inventory!Y139)</f>
        <v/>
      </c>
      <c r="H136" s="767" t="str">
        <f>IF(Inventory!Z139="","",Inventory!Z139)</f>
        <v/>
      </c>
      <c r="I136" s="767" t="str">
        <f>IF(Inventory!AA139="","",Inventory!AA139)</f>
        <v/>
      </c>
      <c r="J136" s="767" t="str">
        <f>IF(Inventory!AB139="","",Inventory!AB139)</f>
        <v/>
      </c>
      <c r="K136" s="767" t="str">
        <f>IF(Inventory!AC139="","",Inventory!AC139)</f>
        <v/>
      </c>
      <c r="L136" s="776" t="str">
        <f>IF(Inventory!AD139="","",Inventory!AD139)</f>
        <v/>
      </c>
      <c r="M136" s="527">
        <f>IF(Inventory!AE139="","",Inventory!AE139)</f>
        <v>0</v>
      </c>
      <c r="N136" s="527">
        <f>IF(Inventory!AF139="","",Inventory!AF139)</f>
        <v>0</v>
      </c>
      <c r="O136" s="527">
        <f>IF(Inventory!AG139="","",Inventory!AG139)</f>
        <v>0</v>
      </c>
      <c r="P136" s="527">
        <f>IF(Inventory!AH139="","",Inventory!AH139)</f>
        <v>0</v>
      </c>
      <c r="Q136" s="527">
        <f>IF(Inventory!AI139="","",Inventory!AI139)</f>
        <v>0</v>
      </c>
      <c r="R136" s="527">
        <f>IF(Inventory!AJ139="","",Inventory!AJ139)</f>
        <v>999999999</v>
      </c>
      <c r="S136" s="777" t="str">
        <f>IF(Inventory!AK139="","",Inventory!AK139)</f>
        <v/>
      </c>
      <c r="T136" s="776" t="str">
        <f>IF(Inventory!AL139="","",Inventory!AL139)</f>
        <v/>
      </c>
      <c r="U136" s="777" t="str">
        <f>IF(Inventory!AM139="","",Inventory!AM139)</f>
        <v/>
      </c>
      <c r="V136" s="767" t="str">
        <f>IF(Inventory!AN139="","",Inventory!AN139)</f>
        <v/>
      </c>
      <c r="W136" s="778" t="str">
        <f>IF(Inventory!AO139="","",Inventory!AO139)</f>
        <v/>
      </c>
      <c r="X136" s="778" t="str">
        <f>IF(Inventory!AP139="","",Inventory!AP139)</f>
        <v/>
      </c>
      <c r="Y136" s="767" t="str">
        <f>IF(Inventory!AQ139="","",Inventory!AQ139)</f>
        <v/>
      </c>
      <c r="Z136" s="778" t="str">
        <f>IF(Inventory!AR139="","",Inventory!AR139)</f>
        <v/>
      </c>
      <c r="AA136" s="751" t="str">
        <f>IF(Inventory!AS139="","",Inventory!AS139)</f>
        <v/>
      </c>
      <c r="AB136" s="871"/>
    </row>
    <row r="137" spans="2:28" s="618" customFormat="1" ht="21.95" customHeight="1" x14ac:dyDescent="0.25">
      <c r="B137" s="431">
        <v>131</v>
      </c>
      <c r="C137" s="501" t="str">
        <f>IF(Inventory!C140="","",Inventory!C140)</f>
        <v/>
      </c>
      <c r="D137" s="502" t="str">
        <f>IF(Inventory!D140="","",Inventory!D140)</f>
        <v/>
      </c>
      <c r="E137" s="557" t="str">
        <f>IF(Inventory!W140="","",Inventory!W140)</f>
        <v/>
      </c>
      <c r="F137" s="788" t="str">
        <f>IF(Inventory!X140="","",Inventory!X140)</f>
        <v/>
      </c>
      <c r="G137" s="788" t="str">
        <f>IF(Inventory!Y140="","",Inventory!Y140)</f>
        <v/>
      </c>
      <c r="H137" s="729" t="str">
        <f>IF(Inventory!Z140="","",Inventory!Z140)</f>
        <v/>
      </c>
      <c r="I137" s="729" t="str">
        <f>IF(Inventory!AA140="","",Inventory!AA140)</f>
        <v/>
      </c>
      <c r="J137" s="729" t="str">
        <f>IF(Inventory!AB140="","",Inventory!AB140)</f>
        <v/>
      </c>
      <c r="K137" s="729" t="str">
        <f>IF(Inventory!AC140="","",Inventory!AC140)</f>
        <v/>
      </c>
      <c r="L137" s="765" t="str">
        <f>IF(Inventory!AD140="","",Inventory!AD140)</f>
        <v/>
      </c>
      <c r="M137" s="527">
        <f>IF(Inventory!AE140="","",Inventory!AE140)</f>
        <v>0</v>
      </c>
      <c r="N137" s="527">
        <f>IF(Inventory!AF140="","",Inventory!AF140)</f>
        <v>0</v>
      </c>
      <c r="O137" s="527">
        <f>IF(Inventory!AG140="","",Inventory!AG140)</f>
        <v>0</v>
      </c>
      <c r="P137" s="527">
        <f>IF(Inventory!AH140="","",Inventory!AH140)</f>
        <v>0</v>
      </c>
      <c r="Q137" s="527">
        <f>IF(Inventory!AI140="","",Inventory!AI140)</f>
        <v>0</v>
      </c>
      <c r="R137" s="527">
        <f>IF(Inventory!AJ140="","",Inventory!AJ140)</f>
        <v>999999999</v>
      </c>
      <c r="S137" s="758" t="str">
        <f>IF(Inventory!AK140="","",Inventory!AK140)</f>
        <v/>
      </c>
      <c r="T137" s="765" t="str">
        <f>IF(Inventory!AL140="","",Inventory!AL140)</f>
        <v/>
      </c>
      <c r="U137" s="758" t="str">
        <f>IF(Inventory!AM140="","",Inventory!AM140)</f>
        <v/>
      </c>
      <c r="V137" s="729" t="str">
        <f>IF(Inventory!AN140="","",Inventory!AN140)</f>
        <v/>
      </c>
      <c r="W137" s="775" t="str">
        <f>IF(Inventory!AO140="","",Inventory!AO140)</f>
        <v/>
      </c>
      <c r="X137" s="775" t="str">
        <f>IF(Inventory!AP140="","",Inventory!AP140)</f>
        <v/>
      </c>
      <c r="Y137" s="729" t="str">
        <f>IF(Inventory!AQ140="","",Inventory!AQ140)</f>
        <v/>
      </c>
      <c r="Z137" s="775" t="str">
        <f>IF(Inventory!AR140="","",Inventory!AR140)</f>
        <v/>
      </c>
      <c r="AA137" s="779" t="str">
        <f>IF(Inventory!AS140="","",Inventory!AS140)</f>
        <v/>
      </c>
      <c r="AB137" s="866"/>
    </row>
    <row r="138" spans="2:28" s="618" customFormat="1" ht="21.95" customHeight="1" x14ac:dyDescent="0.25">
      <c r="B138" s="432">
        <v>132</v>
      </c>
      <c r="C138" s="499" t="str">
        <f>IF(Inventory!C141="","",Inventory!C141)</f>
        <v/>
      </c>
      <c r="D138" s="751" t="str">
        <f>IF(Inventory!D141="","",Inventory!D141)</f>
        <v/>
      </c>
      <c r="E138" s="556" t="str">
        <f>IF(Inventory!W141="","",Inventory!W141)</f>
        <v/>
      </c>
      <c r="F138" s="785" t="str">
        <f>IF(Inventory!X141="","",Inventory!X141)</f>
        <v/>
      </c>
      <c r="G138" s="785" t="str">
        <f>IF(Inventory!Y141="","",Inventory!Y141)</f>
        <v/>
      </c>
      <c r="H138" s="767" t="str">
        <f>IF(Inventory!Z141="","",Inventory!Z141)</f>
        <v/>
      </c>
      <c r="I138" s="767" t="str">
        <f>IF(Inventory!AA141="","",Inventory!AA141)</f>
        <v/>
      </c>
      <c r="J138" s="767" t="str">
        <f>IF(Inventory!AB141="","",Inventory!AB141)</f>
        <v/>
      </c>
      <c r="K138" s="767" t="str">
        <f>IF(Inventory!AC141="","",Inventory!AC141)</f>
        <v/>
      </c>
      <c r="L138" s="776" t="str">
        <f>IF(Inventory!AD141="","",Inventory!AD141)</f>
        <v/>
      </c>
      <c r="M138" s="527">
        <f>IF(Inventory!AE141="","",Inventory!AE141)</f>
        <v>0</v>
      </c>
      <c r="N138" s="527">
        <f>IF(Inventory!AF141="","",Inventory!AF141)</f>
        <v>0</v>
      </c>
      <c r="O138" s="527">
        <f>IF(Inventory!AG141="","",Inventory!AG141)</f>
        <v>0</v>
      </c>
      <c r="P138" s="527">
        <f>IF(Inventory!AH141="","",Inventory!AH141)</f>
        <v>0</v>
      </c>
      <c r="Q138" s="527">
        <f>IF(Inventory!AI141="","",Inventory!AI141)</f>
        <v>0</v>
      </c>
      <c r="R138" s="527">
        <f>IF(Inventory!AJ141="","",Inventory!AJ141)</f>
        <v>999999999</v>
      </c>
      <c r="S138" s="777" t="str">
        <f>IF(Inventory!AK141="","",Inventory!AK141)</f>
        <v/>
      </c>
      <c r="T138" s="776" t="str">
        <f>IF(Inventory!AL141="","",Inventory!AL141)</f>
        <v/>
      </c>
      <c r="U138" s="777" t="str">
        <f>IF(Inventory!AM141="","",Inventory!AM141)</f>
        <v/>
      </c>
      <c r="V138" s="767" t="str">
        <f>IF(Inventory!AN141="","",Inventory!AN141)</f>
        <v/>
      </c>
      <c r="W138" s="778" t="str">
        <f>IF(Inventory!AO141="","",Inventory!AO141)</f>
        <v/>
      </c>
      <c r="X138" s="778" t="str">
        <f>IF(Inventory!AP141="","",Inventory!AP141)</f>
        <v/>
      </c>
      <c r="Y138" s="767" t="str">
        <f>IF(Inventory!AQ141="","",Inventory!AQ141)</f>
        <v/>
      </c>
      <c r="Z138" s="778" t="str">
        <f>IF(Inventory!AR141="","",Inventory!AR141)</f>
        <v/>
      </c>
      <c r="AA138" s="751" t="str">
        <f>IF(Inventory!AS141="","",Inventory!AS141)</f>
        <v/>
      </c>
      <c r="AB138" s="871"/>
    </row>
    <row r="139" spans="2:28" s="618" customFormat="1" ht="21.95" customHeight="1" x14ac:dyDescent="0.25">
      <c r="B139" s="431">
        <v>133</v>
      </c>
      <c r="C139" s="501" t="str">
        <f>IF(Inventory!C142="","",Inventory!C142)</f>
        <v/>
      </c>
      <c r="D139" s="502" t="str">
        <f>IF(Inventory!D142="","",Inventory!D142)</f>
        <v/>
      </c>
      <c r="E139" s="557" t="str">
        <f>IF(Inventory!W142="","",Inventory!W142)</f>
        <v/>
      </c>
      <c r="F139" s="788" t="str">
        <f>IF(Inventory!X142="","",Inventory!X142)</f>
        <v/>
      </c>
      <c r="G139" s="788" t="str">
        <f>IF(Inventory!Y142="","",Inventory!Y142)</f>
        <v/>
      </c>
      <c r="H139" s="729" t="str">
        <f>IF(Inventory!Z142="","",Inventory!Z142)</f>
        <v/>
      </c>
      <c r="I139" s="729" t="str">
        <f>IF(Inventory!AA142="","",Inventory!AA142)</f>
        <v/>
      </c>
      <c r="J139" s="729" t="str">
        <f>IF(Inventory!AB142="","",Inventory!AB142)</f>
        <v/>
      </c>
      <c r="K139" s="729" t="str">
        <f>IF(Inventory!AC142="","",Inventory!AC142)</f>
        <v/>
      </c>
      <c r="L139" s="765" t="str">
        <f>IF(Inventory!AD142="","",Inventory!AD142)</f>
        <v/>
      </c>
      <c r="M139" s="527">
        <f>IF(Inventory!AE142="","",Inventory!AE142)</f>
        <v>0</v>
      </c>
      <c r="N139" s="527">
        <f>IF(Inventory!AF142="","",Inventory!AF142)</f>
        <v>0</v>
      </c>
      <c r="O139" s="527">
        <f>IF(Inventory!AG142="","",Inventory!AG142)</f>
        <v>0</v>
      </c>
      <c r="P139" s="527">
        <f>IF(Inventory!AH142="","",Inventory!AH142)</f>
        <v>0</v>
      </c>
      <c r="Q139" s="527">
        <f>IF(Inventory!AI142="","",Inventory!AI142)</f>
        <v>0</v>
      </c>
      <c r="R139" s="527">
        <f>IF(Inventory!AJ142="","",Inventory!AJ142)</f>
        <v>999999999</v>
      </c>
      <c r="S139" s="758" t="str">
        <f>IF(Inventory!AK142="","",Inventory!AK142)</f>
        <v/>
      </c>
      <c r="T139" s="765" t="str">
        <f>IF(Inventory!AL142="","",Inventory!AL142)</f>
        <v/>
      </c>
      <c r="U139" s="758" t="str">
        <f>IF(Inventory!AM142="","",Inventory!AM142)</f>
        <v/>
      </c>
      <c r="V139" s="729" t="str">
        <f>IF(Inventory!AN142="","",Inventory!AN142)</f>
        <v/>
      </c>
      <c r="W139" s="775" t="str">
        <f>IF(Inventory!AO142="","",Inventory!AO142)</f>
        <v/>
      </c>
      <c r="X139" s="775" t="str">
        <f>IF(Inventory!AP142="","",Inventory!AP142)</f>
        <v/>
      </c>
      <c r="Y139" s="729" t="str">
        <f>IF(Inventory!AQ142="","",Inventory!AQ142)</f>
        <v/>
      </c>
      <c r="Z139" s="775" t="str">
        <f>IF(Inventory!AR142="","",Inventory!AR142)</f>
        <v/>
      </c>
      <c r="AA139" s="779" t="str">
        <f>IF(Inventory!AS142="","",Inventory!AS142)</f>
        <v/>
      </c>
      <c r="AB139" s="866"/>
    </row>
    <row r="140" spans="2:28" s="618" customFormat="1" ht="21.95" customHeight="1" x14ac:dyDescent="0.25">
      <c r="B140" s="432">
        <v>134</v>
      </c>
      <c r="C140" s="499" t="str">
        <f>IF(Inventory!C143="","",Inventory!C143)</f>
        <v/>
      </c>
      <c r="D140" s="751" t="str">
        <f>IF(Inventory!D143="","",Inventory!D143)</f>
        <v/>
      </c>
      <c r="E140" s="556" t="str">
        <f>IF(Inventory!W143="","",Inventory!W143)</f>
        <v/>
      </c>
      <c r="F140" s="785" t="str">
        <f>IF(Inventory!X143="","",Inventory!X143)</f>
        <v/>
      </c>
      <c r="G140" s="785" t="str">
        <f>IF(Inventory!Y143="","",Inventory!Y143)</f>
        <v/>
      </c>
      <c r="H140" s="767" t="str">
        <f>IF(Inventory!Z143="","",Inventory!Z143)</f>
        <v/>
      </c>
      <c r="I140" s="767" t="str">
        <f>IF(Inventory!AA143="","",Inventory!AA143)</f>
        <v/>
      </c>
      <c r="J140" s="767" t="str">
        <f>IF(Inventory!AB143="","",Inventory!AB143)</f>
        <v/>
      </c>
      <c r="K140" s="767" t="str">
        <f>IF(Inventory!AC143="","",Inventory!AC143)</f>
        <v/>
      </c>
      <c r="L140" s="776" t="str">
        <f>IF(Inventory!AD143="","",Inventory!AD143)</f>
        <v/>
      </c>
      <c r="M140" s="527">
        <f>IF(Inventory!AE143="","",Inventory!AE143)</f>
        <v>0</v>
      </c>
      <c r="N140" s="527">
        <f>IF(Inventory!AF143="","",Inventory!AF143)</f>
        <v>0</v>
      </c>
      <c r="O140" s="527">
        <f>IF(Inventory!AG143="","",Inventory!AG143)</f>
        <v>0</v>
      </c>
      <c r="P140" s="527">
        <f>IF(Inventory!AH143="","",Inventory!AH143)</f>
        <v>0</v>
      </c>
      <c r="Q140" s="527">
        <f>IF(Inventory!AI143="","",Inventory!AI143)</f>
        <v>0</v>
      </c>
      <c r="R140" s="527">
        <f>IF(Inventory!AJ143="","",Inventory!AJ143)</f>
        <v>999999999</v>
      </c>
      <c r="S140" s="777" t="str">
        <f>IF(Inventory!AK143="","",Inventory!AK143)</f>
        <v/>
      </c>
      <c r="T140" s="776" t="str">
        <f>IF(Inventory!AL143="","",Inventory!AL143)</f>
        <v/>
      </c>
      <c r="U140" s="777" t="str">
        <f>IF(Inventory!AM143="","",Inventory!AM143)</f>
        <v/>
      </c>
      <c r="V140" s="767" t="str">
        <f>IF(Inventory!AN143="","",Inventory!AN143)</f>
        <v/>
      </c>
      <c r="W140" s="778" t="str">
        <f>IF(Inventory!AO143="","",Inventory!AO143)</f>
        <v/>
      </c>
      <c r="X140" s="778" t="str">
        <f>IF(Inventory!AP143="","",Inventory!AP143)</f>
        <v/>
      </c>
      <c r="Y140" s="767" t="str">
        <f>IF(Inventory!AQ143="","",Inventory!AQ143)</f>
        <v/>
      </c>
      <c r="Z140" s="778" t="str">
        <f>IF(Inventory!AR143="","",Inventory!AR143)</f>
        <v/>
      </c>
      <c r="AA140" s="751" t="str">
        <f>IF(Inventory!AS143="","",Inventory!AS143)</f>
        <v/>
      </c>
      <c r="AB140" s="871"/>
    </row>
    <row r="141" spans="2:28" s="618" customFormat="1" ht="21.95" customHeight="1" x14ac:dyDescent="0.25">
      <c r="B141" s="431">
        <v>135</v>
      </c>
      <c r="C141" s="501" t="str">
        <f>IF(Inventory!C144="","",Inventory!C144)</f>
        <v/>
      </c>
      <c r="D141" s="502" t="str">
        <f>IF(Inventory!D144="","",Inventory!D144)</f>
        <v/>
      </c>
      <c r="E141" s="557" t="str">
        <f>IF(Inventory!W144="","",Inventory!W144)</f>
        <v/>
      </c>
      <c r="F141" s="788" t="str">
        <f>IF(Inventory!X144="","",Inventory!X144)</f>
        <v/>
      </c>
      <c r="G141" s="788" t="str">
        <f>IF(Inventory!Y144="","",Inventory!Y144)</f>
        <v/>
      </c>
      <c r="H141" s="729" t="str">
        <f>IF(Inventory!Z144="","",Inventory!Z144)</f>
        <v/>
      </c>
      <c r="I141" s="729" t="str">
        <f>IF(Inventory!AA144="","",Inventory!AA144)</f>
        <v/>
      </c>
      <c r="J141" s="729" t="str">
        <f>IF(Inventory!AB144="","",Inventory!AB144)</f>
        <v/>
      </c>
      <c r="K141" s="729" t="str">
        <f>IF(Inventory!AC144="","",Inventory!AC144)</f>
        <v/>
      </c>
      <c r="L141" s="765" t="str">
        <f>IF(Inventory!AD144="","",Inventory!AD144)</f>
        <v/>
      </c>
      <c r="M141" s="527">
        <f>IF(Inventory!AE144="","",Inventory!AE144)</f>
        <v>0</v>
      </c>
      <c r="N141" s="527">
        <f>IF(Inventory!AF144="","",Inventory!AF144)</f>
        <v>0</v>
      </c>
      <c r="O141" s="527">
        <f>IF(Inventory!AG144="","",Inventory!AG144)</f>
        <v>0</v>
      </c>
      <c r="P141" s="527">
        <f>IF(Inventory!AH144="","",Inventory!AH144)</f>
        <v>0</v>
      </c>
      <c r="Q141" s="527">
        <f>IF(Inventory!AI144="","",Inventory!AI144)</f>
        <v>0</v>
      </c>
      <c r="R141" s="527">
        <f>IF(Inventory!AJ144="","",Inventory!AJ144)</f>
        <v>999999999</v>
      </c>
      <c r="S141" s="758" t="str">
        <f>IF(Inventory!AK144="","",Inventory!AK144)</f>
        <v/>
      </c>
      <c r="T141" s="765" t="str">
        <f>IF(Inventory!AL144="","",Inventory!AL144)</f>
        <v/>
      </c>
      <c r="U141" s="758" t="str">
        <f>IF(Inventory!AM144="","",Inventory!AM144)</f>
        <v/>
      </c>
      <c r="V141" s="729" t="str">
        <f>IF(Inventory!AN144="","",Inventory!AN144)</f>
        <v/>
      </c>
      <c r="W141" s="775" t="str">
        <f>IF(Inventory!AO144="","",Inventory!AO144)</f>
        <v/>
      </c>
      <c r="X141" s="775" t="str">
        <f>IF(Inventory!AP144="","",Inventory!AP144)</f>
        <v/>
      </c>
      <c r="Y141" s="729" t="str">
        <f>IF(Inventory!AQ144="","",Inventory!AQ144)</f>
        <v/>
      </c>
      <c r="Z141" s="775" t="str">
        <f>IF(Inventory!AR144="","",Inventory!AR144)</f>
        <v/>
      </c>
      <c r="AA141" s="779" t="str">
        <f>IF(Inventory!AS144="","",Inventory!AS144)</f>
        <v/>
      </c>
      <c r="AB141" s="866"/>
    </row>
    <row r="142" spans="2:28" s="618" customFormat="1" ht="21.95" customHeight="1" x14ac:dyDescent="0.25">
      <c r="B142" s="432">
        <v>136</v>
      </c>
      <c r="C142" s="499" t="str">
        <f>IF(Inventory!C145="","",Inventory!C145)</f>
        <v/>
      </c>
      <c r="D142" s="751" t="str">
        <f>IF(Inventory!D145="","",Inventory!D145)</f>
        <v/>
      </c>
      <c r="E142" s="556" t="str">
        <f>IF(Inventory!W145="","",Inventory!W145)</f>
        <v/>
      </c>
      <c r="F142" s="785" t="str">
        <f>IF(Inventory!X145="","",Inventory!X145)</f>
        <v/>
      </c>
      <c r="G142" s="785" t="str">
        <f>IF(Inventory!Y145="","",Inventory!Y145)</f>
        <v/>
      </c>
      <c r="H142" s="767" t="str">
        <f>IF(Inventory!Z145="","",Inventory!Z145)</f>
        <v/>
      </c>
      <c r="I142" s="767" t="str">
        <f>IF(Inventory!AA145="","",Inventory!AA145)</f>
        <v/>
      </c>
      <c r="J142" s="767" t="str">
        <f>IF(Inventory!AB145="","",Inventory!AB145)</f>
        <v/>
      </c>
      <c r="K142" s="767" t="str">
        <f>IF(Inventory!AC145="","",Inventory!AC145)</f>
        <v/>
      </c>
      <c r="L142" s="776" t="str">
        <f>IF(Inventory!AD145="","",Inventory!AD145)</f>
        <v/>
      </c>
      <c r="M142" s="527">
        <f>IF(Inventory!AE145="","",Inventory!AE145)</f>
        <v>0</v>
      </c>
      <c r="N142" s="527">
        <f>IF(Inventory!AF145="","",Inventory!AF145)</f>
        <v>0</v>
      </c>
      <c r="O142" s="527">
        <f>IF(Inventory!AG145="","",Inventory!AG145)</f>
        <v>0</v>
      </c>
      <c r="P142" s="527">
        <f>IF(Inventory!AH145="","",Inventory!AH145)</f>
        <v>0</v>
      </c>
      <c r="Q142" s="527">
        <f>IF(Inventory!AI145="","",Inventory!AI145)</f>
        <v>0</v>
      </c>
      <c r="R142" s="527">
        <f>IF(Inventory!AJ145="","",Inventory!AJ145)</f>
        <v>999999999</v>
      </c>
      <c r="S142" s="777" t="str">
        <f>IF(Inventory!AK145="","",Inventory!AK145)</f>
        <v/>
      </c>
      <c r="T142" s="776" t="str">
        <f>IF(Inventory!AL145="","",Inventory!AL145)</f>
        <v/>
      </c>
      <c r="U142" s="777" t="str">
        <f>IF(Inventory!AM145="","",Inventory!AM145)</f>
        <v/>
      </c>
      <c r="V142" s="767" t="str">
        <f>IF(Inventory!AN145="","",Inventory!AN145)</f>
        <v/>
      </c>
      <c r="W142" s="778" t="str">
        <f>IF(Inventory!AO145="","",Inventory!AO145)</f>
        <v/>
      </c>
      <c r="X142" s="778" t="str">
        <f>IF(Inventory!AP145="","",Inventory!AP145)</f>
        <v/>
      </c>
      <c r="Y142" s="767" t="str">
        <f>IF(Inventory!AQ145="","",Inventory!AQ145)</f>
        <v/>
      </c>
      <c r="Z142" s="778" t="str">
        <f>IF(Inventory!AR145="","",Inventory!AR145)</f>
        <v/>
      </c>
      <c r="AA142" s="751" t="str">
        <f>IF(Inventory!AS145="","",Inventory!AS145)</f>
        <v/>
      </c>
      <c r="AB142" s="871"/>
    </row>
    <row r="143" spans="2:28" s="618" customFormat="1" ht="21.95" customHeight="1" x14ac:dyDescent="0.25">
      <c r="B143" s="431">
        <v>137</v>
      </c>
      <c r="C143" s="501" t="str">
        <f>IF(Inventory!C146="","",Inventory!C146)</f>
        <v/>
      </c>
      <c r="D143" s="502" t="str">
        <f>IF(Inventory!D146="","",Inventory!D146)</f>
        <v/>
      </c>
      <c r="E143" s="557" t="str">
        <f>IF(Inventory!W146="","",Inventory!W146)</f>
        <v/>
      </c>
      <c r="F143" s="788" t="str">
        <f>IF(Inventory!X146="","",Inventory!X146)</f>
        <v/>
      </c>
      <c r="G143" s="788" t="str">
        <f>IF(Inventory!Y146="","",Inventory!Y146)</f>
        <v/>
      </c>
      <c r="H143" s="729" t="str">
        <f>IF(Inventory!Z146="","",Inventory!Z146)</f>
        <v/>
      </c>
      <c r="I143" s="729" t="str">
        <f>IF(Inventory!AA146="","",Inventory!AA146)</f>
        <v/>
      </c>
      <c r="J143" s="729" t="str">
        <f>IF(Inventory!AB146="","",Inventory!AB146)</f>
        <v/>
      </c>
      <c r="K143" s="729" t="str">
        <f>IF(Inventory!AC146="","",Inventory!AC146)</f>
        <v/>
      </c>
      <c r="L143" s="765" t="str">
        <f>IF(Inventory!AD146="","",Inventory!AD146)</f>
        <v/>
      </c>
      <c r="M143" s="527">
        <f>IF(Inventory!AE146="","",Inventory!AE146)</f>
        <v>0</v>
      </c>
      <c r="N143" s="527">
        <f>IF(Inventory!AF146="","",Inventory!AF146)</f>
        <v>0</v>
      </c>
      <c r="O143" s="527">
        <f>IF(Inventory!AG146="","",Inventory!AG146)</f>
        <v>0</v>
      </c>
      <c r="P143" s="527">
        <f>IF(Inventory!AH146="","",Inventory!AH146)</f>
        <v>0</v>
      </c>
      <c r="Q143" s="527">
        <f>IF(Inventory!AI146="","",Inventory!AI146)</f>
        <v>0</v>
      </c>
      <c r="R143" s="527">
        <f>IF(Inventory!AJ146="","",Inventory!AJ146)</f>
        <v>999999999</v>
      </c>
      <c r="S143" s="758" t="str">
        <f>IF(Inventory!AK146="","",Inventory!AK146)</f>
        <v/>
      </c>
      <c r="T143" s="765" t="str">
        <f>IF(Inventory!AL146="","",Inventory!AL146)</f>
        <v/>
      </c>
      <c r="U143" s="758" t="str">
        <f>IF(Inventory!AM146="","",Inventory!AM146)</f>
        <v/>
      </c>
      <c r="V143" s="729" t="str">
        <f>IF(Inventory!AN146="","",Inventory!AN146)</f>
        <v/>
      </c>
      <c r="W143" s="775" t="str">
        <f>IF(Inventory!AO146="","",Inventory!AO146)</f>
        <v/>
      </c>
      <c r="X143" s="775" t="str">
        <f>IF(Inventory!AP146="","",Inventory!AP146)</f>
        <v/>
      </c>
      <c r="Y143" s="729" t="str">
        <f>IF(Inventory!AQ146="","",Inventory!AQ146)</f>
        <v/>
      </c>
      <c r="Z143" s="775" t="str">
        <f>IF(Inventory!AR146="","",Inventory!AR146)</f>
        <v/>
      </c>
      <c r="AA143" s="779" t="str">
        <f>IF(Inventory!AS146="","",Inventory!AS146)</f>
        <v/>
      </c>
      <c r="AB143" s="866"/>
    </row>
    <row r="144" spans="2:28" s="618" customFormat="1" ht="21.95" customHeight="1" x14ac:dyDescent="0.25">
      <c r="B144" s="432">
        <v>138</v>
      </c>
      <c r="C144" s="499" t="str">
        <f>IF(Inventory!C147="","",Inventory!C147)</f>
        <v/>
      </c>
      <c r="D144" s="751" t="str">
        <f>IF(Inventory!D147="","",Inventory!D147)</f>
        <v/>
      </c>
      <c r="E144" s="556" t="str">
        <f>IF(Inventory!W147="","",Inventory!W147)</f>
        <v/>
      </c>
      <c r="F144" s="785" t="str">
        <f>IF(Inventory!X147="","",Inventory!X147)</f>
        <v/>
      </c>
      <c r="G144" s="785" t="str">
        <f>IF(Inventory!Y147="","",Inventory!Y147)</f>
        <v/>
      </c>
      <c r="H144" s="767" t="str">
        <f>IF(Inventory!Z147="","",Inventory!Z147)</f>
        <v/>
      </c>
      <c r="I144" s="767" t="str">
        <f>IF(Inventory!AA147="","",Inventory!AA147)</f>
        <v/>
      </c>
      <c r="J144" s="767" t="str">
        <f>IF(Inventory!AB147="","",Inventory!AB147)</f>
        <v/>
      </c>
      <c r="K144" s="767" t="str">
        <f>IF(Inventory!AC147="","",Inventory!AC147)</f>
        <v/>
      </c>
      <c r="L144" s="776" t="str">
        <f>IF(Inventory!AD147="","",Inventory!AD147)</f>
        <v/>
      </c>
      <c r="M144" s="527">
        <f>IF(Inventory!AE147="","",Inventory!AE147)</f>
        <v>0</v>
      </c>
      <c r="N144" s="527">
        <f>IF(Inventory!AF147="","",Inventory!AF147)</f>
        <v>0</v>
      </c>
      <c r="O144" s="527">
        <f>IF(Inventory!AG147="","",Inventory!AG147)</f>
        <v>0</v>
      </c>
      <c r="P144" s="527">
        <f>IF(Inventory!AH147="","",Inventory!AH147)</f>
        <v>0</v>
      </c>
      <c r="Q144" s="527">
        <f>IF(Inventory!AI147="","",Inventory!AI147)</f>
        <v>0</v>
      </c>
      <c r="R144" s="527">
        <f>IF(Inventory!AJ147="","",Inventory!AJ147)</f>
        <v>999999999</v>
      </c>
      <c r="S144" s="777" t="str">
        <f>IF(Inventory!AK147="","",Inventory!AK147)</f>
        <v/>
      </c>
      <c r="T144" s="776" t="str">
        <f>IF(Inventory!AL147="","",Inventory!AL147)</f>
        <v/>
      </c>
      <c r="U144" s="777" t="str">
        <f>IF(Inventory!AM147="","",Inventory!AM147)</f>
        <v/>
      </c>
      <c r="V144" s="767" t="str">
        <f>IF(Inventory!AN147="","",Inventory!AN147)</f>
        <v/>
      </c>
      <c r="W144" s="778" t="str">
        <f>IF(Inventory!AO147="","",Inventory!AO147)</f>
        <v/>
      </c>
      <c r="X144" s="778" t="str">
        <f>IF(Inventory!AP147="","",Inventory!AP147)</f>
        <v/>
      </c>
      <c r="Y144" s="767" t="str">
        <f>IF(Inventory!AQ147="","",Inventory!AQ147)</f>
        <v/>
      </c>
      <c r="Z144" s="778" t="str">
        <f>IF(Inventory!AR147="","",Inventory!AR147)</f>
        <v/>
      </c>
      <c r="AA144" s="751" t="str">
        <f>IF(Inventory!AS147="","",Inventory!AS147)</f>
        <v/>
      </c>
      <c r="AB144" s="871"/>
    </row>
    <row r="145" spans="2:28" s="618" customFormat="1" ht="21.95" customHeight="1" x14ac:dyDescent="0.25">
      <c r="B145" s="431">
        <v>139</v>
      </c>
      <c r="C145" s="501" t="str">
        <f>IF(Inventory!C148="","",Inventory!C148)</f>
        <v/>
      </c>
      <c r="D145" s="502" t="str">
        <f>IF(Inventory!D148="","",Inventory!D148)</f>
        <v/>
      </c>
      <c r="E145" s="557" t="str">
        <f>IF(Inventory!W148="","",Inventory!W148)</f>
        <v/>
      </c>
      <c r="F145" s="788" t="str">
        <f>IF(Inventory!X148="","",Inventory!X148)</f>
        <v/>
      </c>
      <c r="G145" s="788" t="str">
        <f>IF(Inventory!Y148="","",Inventory!Y148)</f>
        <v/>
      </c>
      <c r="H145" s="729" t="str">
        <f>IF(Inventory!Z148="","",Inventory!Z148)</f>
        <v/>
      </c>
      <c r="I145" s="729" t="str">
        <f>IF(Inventory!AA148="","",Inventory!AA148)</f>
        <v/>
      </c>
      <c r="J145" s="729" t="str">
        <f>IF(Inventory!AB148="","",Inventory!AB148)</f>
        <v/>
      </c>
      <c r="K145" s="729" t="str">
        <f>IF(Inventory!AC148="","",Inventory!AC148)</f>
        <v/>
      </c>
      <c r="L145" s="765" t="str">
        <f>IF(Inventory!AD148="","",Inventory!AD148)</f>
        <v/>
      </c>
      <c r="M145" s="527">
        <f>IF(Inventory!AE148="","",Inventory!AE148)</f>
        <v>0</v>
      </c>
      <c r="N145" s="527">
        <f>IF(Inventory!AF148="","",Inventory!AF148)</f>
        <v>0</v>
      </c>
      <c r="O145" s="527">
        <f>IF(Inventory!AG148="","",Inventory!AG148)</f>
        <v>0</v>
      </c>
      <c r="P145" s="527">
        <f>IF(Inventory!AH148="","",Inventory!AH148)</f>
        <v>0</v>
      </c>
      <c r="Q145" s="527">
        <f>IF(Inventory!AI148="","",Inventory!AI148)</f>
        <v>0</v>
      </c>
      <c r="R145" s="527">
        <f>IF(Inventory!AJ148="","",Inventory!AJ148)</f>
        <v>999999999</v>
      </c>
      <c r="S145" s="758" t="str">
        <f>IF(Inventory!AK148="","",Inventory!AK148)</f>
        <v/>
      </c>
      <c r="T145" s="765" t="str">
        <f>IF(Inventory!AL148="","",Inventory!AL148)</f>
        <v/>
      </c>
      <c r="U145" s="758" t="str">
        <f>IF(Inventory!AM148="","",Inventory!AM148)</f>
        <v/>
      </c>
      <c r="V145" s="729" t="str">
        <f>IF(Inventory!AN148="","",Inventory!AN148)</f>
        <v/>
      </c>
      <c r="W145" s="775" t="str">
        <f>IF(Inventory!AO148="","",Inventory!AO148)</f>
        <v/>
      </c>
      <c r="X145" s="775" t="str">
        <f>IF(Inventory!AP148="","",Inventory!AP148)</f>
        <v/>
      </c>
      <c r="Y145" s="729" t="str">
        <f>IF(Inventory!AQ148="","",Inventory!AQ148)</f>
        <v/>
      </c>
      <c r="Z145" s="775" t="str">
        <f>IF(Inventory!AR148="","",Inventory!AR148)</f>
        <v/>
      </c>
      <c r="AA145" s="779" t="str">
        <f>IF(Inventory!AS148="","",Inventory!AS148)</f>
        <v/>
      </c>
      <c r="AB145" s="866"/>
    </row>
    <row r="146" spans="2:28" s="618" customFormat="1" ht="21.95" customHeight="1" x14ac:dyDescent="0.25">
      <c r="B146" s="432">
        <v>140</v>
      </c>
      <c r="C146" s="499" t="str">
        <f>IF(Inventory!C149="","",Inventory!C149)</f>
        <v/>
      </c>
      <c r="D146" s="751" t="str">
        <f>IF(Inventory!D149="","",Inventory!D149)</f>
        <v/>
      </c>
      <c r="E146" s="556" t="str">
        <f>IF(Inventory!W149="","",Inventory!W149)</f>
        <v/>
      </c>
      <c r="F146" s="785" t="str">
        <f>IF(Inventory!X149="","",Inventory!X149)</f>
        <v/>
      </c>
      <c r="G146" s="785" t="str">
        <f>IF(Inventory!Y149="","",Inventory!Y149)</f>
        <v/>
      </c>
      <c r="H146" s="767" t="str">
        <f>IF(Inventory!Z149="","",Inventory!Z149)</f>
        <v/>
      </c>
      <c r="I146" s="767" t="str">
        <f>IF(Inventory!AA149="","",Inventory!AA149)</f>
        <v/>
      </c>
      <c r="J146" s="767" t="str">
        <f>IF(Inventory!AB149="","",Inventory!AB149)</f>
        <v/>
      </c>
      <c r="K146" s="767" t="str">
        <f>IF(Inventory!AC149="","",Inventory!AC149)</f>
        <v/>
      </c>
      <c r="L146" s="776" t="str">
        <f>IF(Inventory!AD149="","",Inventory!AD149)</f>
        <v/>
      </c>
      <c r="M146" s="527">
        <f>IF(Inventory!AE149="","",Inventory!AE149)</f>
        <v>0</v>
      </c>
      <c r="N146" s="527">
        <f>IF(Inventory!AF149="","",Inventory!AF149)</f>
        <v>0</v>
      </c>
      <c r="O146" s="527">
        <f>IF(Inventory!AG149="","",Inventory!AG149)</f>
        <v>0</v>
      </c>
      <c r="P146" s="527">
        <f>IF(Inventory!AH149="","",Inventory!AH149)</f>
        <v>0</v>
      </c>
      <c r="Q146" s="527">
        <f>IF(Inventory!AI149="","",Inventory!AI149)</f>
        <v>0</v>
      </c>
      <c r="R146" s="527">
        <f>IF(Inventory!AJ149="","",Inventory!AJ149)</f>
        <v>999999999</v>
      </c>
      <c r="S146" s="777" t="str">
        <f>IF(Inventory!AK149="","",Inventory!AK149)</f>
        <v/>
      </c>
      <c r="T146" s="776" t="str">
        <f>IF(Inventory!AL149="","",Inventory!AL149)</f>
        <v/>
      </c>
      <c r="U146" s="777" t="str">
        <f>IF(Inventory!AM149="","",Inventory!AM149)</f>
        <v/>
      </c>
      <c r="V146" s="767" t="str">
        <f>IF(Inventory!AN149="","",Inventory!AN149)</f>
        <v/>
      </c>
      <c r="W146" s="778" t="str">
        <f>IF(Inventory!AO149="","",Inventory!AO149)</f>
        <v/>
      </c>
      <c r="X146" s="778" t="str">
        <f>IF(Inventory!AP149="","",Inventory!AP149)</f>
        <v/>
      </c>
      <c r="Y146" s="767" t="str">
        <f>IF(Inventory!AQ149="","",Inventory!AQ149)</f>
        <v/>
      </c>
      <c r="Z146" s="778" t="str">
        <f>IF(Inventory!AR149="","",Inventory!AR149)</f>
        <v/>
      </c>
      <c r="AA146" s="751" t="str">
        <f>IF(Inventory!AS149="","",Inventory!AS149)</f>
        <v/>
      </c>
      <c r="AB146" s="871"/>
    </row>
    <row r="147" spans="2:28" s="618" customFormat="1" ht="21.95" customHeight="1" x14ac:dyDescent="0.25">
      <c r="B147" s="431">
        <v>141</v>
      </c>
      <c r="C147" s="501" t="str">
        <f>IF(Inventory!C150="","",Inventory!C150)</f>
        <v/>
      </c>
      <c r="D147" s="502" t="str">
        <f>IF(Inventory!D150="","",Inventory!D150)</f>
        <v/>
      </c>
      <c r="E147" s="557" t="str">
        <f>IF(Inventory!W150="","",Inventory!W150)</f>
        <v/>
      </c>
      <c r="F147" s="788" t="str">
        <f>IF(Inventory!X150="","",Inventory!X150)</f>
        <v/>
      </c>
      <c r="G147" s="788" t="str">
        <f>IF(Inventory!Y150="","",Inventory!Y150)</f>
        <v/>
      </c>
      <c r="H147" s="729" t="str">
        <f>IF(Inventory!Z150="","",Inventory!Z150)</f>
        <v/>
      </c>
      <c r="I147" s="729" t="str">
        <f>IF(Inventory!AA150="","",Inventory!AA150)</f>
        <v/>
      </c>
      <c r="J147" s="729" t="str">
        <f>IF(Inventory!AB150="","",Inventory!AB150)</f>
        <v/>
      </c>
      <c r="K147" s="729" t="str">
        <f>IF(Inventory!AC150="","",Inventory!AC150)</f>
        <v/>
      </c>
      <c r="L147" s="765" t="str">
        <f>IF(Inventory!AD150="","",Inventory!AD150)</f>
        <v/>
      </c>
      <c r="M147" s="527">
        <f>IF(Inventory!AE150="","",Inventory!AE150)</f>
        <v>0</v>
      </c>
      <c r="N147" s="527">
        <f>IF(Inventory!AF150="","",Inventory!AF150)</f>
        <v>0</v>
      </c>
      <c r="O147" s="527">
        <f>IF(Inventory!AG150="","",Inventory!AG150)</f>
        <v>0</v>
      </c>
      <c r="P147" s="527">
        <f>IF(Inventory!AH150="","",Inventory!AH150)</f>
        <v>0</v>
      </c>
      <c r="Q147" s="527">
        <f>IF(Inventory!AI150="","",Inventory!AI150)</f>
        <v>0</v>
      </c>
      <c r="R147" s="527">
        <f>IF(Inventory!AJ150="","",Inventory!AJ150)</f>
        <v>999999999</v>
      </c>
      <c r="S147" s="758" t="str">
        <f>IF(Inventory!AK150="","",Inventory!AK150)</f>
        <v/>
      </c>
      <c r="T147" s="765" t="str">
        <f>IF(Inventory!AL150="","",Inventory!AL150)</f>
        <v/>
      </c>
      <c r="U147" s="758" t="str">
        <f>IF(Inventory!AM150="","",Inventory!AM150)</f>
        <v/>
      </c>
      <c r="V147" s="729" t="str">
        <f>IF(Inventory!AN150="","",Inventory!AN150)</f>
        <v/>
      </c>
      <c r="W147" s="775" t="str">
        <f>IF(Inventory!AO150="","",Inventory!AO150)</f>
        <v/>
      </c>
      <c r="X147" s="775" t="str">
        <f>IF(Inventory!AP150="","",Inventory!AP150)</f>
        <v/>
      </c>
      <c r="Y147" s="729" t="str">
        <f>IF(Inventory!AQ150="","",Inventory!AQ150)</f>
        <v/>
      </c>
      <c r="Z147" s="775" t="str">
        <f>IF(Inventory!AR150="","",Inventory!AR150)</f>
        <v/>
      </c>
      <c r="AA147" s="779" t="str">
        <f>IF(Inventory!AS150="","",Inventory!AS150)</f>
        <v/>
      </c>
      <c r="AB147" s="866"/>
    </row>
    <row r="148" spans="2:28" s="618" customFormat="1" ht="21.95" customHeight="1" x14ac:dyDescent="0.25">
      <c r="B148" s="432">
        <v>142</v>
      </c>
      <c r="C148" s="499" t="str">
        <f>IF(Inventory!C151="","",Inventory!C151)</f>
        <v/>
      </c>
      <c r="D148" s="751" t="str">
        <f>IF(Inventory!D151="","",Inventory!D151)</f>
        <v/>
      </c>
      <c r="E148" s="556" t="str">
        <f>IF(Inventory!W151="","",Inventory!W151)</f>
        <v/>
      </c>
      <c r="F148" s="785" t="str">
        <f>IF(Inventory!X151="","",Inventory!X151)</f>
        <v/>
      </c>
      <c r="G148" s="785" t="str">
        <f>IF(Inventory!Y151="","",Inventory!Y151)</f>
        <v/>
      </c>
      <c r="H148" s="767" t="str">
        <f>IF(Inventory!Z151="","",Inventory!Z151)</f>
        <v/>
      </c>
      <c r="I148" s="767" t="str">
        <f>IF(Inventory!AA151="","",Inventory!AA151)</f>
        <v/>
      </c>
      <c r="J148" s="767" t="str">
        <f>IF(Inventory!AB151="","",Inventory!AB151)</f>
        <v/>
      </c>
      <c r="K148" s="767" t="str">
        <f>IF(Inventory!AC151="","",Inventory!AC151)</f>
        <v/>
      </c>
      <c r="L148" s="776" t="str">
        <f>IF(Inventory!AD151="","",Inventory!AD151)</f>
        <v/>
      </c>
      <c r="M148" s="527">
        <f>IF(Inventory!AE151="","",Inventory!AE151)</f>
        <v>0</v>
      </c>
      <c r="N148" s="527">
        <f>IF(Inventory!AF151="","",Inventory!AF151)</f>
        <v>0</v>
      </c>
      <c r="O148" s="527">
        <f>IF(Inventory!AG151="","",Inventory!AG151)</f>
        <v>0</v>
      </c>
      <c r="P148" s="527">
        <f>IF(Inventory!AH151="","",Inventory!AH151)</f>
        <v>0</v>
      </c>
      <c r="Q148" s="527">
        <f>IF(Inventory!AI151="","",Inventory!AI151)</f>
        <v>0</v>
      </c>
      <c r="R148" s="527">
        <f>IF(Inventory!AJ151="","",Inventory!AJ151)</f>
        <v>999999999</v>
      </c>
      <c r="S148" s="777" t="str">
        <f>IF(Inventory!AK151="","",Inventory!AK151)</f>
        <v/>
      </c>
      <c r="T148" s="776" t="str">
        <f>IF(Inventory!AL151="","",Inventory!AL151)</f>
        <v/>
      </c>
      <c r="U148" s="777" t="str">
        <f>IF(Inventory!AM151="","",Inventory!AM151)</f>
        <v/>
      </c>
      <c r="V148" s="767" t="str">
        <f>IF(Inventory!AN151="","",Inventory!AN151)</f>
        <v/>
      </c>
      <c r="W148" s="778" t="str">
        <f>IF(Inventory!AO151="","",Inventory!AO151)</f>
        <v/>
      </c>
      <c r="X148" s="778" t="str">
        <f>IF(Inventory!AP151="","",Inventory!AP151)</f>
        <v/>
      </c>
      <c r="Y148" s="767" t="str">
        <f>IF(Inventory!AQ151="","",Inventory!AQ151)</f>
        <v/>
      </c>
      <c r="Z148" s="778" t="str">
        <f>IF(Inventory!AR151="","",Inventory!AR151)</f>
        <v/>
      </c>
      <c r="AA148" s="751" t="str">
        <f>IF(Inventory!AS151="","",Inventory!AS151)</f>
        <v/>
      </c>
      <c r="AB148" s="871"/>
    </row>
    <row r="149" spans="2:28" s="618" customFormat="1" ht="21.95" customHeight="1" x14ac:dyDescent="0.25">
      <c r="B149" s="431">
        <v>143</v>
      </c>
      <c r="C149" s="501" t="str">
        <f>IF(Inventory!C152="","",Inventory!C152)</f>
        <v/>
      </c>
      <c r="D149" s="502" t="str">
        <f>IF(Inventory!D152="","",Inventory!D152)</f>
        <v/>
      </c>
      <c r="E149" s="557" t="str">
        <f>IF(Inventory!W152="","",Inventory!W152)</f>
        <v/>
      </c>
      <c r="F149" s="788" t="str">
        <f>IF(Inventory!X152="","",Inventory!X152)</f>
        <v/>
      </c>
      <c r="G149" s="788" t="str">
        <f>IF(Inventory!Y152="","",Inventory!Y152)</f>
        <v/>
      </c>
      <c r="H149" s="729" t="str">
        <f>IF(Inventory!Z152="","",Inventory!Z152)</f>
        <v/>
      </c>
      <c r="I149" s="729" t="str">
        <f>IF(Inventory!AA152="","",Inventory!AA152)</f>
        <v/>
      </c>
      <c r="J149" s="729" t="str">
        <f>IF(Inventory!AB152="","",Inventory!AB152)</f>
        <v/>
      </c>
      <c r="K149" s="729" t="str">
        <f>IF(Inventory!AC152="","",Inventory!AC152)</f>
        <v/>
      </c>
      <c r="L149" s="765" t="str">
        <f>IF(Inventory!AD152="","",Inventory!AD152)</f>
        <v/>
      </c>
      <c r="M149" s="527">
        <f>IF(Inventory!AE152="","",Inventory!AE152)</f>
        <v>0</v>
      </c>
      <c r="N149" s="527">
        <f>IF(Inventory!AF152="","",Inventory!AF152)</f>
        <v>0</v>
      </c>
      <c r="O149" s="527">
        <f>IF(Inventory!AG152="","",Inventory!AG152)</f>
        <v>0</v>
      </c>
      <c r="P149" s="527">
        <f>IF(Inventory!AH152="","",Inventory!AH152)</f>
        <v>0</v>
      </c>
      <c r="Q149" s="527">
        <f>IF(Inventory!AI152="","",Inventory!AI152)</f>
        <v>0</v>
      </c>
      <c r="R149" s="527">
        <f>IF(Inventory!AJ152="","",Inventory!AJ152)</f>
        <v>999999999</v>
      </c>
      <c r="S149" s="758" t="str">
        <f>IF(Inventory!AK152="","",Inventory!AK152)</f>
        <v/>
      </c>
      <c r="T149" s="765" t="str">
        <f>IF(Inventory!AL152="","",Inventory!AL152)</f>
        <v/>
      </c>
      <c r="U149" s="758" t="str">
        <f>IF(Inventory!AM152="","",Inventory!AM152)</f>
        <v/>
      </c>
      <c r="V149" s="729" t="str">
        <f>IF(Inventory!AN152="","",Inventory!AN152)</f>
        <v/>
      </c>
      <c r="W149" s="775" t="str">
        <f>IF(Inventory!AO152="","",Inventory!AO152)</f>
        <v/>
      </c>
      <c r="X149" s="775" t="str">
        <f>IF(Inventory!AP152="","",Inventory!AP152)</f>
        <v/>
      </c>
      <c r="Y149" s="729" t="str">
        <f>IF(Inventory!AQ152="","",Inventory!AQ152)</f>
        <v/>
      </c>
      <c r="Z149" s="775" t="str">
        <f>IF(Inventory!AR152="","",Inventory!AR152)</f>
        <v/>
      </c>
      <c r="AA149" s="779" t="str">
        <f>IF(Inventory!AS152="","",Inventory!AS152)</f>
        <v/>
      </c>
      <c r="AB149" s="866"/>
    </row>
    <row r="150" spans="2:28" s="618" customFormat="1" ht="21.95" customHeight="1" x14ac:dyDescent="0.25">
      <c r="B150" s="432">
        <v>144</v>
      </c>
      <c r="C150" s="499" t="str">
        <f>IF(Inventory!C153="","",Inventory!C153)</f>
        <v/>
      </c>
      <c r="D150" s="751" t="str">
        <f>IF(Inventory!D153="","",Inventory!D153)</f>
        <v/>
      </c>
      <c r="E150" s="556" t="str">
        <f>IF(Inventory!W153="","",Inventory!W153)</f>
        <v/>
      </c>
      <c r="F150" s="785" t="str">
        <f>IF(Inventory!X153="","",Inventory!X153)</f>
        <v/>
      </c>
      <c r="G150" s="785" t="str">
        <f>IF(Inventory!Y153="","",Inventory!Y153)</f>
        <v/>
      </c>
      <c r="H150" s="767" t="str">
        <f>IF(Inventory!Z153="","",Inventory!Z153)</f>
        <v/>
      </c>
      <c r="I150" s="767" t="str">
        <f>IF(Inventory!AA153="","",Inventory!AA153)</f>
        <v/>
      </c>
      <c r="J150" s="767" t="str">
        <f>IF(Inventory!AB153="","",Inventory!AB153)</f>
        <v/>
      </c>
      <c r="K150" s="767" t="str">
        <f>IF(Inventory!AC153="","",Inventory!AC153)</f>
        <v/>
      </c>
      <c r="L150" s="776" t="str">
        <f>IF(Inventory!AD153="","",Inventory!AD153)</f>
        <v/>
      </c>
      <c r="M150" s="527">
        <f>IF(Inventory!AE153="","",Inventory!AE153)</f>
        <v>0</v>
      </c>
      <c r="N150" s="527">
        <f>IF(Inventory!AF153="","",Inventory!AF153)</f>
        <v>0</v>
      </c>
      <c r="O150" s="527">
        <f>IF(Inventory!AG153="","",Inventory!AG153)</f>
        <v>0</v>
      </c>
      <c r="P150" s="527">
        <f>IF(Inventory!AH153="","",Inventory!AH153)</f>
        <v>0</v>
      </c>
      <c r="Q150" s="527">
        <f>IF(Inventory!AI153="","",Inventory!AI153)</f>
        <v>0</v>
      </c>
      <c r="R150" s="527">
        <f>IF(Inventory!AJ153="","",Inventory!AJ153)</f>
        <v>999999999</v>
      </c>
      <c r="S150" s="777" t="str">
        <f>IF(Inventory!AK153="","",Inventory!AK153)</f>
        <v/>
      </c>
      <c r="T150" s="776" t="str">
        <f>IF(Inventory!AL153="","",Inventory!AL153)</f>
        <v/>
      </c>
      <c r="U150" s="777" t="str">
        <f>IF(Inventory!AM153="","",Inventory!AM153)</f>
        <v/>
      </c>
      <c r="V150" s="767" t="str">
        <f>IF(Inventory!AN153="","",Inventory!AN153)</f>
        <v/>
      </c>
      <c r="W150" s="778" t="str">
        <f>IF(Inventory!AO153="","",Inventory!AO153)</f>
        <v/>
      </c>
      <c r="X150" s="778" t="str">
        <f>IF(Inventory!AP153="","",Inventory!AP153)</f>
        <v/>
      </c>
      <c r="Y150" s="767" t="str">
        <f>IF(Inventory!AQ153="","",Inventory!AQ153)</f>
        <v/>
      </c>
      <c r="Z150" s="778" t="str">
        <f>IF(Inventory!AR153="","",Inventory!AR153)</f>
        <v/>
      </c>
      <c r="AA150" s="751" t="str">
        <f>IF(Inventory!AS153="","",Inventory!AS153)</f>
        <v/>
      </c>
      <c r="AB150" s="871"/>
    </row>
    <row r="151" spans="2:28" s="618" customFormat="1" ht="21.95" customHeight="1" x14ac:dyDescent="0.25">
      <c r="B151" s="431">
        <v>145</v>
      </c>
      <c r="C151" s="501" t="str">
        <f>IF(Inventory!C154="","",Inventory!C154)</f>
        <v/>
      </c>
      <c r="D151" s="502" t="str">
        <f>IF(Inventory!D154="","",Inventory!D154)</f>
        <v/>
      </c>
      <c r="E151" s="557" t="str">
        <f>IF(Inventory!W154="","",Inventory!W154)</f>
        <v/>
      </c>
      <c r="F151" s="788" t="str">
        <f>IF(Inventory!X154="","",Inventory!X154)</f>
        <v/>
      </c>
      <c r="G151" s="788" t="str">
        <f>IF(Inventory!Y154="","",Inventory!Y154)</f>
        <v/>
      </c>
      <c r="H151" s="729" t="str">
        <f>IF(Inventory!Z154="","",Inventory!Z154)</f>
        <v/>
      </c>
      <c r="I151" s="729" t="str">
        <f>IF(Inventory!AA154="","",Inventory!AA154)</f>
        <v/>
      </c>
      <c r="J151" s="729" t="str">
        <f>IF(Inventory!AB154="","",Inventory!AB154)</f>
        <v/>
      </c>
      <c r="K151" s="729" t="str">
        <f>IF(Inventory!AC154="","",Inventory!AC154)</f>
        <v/>
      </c>
      <c r="L151" s="765" t="str">
        <f>IF(Inventory!AD154="","",Inventory!AD154)</f>
        <v/>
      </c>
      <c r="M151" s="527">
        <f>IF(Inventory!AE154="","",Inventory!AE154)</f>
        <v>0</v>
      </c>
      <c r="N151" s="527">
        <f>IF(Inventory!AF154="","",Inventory!AF154)</f>
        <v>0</v>
      </c>
      <c r="O151" s="527">
        <f>IF(Inventory!AG154="","",Inventory!AG154)</f>
        <v>0</v>
      </c>
      <c r="P151" s="527">
        <f>IF(Inventory!AH154="","",Inventory!AH154)</f>
        <v>0</v>
      </c>
      <c r="Q151" s="527">
        <f>IF(Inventory!AI154="","",Inventory!AI154)</f>
        <v>0</v>
      </c>
      <c r="R151" s="527">
        <f>IF(Inventory!AJ154="","",Inventory!AJ154)</f>
        <v>999999999</v>
      </c>
      <c r="S151" s="758" t="str">
        <f>IF(Inventory!AK154="","",Inventory!AK154)</f>
        <v/>
      </c>
      <c r="T151" s="765" t="str">
        <f>IF(Inventory!AL154="","",Inventory!AL154)</f>
        <v/>
      </c>
      <c r="U151" s="758" t="str">
        <f>IF(Inventory!AM154="","",Inventory!AM154)</f>
        <v/>
      </c>
      <c r="V151" s="729" t="str">
        <f>IF(Inventory!AN154="","",Inventory!AN154)</f>
        <v/>
      </c>
      <c r="W151" s="775" t="str">
        <f>IF(Inventory!AO154="","",Inventory!AO154)</f>
        <v/>
      </c>
      <c r="X151" s="775" t="str">
        <f>IF(Inventory!AP154="","",Inventory!AP154)</f>
        <v/>
      </c>
      <c r="Y151" s="729" t="str">
        <f>IF(Inventory!AQ154="","",Inventory!AQ154)</f>
        <v/>
      </c>
      <c r="Z151" s="775" t="str">
        <f>IF(Inventory!AR154="","",Inventory!AR154)</f>
        <v/>
      </c>
      <c r="AA151" s="779" t="str">
        <f>IF(Inventory!AS154="","",Inventory!AS154)</f>
        <v/>
      </c>
      <c r="AB151" s="866"/>
    </row>
    <row r="152" spans="2:28" s="618" customFormat="1" ht="21.95" customHeight="1" x14ac:dyDescent="0.25">
      <c r="B152" s="432">
        <v>146</v>
      </c>
      <c r="C152" s="499" t="str">
        <f>IF(Inventory!C155="","",Inventory!C155)</f>
        <v/>
      </c>
      <c r="D152" s="751" t="str">
        <f>IF(Inventory!D155="","",Inventory!D155)</f>
        <v/>
      </c>
      <c r="E152" s="556" t="str">
        <f>IF(Inventory!W155="","",Inventory!W155)</f>
        <v/>
      </c>
      <c r="F152" s="785" t="str">
        <f>IF(Inventory!X155="","",Inventory!X155)</f>
        <v/>
      </c>
      <c r="G152" s="785" t="str">
        <f>IF(Inventory!Y155="","",Inventory!Y155)</f>
        <v/>
      </c>
      <c r="H152" s="767" t="str">
        <f>IF(Inventory!Z155="","",Inventory!Z155)</f>
        <v/>
      </c>
      <c r="I152" s="767" t="str">
        <f>IF(Inventory!AA155="","",Inventory!AA155)</f>
        <v/>
      </c>
      <c r="J152" s="767" t="str">
        <f>IF(Inventory!AB155="","",Inventory!AB155)</f>
        <v/>
      </c>
      <c r="K152" s="767" t="str">
        <f>IF(Inventory!AC155="","",Inventory!AC155)</f>
        <v/>
      </c>
      <c r="L152" s="776" t="str">
        <f>IF(Inventory!AD155="","",Inventory!AD155)</f>
        <v/>
      </c>
      <c r="M152" s="527">
        <f>IF(Inventory!AE155="","",Inventory!AE155)</f>
        <v>0</v>
      </c>
      <c r="N152" s="527">
        <f>IF(Inventory!AF155="","",Inventory!AF155)</f>
        <v>0</v>
      </c>
      <c r="O152" s="527">
        <f>IF(Inventory!AG155="","",Inventory!AG155)</f>
        <v>0</v>
      </c>
      <c r="P152" s="527">
        <f>IF(Inventory!AH155="","",Inventory!AH155)</f>
        <v>0</v>
      </c>
      <c r="Q152" s="527">
        <f>IF(Inventory!AI155="","",Inventory!AI155)</f>
        <v>0</v>
      </c>
      <c r="R152" s="527">
        <f>IF(Inventory!AJ155="","",Inventory!AJ155)</f>
        <v>999999999</v>
      </c>
      <c r="S152" s="777" t="str">
        <f>IF(Inventory!AK155="","",Inventory!AK155)</f>
        <v/>
      </c>
      <c r="T152" s="776" t="str">
        <f>IF(Inventory!AL155="","",Inventory!AL155)</f>
        <v/>
      </c>
      <c r="U152" s="777" t="str">
        <f>IF(Inventory!AM155="","",Inventory!AM155)</f>
        <v/>
      </c>
      <c r="V152" s="767" t="str">
        <f>IF(Inventory!AN155="","",Inventory!AN155)</f>
        <v/>
      </c>
      <c r="W152" s="778" t="str">
        <f>IF(Inventory!AO155="","",Inventory!AO155)</f>
        <v/>
      </c>
      <c r="X152" s="778" t="str">
        <f>IF(Inventory!AP155="","",Inventory!AP155)</f>
        <v/>
      </c>
      <c r="Y152" s="767" t="str">
        <f>IF(Inventory!AQ155="","",Inventory!AQ155)</f>
        <v/>
      </c>
      <c r="Z152" s="778" t="str">
        <f>IF(Inventory!AR155="","",Inventory!AR155)</f>
        <v/>
      </c>
      <c r="AA152" s="751" t="str">
        <f>IF(Inventory!AS155="","",Inventory!AS155)</f>
        <v/>
      </c>
      <c r="AB152" s="871"/>
    </row>
    <row r="153" spans="2:28" s="618" customFormat="1" ht="21.95" customHeight="1" x14ac:dyDescent="0.25">
      <c r="B153" s="431">
        <v>147</v>
      </c>
      <c r="C153" s="501" t="str">
        <f>IF(Inventory!C156="","",Inventory!C156)</f>
        <v/>
      </c>
      <c r="D153" s="502" t="str">
        <f>IF(Inventory!D156="","",Inventory!D156)</f>
        <v/>
      </c>
      <c r="E153" s="557" t="str">
        <f>IF(Inventory!W156="","",Inventory!W156)</f>
        <v/>
      </c>
      <c r="F153" s="788" t="str">
        <f>IF(Inventory!X156="","",Inventory!X156)</f>
        <v/>
      </c>
      <c r="G153" s="788" t="str">
        <f>IF(Inventory!Y156="","",Inventory!Y156)</f>
        <v/>
      </c>
      <c r="H153" s="729" t="str">
        <f>IF(Inventory!Z156="","",Inventory!Z156)</f>
        <v/>
      </c>
      <c r="I153" s="729" t="str">
        <f>IF(Inventory!AA156="","",Inventory!AA156)</f>
        <v/>
      </c>
      <c r="J153" s="729" t="str">
        <f>IF(Inventory!AB156="","",Inventory!AB156)</f>
        <v/>
      </c>
      <c r="K153" s="729" t="str">
        <f>IF(Inventory!AC156="","",Inventory!AC156)</f>
        <v/>
      </c>
      <c r="L153" s="765" t="str">
        <f>IF(Inventory!AD156="","",Inventory!AD156)</f>
        <v/>
      </c>
      <c r="M153" s="527">
        <f>IF(Inventory!AE156="","",Inventory!AE156)</f>
        <v>0</v>
      </c>
      <c r="N153" s="527">
        <f>IF(Inventory!AF156="","",Inventory!AF156)</f>
        <v>0</v>
      </c>
      <c r="O153" s="527">
        <f>IF(Inventory!AG156="","",Inventory!AG156)</f>
        <v>0</v>
      </c>
      <c r="P153" s="527">
        <f>IF(Inventory!AH156="","",Inventory!AH156)</f>
        <v>0</v>
      </c>
      <c r="Q153" s="527">
        <f>IF(Inventory!AI156="","",Inventory!AI156)</f>
        <v>0</v>
      </c>
      <c r="R153" s="527">
        <f>IF(Inventory!AJ156="","",Inventory!AJ156)</f>
        <v>999999999</v>
      </c>
      <c r="S153" s="758" t="str">
        <f>IF(Inventory!AK156="","",Inventory!AK156)</f>
        <v/>
      </c>
      <c r="T153" s="765" t="str">
        <f>IF(Inventory!AL156="","",Inventory!AL156)</f>
        <v/>
      </c>
      <c r="U153" s="758" t="str">
        <f>IF(Inventory!AM156="","",Inventory!AM156)</f>
        <v/>
      </c>
      <c r="V153" s="729" t="str">
        <f>IF(Inventory!AN156="","",Inventory!AN156)</f>
        <v/>
      </c>
      <c r="W153" s="775" t="str">
        <f>IF(Inventory!AO156="","",Inventory!AO156)</f>
        <v/>
      </c>
      <c r="X153" s="775" t="str">
        <f>IF(Inventory!AP156="","",Inventory!AP156)</f>
        <v/>
      </c>
      <c r="Y153" s="729" t="str">
        <f>IF(Inventory!AQ156="","",Inventory!AQ156)</f>
        <v/>
      </c>
      <c r="Z153" s="775" t="str">
        <f>IF(Inventory!AR156="","",Inventory!AR156)</f>
        <v/>
      </c>
      <c r="AA153" s="779" t="str">
        <f>IF(Inventory!AS156="","",Inventory!AS156)</f>
        <v/>
      </c>
      <c r="AB153" s="866"/>
    </row>
    <row r="154" spans="2:28" s="618" customFormat="1" ht="21.95" customHeight="1" x14ac:dyDescent="0.25">
      <c r="B154" s="432">
        <v>148</v>
      </c>
      <c r="C154" s="499" t="str">
        <f>IF(Inventory!C157="","",Inventory!C157)</f>
        <v/>
      </c>
      <c r="D154" s="751" t="str">
        <f>IF(Inventory!D157="","",Inventory!D157)</f>
        <v/>
      </c>
      <c r="E154" s="556" t="str">
        <f>IF(Inventory!W157="","",Inventory!W157)</f>
        <v/>
      </c>
      <c r="F154" s="785" t="str">
        <f>IF(Inventory!X157="","",Inventory!X157)</f>
        <v/>
      </c>
      <c r="G154" s="785" t="str">
        <f>IF(Inventory!Y157="","",Inventory!Y157)</f>
        <v/>
      </c>
      <c r="H154" s="767" t="str">
        <f>IF(Inventory!Z157="","",Inventory!Z157)</f>
        <v/>
      </c>
      <c r="I154" s="767" t="str">
        <f>IF(Inventory!AA157="","",Inventory!AA157)</f>
        <v/>
      </c>
      <c r="J154" s="767" t="str">
        <f>IF(Inventory!AB157="","",Inventory!AB157)</f>
        <v/>
      </c>
      <c r="K154" s="767" t="str">
        <f>IF(Inventory!AC157="","",Inventory!AC157)</f>
        <v/>
      </c>
      <c r="L154" s="776" t="str">
        <f>IF(Inventory!AD157="","",Inventory!AD157)</f>
        <v/>
      </c>
      <c r="M154" s="527">
        <f>IF(Inventory!AE157="","",Inventory!AE157)</f>
        <v>0</v>
      </c>
      <c r="N154" s="527">
        <f>IF(Inventory!AF157="","",Inventory!AF157)</f>
        <v>0</v>
      </c>
      <c r="O154" s="527">
        <f>IF(Inventory!AG157="","",Inventory!AG157)</f>
        <v>0</v>
      </c>
      <c r="P154" s="527">
        <f>IF(Inventory!AH157="","",Inventory!AH157)</f>
        <v>0</v>
      </c>
      <c r="Q154" s="527">
        <f>IF(Inventory!AI157="","",Inventory!AI157)</f>
        <v>0</v>
      </c>
      <c r="R154" s="527">
        <f>IF(Inventory!AJ157="","",Inventory!AJ157)</f>
        <v>999999999</v>
      </c>
      <c r="S154" s="777" t="str">
        <f>IF(Inventory!AK157="","",Inventory!AK157)</f>
        <v/>
      </c>
      <c r="T154" s="776" t="str">
        <f>IF(Inventory!AL157="","",Inventory!AL157)</f>
        <v/>
      </c>
      <c r="U154" s="777" t="str">
        <f>IF(Inventory!AM157="","",Inventory!AM157)</f>
        <v/>
      </c>
      <c r="V154" s="767" t="str">
        <f>IF(Inventory!AN157="","",Inventory!AN157)</f>
        <v/>
      </c>
      <c r="W154" s="778" t="str">
        <f>IF(Inventory!AO157="","",Inventory!AO157)</f>
        <v/>
      </c>
      <c r="X154" s="778" t="str">
        <f>IF(Inventory!AP157="","",Inventory!AP157)</f>
        <v/>
      </c>
      <c r="Y154" s="767" t="str">
        <f>IF(Inventory!AQ157="","",Inventory!AQ157)</f>
        <v/>
      </c>
      <c r="Z154" s="778" t="str">
        <f>IF(Inventory!AR157="","",Inventory!AR157)</f>
        <v/>
      </c>
      <c r="AA154" s="751" t="str">
        <f>IF(Inventory!AS157="","",Inventory!AS157)</f>
        <v/>
      </c>
      <c r="AB154" s="871"/>
    </row>
    <row r="155" spans="2:28" s="618" customFormat="1" ht="21.95" customHeight="1" x14ac:dyDescent="0.25">
      <c r="B155" s="431">
        <v>149</v>
      </c>
      <c r="C155" s="501" t="str">
        <f>IF(Inventory!C158="","",Inventory!C158)</f>
        <v/>
      </c>
      <c r="D155" s="502" t="str">
        <f>IF(Inventory!D158="","",Inventory!D158)</f>
        <v/>
      </c>
      <c r="E155" s="557" t="str">
        <f>IF(Inventory!W158="","",Inventory!W158)</f>
        <v/>
      </c>
      <c r="F155" s="788" t="str">
        <f>IF(Inventory!X158="","",Inventory!X158)</f>
        <v/>
      </c>
      <c r="G155" s="788" t="str">
        <f>IF(Inventory!Y158="","",Inventory!Y158)</f>
        <v/>
      </c>
      <c r="H155" s="729" t="str">
        <f>IF(Inventory!Z158="","",Inventory!Z158)</f>
        <v/>
      </c>
      <c r="I155" s="729" t="str">
        <f>IF(Inventory!AA158="","",Inventory!AA158)</f>
        <v/>
      </c>
      <c r="J155" s="729" t="str">
        <f>IF(Inventory!AB158="","",Inventory!AB158)</f>
        <v/>
      </c>
      <c r="K155" s="729" t="str">
        <f>IF(Inventory!AC158="","",Inventory!AC158)</f>
        <v/>
      </c>
      <c r="L155" s="765" t="str">
        <f>IF(Inventory!AD158="","",Inventory!AD158)</f>
        <v/>
      </c>
      <c r="M155" s="527">
        <f>IF(Inventory!AE158="","",Inventory!AE158)</f>
        <v>0</v>
      </c>
      <c r="N155" s="527">
        <f>IF(Inventory!AF158="","",Inventory!AF158)</f>
        <v>0</v>
      </c>
      <c r="O155" s="527">
        <f>IF(Inventory!AG158="","",Inventory!AG158)</f>
        <v>0</v>
      </c>
      <c r="P155" s="527">
        <f>IF(Inventory!AH158="","",Inventory!AH158)</f>
        <v>0</v>
      </c>
      <c r="Q155" s="527">
        <f>IF(Inventory!AI158="","",Inventory!AI158)</f>
        <v>0</v>
      </c>
      <c r="R155" s="527">
        <f>IF(Inventory!AJ158="","",Inventory!AJ158)</f>
        <v>999999999</v>
      </c>
      <c r="S155" s="758" t="str">
        <f>IF(Inventory!AK158="","",Inventory!AK158)</f>
        <v/>
      </c>
      <c r="T155" s="765" t="str">
        <f>IF(Inventory!AL158="","",Inventory!AL158)</f>
        <v/>
      </c>
      <c r="U155" s="758" t="str">
        <f>IF(Inventory!AM158="","",Inventory!AM158)</f>
        <v/>
      </c>
      <c r="V155" s="729" t="str">
        <f>IF(Inventory!AN158="","",Inventory!AN158)</f>
        <v/>
      </c>
      <c r="W155" s="775" t="str">
        <f>IF(Inventory!AO158="","",Inventory!AO158)</f>
        <v/>
      </c>
      <c r="X155" s="775" t="str">
        <f>IF(Inventory!AP158="","",Inventory!AP158)</f>
        <v/>
      </c>
      <c r="Y155" s="729" t="str">
        <f>IF(Inventory!AQ158="","",Inventory!AQ158)</f>
        <v/>
      </c>
      <c r="Z155" s="775" t="str">
        <f>IF(Inventory!AR158="","",Inventory!AR158)</f>
        <v/>
      </c>
      <c r="AA155" s="779" t="str">
        <f>IF(Inventory!AS158="","",Inventory!AS158)</f>
        <v/>
      </c>
      <c r="AB155" s="866"/>
    </row>
    <row r="156" spans="2:28" s="618" customFormat="1" ht="21.95" customHeight="1" x14ac:dyDescent="0.25">
      <c r="B156" s="432">
        <v>150</v>
      </c>
      <c r="C156" s="499" t="str">
        <f>IF(Inventory!C159="","",Inventory!C159)</f>
        <v/>
      </c>
      <c r="D156" s="751" t="str">
        <f>IF(Inventory!D159="","",Inventory!D159)</f>
        <v/>
      </c>
      <c r="E156" s="556" t="str">
        <f>IF(Inventory!W159="","",Inventory!W159)</f>
        <v/>
      </c>
      <c r="F156" s="785" t="str">
        <f>IF(Inventory!X159="","",Inventory!X159)</f>
        <v/>
      </c>
      <c r="G156" s="785" t="str">
        <f>IF(Inventory!Y159="","",Inventory!Y159)</f>
        <v/>
      </c>
      <c r="H156" s="767" t="str">
        <f>IF(Inventory!Z159="","",Inventory!Z159)</f>
        <v/>
      </c>
      <c r="I156" s="767" t="str">
        <f>IF(Inventory!AA159="","",Inventory!AA159)</f>
        <v/>
      </c>
      <c r="J156" s="767" t="str">
        <f>IF(Inventory!AB159="","",Inventory!AB159)</f>
        <v/>
      </c>
      <c r="K156" s="767" t="str">
        <f>IF(Inventory!AC159="","",Inventory!AC159)</f>
        <v/>
      </c>
      <c r="L156" s="776" t="str">
        <f>IF(Inventory!AD159="","",Inventory!AD159)</f>
        <v/>
      </c>
      <c r="M156" s="527">
        <f>IF(Inventory!AE159="","",Inventory!AE159)</f>
        <v>0</v>
      </c>
      <c r="N156" s="527">
        <f>IF(Inventory!AF159="","",Inventory!AF159)</f>
        <v>0</v>
      </c>
      <c r="O156" s="527">
        <f>IF(Inventory!AG159="","",Inventory!AG159)</f>
        <v>0</v>
      </c>
      <c r="P156" s="527">
        <f>IF(Inventory!AH159="","",Inventory!AH159)</f>
        <v>0</v>
      </c>
      <c r="Q156" s="527">
        <f>IF(Inventory!AI159="","",Inventory!AI159)</f>
        <v>0</v>
      </c>
      <c r="R156" s="527">
        <f>IF(Inventory!AJ159="","",Inventory!AJ159)</f>
        <v>999999999</v>
      </c>
      <c r="S156" s="777" t="str">
        <f>IF(Inventory!AK159="","",Inventory!AK159)</f>
        <v/>
      </c>
      <c r="T156" s="776" t="str">
        <f>IF(Inventory!AL159="","",Inventory!AL159)</f>
        <v/>
      </c>
      <c r="U156" s="777" t="str">
        <f>IF(Inventory!AM159="","",Inventory!AM159)</f>
        <v/>
      </c>
      <c r="V156" s="767" t="str">
        <f>IF(Inventory!AN159="","",Inventory!AN159)</f>
        <v/>
      </c>
      <c r="W156" s="778" t="str">
        <f>IF(Inventory!AO159="","",Inventory!AO159)</f>
        <v/>
      </c>
      <c r="X156" s="778" t="str">
        <f>IF(Inventory!AP159="","",Inventory!AP159)</f>
        <v/>
      </c>
      <c r="Y156" s="767" t="str">
        <f>IF(Inventory!AQ159="","",Inventory!AQ159)</f>
        <v/>
      </c>
      <c r="Z156" s="778" t="str">
        <f>IF(Inventory!AR159="","",Inventory!AR159)</f>
        <v/>
      </c>
      <c r="AA156" s="751" t="str">
        <f>IF(Inventory!AS159="","",Inventory!AS159)</f>
        <v/>
      </c>
      <c r="AB156" s="871"/>
    </row>
    <row r="157" spans="2:28" s="618" customFormat="1" ht="21.95" customHeight="1" x14ac:dyDescent="0.25">
      <c r="B157" s="431">
        <v>151</v>
      </c>
      <c r="C157" s="501" t="str">
        <f>IF(Inventory!C160="","",Inventory!C160)</f>
        <v/>
      </c>
      <c r="D157" s="502" t="str">
        <f>IF(Inventory!D160="","",Inventory!D160)</f>
        <v/>
      </c>
      <c r="E157" s="557" t="str">
        <f>IF(Inventory!W160="","",Inventory!W160)</f>
        <v/>
      </c>
      <c r="F157" s="788" t="str">
        <f>IF(Inventory!X160="","",Inventory!X160)</f>
        <v/>
      </c>
      <c r="G157" s="788" t="str">
        <f>IF(Inventory!Y160="","",Inventory!Y160)</f>
        <v/>
      </c>
      <c r="H157" s="729" t="str">
        <f>IF(Inventory!Z160="","",Inventory!Z160)</f>
        <v/>
      </c>
      <c r="I157" s="729" t="str">
        <f>IF(Inventory!AA160="","",Inventory!AA160)</f>
        <v/>
      </c>
      <c r="J157" s="729" t="str">
        <f>IF(Inventory!AB160="","",Inventory!AB160)</f>
        <v/>
      </c>
      <c r="K157" s="729" t="str">
        <f>IF(Inventory!AC160="","",Inventory!AC160)</f>
        <v/>
      </c>
      <c r="L157" s="765" t="str">
        <f>IF(Inventory!AD160="","",Inventory!AD160)</f>
        <v/>
      </c>
      <c r="M157" s="527">
        <f>IF(Inventory!AE160="","",Inventory!AE160)</f>
        <v>0</v>
      </c>
      <c r="N157" s="527">
        <f>IF(Inventory!AF160="","",Inventory!AF160)</f>
        <v>0</v>
      </c>
      <c r="O157" s="527">
        <f>IF(Inventory!AG160="","",Inventory!AG160)</f>
        <v>0</v>
      </c>
      <c r="P157" s="527">
        <f>IF(Inventory!AH160="","",Inventory!AH160)</f>
        <v>0</v>
      </c>
      <c r="Q157" s="527">
        <f>IF(Inventory!AI160="","",Inventory!AI160)</f>
        <v>0</v>
      </c>
      <c r="R157" s="527">
        <f>IF(Inventory!AJ160="","",Inventory!AJ160)</f>
        <v>999999999</v>
      </c>
      <c r="S157" s="758" t="str">
        <f>IF(Inventory!AK160="","",Inventory!AK160)</f>
        <v/>
      </c>
      <c r="T157" s="765" t="str">
        <f>IF(Inventory!AL160="","",Inventory!AL160)</f>
        <v/>
      </c>
      <c r="U157" s="758" t="str">
        <f>IF(Inventory!AM160="","",Inventory!AM160)</f>
        <v/>
      </c>
      <c r="V157" s="729" t="str">
        <f>IF(Inventory!AN160="","",Inventory!AN160)</f>
        <v/>
      </c>
      <c r="W157" s="775" t="str">
        <f>IF(Inventory!AO160="","",Inventory!AO160)</f>
        <v/>
      </c>
      <c r="X157" s="775" t="str">
        <f>IF(Inventory!AP160="","",Inventory!AP160)</f>
        <v/>
      </c>
      <c r="Y157" s="729" t="str">
        <f>IF(Inventory!AQ160="","",Inventory!AQ160)</f>
        <v/>
      </c>
      <c r="Z157" s="775" t="str">
        <f>IF(Inventory!AR160="","",Inventory!AR160)</f>
        <v/>
      </c>
      <c r="AA157" s="779" t="str">
        <f>IF(Inventory!AS160="","",Inventory!AS160)</f>
        <v/>
      </c>
      <c r="AB157" s="866"/>
    </row>
    <row r="158" spans="2:28" s="618" customFormat="1" ht="21.95" customHeight="1" x14ac:dyDescent="0.25">
      <c r="B158" s="432">
        <v>152</v>
      </c>
      <c r="C158" s="499" t="str">
        <f>IF(Inventory!C161="","",Inventory!C161)</f>
        <v/>
      </c>
      <c r="D158" s="751" t="str">
        <f>IF(Inventory!D161="","",Inventory!D161)</f>
        <v/>
      </c>
      <c r="E158" s="556" t="str">
        <f>IF(Inventory!W161="","",Inventory!W161)</f>
        <v/>
      </c>
      <c r="F158" s="785" t="str">
        <f>IF(Inventory!X161="","",Inventory!X161)</f>
        <v/>
      </c>
      <c r="G158" s="785" t="str">
        <f>IF(Inventory!Y161="","",Inventory!Y161)</f>
        <v/>
      </c>
      <c r="H158" s="767" t="str">
        <f>IF(Inventory!Z161="","",Inventory!Z161)</f>
        <v/>
      </c>
      <c r="I158" s="767" t="str">
        <f>IF(Inventory!AA161="","",Inventory!AA161)</f>
        <v/>
      </c>
      <c r="J158" s="767" t="str">
        <f>IF(Inventory!AB161="","",Inventory!AB161)</f>
        <v/>
      </c>
      <c r="K158" s="767" t="str">
        <f>IF(Inventory!AC161="","",Inventory!AC161)</f>
        <v/>
      </c>
      <c r="L158" s="776" t="str">
        <f>IF(Inventory!AD161="","",Inventory!AD161)</f>
        <v/>
      </c>
      <c r="M158" s="527">
        <f>IF(Inventory!AE161="","",Inventory!AE161)</f>
        <v>0</v>
      </c>
      <c r="N158" s="527">
        <f>IF(Inventory!AF161="","",Inventory!AF161)</f>
        <v>0</v>
      </c>
      <c r="O158" s="527">
        <f>IF(Inventory!AG161="","",Inventory!AG161)</f>
        <v>0</v>
      </c>
      <c r="P158" s="527">
        <f>IF(Inventory!AH161="","",Inventory!AH161)</f>
        <v>0</v>
      </c>
      <c r="Q158" s="527">
        <f>IF(Inventory!AI161="","",Inventory!AI161)</f>
        <v>0</v>
      </c>
      <c r="R158" s="527">
        <f>IF(Inventory!AJ161="","",Inventory!AJ161)</f>
        <v>999999999</v>
      </c>
      <c r="S158" s="777" t="str">
        <f>IF(Inventory!AK161="","",Inventory!AK161)</f>
        <v/>
      </c>
      <c r="T158" s="776" t="str">
        <f>IF(Inventory!AL161="","",Inventory!AL161)</f>
        <v/>
      </c>
      <c r="U158" s="777" t="str">
        <f>IF(Inventory!AM161="","",Inventory!AM161)</f>
        <v/>
      </c>
      <c r="V158" s="767" t="str">
        <f>IF(Inventory!AN161="","",Inventory!AN161)</f>
        <v/>
      </c>
      <c r="W158" s="778" t="str">
        <f>IF(Inventory!AO161="","",Inventory!AO161)</f>
        <v/>
      </c>
      <c r="X158" s="778" t="str">
        <f>IF(Inventory!AP161="","",Inventory!AP161)</f>
        <v/>
      </c>
      <c r="Y158" s="767" t="str">
        <f>IF(Inventory!AQ161="","",Inventory!AQ161)</f>
        <v/>
      </c>
      <c r="Z158" s="778" t="str">
        <f>IF(Inventory!AR161="","",Inventory!AR161)</f>
        <v/>
      </c>
      <c r="AA158" s="751" t="str">
        <f>IF(Inventory!AS161="","",Inventory!AS161)</f>
        <v/>
      </c>
      <c r="AB158" s="871"/>
    </row>
    <row r="159" spans="2:28" s="618" customFormat="1" ht="21.95" customHeight="1" x14ac:dyDescent="0.25">
      <c r="B159" s="431">
        <v>153</v>
      </c>
      <c r="C159" s="501" t="str">
        <f>IF(Inventory!C162="","",Inventory!C162)</f>
        <v/>
      </c>
      <c r="D159" s="502" t="str">
        <f>IF(Inventory!D162="","",Inventory!D162)</f>
        <v/>
      </c>
      <c r="E159" s="557" t="str">
        <f>IF(Inventory!W162="","",Inventory!W162)</f>
        <v/>
      </c>
      <c r="F159" s="788" t="str">
        <f>IF(Inventory!X162="","",Inventory!X162)</f>
        <v/>
      </c>
      <c r="G159" s="788" t="str">
        <f>IF(Inventory!Y162="","",Inventory!Y162)</f>
        <v/>
      </c>
      <c r="H159" s="729" t="str">
        <f>IF(Inventory!Z162="","",Inventory!Z162)</f>
        <v/>
      </c>
      <c r="I159" s="729" t="str">
        <f>IF(Inventory!AA162="","",Inventory!AA162)</f>
        <v/>
      </c>
      <c r="J159" s="729" t="str">
        <f>IF(Inventory!AB162="","",Inventory!AB162)</f>
        <v/>
      </c>
      <c r="K159" s="729" t="str">
        <f>IF(Inventory!AC162="","",Inventory!AC162)</f>
        <v/>
      </c>
      <c r="L159" s="765" t="str">
        <f>IF(Inventory!AD162="","",Inventory!AD162)</f>
        <v/>
      </c>
      <c r="M159" s="527">
        <f>IF(Inventory!AE162="","",Inventory!AE162)</f>
        <v>0</v>
      </c>
      <c r="N159" s="527">
        <f>IF(Inventory!AF162="","",Inventory!AF162)</f>
        <v>0</v>
      </c>
      <c r="O159" s="527">
        <f>IF(Inventory!AG162="","",Inventory!AG162)</f>
        <v>0</v>
      </c>
      <c r="P159" s="527">
        <f>IF(Inventory!AH162="","",Inventory!AH162)</f>
        <v>0</v>
      </c>
      <c r="Q159" s="527">
        <f>IF(Inventory!AI162="","",Inventory!AI162)</f>
        <v>0</v>
      </c>
      <c r="R159" s="527">
        <f>IF(Inventory!AJ162="","",Inventory!AJ162)</f>
        <v>999999999</v>
      </c>
      <c r="S159" s="758" t="str">
        <f>IF(Inventory!AK162="","",Inventory!AK162)</f>
        <v/>
      </c>
      <c r="T159" s="765" t="str">
        <f>IF(Inventory!AL162="","",Inventory!AL162)</f>
        <v/>
      </c>
      <c r="U159" s="758" t="str">
        <f>IF(Inventory!AM162="","",Inventory!AM162)</f>
        <v/>
      </c>
      <c r="V159" s="729" t="str">
        <f>IF(Inventory!AN162="","",Inventory!AN162)</f>
        <v/>
      </c>
      <c r="W159" s="775" t="str">
        <f>IF(Inventory!AO162="","",Inventory!AO162)</f>
        <v/>
      </c>
      <c r="X159" s="775" t="str">
        <f>IF(Inventory!AP162="","",Inventory!AP162)</f>
        <v/>
      </c>
      <c r="Y159" s="729" t="str">
        <f>IF(Inventory!AQ162="","",Inventory!AQ162)</f>
        <v/>
      </c>
      <c r="Z159" s="775" t="str">
        <f>IF(Inventory!AR162="","",Inventory!AR162)</f>
        <v/>
      </c>
      <c r="AA159" s="779" t="str">
        <f>IF(Inventory!AS162="","",Inventory!AS162)</f>
        <v/>
      </c>
      <c r="AB159" s="866"/>
    </row>
    <row r="160" spans="2:28" s="618" customFormat="1" ht="21.95" customHeight="1" x14ac:dyDescent="0.25">
      <c r="B160" s="432">
        <v>154</v>
      </c>
      <c r="C160" s="499" t="str">
        <f>IF(Inventory!C163="","",Inventory!C163)</f>
        <v/>
      </c>
      <c r="D160" s="751" t="str">
        <f>IF(Inventory!D163="","",Inventory!D163)</f>
        <v/>
      </c>
      <c r="E160" s="556" t="str">
        <f>IF(Inventory!W163="","",Inventory!W163)</f>
        <v/>
      </c>
      <c r="F160" s="785" t="str">
        <f>IF(Inventory!X163="","",Inventory!X163)</f>
        <v/>
      </c>
      <c r="G160" s="785" t="str">
        <f>IF(Inventory!Y163="","",Inventory!Y163)</f>
        <v/>
      </c>
      <c r="H160" s="767" t="str">
        <f>IF(Inventory!Z163="","",Inventory!Z163)</f>
        <v/>
      </c>
      <c r="I160" s="767" t="str">
        <f>IF(Inventory!AA163="","",Inventory!AA163)</f>
        <v/>
      </c>
      <c r="J160" s="767" t="str">
        <f>IF(Inventory!AB163="","",Inventory!AB163)</f>
        <v/>
      </c>
      <c r="K160" s="767" t="str">
        <f>IF(Inventory!AC163="","",Inventory!AC163)</f>
        <v/>
      </c>
      <c r="L160" s="776" t="str">
        <f>IF(Inventory!AD163="","",Inventory!AD163)</f>
        <v/>
      </c>
      <c r="M160" s="527">
        <f>IF(Inventory!AE163="","",Inventory!AE163)</f>
        <v>0</v>
      </c>
      <c r="N160" s="527">
        <f>IF(Inventory!AF163="","",Inventory!AF163)</f>
        <v>0</v>
      </c>
      <c r="O160" s="527">
        <f>IF(Inventory!AG163="","",Inventory!AG163)</f>
        <v>0</v>
      </c>
      <c r="P160" s="527">
        <f>IF(Inventory!AH163="","",Inventory!AH163)</f>
        <v>0</v>
      </c>
      <c r="Q160" s="527">
        <f>IF(Inventory!AI163="","",Inventory!AI163)</f>
        <v>0</v>
      </c>
      <c r="R160" s="527">
        <f>IF(Inventory!AJ163="","",Inventory!AJ163)</f>
        <v>999999999</v>
      </c>
      <c r="S160" s="777" t="str">
        <f>IF(Inventory!AK163="","",Inventory!AK163)</f>
        <v/>
      </c>
      <c r="T160" s="776" t="str">
        <f>IF(Inventory!AL163="","",Inventory!AL163)</f>
        <v/>
      </c>
      <c r="U160" s="777" t="str">
        <f>IF(Inventory!AM163="","",Inventory!AM163)</f>
        <v/>
      </c>
      <c r="V160" s="767" t="str">
        <f>IF(Inventory!AN163="","",Inventory!AN163)</f>
        <v/>
      </c>
      <c r="W160" s="778" t="str">
        <f>IF(Inventory!AO163="","",Inventory!AO163)</f>
        <v/>
      </c>
      <c r="X160" s="778" t="str">
        <f>IF(Inventory!AP163="","",Inventory!AP163)</f>
        <v/>
      </c>
      <c r="Y160" s="767" t="str">
        <f>IF(Inventory!AQ163="","",Inventory!AQ163)</f>
        <v/>
      </c>
      <c r="Z160" s="778" t="str">
        <f>IF(Inventory!AR163="","",Inventory!AR163)</f>
        <v/>
      </c>
      <c r="AA160" s="751" t="str">
        <f>IF(Inventory!AS163="","",Inventory!AS163)</f>
        <v/>
      </c>
      <c r="AB160" s="871"/>
    </row>
    <row r="161" spans="2:28" s="618" customFormat="1" ht="21.95" customHeight="1" x14ac:dyDescent="0.25">
      <c r="B161" s="431">
        <v>155</v>
      </c>
      <c r="C161" s="501" t="str">
        <f>IF(Inventory!C164="","",Inventory!C164)</f>
        <v/>
      </c>
      <c r="D161" s="502" t="str">
        <f>IF(Inventory!D164="","",Inventory!D164)</f>
        <v/>
      </c>
      <c r="E161" s="557" t="str">
        <f>IF(Inventory!W164="","",Inventory!W164)</f>
        <v/>
      </c>
      <c r="F161" s="788" t="str">
        <f>IF(Inventory!X164="","",Inventory!X164)</f>
        <v/>
      </c>
      <c r="G161" s="788" t="str">
        <f>IF(Inventory!Y164="","",Inventory!Y164)</f>
        <v/>
      </c>
      <c r="H161" s="729" t="str">
        <f>IF(Inventory!Z164="","",Inventory!Z164)</f>
        <v/>
      </c>
      <c r="I161" s="729" t="str">
        <f>IF(Inventory!AA164="","",Inventory!AA164)</f>
        <v/>
      </c>
      <c r="J161" s="729" t="str">
        <f>IF(Inventory!AB164="","",Inventory!AB164)</f>
        <v/>
      </c>
      <c r="K161" s="729" t="str">
        <f>IF(Inventory!AC164="","",Inventory!AC164)</f>
        <v/>
      </c>
      <c r="L161" s="765" t="str">
        <f>IF(Inventory!AD164="","",Inventory!AD164)</f>
        <v/>
      </c>
      <c r="M161" s="527">
        <f>IF(Inventory!AE164="","",Inventory!AE164)</f>
        <v>0</v>
      </c>
      <c r="N161" s="527">
        <f>IF(Inventory!AF164="","",Inventory!AF164)</f>
        <v>0</v>
      </c>
      <c r="O161" s="527">
        <f>IF(Inventory!AG164="","",Inventory!AG164)</f>
        <v>0</v>
      </c>
      <c r="P161" s="527">
        <f>IF(Inventory!AH164="","",Inventory!AH164)</f>
        <v>0</v>
      </c>
      <c r="Q161" s="527">
        <f>IF(Inventory!AI164="","",Inventory!AI164)</f>
        <v>0</v>
      </c>
      <c r="R161" s="527">
        <f>IF(Inventory!AJ164="","",Inventory!AJ164)</f>
        <v>999999999</v>
      </c>
      <c r="S161" s="758" t="str">
        <f>IF(Inventory!AK164="","",Inventory!AK164)</f>
        <v/>
      </c>
      <c r="T161" s="765" t="str">
        <f>IF(Inventory!AL164="","",Inventory!AL164)</f>
        <v/>
      </c>
      <c r="U161" s="758" t="str">
        <f>IF(Inventory!AM164="","",Inventory!AM164)</f>
        <v/>
      </c>
      <c r="V161" s="729" t="str">
        <f>IF(Inventory!AN164="","",Inventory!AN164)</f>
        <v/>
      </c>
      <c r="W161" s="775" t="str">
        <f>IF(Inventory!AO164="","",Inventory!AO164)</f>
        <v/>
      </c>
      <c r="X161" s="775" t="str">
        <f>IF(Inventory!AP164="","",Inventory!AP164)</f>
        <v/>
      </c>
      <c r="Y161" s="729" t="str">
        <f>IF(Inventory!AQ164="","",Inventory!AQ164)</f>
        <v/>
      </c>
      <c r="Z161" s="775" t="str">
        <f>IF(Inventory!AR164="","",Inventory!AR164)</f>
        <v/>
      </c>
      <c r="AA161" s="779" t="str">
        <f>IF(Inventory!AS164="","",Inventory!AS164)</f>
        <v/>
      </c>
      <c r="AB161" s="866"/>
    </row>
    <row r="162" spans="2:28" s="618" customFormat="1" ht="21.95" customHeight="1" x14ac:dyDescent="0.25">
      <c r="B162" s="432">
        <v>156</v>
      </c>
      <c r="C162" s="499" t="str">
        <f>IF(Inventory!C165="","",Inventory!C165)</f>
        <v/>
      </c>
      <c r="D162" s="751" t="str">
        <f>IF(Inventory!D165="","",Inventory!D165)</f>
        <v/>
      </c>
      <c r="E162" s="556" t="str">
        <f>IF(Inventory!W165="","",Inventory!W165)</f>
        <v/>
      </c>
      <c r="F162" s="785" t="str">
        <f>IF(Inventory!X165="","",Inventory!X165)</f>
        <v/>
      </c>
      <c r="G162" s="785" t="str">
        <f>IF(Inventory!Y165="","",Inventory!Y165)</f>
        <v/>
      </c>
      <c r="H162" s="767" t="str">
        <f>IF(Inventory!Z165="","",Inventory!Z165)</f>
        <v/>
      </c>
      <c r="I162" s="767" t="str">
        <f>IF(Inventory!AA165="","",Inventory!AA165)</f>
        <v/>
      </c>
      <c r="J162" s="767" t="str">
        <f>IF(Inventory!AB165="","",Inventory!AB165)</f>
        <v/>
      </c>
      <c r="K162" s="767" t="str">
        <f>IF(Inventory!AC165="","",Inventory!AC165)</f>
        <v/>
      </c>
      <c r="L162" s="776" t="str">
        <f>IF(Inventory!AD165="","",Inventory!AD165)</f>
        <v/>
      </c>
      <c r="M162" s="527">
        <f>IF(Inventory!AE165="","",Inventory!AE165)</f>
        <v>0</v>
      </c>
      <c r="N162" s="527">
        <f>IF(Inventory!AF165="","",Inventory!AF165)</f>
        <v>0</v>
      </c>
      <c r="O162" s="527">
        <f>IF(Inventory!AG165="","",Inventory!AG165)</f>
        <v>0</v>
      </c>
      <c r="P162" s="527">
        <f>IF(Inventory!AH165="","",Inventory!AH165)</f>
        <v>0</v>
      </c>
      <c r="Q162" s="527">
        <f>IF(Inventory!AI165="","",Inventory!AI165)</f>
        <v>0</v>
      </c>
      <c r="R162" s="527">
        <f>IF(Inventory!AJ165="","",Inventory!AJ165)</f>
        <v>999999999</v>
      </c>
      <c r="S162" s="777" t="str">
        <f>IF(Inventory!AK165="","",Inventory!AK165)</f>
        <v/>
      </c>
      <c r="T162" s="776" t="str">
        <f>IF(Inventory!AL165="","",Inventory!AL165)</f>
        <v/>
      </c>
      <c r="U162" s="777" t="str">
        <f>IF(Inventory!AM165="","",Inventory!AM165)</f>
        <v/>
      </c>
      <c r="V162" s="767" t="str">
        <f>IF(Inventory!AN165="","",Inventory!AN165)</f>
        <v/>
      </c>
      <c r="W162" s="778" t="str">
        <f>IF(Inventory!AO165="","",Inventory!AO165)</f>
        <v/>
      </c>
      <c r="X162" s="778" t="str">
        <f>IF(Inventory!AP165="","",Inventory!AP165)</f>
        <v/>
      </c>
      <c r="Y162" s="767" t="str">
        <f>IF(Inventory!AQ165="","",Inventory!AQ165)</f>
        <v/>
      </c>
      <c r="Z162" s="778" t="str">
        <f>IF(Inventory!AR165="","",Inventory!AR165)</f>
        <v/>
      </c>
      <c r="AA162" s="751" t="str">
        <f>IF(Inventory!AS165="","",Inventory!AS165)</f>
        <v/>
      </c>
      <c r="AB162" s="871"/>
    </row>
    <row r="163" spans="2:28" s="618" customFormat="1" ht="21.95" customHeight="1" x14ac:dyDescent="0.25">
      <c r="B163" s="431">
        <v>157</v>
      </c>
      <c r="C163" s="501" t="str">
        <f>IF(Inventory!C166="","",Inventory!C166)</f>
        <v/>
      </c>
      <c r="D163" s="502" t="str">
        <f>IF(Inventory!D166="","",Inventory!D166)</f>
        <v/>
      </c>
      <c r="E163" s="557" t="str">
        <f>IF(Inventory!W166="","",Inventory!W166)</f>
        <v/>
      </c>
      <c r="F163" s="788" t="str">
        <f>IF(Inventory!X166="","",Inventory!X166)</f>
        <v/>
      </c>
      <c r="G163" s="788" t="str">
        <f>IF(Inventory!Y166="","",Inventory!Y166)</f>
        <v/>
      </c>
      <c r="H163" s="729" t="str">
        <f>IF(Inventory!Z166="","",Inventory!Z166)</f>
        <v/>
      </c>
      <c r="I163" s="729" t="str">
        <f>IF(Inventory!AA166="","",Inventory!AA166)</f>
        <v/>
      </c>
      <c r="J163" s="729" t="str">
        <f>IF(Inventory!AB166="","",Inventory!AB166)</f>
        <v/>
      </c>
      <c r="K163" s="729" t="str">
        <f>IF(Inventory!AC166="","",Inventory!AC166)</f>
        <v/>
      </c>
      <c r="L163" s="765" t="str">
        <f>IF(Inventory!AD166="","",Inventory!AD166)</f>
        <v/>
      </c>
      <c r="M163" s="527">
        <f>IF(Inventory!AE166="","",Inventory!AE166)</f>
        <v>0</v>
      </c>
      <c r="N163" s="527">
        <f>IF(Inventory!AF166="","",Inventory!AF166)</f>
        <v>0</v>
      </c>
      <c r="O163" s="527">
        <f>IF(Inventory!AG166="","",Inventory!AG166)</f>
        <v>0</v>
      </c>
      <c r="P163" s="527">
        <f>IF(Inventory!AH166="","",Inventory!AH166)</f>
        <v>0</v>
      </c>
      <c r="Q163" s="527">
        <f>IF(Inventory!AI166="","",Inventory!AI166)</f>
        <v>0</v>
      </c>
      <c r="R163" s="527">
        <f>IF(Inventory!AJ166="","",Inventory!AJ166)</f>
        <v>999999999</v>
      </c>
      <c r="S163" s="758" t="str">
        <f>IF(Inventory!AK166="","",Inventory!AK166)</f>
        <v/>
      </c>
      <c r="T163" s="765" t="str">
        <f>IF(Inventory!AL166="","",Inventory!AL166)</f>
        <v/>
      </c>
      <c r="U163" s="758" t="str">
        <f>IF(Inventory!AM166="","",Inventory!AM166)</f>
        <v/>
      </c>
      <c r="V163" s="729" t="str">
        <f>IF(Inventory!AN166="","",Inventory!AN166)</f>
        <v/>
      </c>
      <c r="W163" s="775" t="str">
        <f>IF(Inventory!AO166="","",Inventory!AO166)</f>
        <v/>
      </c>
      <c r="X163" s="775" t="str">
        <f>IF(Inventory!AP166="","",Inventory!AP166)</f>
        <v/>
      </c>
      <c r="Y163" s="729" t="str">
        <f>IF(Inventory!AQ166="","",Inventory!AQ166)</f>
        <v/>
      </c>
      <c r="Z163" s="775" t="str">
        <f>IF(Inventory!AR166="","",Inventory!AR166)</f>
        <v/>
      </c>
      <c r="AA163" s="779" t="str">
        <f>IF(Inventory!AS166="","",Inventory!AS166)</f>
        <v/>
      </c>
      <c r="AB163" s="866"/>
    </row>
    <row r="164" spans="2:28" s="618" customFormat="1" ht="21.95" customHeight="1" x14ac:dyDescent="0.25">
      <c r="B164" s="432">
        <v>158</v>
      </c>
      <c r="C164" s="499" t="str">
        <f>IF(Inventory!C167="","",Inventory!C167)</f>
        <v/>
      </c>
      <c r="D164" s="751" t="str">
        <f>IF(Inventory!D167="","",Inventory!D167)</f>
        <v/>
      </c>
      <c r="E164" s="556" t="str">
        <f>IF(Inventory!W167="","",Inventory!W167)</f>
        <v/>
      </c>
      <c r="F164" s="785" t="str">
        <f>IF(Inventory!X167="","",Inventory!X167)</f>
        <v/>
      </c>
      <c r="G164" s="785" t="str">
        <f>IF(Inventory!Y167="","",Inventory!Y167)</f>
        <v/>
      </c>
      <c r="H164" s="767" t="str">
        <f>IF(Inventory!Z167="","",Inventory!Z167)</f>
        <v/>
      </c>
      <c r="I164" s="767" t="str">
        <f>IF(Inventory!AA167="","",Inventory!AA167)</f>
        <v/>
      </c>
      <c r="J164" s="767" t="str">
        <f>IF(Inventory!AB167="","",Inventory!AB167)</f>
        <v/>
      </c>
      <c r="K164" s="767" t="str">
        <f>IF(Inventory!AC167="","",Inventory!AC167)</f>
        <v/>
      </c>
      <c r="L164" s="776" t="str">
        <f>IF(Inventory!AD167="","",Inventory!AD167)</f>
        <v/>
      </c>
      <c r="M164" s="527">
        <f>IF(Inventory!AE167="","",Inventory!AE167)</f>
        <v>0</v>
      </c>
      <c r="N164" s="527">
        <f>IF(Inventory!AF167="","",Inventory!AF167)</f>
        <v>0</v>
      </c>
      <c r="O164" s="527">
        <f>IF(Inventory!AG167="","",Inventory!AG167)</f>
        <v>0</v>
      </c>
      <c r="P164" s="527">
        <f>IF(Inventory!AH167="","",Inventory!AH167)</f>
        <v>0</v>
      </c>
      <c r="Q164" s="527">
        <f>IF(Inventory!AI167="","",Inventory!AI167)</f>
        <v>0</v>
      </c>
      <c r="R164" s="527">
        <f>IF(Inventory!AJ167="","",Inventory!AJ167)</f>
        <v>999999999</v>
      </c>
      <c r="S164" s="777" t="str">
        <f>IF(Inventory!AK167="","",Inventory!AK167)</f>
        <v/>
      </c>
      <c r="T164" s="776" t="str">
        <f>IF(Inventory!AL167="","",Inventory!AL167)</f>
        <v/>
      </c>
      <c r="U164" s="777" t="str">
        <f>IF(Inventory!AM167="","",Inventory!AM167)</f>
        <v/>
      </c>
      <c r="V164" s="767" t="str">
        <f>IF(Inventory!AN167="","",Inventory!AN167)</f>
        <v/>
      </c>
      <c r="W164" s="778" t="str">
        <f>IF(Inventory!AO167="","",Inventory!AO167)</f>
        <v/>
      </c>
      <c r="X164" s="778" t="str">
        <f>IF(Inventory!AP167="","",Inventory!AP167)</f>
        <v/>
      </c>
      <c r="Y164" s="767" t="str">
        <f>IF(Inventory!AQ167="","",Inventory!AQ167)</f>
        <v/>
      </c>
      <c r="Z164" s="778" t="str">
        <f>IF(Inventory!AR167="","",Inventory!AR167)</f>
        <v/>
      </c>
      <c r="AA164" s="751" t="str">
        <f>IF(Inventory!AS167="","",Inventory!AS167)</f>
        <v/>
      </c>
      <c r="AB164" s="871"/>
    </row>
    <row r="165" spans="2:28" s="618" customFormat="1" ht="21.95" customHeight="1" x14ac:dyDescent="0.25">
      <c r="B165" s="431">
        <v>159</v>
      </c>
      <c r="C165" s="501" t="str">
        <f>IF(Inventory!C168="","",Inventory!C168)</f>
        <v/>
      </c>
      <c r="D165" s="502" t="str">
        <f>IF(Inventory!D168="","",Inventory!D168)</f>
        <v/>
      </c>
      <c r="E165" s="557" t="str">
        <f>IF(Inventory!W168="","",Inventory!W168)</f>
        <v/>
      </c>
      <c r="F165" s="788" t="str">
        <f>IF(Inventory!X168="","",Inventory!X168)</f>
        <v/>
      </c>
      <c r="G165" s="788" t="str">
        <f>IF(Inventory!Y168="","",Inventory!Y168)</f>
        <v/>
      </c>
      <c r="H165" s="729" t="str">
        <f>IF(Inventory!Z168="","",Inventory!Z168)</f>
        <v/>
      </c>
      <c r="I165" s="729" t="str">
        <f>IF(Inventory!AA168="","",Inventory!AA168)</f>
        <v/>
      </c>
      <c r="J165" s="729" t="str">
        <f>IF(Inventory!AB168="","",Inventory!AB168)</f>
        <v/>
      </c>
      <c r="K165" s="729" t="str">
        <f>IF(Inventory!AC168="","",Inventory!AC168)</f>
        <v/>
      </c>
      <c r="L165" s="765" t="str">
        <f>IF(Inventory!AD168="","",Inventory!AD168)</f>
        <v/>
      </c>
      <c r="M165" s="527">
        <f>IF(Inventory!AE168="","",Inventory!AE168)</f>
        <v>0</v>
      </c>
      <c r="N165" s="527">
        <f>IF(Inventory!AF168="","",Inventory!AF168)</f>
        <v>0</v>
      </c>
      <c r="O165" s="527">
        <f>IF(Inventory!AG168="","",Inventory!AG168)</f>
        <v>0</v>
      </c>
      <c r="P165" s="527">
        <f>IF(Inventory!AH168="","",Inventory!AH168)</f>
        <v>0</v>
      </c>
      <c r="Q165" s="527">
        <f>IF(Inventory!AI168="","",Inventory!AI168)</f>
        <v>0</v>
      </c>
      <c r="R165" s="527">
        <f>IF(Inventory!AJ168="","",Inventory!AJ168)</f>
        <v>999999999</v>
      </c>
      <c r="S165" s="758" t="str">
        <f>IF(Inventory!AK168="","",Inventory!AK168)</f>
        <v/>
      </c>
      <c r="T165" s="765" t="str">
        <f>IF(Inventory!AL168="","",Inventory!AL168)</f>
        <v/>
      </c>
      <c r="U165" s="758" t="str">
        <f>IF(Inventory!AM168="","",Inventory!AM168)</f>
        <v/>
      </c>
      <c r="V165" s="729" t="str">
        <f>IF(Inventory!AN168="","",Inventory!AN168)</f>
        <v/>
      </c>
      <c r="W165" s="775" t="str">
        <f>IF(Inventory!AO168="","",Inventory!AO168)</f>
        <v/>
      </c>
      <c r="X165" s="775" t="str">
        <f>IF(Inventory!AP168="","",Inventory!AP168)</f>
        <v/>
      </c>
      <c r="Y165" s="729" t="str">
        <f>IF(Inventory!AQ168="","",Inventory!AQ168)</f>
        <v/>
      </c>
      <c r="Z165" s="775" t="str">
        <f>IF(Inventory!AR168="","",Inventory!AR168)</f>
        <v/>
      </c>
      <c r="AA165" s="779" t="str">
        <f>IF(Inventory!AS168="","",Inventory!AS168)</f>
        <v/>
      </c>
      <c r="AB165" s="866"/>
    </row>
    <row r="166" spans="2:28" s="618" customFormat="1" ht="21.95" customHeight="1" x14ac:dyDescent="0.25">
      <c r="B166" s="432">
        <v>160</v>
      </c>
      <c r="C166" s="499" t="str">
        <f>IF(Inventory!C169="","",Inventory!C169)</f>
        <v/>
      </c>
      <c r="D166" s="751" t="str">
        <f>IF(Inventory!D169="","",Inventory!D169)</f>
        <v/>
      </c>
      <c r="E166" s="556" t="str">
        <f>IF(Inventory!W169="","",Inventory!W169)</f>
        <v/>
      </c>
      <c r="F166" s="785" t="str">
        <f>IF(Inventory!X169="","",Inventory!X169)</f>
        <v/>
      </c>
      <c r="G166" s="785" t="str">
        <f>IF(Inventory!Y169="","",Inventory!Y169)</f>
        <v/>
      </c>
      <c r="H166" s="767" t="str">
        <f>IF(Inventory!Z169="","",Inventory!Z169)</f>
        <v/>
      </c>
      <c r="I166" s="767" t="str">
        <f>IF(Inventory!AA169="","",Inventory!AA169)</f>
        <v/>
      </c>
      <c r="J166" s="767" t="str">
        <f>IF(Inventory!AB169="","",Inventory!AB169)</f>
        <v/>
      </c>
      <c r="K166" s="767" t="str">
        <f>IF(Inventory!AC169="","",Inventory!AC169)</f>
        <v/>
      </c>
      <c r="L166" s="776" t="str">
        <f>IF(Inventory!AD169="","",Inventory!AD169)</f>
        <v/>
      </c>
      <c r="M166" s="527">
        <f>IF(Inventory!AE169="","",Inventory!AE169)</f>
        <v>0</v>
      </c>
      <c r="N166" s="527">
        <f>IF(Inventory!AF169="","",Inventory!AF169)</f>
        <v>0</v>
      </c>
      <c r="O166" s="527">
        <f>IF(Inventory!AG169="","",Inventory!AG169)</f>
        <v>0</v>
      </c>
      <c r="P166" s="527">
        <f>IF(Inventory!AH169="","",Inventory!AH169)</f>
        <v>0</v>
      </c>
      <c r="Q166" s="527">
        <f>IF(Inventory!AI169="","",Inventory!AI169)</f>
        <v>0</v>
      </c>
      <c r="R166" s="527">
        <f>IF(Inventory!AJ169="","",Inventory!AJ169)</f>
        <v>999999999</v>
      </c>
      <c r="S166" s="777" t="str">
        <f>IF(Inventory!AK169="","",Inventory!AK169)</f>
        <v/>
      </c>
      <c r="T166" s="776" t="str">
        <f>IF(Inventory!AL169="","",Inventory!AL169)</f>
        <v/>
      </c>
      <c r="U166" s="777" t="str">
        <f>IF(Inventory!AM169="","",Inventory!AM169)</f>
        <v/>
      </c>
      <c r="V166" s="767" t="str">
        <f>IF(Inventory!AN169="","",Inventory!AN169)</f>
        <v/>
      </c>
      <c r="W166" s="778" t="str">
        <f>IF(Inventory!AO169="","",Inventory!AO169)</f>
        <v/>
      </c>
      <c r="X166" s="778" t="str">
        <f>IF(Inventory!AP169="","",Inventory!AP169)</f>
        <v/>
      </c>
      <c r="Y166" s="767" t="str">
        <f>IF(Inventory!AQ169="","",Inventory!AQ169)</f>
        <v/>
      </c>
      <c r="Z166" s="778" t="str">
        <f>IF(Inventory!AR169="","",Inventory!AR169)</f>
        <v/>
      </c>
      <c r="AA166" s="751" t="str">
        <f>IF(Inventory!AS169="","",Inventory!AS169)</f>
        <v/>
      </c>
      <c r="AB166" s="871"/>
    </row>
    <row r="167" spans="2:28" s="618" customFormat="1" ht="21.95" customHeight="1" x14ac:dyDescent="0.25">
      <c r="B167" s="431">
        <v>161</v>
      </c>
      <c r="C167" s="501" t="str">
        <f>IF(Inventory!C170="","",Inventory!C170)</f>
        <v/>
      </c>
      <c r="D167" s="502" t="str">
        <f>IF(Inventory!D170="","",Inventory!D170)</f>
        <v/>
      </c>
      <c r="E167" s="557" t="str">
        <f>IF(Inventory!W170="","",Inventory!W170)</f>
        <v/>
      </c>
      <c r="F167" s="788" t="str">
        <f>IF(Inventory!X170="","",Inventory!X170)</f>
        <v/>
      </c>
      <c r="G167" s="788" t="str">
        <f>IF(Inventory!Y170="","",Inventory!Y170)</f>
        <v/>
      </c>
      <c r="H167" s="729" t="str">
        <f>IF(Inventory!Z170="","",Inventory!Z170)</f>
        <v/>
      </c>
      <c r="I167" s="729" t="str">
        <f>IF(Inventory!AA170="","",Inventory!AA170)</f>
        <v/>
      </c>
      <c r="J167" s="729" t="str">
        <f>IF(Inventory!AB170="","",Inventory!AB170)</f>
        <v/>
      </c>
      <c r="K167" s="729" t="str">
        <f>IF(Inventory!AC170="","",Inventory!AC170)</f>
        <v/>
      </c>
      <c r="L167" s="765" t="str">
        <f>IF(Inventory!AD170="","",Inventory!AD170)</f>
        <v/>
      </c>
      <c r="M167" s="527">
        <f>IF(Inventory!AE170="","",Inventory!AE170)</f>
        <v>0</v>
      </c>
      <c r="N167" s="527">
        <f>IF(Inventory!AF170="","",Inventory!AF170)</f>
        <v>0</v>
      </c>
      <c r="O167" s="527">
        <f>IF(Inventory!AG170="","",Inventory!AG170)</f>
        <v>0</v>
      </c>
      <c r="P167" s="527">
        <f>IF(Inventory!AH170="","",Inventory!AH170)</f>
        <v>0</v>
      </c>
      <c r="Q167" s="527">
        <f>IF(Inventory!AI170="","",Inventory!AI170)</f>
        <v>0</v>
      </c>
      <c r="R167" s="527">
        <f>IF(Inventory!AJ170="","",Inventory!AJ170)</f>
        <v>999999999</v>
      </c>
      <c r="S167" s="758" t="str">
        <f>IF(Inventory!AK170="","",Inventory!AK170)</f>
        <v/>
      </c>
      <c r="T167" s="765" t="str">
        <f>IF(Inventory!AL170="","",Inventory!AL170)</f>
        <v/>
      </c>
      <c r="U167" s="758" t="str">
        <f>IF(Inventory!AM170="","",Inventory!AM170)</f>
        <v/>
      </c>
      <c r="V167" s="729" t="str">
        <f>IF(Inventory!AN170="","",Inventory!AN170)</f>
        <v/>
      </c>
      <c r="W167" s="775" t="str">
        <f>IF(Inventory!AO170="","",Inventory!AO170)</f>
        <v/>
      </c>
      <c r="X167" s="775" t="str">
        <f>IF(Inventory!AP170="","",Inventory!AP170)</f>
        <v/>
      </c>
      <c r="Y167" s="729" t="str">
        <f>IF(Inventory!AQ170="","",Inventory!AQ170)</f>
        <v/>
      </c>
      <c r="Z167" s="775" t="str">
        <f>IF(Inventory!AR170="","",Inventory!AR170)</f>
        <v/>
      </c>
      <c r="AA167" s="779" t="str">
        <f>IF(Inventory!AS170="","",Inventory!AS170)</f>
        <v/>
      </c>
      <c r="AB167" s="866"/>
    </row>
    <row r="168" spans="2:28" s="618" customFormat="1" ht="21.95" customHeight="1" x14ac:dyDescent="0.25">
      <c r="B168" s="432">
        <v>162</v>
      </c>
      <c r="C168" s="499" t="str">
        <f>IF(Inventory!C171="","",Inventory!C171)</f>
        <v/>
      </c>
      <c r="D168" s="751" t="str">
        <f>IF(Inventory!D171="","",Inventory!D171)</f>
        <v/>
      </c>
      <c r="E168" s="556" t="str">
        <f>IF(Inventory!W171="","",Inventory!W171)</f>
        <v/>
      </c>
      <c r="F168" s="785" t="str">
        <f>IF(Inventory!X171="","",Inventory!X171)</f>
        <v/>
      </c>
      <c r="G168" s="785" t="str">
        <f>IF(Inventory!Y171="","",Inventory!Y171)</f>
        <v/>
      </c>
      <c r="H168" s="767" t="str">
        <f>IF(Inventory!Z171="","",Inventory!Z171)</f>
        <v/>
      </c>
      <c r="I168" s="767" t="str">
        <f>IF(Inventory!AA171="","",Inventory!AA171)</f>
        <v/>
      </c>
      <c r="J168" s="767" t="str">
        <f>IF(Inventory!AB171="","",Inventory!AB171)</f>
        <v/>
      </c>
      <c r="K168" s="767" t="str">
        <f>IF(Inventory!AC171="","",Inventory!AC171)</f>
        <v/>
      </c>
      <c r="L168" s="776" t="str">
        <f>IF(Inventory!AD171="","",Inventory!AD171)</f>
        <v/>
      </c>
      <c r="M168" s="527">
        <f>IF(Inventory!AE171="","",Inventory!AE171)</f>
        <v>0</v>
      </c>
      <c r="N168" s="527">
        <f>IF(Inventory!AF171="","",Inventory!AF171)</f>
        <v>0</v>
      </c>
      <c r="O168" s="527">
        <f>IF(Inventory!AG171="","",Inventory!AG171)</f>
        <v>0</v>
      </c>
      <c r="P168" s="527">
        <f>IF(Inventory!AH171="","",Inventory!AH171)</f>
        <v>0</v>
      </c>
      <c r="Q168" s="527">
        <f>IF(Inventory!AI171="","",Inventory!AI171)</f>
        <v>0</v>
      </c>
      <c r="R168" s="527">
        <f>IF(Inventory!AJ171="","",Inventory!AJ171)</f>
        <v>999999999</v>
      </c>
      <c r="S168" s="777" t="str">
        <f>IF(Inventory!AK171="","",Inventory!AK171)</f>
        <v/>
      </c>
      <c r="T168" s="776" t="str">
        <f>IF(Inventory!AL171="","",Inventory!AL171)</f>
        <v/>
      </c>
      <c r="U168" s="777" t="str">
        <f>IF(Inventory!AM171="","",Inventory!AM171)</f>
        <v/>
      </c>
      <c r="V168" s="767" t="str">
        <f>IF(Inventory!AN171="","",Inventory!AN171)</f>
        <v/>
      </c>
      <c r="W168" s="778" t="str">
        <f>IF(Inventory!AO171="","",Inventory!AO171)</f>
        <v/>
      </c>
      <c r="X168" s="778" t="str">
        <f>IF(Inventory!AP171="","",Inventory!AP171)</f>
        <v/>
      </c>
      <c r="Y168" s="767" t="str">
        <f>IF(Inventory!AQ171="","",Inventory!AQ171)</f>
        <v/>
      </c>
      <c r="Z168" s="778" t="str">
        <f>IF(Inventory!AR171="","",Inventory!AR171)</f>
        <v/>
      </c>
      <c r="AA168" s="751" t="str">
        <f>IF(Inventory!AS171="","",Inventory!AS171)</f>
        <v/>
      </c>
      <c r="AB168" s="871"/>
    </row>
    <row r="169" spans="2:28" s="618" customFormat="1" ht="21.95" customHeight="1" x14ac:dyDescent="0.25">
      <c r="B169" s="431">
        <v>163</v>
      </c>
      <c r="C169" s="501" t="str">
        <f>IF(Inventory!C172="","",Inventory!C172)</f>
        <v/>
      </c>
      <c r="D169" s="502" t="str">
        <f>IF(Inventory!D172="","",Inventory!D172)</f>
        <v/>
      </c>
      <c r="E169" s="557" t="str">
        <f>IF(Inventory!W172="","",Inventory!W172)</f>
        <v/>
      </c>
      <c r="F169" s="788" t="str">
        <f>IF(Inventory!X172="","",Inventory!X172)</f>
        <v/>
      </c>
      <c r="G169" s="788" t="str">
        <f>IF(Inventory!Y172="","",Inventory!Y172)</f>
        <v/>
      </c>
      <c r="H169" s="729" t="str">
        <f>IF(Inventory!Z172="","",Inventory!Z172)</f>
        <v/>
      </c>
      <c r="I169" s="729" t="str">
        <f>IF(Inventory!AA172="","",Inventory!AA172)</f>
        <v/>
      </c>
      <c r="J169" s="729" t="str">
        <f>IF(Inventory!AB172="","",Inventory!AB172)</f>
        <v/>
      </c>
      <c r="K169" s="729" t="str">
        <f>IF(Inventory!AC172="","",Inventory!AC172)</f>
        <v/>
      </c>
      <c r="L169" s="765" t="str">
        <f>IF(Inventory!AD172="","",Inventory!AD172)</f>
        <v/>
      </c>
      <c r="M169" s="527">
        <f>IF(Inventory!AE172="","",Inventory!AE172)</f>
        <v>0</v>
      </c>
      <c r="N169" s="527">
        <f>IF(Inventory!AF172="","",Inventory!AF172)</f>
        <v>0</v>
      </c>
      <c r="O169" s="527">
        <f>IF(Inventory!AG172="","",Inventory!AG172)</f>
        <v>0</v>
      </c>
      <c r="P169" s="527">
        <f>IF(Inventory!AH172="","",Inventory!AH172)</f>
        <v>0</v>
      </c>
      <c r="Q169" s="527">
        <f>IF(Inventory!AI172="","",Inventory!AI172)</f>
        <v>0</v>
      </c>
      <c r="R169" s="527">
        <f>IF(Inventory!AJ172="","",Inventory!AJ172)</f>
        <v>999999999</v>
      </c>
      <c r="S169" s="758" t="str">
        <f>IF(Inventory!AK172="","",Inventory!AK172)</f>
        <v/>
      </c>
      <c r="T169" s="765" t="str">
        <f>IF(Inventory!AL172="","",Inventory!AL172)</f>
        <v/>
      </c>
      <c r="U169" s="758" t="str">
        <f>IF(Inventory!AM172="","",Inventory!AM172)</f>
        <v/>
      </c>
      <c r="V169" s="729" t="str">
        <f>IF(Inventory!AN172="","",Inventory!AN172)</f>
        <v/>
      </c>
      <c r="W169" s="775" t="str">
        <f>IF(Inventory!AO172="","",Inventory!AO172)</f>
        <v/>
      </c>
      <c r="X169" s="775" t="str">
        <f>IF(Inventory!AP172="","",Inventory!AP172)</f>
        <v/>
      </c>
      <c r="Y169" s="729" t="str">
        <f>IF(Inventory!AQ172="","",Inventory!AQ172)</f>
        <v/>
      </c>
      <c r="Z169" s="775" t="str">
        <f>IF(Inventory!AR172="","",Inventory!AR172)</f>
        <v/>
      </c>
      <c r="AA169" s="779" t="str">
        <f>IF(Inventory!AS172="","",Inventory!AS172)</f>
        <v/>
      </c>
      <c r="AB169" s="866"/>
    </row>
    <row r="170" spans="2:28" s="618" customFormat="1" ht="21.95" customHeight="1" x14ac:dyDescent="0.25">
      <c r="B170" s="432">
        <v>164</v>
      </c>
      <c r="C170" s="499" t="str">
        <f>IF(Inventory!C173="","",Inventory!C173)</f>
        <v/>
      </c>
      <c r="D170" s="751" t="str">
        <f>IF(Inventory!D173="","",Inventory!D173)</f>
        <v/>
      </c>
      <c r="E170" s="556" t="str">
        <f>IF(Inventory!W173="","",Inventory!W173)</f>
        <v/>
      </c>
      <c r="F170" s="785" t="str">
        <f>IF(Inventory!X173="","",Inventory!X173)</f>
        <v/>
      </c>
      <c r="G170" s="785" t="str">
        <f>IF(Inventory!Y173="","",Inventory!Y173)</f>
        <v/>
      </c>
      <c r="H170" s="767" t="str">
        <f>IF(Inventory!Z173="","",Inventory!Z173)</f>
        <v/>
      </c>
      <c r="I170" s="767" t="str">
        <f>IF(Inventory!AA173="","",Inventory!AA173)</f>
        <v/>
      </c>
      <c r="J170" s="767" t="str">
        <f>IF(Inventory!AB173="","",Inventory!AB173)</f>
        <v/>
      </c>
      <c r="K170" s="767" t="str">
        <f>IF(Inventory!AC173="","",Inventory!AC173)</f>
        <v/>
      </c>
      <c r="L170" s="776" t="str">
        <f>IF(Inventory!AD173="","",Inventory!AD173)</f>
        <v/>
      </c>
      <c r="M170" s="527">
        <f>IF(Inventory!AE173="","",Inventory!AE173)</f>
        <v>0</v>
      </c>
      <c r="N170" s="527">
        <f>IF(Inventory!AF173="","",Inventory!AF173)</f>
        <v>0</v>
      </c>
      <c r="O170" s="527">
        <f>IF(Inventory!AG173="","",Inventory!AG173)</f>
        <v>0</v>
      </c>
      <c r="P170" s="527">
        <f>IF(Inventory!AH173="","",Inventory!AH173)</f>
        <v>0</v>
      </c>
      <c r="Q170" s="527">
        <f>IF(Inventory!AI173="","",Inventory!AI173)</f>
        <v>0</v>
      </c>
      <c r="R170" s="527">
        <f>IF(Inventory!AJ173="","",Inventory!AJ173)</f>
        <v>999999999</v>
      </c>
      <c r="S170" s="777" t="str">
        <f>IF(Inventory!AK173="","",Inventory!AK173)</f>
        <v/>
      </c>
      <c r="T170" s="776" t="str">
        <f>IF(Inventory!AL173="","",Inventory!AL173)</f>
        <v/>
      </c>
      <c r="U170" s="777" t="str">
        <f>IF(Inventory!AM173="","",Inventory!AM173)</f>
        <v/>
      </c>
      <c r="V170" s="767" t="str">
        <f>IF(Inventory!AN173="","",Inventory!AN173)</f>
        <v/>
      </c>
      <c r="W170" s="778" t="str">
        <f>IF(Inventory!AO173="","",Inventory!AO173)</f>
        <v/>
      </c>
      <c r="X170" s="778" t="str">
        <f>IF(Inventory!AP173="","",Inventory!AP173)</f>
        <v/>
      </c>
      <c r="Y170" s="767" t="str">
        <f>IF(Inventory!AQ173="","",Inventory!AQ173)</f>
        <v/>
      </c>
      <c r="Z170" s="778" t="str">
        <f>IF(Inventory!AR173="","",Inventory!AR173)</f>
        <v/>
      </c>
      <c r="AA170" s="751" t="str">
        <f>IF(Inventory!AS173="","",Inventory!AS173)</f>
        <v/>
      </c>
      <c r="AB170" s="871"/>
    </row>
    <row r="171" spans="2:28" s="618" customFormat="1" ht="21.95" customHeight="1" x14ac:dyDescent="0.25">
      <c r="B171" s="431">
        <v>165</v>
      </c>
      <c r="C171" s="501" t="str">
        <f>IF(Inventory!C174="","",Inventory!C174)</f>
        <v/>
      </c>
      <c r="D171" s="502" t="str">
        <f>IF(Inventory!D174="","",Inventory!D174)</f>
        <v/>
      </c>
      <c r="E171" s="557" t="str">
        <f>IF(Inventory!W174="","",Inventory!W174)</f>
        <v/>
      </c>
      <c r="F171" s="788" t="str">
        <f>IF(Inventory!X174="","",Inventory!X174)</f>
        <v/>
      </c>
      <c r="G171" s="788" t="str">
        <f>IF(Inventory!Y174="","",Inventory!Y174)</f>
        <v/>
      </c>
      <c r="H171" s="729" t="str">
        <f>IF(Inventory!Z174="","",Inventory!Z174)</f>
        <v/>
      </c>
      <c r="I171" s="729" t="str">
        <f>IF(Inventory!AA174="","",Inventory!AA174)</f>
        <v/>
      </c>
      <c r="J171" s="729" t="str">
        <f>IF(Inventory!AB174="","",Inventory!AB174)</f>
        <v/>
      </c>
      <c r="K171" s="729" t="str">
        <f>IF(Inventory!AC174="","",Inventory!AC174)</f>
        <v/>
      </c>
      <c r="L171" s="765" t="str">
        <f>IF(Inventory!AD174="","",Inventory!AD174)</f>
        <v/>
      </c>
      <c r="M171" s="527">
        <f>IF(Inventory!AE174="","",Inventory!AE174)</f>
        <v>0</v>
      </c>
      <c r="N171" s="527">
        <f>IF(Inventory!AF174="","",Inventory!AF174)</f>
        <v>0</v>
      </c>
      <c r="O171" s="527">
        <f>IF(Inventory!AG174="","",Inventory!AG174)</f>
        <v>0</v>
      </c>
      <c r="P171" s="527">
        <f>IF(Inventory!AH174="","",Inventory!AH174)</f>
        <v>0</v>
      </c>
      <c r="Q171" s="527">
        <f>IF(Inventory!AI174="","",Inventory!AI174)</f>
        <v>0</v>
      </c>
      <c r="R171" s="527">
        <f>IF(Inventory!AJ174="","",Inventory!AJ174)</f>
        <v>999999999</v>
      </c>
      <c r="S171" s="758" t="str">
        <f>IF(Inventory!AK174="","",Inventory!AK174)</f>
        <v/>
      </c>
      <c r="T171" s="765" t="str">
        <f>IF(Inventory!AL174="","",Inventory!AL174)</f>
        <v/>
      </c>
      <c r="U171" s="758" t="str">
        <f>IF(Inventory!AM174="","",Inventory!AM174)</f>
        <v/>
      </c>
      <c r="V171" s="729" t="str">
        <f>IF(Inventory!AN174="","",Inventory!AN174)</f>
        <v/>
      </c>
      <c r="W171" s="775" t="str">
        <f>IF(Inventory!AO174="","",Inventory!AO174)</f>
        <v/>
      </c>
      <c r="X171" s="775" t="str">
        <f>IF(Inventory!AP174="","",Inventory!AP174)</f>
        <v/>
      </c>
      <c r="Y171" s="729" t="str">
        <f>IF(Inventory!AQ174="","",Inventory!AQ174)</f>
        <v/>
      </c>
      <c r="Z171" s="775" t="str">
        <f>IF(Inventory!AR174="","",Inventory!AR174)</f>
        <v/>
      </c>
      <c r="AA171" s="779" t="str">
        <f>IF(Inventory!AS174="","",Inventory!AS174)</f>
        <v/>
      </c>
      <c r="AB171" s="866"/>
    </row>
    <row r="172" spans="2:28" s="618" customFormat="1" ht="21.95" customHeight="1" x14ac:dyDescent="0.25">
      <c r="B172" s="432">
        <v>166</v>
      </c>
      <c r="C172" s="499" t="str">
        <f>IF(Inventory!C175="","",Inventory!C175)</f>
        <v/>
      </c>
      <c r="D172" s="751" t="str">
        <f>IF(Inventory!D175="","",Inventory!D175)</f>
        <v/>
      </c>
      <c r="E172" s="556" t="str">
        <f>IF(Inventory!W175="","",Inventory!W175)</f>
        <v/>
      </c>
      <c r="F172" s="785" t="str">
        <f>IF(Inventory!X175="","",Inventory!X175)</f>
        <v/>
      </c>
      <c r="G172" s="785" t="str">
        <f>IF(Inventory!Y175="","",Inventory!Y175)</f>
        <v/>
      </c>
      <c r="H172" s="767" t="str">
        <f>IF(Inventory!Z175="","",Inventory!Z175)</f>
        <v/>
      </c>
      <c r="I172" s="767" t="str">
        <f>IF(Inventory!AA175="","",Inventory!AA175)</f>
        <v/>
      </c>
      <c r="J172" s="767" t="str">
        <f>IF(Inventory!AB175="","",Inventory!AB175)</f>
        <v/>
      </c>
      <c r="K172" s="767" t="str">
        <f>IF(Inventory!AC175="","",Inventory!AC175)</f>
        <v/>
      </c>
      <c r="L172" s="776" t="str">
        <f>IF(Inventory!AD175="","",Inventory!AD175)</f>
        <v/>
      </c>
      <c r="M172" s="527">
        <f>IF(Inventory!AE175="","",Inventory!AE175)</f>
        <v>0</v>
      </c>
      <c r="N172" s="527">
        <f>IF(Inventory!AF175="","",Inventory!AF175)</f>
        <v>0</v>
      </c>
      <c r="O172" s="527">
        <f>IF(Inventory!AG175="","",Inventory!AG175)</f>
        <v>0</v>
      </c>
      <c r="P172" s="527">
        <f>IF(Inventory!AH175="","",Inventory!AH175)</f>
        <v>0</v>
      </c>
      <c r="Q172" s="527">
        <f>IF(Inventory!AI175="","",Inventory!AI175)</f>
        <v>0</v>
      </c>
      <c r="R172" s="527">
        <f>IF(Inventory!AJ175="","",Inventory!AJ175)</f>
        <v>999999999</v>
      </c>
      <c r="S172" s="777" t="str">
        <f>IF(Inventory!AK175="","",Inventory!AK175)</f>
        <v/>
      </c>
      <c r="T172" s="776" t="str">
        <f>IF(Inventory!AL175="","",Inventory!AL175)</f>
        <v/>
      </c>
      <c r="U172" s="777" t="str">
        <f>IF(Inventory!AM175="","",Inventory!AM175)</f>
        <v/>
      </c>
      <c r="V172" s="767" t="str">
        <f>IF(Inventory!AN175="","",Inventory!AN175)</f>
        <v/>
      </c>
      <c r="W172" s="778" t="str">
        <f>IF(Inventory!AO175="","",Inventory!AO175)</f>
        <v/>
      </c>
      <c r="X172" s="778" t="str">
        <f>IF(Inventory!AP175="","",Inventory!AP175)</f>
        <v/>
      </c>
      <c r="Y172" s="767" t="str">
        <f>IF(Inventory!AQ175="","",Inventory!AQ175)</f>
        <v/>
      </c>
      <c r="Z172" s="778" t="str">
        <f>IF(Inventory!AR175="","",Inventory!AR175)</f>
        <v/>
      </c>
      <c r="AA172" s="751" t="str">
        <f>IF(Inventory!AS175="","",Inventory!AS175)</f>
        <v/>
      </c>
      <c r="AB172" s="871"/>
    </row>
    <row r="173" spans="2:28" s="618" customFormat="1" ht="21.95" customHeight="1" x14ac:dyDescent="0.25">
      <c r="B173" s="431">
        <v>167</v>
      </c>
      <c r="C173" s="501" t="str">
        <f>IF(Inventory!C176="","",Inventory!C176)</f>
        <v/>
      </c>
      <c r="D173" s="502" t="str">
        <f>IF(Inventory!D176="","",Inventory!D176)</f>
        <v/>
      </c>
      <c r="E173" s="557" t="str">
        <f>IF(Inventory!W176="","",Inventory!W176)</f>
        <v/>
      </c>
      <c r="F173" s="788" t="str">
        <f>IF(Inventory!X176="","",Inventory!X176)</f>
        <v/>
      </c>
      <c r="G173" s="788" t="str">
        <f>IF(Inventory!Y176="","",Inventory!Y176)</f>
        <v/>
      </c>
      <c r="H173" s="729" t="str">
        <f>IF(Inventory!Z176="","",Inventory!Z176)</f>
        <v/>
      </c>
      <c r="I173" s="729" t="str">
        <f>IF(Inventory!AA176="","",Inventory!AA176)</f>
        <v/>
      </c>
      <c r="J173" s="729" t="str">
        <f>IF(Inventory!AB176="","",Inventory!AB176)</f>
        <v/>
      </c>
      <c r="K173" s="729" t="str">
        <f>IF(Inventory!AC176="","",Inventory!AC176)</f>
        <v/>
      </c>
      <c r="L173" s="765" t="str">
        <f>IF(Inventory!AD176="","",Inventory!AD176)</f>
        <v/>
      </c>
      <c r="M173" s="527">
        <f>IF(Inventory!AE176="","",Inventory!AE176)</f>
        <v>0</v>
      </c>
      <c r="N173" s="527">
        <f>IF(Inventory!AF176="","",Inventory!AF176)</f>
        <v>0</v>
      </c>
      <c r="O173" s="527">
        <f>IF(Inventory!AG176="","",Inventory!AG176)</f>
        <v>0</v>
      </c>
      <c r="P173" s="527">
        <f>IF(Inventory!AH176="","",Inventory!AH176)</f>
        <v>0</v>
      </c>
      <c r="Q173" s="527">
        <f>IF(Inventory!AI176="","",Inventory!AI176)</f>
        <v>0</v>
      </c>
      <c r="R173" s="527">
        <f>IF(Inventory!AJ176="","",Inventory!AJ176)</f>
        <v>999999999</v>
      </c>
      <c r="S173" s="758" t="str">
        <f>IF(Inventory!AK176="","",Inventory!AK176)</f>
        <v/>
      </c>
      <c r="T173" s="765" t="str">
        <f>IF(Inventory!AL176="","",Inventory!AL176)</f>
        <v/>
      </c>
      <c r="U173" s="758" t="str">
        <f>IF(Inventory!AM176="","",Inventory!AM176)</f>
        <v/>
      </c>
      <c r="V173" s="729" t="str">
        <f>IF(Inventory!AN176="","",Inventory!AN176)</f>
        <v/>
      </c>
      <c r="W173" s="775" t="str">
        <f>IF(Inventory!AO176="","",Inventory!AO176)</f>
        <v/>
      </c>
      <c r="X173" s="775" t="str">
        <f>IF(Inventory!AP176="","",Inventory!AP176)</f>
        <v/>
      </c>
      <c r="Y173" s="729" t="str">
        <f>IF(Inventory!AQ176="","",Inventory!AQ176)</f>
        <v/>
      </c>
      <c r="Z173" s="775" t="str">
        <f>IF(Inventory!AR176="","",Inventory!AR176)</f>
        <v/>
      </c>
      <c r="AA173" s="779" t="str">
        <f>IF(Inventory!AS176="","",Inventory!AS176)</f>
        <v/>
      </c>
      <c r="AB173" s="866"/>
    </row>
    <row r="174" spans="2:28" s="618" customFormat="1" ht="21.95" customHeight="1" x14ac:dyDescent="0.25">
      <c r="B174" s="432">
        <v>168</v>
      </c>
      <c r="C174" s="499" t="str">
        <f>IF(Inventory!C177="","",Inventory!C177)</f>
        <v/>
      </c>
      <c r="D174" s="751" t="str">
        <f>IF(Inventory!D177="","",Inventory!D177)</f>
        <v/>
      </c>
      <c r="E174" s="556" t="str">
        <f>IF(Inventory!W177="","",Inventory!W177)</f>
        <v/>
      </c>
      <c r="F174" s="785" t="str">
        <f>IF(Inventory!X177="","",Inventory!X177)</f>
        <v/>
      </c>
      <c r="G174" s="785" t="str">
        <f>IF(Inventory!Y177="","",Inventory!Y177)</f>
        <v/>
      </c>
      <c r="H174" s="767" t="str">
        <f>IF(Inventory!Z177="","",Inventory!Z177)</f>
        <v/>
      </c>
      <c r="I174" s="767" t="str">
        <f>IF(Inventory!AA177="","",Inventory!AA177)</f>
        <v/>
      </c>
      <c r="J174" s="767" t="str">
        <f>IF(Inventory!AB177="","",Inventory!AB177)</f>
        <v/>
      </c>
      <c r="K174" s="767" t="str">
        <f>IF(Inventory!AC177="","",Inventory!AC177)</f>
        <v/>
      </c>
      <c r="L174" s="776" t="str">
        <f>IF(Inventory!AD177="","",Inventory!AD177)</f>
        <v/>
      </c>
      <c r="M174" s="527">
        <f>IF(Inventory!AE177="","",Inventory!AE177)</f>
        <v>0</v>
      </c>
      <c r="N174" s="527">
        <f>IF(Inventory!AF177="","",Inventory!AF177)</f>
        <v>0</v>
      </c>
      <c r="O174" s="527">
        <f>IF(Inventory!AG177="","",Inventory!AG177)</f>
        <v>0</v>
      </c>
      <c r="P174" s="527">
        <f>IF(Inventory!AH177="","",Inventory!AH177)</f>
        <v>0</v>
      </c>
      <c r="Q174" s="527">
        <f>IF(Inventory!AI177="","",Inventory!AI177)</f>
        <v>0</v>
      </c>
      <c r="R174" s="527">
        <f>IF(Inventory!AJ177="","",Inventory!AJ177)</f>
        <v>999999999</v>
      </c>
      <c r="S174" s="777" t="str">
        <f>IF(Inventory!AK177="","",Inventory!AK177)</f>
        <v/>
      </c>
      <c r="T174" s="776" t="str">
        <f>IF(Inventory!AL177="","",Inventory!AL177)</f>
        <v/>
      </c>
      <c r="U174" s="777" t="str">
        <f>IF(Inventory!AM177="","",Inventory!AM177)</f>
        <v/>
      </c>
      <c r="V174" s="767" t="str">
        <f>IF(Inventory!AN177="","",Inventory!AN177)</f>
        <v/>
      </c>
      <c r="W174" s="778" t="str">
        <f>IF(Inventory!AO177="","",Inventory!AO177)</f>
        <v/>
      </c>
      <c r="X174" s="778" t="str">
        <f>IF(Inventory!AP177="","",Inventory!AP177)</f>
        <v/>
      </c>
      <c r="Y174" s="767" t="str">
        <f>IF(Inventory!AQ177="","",Inventory!AQ177)</f>
        <v/>
      </c>
      <c r="Z174" s="778" t="str">
        <f>IF(Inventory!AR177="","",Inventory!AR177)</f>
        <v/>
      </c>
      <c r="AA174" s="751" t="str">
        <f>IF(Inventory!AS177="","",Inventory!AS177)</f>
        <v/>
      </c>
      <c r="AB174" s="871"/>
    </row>
    <row r="175" spans="2:28" s="618" customFormat="1" ht="21.95" customHeight="1" x14ac:dyDescent="0.25">
      <c r="B175" s="431">
        <v>169</v>
      </c>
      <c r="C175" s="501" t="str">
        <f>IF(Inventory!C178="","",Inventory!C178)</f>
        <v/>
      </c>
      <c r="D175" s="502" t="str">
        <f>IF(Inventory!D178="","",Inventory!D178)</f>
        <v/>
      </c>
      <c r="E175" s="557" t="str">
        <f>IF(Inventory!W178="","",Inventory!W178)</f>
        <v/>
      </c>
      <c r="F175" s="788" t="str">
        <f>IF(Inventory!X178="","",Inventory!X178)</f>
        <v/>
      </c>
      <c r="G175" s="788" t="str">
        <f>IF(Inventory!Y178="","",Inventory!Y178)</f>
        <v/>
      </c>
      <c r="H175" s="729" t="str">
        <f>IF(Inventory!Z178="","",Inventory!Z178)</f>
        <v/>
      </c>
      <c r="I175" s="729" t="str">
        <f>IF(Inventory!AA178="","",Inventory!AA178)</f>
        <v/>
      </c>
      <c r="J175" s="729" t="str">
        <f>IF(Inventory!AB178="","",Inventory!AB178)</f>
        <v/>
      </c>
      <c r="K175" s="729" t="str">
        <f>IF(Inventory!AC178="","",Inventory!AC178)</f>
        <v/>
      </c>
      <c r="L175" s="765" t="str">
        <f>IF(Inventory!AD178="","",Inventory!AD178)</f>
        <v/>
      </c>
      <c r="M175" s="527">
        <f>IF(Inventory!AE178="","",Inventory!AE178)</f>
        <v>0</v>
      </c>
      <c r="N175" s="527">
        <f>IF(Inventory!AF178="","",Inventory!AF178)</f>
        <v>0</v>
      </c>
      <c r="O175" s="527">
        <f>IF(Inventory!AG178="","",Inventory!AG178)</f>
        <v>0</v>
      </c>
      <c r="P175" s="527">
        <f>IF(Inventory!AH178="","",Inventory!AH178)</f>
        <v>0</v>
      </c>
      <c r="Q175" s="527">
        <f>IF(Inventory!AI178="","",Inventory!AI178)</f>
        <v>0</v>
      </c>
      <c r="R175" s="527">
        <f>IF(Inventory!AJ178="","",Inventory!AJ178)</f>
        <v>999999999</v>
      </c>
      <c r="S175" s="758" t="str">
        <f>IF(Inventory!AK178="","",Inventory!AK178)</f>
        <v/>
      </c>
      <c r="T175" s="765" t="str">
        <f>IF(Inventory!AL178="","",Inventory!AL178)</f>
        <v/>
      </c>
      <c r="U175" s="758" t="str">
        <f>IF(Inventory!AM178="","",Inventory!AM178)</f>
        <v/>
      </c>
      <c r="V175" s="729" t="str">
        <f>IF(Inventory!AN178="","",Inventory!AN178)</f>
        <v/>
      </c>
      <c r="W175" s="775" t="str">
        <f>IF(Inventory!AO178="","",Inventory!AO178)</f>
        <v/>
      </c>
      <c r="X175" s="775" t="str">
        <f>IF(Inventory!AP178="","",Inventory!AP178)</f>
        <v/>
      </c>
      <c r="Y175" s="729" t="str">
        <f>IF(Inventory!AQ178="","",Inventory!AQ178)</f>
        <v/>
      </c>
      <c r="Z175" s="775" t="str">
        <f>IF(Inventory!AR178="","",Inventory!AR178)</f>
        <v/>
      </c>
      <c r="AA175" s="779" t="str">
        <f>IF(Inventory!AS178="","",Inventory!AS178)</f>
        <v/>
      </c>
      <c r="AB175" s="866"/>
    </row>
    <row r="176" spans="2:28" s="618" customFormat="1" ht="21.95" customHeight="1" x14ac:dyDescent="0.25">
      <c r="B176" s="432">
        <v>170</v>
      </c>
      <c r="C176" s="499" t="str">
        <f>IF(Inventory!C179="","",Inventory!C179)</f>
        <v/>
      </c>
      <c r="D176" s="751" t="str">
        <f>IF(Inventory!D179="","",Inventory!D179)</f>
        <v/>
      </c>
      <c r="E176" s="556" t="str">
        <f>IF(Inventory!W179="","",Inventory!W179)</f>
        <v/>
      </c>
      <c r="F176" s="785" t="str">
        <f>IF(Inventory!X179="","",Inventory!X179)</f>
        <v/>
      </c>
      <c r="G176" s="785" t="str">
        <f>IF(Inventory!Y179="","",Inventory!Y179)</f>
        <v/>
      </c>
      <c r="H176" s="767" t="str">
        <f>IF(Inventory!Z179="","",Inventory!Z179)</f>
        <v/>
      </c>
      <c r="I176" s="767" t="str">
        <f>IF(Inventory!AA179="","",Inventory!AA179)</f>
        <v/>
      </c>
      <c r="J176" s="767" t="str">
        <f>IF(Inventory!AB179="","",Inventory!AB179)</f>
        <v/>
      </c>
      <c r="K176" s="767" t="str">
        <f>IF(Inventory!AC179="","",Inventory!AC179)</f>
        <v/>
      </c>
      <c r="L176" s="776" t="str">
        <f>IF(Inventory!AD179="","",Inventory!AD179)</f>
        <v/>
      </c>
      <c r="M176" s="527">
        <f>IF(Inventory!AE179="","",Inventory!AE179)</f>
        <v>0</v>
      </c>
      <c r="N176" s="527">
        <f>IF(Inventory!AF179="","",Inventory!AF179)</f>
        <v>0</v>
      </c>
      <c r="O176" s="527">
        <f>IF(Inventory!AG179="","",Inventory!AG179)</f>
        <v>0</v>
      </c>
      <c r="P176" s="527">
        <f>IF(Inventory!AH179="","",Inventory!AH179)</f>
        <v>0</v>
      </c>
      <c r="Q176" s="527">
        <f>IF(Inventory!AI179="","",Inventory!AI179)</f>
        <v>0</v>
      </c>
      <c r="R176" s="527">
        <f>IF(Inventory!AJ179="","",Inventory!AJ179)</f>
        <v>999999999</v>
      </c>
      <c r="S176" s="777" t="str">
        <f>IF(Inventory!AK179="","",Inventory!AK179)</f>
        <v/>
      </c>
      <c r="T176" s="776" t="str">
        <f>IF(Inventory!AL179="","",Inventory!AL179)</f>
        <v/>
      </c>
      <c r="U176" s="777" t="str">
        <f>IF(Inventory!AM179="","",Inventory!AM179)</f>
        <v/>
      </c>
      <c r="V176" s="767" t="str">
        <f>IF(Inventory!AN179="","",Inventory!AN179)</f>
        <v/>
      </c>
      <c r="W176" s="778" t="str">
        <f>IF(Inventory!AO179="","",Inventory!AO179)</f>
        <v/>
      </c>
      <c r="X176" s="778" t="str">
        <f>IF(Inventory!AP179="","",Inventory!AP179)</f>
        <v/>
      </c>
      <c r="Y176" s="767" t="str">
        <f>IF(Inventory!AQ179="","",Inventory!AQ179)</f>
        <v/>
      </c>
      <c r="Z176" s="778" t="str">
        <f>IF(Inventory!AR179="","",Inventory!AR179)</f>
        <v/>
      </c>
      <c r="AA176" s="751" t="str">
        <f>IF(Inventory!AS179="","",Inventory!AS179)</f>
        <v/>
      </c>
      <c r="AB176" s="871"/>
    </row>
    <row r="177" spans="2:28" s="618" customFormat="1" ht="21.95" customHeight="1" x14ac:dyDescent="0.25">
      <c r="B177" s="431">
        <v>171</v>
      </c>
      <c r="C177" s="501" t="str">
        <f>IF(Inventory!C180="","",Inventory!C180)</f>
        <v/>
      </c>
      <c r="D177" s="502" t="str">
        <f>IF(Inventory!D180="","",Inventory!D180)</f>
        <v/>
      </c>
      <c r="E177" s="557" t="str">
        <f>IF(Inventory!W180="","",Inventory!W180)</f>
        <v/>
      </c>
      <c r="F177" s="788" t="str">
        <f>IF(Inventory!X180="","",Inventory!X180)</f>
        <v/>
      </c>
      <c r="G177" s="788" t="str">
        <f>IF(Inventory!Y180="","",Inventory!Y180)</f>
        <v/>
      </c>
      <c r="H177" s="729" t="str">
        <f>IF(Inventory!Z180="","",Inventory!Z180)</f>
        <v/>
      </c>
      <c r="I177" s="729" t="str">
        <f>IF(Inventory!AA180="","",Inventory!AA180)</f>
        <v/>
      </c>
      <c r="J177" s="729" t="str">
        <f>IF(Inventory!AB180="","",Inventory!AB180)</f>
        <v/>
      </c>
      <c r="K177" s="729" t="str">
        <f>IF(Inventory!AC180="","",Inventory!AC180)</f>
        <v/>
      </c>
      <c r="L177" s="765" t="str">
        <f>IF(Inventory!AD180="","",Inventory!AD180)</f>
        <v/>
      </c>
      <c r="M177" s="527">
        <f>IF(Inventory!AE180="","",Inventory!AE180)</f>
        <v>0</v>
      </c>
      <c r="N177" s="527">
        <f>IF(Inventory!AF180="","",Inventory!AF180)</f>
        <v>0</v>
      </c>
      <c r="O177" s="527">
        <f>IF(Inventory!AG180="","",Inventory!AG180)</f>
        <v>0</v>
      </c>
      <c r="P177" s="527">
        <f>IF(Inventory!AH180="","",Inventory!AH180)</f>
        <v>0</v>
      </c>
      <c r="Q177" s="527">
        <f>IF(Inventory!AI180="","",Inventory!AI180)</f>
        <v>0</v>
      </c>
      <c r="R177" s="527">
        <f>IF(Inventory!AJ180="","",Inventory!AJ180)</f>
        <v>999999999</v>
      </c>
      <c r="S177" s="758" t="str">
        <f>IF(Inventory!AK180="","",Inventory!AK180)</f>
        <v/>
      </c>
      <c r="T177" s="765" t="str">
        <f>IF(Inventory!AL180="","",Inventory!AL180)</f>
        <v/>
      </c>
      <c r="U177" s="758" t="str">
        <f>IF(Inventory!AM180="","",Inventory!AM180)</f>
        <v/>
      </c>
      <c r="V177" s="729" t="str">
        <f>IF(Inventory!AN180="","",Inventory!AN180)</f>
        <v/>
      </c>
      <c r="W177" s="775" t="str">
        <f>IF(Inventory!AO180="","",Inventory!AO180)</f>
        <v/>
      </c>
      <c r="X177" s="775" t="str">
        <f>IF(Inventory!AP180="","",Inventory!AP180)</f>
        <v/>
      </c>
      <c r="Y177" s="729" t="str">
        <f>IF(Inventory!AQ180="","",Inventory!AQ180)</f>
        <v/>
      </c>
      <c r="Z177" s="775" t="str">
        <f>IF(Inventory!AR180="","",Inventory!AR180)</f>
        <v/>
      </c>
      <c r="AA177" s="779" t="str">
        <f>IF(Inventory!AS180="","",Inventory!AS180)</f>
        <v/>
      </c>
      <c r="AB177" s="866"/>
    </row>
    <row r="178" spans="2:28" s="618" customFormat="1" ht="21.95" customHeight="1" x14ac:dyDescent="0.25">
      <c r="B178" s="432">
        <v>172</v>
      </c>
      <c r="C178" s="499" t="str">
        <f>IF(Inventory!C181="","",Inventory!C181)</f>
        <v/>
      </c>
      <c r="D178" s="751" t="str">
        <f>IF(Inventory!D181="","",Inventory!D181)</f>
        <v/>
      </c>
      <c r="E178" s="556" t="str">
        <f>IF(Inventory!W181="","",Inventory!W181)</f>
        <v/>
      </c>
      <c r="F178" s="785" t="str">
        <f>IF(Inventory!X181="","",Inventory!X181)</f>
        <v/>
      </c>
      <c r="G178" s="785" t="str">
        <f>IF(Inventory!Y181="","",Inventory!Y181)</f>
        <v/>
      </c>
      <c r="H178" s="767" t="str">
        <f>IF(Inventory!Z181="","",Inventory!Z181)</f>
        <v/>
      </c>
      <c r="I178" s="767" t="str">
        <f>IF(Inventory!AA181="","",Inventory!AA181)</f>
        <v/>
      </c>
      <c r="J178" s="767" t="str">
        <f>IF(Inventory!AB181="","",Inventory!AB181)</f>
        <v/>
      </c>
      <c r="K178" s="767" t="str">
        <f>IF(Inventory!AC181="","",Inventory!AC181)</f>
        <v/>
      </c>
      <c r="L178" s="776" t="str">
        <f>IF(Inventory!AD181="","",Inventory!AD181)</f>
        <v/>
      </c>
      <c r="M178" s="527">
        <f>IF(Inventory!AE181="","",Inventory!AE181)</f>
        <v>0</v>
      </c>
      <c r="N178" s="527">
        <f>IF(Inventory!AF181="","",Inventory!AF181)</f>
        <v>0</v>
      </c>
      <c r="O178" s="527">
        <f>IF(Inventory!AG181="","",Inventory!AG181)</f>
        <v>0</v>
      </c>
      <c r="P178" s="527">
        <f>IF(Inventory!AH181="","",Inventory!AH181)</f>
        <v>0</v>
      </c>
      <c r="Q178" s="527">
        <f>IF(Inventory!AI181="","",Inventory!AI181)</f>
        <v>0</v>
      </c>
      <c r="R178" s="527">
        <f>IF(Inventory!AJ181="","",Inventory!AJ181)</f>
        <v>999999999</v>
      </c>
      <c r="S178" s="777" t="str">
        <f>IF(Inventory!AK181="","",Inventory!AK181)</f>
        <v/>
      </c>
      <c r="T178" s="776" t="str">
        <f>IF(Inventory!AL181="","",Inventory!AL181)</f>
        <v/>
      </c>
      <c r="U178" s="777" t="str">
        <f>IF(Inventory!AM181="","",Inventory!AM181)</f>
        <v/>
      </c>
      <c r="V178" s="767" t="str">
        <f>IF(Inventory!AN181="","",Inventory!AN181)</f>
        <v/>
      </c>
      <c r="W178" s="778" t="str">
        <f>IF(Inventory!AO181="","",Inventory!AO181)</f>
        <v/>
      </c>
      <c r="X178" s="778" t="str">
        <f>IF(Inventory!AP181="","",Inventory!AP181)</f>
        <v/>
      </c>
      <c r="Y178" s="767" t="str">
        <f>IF(Inventory!AQ181="","",Inventory!AQ181)</f>
        <v/>
      </c>
      <c r="Z178" s="778" t="str">
        <f>IF(Inventory!AR181="","",Inventory!AR181)</f>
        <v/>
      </c>
      <c r="AA178" s="751" t="str">
        <f>IF(Inventory!AS181="","",Inventory!AS181)</f>
        <v/>
      </c>
      <c r="AB178" s="871"/>
    </row>
    <row r="179" spans="2:28" s="618" customFormat="1" ht="21.95" customHeight="1" x14ac:dyDescent="0.25">
      <c r="B179" s="431">
        <v>173</v>
      </c>
      <c r="C179" s="501" t="str">
        <f>IF(Inventory!C182="","",Inventory!C182)</f>
        <v/>
      </c>
      <c r="D179" s="502" t="str">
        <f>IF(Inventory!D182="","",Inventory!D182)</f>
        <v/>
      </c>
      <c r="E179" s="557" t="str">
        <f>IF(Inventory!W182="","",Inventory!W182)</f>
        <v/>
      </c>
      <c r="F179" s="788" t="str">
        <f>IF(Inventory!X182="","",Inventory!X182)</f>
        <v/>
      </c>
      <c r="G179" s="788" t="str">
        <f>IF(Inventory!Y182="","",Inventory!Y182)</f>
        <v/>
      </c>
      <c r="H179" s="729" t="str">
        <f>IF(Inventory!Z182="","",Inventory!Z182)</f>
        <v/>
      </c>
      <c r="I179" s="729" t="str">
        <f>IF(Inventory!AA182="","",Inventory!AA182)</f>
        <v/>
      </c>
      <c r="J179" s="729" t="str">
        <f>IF(Inventory!AB182="","",Inventory!AB182)</f>
        <v/>
      </c>
      <c r="K179" s="729" t="str">
        <f>IF(Inventory!AC182="","",Inventory!AC182)</f>
        <v/>
      </c>
      <c r="L179" s="765" t="str">
        <f>IF(Inventory!AD182="","",Inventory!AD182)</f>
        <v/>
      </c>
      <c r="M179" s="527">
        <f>IF(Inventory!AE182="","",Inventory!AE182)</f>
        <v>0</v>
      </c>
      <c r="N179" s="527">
        <f>IF(Inventory!AF182="","",Inventory!AF182)</f>
        <v>0</v>
      </c>
      <c r="O179" s="527">
        <f>IF(Inventory!AG182="","",Inventory!AG182)</f>
        <v>0</v>
      </c>
      <c r="P179" s="527">
        <f>IF(Inventory!AH182="","",Inventory!AH182)</f>
        <v>0</v>
      </c>
      <c r="Q179" s="527">
        <f>IF(Inventory!AI182="","",Inventory!AI182)</f>
        <v>0</v>
      </c>
      <c r="R179" s="527">
        <f>IF(Inventory!AJ182="","",Inventory!AJ182)</f>
        <v>999999999</v>
      </c>
      <c r="S179" s="758" t="str">
        <f>IF(Inventory!AK182="","",Inventory!AK182)</f>
        <v/>
      </c>
      <c r="T179" s="765" t="str">
        <f>IF(Inventory!AL182="","",Inventory!AL182)</f>
        <v/>
      </c>
      <c r="U179" s="758" t="str">
        <f>IF(Inventory!AM182="","",Inventory!AM182)</f>
        <v/>
      </c>
      <c r="V179" s="729" t="str">
        <f>IF(Inventory!AN182="","",Inventory!AN182)</f>
        <v/>
      </c>
      <c r="W179" s="775" t="str">
        <f>IF(Inventory!AO182="","",Inventory!AO182)</f>
        <v/>
      </c>
      <c r="X179" s="775" t="str">
        <f>IF(Inventory!AP182="","",Inventory!AP182)</f>
        <v/>
      </c>
      <c r="Y179" s="729" t="str">
        <f>IF(Inventory!AQ182="","",Inventory!AQ182)</f>
        <v/>
      </c>
      <c r="Z179" s="775" t="str">
        <f>IF(Inventory!AR182="","",Inventory!AR182)</f>
        <v/>
      </c>
      <c r="AA179" s="779" t="str">
        <f>IF(Inventory!AS182="","",Inventory!AS182)</f>
        <v/>
      </c>
      <c r="AB179" s="866"/>
    </row>
    <row r="180" spans="2:28" s="618" customFormat="1" ht="21.95" customHeight="1" x14ac:dyDescent="0.25">
      <c r="B180" s="432">
        <v>174</v>
      </c>
      <c r="C180" s="499" t="str">
        <f>IF(Inventory!C183="","",Inventory!C183)</f>
        <v/>
      </c>
      <c r="D180" s="751" t="str">
        <f>IF(Inventory!D183="","",Inventory!D183)</f>
        <v/>
      </c>
      <c r="E180" s="556" t="str">
        <f>IF(Inventory!W183="","",Inventory!W183)</f>
        <v/>
      </c>
      <c r="F180" s="785" t="str">
        <f>IF(Inventory!X183="","",Inventory!X183)</f>
        <v/>
      </c>
      <c r="G180" s="785" t="str">
        <f>IF(Inventory!Y183="","",Inventory!Y183)</f>
        <v/>
      </c>
      <c r="H180" s="767" t="str">
        <f>IF(Inventory!Z183="","",Inventory!Z183)</f>
        <v/>
      </c>
      <c r="I180" s="767" t="str">
        <f>IF(Inventory!AA183="","",Inventory!AA183)</f>
        <v/>
      </c>
      <c r="J180" s="767" t="str">
        <f>IF(Inventory!AB183="","",Inventory!AB183)</f>
        <v/>
      </c>
      <c r="K180" s="767" t="str">
        <f>IF(Inventory!AC183="","",Inventory!AC183)</f>
        <v/>
      </c>
      <c r="L180" s="776" t="str">
        <f>IF(Inventory!AD183="","",Inventory!AD183)</f>
        <v/>
      </c>
      <c r="M180" s="527">
        <f>IF(Inventory!AE183="","",Inventory!AE183)</f>
        <v>0</v>
      </c>
      <c r="N180" s="527">
        <f>IF(Inventory!AF183="","",Inventory!AF183)</f>
        <v>0</v>
      </c>
      <c r="O180" s="527">
        <f>IF(Inventory!AG183="","",Inventory!AG183)</f>
        <v>0</v>
      </c>
      <c r="P180" s="527">
        <f>IF(Inventory!AH183="","",Inventory!AH183)</f>
        <v>0</v>
      </c>
      <c r="Q180" s="527">
        <f>IF(Inventory!AI183="","",Inventory!AI183)</f>
        <v>0</v>
      </c>
      <c r="R180" s="527">
        <f>IF(Inventory!AJ183="","",Inventory!AJ183)</f>
        <v>999999999</v>
      </c>
      <c r="S180" s="777" t="str">
        <f>IF(Inventory!AK183="","",Inventory!AK183)</f>
        <v/>
      </c>
      <c r="T180" s="776" t="str">
        <f>IF(Inventory!AL183="","",Inventory!AL183)</f>
        <v/>
      </c>
      <c r="U180" s="777" t="str">
        <f>IF(Inventory!AM183="","",Inventory!AM183)</f>
        <v/>
      </c>
      <c r="V180" s="767" t="str">
        <f>IF(Inventory!AN183="","",Inventory!AN183)</f>
        <v/>
      </c>
      <c r="W180" s="778" t="str">
        <f>IF(Inventory!AO183="","",Inventory!AO183)</f>
        <v/>
      </c>
      <c r="X180" s="778" t="str">
        <f>IF(Inventory!AP183="","",Inventory!AP183)</f>
        <v/>
      </c>
      <c r="Y180" s="767" t="str">
        <f>IF(Inventory!AQ183="","",Inventory!AQ183)</f>
        <v/>
      </c>
      <c r="Z180" s="778" t="str">
        <f>IF(Inventory!AR183="","",Inventory!AR183)</f>
        <v/>
      </c>
      <c r="AA180" s="751" t="str">
        <f>IF(Inventory!AS183="","",Inventory!AS183)</f>
        <v/>
      </c>
      <c r="AB180" s="871"/>
    </row>
    <row r="181" spans="2:28" s="618" customFormat="1" ht="21.95" customHeight="1" x14ac:dyDescent="0.25">
      <c r="B181" s="431">
        <v>175</v>
      </c>
      <c r="C181" s="501" t="str">
        <f>IF(Inventory!C184="","",Inventory!C184)</f>
        <v/>
      </c>
      <c r="D181" s="502" t="str">
        <f>IF(Inventory!D184="","",Inventory!D184)</f>
        <v/>
      </c>
      <c r="E181" s="557" t="str">
        <f>IF(Inventory!W184="","",Inventory!W184)</f>
        <v/>
      </c>
      <c r="F181" s="788" t="str">
        <f>IF(Inventory!X184="","",Inventory!X184)</f>
        <v/>
      </c>
      <c r="G181" s="788" t="str">
        <f>IF(Inventory!Y184="","",Inventory!Y184)</f>
        <v/>
      </c>
      <c r="H181" s="729" t="str">
        <f>IF(Inventory!Z184="","",Inventory!Z184)</f>
        <v/>
      </c>
      <c r="I181" s="729" t="str">
        <f>IF(Inventory!AA184="","",Inventory!AA184)</f>
        <v/>
      </c>
      <c r="J181" s="729" t="str">
        <f>IF(Inventory!AB184="","",Inventory!AB184)</f>
        <v/>
      </c>
      <c r="K181" s="729" t="str">
        <f>IF(Inventory!AC184="","",Inventory!AC184)</f>
        <v/>
      </c>
      <c r="L181" s="765" t="str">
        <f>IF(Inventory!AD184="","",Inventory!AD184)</f>
        <v/>
      </c>
      <c r="M181" s="527">
        <f>IF(Inventory!AE184="","",Inventory!AE184)</f>
        <v>0</v>
      </c>
      <c r="N181" s="527">
        <f>IF(Inventory!AF184="","",Inventory!AF184)</f>
        <v>0</v>
      </c>
      <c r="O181" s="527">
        <f>IF(Inventory!AG184="","",Inventory!AG184)</f>
        <v>0</v>
      </c>
      <c r="P181" s="527">
        <f>IF(Inventory!AH184="","",Inventory!AH184)</f>
        <v>0</v>
      </c>
      <c r="Q181" s="527">
        <f>IF(Inventory!AI184="","",Inventory!AI184)</f>
        <v>0</v>
      </c>
      <c r="R181" s="527">
        <f>IF(Inventory!AJ184="","",Inventory!AJ184)</f>
        <v>999999999</v>
      </c>
      <c r="S181" s="758" t="str">
        <f>IF(Inventory!AK184="","",Inventory!AK184)</f>
        <v/>
      </c>
      <c r="T181" s="765" t="str">
        <f>IF(Inventory!AL184="","",Inventory!AL184)</f>
        <v/>
      </c>
      <c r="U181" s="758" t="str">
        <f>IF(Inventory!AM184="","",Inventory!AM184)</f>
        <v/>
      </c>
      <c r="V181" s="729" t="str">
        <f>IF(Inventory!AN184="","",Inventory!AN184)</f>
        <v/>
      </c>
      <c r="W181" s="775" t="str">
        <f>IF(Inventory!AO184="","",Inventory!AO184)</f>
        <v/>
      </c>
      <c r="X181" s="775" t="str">
        <f>IF(Inventory!AP184="","",Inventory!AP184)</f>
        <v/>
      </c>
      <c r="Y181" s="729" t="str">
        <f>IF(Inventory!AQ184="","",Inventory!AQ184)</f>
        <v/>
      </c>
      <c r="Z181" s="775" t="str">
        <f>IF(Inventory!AR184="","",Inventory!AR184)</f>
        <v/>
      </c>
      <c r="AA181" s="779" t="str">
        <f>IF(Inventory!AS184="","",Inventory!AS184)</f>
        <v/>
      </c>
      <c r="AB181" s="866"/>
    </row>
    <row r="182" spans="2:28" s="618" customFormat="1" ht="21.95" customHeight="1" x14ac:dyDescent="0.25">
      <c r="B182" s="432">
        <v>176</v>
      </c>
      <c r="C182" s="499" t="str">
        <f>IF(Inventory!C185="","",Inventory!C185)</f>
        <v/>
      </c>
      <c r="D182" s="751" t="str">
        <f>IF(Inventory!D185="","",Inventory!D185)</f>
        <v/>
      </c>
      <c r="E182" s="556" t="str">
        <f>IF(Inventory!W185="","",Inventory!W185)</f>
        <v/>
      </c>
      <c r="F182" s="785" t="str">
        <f>IF(Inventory!X185="","",Inventory!X185)</f>
        <v/>
      </c>
      <c r="G182" s="785" t="str">
        <f>IF(Inventory!Y185="","",Inventory!Y185)</f>
        <v/>
      </c>
      <c r="H182" s="767" t="str">
        <f>IF(Inventory!Z185="","",Inventory!Z185)</f>
        <v/>
      </c>
      <c r="I182" s="767" t="str">
        <f>IF(Inventory!AA185="","",Inventory!AA185)</f>
        <v/>
      </c>
      <c r="J182" s="767" t="str">
        <f>IF(Inventory!AB185="","",Inventory!AB185)</f>
        <v/>
      </c>
      <c r="K182" s="767" t="str">
        <f>IF(Inventory!AC185="","",Inventory!AC185)</f>
        <v/>
      </c>
      <c r="L182" s="776" t="str">
        <f>IF(Inventory!AD185="","",Inventory!AD185)</f>
        <v/>
      </c>
      <c r="M182" s="527">
        <f>IF(Inventory!AE185="","",Inventory!AE185)</f>
        <v>0</v>
      </c>
      <c r="N182" s="527">
        <f>IF(Inventory!AF185="","",Inventory!AF185)</f>
        <v>0</v>
      </c>
      <c r="O182" s="527">
        <f>IF(Inventory!AG185="","",Inventory!AG185)</f>
        <v>0</v>
      </c>
      <c r="P182" s="527">
        <f>IF(Inventory!AH185="","",Inventory!AH185)</f>
        <v>0</v>
      </c>
      <c r="Q182" s="527">
        <f>IF(Inventory!AI185="","",Inventory!AI185)</f>
        <v>0</v>
      </c>
      <c r="R182" s="527">
        <f>IF(Inventory!AJ185="","",Inventory!AJ185)</f>
        <v>999999999</v>
      </c>
      <c r="S182" s="777" t="str">
        <f>IF(Inventory!AK185="","",Inventory!AK185)</f>
        <v/>
      </c>
      <c r="T182" s="776" t="str">
        <f>IF(Inventory!AL185="","",Inventory!AL185)</f>
        <v/>
      </c>
      <c r="U182" s="777" t="str">
        <f>IF(Inventory!AM185="","",Inventory!AM185)</f>
        <v/>
      </c>
      <c r="V182" s="767" t="str">
        <f>IF(Inventory!AN185="","",Inventory!AN185)</f>
        <v/>
      </c>
      <c r="W182" s="778" t="str">
        <f>IF(Inventory!AO185="","",Inventory!AO185)</f>
        <v/>
      </c>
      <c r="X182" s="778" t="str">
        <f>IF(Inventory!AP185="","",Inventory!AP185)</f>
        <v/>
      </c>
      <c r="Y182" s="767" t="str">
        <f>IF(Inventory!AQ185="","",Inventory!AQ185)</f>
        <v/>
      </c>
      <c r="Z182" s="778" t="str">
        <f>IF(Inventory!AR185="","",Inventory!AR185)</f>
        <v/>
      </c>
      <c r="AA182" s="751" t="str">
        <f>IF(Inventory!AS185="","",Inventory!AS185)</f>
        <v/>
      </c>
      <c r="AB182" s="871"/>
    </row>
    <row r="183" spans="2:28" s="618" customFormat="1" ht="21.95" customHeight="1" x14ac:dyDescent="0.25">
      <c r="B183" s="431">
        <v>177</v>
      </c>
      <c r="C183" s="501" t="str">
        <f>IF(Inventory!C186="","",Inventory!C186)</f>
        <v/>
      </c>
      <c r="D183" s="502" t="str">
        <f>IF(Inventory!D186="","",Inventory!D186)</f>
        <v/>
      </c>
      <c r="E183" s="557" t="str">
        <f>IF(Inventory!W186="","",Inventory!W186)</f>
        <v/>
      </c>
      <c r="F183" s="788" t="str">
        <f>IF(Inventory!X186="","",Inventory!X186)</f>
        <v/>
      </c>
      <c r="G183" s="788" t="str">
        <f>IF(Inventory!Y186="","",Inventory!Y186)</f>
        <v/>
      </c>
      <c r="H183" s="729" t="str">
        <f>IF(Inventory!Z186="","",Inventory!Z186)</f>
        <v/>
      </c>
      <c r="I183" s="729" t="str">
        <f>IF(Inventory!AA186="","",Inventory!AA186)</f>
        <v/>
      </c>
      <c r="J183" s="729" t="str">
        <f>IF(Inventory!AB186="","",Inventory!AB186)</f>
        <v/>
      </c>
      <c r="K183" s="729" t="str">
        <f>IF(Inventory!AC186="","",Inventory!AC186)</f>
        <v/>
      </c>
      <c r="L183" s="765" t="str">
        <f>IF(Inventory!AD186="","",Inventory!AD186)</f>
        <v/>
      </c>
      <c r="M183" s="527">
        <f>IF(Inventory!AE186="","",Inventory!AE186)</f>
        <v>0</v>
      </c>
      <c r="N183" s="527">
        <f>IF(Inventory!AF186="","",Inventory!AF186)</f>
        <v>0</v>
      </c>
      <c r="O183" s="527">
        <f>IF(Inventory!AG186="","",Inventory!AG186)</f>
        <v>0</v>
      </c>
      <c r="P183" s="527">
        <f>IF(Inventory!AH186="","",Inventory!AH186)</f>
        <v>0</v>
      </c>
      <c r="Q183" s="527">
        <f>IF(Inventory!AI186="","",Inventory!AI186)</f>
        <v>0</v>
      </c>
      <c r="R183" s="527">
        <f>IF(Inventory!AJ186="","",Inventory!AJ186)</f>
        <v>999999999</v>
      </c>
      <c r="S183" s="758" t="str">
        <f>IF(Inventory!AK186="","",Inventory!AK186)</f>
        <v/>
      </c>
      <c r="T183" s="765" t="str">
        <f>IF(Inventory!AL186="","",Inventory!AL186)</f>
        <v/>
      </c>
      <c r="U183" s="758" t="str">
        <f>IF(Inventory!AM186="","",Inventory!AM186)</f>
        <v/>
      </c>
      <c r="V183" s="729" t="str">
        <f>IF(Inventory!AN186="","",Inventory!AN186)</f>
        <v/>
      </c>
      <c r="W183" s="775" t="str">
        <f>IF(Inventory!AO186="","",Inventory!AO186)</f>
        <v/>
      </c>
      <c r="X183" s="775" t="str">
        <f>IF(Inventory!AP186="","",Inventory!AP186)</f>
        <v/>
      </c>
      <c r="Y183" s="729" t="str">
        <f>IF(Inventory!AQ186="","",Inventory!AQ186)</f>
        <v/>
      </c>
      <c r="Z183" s="775" t="str">
        <f>IF(Inventory!AR186="","",Inventory!AR186)</f>
        <v/>
      </c>
      <c r="AA183" s="779" t="str">
        <f>IF(Inventory!AS186="","",Inventory!AS186)</f>
        <v/>
      </c>
      <c r="AB183" s="866"/>
    </row>
    <row r="184" spans="2:28" s="618" customFormat="1" ht="21.95" customHeight="1" x14ac:dyDescent="0.25">
      <c r="B184" s="432">
        <v>178</v>
      </c>
      <c r="C184" s="499" t="str">
        <f>IF(Inventory!C187="","",Inventory!C187)</f>
        <v/>
      </c>
      <c r="D184" s="751" t="str">
        <f>IF(Inventory!D187="","",Inventory!D187)</f>
        <v/>
      </c>
      <c r="E184" s="556" t="str">
        <f>IF(Inventory!W187="","",Inventory!W187)</f>
        <v/>
      </c>
      <c r="F184" s="785" t="str">
        <f>IF(Inventory!X187="","",Inventory!X187)</f>
        <v/>
      </c>
      <c r="G184" s="785" t="str">
        <f>IF(Inventory!Y187="","",Inventory!Y187)</f>
        <v/>
      </c>
      <c r="H184" s="767" t="str">
        <f>IF(Inventory!Z187="","",Inventory!Z187)</f>
        <v/>
      </c>
      <c r="I184" s="767" t="str">
        <f>IF(Inventory!AA187="","",Inventory!AA187)</f>
        <v/>
      </c>
      <c r="J184" s="767" t="str">
        <f>IF(Inventory!AB187="","",Inventory!AB187)</f>
        <v/>
      </c>
      <c r="K184" s="767" t="str">
        <f>IF(Inventory!AC187="","",Inventory!AC187)</f>
        <v/>
      </c>
      <c r="L184" s="776" t="str">
        <f>IF(Inventory!AD187="","",Inventory!AD187)</f>
        <v/>
      </c>
      <c r="M184" s="527">
        <f>IF(Inventory!AE187="","",Inventory!AE187)</f>
        <v>0</v>
      </c>
      <c r="N184" s="527">
        <f>IF(Inventory!AF187="","",Inventory!AF187)</f>
        <v>0</v>
      </c>
      <c r="O184" s="527">
        <f>IF(Inventory!AG187="","",Inventory!AG187)</f>
        <v>0</v>
      </c>
      <c r="P184" s="527">
        <f>IF(Inventory!AH187="","",Inventory!AH187)</f>
        <v>0</v>
      </c>
      <c r="Q184" s="527">
        <f>IF(Inventory!AI187="","",Inventory!AI187)</f>
        <v>0</v>
      </c>
      <c r="R184" s="527">
        <f>IF(Inventory!AJ187="","",Inventory!AJ187)</f>
        <v>999999999</v>
      </c>
      <c r="S184" s="777" t="str">
        <f>IF(Inventory!AK187="","",Inventory!AK187)</f>
        <v/>
      </c>
      <c r="T184" s="776" t="str">
        <f>IF(Inventory!AL187="","",Inventory!AL187)</f>
        <v/>
      </c>
      <c r="U184" s="777" t="str">
        <f>IF(Inventory!AM187="","",Inventory!AM187)</f>
        <v/>
      </c>
      <c r="V184" s="767" t="str">
        <f>IF(Inventory!AN187="","",Inventory!AN187)</f>
        <v/>
      </c>
      <c r="W184" s="778" t="str">
        <f>IF(Inventory!AO187="","",Inventory!AO187)</f>
        <v/>
      </c>
      <c r="X184" s="778" t="str">
        <f>IF(Inventory!AP187="","",Inventory!AP187)</f>
        <v/>
      </c>
      <c r="Y184" s="767" t="str">
        <f>IF(Inventory!AQ187="","",Inventory!AQ187)</f>
        <v/>
      </c>
      <c r="Z184" s="778" t="str">
        <f>IF(Inventory!AR187="","",Inventory!AR187)</f>
        <v/>
      </c>
      <c r="AA184" s="751" t="str">
        <f>IF(Inventory!AS187="","",Inventory!AS187)</f>
        <v/>
      </c>
      <c r="AB184" s="871"/>
    </row>
    <row r="185" spans="2:28" s="618" customFormat="1" ht="21.95" customHeight="1" x14ac:dyDescent="0.25">
      <c r="B185" s="431">
        <v>179</v>
      </c>
      <c r="C185" s="501" t="str">
        <f>IF(Inventory!C188="","",Inventory!C188)</f>
        <v/>
      </c>
      <c r="D185" s="502" t="str">
        <f>IF(Inventory!D188="","",Inventory!D188)</f>
        <v/>
      </c>
      <c r="E185" s="557" t="str">
        <f>IF(Inventory!W188="","",Inventory!W188)</f>
        <v/>
      </c>
      <c r="F185" s="788" t="str">
        <f>IF(Inventory!X188="","",Inventory!X188)</f>
        <v/>
      </c>
      <c r="G185" s="788" t="str">
        <f>IF(Inventory!Y188="","",Inventory!Y188)</f>
        <v/>
      </c>
      <c r="H185" s="729" t="str">
        <f>IF(Inventory!Z188="","",Inventory!Z188)</f>
        <v/>
      </c>
      <c r="I185" s="729" t="str">
        <f>IF(Inventory!AA188="","",Inventory!AA188)</f>
        <v/>
      </c>
      <c r="J185" s="729" t="str">
        <f>IF(Inventory!AB188="","",Inventory!AB188)</f>
        <v/>
      </c>
      <c r="K185" s="729" t="str">
        <f>IF(Inventory!AC188="","",Inventory!AC188)</f>
        <v/>
      </c>
      <c r="L185" s="765" t="str">
        <f>IF(Inventory!AD188="","",Inventory!AD188)</f>
        <v/>
      </c>
      <c r="M185" s="527">
        <f>IF(Inventory!AE188="","",Inventory!AE188)</f>
        <v>0</v>
      </c>
      <c r="N185" s="527">
        <f>IF(Inventory!AF188="","",Inventory!AF188)</f>
        <v>0</v>
      </c>
      <c r="O185" s="527">
        <f>IF(Inventory!AG188="","",Inventory!AG188)</f>
        <v>0</v>
      </c>
      <c r="P185" s="527">
        <f>IF(Inventory!AH188="","",Inventory!AH188)</f>
        <v>0</v>
      </c>
      <c r="Q185" s="527">
        <f>IF(Inventory!AI188="","",Inventory!AI188)</f>
        <v>0</v>
      </c>
      <c r="R185" s="527">
        <f>IF(Inventory!AJ188="","",Inventory!AJ188)</f>
        <v>999999999</v>
      </c>
      <c r="S185" s="758" t="str">
        <f>IF(Inventory!AK188="","",Inventory!AK188)</f>
        <v/>
      </c>
      <c r="T185" s="765" t="str">
        <f>IF(Inventory!AL188="","",Inventory!AL188)</f>
        <v/>
      </c>
      <c r="U185" s="758" t="str">
        <f>IF(Inventory!AM188="","",Inventory!AM188)</f>
        <v/>
      </c>
      <c r="V185" s="729" t="str">
        <f>IF(Inventory!AN188="","",Inventory!AN188)</f>
        <v/>
      </c>
      <c r="W185" s="775" t="str">
        <f>IF(Inventory!AO188="","",Inventory!AO188)</f>
        <v/>
      </c>
      <c r="X185" s="775" t="str">
        <f>IF(Inventory!AP188="","",Inventory!AP188)</f>
        <v/>
      </c>
      <c r="Y185" s="729" t="str">
        <f>IF(Inventory!AQ188="","",Inventory!AQ188)</f>
        <v/>
      </c>
      <c r="Z185" s="775" t="str">
        <f>IF(Inventory!AR188="","",Inventory!AR188)</f>
        <v/>
      </c>
      <c r="AA185" s="779" t="str">
        <f>IF(Inventory!AS188="","",Inventory!AS188)</f>
        <v/>
      </c>
      <c r="AB185" s="866"/>
    </row>
    <row r="186" spans="2:28" s="618" customFormat="1" ht="21.95" customHeight="1" x14ac:dyDescent="0.25">
      <c r="B186" s="432">
        <v>180</v>
      </c>
      <c r="C186" s="499" t="str">
        <f>IF(Inventory!C189="","",Inventory!C189)</f>
        <v/>
      </c>
      <c r="D186" s="751" t="str">
        <f>IF(Inventory!D189="","",Inventory!D189)</f>
        <v/>
      </c>
      <c r="E186" s="556" t="str">
        <f>IF(Inventory!W189="","",Inventory!W189)</f>
        <v/>
      </c>
      <c r="F186" s="785" t="str">
        <f>IF(Inventory!X189="","",Inventory!X189)</f>
        <v/>
      </c>
      <c r="G186" s="785" t="str">
        <f>IF(Inventory!Y189="","",Inventory!Y189)</f>
        <v/>
      </c>
      <c r="H186" s="767" t="str">
        <f>IF(Inventory!Z189="","",Inventory!Z189)</f>
        <v/>
      </c>
      <c r="I186" s="767" t="str">
        <f>IF(Inventory!AA189="","",Inventory!AA189)</f>
        <v/>
      </c>
      <c r="J186" s="767" t="str">
        <f>IF(Inventory!AB189="","",Inventory!AB189)</f>
        <v/>
      </c>
      <c r="K186" s="767" t="str">
        <f>IF(Inventory!AC189="","",Inventory!AC189)</f>
        <v/>
      </c>
      <c r="L186" s="776" t="str">
        <f>IF(Inventory!AD189="","",Inventory!AD189)</f>
        <v/>
      </c>
      <c r="M186" s="527">
        <f>IF(Inventory!AE189="","",Inventory!AE189)</f>
        <v>0</v>
      </c>
      <c r="N186" s="527">
        <f>IF(Inventory!AF189="","",Inventory!AF189)</f>
        <v>0</v>
      </c>
      <c r="O186" s="527">
        <f>IF(Inventory!AG189="","",Inventory!AG189)</f>
        <v>0</v>
      </c>
      <c r="P186" s="527">
        <f>IF(Inventory!AH189="","",Inventory!AH189)</f>
        <v>0</v>
      </c>
      <c r="Q186" s="527">
        <f>IF(Inventory!AI189="","",Inventory!AI189)</f>
        <v>0</v>
      </c>
      <c r="R186" s="527">
        <f>IF(Inventory!AJ189="","",Inventory!AJ189)</f>
        <v>999999999</v>
      </c>
      <c r="S186" s="777" t="str">
        <f>IF(Inventory!AK189="","",Inventory!AK189)</f>
        <v/>
      </c>
      <c r="T186" s="776" t="str">
        <f>IF(Inventory!AL189="","",Inventory!AL189)</f>
        <v/>
      </c>
      <c r="U186" s="777" t="str">
        <f>IF(Inventory!AM189="","",Inventory!AM189)</f>
        <v/>
      </c>
      <c r="V186" s="767" t="str">
        <f>IF(Inventory!AN189="","",Inventory!AN189)</f>
        <v/>
      </c>
      <c r="W186" s="778" t="str">
        <f>IF(Inventory!AO189="","",Inventory!AO189)</f>
        <v/>
      </c>
      <c r="X186" s="778" t="str">
        <f>IF(Inventory!AP189="","",Inventory!AP189)</f>
        <v/>
      </c>
      <c r="Y186" s="767" t="str">
        <f>IF(Inventory!AQ189="","",Inventory!AQ189)</f>
        <v/>
      </c>
      <c r="Z186" s="778" t="str">
        <f>IF(Inventory!AR189="","",Inventory!AR189)</f>
        <v/>
      </c>
      <c r="AA186" s="751" t="str">
        <f>IF(Inventory!AS189="","",Inventory!AS189)</f>
        <v/>
      </c>
      <c r="AB186" s="871"/>
    </row>
    <row r="187" spans="2:28" s="618" customFormat="1" ht="21.95" customHeight="1" x14ac:dyDescent="0.25">
      <c r="B187" s="431">
        <v>181</v>
      </c>
      <c r="C187" s="501" t="str">
        <f>IF(Inventory!C190="","",Inventory!C190)</f>
        <v/>
      </c>
      <c r="D187" s="502" t="str">
        <f>IF(Inventory!D190="","",Inventory!D190)</f>
        <v/>
      </c>
      <c r="E187" s="557" t="str">
        <f>IF(Inventory!W190="","",Inventory!W190)</f>
        <v/>
      </c>
      <c r="F187" s="788" t="str">
        <f>IF(Inventory!X190="","",Inventory!X190)</f>
        <v/>
      </c>
      <c r="G187" s="788" t="str">
        <f>IF(Inventory!Y190="","",Inventory!Y190)</f>
        <v/>
      </c>
      <c r="H187" s="729" t="str">
        <f>IF(Inventory!Z190="","",Inventory!Z190)</f>
        <v/>
      </c>
      <c r="I187" s="729" t="str">
        <f>IF(Inventory!AA190="","",Inventory!AA190)</f>
        <v/>
      </c>
      <c r="J187" s="729" t="str">
        <f>IF(Inventory!AB190="","",Inventory!AB190)</f>
        <v/>
      </c>
      <c r="K187" s="729" t="str">
        <f>IF(Inventory!AC190="","",Inventory!AC190)</f>
        <v/>
      </c>
      <c r="L187" s="765" t="str">
        <f>IF(Inventory!AD190="","",Inventory!AD190)</f>
        <v/>
      </c>
      <c r="M187" s="527">
        <f>IF(Inventory!AE190="","",Inventory!AE190)</f>
        <v>0</v>
      </c>
      <c r="N187" s="527">
        <f>IF(Inventory!AF190="","",Inventory!AF190)</f>
        <v>0</v>
      </c>
      <c r="O187" s="527">
        <f>IF(Inventory!AG190="","",Inventory!AG190)</f>
        <v>0</v>
      </c>
      <c r="P187" s="527">
        <f>IF(Inventory!AH190="","",Inventory!AH190)</f>
        <v>0</v>
      </c>
      <c r="Q187" s="527">
        <f>IF(Inventory!AI190="","",Inventory!AI190)</f>
        <v>0</v>
      </c>
      <c r="R187" s="527">
        <f>IF(Inventory!AJ190="","",Inventory!AJ190)</f>
        <v>999999999</v>
      </c>
      <c r="S187" s="758" t="str">
        <f>IF(Inventory!AK190="","",Inventory!AK190)</f>
        <v/>
      </c>
      <c r="T187" s="765" t="str">
        <f>IF(Inventory!AL190="","",Inventory!AL190)</f>
        <v/>
      </c>
      <c r="U187" s="758" t="str">
        <f>IF(Inventory!AM190="","",Inventory!AM190)</f>
        <v/>
      </c>
      <c r="V187" s="729" t="str">
        <f>IF(Inventory!AN190="","",Inventory!AN190)</f>
        <v/>
      </c>
      <c r="W187" s="775" t="str">
        <f>IF(Inventory!AO190="","",Inventory!AO190)</f>
        <v/>
      </c>
      <c r="X187" s="775" t="str">
        <f>IF(Inventory!AP190="","",Inventory!AP190)</f>
        <v/>
      </c>
      <c r="Y187" s="729" t="str">
        <f>IF(Inventory!AQ190="","",Inventory!AQ190)</f>
        <v/>
      </c>
      <c r="Z187" s="775" t="str">
        <f>IF(Inventory!AR190="","",Inventory!AR190)</f>
        <v/>
      </c>
      <c r="AA187" s="779" t="str">
        <f>IF(Inventory!AS190="","",Inventory!AS190)</f>
        <v/>
      </c>
      <c r="AB187" s="866"/>
    </row>
    <row r="188" spans="2:28" s="618" customFormat="1" ht="21.95" customHeight="1" x14ac:dyDescent="0.25">
      <c r="B188" s="432">
        <v>182</v>
      </c>
      <c r="C188" s="499" t="str">
        <f>IF(Inventory!C191="","",Inventory!C191)</f>
        <v/>
      </c>
      <c r="D188" s="751" t="str">
        <f>IF(Inventory!D191="","",Inventory!D191)</f>
        <v/>
      </c>
      <c r="E188" s="556" t="str">
        <f>IF(Inventory!W191="","",Inventory!W191)</f>
        <v/>
      </c>
      <c r="F188" s="785" t="str">
        <f>IF(Inventory!X191="","",Inventory!X191)</f>
        <v/>
      </c>
      <c r="G188" s="785" t="str">
        <f>IF(Inventory!Y191="","",Inventory!Y191)</f>
        <v/>
      </c>
      <c r="H188" s="767" t="str">
        <f>IF(Inventory!Z191="","",Inventory!Z191)</f>
        <v/>
      </c>
      <c r="I188" s="767" t="str">
        <f>IF(Inventory!AA191="","",Inventory!AA191)</f>
        <v/>
      </c>
      <c r="J188" s="767" t="str">
        <f>IF(Inventory!AB191="","",Inventory!AB191)</f>
        <v/>
      </c>
      <c r="K188" s="767" t="str">
        <f>IF(Inventory!AC191="","",Inventory!AC191)</f>
        <v/>
      </c>
      <c r="L188" s="776" t="str">
        <f>IF(Inventory!AD191="","",Inventory!AD191)</f>
        <v/>
      </c>
      <c r="M188" s="527">
        <f>IF(Inventory!AE191="","",Inventory!AE191)</f>
        <v>0</v>
      </c>
      <c r="N188" s="527">
        <f>IF(Inventory!AF191="","",Inventory!AF191)</f>
        <v>0</v>
      </c>
      <c r="O188" s="527">
        <f>IF(Inventory!AG191="","",Inventory!AG191)</f>
        <v>0</v>
      </c>
      <c r="P188" s="527">
        <f>IF(Inventory!AH191="","",Inventory!AH191)</f>
        <v>0</v>
      </c>
      <c r="Q188" s="527">
        <f>IF(Inventory!AI191="","",Inventory!AI191)</f>
        <v>0</v>
      </c>
      <c r="R188" s="527">
        <f>IF(Inventory!AJ191="","",Inventory!AJ191)</f>
        <v>999999999</v>
      </c>
      <c r="S188" s="777" t="str">
        <f>IF(Inventory!AK191="","",Inventory!AK191)</f>
        <v/>
      </c>
      <c r="T188" s="776" t="str">
        <f>IF(Inventory!AL191="","",Inventory!AL191)</f>
        <v/>
      </c>
      <c r="U188" s="777" t="str">
        <f>IF(Inventory!AM191="","",Inventory!AM191)</f>
        <v/>
      </c>
      <c r="V188" s="767" t="str">
        <f>IF(Inventory!AN191="","",Inventory!AN191)</f>
        <v/>
      </c>
      <c r="W188" s="778" t="str">
        <f>IF(Inventory!AO191="","",Inventory!AO191)</f>
        <v/>
      </c>
      <c r="X188" s="778" t="str">
        <f>IF(Inventory!AP191="","",Inventory!AP191)</f>
        <v/>
      </c>
      <c r="Y188" s="767" t="str">
        <f>IF(Inventory!AQ191="","",Inventory!AQ191)</f>
        <v/>
      </c>
      <c r="Z188" s="778" t="str">
        <f>IF(Inventory!AR191="","",Inventory!AR191)</f>
        <v/>
      </c>
      <c r="AA188" s="751" t="str">
        <f>IF(Inventory!AS191="","",Inventory!AS191)</f>
        <v/>
      </c>
      <c r="AB188" s="871"/>
    </row>
    <row r="189" spans="2:28" s="618" customFormat="1" ht="21.95" customHeight="1" x14ac:dyDescent="0.25">
      <c r="B189" s="431">
        <v>183</v>
      </c>
      <c r="C189" s="501" t="str">
        <f>IF(Inventory!C192="","",Inventory!C192)</f>
        <v/>
      </c>
      <c r="D189" s="502" t="str">
        <f>IF(Inventory!D192="","",Inventory!D192)</f>
        <v/>
      </c>
      <c r="E189" s="557" t="str">
        <f>IF(Inventory!W192="","",Inventory!W192)</f>
        <v/>
      </c>
      <c r="F189" s="788" t="str">
        <f>IF(Inventory!X192="","",Inventory!X192)</f>
        <v/>
      </c>
      <c r="G189" s="788" t="str">
        <f>IF(Inventory!Y192="","",Inventory!Y192)</f>
        <v/>
      </c>
      <c r="H189" s="729" t="str">
        <f>IF(Inventory!Z192="","",Inventory!Z192)</f>
        <v/>
      </c>
      <c r="I189" s="729" t="str">
        <f>IF(Inventory!AA192="","",Inventory!AA192)</f>
        <v/>
      </c>
      <c r="J189" s="729" t="str">
        <f>IF(Inventory!AB192="","",Inventory!AB192)</f>
        <v/>
      </c>
      <c r="K189" s="729" t="str">
        <f>IF(Inventory!AC192="","",Inventory!AC192)</f>
        <v/>
      </c>
      <c r="L189" s="765" t="str">
        <f>IF(Inventory!AD192="","",Inventory!AD192)</f>
        <v/>
      </c>
      <c r="M189" s="527">
        <f>IF(Inventory!AE192="","",Inventory!AE192)</f>
        <v>0</v>
      </c>
      <c r="N189" s="527">
        <f>IF(Inventory!AF192="","",Inventory!AF192)</f>
        <v>0</v>
      </c>
      <c r="O189" s="527">
        <f>IF(Inventory!AG192="","",Inventory!AG192)</f>
        <v>0</v>
      </c>
      <c r="P189" s="527">
        <f>IF(Inventory!AH192="","",Inventory!AH192)</f>
        <v>0</v>
      </c>
      <c r="Q189" s="527">
        <f>IF(Inventory!AI192="","",Inventory!AI192)</f>
        <v>0</v>
      </c>
      <c r="R189" s="527">
        <f>IF(Inventory!AJ192="","",Inventory!AJ192)</f>
        <v>999999999</v>
      </c>
      <c r="S189" s="758" t="str">
        <f>IF(Inventory!AK192="","",Inventory!AK192)</f>
        <v/>
      </c>
      <c r="T189" s="765" t="str">
        <f>IF(Inventory!AL192="","",Inventory!AL192)</f>
        <v/>
      </c>
      <c r="U189" s="758" t="str">
        <f>IF(Inventory!AM192="","",Inventory!AM192)</f>
        <v/>
      </c>
      <c r="V189" s="729" t="str">
        <f>IF(Inventory!AN192="","",Inventory!AN192)</f>
        <v/>
      </c>
      <c r="W189" s="775" t="str">
        <f>IF(Inventory!AO192="","",Inventory!AO192)</f>
        <v/>
      </c>
      <c r="X189" s="775" t="str">
        <f>IF(Inventory!AP192="","",Inventory!AP192)</f>
        <v/>
      </c>
      <c r="Y189" s="729" t="str">
        <f>IF(Inventory!AQ192="","",Inventory!AQ192)</f>
        <v/>
      </c>
      <c r="Z189" s="775" t="str">
        <f>IF(Inventory!AR192="","",Inventory!AR192)</f>
        <v/>
      </c>
      <c r="AA189" s="779" t="str">
        <f>IF(Inventory!AS192="","",Inventory!AS192)</f>
        <v/>
      </c>
      <c r="AB189" s="866"/>
    </row>
    <row r="190" spans="2:28" s="618" customFormat="1" ht="21.95" customHeight="1" x14ac:dyDescent="0.25">
      <c r="B190" s="432">
        <v>184</v>
      </c>
      <c r="C190" s="499" t="str">
        <f>IF(Inventory!C193="","",Inventory!C193)</f>
        <v/>
      </c>
      <c r="D190" s="751" t="str">
        <f>IF(Inventory!D193="","",Inventory!D193)</f>
        <v/>
      </c>
      <c r="E190" s="556" t="str">
        <f>IF(Inventory!W193="","",Inventory!W193)</f>
        <v/>
      </c>
      <c r="F190" s="785" t="str">
        <f>IF(Inventory!X193="","",Inventory!X193)</f>
        <v/>
      </c>
      <c r="G190" s="785" t="str">
        <f>IF(Inventory!Y193="","",Inventory!Y193)</f>
        <v/>
      </c>
      <c r="H190" s="767" t="str">
        <f>IF(Inventory!Z193="","",Inventory!Z193)</f>
        <v/>
      </c>
      <c r="I190" s="767" t="str">
        <f>IF(Inventory!AA193="","",Inventory!AA193)</f>
        <v/>
      </c>
      <c r="J190" s="767" t="str">
        <f>IF(Inventory!AB193="","",Inventory!AB193)</f>
        <v/>
      </c>
      <c r="K190" s="767" t="str">
        <f>IF(Inventory!AC193="","",Inventory!AC193)</f>
        <v/>
      </c>
      <c r="L190" s="776" t="str">
        <f>IF(Inventory!AD193="","",Inventory!AD193)</f>
        <v/>
      </c>
      <c r="M190" s="527">
        <f>IF(Inventory!AE193="","",Inventory!AE193)</f>
        <v>0</v>
      </c>
      <c r="N190" s="527">
        <f>IF(Inventory!AF193="","",Inventory!AF193)</f>
        <v>0</v>
      </c>
      <c r="O190" s="527">
        <f>IF(Inventory!AG193="","",Inventory!AG193)</f>
        <v>0</v>
      </c>
      <c r="P190" s="527">
        <f>IF(Inventory!AH193="","",Inventory!AH193)</f>
        <v>0</v>
      </c>
      <c r="Q190" s="527">
        <f>IF(Inventory!AI193="","",Inventory!AI193)</f>
        <v>0</v>
      </c>
      <c r="R190" s="527">
        <f>IF(Inventory!AJ193="","",Inventory!AJ193)</f>
        <v>999999999</v>
      </c>
      <c r="S190" s="777" t="str">
        <f>IF(Inventory!AK193="","",Inventory!AK193)</f>
        <v/>
      </c>
      <c r="T190" s="776" t="str">
        <f>IF(Inventory!AL193="","",Inventory!AL193)</f>
        <v/>
      </c>
      <c r="U190" s="777" t="str">
        <f>IF(Inventory!AM193="","",Inventory!AM193)</f>
        <v/>
      </c>
      <c r="V190" s="767" t="str">
        <f>IF(Inventory!AN193="","",Inventory!AN193)</f>
        <v/>
      </c>
      <c r="W190" s="778" t="str">
        <f>IF(Inventory!AO193="","",Inventory!AO193)</f>
        <v/>
      </c>
      <c r="X190" s="778" t="str">
        <f>IF(Inventory!AP193="","",Inventory!AP193)</f>
        <v/>
      </c>
      <c r="Y190" s="767" t="str">
        <f>IF(Inventory!AQ193="","",Inventory!AQ193)</f>
        <v/>
      </c>
      <c r="Z190" s="778" t="str">
        <f>IF(Inventory!AR193="","",Inventory!AR193)</f>
        <v/>
      </c>
      <c r="AA190" s="751" t="str">
        <f>IF(Inventory!AS193="","",Inventory!AS193)</f>
        <v/>
      </c>
      <c r="AB190" s="871"/>
    </row>
    <row r="191" spans="2:28" s="618" customFormat="1" ht="21.95" customHeight="1" x14ac:dyDescent="0.25">
      <c r="B191" s="431">
        <v>185</v>
      </c>
      <c r="C191" s="501" t="str">
        <f>IF(Inventory!C194="","",Inventory!C194)</f>
        <v/>
      </c>
      <c r="D191" s="502" t="str">
        <f>IF(Inventory!D194="","",Inventory!D194)</f>
        <v/>
      </c>
      <c r="E191" s="557" t="str">
        <f>IF(Inventory!W194="","",Inventory!W194)</f>
        <v/>
      </c>
      <c r="F191" s="788" t="str">
        <f>IF(Inventory!X194="","",Inventory!X194)</f>
        <v/>
      </c>
      <c r="G191" s="788" t="str">
        <f>IF(Inventory!Y194="","",Inventory!Y194)</f>
        <v/>
      </c>
      <c r="H191" s="729" t="str">
        <f>IF(Inventory!Z194="","",Inventory!Z194)</f>
        <v/>
      </c>
      <c r="I191" s="729" t="str">
        <f>IF(Inventory!AA194="","",Inventory!AA194)</f>
        <v/>
      </c>
      <c r="J191" s="729" t="str">
        <f>IF(Inventory!AB194="","",Inventory!AB194)</f>
        <v/>
      </c>
      <c r="K191" s="729" t="str">
        <f>IF(Inventory!AC194="","",Inventory!AC194)</f>
        <v/>
      </c>
      <c r="L191" s="765" t="str">
        <f>IF(Inventory!AD194="","",Inventory!AD194)</f>
        <v/>
      </c>
      <c r="M191" s="527">
        <f>IF(Inventory!AE194="","",Inventory!AE194)</f>
        <v>0</v>
      </c>
      <c r="N191" s="527">
        <f>IF(Inventory!AF194="","",Inventory!AF194)</f>
        <v>0</v>
      </c>
      <c r="O191" s="527">
        <f>IF(Inventory!AG194="","",Inventory!AG194)</f>
        <v>0</v>
      </c>
      <c r="P191" s="527">
        <f>IF(Inventory!AH194="","",Inventory!AH194)</f>
        <v>0</v>
      </c>
      <c r="Q191" s="527">
        <f>IF(Inventory!AI194="","",Inventory!AI194)</f>
        <v>0</v>
      </c>
      <c r="R191" s="527">
        <f>IF(Inventory!AJ194="","",Inventory!AJ194)</f>
        <v>999999999</v>
      </c>
      <c r="S191" s="758" t="str">
        <f>IF(Inventory!AK194="","",Inventory!AK194)</f>
        <v/>
      </c>
      <c r="T191" s="765" t="str">
        <f>IF(Inventory!AL194="","",Inventory!AL194)</f>
        <v/>
      </c>
      <c r="U191" s="758" t="str">
        <f>IF(Inventory!AM194="","",Inventory!AM194)</f>
        <v/>
      </c>
      <c r="V191" s="729" t="str">
        <f>IF(Inventory!AN194="","",Inventory!AN194)</f>
        <v/>
      </c>
      <c r="W191" s="775" t="str">
        <f>IF(Inventory!AO194="","",Inventory!AO194)</f>
        <v/>
      </c>
      <c r="X191" s="775" t="str">
        <f>IF(Inventory!AP194="","",Inventory!AP194)</f>
        <v/>
      </c>
      <c r="Y191" s="729" t="str">
        <f>IF(Inventory!AQ194="","",Inventory!AQ194)</f>
        <v/>
      </c>
      <c r="Z191" s="775" t="str">
        <f>IF(Inventory!AR194="","",Inventory!AR194)</f>
        <v/>
      </c>
      <c r="AA191" s="779" t="str">
        <f>IF(Inventory!AS194="","",Inventory!AS194)</f>
        <v/>
      </c>
      <c r="AB191" s="866"/>
    </row>
    <row r="192" spans="2:28" s="618" customFormat="1" ht="21.95" customHeight="1" x14ac:dyDescent="0.25">
      <c r="B192" s="432">
        <v>186</v>
      </c>
      <c r="C192" s="499" t="str">
        <f>IF(Inventory!C195="","",Inventory!C195)</f>
        <v/>
      </c>
      <c r="D192" s="751" t="str">
        <f>IF(Inventory!D195="","",Inventory!D195)</f>
        <v/>
      </c>
      <c r="E192" s="556" t="str">
        <f>IF(Inventory!W195="","",Inventory!W195)</f>
        <v/>
      </c>
      <c r="F192" s="785" t="str">
        <f>IF(Inventory!X195="","",Inventory!X195)</f>
        <v/>
      </c>
      <c r="G192" s="785" t="str">
        <f>IF(Inventory!Y195="","",Inventory!Y195)</f>
        <v/>
      </c>
      <c r="H192" s="767" t="str">
        <f>IF(Inventory!Z195="","",Inventory!Z195)</f>
        <v/>
      </c>
      <c r="I192" s="767" t="str">
        <f>IF(Inventory!AA195="","",Inventory!AA195)</f>
        <v/>
      </c>
      <c r="J192" s="767" t="str">
        <f>IF(Inventory!AB195="","",Inventory!AB195)</f>
        <v/>
      </c>
      <c r="K192" s="767" t="str">
        <f>IF(Inventory!AC195="","",Inventory!AC195)</f>
        <v/>
      </c>
      <c r="L192" s="776" t="str">
        <f>IF(Inventory!AD195="","",Inventory!AD195)</f>
        <v/>
      </c>
      <c r="M192" s="527">
        <f>IF(Inventory!AE195="","",Inventory!AE195)</f>
        <v>0</v>
      </c>
      <c r="N192" s="527">
        <f>IF(Inventory!AF195="","",Inventory!AF195)</f>
        <v>0</v>
      </c>
      <c r="O192" s="527">
        <f>IF(Inventory!AG195="","",Inventory!AG195)</f>
        <v>0</v>
      </c>
      <c r="P192" s="527">
        <f>IF(Inventory!AH195="","",Inventory!AH195)</f>
        <v>0</v>
      </c>
      <c r="Q192" s="527">
        <f>IF(Inventory!AI195="","",Inventory!AI195)</f>
        <v>0</v>
      </c>
      <c r="R192" s="527">
        <f>IF(Inventory!AJ195="","",Inventory!AJ195)</f>
        <v>999999999</v>
      </c>
      <c r="S192" s="777" t="str">
        <f>IF(Inventory!AK195="","",Inventory!AK195)</f>
        <v/>
      </c>
      <c r="T192" s="776" t="str">
        <f>IF(Inventory!AL195="","",Inventory!AL195)</f>
        <v/>
      </c>
      <c r="U192" s="777" t="str">
        <f>IF(Inventory!AM195="","",Inventory!AM195)</f>
        <v/>
      </c>
      <c r="V192" s="767" t="str">
        <f>IF(Inventory!AN195="","",Inventory!AN195)</f>
        <v/>
      </c>
      <c r="W192" s="778" t="str">
        <f>IF(Inventory!AO195="","",Inventory!AO195)</f>
        <v/>
      </c>
      <c r="X192" s="778" t="str">
        <f>IF(Inventory!AP195="","",Inventory!AP195)</f>
        <v/>
      </c>
      <c r="Y192" s="767" t="str">
        <f>IF(Inventory!AQ195="","",Inventory!AQ195)</f>
        <v/>
      </c>
      <c r="Z192" s="778" t="str">
        <f>IF(Inventory!AR195="","",Inventory!AR195)</f>
        <v/>
      </c>
      <c r="AA192" s="751" t="str">
        <f>IF(Inventory!AS195="","",Inventory!AS195)</f>
        <v/>
      </c>
      <c r="AB192" s="871"/>
    </row>
    <row r="193" spans="2:28" s="618" customFormat="1" ht="21.95" customHeight="1" x14ac:dyDescent="0.25">
      <c r="B193" s="431">
        <v>187</v>
      </c>
      <c r="C193" s="501" t="str">
        <f>IF(Inventory!C196="","",Inventory!C196)</f>
        <v/>
      </c>
      <c r="D193" s="502" t="str">
        <f>IF(Inventory!D196="","",Inventory!D196)</f>
        <v/>
      </c>
      <c r="E193" s="557" t="str">
        <f>IF(Inventory!W196="","",Inventory!W196)</f>
        <v/>
      </c>
      <c r="F193" s="788" t="str">
        <f>IF(Inventory!X196="","",Inventory!X196)</f>
        <v/>
      </c>
      <c r="G193" s="788" t="str">
        <f>IF(Inventory!Y196="","",Inventory!Y196)</f>
        <v/>
      </c>
      <c r="H193" s="729" t="str">
        <f>IF(Inventory!Z196="","",Inventory!Z196)</f>
        <v/>
      </c>
      <c r="I193" s="729" t="str">
        <f>IF(Inventory!AA196="","",Inventory!AA196)</f>
        <v/>
      </c>
      <c r="J193" s="729" t="str">
        <f>IF(Inventory!AB196="","",Inventory!AB196)</f>
        <v/>
      </c>
      <c r="K193" s="729" t="str">
        <f>IF(Inventory!AC196="","",Inventory!AC196)</f>
        <v/>
      </c>
      <c r="L193" s="765" t="str">
        <f>IF(Inventory!AD196="","",Inventory!AD196)</f>
        <v/>
      </c>
      <c r="M193" s="527">
        <f>IF(Inventory!AE196="","",Inventory!AE196)</f>
        <v>0</v>
      </c>
      <c r="N193" s="527">
        <f>IF(Inventory!AF196="","",Inventory!AF196)</f>
        <v>0</v>
      </c>
      <c r="O193" s="527">
        <f>IF(Inventory!AG196="","",Inventory!AG196)</f>
        <v>0</v>
      </c>
      <c r="P193" s="527">
        <f>IF(Inventory!AH196="","",Inventory!AH196)</f>
        <v>0</v>
      </c>
      <c r="Q193" s="527">
        <f>IF(Inventory!AI196="","",Inventory!AI196)</f>
        <v>0</v>
      </c>
      <c r="R193" s="527">
        <f>IF(Inventory!AJ196="","",Inventory!AJ196)</f>
        <v>999999999</v>
      </c>
      <c r="S193" s="758" t="str">
        <f>IF(Inventory!AK196="","",Inventory!AK196)</f>
        <v/>
      </c>
      <c r="T193" s="765" t="str">
        <f>IF(Inventory!AL196="","",Inventory!AL196)</f>
        <v/>
      </c>
      <c r="U193" s="758" t="str">
        <f>IF(Inventory!AM196="","",Inventory!AM196)</f>
        <v/>
      </c>
      <c r="V193" s="729" t="str">
        <f>IF(Inventory!AN196="","",Inventory!AN196)</f>
        <v/>
      </c>
      <c r="W193" s="775" t="str">
        <f>IF(Inventory!AO196="","",Inventory!AO196)</f>
        <v/>
      </c>
      <c r="X193" s="775" t="str">
        <f>IF(Inventory!AP196="","",Inventory!AP196)</f>
        <v/>
      </c>
      <c r="Y193" s="729" t="str">
        <f>IF(Inventory!AQ196="","",Inventory!AQ196)</f>
        <v/>
      </c>
      <c r="Z193" s="775" t="str">
        <f>IF(Inventory!AR196="","",Inventory!AR196)</f>
        <v/>
      </c>
      <c r="AA193" s="779" t="str">
        <f>IF(Inventory!AS196="","",Inventory!AS196)</f>
        <v/>
      </c>
      <c r="AB193" s="866"/>
    </row>
    <row r="194" spans="2:28" s="618" customFormat="1" ht="21.95" customHeight="1" x14ac:dyDescent="0.25">
      <c r="B194" s="432">
        <v>188</v>
      </c>
      <c r="C194" s="499" t="str">
        <f>IF(Inventory!C197="","",Inventory!C197)</f>
        <v/>
      </c>
      <c r="D194" s="751" t="str">
        <f>IF(Inventory!D197="","",Inventory!D197)</f>
        <v/>
      </c>
      <c r="E194" s="556" t="str">
        <f>IF(Inventory!W197="","",Inventory!W197)</f>
        <v/>
      </c>
      <c r="F194" s="785" t="str">
        <f>IF(Inventory!X197="","",Inventory!X197)</f>
        <v/>
      </c>
      <c r="G194" s="785" t="str">
        <f>IF(Inventory!Y197="","",Inventory!Y197)</f>
        <v/>
      </c>
      <c r="H194" s="767" t="str">
        <f>IF(Inventory!Z197="","",Inventory!Z197)</f>
        <v/>
      </c>
      <c r="I194" s="767" t="str">
        <f>IF(Inventory!AA197="","",Inventory!AA197)</f>
        <v/>
      </c>
      <c r="J194" s="767" t="str">
        <f>IF(Inventory!AB197="","",Inventory!AB197)</f>
        <v/>
      </c>
      <c r="K194" s="767" t="str">
        <f>IF(Inventory!AC197="","",Inventory!AC197)</f>
        <v/>
      </c>
      <c r="L194" s="776" t="str">
        <f>IF(Inventory!AD197="","",Inventory!AD197)</f>
        <v/>
      </c>
      <c r="M194" s="527">
        <f>IF(Inventory!AE197="","",Inventory!AE197)</f>
        <v>0</v>
      </c>
      <c r="N194" s="527">
        <f>IF(Inventory!AF197="","",Inventory!AF197)</f>
        <v>0</v>
      </c>
      <c r="O194" s="527">
        <f>IF(Inventory!AG197="","",Inventory!AG197)</f>
        <v>0</v>
      </c>
      <c r="P194" s="527">
        <f>IF(Inventory!AH197="","",Inventory!AH197)</f>
        <v>0</v>
      </c>
      <c r="Q194" s="527">
        <f>IF(Inventory!AI197="","",Inventory!AI197)</f>
        <v>0</v>
      </c>
      <c r="R194" s="527">
        <f>IF(Inventory!AJ197="","",Inventory!AJ197)</f>
        <v>999999999</v>
      </c>
      <c r="S194" s="777" t="str">
        <f>IF(Inventory!AK197="","",Inventory!AK197)</f>
        <v/>
      </c>
      <c r="T194" s="776" t="str">
        <f>IF(Inventory!AL197="","",Inventory!AL197)</f>
        <v/>
      </c>
      <c r="U194" s="777" t="str">
        <f>IF(Inventory!AM197="","",Inventory!AM197)</f>
        <v/>
      </c>
      <c r="V194" s="767" t="str">
        <f>IF(Inventory!AN197="","",Inventory!AN197)</f>
        <v/>
      </c>
      <c r="W194" s="778" t="str">
        <f>IF(Inventory!AO197="","",Inventory!AO197)</f>
        <v/>
      </c>
      <c r="X194" s="778" t="str">
        <f>IF(Inventory!AP197="","",Inventory!AP197)</f>
        <v/>
      </c>
      <c r="Y194" s="767" t="str">
        <f>IF(Inventory!AQ197="","",Inventory!AQ197)</f>
        <v/>
      </c>
      <c r="Z194" s="778" t="str">
        <f>IF(Inventory!AR197="","",Inventory!AR197)</f>
        <v/>
      </c>
      <c r="AA194" s="751" t="str">
        <f>IF(Inventory!AS197="","",Inventory!AS197)</f>
        <v/>
      </c>
      <c r="AB194" s="871"/>
    </row>
    <row r="195" spans="2:28" s="618" customFormat="1" ht="21.95" customHeight="1" x14ac:dyDescent="0.25">
      <c r="B195" s="431">
        <v>189</v>
      </c>
      <c r="C195" s="501" t="str">
        <f>IF(Inventory!C198="","",Inventory!C198)</f>
        <v/>
      </c>
      <c r="D195" s="502" t="str">
        <f>IF(Inventory!D198="","",Inventory!D198)</f>
        <v/>
      </c>
      <c r="E195" s="557" t="str">
        <f>IF(Inventory!W198="","",Inventory!W198)</f>
        <v/>
      </c>
      <c r="F195" s="788" t="str">
        <f>IF(Inventory!X198="","",Inventory!X198)</f>
        <v/>
      </c>
      <c r="G195" s="788" t="str">
        <f>IF(Inventory!Y198="","",Inventory!Y198)</f>
        <v/>
      </c>
      <c r="H195" s="729" t="str">
        <f>IF(Inventory!Z198="","",Inventory!Z198)</f>
        <v/>
      </c>
      <c r="I195" s="729" t="str">
        <f>IF(Inventory!AA198="","",Inventory!AA198)</f>
        <v/>
      </c>
      <c r="J195" s="729" t="str">
        <f>IF(Inventory!AB198="","",Inventory!AB198)</f>
        <v/>
      </c>
      <c r="K195" s="729" t="str">
        <f>IF(Inventory!AC198="","",Inventory!AC198)</f>
        <v/>
      </c>
      <c r="L195" s="765" t="str">
        <f>IF(Inventory!AD198="","",Inventory!AD198)</f>
        <v/>
      </c>
      <c r="M195" s="527">
        <f>IF(Inventory!AE198="","",Inventory!AE198)</f>
        <v>0</v>
      </c>
      <c r="N195" s="527">
        <f>IF(Inventory!AF198="","",Inventory!AF198)</f>
        <v>0</v>
      </c>
      <c r="O195" s="527">
        <f>IF(Inventory!AG198="","",Inventory!AG198)</f>
        <v>0</v>
      </c>
      <c r="P195" s="527">
        <f>IF(Inventory!AH198="","",Inventory!AH198)</f>
        <v>0</v>
      </c>
      <c r="Q195" s="527">
        <f>IF(Inventory!AI198="","",Inventory!AI198)</f>
        <v>0</v>
      </c>
      <c r="R195" s="527">
        <f>IF(Inventory!AJ198="","",Inventory!AJ198)</f>
        <v>999999999</v>
      </c>
      <c r="S195" s="758" t="str">
        <f>IF(Inventory!AK198="","",Inventory!AK198)</f>
        <v/>
      </c>
      <c r="T195" s="765" t="str">
        <f>IF(Inventory!AL198="","",Inventory!AL198)</f>
        <v/>
      </c>
      <c r="U195" s="758" t="str">
        <f>IF(Inventory!AM198="","",Inventory!AM198)</f>
        <v/>
      </c>
      <c r="V195" s="729" t="str">
        <f>IF(Inventory!AN198="","",Inventory!AN198)</f>
        <v/>
      </c>
      <c r="W195" s="775" t="str">
        <f>IF(Inventory!AO198="","",Inventory!AO198)</f>
        <v/>
      </c>
      <c r="X195" s="775" t="str">
        <f>IF(Inventory!AP198="","",Inventory!AP198)</f>
        <v/>
      </c>
      <c r="Y195" s="729" t="str">
        <f>IF(Inventory!AQ198="","",Inventory!AQ198)</f>
        <v/>
      </c>
      <c r="Z195" s="775" t="str">
        <f>IF(Inventory!AR198="","",Inventory!AR198)</f>
        <v/>
      </c>
      <c r="AA195" s="779" t="str">
        <f>IF(Inventory!AS198="","",Inventory!AS198)</f>
        <v/>
      </c>
      <c r="AB195" s="866"/>
    </row>
    <row r="196" spans="2:28" s="618" customFormat="1" ht="21.95" customHeight="1" x14ac:dyDescent="0.25">
      <c r="B196" s="432">
        <v>190</v>
      </c>
      <c r="C196" s="499" t="str">
        <f>IF(Inventory!C199="","",Inventory!C199)</f>
        <v/>
      </c>
      <c r="D196" s="751" t="str">
        <f>IF(Inventory!D199="","",Inventory!D199)</f>
        <v/>
      </c>
      <c r="E196" s="556" t="str">
        <f>IF(Inventory!W199="","",Inventory!W199)</f>
        <v/>
      </c>
      <c r="F196" s="785" t="str">
        <f>IF(Inventory!X199="","",Inventory!X199)</f>
        <v/>
      </c>
      <c r="G196" s="785" t="str">
        <f>IF(Inventory!Y199="","",Inventory!Y199)</f>
        <v/>
      </c>
      <c r="H196" s="767" t="str">
        <f>IF(Inventory!Z199="","",Inventory!Z199)</f>
        <v/>
      </c>
      <c r="I196" s="767" t="str">
        <f>IF(Inventory!AA199="","",Inventory!AA199)</f>
        <v/>
      </c>
      <c r="J196" s="767" t="str">
        <f>IF(Inventory!AB199="","",Inventory!AB199)</f>
        <v/>
      </c>
      <c r="K196" s="767" t="str">
        <f>IF(Inventory!AC199="","",Inventory!AC199)</f>
        <v/>
      </c>
      <c r="L196" s="776" t="str">
        <f>IF(Inventory!AD199="","",Inventory!AD199)</f>
        <v/>
      </c>
      <c r="M196" s="527">
        <f>IF(Inventory!AE199="","",Inventory!AE199)</f>
        <v>0</v>
      </c>
      <c r="N196" s="527">
        <f>IF(Inventory!AF199="","",Inventory!AF199)</f>
        <v>0</v>
      </c>
      <c r="O196" s="527">
        <f>IF(Inventory!AG199="","",Inventory!AG199)</f>
        <v>0</v>
      </c>
      <c r="P196" s="527">
        <f>IF(Inventory!AH199="","",Inventory!AH199)</f>
        <v>0</v>
      </c>
      <c r="Q196" s="527">
        <f>IF(Inventory!AI199="","",Inventory!AI199)</f>
        <v>0</v>
      </c>
      <c r="R196" s="527">
        <f>IF(Inventory!AJ199="","",Inventory!AJ199)</f>
        <v>999999999</v>
      </c>
      <c r="S196" s="777" t="str">
        <f>IF(Inventory!AK199="","",Inventory!AK199)</f>
        <v/>
      </c>
      <c r="T196" s="776" t="str">
        <f>IF(Inventory!AL199="","",Inventory!AL199)</f>
        <v/>
      </c>
      <c r="U196" s="777" t="str">
        <f>IF(Inventory!AM199="","",Inventory!AM199)</f>
        <v/>
      </c>
      <c r="V196" s="767" t="str">
        <f>IF(Inventory!AN199="","",Inventory!AN199)</f>
        <v/>
      </c>
      <c r="W196" s="778" t="str">
        <f>IF(Inventory!AO199="","",Inventory!AO199)</f>
        <v/>
      </c>
      <c r="X196" s="778" t="str">
        <f>IF(Inventory!AP199="","",Inventory!AP199)</f>
        <v/>
      </c>
      <c r="Y196" s="767" t="str">
        <f>IF(Inventory!AQ199="","",Inventory!AQ199)</f>
        <v/>
      </c>
      <c r="Z196" s="778" t="str">
        <f>IF(Inventory!AR199="","",Inventory!AR199)</f>
        <v/>
      </c>
      <c r="AA196" s="751" t="str">
        <f>IF(Inventory!AS199="","",Inventory!AS199)</f>
        <v/>
      </c>
      <c r="AB196" s="871"/>
    </row>
    <row r="197" spans="2:28" s="618" customFormat="1" ht="21.95" customHeight="1" x14ac:dyDescent="0.25">
      <c r="B197" s="431">
        <v>191</v>
      </c>
      <c r="C197" s="501" t="str">
        <f>IF(Inventory!C200="","",Inventory!C200)</f>
        <v/>
      </c>
      <c r="D197" s="502" t="str">
        <f>IF(Inventory!D200="","",Inventory!D200)</f>
        <v/>
      </c>
      <c r="E197" s="557" t="str">
        <f>IF(Inventory!W200="","",Inventory!W200)</f>
        <v/>
      </c>
      <c r="F197" s="788" t="str">
        <f>IF(Inventory!X200="","",Inventory!X200)</f>
        <v/>
      </c>
      <c r="G197" s="788" t="str">
        <f>IF(Inventory!Y200="","",Inventory!Y200)</f>
        <v/>
      </c>
      <c r="H197" s="729" t="str">
        <f>IF(Inventory!Z200="","",Inventory!Z200)</f>
        <v/>
      </c>
      <c r="I197" s="729" t="str">
        <f>IF(Inventory!AA200="","",Inventory!AA200)</f>
        <v/>
      </c>
      <c r="J197" s="729" t="str">
        <f>IF(Inventory!AB200="","",Inventory!AB200)</f>
        <v/>
      </c>
      <c r="K197" s="729" t="str">
        <f>IF(Inventory!AC200="","",Inventory!AC200)</f>
        <v/>
      </c>
      <c r="L197" s="765" t="str">
        <f>IF(Inventory!AD200="","",Inventory!AD200)</f>
        <v/>
      </c>
      <c r="M197" s="527">
        <f>IF(Inventory!AE200="","",Inventory!AE200)</f>
        <v>0</v>
      </c>
      <c r="N197" s="527">
        <f>IF(Inventory!AF200="","",Inventory!AF200)</f>
        <v>0</v>
      </c>
      <c r="O197" s="527">
        <f>IF(Inventory!AG200="","",Inventory!AG200)</f>
        <v>0</v>
      </c>
      <c r="P197" s="527">
        <f>IF(Inventory!AH200="","",Inventory!AH200)</f>
        <v>0</v>
      </c>
      <c r="Q197" s="527">
        <f>IF(Inventory!AI200="","",Inventory!AI200)</f>
        <v>0</v>
      </c>
      <c r="R197" s="527">
        <f>IF(Inventory!AJ200="","",Inventory!AJ200)</f>
        <v>999999999</v>
      </c>
      <c r="S197" s="758" t="str">
        <f>IF(Inventory!AK200="","",Inventory!AK200)</f>
        <v/>
      </c>
      <c r="T197" s="765" t="str">
        <f>IF(Inventory!AL200="","",Inventory!AL200)</f>
        <v/>
      </c>
      <c r="U197" s="758" t="str">
        <f>IF(Inventory!AM200="","",Inventory!AM200)</f>
        <v/>
      </c>
      <c r="V197" s="729" t="str">
        <f>IF(Inventory!AN200="","",Inventory!AN200)</f>
        <v/>
      </c>
      <c r="W197" s="775" t="str">
        <f>IF(Inventory!AO200="","",Inventory!AO200)</f>
        <v/>
      </c>
      <c r="X197" s="775" t="str">
        <f>IF(Inventory!AP200="","",Inventory!AP200)</f>
        <v/>
      </c>
      <c r="Y197" s="729" t="str">
        <f>IF(Inventory!AQ200="","",Inventory!AQ200)</f>
        <v/>
      </c>
      <c r="Z197" s="775" t="str">
        <f>IF(Inventory!AR200="","",Inventory!AR200)</f>
        <v/>
      </c>
      <c r="AA197" s="779" t="str">
        <f>IF(Inventory!AS200="","",Inventory!AS200)</f>
        <v/>
      </c>
      <c r="AB197" s="866"/>
    </row>
    <row r="198" spans="2:28" s="618" customFormat="1" ht="21.95" customHeight="1" x14ac:dyDescent="0.25">
      <c r="B198" s="432">
        <v>192</v>
      </c>
      <c r="C198" s="499" t="str">
        <f>IF(Inventory!C201="","",Inventory!C201)</f>
        <v/>
      </c>
      <c r="D198" s="751" t="str">
        <f>IF(Inventory!D201="","",Inventory!D201)</f>
        <v/>
      </c>
      <c r="E198" s="556" t="str">
        <f>IF(Inventory!W201="","",Inventory!W201)</f>
        <v/>
      </c>
      <c r="F198" s="785" t="str">
        <f>IF(Inventory!X201="","",Inventory!X201)</f>
        <v/>
      </c>
      <c r="G198" s="785" t="str">
        <f>IF(Inventory!Y201="","",Inventory!Y201)</f>
        <v/>
      </c>
      <c r="H198" s="767" t="str">
        <f>IF(Inventory!Z201="","",Inventory!Z201)</f>
        <v/>
      </c>
      <c r="I198" s="767" t="str">
        <f>IF(Inventory!AA201="","",Inventory!AA201)</f>
        <v/>
      </c>
      <c r="J198" s="767" t="str">
        <f>IF(Inventory!AB201="","",Inventory!AB201)</f>
        <v/>
      </c>
      <c r="K198" s="767" t="str">
        <f>IF(Inventory!AC201="","",Inventory!AC201)</f>
        <v/>
      </c>
      <c r="L198" s="776" t="str">
        <f>IF(Inventory!AD201="","",Inventory!AD201)</f>
        <v/>
      </c>
      <c r="M198" s="527">
        <f>IF(Inventory!AE201="","",Inventory!AE201)</f>
        <v>0</v>
      </c>
      <c r="N198" s="527">
        <f>IF(Inventory!AF201="","",Inventory!AF201)</f>
        <v>0</v>
      </c>
      <c r="O198" s="527">
        <f>IF(Inventory!AG201="","",Inventory!AG201)</f>
        <v>0</v>
      </c>
      <c r="P198" s="527">
        <f>IF(Inventory!AH201="","",Inventory!AH201)</f>
        <v>0</v>
      </c>
      <c r="Q198" s="527">
        <f>IF(Inventory!AI201="","",Inventory!AI201)</f>
        <v>0</v>
      </c>
      <c r="R198" s="527">
        <f>IF(Inventory!AJ201="","",Inventory!AJ201)</f>
        <v>999999999</v>
      </c>
      <c r="S198" s="777" t="str">
        <f>IF(Inventory!AK201="","",Inventory!AK201)</f>
        <v/>
      </c>
      <c r="T198" s="776" t="str">
        <f>IF(Inventory!AL201="","",Inventory!AL201)</f>
        <v/>
      </c>
      <c r="U198" s="777" t="str">
        <f>IF(Inventory!AM201="","",Inventory!AM201)</f>
        <v/>
      </c>
      <c r="V198" s="767" t="str">
        <f>IF(Inventory!AN201="","",Inventory!AN201)</f>
        <v/>
      </c>
      <c r="W198" s="778" t="str">
        <f>IF(Inventory!AO201="","",Inventory!AO201)</f>
        <v/>
      </c>
      <c r="X198" s="778" t="str">
        <f>IF(Inventory!AP201="","",Inventory!AP201)</f>
        <v/>
      </c>
      <c r="Y198" s="767" t="str">
        <f>IF(Inventory!AQ201="","",Inventory!AQ201)</f>
        <v/>
      </c>
      <c r="Z198" s="778" t="str">
        <f>IF(Inventory!AR201="","",Inventory!AR201)</f>
        <v/>
      </c>
      <c r="AA198" s="751" t="str">
        <f>IF(Inventory!AS201="","",Inventory!AS201)</f>
        <v/>
      </c>
      <c r="AB198" s="871"/>
    </row>
    <row r="199" spans="2:28" s="618" customFormat="1" ht="21.95" customHeight="1" x14ac:dyDescent="0.25">
      <c r="B199" s="431">
        <v>193</v>
      </c>
      <c r="C199" s="501" t="str">
        <f>IF(Inventory!C202="","",Inventory!C202)</f>
        <v/>
      </c>
      <c r="D199" s="502" t="str">
        <f>IF(Inventory!D202="","",Inventory!D202)</f>
        <v/>
      </c>
      <c r="E199" s="557" t="str">
        <f>IF(Inventory!W202="","",Inventory!W202)</f>
        <v/>
      </c>
      <c r="F199" s="788" t="str">
        <f>IF(Inventory!X202="","",Inventory!X202)</f>
        <v/>
      </c>
      <c r="G199" s="788" t="str">
        <f>IF(Inventory!Y202="","",Inventory!Y202)</f>
        <v/>
      </c>
      <c r="H199" s="729" t="str">
        <f>IF(Inventory!Z202="","",Inventory!Z202)</f>
        <v/>
      </c>
      <c r="I199" s="729" t="str">
        <f>IF(Inventory!AA202="","",Inventory!AA202)</f>
        <v/>
      </c>
      <c r="J199" s="729" t="str">
        <f>IF(Inventory!AB202="","",Inventory!AB202)</f>
        <v/>
      </c>
      <c r="K199" s="729" t="str">
        <f>IF(Inventory!AC202="","",Inventory!AC202)</f>
        <v/>
      </c>
      <c r="L199" s="765" t="str">
        <f>IF(Inventory!AD202="","",Inventory!AD202)</f>
        <v/>
      </c>
      <c r="M199" s="527">
        <f>IF(Inventory!AE202="","",Inventory!AE202)</f>
        <v>0</v>
      </c>
      <c r="N199" s="527">
        <f>IF(Inventory!AF202="","",Inventory!AF202)</f>
        <v>0</v>
      </c>
      <c r="O199" s="527">
        <f>IF(Inventory!AG202="","",Inventory!AG202)</f>
        <v>0</v>
      </c>
      <c r="P199" s="527">
        <f>IF(Inventory!AH202="","",Inventory!AH202)</f>
        <v>0</v>
      </c>
      <c r="Q199" s="527">
        <f>IF(Inventory!AI202="","",Inventory!AI202)</f>
        <v>0</v>
      </c>
      <c r="R199" s="527">
        <f>IF(Inventory!AJ202="","",Inventory!AJ202)</f>
        <v>999999999</v>
      </c>
      <c r="S199" s="758" t="str">
        <f>IF(Inventory!AK202="","",Inventory!AK202)</f>
        <v/>
      </c>
      <c r="T199" s="765" t="str">
        <f>IF(Inventory!AL202="","",Inventory!AL202)</f>
        <v/>
      </c>
      <c r="U199" s="758" t="str">
        <f>IF(Inventory!AM202="","",Inventory!AM202)</f>
        <v/>
      </c>
      <c r="V199" s="729" t="str">
        <f>IF(Inventory!AN202="","",Inventory!AN202)</f>
        <v/>
      </c>
      <c r="W199" s="775" t="str">
        <f>IF(Inventory!AO202="","",Inventory!AO202)</f>
        <v/>
      </c>
      <c r="X199" s="775" t="str">
        <f>IF(Inventory!AP202="","",Inventory!AP202)</f>
        <v/>
      </c>
      <c r="Y199" s="729" t="str">
        <f>IF(Inventory!AQ202="","",Inventory!AQ202)</f>
        <v/>
      </c>
      <c r="Z199" s="775" t="str">
        <f>IF(Inventory!AR202="","",Inventory!AR202)</f>
        <v/>
      </c>
      <c r="AA199" s="779" t="str">
        <f>IF(Inventory!AS202="","",Inventory!AS202)</f>
        <v/>
      </c>
      <c r="AB199" s="866"/>
    </row>
    <row r="200" spans="2:28" s="618" customFormat="1" ht="21.95" customHeight="1" x14ac:dyDescent="0.25">
      <c r="B200" s="432">
        <v>194</v>
      </c>
      <c r="C200" s="499" t="str">
        <f>IF(Inventory!C203="","",Inventory!C203)</f>
        <v/>
      </c>
      <c r="D200" s="751" t="str">
        <f>IF(Inventory!D203="","",Inventory!D203)</f>
        <v/>
      </c>
      <c r="E200" s="556" t="str">
        <f>IF(Inventory!W203="","",Inventory!W203)</f>
        <v/>
      </c>
      <c r="F200" s="785" t="str">
        <f>IF(Inventory!X203="","",Inventory!X203)</f>
        <v/>
      </c>
      <c r="G200" s="785" t="str">
        <f>IF(Inventory!Y203="","",Inventory!Y203)</f>
        <v/>
      </c>
      <c r="H200" s="767" t="str">
        <f>IF(Inventory!Z203="","",Inventory!Z203)</f>
        <v/>
      </c>
      <c r="I200" s="767" t="str">
        <f>IF(Inventory!AA203="","",Inventory!AA203)</f>
        <v/>
      </c>
      <c r="J200" s="767" t="str">
        <f>IF(Inventory!AB203="","",Inventory!AB203)</f>
        <v/>
      </c>
      <c r="K200" s="767" t="str">
        <f>IF(Inventory!AC203="","",Inventory!AC203)</f>
        <v/>
      </c>
      <c r="L200" s="776" t="str">
        <f>IF(Inventory!AD203="","",Inventory!AD203)</f>
        <v/>
      </c>
      <c r="M200" s="527">
        <f>IF(Inventory!AE203="","",Inventory!AE203)</f>
        <v>0</v>
      </c>
      <c r="N200" s="527">
        <f>IF(Inventory!AF203="","",Inventory!AF203)</f>
        <v>0</v>
      </c>
      <c r="O200" s="527">
        <f>IF(Inventory!AG203="","",Inventory!AG203)</f>
        <v>0</v>
      </c>
      <c r="P200" s="527">
        <f>IF(Inventory!AH203="","",Inventory!AH203)</f>
        <v>0</v>
      </c>
      <c r="Q200" s="527">
        <f>IF(Inventory!AI203="","",Inventory!AI203)</f>
        <v>0</v>
      </c>
      <c r="R200" s="527">
        <f>IF(Inventory!AJ203="","",Inventory!AJ203)</f>
        <v>999999999</v>
      </c>
      <c r="S200" s="777" t="str">
        <f>IF(Inventory!AK203="","",Inventory!AK203)</f>
        <v/>
      </c>
      <c r="T200" s="776" t="str">
        <f>IF(Inventory!AL203="","",Inventory!AL203)</f>
        <v/>
      </c>
      <c r="U200" s="777" t="str">
        <f>IF(Inventory!AM203="","",Inventory!AM203)</f>
        <v/>
      </c>
      <c r="V200" s="767" t="str">
        <f>IF(Inventory!AN203="","",Inventory!AN203)</f>
        <v/>
      </c>
      <c r="W200" s="778" t="str">
        <f>IF(Inventory!AO203="","",Inventory!AO203)</f>
        <v/>
      </c>
      <c r="X200" s="778" t="str">
        <f>IF(Inventory!AP203="","",Inventory!AP203)</f>
        <v/>
      </c>
      <c r="Y200" s="767" t="str">
        <f>IF(Inventory!AQ203="","",Inventory!AQ203)</f>
        <v/>
      </c>
      <c r="Z200" s="778" t="str">
        <f>IF(Inventory!AR203="","",Inventory!AR203)</f>
        <v/>
      </c>
      <c r="AA200" s="751" t="str">
        <f>IF(Inventory!AS203="","",Inventory!AS203)</f>
        <v/>
      </c>
      <c r="AB200" s="871"/>
    </row>
    <row r="201" spans="2:28" s="618" customFormat="1" ht="21.95" customHeight="1" x14ac:dyDescent="0.25">
      <c r="B201" s="431">
        <v>195</v>
      </c>
      <c r="C201" s="501" t="str">
        <f>IF(Inventory!C204="","",Inventory!C204)</f>
        <v/>
      </c>
      <c r="D201" s="502" t="str">
        <f>IF(Inventory!D204="","",Inventory!D204)</f>
        <v/>
      </c>
      <c r="E201" s="557" t="str">
        <f>IF(Inventory!W204="","",Inventory!W204)</f>
        <v/>
      </c>
      <c r="F201" s="788" t="str">
        <f>IF(Inventory!X204="","",Inventory!X204)</f>
        <v/>
      </c>
      <c r="G201" s="788" t="str">
        <f>IF(Inventory!Y204="","",Inventory!Y204)</f>
        <v/>
      </c>
      <c r="H201" s="729" t="str">
        <f>IF(Inventory!Z204="","",Inventory!Z204)</f>
        <v/>
      </c>
      <c r="I201" s="729" t="str">
        <f>IF(Inventory!AA204="","",Inventory!AA204)</f>
        <v/>
      </c>
      <c r="J201" s="729" t="str">
        <f>IF(Inventory!AB204="","",Inventory!AB204)</f>
        <v/>
      </c>
      <c r="K201" s="729" t="str">
        <f>IF(Inventory!AC204="","",Inventory!AC204)</f>
        <v/>
      </c>
      <c r="L201" s="765" t="str">
        <f>IF(Inventory!AD204="","",Inventory!AD204)</f>
        <v/>
      </c>
      <c r="M201" s="527">
        <f>IF(Inventory!AE204="","",Inventory!AE204)</f>
        <v>0</v>
      </c>
      <c r="N201" s="527">
        <f>IF(Inventory!AF204="","",Inventory!AF204)</f>
        <v>0</v>
      </c>
      <c r="O201" s="527">
        <f>IF(Inventory!AG204="","",Inventory!AG204)</f>
        <v>0</v>
      </c>
      <c r="P201" s="527">
        <f>IF(Inventory!AH204="","",Inventory!AH204)</f>
        <v>0</v>
      </c>
      <c r="Q201" s="527">
        <f>IF(Inventory!AI204="","",Inventory!AI204)</f>
        <v>0</v>
      </c>
      <c r="R201" s="527">
        <f>IF(Inventory!AJ204="","",Inventory!AJ204)</f>
        <v>999999999</v>
      </c>
      <c r="S201" s="758" t="str">
        <f>IF(Inventory!AK204="","",Inventory!AK204)</f>
        <v/>
      </c>
      <c r="T201" s="765" t="str">
        <f>IF(Inventory!AL204="","",Inventory!AL204)</f>
        <v/>
      </c>
      <c r="U201" s="758" t="str">
        <f>IF(Inventory!AM204="","",Inventory!AM204)</f>
        <v/>
      </c>
      <c r="V201" s="729" t="str">
        <f>IF(Inventory!AN204="","",Inventory!AN204)</f>
        <v/>
      </c>
      <c r="W201" s="775" t="str">
        <f>IF(Inventory!AO204="","",Inventory!AO204)</f>
        <v/>
      </c>
      <c r="X201" s="775" t="str">
        <f>IF(Inventory!AP204="","",Inventory!AP204)</f>
        <v/>
      </c>
      <c r="Y201" s="729" t="str">
        <f>IF(Inventory!AQ204="","",Inventory!AQ204)</f>
        <v/>
      </c>
      <c r="Z201" s="775" t="str">
        <f>IF(Inventory!AR204="","",Inventory!AR204)</f>
        <v/>
      </c>
      <c r="AA201" s="779" t="str">
        <f>IF(Inventory!AS204="","",Inventory!AS204)</f>
        <v/>
      </c>
      <c r="AB201" s="866"/>
    </row>
    <row r="202" spans="2:28" s="618" customFormat="1" ht="21.95" customHeight="1" x14ac:dyDescent="0.25">
      <c r="B202" s="432">
        <v>196</v>
      </c>
      <c r="C202" s="499" t="str">
        <f>IF(Inventory!C205="","",Inventory!C205)</f>
        <v/>
      </c>
      <c r="D202" s="751" t="str">
        <f>IF(Inventory!D205="","",Inventory!D205)</f>
        <v/>
      </c>
      <c r="E202" s="556" t="str">
        <f>IF(Inventory!W205="","",Inventory!W205)</f>
        <v/>
      </c>
      <c r="F202" s="785" t="str">
        <f>IF(Inventory!X205="","",Inventory!X205)</f>
        <v/>
      </c>
      <c r="G202" s="785" t="str">
        <f>IF(Inventory!Y205="","",Inventory!Y205)</f>
        <v/>
      </c>
      <c r="H202" s="767" t="str">
        <f>IF(Inventory!Z205="","",Inventory!Z205)</f>
        <v/>
      </c>
      <c r="I202" s="767" t="str">
        <f>IF(Inventory!AA205="","",Inventory!AA205)</f>
        <v/>
      </c>
      <c r="J202" s="767" t="str">
        <f>IF(Inventory!AB205="","",Inventory!AB205)</f>
        <v/>
      </c>
      <c r="K202" s="767" t="str">
        <f>IF(Inventory!AC205="","",Inventory!AC205)</f>
        <v/>
      </c>
      <c r="L202" s="776" t="str">
        <f>IF(Inventory!AD205="","",Inventory!AD205)</f>
        <v/>
      </c>
      <c r="M202" s="527">
        <f>IF(Inventory!AE205="","",Inventory!AE205)</f>
        <v>0</v>
      </c>
      <c r="N202" s="527">
        <f>IF(Inventory!AF205="","",Inventory!AF205)</f>
        <v>0</v>
      </c>
      <c r="O202" s="527">
        <f>IF(Inventory!AG205="","",Inventory!AG205)</f>
        <v>0</v>
      </c>
      <c r="P202" s="527">
        <f>IF(Inventory!AH205="","",Inventory!AH205)</f>
        <v>0</v>
      </c>
      <c r="Q202" s="527">
        <f>IF(Inventory!AI205="","",Inventory!AI205)</f>
        <v>0</v>
      </c>
      <c r="R202" s="527">
        <f>IF(Inventory!AJ205="","",Inventory!AJ205)</f>
        <v>999999999</v>
      </c>
      <c r="S202" s="777" t="str">
        <f>IF(Inventory!AK205="","",Inventory!AK205)</f>
        <v/>
      </c>
      <c r="T202" s="776" t="str">
        <f>IF(Inventory!AL205="","",Inventory!AL205)</f>
        <v/>
      </c>
      <c r="U202" s="777" t="str">
        <f>IF(Inventory!AM205="","",Inventory!AM205)</f>
        <v/>
      </c>
      <c r="V202" s="767" t="str">
        <f>IF(Inventory!AN205="","",Inventory!AN205)</f>
        <v/>
      </c>
      <c r="W202" s="778" t="str">
        <f>IF(Inventory!AO205="","",Inventory!AO205)</f>
        <v/>
      </c>
      <c r="X202" s="778" t="str">
        <f>IF(Inventory!AP205="","",Inventory!AP205)</f>
        <v/>
      </c>
      <c r="Y202" s="767" t="str">
        <f>IF(Inventory!AQ205="","",Inventory!AQ205)</f>
        <v/>
      </c>
      <c r="Z202" s="778" t="str">
        <f>IF(Inventory!AR205="","",Inventory!AR205)</f>
        <v/>
      </c>
      <c r="AA202" s="751" t="str">
        <f>IF(Inventory!AS205="","",Inventory!AS205)</f>
        <v/>
      </c>
      <c r="AB202" s="871"/>
    </row>
    <row r="203" spans="2:28" s="618" customFormat="1" ht="21.95" customHeight="1" x14ac:dyDescent="0.25">
      <c r="B203" s="431">
        <v>197</v>
      </c>
      <c r="C203" s="501" t="str">
        <f>IF(Inventory!C206="","",Inventory!C206)</f>
        <v/>
      </c>
      <c r="D203" s="502" t="str">
        <f>IF(Inventory!D206="","",Inventory!D206)</f>
        <v/>
      </c>
      <c r="E203" s="557" t="str">
        <f>IF(Inventory!W206="","",Inventory!W206)</f>
        <v/>
      </c>
      <c r="F203" s="788" t="str">
        <f>IF(Inventory!X206="","",Inventory!X206)</f>
        <v/>
      </c>
      <c r="G203" s="788" t="str">
        <f>IF(Inventory!Y206="","",Inventory!Y206)</f>
        <v/>
      </c>
      <c r="H203" s="729" t="str">
        <f>IF(Inventory!Z206="","",Inventory!Z206)</f>
        <v/>
      </c>
      <c r="I203" s="729" t="str">
        <f>IF(Inventory!AA206="","",Inventory!AA206)</f>
        <v/>
      </c>
      <c r="J203" s="729" t="str">
        <f>IF(Inventory!AB206="","",Inventory!AB206)</f>
        <v/>
      </c>
      <c r="K203" s="729" t="str">
        <f>IF(Inventory!AC206="","",Inventory!AC206)</f>
        <v/>
      </c>
      <c r="L203" s="765" t="str">
        <f>IF(Inventory!AD206="","",Inventory!AD206)</f>
        <v/>
      </c>
      <c r="M203" s="527">
        <f>IF(Inventory!AE206="","",Inventory!AE206)</f>
        <v>0</v>
      </c>
      <c r="N203" s="527">
        <f>IF(Inventory!AF206="","",Inventory!AF206)</f>
        <v>0</v>
      </c>
      <c r="O203" s="527">
        <f>IF(Inventory!AG206="","",Inventory!AG206)</f>
        <v>0</v>
      </c>
      <c r="P203" s="527">
        <f>IF(Inventory!AH206="","",Inventory!AH206)</f>
        <v>0</v>
      </c>
      <c r="Q203" s="527">
        <f>IF(Inventory!AI206="","",Inventory!AI206)</f>
        <v>0</v>
      </c>
      <c r="R203" s="527">
        <f>IF(Inventory!AJ206="","",Inventory!AJ206)</f>
        <v>999999999</v>
      </c>
      <c r="S203" s="758" t="str">
        <f>IF(Inventory!AK206="","",Inventory!AK206)</f>
        <v/>
      </c>
      <c r="T203" s="765" t="str">
        <f>IF(Inventory!AL206="","",Inventory!AL206)</f>
        <v/>
      </c>
      <c r="U203" s="758" t="str">
        <f>IF(Inventory!AM206="","",Inventory!AM206)</f>
        <v/>
      </c>
      <c r="V203" s="729" t="str">
        <f>IF(Inventory!AN206="","",Inventory!AN206)</f>
        <v/>
      </c>
      <c r="W203" s="775" t="str">
        <f>IF(Inventory!AO206="","",Inventory!AO206)</f>
        <v/>
      </c>
      <c r="X203" s="775" t="str">
        <f>IF(Inventory!AP206="","",Inventory!AP206)</f>
        <v/>
      </c>
      <c r="Y203" s="729" t="str">
        <f>IF(Inventory!AQ206="","",Inventory!AQ206)</f>
        <v/>
      </c>
      <c r="Z203" s="775" t="str">
        <f>IF(Inventory!AR206="","",Inventory!AR206)</f>
        <v/>
      </c>
      <c r="AA203" s="779" t="str">
        <f>IF(Inventory!AS206="","",Inventory!AS206)</f>
        <v/>
      </c>
      <c r="AB203" s="866"/>
    </row>
    <row r="204" spans="2:28" s="618" customFormat="1" ht="21.95" customHeight="1" x14ac:dyDescent="0.25">
      <c r="B204" s="432">
        <v>198</v>
      </c>
      <c r="C204" s="499" t="str">
        <f>IF(Inventory!C207="","",Inventory!C207)</f>
        <v/>
      </c>
      <c r="D204" s="751" t="str">
        <f>IF(Inventory!D207="","",Inventory!D207)</f>
        <v/>
      </c>
      <c r="E204" s="556" t="str">
        <f>IF(Inventory!W207="","",Inventory!W207)</f>
        <v/>
      </c>
      <c r="F204" s="785" t="str">
        <f>IF(Inventory!X207="","",Inventory!X207)</f>
        <v/>
      </c>
      <c r="G204" s="785" t="str">
        <f>IF(Inventory!Y207="","",Inventory!Y207)</f>
        <v/>
      </c>
      <c r="H204" s="767" t="str">
        <f>IF(Inventory!Z207="","",Inventory!Z207)</f>
        <v/>
      </c>
      <c r="I204" s="767" t="str">
        <f>IF(Inventory!AA207="","",Inventory!AA207)</f>
        <v/>
      </c>
      <c r="J204" s="767" t="str">
        <f>IF(Inventory!AB207="","",Inventory!AB207)</f>
        <v/>
      </c>
      <c r="K204" s="767" t="str">
        <f>IF(Inventory!AC207="","",Inventory!AC207)</f>
        <v/>
      </c>
      <c r="L204" s="776" t="str">
        <f>IF(Inventory!AD207="","",Inventory!AD207)</f>
        <v/>
      </c>
      <c r="M204" s="527">
        <f>IF(Inventory!AE207="","",Inventory!AE207)</f>
        <v>0</v>
      </c>
      <c r="N204" s="527">
        <f>IF(Inventory!AF207="","",Inventory!AF207)</f>
        <v>0</v>
      </c>
      <c r="O204" s="527">
        <f>IF(Inventory!AG207="","",Inventory!AG207)</f>
        <v>0</v>
      </c>
      <c r="P204" s="527">
        <f>IF(Inventory!AH207="","",Inventory!AH207)</f>
        <v>0</v>
      </c>
      <c r="Q204" s="527">
        <f>IF(Inventory!AI207="","",Inventory!AI207)</f>
        <v>0</v>
      </c>
      <c r="R204" s="527">
        <f>IF(Inventory!AJ207="","",Inventory!AJ207)</f>
        <v>999999999</v>
      </c>
      <c r="S204" s="777" t="str">
        <f>IF(Inventory!AK207="","",Inventory!AK207)</f>
        <v/>
      </c>
      <c r="T204" s="776" t="str">
        <f>IF(Inventory!AL207="","",Inventory!AL207)</f>
        <v/>
      </c>
      <c r="U204" s="777" t="str">
        <f>IF(Inventory!AM207="","",Inventory!AM207)</f>
        <v/>
      </c>
      <c r="V204" s="767" t="str">
        <f>IF(Inventory!AN207="","",Inventory!AN207)</f>
        <v/>
      </c>
      <c r="W204" s="778" t="str">
        <f>IF(Inventory!AO207="","",Inventory!AO207)</f>
        <v/>
      </c>
      <c r="X204" s="778" t="str">
        <f>IF(Inventory!AP207="","",Inventory!AP207)</f>
        <v/>
      </c>
      <c r="Y204" s="767" t="str">
        <f>IF(Inventory!AQ207="","",Inventory!AQ207)</f>
        <v/>
      </c>
      <c r="Z204" s="778" t="str">
        <f>IF(Inventory!AR207="","",Inventory!AR207)</f>
        <v/>
      </c>
      <c r="AA204" s="751" t="str">
        <f>IF(Inventory!AS207="","",Inventory!AS207)</f>
        <v/>
      </c>
      <c r="AB204" s="871"/>
    </row>
    <row r="205" spans="2:28" s="618" customFormat="1" ht="21.95" customHeight="1" x14ac:dyDescent="0.25">
      <c r="B205" s="431">
        <v>199</v>
      </c>
      <c r="C205" s="501" t="str">
        <f>IF(Inventory!C208="","",Inventory!C208)</f>
        <v/>
      </c>
      <c r="D205" s="502" t="str">
        <f>IF(Inventory!D208="","",Inventory!D208)</f>
        <v/>
      </c>
      <c r="E205" s="557" t="str">
        <f>IF(Inventory!W208="","",Inventory!W208)</f>
        <v/>
      </c>
      <c r="F205" s="788" t="str">
        <f>IF(Inventory!X208="","",Inventory!X208)</f>
        <v/>
      </c>
      <c r="G205" s="788" t="str">
        <f>IF(Inventory!Y208="","",Inventory!Y208)</f>
        <v/>
      </c>
      <c r="H205" s="729" t="str">
        <f>IF(Inventory!Z208="","",Inventory!Z208)</f>
        <v/>
      </c>
      <c r="I205" s="729" t="str">
        <f>IF(Inventory!AA208="","",Inventory!AA208)</f>
        <v/>
      </c>
      <c r="J205" s="729" t="str">
        <f>IF(Inventory!AB208="","",Inventory!AB208)</f>
        <v/>
      </c>
      <c r="K205" s="729" t="str">
        <f>IF(Inventory!AC208="","",Inventory!AC208)</f>
        <v/>
      </c>
      <c r="L205" s="765" t="str">
        <f>IF(Inventory!AD208="","",Inventory!AD208)</f>
        <v/>
      </c>
      <c r="M205" s="527">
        <f>IF(Inventory!AE208="","",Inventory!AE208)</f>
        <v>0</v>
      </c>
      <c r="N205" s="527">
        <f>IF(Inventory!AF208="","",Inventory!AF208)</f>
        <v>0</v>
      </c>
      <c r="O205" s="527">
        <f>IF(Inventory!AG208="","",Inventory!AG208)</f>
        <v>0</v>
      </c>
      <c r="P205" s="527">
        <f>IF(Inventory!AH208="","",Inventory!AH208)</f>
        <v>0</v>
      </c>
      <c r="Q205" s="527">
        <f>IF(Inventory!AI208="","",Inventory!AI208)</f>
        <v>0</v>
      </c>
      <c r="R205" s="527">
        <f>IF(Inventory!AJ208="","",Inventory!AJ208)</f>
        <v>999999999</v>
      </c>
      <c r="S205" s="758" t="str">
        <f>IF(Inventory!AK208="","",Inventory!AK208)</f>
        <v/>
      </c>
      <c r="T205" s="765" t="str">
        <f>IF(Inventory!AL208="","",Inventory!AL208)</f>
        <v/>
      </c>
      <c r="U205" s="758" t="str">
        <f>IF(Inventory!AM208="","",Inventory!AM208)</f>
        <v/>
      </c>
      <c r="V205" s="729" t="str">
        <f>IF(Inventory!AN208="","",Inventory!AN208)</f>
        <v/>
      </c>
      <c r="W205" s="775" t="str">
        <f>IF(Inventory!AO208="","",Inventory!AO208)</f>
        <v/>
      </c>
      <c r="X205" s="775" t="str">
        <f>IF(Inventory!AP208="","",Inventory!AP208)</f>
        <v/>
      </c>
      <c r="Y205" s="729" t="str">
        <f>IF(Inventory!AQ208="","",Inventory!AQ208)</f>
        <v/>
      </c>
      <c r="Z205" s="775" t="str">
        <f>IF(Inventory!AR208="","",Inventory!AR208)</f>
        <v/>
      </c>
      <c r="AA205" s="779" t="str">
        <f>IF(Inventory!AS208="","",Inventory!AS208)</f>
        <v/>
      </c>
      <c r="AB205" s="866"/>
    </row>
    <row r="206" spans="2:28" s="618" customFormat="1" ht="21.95" customHeight="1" x14ac:dyDescent="0.25">
      <c r="B206" s="432">
        <v>200</v>
      </c>
      <c r="C206" s="499" t="str">
        <f>IF(Inventory!C209="","",Inventory!C209)</f>
        <v/>
      </c>
      <c r="D206" s="751" t="str">
        <f>IF(Inventory!D209="","",Inventory!D209)</f>
        <v/>
      </c>
      <c r="E206" s="556" t="str">
        <f>IF(Inventory!W209="","",Inventory!W209)</f>
        <v/>
      </c>
      <c r="F206" s="785" t="str">
        <f>IF(Inventory!X209="","",Inventory!X209)</f>
        <v/>
      </c>
      <c r="G206" s="785" t="str">
        <f>IF(Inventory!Y209="","",Inventory!Y209)</f>
        <v/>
      </c>
      <c r="H206" s="767" t="str">
        <f>IF(Inventory!Z209="","",Inventory!Z209)</f>
        <v/>
      </c>
      <c r="I206" s="767" t="str">
        <f>IF(Inventory!AA209="","",Inventory!AA209)</f>
        <v/>
      </c>
      <c r="J206" s="767" t="str">
        <f>IF(Inventory!AB209="","",Inventory!AB209)</f>
        <v/>
      </c>
      <c r="K206" s="767" t="str">
        <f>IF(Inventory!AC209="","",Inventory!AC209)</f>
        <v/>
      </c>
      <c r="L206" s="776" t="str">
        <f>IF(Inventory!AD209="","",Inventory!AD209)</f>
        <v/>
      </c>
      <c r="M206" s="527">
        <f>IF(Inventory!AE209="","",Inventory!AE209)</f>
        <v>0</v>
      </c>
      <c r="N206" s="527">
        <f>IF(Inventory!AF209="","",Inventory!AF209)</f>
        <v>0</v>
      </c>
      <c r="O206" s="527">
        <f>IF(Inventory!AG209="","",Inventory!AG209)</f>
        <v>0</v>
      </c>
      <c r="P206" s="527">
        <f>IF(Inventory!AH209="","",Inventory!AH209)</f>
        <v>0</v>
      </c>
      <c r="Q206" s="527">
        <f>IF(Inventory!AI209="","",Inventory!AI209)</f>
        <v>0</v>
      </c>
      <c r="R206" s="527">
        <f>IF(Inventory!AJ209="","",Inventory!AJ209)</f>
        <v>999999999</v>
      </c>
      <c r="S206" s="777" t="str">
        <f>IF(Inventory!AK209="","",Inventory!AK209)</f>
        <v/>
      </c>
      <c r="T206" s="776" t="str">
        <f>IF(Inventory!AL209="","",Inventory!AL209)</f>
        <v/>
      </c>
      <c r="U206" s="777" t="str">
        <f>IF(Inventory!AM209="","",Inventory!AM209)</f>
        <v/>
      </c>
      <c r="V206" s="767" t="str">
        <f>IF(Inventory!AN209="","",Inventory!AN209)</f>
        <v/>
      </c>
      <c r="W206" s="778" t="str">
        <f>IF(Inventory!AO209="","",Inventory!AO209)</f>
        <v/>
      </c>
      <c r="X206" s="778" t="str">
        <f>IF(Inventory!AP209="","",Inventory!AP209)</f>
        <v/>
      </c>
      <c r="Y206" s="767" t="str">
        <f>IF(Inventory!AQ209="","",Inventory!AQ209)</f>
        <v/>
      </c>
      <c r="Z206" s="778" t="str">
        <f>IF(Inventory!AR209="","",Inventory!AR209)</f>
        <v/>
      </c>
      <c r="AA206" s="751" t="str">
        <f>IF(Inventory!AS209="","",Inventory!AS209)</f>
        <v/>
      </c>
      <c r="AB206" s="871"/>
    </row>
    <row r="207" spans="2:28" s="618" customFormat="1" ht="21.95" customHeight="1" x14ac:dyDescent="0.25">
      <c r="B207" s="431">
        <v>201</v>
      </c>
      <c r="C207" s="501" t="str">
        <f>IF(Inventory!C210="","",Inventory!C210)</f>
        <v/>
      </c>
      <c r="D207" s="502" t="str">
        <f>IF(Inventory!D210="","",Inventory!D210)</f>
        <v/>
      </c>
      <c r="E207" s="557" t="str">
        <f>IF(Inventory!W210="","",Inventory!W210)</f>
        <v/>
      </c>
      <c r="F207" s="788" t="str">
        <f>IF(Inventory!X210="","",Inventory!X210)</f>
        <v/>
      </c>
      <c r="G207" s="788" t="str">
        <f>IF(Inventory!Y210="","",Inventory!Y210)</f>
        <v/>
      </c>
      <c r="H207" s="729" t="str">
        <f>IF(Inventory!Z210="","",Inventory!Z210)</f>
        <v/>
      </c>
      <c r="I207" s="729" t="str">
        <f>IF(Inventory!AA210="","",Inventory!AA210)</f>
        <v/>
      </c>
      <c r="J207" s="729" t="str">
        <f>IF(Inventory!AB210="","",Inventory!AB210)</f>
        <v/>
      </c>
      <c r="K207" s="729" t="str">
        <f>IF(Inventory!AC210="","",Inventory!AC210)</f>
        <v/>
      </c>
      <c r="L207" s="765" t="str">
        <f>IF(Inventory!AD210="","",Inventory!AD210)</f>
        <v/>
      </c>
      <c r="M207" s="527">
        <f>IF(Inventory!AE210="","",Inventory!AE210)</f>
        <v>0</v>
      </c>
      <c r="N207" s="527">
        <f>IF(Inventory!AF210="","",Inventory!AF210)</f>
        <v>0</v>
      </c>
      <c r="O207" s="527">
        <f>IF(Inventory!AG210="","",Inventory!AG210)</f>
        <v>0</v>
      </c>
      <c r="P207" s="527">
        <f>IF(Inventory!AH210="","",Inventory!AH210)</f>
        <v>0</v>
      </c>
      <c r="Q207" s="527">
        <f>IF(Inventory!AI210="","",Inventory!AI210)</f>
        <v>0</v>
      </c>
      <c r="R207" s="527">
        <f>IF(Inventory!AJ210="","",Inventory!AJ210)</f>
        <v>999999999</v>
      </c>
      <c r="S207" s="758" t="str">
        <f>IF(Inventory!AK210="","",Inventory!AK210)</f>
        <v/>
      </c>
      <c r="T207" s="765" t="str">
        <f>IF(Inventory!AL210="","",Inventory!AL210)</f>
        <v/>
      </c>
      <c r="U207" s="758" t="str">
        <f>IF(Inventory!AM210="","",Inventory!AM210)</f>
        <v/>
      </c>
      <c r="V207" s="729" t="str">
        <f>IF(Inventory!AN210="","",Inventory!AN210)</f>
        <v/>
      </c>
      <c r="W207" s="775" t="str">
        <f>IF(Inventory!AO210="","",Inventory!AO210)</f>
        <v/>
      </c>
      <c r="X207" s="775" t="str">
        <f>IF(Inventory!AP210="","",Inventory!AP210)</f>
        <v/>
      </c>
      <c r="Y207" s="729" t="str">
        <f>IF(Inventory!AQ210="","",Inventory!AQ210)</f>
        <v/>
      </c>
      <c r="Z207" s="775" t="str">
        <f>IF(Inventory!AR210="","",Inventory!AR210)</f>
        <v/>
      </c>
      <c r="AA207" s="779" t="str">
        <f>IF(Inventory!AS210="","",Inventory!AS210)</f>
        <v/>
      </c>
      <c r="AB207" s="866"/>
    </row>
    <row r="208" spans="2:28" s="618" customFormat="1" ht="21.95" customHeight="1" x14ac:dyDescent="0.25">
      <c r="B208" s="432">
        <v>202</v>
      </c>
      <c r="C208" s="499" t="str">
        <f>IF(Inventory!C211="","",Inventory!C211)</f>
        <v/>
      </c>
      <c r="D208" s="751" t="str">
        <f>IF(Inventory!D211="","",Inventory!D211)</f>
        <v/>
      </c>
      <c r="E208" s="556" t="str">
        <f>IF(Inventory!W211="","",Inventory!W211)</f>
        <v/>
      </c>
      <c r="F208" s="785" t="str">
        <f>IF(Inventory!X211="","",Inventory!X211)</f>
        <v/>
      </c>
      <c r="G208" s="785" t="str">
        <f>IF(Inventory!Y211="","",Inventory!Y211)</f>
        <v/>
      </c>
      <c r="H208" s="767" t="str">
        <f>IF(Inventory!Z211="","",Inventory!Z211)</f>
        <v/>
      </c>
      <c r="I208" s="767" t="str">
        <f>IF(Inventory!AA211="","",Inventory!AA211)</f>
        <v/>
      </c>
      <c r="J208" s="767" t="str">
        <f>IF(Inventory!AB211="","",Inventory!AB211)</f>
        <v/>
      </c>
      <c r="K208" s="767" t="str">
        <f>IF(Inventory!AC211="","",Inventory!AC211)</f>
        <v/>
      </c>
      <c r="L208" s="776" t="str">
        <f>IF(Inventory!AD211="","",Inventory!AD211)</f>
        <v/>
      </c>
      <c r="M208" s="527">
        <f>IF(Inventory!AE211="","",Inventory!AE211)</f>
        <v>0</v>
      </c>
      <c r="N208" s="527">
        <f>IF(Inventory!AF211="","",Inventory!AF211)</f>
        <v>0</v>
      </c>
      <c r="O208" s="527">
        <f>IF(Inventory!AG211="","",Inventory!AG211)</f>
        <v>0</v>
      </c>
      <c r="P208" s="527">
        <f>IF(Inventory!AH211="","",Inventory!AH211)</f>
        <v>0</v>
      </c>
      <c r="Q208" s="527">
        <f>IF(Inventory!AI211="","",Inventory!AI211)</f>
        <v>0</v>
      </c>
      <c r="R208" s="527">
        <f>IF(Inventory!AJ211="","",Inventory!AJ211)</f>
        <v>999999999</v>
      </c>
      <c r="S208" s="777" t="str">
        <f>IF(Inventory!AK211="","",Inventory!AK211)</f>
        <v/>
      </c>
      <c r="T208" s="776" t="str">
        <f>IF(Inventory!AL211="","",Inventory!AL211)</f>
        <v/>
      </c>
      <c r="U208" s="777" t="str">
        <f>IF(Inventory!AM211="","",Inventory!AM211)</f>
        <v/>
      </c>
      <c r="V208" s="767" t="str">
        <f>IF(Inventory!AN211="","",Inventory!AN211)</f>
        <v/>
      </c>
      <c r="W208" s="778" t="str">
        <f>IF(Inventory!AO211="","",Inventory!AO211)</f>
        <v/>
      </c>
      <c r="X208" s="778" t="str">
        <f>IF(Inventory!AP211="","",Inventory!AP211)</f>
        <v/>
      </c>
      <c r="Y208" s="767" t="str">
        <f>IF(Inventory!AQ211="","",Inventory!AQ211)</f>
        <v/>
      </c>
      <c r="Z208" s="778" t="str">
        <f>IF(Inventory!AR211="","",Inventory!AR211)</f>
        <v/>
      </c>
      <c r="AA208" s="751" t="str">
        <f>IF(Inventory!AS211="","",Inventory!AS211)</f>
        <v/>
      </c>
      <c r="AB208" s="871"/>
    </row>
    <row r="209" spans="2:28" s="618" customFormat="1" ht="21.95" customHeight="1" x14ac:dyDescent="0.25">
      <c r="B209" s="431">
        <v>203</v>
      </c>
      <c r="C209" s="501" t="str">
        <f>IF(Inventory!C212="","",Inventory!C212)</f>
        <v/>
      </c>
      <c r="D209" s="502" t="str">
        <f>IF(Inventory!D212="","",Inventory!D212)</f>
        <v/>
      </c>
      <c r="E209" s="557" t="str">
        <f>IF(Inventory!W212="","",Inventory!W212)</f>
        <v/>
      </c>
      <c r="F209" s="788" t="str">
        <f>IF(Inventory!X212="","",Inventory!X212)</f>
        <v/>
      </c>
      <c r="G209" s="788" t="str">
        <f>IF(Inventory!Y212="","",Inventory!Y212)</f>
        <v/>
      </c>
      <c r="H209" s="729" t="str">
        <f>IF(Inventory!Z212="","",Inventory!Z212)</f>
        <v/>
      </c>
      <c r="I209" s="729" t="str">
        <f>IF(Inventory!AA212="","",Inventory!AA212)</f>
        <v/>
      </c>
      <c r="J209" s="729" t="str">
        <f>IF(Inventory!AB212="","",Inventory!AB212)</f>
        <v/>
      </c>
      <c r="K209" s="729" t="str">
        <f>IF(Inventory!AC212="","",Inventory!AC212)</f>
        <v/>
      </c>
      <c r="L209" s="765" t="str">
        <f>IF(Inventory!AD212="","",Inventory!AD212)</f>
        <v/>
      </c>
      <c r="M209" s="527">
        <f>IF(Inventory!AE212="","",Inventory!AE212)</f>
        <v>0</v>
      </c>
      <c r="N209" s="527">
        <f>IF(Inventory!AF212="","",Inventory!AF212)</f>
        <v>0</v>
      </c>
      <c r="O209" s="527">
        <f>IF(Inventory!AG212="","",Inventory!AG212)</f>
        <v>0</v>
      </c>
      <c r="P209" s="527">
        <f>IF(Inventory!AH212="","",Inventory!AH212)</f>
        <v>0</v>
      </c>
      <c r="Q209" s="527">
        <f>IF(Inventory!AI212="","",Inventory!AI212)</f>
        <v>0</v>
      </c>
      <c r="R209" s="527">
        <f>IF(Inventory!AJ212="","",Inventory!AJ212)</f>
        <v>999999999</v>
      </c>
      <c r="S209" s="758" t="str">
        <f>IF(Inventory!AK212="","",Inventory!AK212)</f>
        <v/>
      </c>
      <c r="T209" s="765" t="str">
        <f>IF(Inventory!AL212="","",Inventory!AL212)</f>
        <v/>
      </c>
      <c r="U209" s="758" t="str">
        <f>IF(Inventory!AM212="","",Inventory!AM212)</f>
        <v/>
      </c>
      <c r="V209" s="729" t="str">
        <f>IF(Inventory!AN212="","",Inventory!AN212)</f>
        <v/>
      </c>
      <c r="W209" s="775" t="str">
        <f>IF(Inventory!AO212="","",Inventory!AO212)</f>
        <v/>
      </c>
      <c r="X209" s="775" t="str">
        <f>IF(Inventory!AP212="","",Inventory!AP212)</f>
        <v/>
      </c>
      <c r="Y209" s="729" t="str">
        <f>IF(Inventory!AQ212="","",Inventory!AQ212)</f>
        <v/>
      </c>
      <c r="Z209" s="775" t="str">
        <f>IF(Inventory!AR212="","",Inventory!AR212)</f>
        <v/>
      </c>
      <c r="AA209" s="779" t="str">
        <f>IF(Inventory!AS212="","",Inventory!AS212)</f>
        <v/>
      </c>
      <c r="AB209" s="866"/>
    </row>
    <row r="210" spans="2:28" s="618" customFormat="1" ht="21.95" customHeight="1" x14ac:dyDescent="0.25">
      <c r="B210" s="432">
        <v>204</v>
      </c>
      <c r="C210" s="499" t="str">
        <f>IF(Inventory!C213="","",Inventory!C213)</f>
        <v/>
      </c>
      <c r="D210" s="751" t="str">
        <f>IF(Inventory!D213="","",Inventory!D213)</f>
        <v/>
      </c>
      <c r="E210" s="556" t="str">
        <f>IF(Inventory!W213="","",Inventory!W213)</f>
        <v/>
      </c>
      <c r="F210" s="785" t="str">
        <f>IF(Inventory!X213="","",Inventory!X213)</f>
        <v/>
      </c>
      <c r="G210" s="785" t="str">
        <f>IF(Inventory!Y213="","",Inventory!Y213)</f>
        <v/>
      </c>
      <c r="H210" s="767" t="str">
        <f>IF(Inventory!Z213="","",Inventory!Z213)</f>
        <v/>
      </c>
      <c r="I210" s="767" t="str">
        <f>IF(Inventory!AA213="","",Inventory!AA213)</f>
        <v/>
      </c>
      <c r="J210" s="767" t="str">
        <f>IF(Inventory!AB213="","",Inventory!AB213)</f>
        <v/>
      </c>
      <c r="K210" s="767" t="str">
        <f>IF(Inventory!AC213="","",Inventory!AC213)</f>
        <v/>
      </c>
      <c r="L210" s="776" t="str">
        <f>IF(Inventory!AD213="","",Inventory!AD213)</f>
        <v/>
      </c>
      <c r="M210" s="527">
        <f>IF(Inventory!AE213="","",Inventory!AE213)</f>
        <v>0</v>
      </c>
      <c r="N210" s="527">
        <f>IF(Inventory!AF213="","",Inventory!AF213)</f>
        <v>0</v>
      </c>
      <c r="O210" s="527">
        <f>IF(Inventory!AG213="","",Inventory!AG213)</f>
        <v>0</v>
      </c>
      <c r="P210" s="527">
        <f>IF(Inventory!AH213="","",Inventory!AH213)</f>
        <v>0</v>
      </c>
      <c r="Q210" s="527">
        <f>IF(Inventory!AI213="","",Inventory!AI213)</f>
        <v>0</v>
      </c>
      <c r="R210" s="527">
        <f>IF(Inventory!AJ213="","",Inventory!AJ213)</f>
        <v>999999999</v>
      </c>
      <c r="S210" s="777" t="str">
        <f>IF(Inventory!AK213="","",Inventory!AK213)</f>
        <v/>
      </c>
      <c r="T210" s="776" t="str">
        <f>IF(Inventory!AL213="","",Inventory!AL213)</f>
        <v/>
      </c>
      <c r="U210" s="777" t="str">
        <f>IF(Inventory!AM213="","",Inventory!AM213)</f>
        <v/>
      </c>
      <c r="V210" s="767" t="str">
        <f>IF(Inventory!AN213="","",Inventory!AN213)</f>
        <v/>
      </c>
      <c r="W210" s="778" t="str">
        <f>IF(Inventory!AO213="","",Inventory!AO213)</f>
        <v/>
      </c>
      <c r="X210" s="778" t="str">
        <f>IF(Inventory!AP213="","",Inventory!AP213)</f>
        <v/>
      </c>
      <c r="Y210" s="767" t="str">
        <f>IF(Inventory!AQ213="","",Inventory!AQ213)</f>
        <v/>
      </c>
      <c r="Z210" s="778" t="str">
        <f>IF(Inventory!AR213="","",Inventory!AR213)</f>
        <v/>
      </c>
      <c r="AA210" s="751" t="str">
        <f>IF(Inventory!AS213="","",Inventory!AS213)</f>
        <v/>
      </c>
      <c r="AB210" s="871"/>
    </row>
    <row r="211" spans="2:28" s="618" customFormat="1" ht="21.95" customHeight="1" x14ac:dyDescent="0.25">
      <c r="B211" s="431">
        <v>205</v>
      </c>
      <c r="C211" s="501" t="str">
        <f>IF(Inventory!C214="","",Inventory!C214)</f>
        <v/>
      </c>
      <c r="D211" s="502" t="str">
        <f>IF(Inventory!D214="","",Inventory!D214)</f>
        <v/>
      </c>
      <c r="E211" s="557" t="str">
        <f>IF(Inventory!W214="","",Inventory!W214)</f>
        <v/>
      </c>
      <c r="F211" s="788" t="str">
        <f>IF(Inventory!X214="","",Inventory!X214)</f>
        <v/>
      </c>
      <c r="G211" s="788" t="str">
        <f>IF(Inventory!Y214="","",Inventory!Y214)</f>
        <v/>
      </c>
      <c r="H211" s="729" t="str">
        <f>IF(Inventory!Z214="","",Inventory!Z214)</f>
        <v/>
      </c>
      <c r="I211" s="729" t="str">
        <f>IF(Inventory!AA214="","",Inventory!AA214)</f>
        <v/>
      </c>
      <c r="J211" s="729" t="str">
        <f>IF(Inventory!AB214="","",Inventory!AB214)</f>
        <v/>
      </c>
      <c r="K211" s="729" t="str">
        <f>IF(Inventory!AC214="","",Inventory!AC214)</f>
        <v/>
      </c>
      <c r="L211" s="765" t="str">
        <f>IF(Inventory!AD214="","",Inventory!AD214)</f>
        <v/>
      </c>
      <c r="M211" s="527">
        <f>IF(Inventory!AE214="","",Inventory!AE214)</f>
        <v>0</v>
      </c>
      <c r="N211" s="527">
        <f>IF(Inventory!AF214="","",Inventory!AF214)</f>
        <v>0</v>
      </c>
      <c r="O211" s="527">
        <f>IF(Inventory!AG214="","",Inventory!AG214)</f>
        <v>0</v>
      </c>
      <c r="P211" s="527">
        <f>IF(Inventory!AH214="","",Inventory!AH214)</f>
        <v>0</v>
      </c>
      <c r="Q211" s="527">
        <f>IF(Inventory!AI214="","",Inventory!AI214)</f>
        <v>0</v>
      </c>
      <c r="R211" s="527">
        <f>IF(Inventory!AJ214="","",Inventory!AJ214)</f>
        <v>999999999</v>
      </c>
      <c r="S211" s="758" t="str">
        <f>IF(Inventory!AK214="","",Inventory!AK214)</f>
        <v/>
      </c>
      <c r="T211" s="765" t="str">
        <f>IF(Inventory!AL214="","",Inventory!AL214)</f>
        <v/>
      </c>
      <c r="U211" s="758" t="str">
        <f>IF(Inventory!AM214="","",Inventory!AM214)</f>
        <v/>
      </c>
      <c r="V211" s="729" t="str">
        <f>IF(Inventory!AN214="","",Inventory!AN214)</f>
        <v/>
      </c>
      <c r="W211" s="775" t="str">
        <f>IF(Inventory!AO214="","",Inventory!AO214)</f>
        <v/>
      </c>
      <c r="X211" s="775" t="str">
        <f>IF(Inventory!AP214="","",Inventory!AP214)</f>
        <v/>
      </c>
      <c r="Y211" s="729" t="str">
        <f>IF(Inventory!AQ214="","",Inventory!AQ214)</f>
        <v/>
      </c>
      <c r="Z211" s="775" t="str">
        <f>IF(Inventory!AR214="","",Inventory!AR214)</f>
        <v/>
      </c>
      <c r="AA211" s="779" t="str">
        <f>IF(Inventory!AS214="","",Inventory!AS214)</f>
        <v/>
      </c>
      <c r="AB211" s="866"/>
    </row>
    <row r="212" spans="2:28" s="618" customFormat="1" ht="21.95" customHeight="1" x14ac:dyDescent="0.25">
      <c r="B212" s="432">
        <v>206</v>
      </c>
      <c r="C212" s="499" t="str">
        <f>IF(Inventory!C215="","",Inventory!C215)</f>
        <v/>
      </c>
      <c r="D212" s="751" t="str">
        <f>IF(Inventory!D215="","",Inventory!D215)</f>
        <v/>
      </c>
      <c r="E212" s="556" t="str">
        <f>IF(Inventory!W215="","",Inventory!W215)</f>
        <v/>
      </c>
      <c r="F212" s="785" t="str">
        <f>IF(Inventory!X215="","",Inventory!X215)</f>
        <v/>
      </c>
      <c r="G212" s="785" t="str">
        <f>IF(Inventory!Y215="","",Inventory!Y215)</f>
        <v/>
      </c>
      <c r="H212" s="767" t="str">
        <f>IF(Inventory!Z215="","",Inventory!Z215)</f>
        <v/>
      </c>
      <c r="I212" s="767" t="str">
        <f>IF(Inventory!AA215="","",Inventory!AA215)</f>
        <v/>
      </c>
      <c r="J212" s="767" t="str">
        <f>IF(Inventory!AB215="","",Inventory!AB215)</f>
        <v/>
      </c>
      <c r="K212" s="767" t="str">
        <f>IF(Inventory!AC215="","",Inventory!AC215)</f>
        <v/>
      </c>
      <c r="L212" s="776" t="str">
        <f>IF(Inventory!AD215="","",Inventory!AD215)</f>
        <v/>
      </c>
      <c r="M212" s="527">
        <f>IF(Inventory!AE215="","",Inventory!AE215)</f>
        <v>0</v>
      </c>
      <c r="N212" s="527">
        <f>IF(Inventory!AF215="","",Inventory!AF215)</f>
        <v>0</v>
      </c>
      <c r="O212" s="527">
        <f>IF(Inventory!AG215="","",Inventory!AG215)</f>
        <v>0</v>
      </c>
      <c r="P212" s="527">
        <f>IF(Inventory!AH215="","",Inventory!AH215)</f>
        <v>0</v>
      </c>
      <c r="Q212" s="527">
        <f>IF(Inventory!AI215="","",Inventory!AI215)</f>
        <v>0</v>
      </c>
      <c r="R212" s="527">
        <f>IF(Inventory!AJ215="","",Inventory!AJ215)</f>
        <v>999999999</v>
      </c>
      <c r="S212" s="777" t="str">
        <f>IF(Inventory!AK215="","",Inventory!AK215)</f>
        <v/>
      </c>
      <c r="T212" s="776" t="str">
        <f>IF(Inventory!AL215="","",Inventory!AL215)</f>
        <v/>
      </c>
      <c r="U212" s="777" t="str">
        <f>IF(Inventory!AM215="","",Inventory!AM215)</f>
        <v/>
      </c>
      <c r="V212" s="767" t="str">
        <f>IF(Inventory!AN215="","",Inventory!AN215)</f>
        <v/>
      </c>
      <c r="W212" s="778" t="str">
        <f>IF(Inventory!AO215="","",Inventory!AO215)</f>
        <v/>
      </c>
      <c r="X212" s="778" t="str">
        <f>IF(Inventory!AP215="","",Inventory!AP215)</f>
        <v/>
      </c>
      <c r="Y212" s="767" t="str">
        <f>IF(Inventory!AQ215="","",Inventory!AQ215)</f>
        <v/>
      </c>
      <c r="Z212" s="778" t="str">
        <f>IF(Inventory!AR215="","",Inventory!AR215)</f>
        <v/>
      </c>
      <c r="AA212" s="751" t="str">
        <f>IF(Inventory!AS215="","",Inventory!AS215)</f>
        <v/>
      </c>
      <c r="AB212" s="871"/>
    </row>
    <row r="213" spans="2:28" s="618" customFormat="1" ht="21.95" customHeight="1" x14ac:dyDescent="0.25">
      <c r="B213" s="431">
        <v>207</v>
      </c>
      <c r="C213" s="501" t="str">
        <f>IF(Inventory!C216="","",Inventory!C216)</f>
        <v/>
      </c>
      <c r="D213" s="502" t="str">
        <f>IF(Inventory!D216="","",Inventory!D216)</f>
        <v/>
      </c>
      <c r="E213" s="557" t="str">
        <f>IF(Inventory!W216="","",Inventory!W216)</f>
        <v/>
      </c>
      <c r="F213" s="788" t="str">
        <f>IF(Inventory!X216="","",Inventory!X216)</f>
        <v/>
      </c>
      <c r="G213" s="788" t="str">
        <f>IF(Inventory!Y216="","",Inventory!Y216)</f>
        <v/>
      </c>
      <c r="H213" s="729" t="str">
        <f>IF(Inventory!Z216="","",Inventory!Z216)</f>
        <v/>
      </c>
      <c r="I213" s="729" t="str">
        <f>IF(Inventory!AA216="","",Inventory!AA216)</f>
        <v/>
      </c>
      <c r="J213" s="729" t="str">
        <f>IF(Inventory!AB216="","",Inventory!AB216)</f>
        <v/>
      </c>
      <c r="K213" s="729" t="str">
        <f>IF(Inventory!AC216="","",Inventory!AC216)</f>
        <v/>
      </c>
      <c r="L213" s="765" t="str">
        <f>IF(Inventory!AD216="","",Inventory!AD216)</f>
        <v/>
      </c>
      <c r="M213" s="527">
        <f>IF(Inventory!AE216="","",Inventory!AE216)</f>
        <v>0</v>
      </c>
      <c r="N213" s="527">
        <f>IF(Inventory!AF216="","",Inventory!AF216)</f>
        <v>0</v>
      </c>
      <c r="O213" s="527">
        <f>IF(Inventory!AG216="","",Inventory!AG216)</f>
        <v>0</v>
      </c>
      <c r="P213" s="527">
        <f>IF(Inventory!AH216="","",Inventory!AH216)</f>
        <v>0</v>
      </c>
      <c r="Q213" s="527">
        <f>IF(Inventory!AI216="","",Inventory!AI216)</f>
        <v>0</v>
      </c>
      <c r="R213" s="527">
        <f>IF(Inventory!AJ216="","",Inventory!AJ216)</f>
        <v>999999999</v>
      </c>
      <c r="S213" s="758" t="str">
        <f>IF(Inventory!AK216="","",Inventory!AK216)</f>
        <v/>
      </c>
      <c r="T213" s="765" t="str">
        <f>IF(Inventory!AL216="","",Inventory!AL216)</f>
        <v/>
      </c>
      <c r="U213" s="758" t="str">
        <f>IF(Inventory!AM216="","",Inventory!AM216)</f>
        <v/>
      </c>
      <c r="V213" s="729" t="str">
        <f>IF(Inventory!AN216="","",Inventory!AN216)</f>
        <v/>
      </c>
      <c r="W213" s="775" t="str">
        <f>IF(Inventory!AO216="","",Inventory!AO216)</f>
        <v/>
      </c>
      <c r="X213" s="775" t="str">
        <f>IF(Inventory!AP216="","",Inventory!AP216)</f>
        <v/>
      </c>
      <c r="Y213" s="729" t="str">
        <f>IF(Inventory!AQ216="","",Inventory!AQ216)</f>
        <v/>
      </c>
      <c r="Z213" s="775" t="str">
        <f>IF(Inventory!AR216="","",Inventory!AR216)</f>
        <v/>
      </c>
      <c r="AA213" s="779" t="str">
        <f>IF(Inventory!AS216="","",Inventory!AS216)</f>
        <v/>
      </c>
      <c r="AB213" s="866"/>
    </row>
    <row r="214" spans="2:28" s="618" customFormat="1" ht="21.95" customHeight="1" x14ac:dyDescent="0.25">
      <c r="B214" s="432">
        <v>208</v>
      </c>
      <c r="C214" s="499" t="str">
        <f>IF(Inventory!C217="","",Inventory!C217)</f>
        <v/>
      </c>
      <c r="D214" s="751" t="str">
        <f>IF(Inventory!D217="","",Inventory!D217)</f>
        <v/>
      </c>
      <c r="E214" s="556" t="str">
        <f>IF(Inventory!W217="","",Inventory!W217)</f>
        <v/>
      </c>
      <c r="F214" s="785" t="str">
        <f>IF(Inventory!X217="","",Inventory!X217)</f>
        <v/>
      </c>
      <c r="G214" s="785" t="str">
        <f>IF(Inventory!Y217="","",Inventory!Y217)</f>
        <v/>
      </c>
      <c r="H214" s="767" t="str">
        <f>IF(Inventory!Z217="","",Inventory!Z217)</f>
        <v/>
      </c>
      <c r="I214" s="767" t="str">
        <f>IF(Inventory!AA217="","",Inventory!AA217)</f>
        <v/>
      </c>
      <c r="J214" s="767" t="str">
        <f>IF(Inventory!AB217="","",Inventory!AB217)</f>
        <v/>
      </c>
      <c r="K214" s="767" t="str">
        <f>IF(Inventory!AC217="","",Inventory!AC217)</f>
        <v/>
      </c>
      <c r="L214" s="776" t="str">
        <f>IF(Inventory!AD217="","",Inventory!AD217)</f>
        <v/>
      </c>
      <c r="M214" s="527">
        <f>IF(Inventory!AE217="","",Inventory!AE217)</f>
        <v>0</v>
      </c>
      <c r="N214" s="527">
        <f>IF(Inventory!AF217="","",Inventory!AF217)</f>
        <v>0</v>
      </c>
      <c r="O214" s="527">
        <f>IF(Inventory!AG217="","",Inventory!AG217)</f>
        <v>0</v>
      </c>
      <c r="P214" s="527">
        <f>IF(Inventory!AH217="","",Inventory!AH217)</f>
        <v>0</v>
      </c>
      <c r="Q214" s="527">
        <f>IF(Inventory!AI217="","",Inventory!AI217)</f>
        <v>0</v>
      </c>
      <c r="R214" s="527">
        <f>IF(Inventory!AJ217="","",Inventory!AJ217)</f>
        <v>999999999</v>
      </c>
      <c r="S214" s="777" t="str">
        <f>IF(Inventory!AK217="","",Inventory!AK217)</f>
        <v/>
      </c>
      <c r="T214" s="776" t="str">
        <f>IF(Inventory!AL217="","",Inventory!AL217)</f>
        <v/>
      </c>
      <c r="U214" s="777" t="str">
        <f>IF(Inventory!AM217="","",Inventory!AM217)</f>
        <v/>
      </c>
      <c r="V214" s="767" t="str">
        <f>IF(Inventory!AN217="","",Inventory!AN217)</f>
        <v/>
      </c>
      <c r="W214" s="778" t="str">
        <f>IF(Inventory!AO217="","",Inventory!AO217)</f>
        <v/>
      </c>
      <c r="X214" s="778" t="str">
        <f>IF(Inventory!AP217="","",Inventory!AP217)</f>
        <v/>
      </c>
      <c r="Y214" s="767" t="str">
        <f>IF(Inventory!AQ217="","",Inventory!AQ217)</f>
        <v/>
      </c>
      <c r="Z214" s="778" t="str">
        <f>IF(Inventory!AR217="","",Inventory!AR217)</f>
        <v/>
      </c>
      <c r="AA214" s="751" t="str">
        <f>IF(Inventory!AS217="","",Inventory!AS217)</f>
        <v/>
      </c>
      <c r="AB214" s="871"/>
    </row>
    <row r="215" spans="2:28" s="618" customFormat="1" ht="21.95" customHeight="1" x14ac:dyDescent="0.25">
      <c r="B215" s="431">
        <v>209</v>
      </c>
      <c r="C215" s="501" t="str">
        <f>IF(Inventory!C218="","",Inventory!C218)</f>
        <v/>
      </c>
      <c r="D215" s="502" t="str">
        <f>IF(Inventory!D218="","",Inventory!D218)</f>
        <v/>
      </c>
      <c r="E215" s="557" t="str">
        <f>IF(Inventory!W218="","",Inventory!W218)</f>
        <v/>
      </c>
      <c r="F215" s="788" t="str">
        <f>IF(Inventory!X218="","",Inventory!X218)</f>
        <v/>
      </c>
      <c r="G215" s="788" t="str">
        <f>IF(Inventory!Y218="","",Inventory!Y218)</f>
        <v/>
      </c>
      <c r="H215" s="729" t="str">
        <f>IF(Inventory!Z218="","",Inventory!Z218)</f>
        <v/>
      </c>
      <c r="I215" s="729" t="str">
        <f>IF(Inventory!AA218="","",Inventory!AA218)</f>
        <v/>
      </c>
      <c r="J215" s="729" t="str">
        <f>IF(Inventory!AB218="","",Inventory!AB218)</f>
        <v/>
      </c>
      <c r="K215" s="729" t="str">
        <f>IF(Inventory!AC218="","",Inventory!AC218)</f>
        <v/>
      </c>
      <c r="L215" s="765" t="str">
        <f>IF(Inventory!AD218="","",Inventory!AD218)</f>
        <v/>
      </c>
      <c r="M215" s="527">
        <f>IF(Inventory!AE218="","",Inventory!AE218)</f>
        <v>0</v>
      </c>
      <c r="N215" s="527">
        <f>IF(Inventory!AF218="","",Inventory!AF218)</f>
        <v>0</v>
      </c>
      <c r="O215" s="527">
        <f>IF(Inventory!AG218="","",Inventory!AG218)</f>
        <v>0</v>
      </c>
      <c r="P215" s="527">
        <f>IF(Inventory!AH218="","",Inventory!AH218)</f>
        <v>0</v>
      </c>
      <c r="Q215" s="527">
        <f>IF(Inventory!AI218="","",Inventory!AI218)</f>
        <v>0</v>
      </c>
      <c r="R215" s="527">
        <f>IF(Inventory!AJ218="","",Inventory!AJ218)</f>
        <v>999999999</v>
      </c>
      <c r="S215" s="758" t="str">
        <f>IF(Inventory!AK218="","",Inventory!AK218)</f>
        <v/>
      </c>
      <c r="T215" s="765" t="str">
        <f>IF(Inventory!AL218="","",Inventory!AL218)</f>
        <v/>
      </c>
      <c r="U215" s="758" t="str">
        <f>IF(Inventory!AM218="","",Inventory!AM218)</f>
        <v/>
      </c>
      <c r="V215" s="729" t="str">
        <f>IF(Inventory!AN218="","",Inventory!AN218)</f>
        <v/>
      </c>
      <c r="W215" s="775" t="str">
        <f>IF(Inventory!AO218="","",Inventory!AO218)</f>
        <v/>
      </c>
      <c r="X215" s="775" t="str">
        <f>IF(Inventory!AP218="","",Inventory!AP218)</f>
        <v/>
      </c>
      <c r="Y215" s="729" t="str">
        <f>IF(Inventory!AQ218="","",Inventory!AQ218)</f>
        <v/>
      </c>
      <c r="Z215" s="775" t="str">
        <f>IF(Inventory!AR218="","",Inventory!AR218)</f>
        <v/>
      </c>
      <c r="AA215" s="779" t="str">
        <f>IF(Inventory!AS218="","",Inventory!AS218)</f>
        <v/>
      </c>
      <c r="AB215" s="866"/>
    </row>
    <row r="216" spans="2:28" s="618" customFormat="1" ht="21.95" customHeight="1" x14ac:dyDescent="0.25">
      <c r="B216" s="432">
        <v>210</v>
      </c>
      <c r="C216" s="499" t="str">
        <f>IF(Inventory!C219="","",Inventory!C219)</f>
        <v/>
      </c>
      <c r="D216" s="751" t="str">
        <f>IF(Inventory!D219="","",Inventory!D219)</f>
        <v/>
      </c>
      <c r="E216" s="556" t="str">
        <f>IF(Inventory!W219="","",Inventory!W219)</f>
        <v/>
      </c>
      <c r="F216" s="785" t="str">
        <f>IF(Inventory!X219="","",Inventory!X219)</f>
        <v/>
      </c>
      <c r="G216" s="785" t="str">
        <f>IF(Inventory!Y219="","",Inventory!Y219)</f>
        <v/>
      </c>
      <c r="H216" s="767" t="str">
        <f>IF(Inventory!Z219="","",Inventory!Z219)</f>
        <v/>
      </c>
      <c r="I216" s="767" t="str">
        <f>IF(Inventory!AA219="","",Inventory!AA219)</f>
        <v/>
      </c>
      <c r="J216" s="767" t="str">
        <f>IF(Inventory!AB219="","",Inventory!AB219)</f>
        <v/>
      </c>
      <c r="K216" s="767" t="str">
        <f>IF(Inventory!AC219="","",Inventory!AC219)</f>
        <v/>
      </c>
      <c r="L216" s="776" t="str">
        <f>IF(Inventory!AD219="","",Inventory!AD219)</f>
        <v/>
      </c>
      <c r="M216" s="527">
        <f>IF(Inventory!AE219="","",Inventory!AE219)</f>
        <v>0</v>
      </c>
      <c r="N216" s="527">
        <f>IF(Inventory!AF219="","",Inventory!AF219)</f>
        <v>0</v>
      </c>
      <c r="O216" s="527">
        <f>IF(Inventory!AG219="","",Inventory!AG219)</f>
        <v>0</v>
      </c>
      <c r="P216" s="527">
        <f>IF(Inventory!AH219="","",Inventory!AH219)</f>
        <v>0</v>
      </c>
      <c r="Q216" s="527">
        <f>IF(Inventory!AI219="","",Inventory!AI219)</f>
        <v>0</v>
      </c>
      <c r="R216" s="527">
        <f>IF(Inventory!AJ219="","",Inventory!AJ219)</f>
        <v>999999999</v>
      </c>
      <c r="S216" s="777" t="str">
        <f>IF(Inventory!AK219="","",Inventory!AK219)</f>
        <v/>
      </c>
      <c r="T216" s="776" t="str">
        <f>IF(Inventory!AL219="","",Inventory!AL219)</f>
        <v/>
      </c>
      <c r="U216" s="777" t="str">
        <f>IF(Inventory!AM219="","",Inventory!AM219)</f>
        <v/>
      </c>
      <c r="V216" s="767" t="str">
        <f>IF(Inventory!AN219="","",Inventory!AN219)</f>
        <v/>
      </c>
      <c r="W216" s="778" t="str">
        <f>IF(Inventory!AO219="","",Inventory!AO219)</f>
        <v/>
      </c>
      <c r="X216" s="778" t="str">
        <f>IF(Inventory!AP219="","",Inventory!AP219)</f>
        <v/>
      </c>
      <c r="Y216" s="767" t="str">
        <f>IF(Inventory!AQ219="","",Inventory!AQ219)</f>
        <v/>
      </c>
      <c r="Z216" s="778" t="str">
        <f>IF(Inventory!AR219="","",Inventory!AR219)</f>
        <v/>
      </c>
      <c r="AA216" s="751" t="str">
        <f>IF(Inventory!AS219="","",Inventory!AS219)</f>
        <v/>
      </c>
      <c r="AB216" s="871"/>
    </row>
    <row r="217" spans="2:28" s="618" customFormat="1" ht="21.95" customHeight="1" x14ac:dyDescent="0.25">
      <c r="B217" s="431">
        <v>211</v>
      </c>
      <c r="C217" s="501" t="str">
        <f>IF(Inventory!C220="","",Inventory!C220)</f>
        <v/>
      </c>
      <c r="D217" s="502" t="str">
        <f>IF(Inventory!D220="","",Inventory!D220)</f>
        <v/>
      </c>
      <c r="E217" s="557" t="str">
        <f>IF(Inventory!W220="","",Inventory!W220)</f>
        <v/>
      </c>
      <c r="F217" s="788" t="str">
        <f>IF(Inventory!X220="","",Inventory!X220)</f>
        <v/>
      </c>
      <c r="G217" s="788" t="str">
        <f>IF(Inventory!Y220="","",Inventory!Y220)</f>
        <v/>
      </c>
      <c r="H217" s="729" t="str">
        <f>IF(Inventory!Z220="","",Inventory!Z220)</f>
        <v/>
      </c>
      <c r="I217" s="729" t="str">
        <f>IF(Inventory!AA220="","",Inventory!AA220)</f>
        <v/>
      </c>
      <c r="J217" s="729" t="str">
        <f>IF(Inventory!AB220="","",Inventory!AB220)</f>
        <v/>
      </c>
      <c r="K217" s="729" t="str">
        <f>IF(Inventory!AC220="","",Inventory!AC220)</f>
        <v/>
      </c>
      <c r="L217" s="765" t="str">
        <f>IF(Inventory!AD220="","",Inventory!AD220)</f>
        <v/>
      </c>
      <c r="M217" s="527">
        <f>IF(Inventory!AE220="","",Inventory!AE220)</f>
        <v>0</v>
      </c>
      <c r="N217" s="527">
        <f>IF(Inventory!AF220="","",Inventory!AF220)</f>
        <v>0</v>
      </c>
      <c r="O217" s="527">
        <f>IF(Inventory!AG220="","",Inventory!AG220)</f>
        <v>0</v>
      </c>
      <c r="P217" s="527">
        <f>IF(Inventory!AH220="","",Inventory!AH220)</f>
        <v>0</v>
      </c>
      <c r="Q217" s="527">
        <f>IF(Inventory!AI220="","",Inventory!AI220)</f>
        <v>0</v>
      </c>
      <c r="R217" s="527">
        <f>IF(Inventory!AJ220="","",Inventory!AJ220)</f>
        <v>999999999</v>
      </c>
      <c r="S217" s="758" t="str">
        <f>IF(Inventory!AK220="","",Inventory!AK220)</f>
        <v/>
      </c>
      <c r="T217" s="765" t="str">
        <f>IF(Inventory!AL220="","",Inventory!AL220)</f>
        <v/>
      </c>
      <c r="U217" s="758" t="str">
        <f>IF(Inventory!AM220="","",Inventory!AM220)</f>
        <v/>
      </c>
      <c r="V217" s="729" t="str">
        <f>IF(Inventory!AN220="","",Inventory!AN220)</f>
        <v/>
      </c>
      <c r="W217" s="775" t="str">
        <f>IF(Inventory!AO220="","",Inventory!AO220)</f>
        <v/>
      </c>
      <c r="X217" s="775" t="str">
        <f>IF(Inventory!AP220="","",Inventory!AP220)</f>
        <v/>
      </c>
      <c r="Y217" s="729" t="str">
        <f>IF(Inventory!AQ220="","",Inventory!AQ220)</f>
        <v/>
      </c>
      <c r="Z217" s="775" t="str">
        <f>IF(Inventory!AR220="","",Inventory!AR220)</f>
        <v/>
      </c>
      <c r="AA217" s="779" t="str">
        <f>IF(Inventory!AS220="","",Inventory!AS220)</f>
        <v/>
      </c>
      <c r="AB217" s="866"/>
    </row>
    <row r="218" spans="2:28" s="618" customFormat="1" ht="21.95" customHeight="1" x14ac:dyDescent="0.25">
      <c r="B218" s="432">
        <v>212</v>
      </c>
      <c r="C218" s="499" t="str">
        <f>IF(Inventory!C221="","",Inventory!C221)</f>
        <v/>
      </c>
      <c r="D218" s="751" t="str">
        <f>IF(Inventory!D221="","",Inventory!D221)</f>
        <v/>
      </c>
      <c r="E218" s="556" t="str">
        <f>IF(Inventory!W221="","",Inventory!W221)</f>
        <v/>
      </c>
      <c r="F218" s="785" t="str">
        <f>IF(Inventory!X221="","",Inventory!X221)</f>
        <v/>
      </c>
      <c r="G218" s="785" t="str">
        <f>IF(Inventory!Y221="","",Inventory!Y221)</f>
        <v/>
      </c>
      <c r="H218" s="767" t="str">
        <f>IF(Inventory!Z221="","",Inventory!Z221)</f>
        <v/>
      </c>
      <c r="I218" s="767" t="str">
        <f>IF(Inventory!AA221="","",Inventory!AA221)</f>
        <v/>
      </c>
      <c r="J218" s="767" t="str">
        <f>IF(Inventory!AB221="","",Inventory!AB221)</f>
        <v/>
      </c>
      <c r="K218" s="767" t="str">
        <f>IF(Inventory!AC221="","",Inventory!AC221)</f>
        <v/>
      </c>
      <c r="L218" s="776" t="str">
        <f>IF(Inventory!AD221="","",Inventory!AD221)</f>
        <v/>
      </c>
      <c r="M218" s="527">
        <f>IF(Inventory!AE221="","",Inventory!AE221)</f>
        <v>0</v>
      </c>
      <c r="N218" s="527">
        <f>IF(Inventory!AF221="","",Inventory!AF221)</f>
        <v>0</v>
      </c>
      <c r="O218" s="527">
        <f>IF(Inventory!AG221="","",Inventory!AG221)</f>
        <v>0</v>
      </c>
      <c r="P218" s="527">
        <f>IF(Inventory!AH221="","",Inventory!AH221)</f>
        <v>0</v>
      </c>
      <c r="Q218" s="527">
        <f>IF(Inventory!AI221="","",Inventory!AI221)</f>
        <v>0</v>
      </c>
      <c r="R218" s="527">
        <f>IF(Inventory!AJ221="","",Inventory!AJ221)</f>
        <v>999999999</v>
      </c>
      <c r="S218" s="777" t="str">
        <f>IF(Inventory!AK221="","",Inventory!AK221)</f>
        <v/>
      </c>
      <c r="T218" s="776" t="str">
        <f>IF(Inventory!AL221="","",Inventory!AL221)</f>
        <v/>
      </c>
      <c r="U218" s="777" t="str">
        <f>IF(Inventory!AM221="","",Inventory!AM221)</f>
        <v/>
      </c>
      <c r="V218" s="767" t="str">
        <f>IF(Inventory!AN221="","",Inventory!AN221)</f>
        <v/>
      </c>
      <c r="W218" s="778" t="str">
        <f>IF(Inventory!AO221="","",Inventory!AO221)</f>
        <v/>
      </c>
      <c r="X218" s="778" t="str">
        <f>IF(Inventory!AP221="","",Inventory!AP221)</f>
        <v/>
      </c>
      <c r="Y218" s="767" t="str">
        <f>IF(Inventory!AQ221="","",Inventory!AQ221)</f>
        <v/>
      </c>
      <c r="Z218" s="778" t="str">
        <f>IF(Inventory!AR221="","",Inventory!AR221)</f>
        <v/>
      </c>
      <c r="AA218" s="751" t="str">
        <f>IF(Inventory!AS221="","",Inventory!AS221)</f>
        <v/>
      </c>
      <c r="AB218" s="871"/>
    </row>
    <row r="219" spans="2:28" s="618" customFormat="1" ht="21.95" customHeight="1" x14ac:dyDescent="0.25">
      <c r="B219" s="431">
        <v>213</v>
      </c>
      <c r="C219" s="501" t="str">
        <f>IF(Inventory!C222="","",Inventory!C222)</f>
        <v/>
      </c>
      <c r="D219" s="502" t="str">
        <f>IF(Inventory!D222="","",Inventory!D222)</f>
        <v/>
      </c>
      <c r="E219" s="557" t="str">
        <f>IF(Inventory!W222="","",Inventory!W222)</f>
        <v/>
      </c>
      <c r="F219" s="788" t="str">
        <f>IF(Inventory!X222="","",Inventory!X222)</f>
        <v/>
      </c>
      <c r="G219" s="788" t="str">
        <f>IF(Inventory!Y222="","",Inventory!Y222)</f>
        <v/>
      </c>
      <c r="H219" s="729" t="str">
        <f>IF(Inventory!Z222="","",Inventory!Z222)</f>
        <v/>
      </c>
      <c r="I219" s="729" t="str">
        <f>IF(Inventory!AA222="","",Inventory!AA222)</f>
        <v/>
      </c>
      <c r="J219" s="729" t="str">
        <f>IF(Inventory!AB222="","",Inventory!AB222)</f>
        <v/>
      </c>
      <c r="K219" s="729" t="str">
        <f>IF(Inventory!AC222="","",Inventory!AC222)</f>
        <v/>
      </c>
      <c r="L219" s="765" t="str">
        <f>IF(Inventory!AD222="","",Inventory!AD222)</f>
        <v/>
      </c>
      <c r="M219" s="527">
        <f>IF(Inventory!AE222="","",Inventory!AE222)</f>
        <v>0</v>
      </c>
      <c r="N219" s="527">
        <f>IF(Inventory!AF222="","",Inventory!AF222)</f>
        <v>0</v>
      </c>
      <c r="O219" s="527">
        <f>IF(Inventory!AG222="","",Inventory!AG222)</f>
        <v>0</v>
      </c>
      <c r="P219" s="527">
        <f>IF(Inventory!AH222="","",Inventory!AH222)</f>
        <v>0</v>
      </c>
      <c r="Q219" s="527">
        <f>IF(Inventory!AI222="","",Inventory!AI222)</f>
        <v>0</v>
      </c>
      <c r="R219" s="527">
        <f>IF(Inventory!AJ222="","",Inventory!AJ222)</f>
        <v>999999999</v>
      </c>
      <c r="S219" s="758" t="str">
        <f>IF(Inventory!AK222="","",Inventory!AK222)</f>
        <v/>
      </c>
      <c r="T219" s="765" t="str">
        <f>IF(Inventory!AL222="","",Inventory!AL222)</f>
        <v/>
      </c>
      <c r="U219" s="758" t="str">
        <f>IF(Inventory!AM222="","",Inventory!AM222)</f>
        <v/>
      </c>
      <c r="V219" s="729" t="str">
        <f>IF(Inventory!AN222="","",Inventory!AN222)</f>
        <v/>
      </c>
      <c r="W219" s="775" t="str">
        <f>IF(Inventory!AO222="","",Inventory!AO222)</f>
        <v/>
      </c>
      <c r="X219" s="775" t="str">
        <f>IF(Inventory!AP222="","",Inventory!AP222)</f>
        <v/>
      </c>
      <c r="Y219" s="729" t="str">
        <f>IF(Inventory!AQ222="","",Inventory!AQ222)</f>
        <v/>
      </c>
      <c r="Z219" s="775" t="str">
        <f>IF(Inventory!AR222="","",Inventory!AR222)</f>
        <v/>
      </c>
      <c r="AA219" s="779" t="str">
        <f>IF(Inventory!AS222="","",Inventory!AS222)</f>
        <v/>
      </c>
      <c r="AB219" s="866"/>
    </row>
    <row r="220" spans="2:28" s="618" customFormat="1" ht="21.95" customHeight="1" x14ac:dyDescent="0.25">
      <c r="B220" s="432">
        <v>214</v>
      </c>
      <c r="C220" s="499" t="str">
        <f>IF(Inventory!C223="","",Inventory!C223)</f>
        <v/>
      </c>
      <c r="D220" s="751" t="str">
        <f>IF(Inventory!D223="","",Inventory!D223)</f>
        <v/>
      </c>
      <c r="E220" s="556" t="str">
        <f>IF(Inventory!W223="","",Inventory!W223)</f>
        <v/>
      </c>
      <c r="F220" s="785" t="str">
        <f>IF(Inventory!X223="","",Inventory!X223)</f>
        <v/>
      </c>
      <c r="G220" s="785" t="str">
        <f>IF(Inventory!Y223="","",Inventory!Y223)</f>
        <v/>
      </c>
      <c r="H220" s="767" t="str">
        <f>IF(Inventory!Z223="","",Inventory!Z223)</f>
        <v/>
      </c>
      <c r="I220" s="767" t="str">
        <f>IF(Inventory!AA223="","",Inventory!AA223)</f>
        <v/>
      </c>
      <c r="J220" s="767" t="str">
        <f>IF(Inventory!AB223="","",Inventory!AB223)</f>
        <v/>
      </c>
      <c r="K220" s="767" t="str">
        <f>IF(Inventory!AC223="","",Inventory!AC223)</f>
        <v/>
      </c>
      <c r="L220" s="776" t="str">
        <f>IF(Inventory!AD223="","",Inventory!AD223)</f>
        <v/>
      </c>
      <c r="M220" s="527">
        <f>IF(Inventory!AE223="","",Inventory!AE223)</f>
        <v>0</v>
      </c>
      <c r="N220" s="527">
        <f>IF(Inventory!AF223="","",Inventory!AF223)</f>
        <v>0</v>
      </c>
      <c r="O220" s="527">
        <f>IF(Inventory!AG223="","",Inventory!AG223)</f>
        <v>0</v>
      </c>
      <c r="P220" s="527">
        <f>IF(Inventory!AH223="","",Inventory!AH223)</f>
        <v>0</v>
      </c>
      <c r="Q220" s="527">
        <f>IF(Inventory!AI223="","",Inventory!AI223)</f>
        <v>0</v>
      </c>
      <c r="R220" s="527">
        <f>IF(Inventory!AJ223="","",Inventory!AJ223)</f>
        <v>999999999</v>
      </c>
      <c r="S220" s="777" t="str">
        <f>IF(Inventory!AK223="","",Inventory!AK223)</f>
        <v/>
      </c>
      <c r="T220" s="776" t="str">
        <f>IF(Inventory!AL223="","",Inventory!AL223)</f>
        <v/>
      </c>
      <c r="U220" s="777" t="str">
        <f>IF(Inventory!AM223="","",Inventory!AM223)</f>
        <v/>
      </c>
      <c r="V220" s="767" t="str">
        <f>IF(Inventory!AN223="","",Inventory!AN223)</f>
        <v/>
      </c>
      <c r="W220" s="778" t="str">
        <f>IF(Inventory!AO223="","",Inventory!AO223)</f>
        <v/>
      </c>
      <c r="X220" s="778" t="str">
        <f>IF(Inventory!AP223="","",Inventory!AP223)</f>
        <v/>
      </c>
      <c r="Y220" s="767" t="str">
        <f>IF(Inventory!AQ223="","",Inventory!AQ223)</f>
        <v/>
      </c>
      <c r="Z220" s="778" t="str">
        <f>IF(Inventory!AR223="","",Inventory!AR223)</f>
        <v/>
      </c>
      <c r="AA220" s="751" t="str">
        <f>IF(Inventory!AS223="","",Inventory!AS223)</f>
        <v/>
      </c>
      <c r="AB220" s="871"/>
    </row>
    <row r="221" spans="2:28" s="618" customFormat="1" ht="21.95" customHeight="1" x14ac:dyDescent="0.25">
      <c r="B221" s="431">
        <v>215</v>
      </c>
      <c r="C221" s="501" t="str">
        <f>IF(Inventory!C224="","",Inventory!C224)</f>
        <v/>
      </c>
      <c r="D221" s="502" t="str">
        <f>IF(Inventory!D224="","",Inventory!D224)</f>
        <v/>
      </c>
      <c r="E221" s="557" t="str">
        <f>IF(Inventory!W224="","",Inventory!W224)</f>
        <v/>
      </c>
      <c r="F221" s="788" t="str">
        <f>IF(Inventory!X224="","",Inventory!X224)</f>
        <v/>
      </c>
      <c r="G221" s="788" t="str">
        <f>IF(Inventory!Y224="","",Inventory!Y224)</f>
        <v/>
      </c>
      <c r="H221" s="729" t="str">
        <f>IF(Inventory!Z224="","",Inventory!Z224)</f>
        <v/>
      </c>
      <c r="I221" s="729" t="str">
        <f>IF(Inventory!AA224="","",Inventory!AA224)</f>
        <v/>
      </c>
      <c r="J221" s="729" t="str">
        <f>IF(Inventory!AB224="","",Inventory!AB224)</f>
        <v/>
      </c>
      <c r="K221" s="729" t="str">
        <f>IF(Inventory!AC224="","",Inventory!AC224)</f>
        <v/>
      </c>
      <c r="L221" s="765" t="str">
        <f>IF(Inventory!AD224="","",Inventory!AD224)</f>
        <v/>
      </c>
      <c r="M221" s="527">
        <f>IF(Inventory!AE224="","",Inventory!AE224)</f>
        <v>0</v>
      </c>
      <c r="N221" s="527">
        <f>IF(Inventory!AF224="","",Inventory!AF224)</f>
        <v>0</v>
      </c>
      <c r="O221" s="527">
        <f>IF(Inventory!AG224="","",Inventory!AG224)</f>
        <v>0</v>
      </c>
      <c r="P221" s="527">
        <f>IF(Inventory!AH224="","",Inventory!AH224)</f>
        <v>0</v>
      </c>
      <c r="Q221" s="527">
        <f>IF(Inventory!AI224="","",Inventory!AI224)</f>
        <v>0</v>
      </c>
      <c r="R221" s="527">
        <f>IF(Inventory!AJ224="","",Inventory!AJ224)</f>
        <v>999999999</v>
      </c>
      <c r="S221" s="758" t="str">
        <f>IF(Inventory!AK224="","",Inventory!AK224)</f>
        <v/>
      </c>
      <c r="T221" s="765" t="str">
        <f>IF(Inventory!AL224="","",Inventory!AL224)</f>
        <v/>
      </c>
      <c r="U221" s="758" t="str">
        <f>IF(Inventory!AM224="","",Inventory!AM224)</f>
        <v/>
      </c>
      <c r="V221" s="729" t="str">
        <f>IF(Inventory!AN224="","",Inventory!AN224)</f>
        <v/>
      </c>
      <c r="W221" s="775" t="str">
        <f>IF(Inventory!AO224="","",Inventory!AO224)</f>
        <v/>
      </c>
      <c r="X221" s="775" t="str">
        <f>IF(Inventory!AP224="","",Inventory!AP224)</f>
        <v/>
      </c>
      <c r="Y221" s="729" t="str">
        <f>IF(Inventory!AQ224="","",Inventory!AQ224)</f>
        <v/>
      </c>
      <c r="Z221" s="775" t="str">
        <f>IF(Inventory!AR224="","",Inventory!AR224)</f>
        <v/>
      </c>
      <c r="AA221" s="779" t="str">
        <f>IF(Inventory!AS224="","",Inventory!AS224)</f>
        <v/>
      </c>
      <c r="AB221" s="866"/>
    </row>
    <row r="222" spans="2:28" s="618" customFormat="1" ht="21.95" customHeight="1" x14ac:dyDescent="0.25">
      <c r="B222" s="432">
        <v>216</v>
      </c>
      <c r="C222" s="499" t="str">
        <f>IF(Inventory!C225="","",Inventory!C225)</f>
        <v/>
      </c>
      <c r="D222" s="751" t="str">
        <f>IF(Inventory!D225="","",Inventory!D225)</f>
        <v/>
      </c>
      <c r="E222" s="556" t="str">
        <f>IF(Inventory!W225="","",Inventory!W225)</f>
        <v/>
      </c>
      <c r="F222" s="785" t="str">
        <f>IF(Inventory!X225="","",Inventory!X225)</f>
        <v/>
      </c>
      <c r="G222" s="785" t="str">
        <f>IF(Inventory!Y225="","",Inventory!Y225)</f>
        <v/>
      </c>
      <c r="H222" s="767" t="str">
        <f>IF(Inventory!Z225="","",Inventory!Z225)</f>
        <v/>
      </c>
      <c r="I222" s="767" t="str">
        <f>IF(Inventory!AA225="","",Inventory!AA225)</f>
        <v/>
      </c>
      <c r="J222" s="767" t="str">
        <f>IF(Inventory!AB225="","",Inventory!AB225)</f>
        <v/>
      </c>
      <c r="K222" s="767" t="str">
        <f>IF(Inventory!AC225="","",Inventory!AC225)</f>
        <v/>
      </c>
      <c r="L222" s="776" t="str">
        <f>IF(Inventory!AD225="","",Inventory!AD225)</f>
        <v/>
      </c>
      <c r="M222" s="527">
        <f>IF(Inventory!AE225="","",Inventory!AE225)</f>
        <v>0</v>
      </c>
      <c r="N222" s="527">
        <f>IF(Inventory!AF225="","",Inventory!AF225)</f>
        <v>0</v>
      </c>
      <c r="O222" s="527">
        <f>IF(Inventory!AG225="","",Inventory!AG225)</f>
        <v>0</v>
      </c>
      <c r="P222" s="527">
        <f>IF(Inventory!AH225="","",Inventory!AH225)</f>
        <v>0</v>
      </c>
      <c r="Q222" s="527">
        <f>IF(Inventory!AI225="","",Inventory!AI225)</f>
        <v>0</v>
      </c>
      <c r="R222" s="527">
        <f>IF(Inventory!AJ225="","",Inventory!AJ225)</f>
        <v>999999999</v>
      </c>
      <c r="S222" s="777" t="str">
        <f>IF(Inventory!AK225="","",Inventory!AK225)</f>
        <v/>
      </c>
      <c r="T222" s="776" t="str">
        <f>IF(Inventory!AL225="","",Inventory!AL225)</f>
        <v/>
      </c>
      <c r="U222" s="777" t="str">
        <f>IF(Inventory!AM225="","",Inventory!AM225)</f>
        <v/>
      </c>
      <c r="V222" s="767" t="str">
        <f>IF(Inventory!AN225="","",Inventory!AN225)</f>
        <v/>
      </c>
      <c r="W222" s="778" t="str">
        <f>IF(Inventory!AO225="","",Inventory!AO225)</f>
        <v/>
      </c>
      <c r="X222" s="778" t="str">
        <f>IF(Inventory!AP225="","",Inventory!AP225)</f>
        <v/>
      </c>
      <c r="Y222" s="767" t="str">
        <f>IF(Inventory!AQ225="","",Inventory!AQ225)</f>
        <v/>
      </c>
      <c r="Z222" s="778" t="str">
        <f>IF(Inventory!AR225="","",Inventory!AR225)</f>
        <v/>
      </c>
      <c r="AA222" s="751" t="str">
        <f>IF(Inventory!AS225="","",Inventory!AS225)</f>
        <v/>
      </c>
      <c r="AB222" s="871"/>
    </row>
    <row r="223" spans="2:28" s="618" customFormat="1" ht="21.95" customHeight="1" x14ac:dyDescent="0.25">
      <c r="B223" s="431">
        <v>217</v>
      </c>
      <c r="C223" s="501" t="str">
        <f>IF(Inventory!C226="","",Inventory!C226)</f>
        <v/>
      </c>
      <c r="D223" s="502" t="str">
        <f>IF(Inventory!D226="","",Inventory!D226)</f>
        <v/>
      </c>
      <c r="E223" s="557" t="str">
        <f>IF(Inventory!W226="","",Inventory!W226)</f>
        <v/>
      </c>
      <c r="F223" s="788" t="str">
        <f>IF(Inventory!X226="","",Inventory!X226)</f>
        <v/>
      </c>
      <c r="G223" s="788" t="str">
        <f>IF(Inventory!Y226="","",Inventory!Y226)</f>
        <v/>
      </c>
      <c r="H223" s="729" t="str">
        <f>IF(Inventory!Z226="","",Inventory!Z226)</f>
        <v/>
      </c>
      <c r="I223" s="729" t="str">
        <f>IF(Inventory!AA226="","",Inventory!AA226)</f>
        <v/>
      </c>
      <c r="J223" s="729" t="str">
        <f>IF(Inventory!AB226="","",Inventory!AB226)</f>
        <v/>
      </c>
      <c r="K223" s="729" t="str">
        <f>IF(Inventory!AC226="","",Inventory!AC226)</f>
        <v/>
      </c>
      <c r="L223" s="765" t="str">
        <f>IF(Inventory!AD226="","",Inventory!AD226)</f>
        <v/>
      </c>
      <c r="M223" s="527">
        <f>IF(Inventory!AE226="","",Inventory!AE226)</f>
        <v>0</v>
      </c>
      <c r="N223" s="527">
        <f>IF(Inventory!AF226="","",Inventory!AF226)</f>
        <v>0</v>
      </c>
      <c r="O223" s="527">
        <f>IF(Inventory!AG226="","",Inventory!AG226)</f>
        <v>0</v>
      </c>
      <c r="P223" s="527">
        <f>IF(Inventory!AH226="","",Inventory!AH226)</f>
        <v>0</v>
      </c>
      <c r="Q223" s="527">
        <f>IF(Inventory!AI226="","",Inventory!AI226)</f>
        <v>0</v>
      </c>
      <c r="R223" s="527">
        <f>IF(Inventory!AJ226="","",Inventory!AJ226)</f>
        <v>999999999</v>
      </c>
      <c r="S223" s="758" t="str">
        <f>IF(Inventory!AK226="","",Inventory!AK226)</f>
        <v/>
      </c>
      <c r="T223" s="765" t="str">
        <f>IF(Inventory!AL226="","",Inventory!AL226)</f>
        <v/>
      </c>
      <c r="U223" s="758" t="str">
        <f>IF(Inventory!AM226="","",Inventory!AM226)</f>
        <v/>
      </c>
      <c r="V223" s="729" t="str">
        <f>IF(Inventory!AN226="","",Inventory!AN226)</f>
        <v/>
      </c>
      <c r="W223" s="775" t="str">
        <f>IF(Inventory!AO226="","",Inventory!AO226)</f>
        <v/>
      </c>
      <c r="X223" s="775" t="str">
        <f>IF(Inventory!AP226="","",Inventory!AP226)</f>
        <v/>
      </c>
      <c r="Y223" s="729" t="str">
        <f>IF(Inventory!AQ226="","",Inventory!AQ226)</f>
        <v/>
      </c>
      <c r="Z223" s="775" t="str">
        <f>IF(Inventory!AR226="","",Inventory!AR226)</f>
        <v/>
      </c>
      <c r="AA223" s="779" t="str">
        <f>IF(Inventory!AS226="","",Inventory!AS226)</f>
        <v/>
      </c>
      <c r="AB223" s="866"/>
    </row>
    <row r="224" spans="2:28" s="618" customFormat="1" ht="21.95" customHeight="1" x14ac:dyDescent="0.25">
      <c r="B224" s="432">
        <v>218</v>
      </c>
      <c r="C224" s="499" t="str">
        <f>IF(Inventory!C227="","",Inventory!C227)</f>
        <v/>
      </c>
      <c r="D224" s="751" t="str">
        <f>IF(Inventory!D227="","",Inventory!D227)</f>
        <v/>
      </c>
      <c r="E224" s="556" t="str">
        <f>IF(Inventory!W227="","",Inventory!W227)</f>
        <v/>
      </c>
      <c r="F224" s="785" t="str">
        <f>IF(Inventory!X227="","",Inventory!X227)</f>
        <v/>
      </c>
      <c r="G224" s="785" t="str">
        <f>IF(Inventory!Y227="","",Inventory!Y227)</f>
        <v/>
      </c>
      <c r="H224" s="767" t="str">
        <f>IF(Inventory!Z227="","",Inventory!Z227)</f>
        <v/>
      </c>
      <c r="I224" s="767" t="str">
        <f>IF(Inventory!AA227="","",Inventory!AA227)</f>
        <v/>
      </c>
      <c r="J224" s="767" t="str">
        <f>IF(Inventory!AB227="","",Inventory!AB227)</f>
        <v/>
      </c>
      <c r="K224" s="767" t="str">
        <f>IF(Inventory!AC227="","",Inventory!AC227)</f>
        <v/>
      </c>
      <c r="L224" s="776" t="str">
        <f>IF(Inventory!AD227="","",Inventory!AD227)</f>
        <v/>
      </c>
      <c r="M224" s="527">
        <f>IF(Inventory!AE227="","",Inventory!AE227)</f>
        <v>0</v>
      </c>
      <c r="N224" s="527">
        <f>IF(Inventory!AF227="","",Inventory!AF227)</f>
        <v>0</v>
      </c>
      <c r="O224" s="527">
        <f>IF(Inventory!AG227="","",Inventory!AG227)</f>
        <v>0</v>
      </c>
      <c r="P224" s="527">
        <f>IF(Inventory!AH227="","",Inventory!AH227)</f>
        <v>0</v>
      </c>
      <c r="Q224" s="527">
        <f>IF(Inventory!AI227="","",Inventory!AI227)</f>
        <v>0</v>
      </c>
      <c r="R224" s="527">
        <f>IF(Inventory!AJ227="","",Inventory!AJ227)</f>
        <v>999999999</v>
      </c>
      <c r="S224" s="777" t="str">
        <f>IF(Inventory!AK227="","",Inventory!AK227)</f>
        <v/>
      </c>
      <c r="T224" s="776" t="str">
        <f>IF(Inventory!AL227="","",Inventory!AL227)</f>
        <v/>
      </c>
      <c r="U224" s="777" t="str">
        <f>IF(Inventory!AM227="","",Inventory!AM227)</f>
        <v/>
      </c>
      <c r="V224" s="767" t="str">
        <f>IF(Inventory!AN227="","",Inventory!AN227)</f>
        <v/>
      </c>
      <c r="W224" s="778" t="str">
        <f>IF(Inventory!AO227="","",Inventory!AO227)</f>
        <v/>
      </c>
      <c r="X224" s="778" t="str">
        <f>IF(Inventory!AP227="","",Inventory!AP227)</f>
        <v/>
      </c>
      <c r="Y224" s="767" t="str">
        <f>IF(Inventory!AQ227="","",Inventory!AQ227)</f>
        <v/>
      </c>
      <c r="Z224" s="778" t="str">
        <f>IF(Inventory!AR227="","",Inventory!AR227)</f>
        <v/>
      </c>
      <c r="AA224" s="751" t="str">
        <f>IF(Inventory!AS227="","",Inventory!AS227)</f>
        <v/>
      </c>
      <c r="AB224" s="871"/>
    </row>
    <row r="225" spans="2:28" s="618" customFormat="1" ht="21.95" customHeight="1" x14ac:dyDescent="0.25">
      <c r="B225" s="431">
        <v>219</v>
      </c>
      <c r="C225" s="501" t="str">
        <f>IF(Inventory!C228="","",Inventory!C228)</f>
        <v/>
      </c>
      <c r="D225" s="502" t="str">
        <f>IF(Inventory!D228="","",Inventory!D228)</f>
        <v/>
      </c>
      <c r="E225" s="557" t="str">
        <f>IF(Inventory!W228="","",Inventory!W228)</f>
        <v/>
      </c>
      <c r="F225" s="788" t="str">
        <f>IF(Inventory!X228="","",Inventory!X228)</f>
        <v/>
      </c>
      <c r="G225" s="788" t="str">
        <f>IF(Inventory!Y228="","",Inventory!Y228)</f>
        <v/>
      </c>
      <c r="H225" s="729" t="str">
        <f>IF(Inventory!Z228="","",Inventory!Z228)</f>
        <v/>
      </c>
      <c r="I225" s="729" t="str">
        <f>IF(Inventory!AA228="","",Inventory!AA228)</f>
        <v/>
      </c>
      <c r="J225" s="729" t="str">
        <f>IF(Inventory!AB228="","",Inventory!AB228)</f>
        <v/>
      </c>
      <c r="K225" s="729" t="str">
        <f>IF(Inventory!AC228="","",Inventory!AC228)</f>
        <v/>
      </c>
      <c r="L225" s="765" t="str">
        <f>IF(Inventory!AD228="","",Inventory!AD228)</f>
        <v/>
      </c>
      <c r="M225" s="527">
        <f>IF(Inventory!AE228="","",Inventory!AE228)</f>
        <v>0</v>
      </c>
      <c r="N225" s="527">
        <f>IF(Inventory!AF228="","",Inventory!AF228)</f>
        <v>0</v>
      </c>
      <c r="O225" s="527">
        <f>IF(Inventory!AG228="","",Inventory!AG228)</f>
        <v>0</v>
      </c>
      <c r="P225" s="527">
        <f>IF(Inventory!AH228="","",Inventory!AH228)</f>
        <v>0</v>
      </c>
      <c r="Q225" s="527">
        <f>IF(Inventory!AI228="","",Inventory!AI228)</f>
        <v>0</v>
      </c>
      <c r="R225" s="527">
        <f>IF(Inventory!AJ228="","",Inventory!AJ228)</f>
        <v>999999999</v>
      </c>
      <c r="S225" s="758" t="str">
        <f>IF(Inventory!AK228="","",Inventory!AK228)</f>
        <v/>
      </c>
      <c r="T225" s="765" t="str">
        <f>IF(Inventory!AL228="","",Inventory!AL228)</f>
        <v/>
      </c>
      <c r="U225" s="758" t="str">
        <f>IF(Inventory!AM228="","",Inventory!AM228)</f>
        <v/>
      </c>
      <c r="V225" s="729" t="str">
        <f>IF(Inventory!AN228="","",Inventory!AN228)</f>
        <v/>
      </c>
      <c r="W225" s="775" t="str">
        <f>IF(Inventory!AO228="","",Inventory!AO228)</f>
        <v/>
      </c>
      <c r="X225" s="775" t="str">
        <f>IF(Inventory!AP228="","",Inventory!AP228)</f>
        <v/>
      </c>
      <c r="Y225" s="729" t="str">
        <f>IF(Inventory!AQ228="","",Inventory!AQ228)</f>
        <v/>
      </c>
      <c r="Z225" s="775" t="str">
        <f>IF(Inventory!AR228="","",Inventory!AR228)</f>
        <v/>
      </c>
      <c r="AA225" s="779" t="str">
        <f>IF(Inventory!AS228="","",Inventory!AS228)</f>
        <v/>
      </c>
      <c r="AB225" s="866"/>
    </row>
    <row r="226" spans="2:28" s="618" customFormat="1" ht="21.95" customHeight="1" x14ac:dyDescent="0.25">
      <c r="B226" s="432">
        <v>220</v>
      </c>
      <c r="C226" s="499" t="str">
        <f>IF(Inventory!C229="","",Inventory!C229)</f>
        <v/>
      </c>
      <c r="D226" s="751" t="str">
        <f>IF(Inventory!D229="","",Inventory!D229)</f>
        <v/>
      </c>
      <c r="E226" s="556" t="str">
        <f>IF(Inventory!W229="","",Inventory!W229)</f>
        <v/>
      </c>
      <c r="F226" s="785" t="str">
        <f>IF(Inventory!X229="","",Inventory!X229)</f>
        <v/>
      </c>
      <c r="G226" s="785" t="str">
        <f>IF(Inventory!Y229="","",Inventory!Y229)</f>
        <v/>
      </c>
      <c r="H226" s="767" t="str">
        <f>IF(Inventory!Z229="","",Inventory!Z229)</f>
        <v/>
      </c>
      <c r="I226" s="767" t="str">
        <f>IF(Inventory!AA229="","",Inventory!AA229)</f>
        <v/>
      </c>
      <c r="J226" s="767" t="str">
        <f>IF(Inventory!AB229="","",Inventory!AB229)</f>
        <v/>
      </c>
      <c r="K226" s="767" t="str">
        <f>IF(Inventory!AC229="","",Inventory!AC229)</f>
        <v/>
      </c>
      <c r="L226" s="776" t="str">
        <f>IF(Inventory!AD229="","",Inventory!AD229)</f>
        <v/>
      </c>
      <c r="M226" s="527">
        <f>IF(Inventory!AE229="","",Inventory!AE229)</f>
        <v>0</v>
      </c>
      <c r="N226" s="527">
        <f>IF(Inventory!AF229="","",Inventory!AF229)</f>
        <v>0</v>
      </c>
      <c r="O226" s="527">
        <f>IF(Inventory!AG229="","",Inventory!AG229)</f>
        <v>0</v>
      </c>
      <c r="P226" s="527">
        <f>IF(Inventory!AH229="","",Inventory!AH229)</f>
        <v>0</v>
      </c>
      <c r="Q226" s="527">
        <f>IF(Inventory!AI229="","",Inventory!AI229)</f>
        <v>0</v>
      </c>
      <c r="R226" s="527">
        <f>IF(Inventory!AJ229="","",Inventory!AJ229)</f>
        <v>999999999</v>
      </c>
      <c r="S226" s="777" t="str">
        <f>IF(Inventory!AK229="","",Inventory!AK229)</f>
        <v/>
      </c>
      <c r="T226" s="776" t="str">
        <f>IF(Inventory!AL229="","",Inventory!AL229)</f>
        <v/>
      </c>
      <c r="U226" s="777" t="str">
        <f>IF(Inventory!AM229="","",Inventory!AM229)</f>
        <v/>
      </c>
      <c r="V226" s="767" t="str">
        <f>IF(Inventory!AN229="","",Inventory!AN229)</f>
        <v/>
      </c>
      <c r="W226" s="778" t="str">
        <f>IF(Inventory!AO229="","",Inventory!AO229)</f>
        <v/>
      </c>
      <c r="X226" s="778" t="str">
        <f>IF(Inventory!AP229="","",Inventory!AP229)</f>
        <v/>
      </c>
      <c r="Y226" s="767" t="str">
        <f>IF(Inventory!AQ229="","",Inventory!AQ229)</f>
        <v/>
      </c>
      <c r="Z226" s="778" t="str">
        <f>IF(Inventory!AR229="","",Inventory!AR229)</f>
        <v/>
      </c>
      <c r="AA226" s="751" t="str">
        <f>IF(Inventory!AS229="","",Inventory!AS229)</f>
        <v/>
      </c>
      <c r="AB226" s="871"/>
    </row>
    <row r="227" spans="2:28" s="618" customFormat="1" ht="21.95" customHeight="1" x14ac:dyDescent="0.25">
      <c r="B227" s="431">
        <v>221</v>
      </c>
      <c r="C227" s="501" t="str">
        <f>IF(Inventory!C230="","",Inventory!C230)</f>
        <v/>
      </c>
      <c r="D227" s="502" t="str">
        <f>IF(Inventory!D230="","",Inventory!D230)</f>
        <v/>
      </c>
      <c r="E227" s="557" t="str">
        <f>IF(Inventory!W230="","",Inventory!W230)</f>
        <v/>
      </c>
      <c r="F227" s="788" t="str">
        <f>IF(Inventory!X230="","",Inventory!X230)</f>
        <v/>
      </c>
      <c r="G227" s="788" t="str">
        <f>IF(Inventory!Y230="","",Inventory!Y230)</f>
        <v/>
      </c>
      <c r="H227" s="729" t="str">
        <f>IF(Inventory!Z230="","",Inventory!Z230)</f>
        <v/>
      </c>
      <c r="I227" s="729" t="str">
        <f>IF(Inventory!AA230="","",Inventory!AA230)</f>
        <v/>
      </c>
      <c r="J227" s="729" t="str">
        <f>IF(Inventory!AB230="","",Inventory!AB230)</f>
        <v/>
      </c>
      <c r="K227" s="729" t="str">
        <f>IF(Inventory!AC230="","",Inventory!AC230)</f>
        <v/>
      </c>
      <c r="L227" s="765" t="str">
        <f>IF(Inventory!AD230="","",Inventory!AD230)</f>
        <v/>
      </c>
      <c r="M227" s="527">
        <f>IF(Inventory!AE230="","",Inventory!AE230)</f>
        <v>0</v>
      </c>
      <c r="N227" s="527">
        <f>IF(Inventory!AF230="","",Inventory!AF230)</f>
        <v>0</v>
      </c>
      <c r="O227" s="527">
        <f>IF(Inventory!AG230="","",Inventory!AG230)</f>
        <v>0</v>
      </c>
      <c r="P227" s="527">
        <f>IF(Inventory!AH230="","",Inventory!AH230)</f>
        <v>0</v>
      </c>
      <c r="Q227" s="527">
        <f>IF(Inventory!AI230="","",Inventory!AI230)</f>
        <v>0</v>
      </c>
      <c r="R227" s="527">
        <f>IF(Inventory!AJ230="","",Inventory!AJ230)</f>
        <v>999999999</v>
      </c>
      <c r="S227" s="758" t="str">
        <f>IF(Inventory!AK230="","",Inventory!AK230)</f>
        <v/>
      </c>
      <c r="T227" s="765" t="str">
        <f>IF(Inventory!AL230="","",Inventory!AL230)</f>
        <v/>
      </c>
      <c r="U227" s="758" t="str">
        <f>IF(Inventory!AM230="","",Inventory!AM230)</f>
        <v/>
      </c>
      <c r="V227" s="729" t="str">
        <f>IF(Inventory!AN230="","",Inventory!AN230)</f>
        <v/>
      </c>
      <c r="W227" s="775" t="str">
        <f>IF(Inventory!AO230="","",Inventory!AO230)</f>
        <v/>
      </c>
      <c r="X227" s="775" t="str">
        <f>IF(Inventory!AP230="","",Inventory!AP230)</f>
        <v/>
      </c>
      <c r="Y227" s="729" t="str">
        <f>IF(Inventory!AQ230="","",Inventory!AQ230)</f>
        <v/>
      </c>
      <c r="Z227" s="775" t="str">
        <f>IF(Inventory!AR230="","",Inventory!AR230)</f>
        <v/>
      </c>
      <c r="AA227" s="779" t="str">
        <f>IF(Inventory!AS230="","",Inventory!AS230)</f>
        <v/>
      </c>
      <c r="AB227" s="866"/>
    </row>
    <row r="228" spans="2:28" s="618" customFormat="1" ht="21.95" customHeight="1" x14ac:dyDescent="0.25">
      <c r="B228" s="432">
        <v>222</v>
      </c>
      <c r="C228" s="499" t="str">
        <f>IF(Inventory!C231="","",Inventory!C231)</f>
        <v/>
      </c>
      <c r="D228" s="751" t="str">
        <f>IF(Inventory!D231="","",Inventory!D231)</f>
        <v/>
      </c>
      <c r="E228" s="556" t="str">
        <f>IF(Inventory!W231="","",Inventory!W231)</f>
        <v/>
      </c>
      <c r="F228" s="785" t="str">
        <f>IF(Inventory!X231="","",Inventory!X231)</f>
        <v/>
      </c>
      <c r="G228" s="785" t="str">
        <f>IF(Inventory!Y231="","",Inventory!Y231)</f>
        <v/>
      </c>
      <c r="H228" s="767" t="str">
        <f>IF(Inventory!Z231="","",Inventory!Z231)</f>
        <v/>
      </c>
      <c r="I228" s="767" t="str">
        <f>IF(Inventory!AA231="","",Inventory!AA231)</f>
        <v/>
      </c>
      <c r="J228" s="767" t="str">
        <f>IF(Inventory!AB231="","",Inventory!AB231)</f>
        <v/>
      </c>
      <c r="K228" s="767" t="str">
        <f>IF(Inventory!AC231="","",Inventory!AC231)</f>
        <v/>
      </c>
      <c r="L228" s="776" t="str">
        <f>IF(Inventory!AD231="","",Inventory!AD231)</f>
        <v/>
      </c>
      <c r="M228" s="527">
        <f>IF(Inventory!AE231="","",Inventory!AE231)</f>
        <v>0</v>
      </c>
      <c r="N228" s="527">
        <f>IF(Inventory!AF231="","",Inventory!AF231)</f>
        <v>0</v>
      </c>
      <c r="O228" s="527">
        <f>IF(Inventory!AG231="","",Inventory!AG231)</f>
        <v>0</v>
      </c>
      <c r="P228" s="527">
        <f>IF(Inventory!AH231="","",Inventory!AH231)</f>
        <v>0</v>
      </c>
      <c r="Q228" s="527">
        <f>IF(Inventory!AI231="","",Inventory!AI231)</f>
        <v>0</v>
      </c>
      <c r="R228" s="527">
        <f>IF(Inventory!AJ231="","",Inventory!AJ231)</f>
        <v>999999999</v>
      </c>
      <c r="S228" s="777" t="str">
        <f>IF(Inventory!AK231="","",Inventory!AK231)</f>
        <v/>
      </c>
      <c r="T228" s="776" t="str">
        <f>IF(Inventory!AL231="","",Inventory!AL231)</f>
        <v/>
      </c>
      <c r="U228" s="777" t="str">
        <f>IF(Inventory!AM231="","",Inventory!AM231)</f>
        <v/>
      </c>
      <c r="V228" s="767" t="str">
        <f>IF(Inventory!AN231="","",Inventory!AN231)</f>
        <v/>
      </c>
      <c r="W228" s="778" t="str">
        <f>IF(Inventory!AO231="","",Inventory!AO231)</f>
        <v/>
      </c>
      <c r="X228" s="778" t="str">
        <f>IF(Inventory!AP231="","",Inventory!AP231)</f>
        <v/>
      </c>
      <c r="Y228" s="767" t="str">
        <f>IF(Inventory!AQ231="","",Inventory!AQ231)</f>
        <v/>
      </c>
      <c r="Z228" s="778" t="str">
        <f>IF(Inventory!AR231="","",Inventory!AR231)</f>
        <v/>
      </c>
      <c r="AA228" s="751" t="str">
        <f>IF(Inventory!AS231="","",Inventory!AS231)</f>
        <v/>
      </c>
      <c r="AB228" s="871"/>
    </row>
    <row r="229" spans="2:28" s="618" customFormat="1" ht="21.95" customHeight="1" x14ac:dyDescent="0.25">
      <c r="B229" s="431">
        <v>223</v>
      </c>
      <c r="C229" s="501" t="str">
        <f>IF(Inventory!C232="","",Inventory!C232)</f>
        <v/>
      </c>
      <c r="D229" s="502" t="str">
        <f>IF(Inventory!D232="","",Inventory!D232)</f>
        <v/>
      </c>
      <c r="E229" s="557" t="str">
        <f>IF(Inventory!W232="","",Inventory!W232)</f>
        <v/>
      </c>
      <c r="F229" s="788" t="str">
        <f>IF(Inventory!X232="","",Inventory!X232)</f>
        <v/>
      </c>
      <c r="G229" s="788" t="str">
        <f>IF(Inventory!Y232="","",Inventory!Y232)</f>
        <v/>
      </c>
      <c r="H229" s="729" t="str">
        <f>IF(Inventory!Z232="","",Inventory!Z232)</f>
        <v/>
      </c>
      <c r="I229" s="729" t="str">
        <f>IF(Inventory!AA232="","",Inventory!AA232)</f>
        <v/>
      </c>
      <c r="J229" s="729" t="str">
        <f>IF(Inventory!AB232="","",Inventory!AB232)</f>
        <v/>
      </c>
      <c r="K229" s="729" t="str">
        <f>IF(Inventory!AC232="","",Inventory!AC232)</f>
        <v/>
      </c>
      <c r="L229" s="765" t="str">
        <f>IF(Inventory!AD232="","",Inventory!AD232)</f>
        <v/>
      </c>
      <c r="M229" s="527">
        <f>IF(Inventory!AE232="","",Inventory!AE232)</f>
        <v>0</v>
      </c>
      <c r="N229" s="527">
        <f>IF(Inventory!AF232="","",Inventory!AF232)</f>
        <v>0</v>
      </c>
      <c r="O229" s="527">
        <f>IF(Inventory!AG232="","",Inventory!AG232)</f>
        <v>0</v>
      </c>
      <c r="P229" s="527">
        <f>IF(Inventory!AH232="","",Inventory!AH232)</f>
        <v>0</v>
      </c>
      <c r="Q229" s="527">
        <f>IF(Inventory!AI232="","",Inventory!AI232)</f>
        <v>0</v>
      </c>
      <c r="R229" s="527">
        <f>IF(Inventory!AJ232="","",Inventory!AJ232)</f>
        <v>999999999</v>
      </c>
      <c r="S229" s="758" t="str">
        <f>IF(Inventory!AK232="","",Inventory!AK232)</f>
        <v/>
      </c>
      <c r="T229" s="765" t="str">
        <f>IF(Inventory!AL232="","",Inventory!AL232)</f>
        <v/>
      </c>
      <c r="U229" s="758" t="str">
        <f>IF(Inventory!AM232="","",Inventory!AM232)</f>
        <v/>
      </c>
      <c r="V229" s="729" t="str">
        <f>IF(Inventory!AN232="","",Inventory!AN232)</f>
        <v/>
      </c>
      <c r="W229" s="775" t="str">
        <f>IF(Inventory!AO232="","",Inventory!AO232)</f>
        <v/>
      </c>
      <c r="X229" s="775" t="str">
        <f>IF(Inventory!AP232="","",Inventory!AP232)</f>
        <v/>
      </c>
      <c r="Y229" s="729" t="str">
        <f>IF(Inventory!AQ232="","",Inventory!AQ232)</f>
        <v/>
      </c>
      <c r="Z229" s="775" t="str">
        <f>IF(Inventory!AR232="","",Inventory!AR232)</f>
        <v/>
      </c>
      <c r="AA229" s="779" t="str">
        <f>IF(Inventory!AS232="","",Inventory!AS232)</f>
        <v/>
      </c>
      <c r="AB229" s="866"/>
    </row>
    <row r="230" spans="2:28" s="618" customFormat="1" ht="21.95" customHeight="1" x14ac:dyDescent="0.25">
      <c r="B230" s="432">
        <v>224</v>
      </c>
      <c r="C230" s="499" t="str">
        <f>IF(Inventory!C233="","",Inventory!C233)</f>
        <v/>
      </c>
      <c r="D230" s="751" t="str">
        <f>IF(Inventory!D233="","",Inventory!D233)</f>
        <v/>
      </c>
      <c r="E230" s="556" t="str">
        <f>IF(Inventory!W233="","",Inventory!W233)</f>
        <v/>
      </c>
      <c r="F230" s="785" t="str">
        <f>IF(Inventory!X233="","",Inventory!X233)</f>
        <v/>
      </c>
      <c r="G230" s="785" t="str">
        <f>IF(Inventory!Y233="","",Inventory!Y233)</f>
        <v/>
      </c>
      <c r="H230" s="767" t="str">
        <f>IF(Inventory!Z233="","",Inventory!Z233)</f>
        <v/>
      </c>
      <c r="I230" s="767" t="str">
        <f>IF(Inventory!AA233="","",Inventory!AA233)</f>
        <v/>
      </c>
      <c r="J230" s="767" t="str">
        <f>IF(Inventory!AB233="","",Inventory!AB233)</f>
        <v/>
      </c>
      <c r="K230" s="767" t="str">
        <f>IF(Inventory!AC233="","",Inventory!AC233)</f>
        <v/>
      </c>
      <c r="L230" s="776" t="str">
        <f>IF(Inventory!AD233="","",Inventory!AD233)</f>
        <v/>
      </c>
      <c r="M230" s="527">
        <f>IF(Inventory!AE233="","",Inventory!AE233)</f>
        <v>0</v>
      </c>
      <c r="N230" s="527">
        <f>IF(Inventory!AF233="","",Inventory!AF233)</f>
        <v>0</v>
      </c>
      <c r="O230" s="527">
        <f>IF(Inventory!AG233="","",Inventory!AG233)</f>
        <v>0</v>
      </c>
      <c r="P230" s="527">
        <f>IF(Inventory!AH233="","",Inventory!AH233)</f>
        <v>0</v>
      </c>
      <c r="Q230" s="527">
        <f>IF(Inventory!AI233="","",Inventory!AI233)</f>
        <v>0</v>
      </c>
      <c r="R230" s="527">
        <f>IF(Inventory!AJ233="","",Inventory!AJ233)</f>
        <v>999999999</v>
      </c>
      <c r="S230" s="777" t="str">
        <f>IF(Inventory!AK233="","",Inventory!AK233)</f>
        <v/>
      </c>
      <c r="T230" s="776" t="str">
        <f>IF(Inventory!AL233="","",Inventory!AL233)</f>
        <v/>
      </c>
      <c r="U230" s="777" t="str">
        <f>IF(Inventory!AM233="","",Inventory!AM233)</f>
        <v/>
      </c>
      <c r="V230" s="767" t="str">
        <f>IF(Inventory!AN233="","",Inventory!AN233)</f>
        <v/>
      </c>
      <c r="W230" s="778" t="str">
        <f>IF(Inventory!AO233="","",Inventory!AO233)</f>
        <v/>
      </c>
      <c r="X230" s="778" t="str">
        <f>IF(Inventory!AP233="","",Inventory!AP233)</f>
        <v/>
      </c>
      <c r="Y230" s="767" t="str">
        <f>IF(Inventory!AQ233="","",Inventory!AQ233)</f>
        <v/>
      </c>
      <c r="Z230" s="778" t="str">
        <f>IF(Inventory!AR233="","",Inventory!AR233)</f>
        <v/>
      </c>
      <c r="AA230" s="751" t="str">
        <f>IF(Inventory!AS233="","",Inventory!AS233)</f>
        <v/>
      </c>
      <c r="AB230" s="871"/>
    </row>
    <row r="231" spans="2:28" s="618" customFormat="1" ht="21.95" customHeight="1" x14ac:dyDescent="0.25">
      <c r="B231" s="431">
        <v>225</v>
      </c>
      <c r="C231" s="501" t="str">
        <f>IF(Inventory!C234="","",Inventory!C234)</f>
        <v/>
      </c>
      <c r="D231" s="502" t="str">
        <f>IF(Inventory!D234="","",Inventory!D234)</f>
        <v/>
      </c>
      <c r="E231" s="557" t="str">
        <f>IF(Inventory!W234="","",Inventory!W234)</f>
        <v/>
      </c>
      <c r="F231" s="788" t="str">
        <f>IF(Inventory!X234="","",Inventory!X234)</f>
        <v/>
      </c>
      <c r="G231" s="788" t="str">
        <f>IF(Inventory!Y234="","",Inventory!Y234)</f>
        <v/>
      </c>
      <c r="H231" s="729" t="str">
        <f>IF(Inventory!Z234="","",Inventory!Z234)</f>
        <v/>
      </c>
      <c r="I231" s="729" t="str">
        <f>IF(Inventory!AA234="","",Inventory!AA234)</f>
        <v/>
      </c>
      <c r="J231" s="729" t="str">
        <f>IF(Inventory!AB234="","",Inventory!AB234)</f>
        <v/>
      </c>
      <c r="K231" s="729" t="str">
        <f>IF(Inventory!AC234="","",Inventory!AC234)</f>
        <v/>
      </c>
      <c r="L231" s="765" t="str">
        <f>IF(Inventory!AD234="","",Inventory!AD234)</f>
        <v/>
      </c>
      <c r="M231" s="527">
        <f>IF(Inventory!AE234="","",Inventory!AE234)</f>
        <v>0</v>
      </c>
      <c r="N231" s="527">
        <f>IF(Inventory!AF234="","",Inventory!AF234)</f>
        <v>0</v>
      </c>
      <c r="O231" s="527">
        <f>IF(Inventory!AG234="","",Inventory!AG234)</f>
        <v>0</v>
      </c>
      <c r="P231" s="527">
        <f>IF(Inventory!AH234="","",Inventory!AH234)</f>
        <v>0</v>
      </c>
      <c r="Q231" s="527">
        <f>IF(Inventory!AI234="","",Inventory!AI234)</f>
        <v>0</v>
      </c>
      <c r="R231" s="527">
        <f>IF(Inventory!AJ234="","",Inventory!AJ234)</f>
        <v>999999999</v>
      </c>
      <c r="S231" s="758" t="str">
        <f>IF(Inventory!AK234="","",Inventory!AK234)</f>
        <v/>
      </c>
      <c r="T231" s="765" t="str">
        <f>IF(Inventory!AL234="","",Inventory!AL234)</f>
        <v/>
      </c>
      <c r="U231" s="758" t="str">
        <f>IF(Inventory!AM234="","",Inventory!AM234)</f>
        <v/>
      </c>
      <c r="V231" s="729" t="str">
        <f>IF(Inventory!AN234="","",Inventory!AN234)</f>
        <v/>
      </c>
      <c r="W231" s="775" t="str">
        <f>IF(Inventory!AO234="","",Inventory!AO234)</f>
        <v/>
      </c>
      <c r="X231" s="775" t="str">
        <f>IF(Inventory!AP234="","",Inventory!AP234)</f>
        <v/>
      </c>
      <c r="Y231" s="729" t="str">
        <f>IF(Inventory!AQ234="","",Inventory!AQ234)</f>
        <v/>
      </c>
      <c r="Z231" s="775" t="str">
        <f>IF(Inventory!AR234="","",Inventory!AR234)</f>
        <v/>
      </c>
      <c r="AA231" s="779" t="str">
        <f>IF(Inventory!AS234="","",Inventory!AS234)</f>
        <v/>
      </c>
      <c r="AB231" s="866"/>
    </row>
    <row r="232" spans="2:28" s="618" customFormat="1" ht="21.95" customHeight="1" x14ac:dyDescent="0.25">
      <c r="B232" s="432">
        <v>226</v>
      </c>
      <c r="C232" s="499" t="str">
        <f>IF(Inventory!C235="","",Inventory!C235)</f>
        <v/>
      </c>
      <c r="D232" s="751" t="str">
        <f>IF(Inventory!D235="","",Inventory!D235)</f>
        <v/>
      </c>
      <c r="E232" s="556" t="str">
        <f>IF(Inventory!W235="","",Inventory!W235)</f>
        <v/>
      </c>
      <c r="F232" s="785" t="str">
        <f>IF(Inventory!X235="","",Inventory!X235)</f>
        <v/>
      </c>
      <c r="G232" s="785" t="str">
        <f>IF(Inventory!Y235="","",Inventory!Y235)</f>
        <v/>
      </c>
      <c r="H232" s="767" t="str">
        <f>IF(Inventory!Z235="","",Inventory!Z235)</f>
        <v/>
      </c>
      <c r="I232" s="767" t="str">
        <f>IF(Inventory!AA235="","",Inventory!AA235)</f>
        <v/>
      </c>
      <c r="J232" s="767" t="str">
        <f>IF(Inventory!AB235="","",Inventory!AB235)</f>
        <v/>
      </c>
      <c r="K232" s="767" t="str">
        <f>IF(Inventory!AC235="","",Inventory!AC235)</f>
        <v/>
      </c>
      <c r="L232" s="776" t="str">
        <f>IF(Inventory!AD235="","",Inventory!AD235)</f>
        <v/>
      </c>
      <c r="M232" s="527">
        <f>IF(Inventory!AE235="","",Inventory!AE235)</f>
        <v>0</v>
      </c>
      <c r="N232" s="527">
        <f>IF(Inventory!AF235="","",Inventory!AF235)</f>
        <v>0</v>
      </c>
      <c r="O232" s="527">
        <f>IF(Inventory!AG235="","",Inventory!AG235)</f>
        <v>0</v>
      </c>
      <c r="P232" s="527">
        <f>IF(Inventory!AH235="","",Inventory!AH235)</f>
        <v>0</v>
      </c>
      <c r="Q232" s="527">
        <f>IF(Inventory!AI235="","",Inventory!AI235)</f>
        <v>0</v>
      </c>
      <c r="R232" s="527">
        <f>IF(Inventory!AJ235="","",Inventory!AJ235)</f>
        <v>999999999</v>
      </c>
      <c r="S232" s="777" t="str">
        <f>IF(Inventory!AK235="","",Inventory!AK235)</f>
        <v/>
      </c>
      <c r="T232" s="776" t="str">
        <f>IF(Inventory!AL235="","",Inventory!AL235)</f>
        <v/>
      </c>
      <c r="U232" s="777" t="str">
        <f>IF(Inventory!AM235="","",Inventory!AM235)</f>
        <v/>
      </c>
      <c r="V232" s="767" t="str">
        <f>IF(Inventory!AN235="","",Inventory!AN235)</f>
        <v/>
      </c>
      <c r="W232" s="778" t="str">
        <f>IF(Inventory!AO235="","",Inventory!AO235)</f>
        <v/>
      </c>
      <c r="X232" s="778" t="str">
        <f>IF(Inventory!AP235="","",Inventory!AP235)</f>
        <v/>
      </c>
      <c r="Y232" s="767" t="str">
        <f>IF(Inventory!AQ235="","",Inventory!AQ235)</f>
        <v/>
      </c>
      <c r="Z232" s="778" t="str">
        <f>IF(Inventory!AR235="","",Inventory!AR235)</f>
        <v/>
      </c>
      <c r="AA232" s="751" t="str">
        <f>IF(Inventory!AS235="","",Inventory!AS235)</f>
        <v/>
      </c>
      <c r="AB232" s="871"/>
    </row>
    <row r="233" spans="2:28" s="618" customFormat="1" ht="21.95" customHeight="1" x14ac:dyDescent="0.25">
      <c r="B233" s="431">
        <v>227</v>
      </c>
      <c r="C233" s="501" t="str">
        <f>IF(Inventory!C236="","",Inventory!C236)</f>
        <v/>
      </c>
      <c r="D233" s="502" t="str">
        <f>IF(Inventory!D236="","",Inventory!D236)</f>
        <v/>
      </c>
      <c r="E233" s="557" t="str">
        <f>IF(Inventory!W236="","",Inventory!W236)</f>
        <v/>
      </c>
      <c r="F233" s="788" t="str">
        <f>IF(Inventory!X236="","",Inventory!X236)</f>
        <v/>
      </c>
      <c r="G233" s="788" t="str">
        <f>IF(Inventory!Y236="","",Inventory!Y236)</f>
        <v/>
      </c>
      <c r="H233" s="729" t="str">
        <f>IF(Inventory!Z236="","",Inventory!Z236)</f>
        <v/>
      </c>
      <c r="I233" s="729" t="str">
        <f>IF(Inventory!AA236="","",Inventory!AA236)</f>
        <v/>
      </c>
      <c r="J233" s="729" t="str">
        <f>IF(Inventory!AB236="","",Inventory!AB236)</f>
        <v/>
      </c>
      <c r="K233" s="729" t="str">
        <f>IF(Inventory!AC236="","",Inventory!AC236)</f>
        <v/>
      </c>
      <c r="L233" s="765" t="str">
        <f>IF(Inventory!AD236="","",Inventory!AD236)</f>
        <v/>
      </c>
      <c r="M233" s="527">
        <f>IF(Inventory!AE236="","",Inventory!AE236)</f>
        <v>0</v>
      </c>
      <c r="N233" s="527">
        <f>IF(Inventory!AF236="","",Inventory!AF236)</f>
        <v>0</v>
      </c>
      <c r="O233" s="527">
        <f>IF(Inventory!AG236="","",Inventory!AG236)</f>
        <v>0</v>
      </c>
      <c r="P233" s="527">
        <f>IF(Inventory!AH236="","",Inventory!AH236)</f>
        <v>0</v>
      </c>
      <c r="Q233" s="527">
        <f>IF(Inventory!AI236="","",Inventory!AI236)</f>
        <v>0</v>
      </c>
      <c r="R233" s="527">
        <f>IF(Inventory!AJ236="","",Inventory!AJ236)</f>
        <v>999999999</v>
      </c>
      <c r="S233" s="758" t="str">
        <f>IF(Inventory!AK236="","",Inventory!AK236)</f>
        <v/>
      </c>
      <c r="T233" s="765" t="str">
        <f>IF(Inventory!AL236="","",Inventory!AL236)</f>
        <v/>
      </c>
      <c r="U233" s="758" t="str">
        <f>IF(Inventory!AM236="","",Inventory!AM236)</f>
        <v/>
      </c>
      <c r="V233" s="729" t="str">
        <f>IF(Inventory!AN236="","",Inventory!AN236)</f>
        <v/>
      </c>
      <c r="W233" s="775" t="str">
        <f>IF(Inventory!AO236="","",Inventory!AO236)</f>
        <v/>
      </c>
      <c r="X233" s="775" t="str">
        <f>IF(Inventory!AP236="","",Inventory!AP236)</f>
        <v/>
      </c>
      <c r="Y233" s="729" t="str">
        <f>IF(Inventory!AQ236="","",Inventory!AQ236)</f>
        <v/>
      </c>
      <c r="Z233" s="775" t="str">
        <f>IF(Inventory!AR236="","",Inventory!AR236)</f>
        <v/>
      </c>
      <c r="AA233" s="779" t="str">
        <f>IF(Inventory!AS236="","",Inventory!AS236)</f>
        <v/>
      </c>
      <c r="AB233" s="866"/>
    </row>
    <row r="234" spans="2:28" s="618" customFormat="1" ht="21.95" customHeight="1" x14ac:dyDescent="0.25">
      <c r="B234" s="432">
        <v>228</v>
      </c>
      <c r="C234" s="499" t="str">
        <f>IF(Inventory!C237="","",Inventory!C237)</f>
        <v/>
      </c>
      <c r="D234" s="751" t="str">
        <f>IF(Inventory!D237="","",Inventory!D237)</f>
        <v/>
      </c>
      <c r="E234" s="556" t="str">
        <f>IF(Inventory!W237="","",Inventory!W237)</f>
        <v/>
      </c>
      <c r="F234" s="785" t="str">
        <f>IF(Inventory!X237="","",Inventory!X237)</f>
        <v/>
      </c>
      <c r="G234" s="785" t="str">
        <f>IF(Inventory!Y237="","",Inventory!Y237)</f>
        <v/>
      </c>
      <c r="H234" s="767" t="str">
        <f>IF(Inventory!Z237="","",Inventory!Z237)</f>
        <v/>
      </c>
      <c r="I234" s="767" t="str">
        <f>IF(Inventory!AA237="","",Inventory!AA237)</f>
        <v/>
      </c>
      <c r="J234" s="767" t="str">
        <f>IF(Inventory!AB237="","",Inventory!AB237)</f>
        <v/>
      </c>
      <c r="K234" s="767" t="str">
        <f>IF(Inventory!AC237="","",Inventory!AC237)</f>
        <v/>
      </c>
      <c r="L234" s="776" t="str">
        <f>IF(Inventory!AD237="","",Inventory!AD237)</f>
        <v/>
      </c>
      <c r="M234" s="527">
        <f>IF(Inventory!AE237="","",Inventory!AE237)</f>
        <v>0</v>
      </c>
      <c r="N234" s="527">
        <f>IF(Inventory!AF237="","",Inventory!AF237)</f>
        <v>0</v>
      </c>
      <c r="O234" s="527">
        <f>IF(Inventory!AG237="","",Inventory!AG237)</f>
        <v>0</v>
      </c>
      <c r="P234" s="527">
        <f>IF(Inventory!AH237="","",Inventory!AH237)</f>
        <v>0</v>
      </c>
      <c r="Q234" s="527">
        <f>IF(Inventory!AI237="","",Inventory!AI237)</f>
        <v>0</v>
      </c>
      <c r="R234" s="527">
        <f>IF(Inventory!AJ237="","",Inventory!AJ237)</f>
        <v>999999999</v>
      </c>
      <c r="S234" s="777" t="str">
        <f>IF(Inventory!AK237="","",Inventory!AK237)</f>
        <v/>
      </c>
      <c r="T234" s="776" t="str">
        <f>IF(Inventory!AL237="","",Inventory!AL237)</f>
        <v/>
      </c>
      <c r="U234" s="777" t="str">
        <f>IF(Inventory!AM237="","",Inventory!AM237)</f>
        <v/>
      </c>
      <c r="V234" s="767" t="str">
        <f>IF(Inventory!AN237="","",Inventory!AN237)</f>
        <v/>
      </c>
      <c r="W234" s="778" t="str">
        <f>IF(Inventory!AO237="","",Inventory!AO237)</f>
        <v/>
      </c>
      <c r="X234" s="778" t="str">
        <f>IF(Inventory!AP237="","",Inventory!AP237)</f>
        <v/>
      </c>
      <c r="Y234" s="767" t="str">
        <f>IF(Inventory!AQ237="","",Inventory!AQ237)</f>
        <v/>
      </c>
      <c r="Z234" s="778" t="str">
        <f>IF(Inventory!AR237="","",Inventory!AR237)</f>
        <v/>
      </c>
      <c r="AA234" s="751" t="str">
        <f>IF(Inventory!AS237="","",Inventory!AS237)</f>
        <v/>
      </c>
      <c r="AB234" s="871"/>
    </row>
    <row r="235" spans="2:28" s="618" customFormat="1" ht="21.95" customHeight="1" x14ac:dyDescent="0.25">
      <c r="B235" s="431">
        <v>229</v>
      </c>
      <c r="C235" s="501" t="str">
        <f>IF(Inventory!C238="","",Inventory!C238)</f>
        <v/>
      </c>
      <c r="D235" s="502" t="str">
        <f>IF(Inventory!D238="","",Inventory!D238)</f>
        <v/>
      </c>
      <c r="E235" s="557" t="str">
        <f>IF(Inventory!W238="","",Inventory!W238)</f>
        <v/>
      </c>
      <c r="F235" s="788" t="str">
        <f>IF(Inventory!X238="","",Inventory!X238)</f>
        <v/>
      </c>
      <c r="G235" s="788" t="str">
        <f>IF(Inventory!Y238="","",Inventory!Y238)</f>
        <v/>
      </c>
      <c r="H235" s="729" t="str">
        <f>IF(Inventory!Z238="","",Inventory!Z238)</f>
        <v/>
      </c>
      <c r="I235" s="729" t="str">
        <f>IF(Inventory!AA238="","",Inventory!AA238)</f>
        <v/>
      </c>
      <c r="J235" s="729" t="str">
        <f>IF(Inventory!AB238="","",Inventory!AB238)</f>
        <v/>
      </c>
      <c r="K235" s="729" t="str">
        <f>IF(Inventory!AC238="","",Inventory!AC238)</f>
        <v/>
      </c>
      <c r="L235" s="765" t="str">
        <f>IF(Inventory!AD238="","",Inventory!AD238)</f>
        <v/>
      </c>
      <c r="M235" s="527">
        <f>IF(Inventory!AE238="","",Inventory!AE238)</f>
        <v>0</v>
      </c>
      <c r="N235" s="527">
        <f>IF(Inventory!AF238="","",Inventory!AF238)</f>
        <v>0</v>
      </c>
      <c r="O235" s="527">
        <f>IF(Inventory!AG238="","",Inventory!AG238)</f>
        <v>0</v>
      </c>
      <c r="P235" s="527">
        <f>IF(Inventory!AH238="","",Inventory!AH238)</f>
        <v>0</v>
      </c>
      <c r="Q235" s="527">
        <f>IF(Inventory!AI238="","",Inventory!AI238)</f>
        <v>0</v>
      </c>
      <c r="R235" s="527">
        <f>IF(Inventory!AJ238="","",Inventory!AJ238)</f>
        <v>999999999</v>
      </c>
      <c r="S235" s="758" t="str">
        <f>IF(Inventory!AK238="","",Inventory!AK238)</f>
        <v/>
      </c>
      <c r="T235" s="765" t="str">
        <f>IF(Inventory!AL238="","",Inventory!AL238)</f>
        <v/>
      </c>
      <c r="U235" s="758" t="str">
        <f>IF(Inventory!AM238="","",Inventory!AM238)</f>
        <v/>
      </c>
      <c r="V235" s="729" t="str">
        <f>IF(Inventory!AN238="","",Inventory!AN238)</f>
        <v/>
      </c>
      <c r="W235" s="775" t="str">
        <f>IF(Inventory!AO238="","",Inventory!AO238)</f>
        <v/>
      </c>
      <c r="X235" s="775" t="str">
        <f>IF(Inventory!AP238="","",Inventory!AP238)</f>
        <v/>
      </c>
      <c r="Y235" s="729" t="str">
        <f>IF(Inventory!AQ238="","",Inventory!AQ238)</f>
        <v/>
      </c>
      <c r="Z235" s="775" t="str">
        <f>IF(Inventory!AR238="","",Inventory!AR238)</f>
        <v/>
      </c>
      <c r="AA235" s="779" t="str">
        <f>IF(Inventory!AS238="","",Inventory!AS238)</f>
        <v/>
      </c>
      <c r="AB235" s="866"/>
    </row>
    <row r="236" spans="2:28" s="618" customFormat="1" ht="21.95" customHeight="1" x14ac:dyDescent="0.25">
      <c r="B236" s="432">
        <v>230</v>
      </c>
      <c r="C236" s="499" t="str">
        <f>IF(Inventory!C239="","",Inventory!C239)</f>
        <v/>
      </c>
      <c r="D236" s="751" t="str">
        <f>IF(Inventory!D239="","",Inventory!D239)</f>
        <v/>
      </c>
      <c r="E236" s="556" t="str">
        <f>IF(Inventory!W239="","",Inventory!W239)</f>
        <v/>
      </c>
      <c r="F236" s="785" t="str">
        <f>IF(Inventory!X239="","",Inventory!X239)</f>
        <v/>
      </c>
      <c r="G236" s="785" t="str">
        <f>IF(Inventory!Y239="","",Inventory!Y239)</f>
        <v/>
      </c>
      <c r="H236" s="767" t="str">
        <f>IF(Inventory!Z239="","",Inventory!Z239)</f>
        <v/>
      </c>
      <c r="I236" s="767" t="str">
        <f>IF(Inventory!AA239="","",Inventory!AA239)</f>
        <v/>
      </c>
      <c r="J236" s="767" t="str">
        <f>IF(Inventory!AB239="","",Inventory!AB239)</f>
        <v/>
      </c>
      <c r="K236" s="767" t="str">
        <f>IF(Inventory!AC239="","",Inventory!AC239)</f>
        <v/>
      </c>
      <c r="L236" s="776" t="str">
        <f>IF(Inventory!AD239="","",Inventory!AD239)</f>
        <v/>
      </c>
      <c r="M236" s="527">
        <f>IF(Inventory!AE239="","",Inventory!AE239)</f>
        <v>0</v>
      </c>
      <c r="N236" s="527">
        <f>IF(Inventory!AF239="","",Inventory!AF239)</f>
        <v>0</v>
      </c>
      <c r="O236" s="527">
        <f>IF(Inventory!AG239="","",Inventory!AG239)</f>
        <v>0</v>
      </c>
      <c r="P236" s="527">
        <f>IF(Inventory!AH239="","",Inventory!AH239)</f>
        <v>0</v>
      </c>
      <c r="Q236" s="527">
        <f>IF(Inventory!AI239="","",Inventory!AI239)</f>
        <v>0</v>
      </c>
      <c r="R236" s="527">
        <f>IF(Inventory!AJ239="","",Inventory!AJ239)</f>
        <v>999999999</v>
      </c>
      <c r="S236" s="777" t="str">
        <f>IF(Inventory!AK239="","",Inventory!AK239)</f>
        <v/>
      </c>
      <c r="T236" s="776" t="str">
        <f>IF(Inventory!AL239="","",Inventory!AL239)</f>
        <v/>
      </c>
      <c r="U236" s="777" t="str">
        <f>IF(Inventory!AM239="","",Inventory!AM239)</f>
        <v/>
      </c>
      <c r="V236" s="767" t="str">
        <f>IF(Inventory!AN239="","",Inventory!AN239)</f>
        <v/>
      </c>
      <c r="W236" s="778" t="str">
        <f>IF(Inventory!AO239="","",Inventory!AO239)</f>
        <v/>
      </c>
      <c r="X236" s="778" t="str">
        <f>IF(Inventory!AP239="","",Inventory!AP239)</f>
        <v/>
      </c>
      <c r="Y236" s="767" t="str">
        <f>IF(Inventory!AQ239="","",Inventory!AQ239)</f>
        <v/>
      </c>
      <c r="Z236" s="778" t="str">
        <f>IF(Inventory!AR239="","",Inventory!AR239)</f>
        <v/>
      </c>
      <c r="AA236" s="751" t="str">
        <f>IF(Inventory!AS239="","",Inventory!AS239)</f>
        <v/>
      </c>
      <c r="AB236" s="871"/>
    </row>
    <row r="237" spans="2:28" s="618" customFormat="1" ht="21.95" customHeight="1" x14ac:dyDescent="0.25">
      <c r="B237" s="431">
        <v>231</v>
      </c>
      <c r="C237" s="501" t="str">
        <f>IF(Inventory!C240="","",Inventory!C240)</f>
        <v/>
      </c>
      <c r="D237" s="502" t="str">
        <f>IF(Inventory!D240="","",Inventory!D240)</f>
        <v/>
      </c>
      <c r="E237" s="557" t="str">
        <f>IF(Inventory!W240="","",Inventory!W240)</f>
        <v/>
      </c>
      <c r="F237" s="788" t="str">
        <f>IF(Inventory!X240="","",Inventory!X240)</f>
        <v/>
      </c>
      <c r="G237" s="788" t="str">
        <f>IF(Inventory!Y240="","",Inventory!Y240)</f>
        <v/>
      </c>
      <c r="H237" s="729" t="str">
        <f>IF(Inventory!Z240="","",Inventory!Z240)</f>
        <v/>
      </c>
      <c r="I237" s="729" t="str">
        <f>IF(Inventory!AA240="","",Inventory!AA240)</f>
        <v/>
      </c>
      <c r="J237" s="729" t="str">
        <f>IF(Inventory!AB240="","",Inventory!AB240)</f>
        <v/>
      </c>
      <c r="K237" s="729" t="str">
        <f>IF(Inventory!AC240="","",Inventory!AC240)</f>
        <v/>
      </c>
      <c r="L237" s="765" t="str">
        <f>IF(Inventory!AD240="","",Inventory!AD240)</f>
        <v/>
      </c>
      <c r="M237" s="527">
        <f>IF(Inventory!AE240="","",Inventory!AE240)</f>
        <v>0</v>
      </c>
      <c r="N237" s="527">
        <f>IF(Inventory!AF240="","",Inventory!AF240)</f>
        <v>0</v>
      </c>
      <c r="O237" s="527">
        <f>IF(Inventory!AG240="","",Inventory!AG240)</f>
        <v>0</v>
      </c>
      <c r="P237" s="527">
        <f>IF(Inventory!AH240="","",Inventory!AH240)</f>
        <v>0</v>
      </c>
      <c r="Q237" s="527">
        <f>IF(Inventory!AI240="","",Inventory!AI240)</f>
        <v>0</v>
      </c>
      <c r="R237" s="527">
        <f>IF(Inventory!AJ240="","",Inventory!AJ240)</f>
        <v>999999999</v>
      </c>
      <c r="S237" s="758" t="str">
        <f>IF(Inventory!AK240="","",Inventory!AK240)</f>
        <v/>
      </c>
      <c r="T237" s="765" t="str">
        <f>IF(Inventory!AL240="","",Inventory!AL240)</f>
        <v/>
      </c>
      <c r="U237" s="758" t="str">
        <f>IF(Inventory!AM240="","",Inventory!AM240)</f>
        <v/>
      </c>
      <c r="V237" s="729" t="str">
        <f>IF(Inventory!AN240="","",Inventory!AN240)</f>
        <v/>
      </c>
      <c r="W237" s="775" t="str">
        <f>IF(Inventory!AO240="","",Inventory!AO240)</f>
        <v/>
      </c>
      <c r="X237" s="775" t="str">
        <f>IF(Inventory!AP240="","",Inventory!AP240)</f>
        <v/>
      </c>
      <c r="Y237" s="729" t="str">
        <f>IF(Inventory!AQ240="","",Inventory!AQ240)</f>
        <v/>
      </c>
      <c r="Z237" s="775" t="str">
        <f>IF(Inventory!AR240="","",Inventory!AR240)</f>
        <v/>
      </c>
      <c r="AA237" s="779" t="str">
        <f>IF(Inventory!AS240="","",Inventory!AS240)</f>
        <v/>
      </c>
      <c r="AB237" s="866"/>
    </row>
    <row r="238" spans="2:28" s="618" customFormat="1" ht="21.95" customHeight="1" x14ac:dyDescent="0.25">
      <c r="B238" s="432">
        <v>232</v>
      </c>
      <c r="C238" s="499" t="str">
        <f>IF(Inventory!C241="","",Inventory!C241)</f>
        <v/>
      </c>
      <c r="D238" s="751" t="str">
        <f>IF(Inventory!D241="","",Inventory!D241)</f>
        <v/>
      </c>
      <c r="E238" s="556" t="str">
        <f>IF(Inventory!W241="","",Inventory!W241)</f>
        <v/>
      </c>
      <c r="F238" s="785" t="str">
        <f>IF(Inventory!X241="","",Inventory!X241)</f>
        <v/>
      </c>
      <c r="G238" s="785" t="str">
        <f>IF(Inventory!Y241="","",Inventory!Y241)</f>
        <v/>
      </c>
      <c r="H238" s="767" t="str">
        <f>IF(Inventory!Z241="","",Inventory!Z241)</f>
        <v/>
      </c>
      <c r="I238" s="767" t="str">
        <f>IF(Inventory!AA241="","",Inventory!AA241)</f>
        <v/>
      </c>
      <c r="J238" s="767" t="str">
        <f>IF(Inventory!AB241="","",Inventory!AB241)</f>
        <v/>
      </c>
      <c r="K238" s="767" t="str">
        <f>IF(Inventory!AC241="","",Inventory!AC241)</f>
        <v/>
      </c>
      <c r="L238" s="776" t="str">
        <f>IF(Inventory!AD241="","",Inventory!AD241)</f>
        <v/>
      </c>
      <c r="M238" s="527">
        <f>IF(Inventory!AE241="","",Inventory!AE241)</f>
        <v>0</v>
      </c>
      <c r="N238" s="527">
        <f>IF(Inventory!AF241="","",Inventory!AF241)</f>
        <v>0</v>
      </c>
      <c r="O238" s="527">
        <f>IF(Inventory!AG241="","",Inventory!AG241)</f>
        <v>0</v>
      </c>
      <c r="P238" s="527">
        <f>IF(Inventory!AH241="","",Inventory!AH241)</f>
        <v>0</v>
      </c>
      <c r="Q238" s="527">
        <f>IF(Inventory!AI241="","",Inventory!AI241)</f>
        <v>0</v>
      </c>
      <c r="R238" s="527">
        <f>IF(Inventory!AJ241="","",Inventory!AJ241)</f>
        <v>999999999</v>
      </c>
      <c r="S238" s="777" t="str">
        <f>IF(Inventory!AK241="","",Inventory!AK241)</f>
        <v/>
      </c>
      <c r="T238" s="776" t="str">
        <f>IF(Inventory!AL241="","",Inventory!AL241)</f>
        <v/>
      </c>
      <c r="U238" s="777" t="str">
        <f>IF(Inventory!AM241="","",Inventory!AM241)</f>
        <v/>
      </c>
      <c r="V238" s="767" t="str">
        <f>IF(Inventory!AN241="","",Inventory!AN241)</f>
        <v/>
      </c>
      <c r="W238" s="778" t="str">
        <f>IF(Inventory!AO241="","",Inventory!AO241)</f>
        <v/>
      </c>
      <c r="X238" s="778" t="str">
        <f>IF(Inventory!AP241="","",Inventory!AP241)</f>
        <v/>
      </c>
      <c r="Y238" s="767" t="str">
        <f>IF(Inventory!AQ241="","",Inventory!AQ241)</f>
        <v/>
      </c>
      <c r="Z238" s="778" t="str">
        <f>IF(Inventory!AR241="","",Inventory!AR241)</f>
        <v/>
      </c>
      <c r="AA238" s="751" t="str">
        <f>IF(Inventory!AS241="","",Inventory!AS241)</f>
        <v/>
      </c>
      <c r="AB238" s="871"/>
    </row>
    <row r="239" spans="2:28" s="618" customFormat="1" ht="21.95" customHeight="1" x14ac:dyDescent="0.25">
      <c r="B239" s="431">
        <v>233</v>
      </c>
      <c r="C239" s="501" t="str">
        <f>IF(Inventory!C242="","",Inventory!C242)</f>
        <v/>
      </c>
      <c r="D239" s="502" t="str">
        <f>IF(Inventory!D242="","",Inventory!D242)</f>
        <v/>
      </c>
      <c r="E239" s="557" t="str">
        <f>IF(Inventory!W242="","",Inventory!W242)</f>
        <v/>
      </c>
      <c r="F239" s="788" t="str">
        <f>IF(Inventory!X242="","",Inventory!X242)</f>
        <v/>
      </c>
      <c r="G239" s="788" t="str">
        <f>IF(Inventory!Y242="","",Inventory!Y242)</f>
        <v/>
      </c>
      <c r="H239" s="729" t="str">
        <f>IF(Inventory!Z242="","",Inventory!Z242)</f>
        <v/>
      </c>
      <c r="I239" s="729" t="str">
        <f>IF(Inventory!AA242="","",Inventory!AA242)</f>
        <v/>
      </c>
      <c r="J239" s="729" t="str">
        <f>IF(Inventory!AB242="","",Inventory!AB242)</f>
        <v/>
      </c>
      <c r="K239" s="729" t="str">
        <f>IF(Inventory!AC242="","",Inventory!AC242)</f>
        <v/>
      </c>
      <c r="L239" s="765" t="str">
        <f>IF(Inventory!AD242="","",Inventory!AD242)</f>
        <v/>
      </c>
      <c r="M239" s="527">
        <f>IF(Inventory!AE242="","",Inventory!AE242)</f>
        <v>0</v>
      </c>
      <c r="N239" s="527">
        <f>IF(Inventory!AF242="","",Inventory!AF242)</f>
        <v>0</v>
      </c>
      <c r="O239" s="527">
        <f>IF(Inventory!AG242="","",Inventory!AG242)</f>
        <v>0</v>
      </c>
      <c r="P239" s="527">
        <f>IF(Inventory!AH242="","",Inventory!AH242)</f>
        <v>0</v>
      </c>
      <c r="Q239" s="527">
        <f>IF(Inventory!AI242="","",Inventory!AI242)</f>
        <v>0</v>
      </c>
      <c r="R239" s="527">
        <f>IF(Inventory!AJ242="","",Inventory!AJ242)</f>
        <v>999999999</v>
      </c>
      <c r="S239" s="758" t="str">
        <f>IF(Inventory!AK242="","",Inventory!AK242)</f>
        <v/>
      </c>
      <c r="T239" s="765" t="str">
        <f>IF(Inventory!AL242="","",Inventory!AL242)</f>
        <v/>
      </c>
      <c r="U239" s="758" t="str">
        <f>IF(Inventory!AM242="","",Inventory!AM242)</f>
        <v/>
      </c>
      <c r="V239" s="729" t="str">
        <f>IF(Inventory!AN242="","",Inventory!AN242)</f>
        <v/>
      </c>
      <c r="W239" s="775" t="str">
        <f>IF(Inventory!AO242="","",Inventory!AO242)</f>
        <v/>
      </c>
      <c r="X239" s="775" t="str">
        <f>IF(Inventory!AP242="","",Inventory!AP242)</f>
        <v/>
      </c>
      <c r="Y239" s="729" t="str">
        <f>IF(Inventory!AQ242="","",Inventory!AQ242)</f>
        <v/>
      </c>
      <c r="Z239" s="775" t="str">
        <f>IF(Inventory!AR242="","",Inventory!AR242)</f>
        <v/>
      </c>
      <c r="AA239" s="779" t="str">
        <f>IF(Inventory!AS242="","",Inventory!AS242)</f>
        <v/>
      </c>
      <c r="AB239" s="866"/>
    </row>
    <row r="240" spans="2:28" s="618" customFormat="1" ht="21.95" customHeight="1" x14ac:dyDescent="0.25">
      <c r="B240" s="432">
        <v>234</v>
      </c>
      <c r="C240" s="499" t="str">
        <f>IF(Inventory!C243="","",Inventory!C243)</f>
        <v/>
      </c>
      <c r="D240" s="751" t="str">
        <f>IF(Inventory!D243="","",Inventory!D243)</f>
        <v/>
      </c>
      <c r="E240" s="556" t="str">
        <f>IF(Inventory!W243="","",Inventory!W243)</f>
        <v/>
      </c>
      <c r="F240" s="785" t="str">
        <f>IF(Inventory!X243="","",Inventory!X243)</f>
        <v/>
      </c>
      <c r="G240" s="785" t="str">
        <f>IF(Inventory!Y243="","",Inventory!Y243)</f>
        <v/>
      </c>
      <c r="H240" s="767" t="str">
        <f>IF(Inventory!Z243="","",Inventory!Z243)</f>
        <v/>
      </c>
      <c r="I240" s="767" t="str">
        <f>IF(Inventory!AA243="","",Inventory!AA243)</f>
        <v/>
      </c>
      <c r="J240" s="767" t="str">
        <f>IF(Inventory!AB243="","",Inventory!AB243)</f>
        <v/>
      </c>
      <c r="K240" s="767" t="str">
        <f>IF(Inventory!AC243="","",Inventory!AC243)</f>
        <v/>
      </c>
      <c r="L240" s="776" t="str">
        <f>IF(Inventory!AD243="","",Inventory!AD243)</f>
        <v/>
      </c>
      <c r="M240" s="527">
        <f>IF(Inventory!AE243="","",Inventory!AE243)</f>
        <v>0</v>
      </c>
      <c r="N240" s="527">
        <f>IF(Inventory!AF243="","",Inventory!AF243)</f>
        <v>0</v>
      </c>
      <c r="O240" s="527">
        <f>IF(Inventory!AG243="","",Inventory!AG243)</f>
        <v>0</v>
      </c>
      <c r="P240" s="527">
        <f>IF(Inventory!AH243="","",Inventory!AH243)</f>
        <v>0</v>
      </c>
      <c r="Q240" s="527">
        <f>IF(Inventory!AI243="","",Inventory!AI243)</f>
        <v>0</v>
      </c>
      <c r="R240" s="527">
        <f>IF(Inventory!AJ243="","",Inventory!AJ243)</f>
        <v>999999999</v>
      </c>
      <c r="S240" s="777" t="str">
        <f>IF(Inventory!AK243="","",Inventory!AK243)</f>
        <v/>
      </c>
      <c r="T240" s="776" t="str">
        <f>IF(Inventory!AL243="","",Inventory!AL243)</f>
        <v/>
      </c>
      <c r="U240" s="777" t="str">
        <f>IF(Inventory!AM243="","",Inventory!AM243)</f>
        <v/>
      </c>
      <c r="V240" s="767" t="str">
        <f>IF(Inventory!AN243="","",Inventory!AN243)</f>
        <v/>
      </c>
      <c r="W240" s="778" t="str">
        <f>IF(Inventory!AO243="","",Inventory!AO243)</f>
        <v/>
      </c>
      <c r="X240" s="778" t="str">
        <f>IF(Inventory!AP243="","",Inventory!AP243)</f>
        <v/>
      </c>
      <c r="Y240" s="767" t="str">
        <f>IF(Inventory!AQ243="","",Inventory!AQ243)</f>
        <v/>
      </c>
      <c r="Z240" s="778" t="str">
        <f>IF(Inventory!AR243="","",Inventory!AR243)</f>
        <v/>
      </c>
      <c r="AA240" s="751" t="str">
        <f>IF(Inventory!AS243="","",Inventory!AS243)</f>
        <v/>
      </c>
      <c r="AB240" s="871"/>
    </row>
    <row r="241" spans="2:28" s="618" customFormat="1" ht="21.95" customHeight="1" x14ac:dyDescent="0.25">
      <c r="B241" s="431">
        <v>235</v>
      </c>
      <c r="C241" s="501" t="str">
        <f>IF(Inventory!C244="","",Inventory!C244)</f>
        <v/>
      </c>
      <c r="D241" s="502" t="str">
        <f>IF(Inventory!D244="","",Inventory!D244)</f>
        <v/>
      </c>
      <c r="E241" s="557" t="str">
        <f>IF(Inventory!W244="","",Inventory!W244)</f>
        <v/>
      </c>
      <c r="F241" s="788" t="str">
        <f>IF(Inventory!X244="","",Inventory!X244)</f>
        <v/>
      </c>
      <c r="G241" s="788" t="str">
        <f>IF(Inventory!Y244="","",Inventory!Y244)</f>
        <v/>
      </c>
      <c r="H241" s="729" t="str">
        <f>IF(Inventory!Z244="","",Inventory!Z244)</f>
        <v/>
      </c>
      <c r="I241" s="729" t="str">
        <f>IF(Inventory!AA244="","",Inventory!AA244)</f>
        <v/>
      </c>
      <c r="J241" s="729" t="str">
        <f>IF(Inventory!AB244="","",Inventory!AB244)</f>
        <v/>
      </c>
      <c r="K241" s="729" t="str">
        <f>IF(Inventory!AC244="","",Inventory!AC244)</f>
        <v/>
      </c>
      <c r="L241" s="765" t="str">
        <f>IF(Inventory!AD244="","",Inventory!AD244)</f>
        <v/>
      </c>
      <c r="M241" s="527">
        <f>IF(Inventory!AE244="","",Inventory!AE244)</f>
        <v>0</v>
      </c>
      <c r="N241" s="527">
        <f>IF(Inventory!AF244="","",Inventory!AF244)</f>
        <v>0</v>
      </c>
      <c r="O241" s="527">
        <f>IF(Inventory!AG244="","",Inventory!AG244)</f>
        <v>0</v>
      </c>
      <c r="P241" s="527">
        <f>IF(Inventory!AH244="","",Inventory!AH244)</f>
        <v>0</v>
      </c>
      <c r="Q241" s="527">
        <f>IF(Inventory!AI244="","",Inventory!AI244)</f>
        <v>0</v>
      </c>
      <c r="R241" s="527">
        <f>IF(Inventory!AJ244="","",Inventory!AJ244)</f>
        <v>999999999</v>
      </c>
      <c r="S241" s="758" t="str">
        <f>IF(Inventory!AK244="","",Inventory!AK244)</f>
        <v/>
      </c>
      <c r="T241" s="765" t="str">
        <f>IF(Inventory!AL244="","",Inventory!AL244)</f>
        <v/>
      </c>
      <c r="U241" s="758" t="str">
        <f>IF(Inventory!AM244="","",Inventory!AM244)</f>
        <v/>
      </c>
      <c r="V241" s="729" t="str">
        <f>IF(Inventory!AN244="","",Inventory!AN244)</f>
        <v/>
      </c>
      <c r="W241" s="775" t="str">
        <f>IF(Inventory!AO244="","",Inventory!AO244)</f>
        <v/>
      </c>
      <c r="X241" s="775" t="str">
        <f>IF(Inventory!AP244="","",Inventory!AP244)</f>
        <v/>
      </c>
      <c r="Y241" s="729" t="str">
        <f>IF(Inventory!AQ244="","",Inventory!AQ244)</f>
        <v/>
      </c>
      <c r="Z241" s="775" t="str">
        <f>IF(Inventory!AR244="","",Inventory!AR244)</f>
        <v/>
      </c>
      <c r="AA241" s="779" t="str">
        <f>IF(Inventory!AS244="","",Inventory!AS244)</f>
        <v/>
      </c>
      <c r="AB241" s="866"/>
    </row>
    <row r="242" spans="2:28" s="618" customFormat="1" ht="21.95" customHeight="1" x14ac:dyDescent="0.25">
      <c r="B242" s="432">
        <v>236</v>
      </c>
      <c r="C242" s="499" t="str">
        <f>IF(Inventory!C245="","",Inventory!C245)</f>
        <v/>
      </c>
      <c r="D242" s="751" t="str">
        <f>IF(Inventory!D245="","",Inventory!D245)</f>
        <v/>
      </c>
      <c r="E242" s="556" t="str">
        <f>IF(Inventory!W245="","",Inventory!W245)</f>
        <v/>
      </c>
      <c r="F242" s="785" t="str">
        <f>IF(Inventory!X245="","",Inventory!X245)</f>
        <v/>
      </c>
      <c r="G242" s="785" t="str">
        <f>IF(Inventory!Y245="","",Inventory!Y245)</f>
        <v/>
      </c>
      <c r="H242" s="767" t="str">
        <f>IF(Inventory!Z245="","",Inventory!Z245)</f>
        <v/>
      </c>
      <c r="I242" s="767" t="str">
        <f>IF(Inventory!AA245="","",Inventory!AA245)</f>
        <v/>
      </c>
      <c r="J242" s="767" t="str">
        <f>IF(Inventory!AB245="","",Inventory!AB245)</f>
        <v/>
      </c>
      <c r="K242" s="767" t="str">
        <f>IF(Inventory!AC245="","",Inventory!AC245)</f>
        <v/>
      </c>
      <c r="L242" s="776" t="str">
        <f>IF(Inventory!AD245="","",Inventory!AD245)</f>
        <v/>
      </c>
      <c r="M242" s="527">
        <f>IF(Inventory!AE245="","",Inventory!AE245)</f>
        <v>0</v>
      </c>
      <c r="N242" s="527">
        <f>IF(Inventory!AF245="","",Inventory!AF245)</f>
        <v>0</v>
      </c>
      <c r="O242" s="527">
        <f>IF(Inventory!AG245="","",Inventory!AG245)</f>
        <v>0</v>
      </c>
      <c r="P242" s="527">
        <f>IF(Inventory!AH245="","",Inventory!AH245)</f>
        <v>0</v>
      </c>
      <c r="Q242" s="527">
        <f>IF(Inventory!AI245="","",Inventory!AI245)</f>
        <v>0</v>
      </c>
      <c r="R242" s="527">
        <f>IF(Inventory!AJ245="","",Inventory!AJ245)</f>
        <v>999999999</v>
      </c>
      <c r="S242" s="777" t="str">
        <f>IF(Inventory!AK245="","",Inventory!AK245)</f>
        <v/>
      </c>
      <c r="T242" s="776" t="str">
        <f>IF(Inventory!AL245="","",Inventory!AL245)</f>
        <v/>
      </c>
      <c r="U242" s="777" t="str">
        <f>IF(Inventory!AM245="","",Inventory!AM245)</f>
        <v/>
      </c>
      <c r="V242" s="767" t="str">
        <f>IF(Inventory!AN245="","",Inventory!AN245)</f>
        <v/>
      </c>
      <c r="W242" s="778" t="str">
        <f>IF(Inventory!AO245="","",Inventory!AO245)</f>
        <v/>
      </c>
      <c r="X242" s="778" t="str">
        <f>IF(Inventory!AP245="","",Inventory!AP245)</f>
        <v/>
      </c>
      <c r="Y242" s="767" t="str">
        <f>IF(Inventory!AQ245="","",Inventory!AQ245)</f>
        <v/>
      </c>
      <c r="Z242" s="778" t="str">
        <f>IF(Inventory!AR245="","",Inventory!AR245)</f>
        <v/>
      </c>
      <c r="AA242" s="751" t="str">
        <f>IF(Inventory!AS245="","",Inventory!AS245)</f>
        <v/>
      </c>
      <c r="AB242" s="871"/>
    </row>
    <row r="243" spans="2:28" s="618" customFormat="1" ht="21.95" customHeight="1" x14ac:dyDescent="0.25">
      <c r="B243" s="431">
        <v>237</v>
      </c>
      <c r="C243" s="501" t="str">
        <f>IF(Inventory!C246="","",Inventory!C246)</f>
        <v/>
      </c>
      <c r="D243" s="502" t="str">
        <f>IF(Inventory!D246="","",Inventory!D246)</f>
        <v/>
      </c>
      <c r="E243" s="557" t="str">
        <f>IF(Inventory!W246="","",Inventory!W246)</f>
        <v/>
      </c>
      <c r="F243" s="788" t="str">
        <f>IF(Inventory!X246="","",Inventory!X246)</f>
        <v/>
      </c>
      <c r="G243" s="788" t="str">
        <f>IF(Inventory!Y246="","",Inventory!Y246)</f>
        <v/>
      </c>
      <c r="H243" s="729" t="str">
        <f>IF(Inventory!Z246="","",Inventory!Z246)</f>
        <v/>
      </c>
      <c r="I243" s="729" t="str">
        <f>IF(Inventory!AA246="","",Inventory!AA246)</f>
        <v/>
      </c>
      <c r="J243" s="729" t="str">
        <f>IF(Inventory!AB246="","",Inventory!AB246)</f>
        <v/>
      </c>
      <c r="K243" s="729" t="str">
        <f>IF(Inventory!AC246="","",Inventory!AC246)</f>
        <v/>
      </c>
      <c r="L243" s="765" t="str">
        <f>IF(Inventory!AD246="","",Inventory!AD246)</f>
        <v/>
      </c>
      <c r="M243" s="527">
        <f>IF(Inventory!AE246="","",Inventory!AE246)</f>
        <v>0</v>
      </c>
      <c r="N243" s="527">
        <f>IF(Inventory!AF246="","",Inventory!AF246)</f>
        <v>0</v>
      </c>
      <c r="O243" s="527">
        <f>IF(Inventory!AG246="","",Inventory!AG246)</f>
        <v>0</v>
      </c>
      <c r="P243" s="527">
        <f>IF(Inventory!AH246="","",Inventory!AH246)</f>
        <v>0</v>
      </c>
      <c r="Q243" s="527">
        <f>IF(Inventory!AI246="","",Inventory!AI246)</f>
        <v>0</v>
      </c>
      <c r="R243" s="527">
        <f>IF(Inventory!AJ246="","",Inventory!AJ246)</f>
        <v>999999999</v>
      </c>
      <c r="S243" s="758" t="str">
        <f>IF(Inventory!AK246="","",Inventory!AK246)</f>
        <v/>
      </c>
      <c r="T243" s="765" t="str">
        <f>IF(Inventory!AL246="","",Inventory!AL246)</f>
        <v/>
      </c>
      <c r="U243" s="758" t="str">
        <f>IF(Inventory!AM246="","",Inventory!AM246)</f>
        <v/>
      </c>
      <c r="V243" s="729" t="str">
        <f>IF(Inventory!AN246="","",Inventory!AN246)</f>
        <v/>
      </c>
      <c r="W243" s="775" t="str">
        <f>IF(Inventory!AO246="","",Inventory!AO246)</f>
        <v/>
      </c>
      <c r="X243" s="775" t="str">
        <f>IF(Inventory!AP246="","",Inventory!AP246)</f>
        <v/>
      </c>
      <c r="Y243" s="729" t="str">
        <f>IF(Inventory!AQ246="","",Inventory!AQ246)</f>
        <v/>
      </c>
      <c r="Z243" s="775" t="str">
        <f>IF(Inventory!AR246="","",Inventory!AR246)</f>
        <v/>
      </c>
      <c r="AA243" s="779" t="str">
        <f>IF(Inventory!AS246="","",Inventory!AS246)</f>
        <v/>
      </c>
      <c r="AB243" s="866"/>
    </row>
    <row r="244" spans="2:28" s="618" customFormat="1" ht="21.95" customHeight="1" x14ac:dyDescent="0.25">
      <c r="B244" s="432">
        <v>238</v>
      </c>
      <c r="C244" s="499" t="str">
        <f>IF(Inventory!C247="","",Inventory!C247)</f>
        <v/>
      </c>
      <c r="D244" s="751" t="str">
        <f>IF(Inventory!D247="","",Inventory!D247)</f>
        <v/>
      </c>
      <c r="E244" s="556" t="str">
        <f>IF(Inventory!W247="","",Inventory!W247)</f>
        <v/>
      </c>
      <c r="F244" s="785" t="str">
        <f>IF(Inventory!X247="","",Inventory!X247)</f>
        <v/>
      </c>
      <c r="G244" s="785" t="str">
        <f>IF(Inventory!Y247="","",Inventory!Y247)</f>
        <v/>
      </c>
      <c r="H244" s="767" t="str">
        <f>IF(Inventory!Z247="","",Inventory!Z247)</f>
        <v/>
      </c>
      <c r="I244" s="767" t="str">
        <f>IF(Inventory!AA247="","",Inventory!AA247)</f>
        <v/>
      </c>
      <c r="J244" s="767" t="str">
        <f>IF(Inventory!AB247="","",Inventory!AB247)</f>
        <v/>
      </c>
      <c r="K244" s="767" t="str">
        <f>IF(Inventory!AC247="","",Inventory!AC247)</f>
        <v/>
      </c>
      <c r="L244" s="776" t="str">
        <f>IF(Inventory!AD247="","",Inventory!AD247)</f>
        <v/>
      </c>
      <c r="M244" s="527">
        <f>IF(Inventory!AE247="","",Inventory!AE247)</f>
        <v>0</v>
      </c>
      <c r="N244" s="527">
        <f>IF(Inventory!AF247="","",Inventory!AF247)</f>
        <v>0</v>
      </c>
      <c r="O244" s="527">
        <f>IF(Inventory!AG247="","",Inventory!AG247)</f>
        <v>0</v>
      </c>
      <c r="P244" s="527">
        <f>IF(Inventory!AH247="","",Inventory!AH247)</f>
        <v>0</v>
      </c>
      <c r="Q244" s="527">
        <f>IF(Inventory!AI247="","",Inventory!AI247)</f>
        <v>0</v>
      </c>
      <c r="R244" s="527">
        <f>IF(Inventory!AJ247="","",Inventory!AJ247)</f>
        <v>999999999</v>
      </c>
      <c r="S244" s="777" t="str">
        <f>IF(Inventory!AK247="","",Inventory!AK247)</f>
        <v/>
      </c>
      <c r="T244" s="776" t="str">
        <f>IF(Inventory!AL247="","",Inventory!AL247)</f>
        <v/>
      </c>
      <c r="U244" s="777" t="str">
        <f>IF(Inventory!AM247="","",Inventory!AM247)</f>
        <v/>
      </c>
      <c r="V244" s="767" t="str">
        <f>IF(Inventory!AN247="","",Inventory!AN247)</f>
        <v/>
      </c>
      <c r="W244" s="778" t="str">
        <f>IF(Inventory!AO247="","",Inventory!AO247)</f>
        <v/>
      </c>
      <c r="X244" s="778" t="str">
        <f>IF(Inventory!AP247="","",Inventory!AP247)</f>
        <v/>
      </c>
      <c r="Y244" s="767" t="str">
        <f>IF(Inventory!AQ247="","",Inventory!AQ247)</f>
        <v/>
      </c>
      <c r="Z244" s="778" t="str">
        <f>IF(Inventory!AR247="","",Inventory!AR247)</f>
        <v/>
      </c>
      <c r="AA244" s="751" t="str">
        <f>IF(Inventory!AS247="","",Inventory!AS247)</f>
        <v/>
      </c>
      <c r="AB244" s="871"/>
    </row>
    <row r="245" spans="2:28" s="618" customFormat="1" ht="21.95" customHeight="1" x14ac:dyDescent="0.25">
      <c r="B245" s="431">
        <v>239</v>
      </c>
      <c r="C245" s="501" t="str">
        <f>IF(Inventory!C248="","",Inventory!C248)</f>
        <v/>
      </c>
      <c r="D245" s="502" t="str">
        <f>IF(Inventory!D248="","",Inventory!D248)</f>
        <v/>
      </c>
      <c r="E245" s="557" t="str">
        <f>IF(Inventory!W248="","",Inventory!W248)</f>
        <v/>
      </c>
      <c r="F245" s="788" t="str">
        <f>IF(Inventory!X248="","",Inventory!X248)</f>
        <v/>
      </c>
      <c r="G245" s="788" t="str">
        <f>IF(Inventory!Y248="","",Inventory!Y248)</f>
        <v/>
      </c>
      <c r="H245" s="729" t="str">
        <f>IF(Inventory!Z248="","",Inventory!Z248)</f>
        <v/>
      </c>
      <c r="I245" s="729" t="str">
        <f>IF(Inventory!AA248="","",Inventory!AA248)</f>
        <v/>
      </c>
      <c r="J245" s="729" t="str">
        <f>IF(Inventory!AB248="","",Inventory!AB248)</f>
        <v/>
      </c>
      <c r="K245" s="729" t="str">
        <f>IF(Inventory!AC248="","",Inventory!AC248)</f>
        <v/>
      </c>
      <c r="L245" s="765" t="str">
        <f>IF(Inventory!AD248="","",Inventory!AD248)</f>
        <v/>
      </c>
      <c r="M245" s="527">
        <f>IF(Inventory!AE248="","",Inventory!AE248)</f>
        <v>0</v>
      </c>
      <c r="N245" s="527">
        <f>IF(Inventory!AF248="","",Inventory!AF248)</f>
        <v>0</v>
      </c>
      <c r="O245" s="527">
        <f>IF(Inventory!AG248="","",Inventory!AG248)</f>
        <v>0</v>
      </c>
      <c r="P245" s="527">
        <f>IF(Inventory!AH248="","",Inventory!AH248)</f>
        <v>0</v>
      </c>
      <c r="Q245" s="527">
        <f>IF(Inventory!AI248="","",Inventory!AI248)</f>
        <v>0</v>
      </c>
      <c r="R245" s="527">
        <f>IF(Inventory!AJ248="","",Inventory!AJ248)</f>
        <v>999999999</v>
      </c>
      <c r="S245" s="758" t="str">
        <f>IF(Inventory!AK248="","",Inventory!AK248)</f>
        <v/>
      </c>
      <c r="T245" s="765" t="str">
        <f>IF(Inventory!AL248="","",Inventory!AL248)</f>
        <v/>
      </c>
      <c r="U245" s="758" t="str">
        <f>IF(Inventory!AM248="","",Inventory!AM248)</f>
        <v/>
      </c>
      <c r="V245" s="729" t="str">
        <f>IF(Inventory!AN248="","",Inventory!AN248)</f>
        <v/>
      </c>
      <c r="W245" s="775" t="str">
        <f>IF(Inventory!AO248="","",Inventory!AO248)</f>
        <v/>
      </c>
      <c r="X245" s="775" t="str">
        <f>IF(Inventory!AP248="","",Inventory!AP248)</f>
        <v/>
      </c>
      <c r="Y245" s="729" t="str">
        <f>IF(Inventory!AQ248="","",Inventory!AQ248)</f>
        <v/>
      </c>
      <c r="Z245" s="775" t="str">
        <f>IF(Inventory!AR248="","",Inventory!AR248)</f>
        <v/>
      </c>
      <c r="AA245" s="779" t="str">
        <f>IF(Inventory!AS248="","",Inventory!AS248)</f>
        <v/>
      </c>
      <c r="AB245" s="866"/>
    </row>
    <row r="246" spans="2:28" s="618" customFormat="1" ht="21.95" customHeight="1" x14ac:dyDescent="0.25">
      <c r="B246" s="432">
        <v>240</v>
      </c>
      <c r="C246" s="499" t="str">
        <f>IF(Inventory!C249="","",Inventory!C249)</f>
        <v/>
      </c>
      <c r="D246" s="751" t="str">
        <f>IF(Inventory!D249="","",Inventory!D249)</f>
        <v/>
      </c>
      <c r="E246" s="556" t="str">
        <f>IF(Inventory!W249="","",Inventory!W249)</f>
        <v/>
      </c>
      <c r="F246" s="785" t="str">
        <f>IF(Inventory!X249="","",Inventory!X249)</f>
        <v/>
      </c>
      <c r="G246" s="785" t="str">
        <f>IF(Inventory!Y249="","",Inventory!Y249)</f>
        <v/>
      </c>
      <c r="H246" s="767" t="str">
        <f>IF(Inventory!Z249="","",Inventory!Z249)</f>
        <v/>
      </c>
      <c r="I246" s="767" t="str">
        <f>IF(Inventory!AA249="","",Inventory!AA249)</f>
        <v/>
      </c>
      <c r="J246" s="767" t="str">
        <f>IF(Inventory!AB249="","",Inventory!AB249)</f>
        <v/>
      </c>
      <c r="K246" s="767" t="str">
        <f>IF(Inventory!AC249="","",Inventory!AC249)</f>
        <v/>
      </c>
      <c r="L246" s="776" t="str">
        <f>IF(Inventory!AD249="","",Inventory!AD249)</f>
        <v/>
      </c>
      <c r="M246" s="527">
        <f>IF(Inventory!AE249="","",Inventory!AE249)</f>
        <v>0</v>
      </c>
      <c r="N246" s="527">
        <f>IF(Inventory!AF249="","",Inventory!AF249)</f>
        <v>0</v>
      </c>
      <c r="O246" s="527">
        <f>IF(Inventory!AG249="","",Inventory!AG249)</f>
        <v>0</v>
      </c>
      <c r="P246" s="527">
        <f>IF(Inventory!AH249="","",Inventory!AH249)</f>
        <v>0</v>
      </c>
      <c r="Q246" s="527">
        <f>IF(Inventory!AI249="","",Inventory!AI249)</f>
        <v>0</v>
      </c>
      <c r="R246" s="527">
        <f>IF(Inventory!AJ249="","",Inventory!AJ249)</f>
        <v>999999999</v>
      </c>
      <c r="S246" s="777" t="str">
        <f>IF(Inventory!AK249="","",Inventory!AK249)</f>
        <v/>
      </c>
      <c r="T246" s="776" t="str">
        <f>IF(Inventory!AL249="","",Inventory!AL249)</f>
        <v/>
      </c>
      <c r="U246" s="777" t="str">
        <f>IF(Inventory!AM249="","",Inventory!AM249)</f>
        <v/>
      </c>
      <c r="V246" s="767" t="str">
        <f>IF(Inventory!AN249="","",Inventory!AN249)</f>
        <v/>
      </c>
      <c r="W246" s="778" t="str">
        <f>IF(Inventory!AO249="","",Inventory!AO249)</f>
        <v/>
      </c>
      <c r="X246" s="778" t="str">
        <f>IF(Inventory!AP249="","",Inventory!AP249)</f>
        <v/>
      </c>
      <c r="Y246" s="767" t="str">
        <f>IF(Inventory!AQ249="","",Inventory!AQ249)</f>
        <v/>
      </c>
      <c r="Z246" s="778" t="str">
        <f>IF(Inventory!AR249="","",Inventory!AR249)</f>
        <v/>
      </c>
      <c r="AA246" s="751" t="str">
        <f>IF(Inventory!AS249="","",Inventory!AS249)</f>
        <v/>
      </c>
      <c r="AB246" s="871"/>
    </row>
    <row r="247" spans="2:28" s="618" customFormat="1" ht="21.95" customHeight="1" x14ac:dyDescent="0.25">
      <c r="B247" s="431">
        <v>241</v>
      </c>
      <c r="C247" s="501" t="str">
        <f>IF(Inventory!C250="","",Inventory!C250)</f>
        <v/>
      </c>
      <c r="D247" s="502" t="str">
        <f>IF(Inventory!D250="","",Inventory!D250)</f>
        <v/>
      </c>
      <c r="E247" s="557" t="str">
        <f>IF(Inventory!W250="","",Inventory!W250)</f>
        <v/>
      </c>
      <c r="F247" s="788" t="str">
        <f>IF(Inventory!X250="","",Inventory!X250)</f>
        <v/>
      </c>
      <c r="G247" s="788" t="str">
        <f>IF(Inventory!Y250="","",Inventory!Y250)</f>
        <v/>
      </c>
      <c r="H247" s="729" t="str">
        <f>IF(Inventory!Z250="","",Inventory!Z250)</f>
        <v/>
      </c>
      <c r="I247" s="729" t="str">
        <f>IF(Inventory!AA250="","",Inventory!AA250)</f>
        <v/>
      </c>
      <c r="J247" s="729" t="str">
        <f>IF(Inventory!AB250="","",Inventory!AB250)</f>
        <v/>
      </c>
      <c r="K247" s="729" t="str">
        <f>IF(Inventory!AC250="","",Inventory!AC250)</f>
        <v/>
      </c>
      <c r="L247" s="765" t="str">
        <f>IF(Inventory!AD250="","",Inventory!AD250)</f>
        <v/>
      </c>
      <c r="M247" s="527">
        <f>IF(Inventory!AE250="","",Inventory!AE250)</f>
        <v>0</v>
      </c>
      <c r="N247" s="527">
        <f>IF(Inventory!AF250="","",Inventory!AF250)</f>
        <v>0</v>
      </c>
      <c r="O247" s="527">
        <f>IF(Inventory!AG250="","",Inventory!AG250)</f>
        <v>0</v>
      </c>
      <c r="P247" s="527">
        <f>IF(Inventory!AH250="","",Inventory!AH250)</f>
        <v>0</v>
      </c>
      <c r="Q247" s="527">
        <f>IF(Inventory!AI250="","",Inventory!AI250)</f>
        <v>0</v>
      </c>
      <c r="R247" s="527">
        <f>IF(Inventory!AJ250="","",Inventory!AJ250)</f>
        <v>999999999</v>
      </c>
      <c r="S247" s="758" t="str">
        <f>IF(Inventory!AK250="","",Inventory!AK250)</f>
        <v/>
      </c>
      <c r="T247" s="765" t="str">
        <f>IF(Inventory!AL250="","",Inventory!AL250)</f>
        <v/>
      </c>
      <c r="U247" s="758" t="str">
        <f>IF(Inventory!AM250="","",Inventory!AM250)</f>
        <v/>
      </c>
      <c r="V247" s="729" t="str">
        <f>IF(Inventory!AN250="","",Inventory!AN250)</f>
        <v/>
      </c>
      <c r="W247" s="775" t="str">
        <f>IF(Inventory!AO250="","",Inventory!AO250)</f>
        <v/>
      </c>
      <c r="X247" s="775" t="str">
        <f>IF(Inventory!AP250="","",Inventory!AP250)</f>
        <v/>
      </c>
      <c r="Y247" s="729" t="str">
        <f>IF(Inventory!AQ250="","",Inventory!AQ250)</f>
        <v/>
      </c>
      <c r="Z247" s="775" t="str">
        <f>IF(Inventory!AR250="","",Inventory!AR250)</f>
        <v/>
      </c>
      <c r="AA247" s="779" t="str">
        <f>IF(Inventory!AS250="","",Inventory!AS250)</f>
        <v/>
      </c>
      <c r="AB247" s="866"/>
    </row>
    <row r="248" spans="2:28" s="618" customFormat="1" ht="21.95" customHeight="1" x14ac:dyDescent="0.25">
      <c r="B248" s="432">
        <v>242</v>
      </c>
      <c r="C248" s="499" t="str">
        <f>IF(Inventory!C251="","",Inventory!C251)</f>
        <v/>
      </c>
      <c r="D248" s="751" t="str">
        <f>IF(Inventory!D251="","",Inventory!D251)</f>
        <v/>
      </c>
      <c r="E248" s="556" t="str">
        <f>IF(Inventory!W251="","",Inventory!W251)</f>
        <v/>
      </c>
      <c r="F248" s="785" t="str">
        <f>IF(Inventory!X251="","",Inventory!X251)</f>
        <v/>
      </c>
      <c r="G248" s="785" t="str">
        <f>IF(Inventory!Y251="","",Inventory!Y251)</f>
        <v/>
      </c>
      <c r="H248" s="767" t="str">
        <f>IF(Inventory!Z251="","",Inventory!Z251)</f>
        <v/>
      </c>
      <c r="I248" s="767" t="str">
        <f>IF(Inventory!AA251="","",Inventory!AA251)</f>
        <v/>
      </c>
      <c r="J248" s="767" t="str">
        <f>IF(Inventory!AB251="","",Inventory!AB251)</f>
        <v/>
      </c>
      <c r="K248" s="767" t="str">
        <f>IF(Inventory!AC251="","",Inventory!AC251)</f>
        <v/>
      </c>
      <c r="L248" s="776" t="str">
        <f>IF(Inventory!AD251="","",Inventory!AD251)</f>
        <v/>
      </c>
      <c r="M248" s="527">
        <f>IF(Inventory!AE251="","",Inventory!AE251)</f>
        <v>0</v>
      </c>
      <c r="N248" s="527">
        <f>IF(Inventory!AF251="","",Inventory!AF251)</f>
        <v>0</v>
      </c>
      <c r="O248" s="527">
        <f>IF(Inventory!AG251="","",Inventory!AG251)</f>
        <v>0</v>
      </c>
      <c r="P248" s="527">
        <f>IF(Inventory!AH251="","",Inventory!AH251)</f>
        <v>0</v>
      </c>
      <c r="Q248" s="527">
        <f>IF(Inventory!AI251="","",Inventory!AI251)</f>
        <v>0</v>
      </c>
      <c r="R248" s="527">
        <f>IF(Inventory!AJ251="","",Inventory!AJ251)</f>
        <v>999999999</v>
      </c>
      <c r="S248" s="777" t="str">
        <f>IF(Inventory!AK251="","",Inventory!AK251)</f>
        <v/>
      </c>
      <c r="T248" s="776" t="str">
        <f>IF(Inventory!AL251="","",Inventory!AL251)</f>
        <v/>
      </c>
      <c r="U248" s="777" t="str">
        <f>IF(Inventory!AM251="","",Inventory!AM251)</f>
        <v/>
      </c>
      <c r="V248" s="767" t="str">
        <f>IF(Inventory!AN251="","",Inventory!AN251)</f>
        <v/>
      </c>
      <c r="W248" s="778" t="str">
        <f>IF(Inventory!AO251="","",Inventory!AO251)</f>
        <v/>
      </c>
      <c r="X248" s="778" t="str">
        <f>IF(Inventory!AP251="","",Inventory!AP251)</f>
        <v/>
      </c>
      <c r="Y248" s="767" t="str">
        <f>IF(Inventory!AQ251="","",Inventory!AQ251)</f>
        <v/>
      </c>
      <c r="Z248" s="778" t="str">
        <f>IF(Inventory!AR251="","",Inventory!AR251)</f>
        <v/>
      </c>
      <c r="AA248" s="751" t="str">
        <f>IF(Inventory!AS251="","",Inventory!AS251)</f>
        <v/>
      </c>
      <c r="AB248" s="871"/>
    </row>
    <row r="249" spans="2:28" s="618" customFormat="1" ht="21.95" customHeight="1" x14ac:dyDescent="0.25">
      <c r="B249" s="431">
        <v>243</v>
      </c>
      <c r="C249" s="501" t="str">
        <f>IF(Inventory!C252="","",Inventory!C252)</f>
        <v/>
      </c>
      <c r="D249" s="502" t="str">
        <f>IF(Inventory!D252="","",Inventory!D252)</f>
        <v/>
      </c>
      <c r="E249" s="557" t="str">
        <f>IF(Inventory!W252="","",Inventory!W252)</f>
        <v/>
      </c>
      <c r="F249" s="788" t="str">
        <f>IF(Inventory!X252="","",Inventory!X252)</f>
        <v/>
      </c>
      <c r="G249" s="788" t="str">
        <f>IF(Inventory!Y252="","",Inventory!Y252)</f>
        <v/>
      </c>
      <c r="H249" s="729" t="str">
        <f>IF(Inventory!Z252="","",Inventory!Z252)</f>
        <v/>
      </c>
      <c r="I249" s="729" t="str">
        <f>IF(Inventory!AA252="","",Inventory!AA252)</f>
        <v/>
      </c>
      <c r="J249" s="729" t="str">
        <f>IF(Inventory!AB252="","",Inventory!AB252)</f>
        <v/>
      </c>
      <c r="K249" s="729" t="str">
        <f>IF(Inventory!AC252="","",Inventory!AC252)</f>
        <v/>
      </c>
      <c r="L249" s="765" t="str">
        <f>IF(Inventory!AD252="","",Inventory!AD252)</f>
        <v/>
      </c>
      <c r="M249" s="527">
        <f>IF(Inventory!AE252="","",Inventory!AE252)</f>
        <v>0</v>
      </c>
      <c r="N249" s="527">
        <f>IF(Inventory!AF252="","",Inventory!AF252)</f>
        <v>0</v>
      </c>
      <c r="O249" s="527">
        <f>IF(Inventory!AG252="","",Inventory!AG252)</f>
        <v>0</v>
      </c>
      <c r="P249" s="527">
        <f>IF(Inventory!AH252="","",Inventory!AH252)</f>
        <v>0</v>
      </c>
      <c r="Q249" s="527">
        <f>IF(Inventory!AI252="","",Inventory!AI252)</f>
        <v>0</v>
      </c>
      <c r="R249" s="527">
        <f>IF(Inventory!AJ252="","",Inventory!AJ252)</f>
        <v>999999999</v>
      </c>
      <c r="S249" s="758" t="str">
        <f>IF(Inventory!AK252="","",Inventory!AK252)</f>
        <v/>
      </c>
      <c r="T249" s="765" t="str">
        <f>IF(Inventory!AL252="","",Inventory!AL252)</f>
        <v/>
      </c>
      <c r="U249" s="758" t="str">
        <f>IF(Inventory!AM252="","",Inventory!AM252)</f>
        <v/>
      </c>
      <c r="V249" s="729" t="str">
        <f>IF(Inventory!AN252="","",Inventory!AN252)</f>
        <v/>
      </c>
      <c r="W249" s="775" t="str">
        <f>IF(Inventory!AO252="","",Inventory!AO252)</f>
        <v/>
      </c>
      <c r="X249" s="775" t="str">
        <f>IF(Inventory!AP252="","",Inventory!AP252)</f>
        <v/>
      </c>
      <c r="Y249" s="729" t="str">
        <f>IF(Inventory!AQ252="","",Inventory!AQ252)</f>
        <v/>
      </c>
      <c r="Z249" s="775" t="str">
        <f>IF(Inventory!AR252="","",Inventory!AR252)</f>
        <v/>
      </c>
      <c r="AA249" s="779" t="str">
        <f>IF(Inventory!AS252="","",Inventory!AS252)</f>
        <v/>
      </c>
      <c r="AB249" s="866"/>
    </row>
    <row r="250" spans="2:28" s="618" customFormat="1" ht="21.95" customHeight="1" x14ac:dyDescent="0.25">
      <c r="B250" s="432">
        <v>244</v>
      </c>
      <c r="C250" s="499" t="str">
        <f>IF(Inventory!C253="","",Inventory!C253)</f>
        <v/>
      </c>
      <c r="D250" s="751" t="str">
        <f>IF(Inventory!D253="","",Inventory!D253)</f>
        <v/>
      </c>
      <c r="E250" s="556" t="str">
        <f>IF(Inventory!W253="","",Inventory!W253)</f>
        <v/>
      </c>
      <c r="F250" s="785" t="str">
        <f>IF(Inventory!X253="","",Inventory!X253)</f>
        <v/>
      </c>
      <c r="G250" s="785" t="str">
        <f>IF(Inventory!Y253="","",Inventory!Y253)</f>
        <v/>
      </c>
      <c r="H250" s="767" t="str">
        <f>IF(Inventory!Z253="","",Inventory!Z253)</f>
        <v/>
      </c>
      <c r="I250" s="767" t="str">
        <f>IF(Inventory!AA253="","",Inventory!AA253)</f>
        <v/>
      </c>
      <c r="J250" s="767" t="str">
        <f>IF(Inventory!AB253="","",Inventory!AB253)</f>
        <v/>
      </c>
      <c r="K250" s="767" t="str">
        <f>IF(Inventory!AC253="","",Inventory!AC253)</f>
        <v/>
      </c>
      <c r="L250" s="776" t="str">
        <f>IF(Inventory!AD253="","",Inventory!AD253)</f>
        <v/>
      </c>
      <c r="M250" s="527">
        <f>IF(Inventory!AE253="","",Inventory!AE253)</f>
        <v>0</v>
      </c>
      <c r="N250" s="527">
        <f>IF(Inventory!AF253="","",Inventory!AF253)</f>
        <v>0</v>
      </c>
      <c r="O250" s="527">
        <f>IF(Inventory!AG253="","",Inventory!AG253)</f>
        <v>0</v>
      </c>
      <c r="P250" s="527">
        <f>IF(Inventory!AH253="","",Inventory!AH253)</f>
        <v>0</v>
      </c>
      <c r="Q250" s="527">
        <f>IF(Inventory!AI253="","",Inventory!AI253)</f>
        <v>0</v>
      </c>
      <c r="R250" s="527">
        <f>IF(Inventory!AJ253="","",Inventory!AJ253)</f>
        <v>999999999</v>
      </c>
      <c r="S250" s="777" t="str">
        <f>IF(Inventory!AK253="","",Inventory!AK253)</f>
        <v/>
      </c>
      <c r="T250" s="776" t="str">
        <f>IF(Inventory!AL253="","",Inventory!AL253)</f>
        <v/>
      </c>
      <c r="U250" s="777" t="str">
        <f>IF(Inventory!AM253="","",Inventory!AM253)</f>
        <v/>
      </c>
      <c r="V250" s="767" t="str">
        <f>IF(Inventory!AN253="","",Inventory!AN253)</f>
        <v/>
      </c>
      <c r="W250" s="778" t="str">
        <f>IF(Inventory!AO253="","",Inventory!AO253)</f>
        <v/>
      </c>
      <c r="X250" s="778" t="str">
        <f>IF(Inventory!AP253="","",Inventory!AP253)</f>
        <v/>
      </c>
      <c r="Y250" s="767" t="str">
        <f>IF(Inventory!AQ253="","",Inventory!AQ253)</f>
        <v/>
      </c>
      <c r="Z250" s="778" t="str">
        <f>IF(Inventory!AR253="","",Inventory!AR253)</f>
        <v/>
      </c>
      <c r="AA250" s="751" t="str">
        <f>IF(Inventory!AS253="","",Inventory!AS253)</f>
        <v/>
      </c>
      <c r="AB250" s="871"/>
    </row>
    <row r="251" spans="2:28" s="618" customFormat="1" ht="21.95" customHeight="1" x14ac:dyDescent="0.25">
      <c r="B251" s="431">
        <v>245</v>
      </c>
      <c r="C251" s="501" t="str">
        <f>IF(Inventory!C254="","",Inventory!C254)</f>
        <v/>
      </c>
      <c r="D251" s="502" t="str">
        <f>IF(Inventory!D254="","",Inventory!D254)</f>
        <v/>
      </c>
      <c r="E251" s="557" t="str">
        <f>IF(Inventory!W254="","",Inventory!W254)</f>
        <v/>
      </c>
      <c r="F251" s="788" t="str">
        <f>IF(Inventory!X254="","",Inventory!X254)</f>
        <v/>
      </c>
      <c r="G251" s="788" t="str">
        <f>IF(Inventory!Y254="","",Inventory!Y254)</f>
        <v/>
      </c>
      <c r="H251" s="729" t="str">
        <f>IF(Inventory!Z254="","",Inventory!Z254)</f>
        <v/>
      </c>
      <c r="I251" s="729" t="str">
        <f>IF(Inventory!AA254="","",Inventory!AA254)</f>
        <v/>
      </c>
      <c r="J251" s="729" t="str">
        <f>IF(Inventory!AB254="","",Inventory!AB254)</f>
        <v/>
      </c>
      <c r="K251" s="729" t="str">
        <f>IF(Inventory!AC254="","",Inventory!AC254)</f>
        <v/>
      </c>
      <c r="L251" s="765" t="str">
        <f>IF(Inventory!AD254="","",Inventory!AD254)</f>
        <v/>
      </c>
      <c r="M251" s="527">
        <f>IF(Inventory!AE254="","",Inventory!AE254)</f>
        <v>0</v>
      </c>
      <c r="N251" s="527">
        <f>IF(Inventory!AF254="","",Inventory!AF254)</f>
        <v>0</v>
      </c>
      <c r="O251" s="527">
        <f>IF(Inventory!AG254="","",Inventory!AG254)</f>
        <v>0</v>
      </c>
      <c r="P251" s="527">
        <f>IF(Inventory!AH254="","",Inventory!AH254)</f>
        <v>0</v>
      </c>
      <c r="Q251" s="527">
        <f>IF(Inventory!AI254="","",Inventory!AI254)</f>
        <v>0</v>
      </c>
      <c r="R251" s="527">
        <f>IF(Inventory!AJ254="","",Inventory!AJ254)</f>
        <v>999999999</v>
      </c>
      <c r="S251" s="758" t="str">
        <f>IF(Inventory!AK254="","",Inventory!AK254)</f>
        <v/>
      </c>
      <c r="T251" s="765" t="str">
        <f>IF(Inventory!AL254="","",Inventory!AL254)</f>
        <v/>
      </c>
      <c r="U251" s="758" t="str">
        <f>IF(Inventory!AM254="","",Inventory!AM254)</f>
        <v/>
      </c>
      <c r="V251" s="729" t="str">
        <f>IF(Inventory!AN254="","",Inventory!AN254)</f>
        <v/>
      </c>
      <c r="W251" s="775" t="str">
        <f>IF(Inventory!AO254="","",Inventory!AO254)</f>
        <v/>
      </c>
      <c r="X251" s="775" t="str">
        <f>IF(Inventory!AP254="","",Inventory!AP254)</f>
        <v/>
      </c>
      <c r="Y251" s="729" t="str">
        <f>IF(Inventory!AQ254="","",Inventory!AQ254)</f>
        <v/>
      </c>
      <c r="Z251" s="775" t="str">
        <f>IF(Inventory!AR254="","",Inventory!AR254)</f>
        <v/>
      </c>
      <c r="AA251" s="779" t="str">
        <f>IF(Inventory!AS254="","",Inventory!AS254)</f>
        <v/>
      </c>
      <c r="AB251" s="866"/>
    </row>
    <row r="252" spans="2:28" s="618" customFormat="1" ht="21.95" customHeight="1" x14ac:dyDescent="0.25">
      <c r="B252" s="432">
        <v>246</v>
      </c>
      <c r="C252" s="499" t="str">
        <f>IF(Inventory!C255="","",Inventory!C255)</f>
        <v/>
      </c>
      <c r="D252" s="751" t="str">
        <f>IF(Inventory!D255="","",Inventory!D255)</f>
        <v/>
      </c>
      <c r="E252" s="556" t="str">
        <f>IF(Inventory!W255="","",Inventory!W255)</f>
        <v/>
      </c>
      <c r="F252" s="785" t="str">
        <f>IF(Inventory!X255="","",Inventory!X255)</f>
        <v/>
      </c>
      <c r="G252" s="785" t="str">
        <f>IF(Inventory!Y255="","",Inventory!Y255)</f>
        <v/>
      </c>
      <c r="H252" s="767" t="str">
        <f>IF(Inventory!Z255="","",Inventory!Z255)</f>
        <v/>
      </c>
      <c r="I252" s="767" t="str">
        <f>IF(Inventory!AA255="","",Inventory!AA255)</f>
        <v/>
      </c>
      <c r="J252" s="767" t="str">
        <f>IF(Inventory!AB255="","",Inventory!AB255)</f>
        <v/>
      </c>
      <c r="K252" s="767" t="str">
        <f>IF(Inventory!AC255="","",Inventory!AC255)</f>
        <v/>
      </c>
      <c r="L252" s="776" t="str">
        <f>IF(Inventory!AD255="","",Inventory!AD255)</f>
        <v/>
      </c>
      <c r="M252" s="527">
        <f>IF(Inventory!AE255="","",Inventory!AE255)</f>
        <v>0</v>
      </c>
      <c r="N252" s="527">
        <f>IF(Inventory!AF255="","",Inventory!AF255)</f>
        <v>0</v>
      </c>
      <c r="O252" s="527">
        <f>IF(Inventory!AG255="","",Inventory!AG255)</f>
        <v>0</v>
      </c>
      <c r="P252" s="527">
        <f>IF(Inventory!AH255="","",Inventory!AH255)</f>
        <v>0</v>
      </c>
      <c r="Q252" s="527">
        <f>IF(Inventory!AI255="","",Inventory!AI255)</f>
        <v>0</v>
      </c>
      <c r="R252" s="527">
        <f>IF(Inventory!AJ255="","",Inventory!AJ255)</f>
        <v>999999999</v>
      </c>
      <c r="S252" s="777" t="str">
        <f>IF(Inventory!AK255="","",Inventory!AK255)</f>
        <v/>
      </c>
      <c r="T252" s="776" t="str">
        <f>IF(Inventory!AL255="","",Inventory!AL255)</f>
        <v/>
      </c>
      <c r="U252" s="777" t="str">
        <f>IF(Inventory!AM255="","",Inventory!AM255)</f>
        <v/>
      </c>
      <c r="V252" s="767" t="str">
        <f>IF(Inventory!AN255="","",Inventory!AN255)</f>
        <v/>
      </c>
      <c r="W252" s="778" t="str">
        <f>IF(Inventory!AO255="","",Inventory!AO255)</f>
        <v/>
      </c>
      <c r="X252" s="778" t="str">
        <f>IF(Inventory!AP255="","",Inventory!AP255)</f>
        <v/>
      </c>
      <c r="Y252" s="767" t="str">
        <f>IF(Inventory!AQ255="","",Inventory!AQ255)</f>
        <v/>
      </c>
      <c r="Z252" s="778" t="str">
        <f>IF(Inventory!AR255="","",Inventory!AR255)</f>
        <v/>
      </c>
      <c r="AA252" s="751" t="str">
        <f>IF(Inventory!AS255="","",Inventory!AS255)</f>
        <v/>
      </c>
      <c r="AB252" s="871"/>
    </row>
    <row r="253" spans="2:28" s="618" customFormat="1" ht="21.95" customHeight="1" x14ac:dyDescent="0.25">
      <c r="B253" s="431">
        <v>247</v>
      </c>
      <c r="C253" s="501" t="str">
        <f>IF(Inventory!C256="","",Inventory!C256)</f>
        <v/>
      </c>
      <c r="D253" s="502" t="str">
        <f>IF(Inventory!D256="","",Inventory!D256)</f>
        <v/>
      </c>
      <c r="E253" s="557" t="str">
        <f>IF(Inventory!W256="","",Inventory!W256)</f>
        <v/>
      </c>
      <c r="F253" s="788" t="str">
        <f>IF(Inventory!X256="","",Inventory!X256)</f>
        <v/>
      </c>
      <c r="G253" s="788" t="str">
        <f>IF(Inventory!Y256="","",Inventory!Y256)</f>
        <v/>
      </c>
      <c r="H253" s="729" t="str">
        <f>IF(Inventory!Z256="","",Inventory!Z256)</f>
        <v/>
      </c>
      <c r="I253" s="729" t="str">
        <f>IF(Inventory!AA256="","",Inventory!AA256)</f>
        <v/>
      </c>
      <c r="J253" s="729" t="str">
        <f>IF(Inventory!AB256="","",Inventory!AB256)</f>
        <v/>
      </c>
      <c r="K253" s="729" t="str">
        <f>IF(Inventory!AC256="","",Inventory!AC256)</f>
        <v/>
      </c>
      <c r="L253" s="765" t="str">
        <f>IF(Inventory!AD256="","",Inventory!AD256)</f>
        <v/>
      </c>
      <c r="M253" s="527">
        <f>IF(Inventory!AE256="","",Inventory!AE256)</f>
        <v>0</v>
      </c>
      <c r="N253" s="527">
        <f>IF(Inventory!AF256="","",Inventory!AF256)</f>
        <v>0</v>
      </c>
      <c r="O253" s="527">
        <f>IF(Inventory!AG256="","",Inventory!AG256)</f>
        <v>0</v>
      </c>
      <c r="P253" s="527">
        <f>IF(Inventory!AH256="","",Inventory!AH256)</f>
        <v>0</v>
      </c>
      <c r="Q253" s="527">
        <f>IF(Inventory!AI256="","",Inventory!AI256)</f>
        <v>0</v>
      </c>
      <c r="R253" s="527">
        <f>IF(Inventory!AJ256="","",Inventory!AJ256)</f>
        <v>999999999</v>
      </c>
      <c r="S253" s="758" t="str">
        <f>IF(Inventory!AK256="","",Inventory!AK256)</f>
        <v/>
      </c>
      <c r="T253" s="765" t="str">
        <f>IF(Inventory!AL256="","",Inventory!AL256)</f>
        <v/>
      </c>
      <c r="U253" s="758" t="str">
        <f>IF(Inventory!AM256="","",Inventory!AM256)</f>
        <v/>
      </c>
      <c r="V253" s="729" t="str">
        <f>IF(Inventory!AN256="","",Inventory!AN256)</f>
        <v/>
      </c>
      <c r="W253" s="775" t="str">
        <f>IF(Inventory!AO256="","",Inventory!AO256)</f>
        <v/>
      </c>
      <c r="X253" s="775" t="str">
        <f>IF(Inventory!AP256="","",Inventory!AP256)</f>
        <v/>
      </c>
      <c r="Y253" s="729" t="str">
        <f>IF(Inventory!AQ256="","",Inventory!AQ256)</f>
        <v/>
      </c>
      <c r="Z253" s="775" t="str">
        <f>IF(Inventory!AR256="","",Inventory!AR256)</f>
        <v/>
      </c>
      <c r="AA253" s="779" t="str">
        <f>IF(Inventory!AS256="","",Inventory!AS256)</f>
        <v/>
      </c>
      <c r="AB253" s="866"/>
    </row>
    <row r="254" spans="2:28" s="618" customFormat="1" ht="21.95" customHeight="1" x14ac:dyDescent="0.25">
      <c r="B254" s="432">
        <v>248</v>
      </c>
      <c r="C254" s="499" t="str">
        <f>IF(Inventory!C257="","",Inventory!C257)</f>
        <v/>
      </c>
      <c r="D254" s="751" t="str">
        <f>IF(Inventory!D257="","",Inventory!D257)</f>
        <v/>
      </c>
      <c r="E254" s="556" t="str">
        <f>IF(Inventory!W257="","",Inventory!W257)</f>
        <v/>
      </c>
      <c r="F254" s="785" t="str">
        <f>IF(Inventory!X257="","",Inventory!X257)</f>
        <v/>
      </c>
      <c r="G254" s="785" t="str">
        <f>IF(Inventory!Y257="","",Inventory!Y257)</f>
        <v/>
      </c>
      <c r="H254" s="767" t="str">
        <f>IF(Inventory!Z257="","",Inventory!Z257)</f>
        <v/>
      </c>
      <c r="I254" s="767" t="str">
        <f>IF(Inventory!AA257="","",Inventory!AA257)</f>
        <v/>
      </c>
      <c r="J254" s="767" t="str">
        <f>IF(Inventory!AB257="","",Inventory!AB257)</f>
        <v/>
      </c>
      <c r="K254" s="767" t="str">
        <f>IF(Inventory!AC257="","",Inventory!AC257)</f>
        <v/>
      </c>
      <c r="L254" s="776" t="str">
        <f>IF(Inventory!AD257="","",Inventory!AD257)</f>
        <v/>
      </c>
      <c r="M254" s="527">
        <f>IF(Inventory!AE257="","",Inventory!AE257)</f>
        <v>0</v>
      </c>
      <c r="N254" s="527">
        <f>IF(Inventory!AF257="","",Inventory!AF257)</f>
        <v>0</v>
      </c>
      <c r="O254" s="527">
        <f>IF(Inventory!AG257="","",Inventory!AG257)</f>
        <v>0</v>
      </c>
      <c r="P254" s="527">
        <f>IF(Inventory!AH257="","",Inventory!AH257)</f>
        <v>0</v>
      </c>
      <c r="Q254" s="527">
        <f>IF(Inventory!AI257="","",Inventory!AI257)</f>
        <v>0</v>
      </c>
      <c r="R254" s="527">
        <f>IF(Inventory!AJ257="","",Inventory!AJ257)</f>
        <v>999999999</v>
      </c>
      <c r="S254" s="777" t="str">
        <f>IF(Inventory!AK257="","",Inventory!AK257)</f>
        <v/>
      </c>
      <c r="T254" s="776" t="str">
        <f>IF(Inventory!AL257="","",Inventory!AL257)</f>
        <v/>
      </c>
      <c r="U254" s="777" t="str">
        <f>IF(Inventory!AM257="","",Inventory!AM257)</f>
        <v/>
      </c>
      <c r="V254" s="767" t="str">
        <f>IF(Inventory!AN257="","",Inventory!AN257)</f>
        <v/>
      </c>
      <c r="W254" s="778" t="str">
        <f>IF(Inventory!AO257="","",Inventory!AO257)</f>
        <v/>
      </c>
      <c r="X254" s="778" t="str">
        <f>IF(Inventory!AP257="","",Inventory!AP257)</f>
        <v/>
      </c>
      <c r="Y254" s="767" t="str">
        <f>IF(Inventory!AQ257="","",Inventory!AQ257)</f>
        <v/>
      </c>
      <c r="Z254" s="778" t="str">
        <f>IF(Inventory!AR257="","",Inventory!AR257)</f>
        <v/>
      </c>
      <c r="AA254" s="751" t="str">
        <f>IF(Inventory!AS257="","",Inventory!AS257)</f>
        <v/>
      </c>
      <c r="AB254" s="871"/>
    </row>
    <row r="255" spans="2:28" s="618" customFormat="1" ht="21.95" customHeight="1" x14ac:dyDescent="0.25">
      <c r="B255" s="431">
        <v>249</v>
      </c>
      <c r="C255" s="501" t="str">
        <f>IF(Inventory!C258="","",Inventory!C258)</f>
        <v/>
      </c>
      <c r="D255" s="502" t="str">
        <f>IF(Inventory!D258="","",Inventory!D258)</f>
        <v/>
      </c>
      <c r="E255" s="557" t="str">
        <f>IF(Inventory!W258="","",Inventory!W258)</f>
        <v/>
      </c>
      <c r="F255" s="788" t="str">
        <f>IF(Inventory!X258="","",Inventory!X258)</f>
        <v/>
      </c>
      <c r="G255" s="788" t="str">
        <f>IF(Inventory!Y258="","",Inventory!Y258)</f>
        <v/>
      </c>
      <c r="H255" s="729" t="str">
        <f>IF(Inventory!Z258="","",Inventory!Z258)</f>
        <v/>
      </c>
      <c r="I255" s="729" t="str">
        <f>IF(Inventory!AA258="","",Inventory!AA258)</f>
        <v/>
      </c>
      <c r="J255" s="729" t="str">
        <f>IF(Inventory!AB258="","",Inventory!AB258)</f>
        <v/>
      </c>
      <c r="K255" s="729" t="str">
        <f>IF(Inventory!AC258="","",Inventory!AC258)</f>
        <v/>
      </c>
      <c r="L255" s="765" t="str">
        <f>IF(Inventory!AD258="","",Inventory!AD258)</f>
        <v/>
      </c>
      <c r="M255" s="527">
        <f>IF(Inventory!AE258="","",Inventory!AE258)</f>
        <v>0</v>
      </c>
      <c r="N255" s="527">
        <f>IF(Inventory!AF258="","",Inventory!AF258)</f>
        <v>0</v>
      </c>
      <c r="O255" s="527">
        <f>IF(Inventory!AG258="","",Inventory!AG258)</f>
        <v>0</v>
      </c>
      <c r="P255" s="527">
        <f>IF(Inventory!AH258="","",Inventory!AH258)</f>
        <v>0</v>
      </c>
      <c r="Q255" s="527">
        <f>IF(Inventory!AI258="","",Inventory!AI258)</f>
        <v>0</v>
      </c>
      <c r="R255" s="527">
        <f>IF(Inventory!AJ258="","",Inventory!AJ258)</f>
        <v>999999999</v>
      </c>
      <c r="S255" s="758" t="str">
        <f>IF(Inventory!AK258="","",Inventory!AK258)</f>
        <v/>
      </c>
      <c r="T255" s="765" t="str">
        <f>IF(Inventory!AL258="","",Inventory!AL258)</f>
        <v/>
      </c>
      <c r="U255" s="758" t="str">
        <f>IF(Inventory!AM258="","",Inventory!AM258)</f>
        <v/>
      </c>
      <c r="V255" s="729" t="str">
        <f>IF(Inventory!AN258="","",Inventory!AN258)</f>
        <v/>
      </c>
      <c r="W255" s="775" t="str">
        <f>IF(Inventory!AO258="","",Inventory!AO258)</f>
        <v/>
      </c>
      <c r="X255" s="775" t="str">
        <f>IF(Inventory!AP258="","",Inventory!AP258)</f>
        <v/>
      </c>
      <c r="Y255" s="729" t="str">
        <f>IF(Inventory!AQ258="","",Inventory!AQ258)</f>
        <v/>
      </c>
      <c r="Z255" s="775" t="str">
        <f>IF(Inventory!AR258="","",Inventory!AR258)</f>
        <v/>
      </c>
      <c r="AA255" s="779" t="str">
        <f>IF(Inventory!AS258="","",Inventory!AS258)</f>
        <v/>
      </c>
      <c r="AB255" s="866"/>
    </row>
    <row r="256" spans="2:28" s="618" customFormat="1" ht="21.95" customHeight="1" thickBot="1" x14ac:dyDescent="0.3">
      <c r="B256" s="432">
        <v>250</v>
      </c>
      <c r="C256" s="503" t="str">
        <f>IF(Inventory!C259="","",Inventory!C259)</f>
        <v/>
      </c>
      <c r="D256" s="768" t="str">
        <f>IF(Inventory!D259="","",Inventory!D259)</f>
        <v/>
      </c>
      <c r="E256" s="558" t="str">
        <f>IF(Inventory!W259="","",Inventory!W259)</f>
        <v/>
      </c>
      <c r="F256" s="786" t="str">
        <f>IF(Inventory!X259="","",Inventory!X259)</f>
        <v/>
      </c>
      <c r="G256" s="786" t="str">
        <f>IF(Inventory!Y259="","",Inventory!Y259)</f>
        <v/>
      </c>
      <c r="H256" s="769" t="str">
        <f>IF(Inventory!Z259="","",Inventory!Z259)</f>
        <v/>
      </c>
      <c r="I256" s="769" t="str">
        <f>IF(Inventory!AA259="","",Inventory!AA259)</f>
        <v/>
      </c>
      <c r="J256" s="769" t="str">
        <f>IF(Inventory!AB259="","",Inventory!AB259)</f>
        <v/>
      </c>
      <c r="K256" s="769" t="str">
        <f>IF(Inventory!AC259="","",Inventory!AC259)</f>
        <v/>
      </c>
      <c r="L256" s="780" t="str">
        <f>IF(Inventory!AD259="","",Inventory!AD259)</f>
        <v/>
      </c>
      <c r="M256" s="534">
        <f>IF(Inventory!AE259="","",Inventory!AE259)</f>
        <v>0</v>
      </c>
      <c r="N256" s="534">
        <f>IF(Inventory!AF259="","",Inventory!AF259)</f>
        <v>0</v>
      </c>
      <c r="O256" s="534">
        <f>IF(Inventory!AG259="","",Inventory!AG259)</f>
        <v>0</v>
      </c>
      <c r="P256" s="534">
        <f>IF(Inventory!AH259="","",Inventory!AH259)</f>
        <v>0</v>
      </c>
      <c r="Q256" s="534">
        <f>IF(Inventory!AI259="","",Inventory!AI259)</f>
        <v>0</v>
      </c>
      <c r="R256" s="534">
        <f>IF(Inventory!AJ259="","",Inventory!AJ259)</f>
        <v>999999999</v>
      </c>
      <c r="S256" s="781" t="str">
        <f>IF(Inventory!AK259="","",Inventory!AK259)</f>
        <v/>
      </c>
      <c r="T256" s="780" t="str">
        <f>IF(Inventory!AL259="","",Inventory!AL259)</f>
        <v/>
      </c>
      <c r="U256" s="781" t="str">
        <f>IF(Inventory!AM259="","",Inventory!AM259)</f>
        <v/>
      </c>
      <c r="V256" s="769" t="str">
        <f>IF(Inventory!AN259="","",Inventory!AN259)</f>
        <v/>
      </c>
      <c r="W256" s="782" t="str">
        <f>IF(Inventory!AO259="","",Inventory!AO259)</f>
        <v/>
      </c>
      <c r="X256" s="782" t="str">
        <f>IF(Inventory!AP259="","",Inventory!AP259)</f>
        <v/>
      </c>
      <c r="Y256" s="769" t="str">
        <f>IF(Inventory!AQ259="","",Inventory!AQ259)</f>
        <v/>
      </c>
      <c r="Z256" s="782" t="str">
        <f>IF(Inventory!AR259="","",Inventory!AR259)</f>
        <v/>
      </c>
      <c r="AA256" s="768" t="str">
        <f>IF(Inventory!AS259="","",Inventory!AS259)</f>
        <v/>
      </c>
      <c r="AB256" s="872"/>
    </row>
    <row r="257" spans="2:28" s="617" customFormat="1" ht="15.75" customHeight="1" thickBot="1" x14ac:dyDescent="0.3">
      <c r="B257" s="564"/>
      <c r="C257" s="867"/>
      <c r="D257" s="867"/>
      <c r="E257" s="867"/>
      <c r="F257" s="867"/>
      <c r="G257" s="867"/>
      <c r="H257" s="867"/>
      <c r="I257" s="867"/>
      <c r="J257" s="867"/>
      <c r="K257" s="867"/>
      <c r="L257" s="867"/>
      <c r="M257" s="867"/>
      <c r="N257" s="867"/>
      <c r="O257" s="867"/>
      <c r="P257" s="867"/>
      <c r="Q257" s="867"/>
      <c r="R257" s="867"/>
      <c r="S257" s="867"/>
      <c r="T257" s="867"/>
      <c r="U257" s="867"/>
      <c r="V257" s="867"/>
      <c r="W257" s="867"/>
      <c r="X257" s="867"/>
      <c r="Y257" s="867"/>
      <c r="Z257" s="867"/>
      <c r="AA257" s="867"/>
      <c r="AB257" s="868"/>
    </row>
  </sheetData>
  <sheetProtection password="D24D" sheet="1" objects="1" scenarios="1"/>
  <mergeCells count="25">
    <mergeCell ref="S5:S6"/>
    <mergeCell ref="T5:T6"/>
    <mergeCell ref="AB4:AB6"/>
    <mergeCell ref="V5:V6"/>
    <mergeCell ref="W5:W6"/>
    <mergeCell ref="X5:X6"/>
    <mergeCell ref="Y5:Y6"/>
    <mergeCell ref="Z5:Z6"/>
    <mergeCell ref="AA5:AA6"/>
    <mergeCell ref="E5:E6"/>
    <mergeCell ref="F5:F6"/>
    <mergeCell ref="G5:G6"/>
    <mergeCell ref="B4:B6"/>
    <mergeCell ref="C4:C6"/>
    <mergeCell ref="D4:D6"/>
    <mergeCell ref="E4:AA4"/>
    <mergeCell ref="U5:U6"/>
    <mergeCell ref="H5:H6"/>
    <mergeCell ref="L5:L6"/>
    <mergeCell ref="M5:M6"/>
    <mergeCell ref="N5:N6"/>
    <mergeCell ref="O5:O6"/>
    <mergeCell ref="P5:P6"/>
    <mergeCell ref="Q5:Q6"/>
    <mergeCell ref="R5:R6"/>
  </mergeCells>
  <dataValidations count="1">
    <dataValidation type="list" allowBlank="1" showInputMessage="1" showErrorMessage="1" sqref="AB7:AB256">
      <formula1>"Y,N"</formula1>
    </dataValidation>
  </dataValidations>
  <pageMargins left="0.7" right="0.7" top="0.75" bottom="0.75" header="0.3" footer="0.3"/>
  <pageSetup scale="47" fitToHeight="100" orientation="landscape" r:id="rId1"/>
  <colBreaks count="1" manualBreakCount="1">
    <brk id="4" max="1048575" man="1"/>
  </colBreaks>
  <ignoredErrors>
    <ignoredError sqref="C7:D256 E7:G256 H7:AA256"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Q192"/>
  <sheetViews>
    <sheetView zoomScale="80" zoomScaleNormal="80" workbookViewId="0"/>
  </sheetViews>
  <sheetFormatPr defaultRowHeight="12.75" x14ac:dyDescent="0.25"/>
  <cols>
    <col min="1" max="1" width="2.7109375" style="26" customWidth="1"/>
    <col min="2" max="2" width="24.7109375" style="26" customWidth="1"/>
    <col min="3" max="8" width="14.7109375" style="344" customWidth="1"/>
    <col min="9" max="9" width="24.7109375" style="26" customWidth="1"/>
    <col min="10" max="12" width="14.7109375" style="344" customWidth="1"/>
    <col min="13" max="13" width="14.7109375" style="739" customWidth="1"/>
    <col min="14" max="15" width="14.7109375" style="344" customWidth="1"/>
    <col min="16" max="16" width="14.7109375" style="739" customWidth="1"/>
    <col min="17" max="17" width="14.7109375" style="344" customWidth="1"/>
    <col min="18" max="16384" width="9.140625" style="26"/>
  </cols>
  <sheetData>
    <row r="1" spans="2:17" ht="9.9499999999999993" customHeight="1" x14ac:dyDescent="0.25"/>
    <row r="2" spans="2:17" ht="25.5" customHeight="1" x14ac:dyDescent="0.25">
      <c r="B2" s="27" t="s">
        <v>182</v>
      </c>
      <c r="C2" s="345"/>
      <c r="D2" s="345"/>
      <c r="E2" s="345"/>
      <c r="F2" s="345"/>
      <c r="G2" s="345"/>
      <c r="H2" s="345"/>
      <c r="I2" s="27"/>
      <c r="J2" s="345"/>
      <c r="K2" s="345"/>
      <c r="L2" s="345"/>
      <c r="M2" s="740"/>
      <c r="N2" s="345"/>
      <c r="O2" s="345"/>
      <c r="P2" s="740"/>
      <c r="Q2" s="174" t="s">
        <v>186</v>
      </c>
    </row>
    <row r="3" spans="2:17" ht="25.5" customHeight="1" x14ac:dyDescent="0.25">
      <c r="B3" s="1053" t="s">
        <v>23</v>
      </c>
      <c r="C3" s="1048" t="s">
        <v>603</v>
      </c>
      <c r="D3" s="1049"/>
      <c r="E3" s="1049"/>
      <c r="F3" s="1049"/>
      <c r="G3" s="1049"/>
      <c r="H3" s="1050"/>
      <c r="I3" s="1051" t="s">
        <v>23</v>
      </c>
      <c r="J3" s="1048" t="s">
        <v>604</v>
      </c>
      <c r="K3" s="1049"/>
      <c r="L3" s="1049"/>
      <c r="M3" s="1049"/>
      <c r="N3" s="1049"/>
      <c r="O3" s="1049"/>
      <c r="P3" s="1049"/>
      <c r="Q3" s="1049"/>
    </row>
    <row r="4" spans="2:17" ht="25.5" x14ac:dyDescent="0.25">
      <c r="B4" s="1054"/>
      <c r="C4" s="336" t="s">
        <v>30</v>
      </c>
      <c r="D4" s="336" t="s">
        <v>31</v>
      </c>
      <c r="E4" s="737" t="s">
        <v>605</v>
      </c>
      <c r="F4" s="737" t="s">
        <v>608</v>
      </c>
      <c r="G4" s="336" t="s">
        <v>47</v>
      </c>
      <c r="H4" s="336" t="s">
        <v>48</v>
      </c>
      <c r="I4" s="1052"/>
      <c r="J4" s="336" t="s">
        <v>30</v>
      </c>
      <c r="K4" s="336" t="s">
        <v>31</v>
      </c>
      <c r="L4" s="336" t="s">
        <v>605</v>
      </c>
      <c r="M4" s="737" t="s">
        <v>606</v>
      </c>
      <c r="N4" s="336" t="s">
        <v>607</v>
      </c>
      <c r="O4" s="336" t="s">
        <v>47</v>
      </c>
      <c r="P4" s="738" t="s">
        <v>598</v>
      </c>
      <c r="Q4" s="337" t="s">
        <v>599</v>
      </c>
    </row>
    <row r="5" spans="2:17" x14ac:dyDescent="0.25">
      <c r="B5" s="28" t="s">
        <v>313</v>
      </c>
      <c r="C5" s="357">
        <v>0</v>
      </c>
      <c r="D5" s="357">
        <v>0</v>
      </c>
      <c r="E5" s="357">
        <v>0.8</v>
      </c>
      <c r="F5" s="357">
        <v>0.8</v>
      </c>
      <c r="G5" s="357">
        <v>0</v>
      </c>
      <c r="H5" s="357">
        <v>0</v>
      </c>
      <c r="I5" s="28" t="s">
        <v>313</v>
      </c>
      <c r="J5" s="359">
        <v>0</v>
      </c>
      <c r="K5" s="359">
        <v>0</v>
      </c>
      <c r="L5" s="359">
        <v>727</v>
      </c>
      <c r="M5" s="742">
        <v>727</v>
      </c>
      <c r="N5" s="359">
        <v>389</v>
      </c>
      <c r="O5" s="359">
        <v>0</v>
      </c>
      <c r="P5" s="742">
        <v>0</v>
      </c>
      <c r="Q5" s="359">
        <v>0</v>
      </c>
    </row>
    <row r="6" spans="2:17" x14ac:dyDescent="0.25">
      <c r="B6" s="26" t="s">
        <v>314</v>
      </c>
      <c r="C6" s="358">
        <v>0.77</v>
      </c>
      <c r="D6" s="358">
        <v>0.72</v>
      </c>
      <c r="E6" s="358">
        <v>0.87</v>
      </c>
      <c r="F6" s="358">
        <v>0.87</v>
      </c>
      <c r="G6" s="358">
        <v>0.51</v>
      </c>
      <c r="H6" s="358">
        <v>0.51</v>
      </c>
      <c r="I6" s="26" t="s">
        <v>314</v>
      </c>
      <c r="J6" s="360">
        <v>1965</v>
      </c>
      <c r="K6" s="360">
        <v>2396</v>
      </c>
      <c r="L6" s="360">
        <v>1906</v>
      </c>
      <c r="M6" s="743">
        <v>1906</v>
      </c>
      <c r="N6" s="360">
        <v>1127</v>
      </c>
      <c r="O6" s="360">
        <v>1359</v>
      </c>
      <c r="P6" s="743">
        <v>1359</v>
      </c>
      <c r="Q6" s="360">
        <v>361</v>
      </c>
    </row>
    <row r="7" spans="2:17" x14ac:dyDescent="0.25">
      <c r="B7" s="28" t="s">
        <v>315</v>
      </c>
      <c r="C7" s="357">
        <v>0</v>
      </c>
      <c r="D7" s="357">
        <v>0</v>
      </c>
      <c r="E7" s="357">
        <v>0.66</v>
      </c>
      <c r="F7" s="357">
        <v>0.66</v>
      </c>
      <c r="G7" s="357">
        <v>0.51</v>
      </c>
      <c r="H7" s="357">
        <v>0.51</v>
      </c>
      <c r="I7" s="28" t="s">
        <v>315</v>
      </c>
      <c r="J7" s="359">
        <v>0</v>
      </c>
      <c r="K7" s="359">
        <v>0</v>
      </c>
      <c r="L7" s="359">
        <v>1309</v>
      </c>
      <c r="M7" s="742">
        <v>1309</v>
      </c>
      <c r="N7" s="359">
        <v>1056</v>
      </c>
      <c r="O7" s="359">
        <v>1359</v>
      </c>
      <c r="P7" s="742">
        <v>1359</v>
      </c>
      <c r="Q7" s="359">
        <v>361</v>
      </c>
    </row>
    <row r="8" spans="2:17" x14ac:dyDescent="0.25">
      <c r="B8" s="26" t="s">
        <v>337</v>
      </c>
      <c r="C8" s="358">
        <v>0</v>
      </c>
      <c r="D8" s="358">
        <v>0</v>
      </c>
      <c r="E8" s="358">
        <v>0.82</v>
      </c>
      <c r="F8" s="358">
        <v>0.82</v>
      </c>
      <c r="G8" s="358">
        <v>0</v>
      </c>
      <c r="H8" s="358">
        <v>0</v>
      </c>
      <c r="I8" s="26" t="s">
        <v>337</v>
      </c>
      <c r="J8" s="360">
        <v>0</v>
      </c>
      <c r="K8" s="360">
        <v>0</v>
      </c>
      <c r="L8" s="360">
        <v>2189</v>
      </c>
      <c r="M8" s="743">
        <v>2189</v>
      </c>
      <c r="N8" s="360">
        <v>1554</v>
      </c>
      <c r="O8" s="360">
        <v>0</v>
      </c>
      <c r="P8" s="743">
        <v>0</v>
      </c>
      <c r="Q8" s="360">
        <v>0</v>
      </c>
    </row>
    <row r="9" spans="2:17" x14ac:dyDescent="0.25">
      <c r="B9" s="28" t="s">
        <v>338</v>
      </c>
      <c r="C9" s="357">
        <v>0.86</v>
      </c>
      <c r="D9" s="357">
        <v>0.74</v>
      </c>
      <c r="E9" s="357">
        <v>0.89</v>
      </c>
      <c r="F9" s="357">
        <v>0.89</v>
      </c>
      <c r="G9" s="357">
        <v>0</v>
      </c>
      <c r="H9" s="357">
        <v>0</v>
      </c>
      <c r="I9" s="28" t="s">
        <v>338</v>
      </c>
      <c r="J9" s="359">
        <v>2873</v>
      </c>
      <c r="K9" s="359">
        <v>3545</v>
      </c>
      <c r="L9" s="359">
        <v>3107</v>
      </c>
      <c r="M9" s="742">
        <v>3107</v>
      </c>
      <c r="N9" s="359">
        <v>1531</v>
      </c>
      <c r="O9" s="359">
        <v>0</v>
      </c>
      <c r="P9" s="742">
        <v>0</v>
      </c>
      <c r="Q9" s="359">
        <v>0</v>
      </c>
    </row>
    <row r="10" spans="2:17" x14ac:dyDescent="0.25">
      <c r="B10" s="26" t="s">
        <v>336</v>
      </c>
      <c r="C10" s="358">
        <v>0.87</v>
      </c>
      <c r="D10" s="358">
        <v>0.65</v>
      </c>
      <c r="E10" s="358">
        <v>0.92</v>
      </c>
      <c r="F10" s="358">
        <v>0</v>
      </c>
      <c r="G10" s="358">
        <v>0</v>
      </c>
      <c r="H10" s="358">
        <v>0</v>
      </c>
      <c r="I10" s="26" t="s">
        <v>336</v>
      </c>
      <c r="J10" s="360">
        <v>1230</v>
      </c>
      <c r="K10" s="360">
        <v>1260</v>
      </c>
      <c r="L10" s="360">
        <v>1873</v>
      </c>
      <c r="M10" s="743">
        <v>0</v>
      </c>
      <c r="N10" s="360">
        <v>0</v>
      </c>
      <c r="O10" s="360">
        <v>0</v>
      </c>
      <c r="P10" s="743">
        <v>0</v>
      </c>
      <c r="Q10" s="360">
        <v>0</v>
      </c>
    </row>
    <row r="11" spans="2:17" x14ac:dyDescent="0.25">
      <c r="B11" s="28" t="s">
        <v>28</v>
      </c>
      <c r="C11" s="357">
        <v>0.92</v>
      </c>
      <c r="D11" s="357">
        <v>0.82</v>
      </c>
      <c r="E11" s="357">
        <v>0.86</v>
      </c>
      <c r="F11" s="357">
        <v>0.86</v>
      </c>
      <c r="G11" s="357">
        <v>0</v>
      </c>
      <c r="H11" s="357">
        <v>0</v>
      </c>
      <c r="I11" s="28" t="s">
        <v>28</v>
      </c>
      <c r="J11" s="359">
        <v>1710</v>
      </c>
      <c r="K11" s="359">
        <v>2104</v>
      </c>
      <c r="L11" s="359">
        <v>1213</v>
      </c>
      <c r="M11" s="742">
        <v>1213</v>
      </c>
      <c r="N11" s="359">
        <v>582</v>
      </c>
      <c r="O11" s="359">
        <v>0</v>
      </c>
      <c r="P11" s="742">
        <v>0</v>
      </c>
      <c r="Q11" s="359">
        <v>0</v>
      </c>
    </row>
    <row r="12" spans="2:17" x14ac:dyDescent="0.25">
      <c r="B12" s="26" t="s">
        <v>335</v>
      </c>
      <c r="C12" s="358">
        <v>0</v>
      </c>
      <c r="D12" s="358">
        <v>0</v>
      </c>
      <c r="E12" s="358">
        <v>0.73</v>
      </c>
      <c r="F12" s="358">
        <v>0.73</v>
      </c>
      <c r="G12" s="358">
        <v>0</v>
      </c>
      <c r="H12" s="358">
        <v>0</v>
      </c>
      <c r="I12" s="26" t="s">
        <v>335</v>
      </c>
      <c r="J12" s="360">
        <v>0</v>
      </c>
      <c r="K12" s="360">
        <v>0</v>
      </c>
      <c r="L12" s="360">
        <v>893</v>
      </c>
      <c r="M12" s="743">
        <v>893</v>
      </c>
      <c r="N12" s="360">
        <v>547</v>
      </c>
      <c r="O12" s="360">
        <v>0</v>
      </c>
      <c r="P12" s="743">
        <v>0</v>
      </c>
      <c r="Q12" s="360">
        <v>0</v>
      </c>
    </row>
    <row r="13" spans="2:17" x14ac:dyDescent="0.25">
      <c r="B13" s="28" t="s">
        <v>29</v>
      </c>
      <c r="C13" s="357">
        <v>0</v>
      </c>
      <c r="D13" s="357">
        <v>0</v>
      </c>
      <c r="E13" s="357">
        <v>0.73</v>
      </c>
      <c r="F13" s="357">
        <v>0.73</v>
      </c>
      <c r="G13" s="357">
        <v>0</v>
      </c>
      <c r="H13" s="357">
        <v>0</v>
      </c>
      <c r="I13" s="28" t="s">
        <v>29</v>
      </c>
      <c r="J13" s="359">
        <v>0</v>
      </c>
      <c r="K13" s="359">
        <v>0</v>
      </c>
      <c r="L13" s="359">
        <v>769</v>
      </c>
      <c r="M13" s="742">
        <v>769</v>
      </c>
      <c r="N13" s="359">
        <v>402</v>
      </c>
      <c r="O13" s="359">
        <v>0</v>
      </c>
      <c r="P13" s="742">
        <v>0</v>
      </c>
      <c r="Q13" s="359">
        <v>0</v>
      </c>
    </row>
    <row r="14" spans="2:17" x14ac:dyDescent="0.25">
      <c r="B14" s="26" t="s">
        <v>24</v>
      </c>
      <c r="C14" s="358">
        <v>0.87</v>
      </c>
      <c r="D14" s="358">
        <v>0.65</v>
      </c>
      <c r="E14" s="358">
        <v>0.92</v>
      </c>
      <c r="F14" s="358">
        <v>0</v>
      </c>
      <c r="G14" s="358">
        <v>0</v>
      </c>
      <c r="H14" s="358">
        <v>0</v>
      </c>
      <c r="I14" s="26" t="s">
        <v>24</v>
      </c>
      <c r="J14" s="360">
        <v>1404</v>
      </c>
      <c r="K14" s="360">
        <v>1444</v>
      </c>
      <c r="L14" s="360">
        <v>1797</v>
      </c>
      <c r="M14" s="743">
        <v>0</v>
      </c>
      <c r="N14" s="360">
        <v>0</v>
      </c>
      <c r="O14" s="360">
        <v>0</v>
      </c>
      <c r="P14" s="743">
        <v>0</v>
      </c>
      <c r="Q14" s="360">
        <v>0</v>
      </c>
    </row>
    <row r="15" spans="2:17" x14ac:dyDescent="0.25">
      <c r="B15" s="28" t="s">
        <v>339</v>
      </c>
      <c r="C15" s="357">
        <v>0.82</v>
      </c>
      <c r="D15" s="357">
        <v>0.67</v>
      </c>
      <c r="E15" s="357">
        <v>0.9</v>
      </c>
      <c r="F15" s="357">
        <v>0</v>
      </c>
      <c r="G15" s="357">
        <v>0</v>
      </c>
      <c r="H15" s="357">
        <v>0</v>
      </c>
      <c r="I15" s="28" t="s">
        <v>339</v>
      </c>
      <c r="J15" s="359">
        <v>848</v>
      </c>
      <c r="K15" s="359">
        <v>856</v>
      </c>
      <c r="L15" s="359">
        <v>1585</v>
      </c>
      <c r="M15" s="742">
        <v>0</v>
      </c>
      <c r="N15" s="359">
        <v>0</v>
      </c>
      <c r="O15" s="359">
        <v>0</v>
      </c>
      <c r="P15" s="742">
        <v>0</v>
      </c>
      <c r="Q15" s="359">
        <v>0</v>
      </c>
    </row>
    <row r="16" spans="2:17" x14ac:dyDescent="0.25">
      <c r="B16" s="26" t="s">
        <v>316</v>
      </c>
      <c r="C16" s="358">
        <v>0</v>
      </c>
      <c r="D16" s="358">
        <v>0</v>
      </c>
      <c r="E16" s="358">
        <v>1</v>
      </c>
      <c r="F16" s="358">
        <v>1</v>
      </c>
      <c r="G16" s="358">
        <v>0</v>
      </c>
      <c r="H16" s="358">
        <v>0</v>
      </c>
      <c r="I16" s="26" t="s">
        <v>316</v>
      </c>
      <c r="J16" s="360">
        <v>0</v>
      </c>
      <c r="K16" s="360">
        <v>0</v>
      </c>
      <c r="L16" s="360">
        <v>1337</v>
      </c>
      <c r="M16" s="743">
        <v>1337</v>
      </c>
      <c r="N16" s="360">
        <v>980</v>
      </c>
      <c r="O16" s="360">
        <v>0</v>
      </c>
      <c r="P16" s="743">
        <v>0</v>
      </c>
      <c r="Q16" s="360">
        <v>0</v>
      </c>
    </row>
    <row r="17" spans="2:17" x14ac:dyDescent="0.25">
      <c r="B17" s="28" t="s">
        <v>317</v>
      </c>
      <c r="C17" s="357">
        <v>0</v>
      </c>
      <c r="D17" s="357">
        <v>0</v>
      </c>
      <c r="E17" s="357">
        <v>0.95</v>
      </c>
      <c r="F17" s="357">
        <v>0.95</v>
      </c>
      <c r="G17" s="357">
        <v>0</v>
      </c>
      <c r="H17" s="357">
        <v>0</v>
      </c>
      <c r="I17" s="28" t="s">
        <v>317</v>
      </c>
      <c r="J17" s="359">
        <v>0</v>
      </c>
      <c r="K17" s="359">
        <v>0</v>
      </c>
      <c r="L17" s="359">
        <v>1078</v>
      </c>
      <c r="M17" s="742">
        <v>1078</v>
      </c>
      <c r="N17" s="359">
        <v>1046</v>
      </c>
      <c r="O17" s="359">
        <v>0</v>
      </c>
      <c r="P17" s="742">
        <v>0</v>
      </c>
      <c r="Q17" s="359">
        <v>0</v>
      </c>
    </row>
    <row r="18" spans="2:17" x14ac:dyDescent="0.25">
      <c r="B18" s="26" t="s">
        <v>340</v>
      </c>
      <c r="C18" s="358">
        <v>0</v>
      </c>
      <c r="D18" s="358">
        <v>0</v>
      </c>
      <c r="E18" s="358">
        <v>0.92</v>
      </c>
      <c r="F18" s="358">
        <v>0</v>
      </c>
      <c r="G18" s="358">
        <v>0</v>
      </c>
      <c r="H18" s="358">
        <v>0</v>
      </c>
      <c r="I18" s="26" t="s">
        <v>340</v>
      </c>
      <c r="J18" s="360">
        <v>0</v>
      </c>
      <c r="K18" s="360">
        <v>0</v>
      </c>
      <c r="L18" s="360">
        <v>3452</v>
      </c>
      <c r="M18" s="743">
        <v>0</v>
      </c>
      <c r="N18" s="360">
        <v>0</v>
      </c>
      <c r="O18" s="360">
        <v>0</v>
      </c>
      <c r="P18" s="743">
        <v>0</v>
      </c>
      <c r="Q18" s="360">
        <v>0</v>
      </c>
    </row>
    <row r="19" spans="2:17" x14ac:dyDescent="0.25">
      <c r="B19" s="28" t="s">
        <v>318</v>
      </c>
      <c r="C19" s="357">
        <v>0</v>
      </c>
      <c r="D19" s="357">
        <v>0</v>
      </c>
      <c r="E19" s="357">
        <v>0.78</v>
      </c>
      <c r="F19" s="357">
        <v>0.78</v>
      </c>
      <c r="G19" s="357">
        <v>0</v>
      </c>
      <c r="H19" s="357">
        <v>0</v>
      </c>
      <c r="I19" s="28" t="s">
        <v>318</v>
      </c>
      <c r="J19" s="359">
        <v>0</v>
      </c>
      <c r="K19" s="359">
        <v>0</v>
      </c>
      <c r="L19" s="359">
        <v>832</v>
      </c>
      <c r="M19" s="742">
        <v>832</v>
      </c>
      <c r="N19" s="359">
        <v>747</v>
      </c>
      <c r="O19" s="359">
        <v>0</v>
      </c>
      <c r="P19" s="742">
        <v>0</v>
      </c>
      <c r="Q19" s="359">
        <v>0</v>
      </c>
    </row>
    <row r="20" spans="2:17" x14ac:dyDescent="0.25">
      <c r="B20" s="26" t="s">
        <v>319</v>
      </c>
      <c r="C20" s="358">
        <v>0</v>
      </c>
      <c r="D20" s="358">
        <v>0</v>
      </c>
      <c r="E20" s="358">
        <v>0.89</v>
      </c>
      <c r="F20" s="358">
        <v>0.89</v>
      </c>
      <c r="G20" s="358">
        <v>0</v>
      </c>
      <c r="H20" s="358">
        <v>0</v>
      </c>
      <c r="I20" s="26" t="s">
        <v>319</v>
      </c>
      <c r="J20" s="360">
        <v>0</v>
      </c>
      <c r="K20" s="360">
        <v>0</v>
      </c>
      <c r="L20" s="360">
        <v>924</v>
      </c>
      <c r="M20" s="743">
        <v>924</v>
      </c>
      <c r="N20" s="360">
        <v>786</v>
      </c>
      <c r="O20" s="360">
        <v>0</v>
      </c>
      <c r="P20" s="743">
        <v>0</v>
      </c>
      <c r="Q20" s="360">
        <v>0</v>
      </c>
    </row>
    <row r="21" spans="2:17" x14ac:dyDescent="0.25">
      <c r="B21" s="28" t="s">
        <v>320</v>
      </c>
      <c r="C21" s="357">
        <v>0</v>
      </c>
      <c r="D21" s="357">
        <v>0.67</v>
      </c>
      <c r="E21" s="357">
        <v>0.61</v>
      </c>
      <c r="F21" s="357">
        <v>0.61</v>
      </c>
      <c r="G21" s="357">
        <v>0</v>
      </c>
      <c r="H21" s="357">
        <v>0</v>
      </c>
      <c r="I21" s="28" t="s">
        <v>320</v>
      </c>
      <c r="J21" s="359">
        <v>0</v>
      </c>
      <c r="K21" s="359">
        <v>1892</v>
      </c>
      <c r="L21" s="359">
        <v>800</v>
      </c>
      <c r="M21" s="742">
        <v>800</v>
      </c>
      <c r="N21" s="359">
        <v>786</v>
      </c>
      <c r="O21" s="359">
        <v>0</v>
      </c>
      <c r="P21" s="742">
        <v>0</v>
      </c>
      <c r="Q21" s="359">
        <v>0</v>
      </c>
    </row>
    <row r="22" spans="2:17" x14ac:dyDescent="0.25">
      <c r="B22" s="26" t="s">
        <v>321</v>
      </c>
      <c r="C22" s="358">
        <v>0</v>
      </c>
      <c r="D22" s="358">
        <v>0</v>
      </c>
      <c r="E22" s="358">
        <v>0.95</v>
      </c>
      <c r="F22" s="358">
        <v>0.95</v>
      </c>
      <c r="G22" s="358">
        <v>0</v>
      </c>
      <c r="H22" s="358">
        <v>0</v>
      </c>
      <c r="I22" s="26" t="s">
        <v>321</v>
      </c>
      <c r="J22" s="360">
        <v>0</v>
      </c>
      <c r="K22" s="360">
        <v>0</v>
      </c>
      <c r="L22" s="360">
        <v>853</v>
      </c>
      <c r="M22" s="743">
        <v>853</v>
      </c>
      <c r="N22" s="360">
        <v>773</v>
      </c>
      <c r="O22" s="360">
        <v>0</v>
      </c>
      <c r="P22" s="743">
        <v>0</v>
      </c>
      <c r="Q22" s="360">
        <v>0</v>
      </c>
    </row>
    <row r="23" spans="2:17" x14ac:dyDescent="0.25">
      <c r="B23" s="28" t="s">
        <v>322</v>
      </c>
      <c r="C23" s="357">
        <v>0.82</v>
      </c>
      <c r="D23" s="357">
        <v>0.75</v>
      </c>
      <c r="E23" s="357">
        <v>0.94</v>
      </c>
      <c r="F23" s="357">
        <v>0.94</v>
      </c>
      <c r="G23" s="357">
        <v>0</v>
      </c>
      <c r="H23" s="357">
        <v>0</v>
      </c>
      <c r="I23" s="28" t="s">
        <v>322</v>
      </c>
      <c r="J23" s="359">
        <v>1028</v>
      </c>
      <c r="K23" s="359">
        <v>1244</v>
      </c>
      <c r="L23" s="359">
        <v>798</v>
      </c>
      <c r="M23" s="742">
        <v>798</v>
      </c>
      <c r="N23" s="359">
        <v>697</v>
      </c>
      <c r="O23" s="359">
        <v>0</v>
      </c>
      <c r="P23" s="742">
        <v>0</v>
      </c>
      <c r="Q23" s="359">
        <v>0</v>
      </c>
    </row>
    <row r="24" spans="2:17" x14ac:dyDescent="0.25">
      <c r="B24" s="26" t="s">
        <v>341</v>
      </c>
      <c r="C24" s="358">
        <v>0.87</v>
      </c>
      <c r="D24" s="358">
        <v>0.68</v>
      </c>
      <c r="E24" s="358">
        <v>0.92</v>
      </c>
      <c r="F24" s="358">
        <v>0</v>
      </c>
      <c r="G24" s="358">
        <v>0</v>
      </c>
      <c r="H24" s="358">
        <v>0</v>
      </c>
      <c r="I24" s="26" t="s">
        <v>341</v>
      </c>
      <c r="J24" s="360">
        <v>1115</v>
      </c>
      <c r="K24" s="360">
        <v>1243</v>
      </c>
      <c r="L24" s="360">
        <v>1721</v>
      </c>
      <c r="M24" s="743">
        <v>0</v>
      </c>
      <c r="N24" s="360">
        <v>0</v>
      </c>
      <c r="O24" s="360">
        <v>0</v>
      </c>
      <c r="P24" s="743">
        <v>0</v>
      </c>
      <c r="Q24" s="360">
        <v>0</v>
      </c>
    </row>
    <row r="25" spans="2:17" x14ac:dyDescent="0.25">
      <c r="B25" s="28" t="s">
        <v>342</v>
      </c>
      <c r="C25" s="357">
        <v>0</v>
      </c>
      <c r="D25" s="357">
        <v>0</v>
      </c>
      <c r="E25" s="357">
        <v>0.92</v>
      </c>
      <c r="F25" s="357">
        <v>0</v>
      </c>
      <c r="G25" s="357">
        <v>0</v>
      </c>
      <c r="H25" s="357">
        <v>0</v>
      </c>
      <c r="I25" s="28" t="s">
        <v>342</v>
      </c>
      <c r="J25" s="359">
        <v>0</v>
      </c>
      <c r="K25" s="359">
        <v>0</v>
      </c>
      <c r="L25" s="359">
        <v>1848</v>
      </c>
      <c r="M25" s="742">
        <v>0</v>
      </c>
      <c r="N25" s="359">
        <v>0</v>
      </c>
      <c r="O25" s="359">
        <v>0</v>
      </c>
      <c r="P25" s="742">
        <v>0</v>
      </c>
      <c r="Q25" s="359">
        <v>0</v>
      </c>
    </row>
    <row r="26" spans="2:17" x14ac:dyDescent="0.25">
      <c r="B26" s="26" t="s">
        <v>27</v>
      </c>
      <c r="C26" s="358">
        <v>0</v>
      </c>
      <c r="D26" s="358">
        <v>0</v>
      </c>
      <c r="E26" s="358">
        <v>0.62</v>
      </c>
      <c r="F26" s="358">
        <v>0.62</v>
      </c>
      <c r="G26" s="358">
        <v>0</v>
      </c>
      <c r="H26" s="358">
        <v>0</v>
      </c>
      <c r="I26" s="26" t="s">
        <v>27</v>
      </c>
      <c r="J26" s="743">
        <v>0</v>
      </c>
      <c r="K26" s="743">
        <v>0</v>
      </c>
      <c r="L26" s="743">
        <v>290</v>
      </c>
      <c r="M26" s="743">
        <v>290</v>
      </c>
      <c r="N26" s="743">
        <v>1370</v>
      </c>
      <c r="O26" s="743">
        <v>0</v>
      </c>
      <c r="P26" s="743">
        <v>0</v>
      </c>
      <c r="Q26" s="743">
        <v>0</v>
      </c>
    </row>
    <row r="27" spans="2:17" x14ac:dyDescent="0.25">
      <c r="B27" s="904" t="s">
        <v>693</v>
      </c>
      <c r="C27" s="905">
        <f>SMALL(C5:C26,COUNTIF(C5:C26,0)+1)</f>
        <v>0.77</v>
      </c>
      <c r="D27" s="905">
        <f>SMALL(D5:D26,COUNTIF(D5:D26,0)+1)</f>
        <v>0.65</v>
      </c>
      <c r="E27" s="905">
        <f>SMALL(E5:E26,COUNTIF(E5:E26,0)+1)</f>
        <v>0.61</v>
      </c>
      <c r="F27" s="905">
        <f>SMALL(F5:F26,COUNTIF(F5:F26,0)+1)</f>
        <v>0.61</v>
      </c>
      <c r="G27" s="905">
        <v>0</v>
      </c>
      <c r="H27" s="905">
        <v>0</v>
      </c>
      <c r="I27" s="904" t="s">
        <v>693</v>
      </c>
      <c r="J27" s="906">
        <f t="shared" ref="J27:N27" si="0">SMALL(J5:J26,COUNTIF(J5:J26,0)+1)</f>
        <v>848</v>
      </c>
      <c r="K27" s="906">
        <f t="shared" si="0"/>
        <v>856</v>
      </c>
      <c r="L27" s="906">
        <f t="shared" si="0"/>
        <v>290</v>
      </c>
      <c r="M27" s="906">
        <f t="shared" si="0"/>
        <v>290</v>
      </c>
      <c r="N27" s="906">
        <f t="shared" si="0"/>
        <v>389</v>
      </c>
      <c r="O27" s="906">
        <v>0</v>
      </c>
      <c r="P27" s="906">
        <v>0</v>
      </c>
      <c r="Q27" s="906">
        <v>0</v>
      </c>
    </row>
    <row r="28" spans="2:17" x14ac:dyDescent="0.25">
      <c r="B28" s="26" t="str">
        <f>CONCATENATE("Custom - ",'Custom Bldg'!$C$5)</f>
        <v>Custom - Type 1</v>
      </c>
      <c r="C28" s="358">
        <f>'Custom Bldg'!$E$5</f>
        <v>0</v>
      </c>
      <c r="D28" s="358">
        <f>'Custom Bldg'!$G$5</f>
        <v>0</v>
      </c>
      <c r="E28" s="358">
        <f>'Custom Bldg'!$I$5</f>
        <v>0</v>
      </c>
      <c r="F28" s="358">
        <f>'Custom Bldg'!$I$5</f>
        <v>0</v>
      </c>
      <c r="G28" s="358">
        <f>'Custom Bldg'!$L$5</f>
        <v>0</v>
      </c>
      <c r="H28" s="358">
        <f>'Custom Bldg'!$L$5</f>
        <v>0</v>
      </c>
      <c r="I28" s="26" t="str">
        <f>CONCATENATE("Custom - ",'Custom Bldg'!$C$5)</f>
        <v>Custom - Type 1</v>
      </c>
      <c r="J28" s="743">
        <f>'Custom Bldg'!$F$5</f>
        <v>0</v>
      </c>
      <c r="K28" s="743">
        <f>'Custom Bldg'!$H$5</f>
        <v>0</v>
      </c>
      <c r="L28" s="743">
        <f>'Custom Bldg'!$J$5</f>
        <v>0</v>
      </c>
      <c r="M28" s="743">
        <f>'Custom Bldg'!$J$5</f>
        <v>0</v>
      </c>
      <c r="N28" s="743">
        <f>'Custom Bldg'!$K$5</f>
        <v>0</v>
      </c>
      <c r="O28" s="743">
        <f>'Custom Bldg'!$M$5</f>
        <v>0</v>
      </c>
      <c r="P28" s="743">
        <f>'Custom Bldg'!$M$5</f>
        <v>0</v>
      </c>
      <c r="Q28" s="743">
        <f>'Custom Bldg'!$N$5</f>
        <v>0</v>
      </c>
    </row>
    <row r="29" spans="2:17" x14ac:dyDescent="0.25">
      <c r="B29" s="28" t="str">
        <f>CONCATENATE("Custom - ",'Custom Bldg'!$C$6)</f>
        <v>Custom - Type 2</v>
      </c>
      <c r="C29" s="357">
        <f>'Custom Bldg'!$E$6</f>
        <v>0</v>
      </c>
      <c r="D29" s="357">
        <f>'Custom Bldg'!$G$6</f>
        <v>0</v>
      </c>
      <c r="E29" s="357">
        <f>'Custom Bldg'!$I$6</f>
        <v>0</v>
      </c>
      <c r="F29" s="357">
        <f>'Custom Bldg'!$I$6</f>
        <v>0</v>
      </c>
      <c r="G29" s="357">
        <f>'Custom Bldg'!$L$6</f>
        <v>0</v>
      </c>
      <c r="H29" s="357">
        <f>'Custom Bldg'!$L$6</f>
        <v>0</v>
      </c>
      <c r="I29" s="28" t="str">
        <f>CONCATENATE("Custom - ",'Custom Bldg'!$C$6)</f>
        <v>Custom - Type 2</v>
      </c>
      <c r="J29" s="742">
        <f>'Custom Bldg'!$F$6</f>
        <v>0</v>
      </c>
      <c r="K29" s="742">
        <f>'Custom Bldg'!$H$6</f>
        <v>0</v>
      </c>
      <c r="L29" s="742">
        <f>'Custom Bldg'!$J$6</f>
        <v>0</v>
      </c>
      <c r="M29" s="742">
        <f>'Custom Bldg'!$J$6</f>
        <v>0</v>
      </c>
      <c r="N29" s="742">
        <f>'Custom Bldg'!$K$6</f>
        <v>0</v>
      </c>
      <c r="O29" s="742">
        <f>'Custom Bldg'!$M$6</f>
        <v>0</v>
      </c>
      <c r="P29" s="742">
        <f>'Custom Bldg'!$M$6</f>
        <v>0</v>
      </c>
      <c r="Q29" s="742">
        <f>'Custom Bldg'!$N$6</f>
        <v>0</v>
      </c>
    </row>
    <row r="30" spans="2:17" x14ac:dyDescent="0.25">
      <c r="B30" s="26" t="str">
        <f>CONCATENATE("Custom - ",'Custom Bldg'!$C$7)</f>
        <v>Custom - Type 3</v>
      </c>
      <c r="C30" s="358">
        <f>'Custom Bldg'!$E$7</f>
        <v>0</v>
      </c>
      <c r="D30" s="358">
        <f>'Custom Bldg'!$G$7</f>
        <v>0</v>
      </c>
      <c r="E30" s="358">
        <f>'Custom Bldg'!$I$7</f>
        <v>0</v>
      </c>
      <c r="F30" s="358">
        <f>'Custom Bldg'!$I$7</f>
        <v>0</v>
      </c>
      <c r="G30" s="358">
        <f>'Custom Bldg'!$L$7</f>
        <v>0</v>
      </c>
      <c r="H30" s="358">
        <f>'Custom Bldg'!$L$7</f>
        <v>0</v>
      </c>
      <c r="I30" s="26" t="str">
        <f>CONCATENATE("Custom - ",'Custom Bldg'!$C$7)</f>
        <v>Custom - Type 3</v>
      </c>
      <c r="J30" s="743">
        <f>'Custom Bldg'!$F$7</f>
        <v>0</v>
      </c>
      <c r="K30" s="743">
        <f>'Custom Bldg'!$H$7</f>
        <v>0</v>
      </c>
      <c r="L30" s="743">
        <f>'Custom Bldg'!$J$7</f>
        <v>0</v>
      </c>
      <c r="M30" s="743">
        <f>'Custom Bldg'!$J$7</f>
        <v>0</v>
      </c>
      <c r="N30" s="743">
        <f>'Custom Bldg'!$K$7</f>
        <v>0</v>
      </c>
      <c r="O30" s="743">
        <f>'Custom Bldg'!$M$7</f>
        <v>0</v>
      </c>
      <c r="P30" s="743">
        <f>'Custom Bldg'!$M$7</f>
        <v>0</v>
      </c>
      <c r="Q30" s="743">
        <f>'Custom Bldg'!$N$7</f>
        <v>0</v>
      </c>
    </row>
    <row r="31" spans="2:17" x14ac:dyDescent="0.25">
      <c r="B31" s="28" t="str">
        <f>CONCATENATE("Custom - ",'Custom Bldg'!$C$8)</f>
        <v>Custom - Type 4</v>
      </c>
      <c r="C31" s="357">
        <f>'Custom Bldg'!$E$8</f>
        <v>0</v>
      </c>
      <c r="D31" s="357">
        <f>'Custom Bldg'!$G$8</f>
        <v>0</v>
      </c>
      <c r="E31" s="357">
        <f>'Custom Bldg'!$I$8</f>
        <v>0</v>
      </c>
      <c r="F31" s="357">
        <f>'Custom Bldg'!$I$8</f>
        <v>0</v>
      </c>
      <c r="G31" s="357">
        <f>'Custom Bldg'!$L$8</f>
        <v>0</v>
      </c>
      <c r="H31" s="357">
        <f>'Custom Bldg'!$L$8</f>
        <v>0</v>
      </c>
      <c r="I31" s="28" t="str">
        <f>CONCATENATE("Custom - ",'Custom Bldg'!$C$8)</f>
        <v>Custom - Type 4</v>
      </c>
      <c r="J31" s="742">
        <f>'Custom Bldg'!$F$8</f>
        <v>0</v>
      </c>
      <c r="K31" s="742">
        <f>'Custom Bldg'!$H$8</f>
        <v>0</v>
      </c>
      <c r="L31" s="742">
        <f>'Custom Bldg'!$J$8</f>
        <v>0</v>
      </c>
      <c r="M31" s="742">
        <f>'Custom Bldg'!$J$8</f>
        <v>0</v>
      </c>
      <c r="N31" s="742">
        <f>'Custom Bldg'!$K$8</f>
        <v>0</v>
      </c>
      <c r="O31" s="742">
        <f>'Custom Bldg'!$M$8</f>
        <v>0</v>
      </c>
      <c r="P31" s="742">
        <f>'Custom Bldg'!$M$8</f>
        <v>0</v>
      </c>
      <c r="Q31" s="742">
        <f>'Custom Bldg'!$N$8</f>
        <v>0</v>
      </c>
    </row>
    <row r="32" spans="2:17" x14ac:dyDescent="0.25">
      <c r="B32" s="886" t="str">
        <f>CONCATENATE("Custom - ",'Custom Bldg'!$C$9)</f>
        <v>Custom - Type 5</v>
      </c>
      <c r="C32" s="887">
        <f>'Custom Bldg'!$E$9</f>
        <v>0</v>
      </c>
      <c r="D32" s="887">
        <f>'Custom Bldg'!$G$9</f>
        <v>0</v>
      </c>
      <c r="E32" s="887">
        <f>'Custom Bldg'!$I$9</f>
        <v>0</v>
      </c>
      <c r="F32" s="887">
        <f>'Custom Bldg'!$I$9</f>
        <v>0</v>
      </c>
      <c r="G32" s="887">
        <f>'Custom Bldg'!$L$9</f>
        <v>0</v>
      </c>
      <c r="H32" s="887">
        <f>'Custom Bldg'!$L$9</f>
        <v>0</v>
      </c>
      <c r="I32" s="886" t="str">
        <f>CONCATENATE("Custom - ",'Custom Bldg'!$C$9)</f>
        <v>Custom - Type 5</v>
      </c>
      <c r="J32" s="888">
        <f>'Custom Bldg'!$F$9</f>
        <v>0</v>
      </c>
      <c r="K32" s="888">
        <f>'Custom Bldg'!$H$9</f>
        <v>0</v>
      </c>
      <c r="L32" s="888">
        <f>'Custom Bldg'!$J$9</f>
        <v>0</v>
      </c>
      <c r="M32" s="888">
        <f>'Custom Bldg'!$J$9</f>
        <v>0</v>
      </c>
      <c r="N32" s="888">
        <f>'Custom Bldg'!$K$9</f>
        <v>0</v>
      </c>
      <c r="O32" s="888">
        <f>'Custom Bldg'!$M$9</f>
        <v>0</v>
      </c>
      <c r="P32" s="888">
        <f>'Custom Bldg'!$M$9</f>
        <v>0</v>
      </c>
      <c r="Q32" s="888">
        <f>'Custom Bldg'!$N$9</f>
        <v>0</v>
      </c>
    </row>
    <row r="34" spans="2:17" ht="25.5" customHeight="1" x14ac:dyDescent="0.25">
      <c r="B34" s="29" t="s">
        <v>182</v>
      </c>
      <c r="C34" s="346"/>
      <c r="D34" s="347"/>
      <c r="E34" s="346"/>
      <c r="F34" s="346"/>
      <c r="G34" s="346"/>
      <c r="H34" s="347"/>
      <c r="I34" s="29"/>
      <c r="J34" s="346"/>
      <c r="K34" s="347"/>
      <c r="L34" s="346"/>
      <c r="M34" s="741"/>
      <c r="N34" s="346"/>
      <c r="O34" s="346"/>
      <c r="P34" s="741"/>
      <c r="Q34" s="175" t="s">
        <v>185</v>
      </c>
    </row>
    <row r="35" spans="2:17" ht="25.5" customHeight="1" x14ac:dyDescent="0.25">
      <c r="B35" s="1053" t="s">
        <v>23</v>
      </c>
      <c r="C35" s="1048" t="s">
        <v>603</v>
      </c>
      <c r="D35" s="1049"/>
      <c r="E35" s="1049"/>
      <c r="F35" s="1049"/>
      <c r="G35" s="1049"/>
      <c r="H35" s="1050"/>
      <c r="I35" s="1051" t="s">
        <v>23</v>
      </c>
      <c r="J35" s="1048" t="s">
        <v>604</v>
      </c>
      <c r="K35" s="1049"/>
      <c r="L35" s="1049"/>
      <c r="M35" s="1049"/>
      <c r="N35" s="1049"/>
      <c r="O35" s="1049"/>
      <c r="P35" s="1049"/>
      <c r="Q35" s="1049"/>
    </row>
    <row r="36" spans="2:17" ht="25.5" x14ac:dyDescent="0.25">
      <c r="B36" s="1054"/>
      <c r="C36" s="336" t="s">
        <v>30</v>
      </c>
      <c r="D36" s="336" t="s">
        <v>31</v>
      </c>
      <c r="E36" s="737" t="s">
        <v>605</v>
      </c>
      <c r="F36" s="737" t="s">
        <v>608</v>
      </c>
      <c r="G36" s="336" t="s">
        <v>47</v>
      </c>
      <c r="H36" s="336" t="s">
        <v>48</v>
      </c>
      <c r="I36" s="1052"/>
      <c r="J36" s="336" t="s">
        <v>30</v>
      </c>
      <c r="K36" s="336" t="s">
        <v>31</v>
      </c>
      <c r="L36" s="737" t="s">
        <v>605</v>
      </c>
      <c r="M36" s="737" t="s">
        <v>606</v>
      </c>
      <c r="N36" s="737" t="s">
        <v>607</v>
      </c>
      <c r="O36" s="737" t="s">
        <v>47</v>
      </c>
      <c r="P36" s="738" t="s">
        <v>598</v>
      </c>
      <c r="Q36" s="738" t="s">
        <v>599</v>
      </c>
    </row>
    <row r="37" spans="2:17" x14ac:dyDescent="0.25">
      <c r="B37" s="30" t="s">
        <v>313</v>
      </c>
      <c r="C37" s="378">
        <v>0</v>
      </c>
      <c r="D37" s="375">
        <v>0</v>
      </c>
      <c r="E37" s="374">
        <v>0.9</v>
      </c>
      <c r="F37" s="374">
        <v>0.9</v>
      </c>
      <c r="G37" s="375">
        <v>0</v>
      </c>
      <c r="H37" s="375">
        <v>0</v>
      </c>
      <c r="I37" s="30" t="s">
        <v>313</v>
      </c>
      <c r="J37" s="361">
        <v>0</v>
      </c>
      <c r="K37" s="362">
        <v>0</v>
      </c>
      <c r="L37" s="363">
        <v>1322</v>
      </c>
      <c r="M37" s="745">
        <v>1322</v>
      </c>
      <c r="N37" s="363">
        <v>284</v>
      </c>
      <c r="O37" s="361">
        <v>0</v>
      </c>
      <c r="P37" s="744">
        <v>0</v>
      </c>
      <c r="Q37" s="362">
        <v>0</v>
      </c>
    </row>
    <row r="38" spans="2:17" x14ac:dyDescent="0.25">
      <c r="B38" s="31" t="s">
        <v>314</v>
      </c>
      <c r="C38" s="376">
        <v>0.82</v>
      </c>
      <c r="D38" s="358">
        <v>0.8</v>
      </c>
      <c r="E38" s="376">
        <v>0.96</v>
      </c>
      <c r="F38" s="376">
        <v>0.96</v>
      </c>
      <c r="G38" s="358">
        <v>0.61</v>
      </c>
      <c r="H38" s="358">
        <v>0.61</v>
      </c>
      <c r="I38" s="31" t="s">
        <v>314</v>
      </c>
      <c r="J38" s="364">
        <v>2596</v>
      </c>
      <c r="K38" s="360">
        <v>3159</v>
      </c>
      <c r="L38" s="364">
        <v>2962</v>
      </c>
      <c r="M38" s="746">
        <v>2962</v>
      </c>
      <c r="N38" s="364">
        <v>874</v>
      </c>
      <c r="O38" s="364">
        <v>1834</v>
      </c>
      <c r="P38" s="746">
        <v>1834</v>
      </c>
      <c r="Q38" s="360">
        <v>208</v>
      </c>
    </row>
    <row r="39" spans="2:17" x14ac:dyDescent="0.25">
      <c r="B39" s="32" t="s">
        <v>315</v>
      </c>
      <c r="C39" s="377">
        <v>0</v>
      </c>
      <c r="D39" s="374">
        <v>0</v>
      </c>
      <c r="E39" s="377">
        <v>0.85</v>
      </c>
      <c r="F39" s="377">
        <v>0.85</v>
      </c>
      <c r="G39" s="374">
        <v>0.61</v>
      </c>
      <c r="H39" s="374">
        <v>0.61</v>
      </c>
      <c r="I39" s="32" t="s">
        <v>315</v>
      </c>
      <c r="J39" s="365">
        <v>0</v>
      </c>
      <c r="K39" s="363">
        <v>0</v>
      </c>
      <c r="L39" s="365">
        <v>2203</v>
      </c>
      <c r="M39" s="747">
        <v>2203</v>
      </c>
      <c r="N39" s="365">
        <v>745</v>
      </c>
      <c r="O39" s="365">
        <v>1834</v>
      </c>
      <c r="P39" s="747">
        <v>1834</v>
      </c>
      <c r="Q39" s="363">
        <v>208</v>
      </c>
    </row>
    <row r="40" spans="2:17" x14ac:dyDescent="0.25">
      <c r="B40" s="31" t="s">
        <v>337</v>
      </c>
      <c r="C40" s="376">
        <v>0</v>
      </c>
      <c r="D40" s="358">
        <v>0</v>
      </c>
      <c r="E40" s="376">
        <v>0.88</v>
      </c>
      <c r="F40" s="376">
        <v>0.88</v>
      </c>
      <c r="G40" s="358">
        <v>0</v>
      </c>
      <c r="H40" s="358">
        <v>0</v>
      </c>
      <c r="I40" s="31" t="s">
        <v>337</v>
      </c>
      <c r="J40" s="364">
        <v>0</v>
      </c>
      <c r="K40" s="360">
        <v>0</v>
      </c>
      <c r="L40" s="364">
        <v>2828</v>
      </c>
      <c r="M40" s="746">
        <v>2828</v>
      </c>
      <c r="N40" s="364">
        <v>1501</v>
      </c>
      <c r="O40" s="364">
        <v>0</v>
      </c>
      <c r="P40" s="746">
        <v>0</v>
      </c>
      <c r="Q40" s="360">
        <v>0</v>
      </c>
    </row>
    <row r="41" spans="2:17" x14ac:dyDescent="0.25">
      <c r="B41" s="32" t="s">
        <v>338</v>
      </c>
      <c r="C41" s="377">
        <v>0.96</v>
      </c>
      <c r="D41" s="374">
        <v>0.83</v>
      </c>
      <c r="E41" s="377">
        <v>0.98</v>
      </c>
      <c r="F41" s="377">
        <v>0.98</v>
      </c>
      <c r="G41" s="374">
        <v>0</v>
      </c>
      <c r="H41" s="374">
        <v>0</v>
      </c>
      <c r="I41" s="32" t="s">
        <v>338</v>
      </c>
      <c r="J41" s="365">
        <v>3574</v>
      </c>
      <c r="K41" s="363">
        <v>4323</v>
      </c>
      <c r="L41" s="365">
        <v>4185</v>
      </c>
      <c r="M41" s="747">
        <v>4185</v>
      </c>
      <c r="N41" s="365">
        <v>1349</v>
      </c>
      <c r="O41" s="365">
        <v>0</v>
      </c>
      <c r="P41" s="747">
        <v>0</v>
      </c>
      <c r="Q41" s="363">
        <v>0</v>
      </c>
    </row>
    <row r="42" spans="2:17" x14ac:dyDescent="0.25">
      <c r="B42" s="31" t="s">
        <v>336</v>
      </c>
      <c r="C42" s="376">
        <v>0.9</v>
      </c>
      <c r="D42" s="358">
        <v>0.82</v>
      </c>
      <c r="E42" s="376">
        <v>0.92</v>
      </c>
      <c r="F42" s="379">
        <v>0</v>
      </c>
      <c r="G42" s="358">
        <v>0</v>
      </c>
      <c r="H42" s="358">
        <v>0</v>
      </c>
      <c r="I42" s="31" t="s">
        <v>336</v>
      </c>
      <c r="J42" s="364">
        <v>1744</v>
      </c>
      <c r="K42" s="360">
        <v>1854</v>
      </c>
      <c r="L42" s="364">
        <v>2218</v>
      </c>
      <c r="M42" s="746">
        <v>0</v>
      </c>
      <c r="N42" s="366">
        <v>0</v>
      </c>
      <c r="O42" s="364">
        <v>0</v>
      </c>
      <c r="P42" s="746">
        <v>0</v>
      </c>
      <c r="Q42" s="360">
        <v>0</v>
      </c>
    </row>
    <row r="43" spans="2:17" x14ac:dyDescent="0.25">
      <c r="B43" s="32" t="s">
        <v>28</v>
      </c>
      <c r="C43" s="377">
        <v>0.92</v>
      </c>
      <c r="D43" s="374">
        <v>0.82</v>
      </c>
      <c r="E43" s="377">
        <v>0.91</v>
      </c>
      <c r="F43" s="377">
        <v>0.91</v>
      </c>
      <c r="G43" s="374">
        <v>0</v>
      </c>
      <c r="H43" s="374">
        <v>0</v>
      </c>
      <c r="I43" s="32" t="s">
        <v>28</v>
      </c>
      <c r="J43" s="365">
        <v>1710</v>
      </c>
      <c r="K43" s="363">
        <v>2104</v>
      </c>
      <c r="L43" s="365">
        <v>1720</v>
      </c>
      <c r="M43" s="747">
        <v>1720</v>
      </c>
      <c r="N43" s="365">
        <v>403</v>
      </c>
      <c r="O43" s="365">
        <v>0</v>
      </c>
      <c r="P43" s="747">
        <v>0</v>
      </c>
      <c r="Q43" s="363">
        <v>0</v>
      </c>
    </row>
    <row r="44" spans="2:17" x14ac:dyDescent="0.25">
      <c r="B44" s="31" t="s">
        <v>335</v>
      </c>
      <c r="C44" s="376">
        <v>0</v>
      </c>
      <c r="D44" s="358">
        <v>0</v>
      </c>
      <c r="E44" s="376">
        <v>0.85</v>
      </c>
      <c r="F44" s="376">
        <v>0.85</v>
      </c>
      <c r="G44" s="358">
        <v>0</v>
      </c>
      <c r="H44" s="358">
        <v>0</v>
      </c>
      <c r="I44" s="31" t="s">
        <v>335</v>
      </c>
      <c r="J44" s="364">
        <v>0</v>
      </c>
      <c r="K44" s="360">
        <v>0</v>
      </c>
      <c r="L44" s="364">
        <v>1281</v>
      </c>
      <c r="M44" s="746">
        <v>1281</v>
      </c>
      <c r="N44" s="364">
        <v>410</v>
      </c>
      <c r="O44" s="364">
        <v>0</v>
      </c>
      <c r="P44" s="746">
        <v>0</v>
      </c>
      <c r="Q44" s="360">
        <v>0</v>
      </c>
    </row>
    <row r="45" spans="2:17" x14ac:dyDescent="0.25">
      <c r="B45" s="32" t="s">
        <v>29</v>
      </c>
      <c r="C45" s="377">
        <v>0</v>
      </c>
      <c r="D45" s="374">
        <v>0</v>
      </c>
      <c r="E45" s="377">
        <v>0.91</v>
      </c>
      <c r="F45" s="377">
        <v>0.91</v>
      </c>
      <c r="G45" s="374">
        <v>0</v>
      </c>
      <c r="H45" s="374">
        <v>0</v>
      </c>
      <c r="I45" s="32" t="s">
        <v>29</v>
      </c>
      <c r="J45" s="365">
        <v>0</v>
      </c>
      <c r="K45" s="363">
        <v>0</v>
      </c>
      <c r="L45" s="365">
        <v>1347</v>
      </c>
      <c r="M45" s="747">
        <v>1347</v>
      </c>
      <c r="N45" s="365">
        <v>221</v>
      </c>
      <c r="O45" s="365">
        <v>0</v>
      </c>
      <c r="P45" s="747">
        <v>0</v>
      </c>
      <c r="Q45" s="363">
        <v>0</v>
      </c>
    </row>
    <row r="46" spans="2:17" x14ac:dyDescent="0.25">
      <c r="B46" s="31" t="s">
        <v>24</v>
      </c>
      <c r="C46" s="376">
        <v>0.9</v>
      </c>
      <c r="D46" s="358">
        <v>0.84</v>
      </c>
      <c r="E46" s="376">
        <v>0.92</v>
      </c>
      <c r="F46" s="379">
        <v>0</v>
      </c>
      <c r="G46" s="358">
        <v>0</v>
      </c>
      <c r="H46" s="358">
        <v>0</v>
      </c>
      <c r="I46" s="31" t="s">
        <v>24</v>
      </c>
      <c r="J46" s="364">
        <v>2005</v>
      </c>
      <c r="K46" s="360">
        <v>2116</v>
      </c>
      <c r="L46" s="364">
        <v>2385</v>
      </c>
      <c r="M46" s="746">
        <v>0</v>
      </c>
      <c r="N46" s="366">
        <v>0</v>
      </c>
      <c r="O46" s="364">
        <v>0</v>
      </c>
      <c r="P46" s="746">
        <v>0</v>
      </c>
      <c r="Q46" s="360">
        <v>0</v>
      </c>
    </row>
    <row r="47" spans="2:17" x14ac:dyDescent="0.25">
      <c r="B47" s="32" t="s">
        <v>339</v>
      </c>
      <c r="C47" s="377">
        <v>0.88</v>
      </c>
      <c r="D47" s="374">
        <v>0.83</v>
      </c>
      <c r="E47" s="377">
        <v>0.92</v>
      </c>
      <c r="F47" s="380">
        <v>0</v>
      </c>
      <c r="G47" s="374">
        <v>0</v>
      </c>
      <c r="H47" s="374">
        <v>0</v>
      </c>
      <c r="I47" s="32" t="s">
        <v>339</v>
      </c>
      <c r="J47" s="365">
        <v>1355</v>
      </c>
      <c r="K47" s="363">
        <v>1396</v>
      </c>
      <c r="L47" s="365">
        <v>1946</v>
      </c>
      <c r="M47" s="747">
        <v>0</v>
      </c>
      <c r="N47" s="367">
        <v>0</v>
      </c>
      <c r="O47" s="365">
        <v>0</v>
      </c>
      <c r="P47" s="747">
        <v>0</v>
      </c>
      <c r="Q47" s="363">
        <v>0</v>
      </c>
    </row>
    <row r="48" spans="2:17" x14ac:dyDescent="0.25">
      <c r="B48" s="31" t="s">
        <v>316</v>
      </c>
      <c r="C48" s="376">
        <v>0</v>
      </c>
      <c r="D48" s="358">
        <v>0</v>
      </c>
      <c r="E48" s="376">
        <v>0.86</v>
      </c>
      <c r="F48" s="376">
        <v>0.86</v>
      </c>
      <c r="G48" s="358">
        <v>0</v>
      </c>
      <c r="H48" s="358">
        <v>0</v>
      </c>
      <c r="I48" s="31" t="s">
        <v>316</v>
      </c>
      <c r="J48" s="364">
        <v>0</v>
      </c>
      <c r="K48" s="360">
        <v>0</v>
      </c>
      <c r="L48" s="364">
        <v>1548</v>
      </c>
      <c r="M48" s="746">
        <v>1548</v>
      </c>
      <c r="N48" s="364">
        <v>602</v>
      </c>
      <c r="O48" s="364">
        <v>0</v>
      </c>
      <c r="P48" s="746">
        <v>0</v>
      </c>
      <c r="Q48" s="360">
        <v>0</v>
      </c>
    </row>
    <row r="49" spans="2:17" x14ac:dyDescent="0.25">
      <c r="B49" s="32" t="s">
        <v>317</v>
      </c>
      <c r="C49" s="377">
        <v>0</v>
      </c>
      <c r="D49" s="374">
        <v>0</v>
      </c>
      <c r="E49" s="377">
        <v>0.87</v>
      </c>
      <c r="F49" s="377">
        <v>0.87</v>
      </c>
      <c r="G49" s="374">
        <v>0</v>
      </c>
      <c r="H49" s="374">
        <v>0</v>
      </c>
      <c r="I49" s="32" t="s">
        <v>317</v>
      </c>
      <c r="J49" s="365">
        <v>0</v>
      </c>
      <c r="K49" s="363">
        <v>0</v>
      </c>
      <c r="L49" s="365">
        <v>1302</v>
      </c>
      <c r="M49" s="747">
        <v>1302</v>
      </c>
      <c r="N49" s="365">
        <v>471</v>
      </c>
      <c r="O49" s="365">
        <v>0</v>
      </c>
      <c r="P49" s="747">
        <v>0</v>
      </c>
      <c r="Q49" s="363">
        <v>0</v>
      </c>
    </row>
    <row r="50" spans="2:17" x14ac:dyDescent="0.25">
      <c r="B50" s="31" t="s">
        <v>340</v>
      </c>
      <c r="C50" s="376">
        <v>0</v>
      </c>
      <c r="D50" s="358">
        <v>0</v>
      </c>
      <c r="E50" s="376">
        <v>0.92</v>
      </c>
      <c r="F50" s="379">
        <v>0</v>
      </c>
      <c r="G50" s="358">
        <v>0</v>
      </c>
      <c r="H50" s="358">
        <v>0</v>
      </c>
      <c r="I50" s="31" t="s">
        <v>340</v>
      </c>
      <c r="J50" s="364">
        <v>0</v>
      </c>
      <c r="K50" s="360">
        <v>0</v>
      </c>
      <c r="L50" s="364">
        <v>3831</v>
      </c>
      <c r="M50" s="746">
        <v>0</v>
      </c>
      <c r="N50" s="366">
        <v>0</v>
      </c>
      <c r="O50" s="364">
        <v>0</v>
      </c>
      <c r="P50" s="746">
        <v>0</v>
      </c>
      <c r="Q50" s="360">
        <v>0</v>
      </c>
    </row>
    <row r="51" spans="2:17" x14ac:dyDescent="0.25">
      <c r="B51" s="32" t="s">
        <v>318</v>
      </c>
      <c r="C51" s="377">
        <v>0</v>
      </c>
      <c r="D51" s="374">
        <v>0</v>
      </c>
      <c r="E51" s="377">
        <v>0.87</v>
      </c>
      <c r="F51" s="377">
        <v>0.87</v>
      </c>
      <c r="G51" s="374">
        <v>0</v>
      </c>
      <c r="H51" s="374">
        <v>0</v>
      </c>
      <c r="I51" s="32" t="s">
        <v>318</v>
      </c>
      <c r="J51" s="365">
        <v>0</v>
      </c>
      <c r="K51" s="363">
        <v>0</v>
      </c>
      <c r="L51" s="365">
        <v>1231</v>
      </c>
      <c r="M51" s="747">
        <v>1231</v>
      </c>
      <c r="N51" s="365">
        <v>422</v>
      </c>
      <c r="O51" s="365">
        <v>0</v>
      </c>
      <c r="P51" s="747">
        <v>0</v>
      </c>
      <c r="Q51" s="363">
        <v>0</v>
      </c>
    </row>
    <row r="52" spans="2:17" x14ac:dyDescent="0.25">
      <c r="B52" s="31" t="s">
        <v>319</v>
      </c>
      <c r="C52" s="376">
        <v>0</v>
      </c>
      <c r="D52" s="358">
        <v>0</v>
      </c>
      <c r="E52" s="376">
        <v>0.93</v>
      </c>
      <c r="F52" s="376">
        <v>0.93</v>
      </c>
      <c r="G52" s="358">
        <v>0</v>
      </c>
      <c r="H52" s="358">
        <v>0</v>
      </c>
      <c r="I52" s="31" t="s">
        <v>319</v>
      </c>
      <c r="J52" s="364">
        <v>0</v>
      </c>
      <c r="K52" s="360">
        <v>0</v>
      </c>
      <c r="L52" s="364">
        <v>1288</v>
      </c>
      <c r="M52" s="746">
        <v>1288</v>
      </c>
      <c r="N52" s="364">
        <v>410</v>
      </c>
      <c r="O52" s="364">
        <v>0</v>
      </c>
      <c r="P52" s="746">
        <v>0</v>
      </c>
      <c r="Q52" s="360">
        <v>0</v>
      </c>
    </row>
    <row r="53" spans="2:17" x14ac:dyDescent="0.25">
      <c r="B53" s="32" t="s">
        <v>320</v>
      </c>
      <c r="C53" s="377">
        <v>0</v>
      </c>
      <c r="D53" s="374">
        <v>0.87</v>
      </c>
      <c r="E53" s="377">
        <v>0.85</v>
      </c>
      <c r="F53" s="377">
        <v>0.85</v>
      </c>
      <c r="G53" s="374">
        <v>0</v>
      </c>
      <c r="H53" s="374">
        <v>0</v>
      </c>
      <c r="I53" s="32" t="s">
        <v>320</v>
      </c>
      <c r="J53" s="365">
        <v>0</v>
      </c>
      <c r="K53" s="363">
        <v>2708</v>
      </c>
      <c r="L53" s="365">
        <v>1296</v>
      </c>
      <c r="M53" s="747">
        <v>1296</v>
      </c>
      <c r="N53" s="365">
        <v>622</v>
      </c>
      <c r="O53" s="365">
        <v>0</v>
      </c>
      <c r="P53" s="747">
        <v>0</v>
      </c>
      <c r="Q53" s="363">
        <v>0</v>
      </c>
    </row>
    <row r="54" spans="2:17" x14ac:dyDescent="0.25">
      <c r="B54" s="31" t="s">
        <v>321</v>
      </c>
      <c r="C54" s="376">
        <v>0</v>
      </c>
      <c r="D54" s="358">
        <v>0</v>
      </c>
      <c r="E54" s="376">
        <v>0.91</v>
      </c>
      <c r="F54" s="376">
        <v>0.91</v>
      </c>
      <c r="G54" s="358">
        <v>0</v>
      </c>
      <c r="H54" s="358">
        <v>0</v>
      </c>
      <c r="I54" s="31" t="s">
        <v>321</v>
      </c>
      <c r="J54" s="364">
        <v>0</v>
      </c>
      <c r="K54" s="360">
        <v>0</v>
      </c>
      <c r="L54" s="364">
        <v>1162</v>
      </c>
      <c r="M54" s="746">
        <v>1162</v>
      </c>
      <c r="N54" s="364">
        <v>474</v>
      </c>
      <c r="O54" s="364">
        <v>0</v>
      </c>
      <c r="P54" s="746">
        <v>0</v>
      </c>
      <c r="Q54" s="360">
        <v>0</v>
      </c>
    </row>
    <row r="55" spans="2:17" x14ac:dyDescent="0.25">
      <c r="B55" s="32" t="s">
        <v>322</v>
      </c>
      <c r="C55" s="377">
        <v>0.88</v>
      </c>
      <c r="D55" s="374">
        <v>0.84</v>
      </c>
      <c r="E55" s="377">
        <v>1</v>
      </c>
      <c r="F55" s="377">
        <v>1</v>
      </c>
      <c r="G55" s="374">
        <v>0</v>
      </c>
      <c r="H55" s="374">
        <v>0</v>
      </c>
      <c r="I55" s="32" t="s">
        <v>322</v>
      </c>
      <c r="J55" s="365">
        <v>1333</v>
      </c>
      <c r="K55" s="363">
        <v>1669</v>
      </c>
      <c r="L55" s="365">
        <v>1244</v>
      </c>
      <c r="M55" s="747">
        <v>1244</v>
      </c>
      <c r="N55" s="365">
        <v>397</v>
      </c>
      <c r="O55" s="365">
        <v>0</v>
      </c>
      <c r="P55" s="747">
        <v>0</v>
      </c>
      <c r="Q55" s="363">
        <v>0</v>
      </c>
    </row>
    <row r="56" spans="2:17" x14ac:dyDescent="0.25">
      <c r="B56" s="31" t="s">
        <v>341</v>
      </c>
      <c r="C56" s="376">
        <v>0.89</v>
      </c>
      <c r="D56" s="358">
        <v>0.81</v>
      </c>
      <c r="E56" s="376">
        <v>0.91</v>
      </c>
      <c r="F56" s="379">
        <v>0</v>
      </c>
      <c r="G56" s="358">
        <v>0</v>
      </c>
      <c r="H56" s="358">
        <v>0</v>
      </c>
      <c r="I56" s="31" t="s">
        <v>341</v>
      </c>
      <c r="J56" s="364">
        <v>1587</v>
      </c>
      <c r="K56" s="360">
        <v>1761</v>
      </c>
      <c r="L56" s="364">
        <v>1955</v>
      </c>
      <c r="M56" s="746">
        <v>0</v>
      </c>
      <c r="N56" s="366">
        <v>0</v>
      </c>
      <c r="O56" s="364">
        <v>0</v>
      </c>
      <c r="P56" s="746">
        <v>0</v>
      </c>
      <c r="Q56" s="360">
        <v>0</v>
      </c>
    </row>
    <row r="57" spans="2:17" x14ac:dyDescent="0.25">
      <c r="B57" s="32" t="s">
        <v>342</v>
      </c>
      <c r="C57" s="377">
        <v>0</v>
      </c>
      <c r="D57" s="374">
        <v>0</v>
      </c>
      <c r="E57" s="377">
        <v>0.92</v>
      </c>
      <c r="F57" s="380">
        <v>0</v>
      </c>
      <c r="G57" s="374">
        <v>0</v>
      </c>
      <c r="H57" s="374">
        <v>0</v>
      </c>
      <c r="I57" s="32" t="s">
        <v>342</v>
      </c>
      <c r="J57" s="365">
        <v>0</v>
      </c>
      <c r="K57" s="363">
        <v>0</v>
      </c>
      <c r="L57" s="365">
        <v>2262</v>
      </c>
      <c r="M57" s="747">
        <v>0</v>
      </c>
      <c r="N57" s="367">
        <v>0</v>
      </c>
      <c r="O57" s="365">
        <v>0</v>
      </c>
      <c r="P57" s="747">
        <v>0</v>
      </c>
      <c r="Q57" s="363">
        <v>0</v>
      </c>
    </row>
    <row r="58" spans="2:17" x14ac:dyDescent="0.25">
      <c r="B58" s="31" t="s">
        <v>27</v>
      </c>
      <c r="C58" s="376">
        <v>0</v>
      </c>
      <c r="D58" s="358">
        <v>0</v>
      </c>
      <c r="E58" s="376">
        <v>0.89</v>
      </c>
      <c r="F58" s="379">
        <v>0.89</v>
      </c>
      <c r="G58" s="358">
        <v>0</v>
      </c>
      <c r="H58" s="358">
        <v>0</v>
      </c>
      <c r="I58" s="31" t="s">
        <v>27</v>
      </c>
      <c r="J58" s="746">
        <v>0</v>
      </c>
      <c r="K58" s="743">
        <v>0</v>
      </c>
      <c r="L58" s="746">
        <v>622</v>
      </c>
      <c r="M58" s="746">
        <v>622</v>
      </c>
      <c r="N58" s="366">
        <v>945</v>
      </c>
      <c r="O58" s="746">
        <v>0</v>
      </c>
      <c r="P58" s="746">
        <v>0</v>
      </c>
      <c r="Q58" s="743">
        <v>0</v>
      </c>
    </row>
    <row r="59" spans="2:17" x14ac:dyDescent="0.25">
      <c r="B59" s="32" t="s">
        <v>693</v>
      </c>
      <c r="C59" s="377">
        <f>SMALL(C37:C58,COUNTIF(C37:C58,0)+1)</f>
        <v>0.82</v>
      </c>
      <c r="D59" s="374">
        <f>SMALL(D37:D58,COUNTIF(D37:D58,0)+1)</f>
        <v>0.8</v>
      </c>
      <c r="E59" s="377">
        <f>SMALL(E37:E58,COUNTIF(E37:E58,0)+1)</f>
        <v>0.85</v>
      </c>
      <c r="F59" s="380">
        <f>SMALL(F37:F58,COUNTIF(F37:F58,0)+1)</f>
        <v>0.85</v>
      </c>
      <c r="G59" s="374">
        <v>0</v>
      </c>
      <c r="H59" s="374">
        <v>0</v>
      </c>
      <c r="I59" s="32" t="s">
        <v>693</v>
      </c>
      <c r="J59" s="747">
        <f t="shared" ref="J59" si="1">SMALL(J37:J58,COUNTIF(J37:J58,0)+1)</f>
        <v>1333</v>
      </c>
      <c r="K59" s="745">
        <f t="shared" ref="K59" si="2">SMALL(K37:K58,COUNTIF(K37:K58,0)+1)</f>
        <v>1396</v>
      </c>
      <c r="L59" s="747">
        <f t="shared" ref="L59" si="3">SMALL(L37:L58,COUNTIF(L37:L58,0)+1)</f>
        <v>622</v>
      </c>
      <c r="M59" s="747">
        <f t="shared" ref="M59" si="4">SMALL(M37:M58,COUNTIF(M37:M58,0)+1)</f>
        <v>622</v>
      </c>
      <c r="N59" s="367">
        <f t="shared" ref="N59" si="5">SMALL(N37:N58,COUNTIF(N37:N58,0)+1)</f>
        <v>221</v>
      </c>
      <c r="O59" s="747">
        <v>0</v>
      </c>
      <c r="P59" s="747">
        <v>0</v>
      </c>
      <c r="Q59" s="745">
        <v>0</v>
      </c>
    </row>
    <row r="60" spans="2:17" x14ac:dyDescent="0.25">
      <c r="B60" s="31" t="str">
        <f>CONCATENATE("Custom - ",'Custom Bldg'!$C$5)</f>
        <v>Custom - Type 1</v>
      </c>
      <c r="C60" s="376">
        <f>'Custom Bldg'!$E$5</f>
        <v>0</v>
      </c>
      <c r="D60" s="358">
        <f>'Custom Bldg'!$G$5</f>
        <v>0</v>
      </c>
      <c r="E60" s="376">
        <f>'Custom Bldg'!$I$5</f>
        <v>0</v>
      </c>
      <c r="F60" s="379">
        <f>'Custom Bldg'!$I$5</f>
        <v>0</v>
      </c>
      <c r="G60" s="358">
        <f>'Custom Bldg'!$L$5</f>
        <v>0</v>
      </c>
      <c r="H60" s="358">
        <f>'Custom Bldg'!$L$5</f>
        <v>0</v>
      </c>
      <c r="I60" s="31" t="str">
        <f>CONCATENATE("Custom - ",'Custom Bldg'!$C$5)</f>
        <v>Custom - Type 1</v>
      </c>
      <c r="J60" s="746">
        <f>'Custom Bldg'!$F$5</f>
        <v>0</v>
      </c>
      <c r="K60" s="743">
        <f>'Custom Bldg'!$H$5</f>
        <v>0</v>
      </c>
      <c r="L60" s="746">
        <f>'Custom Bldg'!$J$5</f>
        <v>0</v>
      </c>
      <c r="M60" s="746">
        <f>'Custom Bldg'!$J$5</f>
        <v>0</v>
      </c>
      <c r="N60" s="366">
        <f>'Custom Bldg'!$K$5</f>
        <v>0</v>
      </c>
      <c r="O60" s="746">
        <f>'Custom Bldg'!$M$5</f>
        <v>0</v>
      </c>
      <c r="P60" s="746">
        <f>'Custom Bldg'!$M$5</f>
        <v>0</v>
      </c>
      <c r="Q60" s="743">
        <f>'Custom Bldg'!$N$5</f>
        <v>0</v>
      </c>
    </row>
    <row r="61" spans="2:17" x14ac:dyDescent="0.25">
      <c r="B61" s="32" t="str">
        <f>CONCATENATE("Custom - ",'Custom Bldg'!$C$6)</f>
        <v>Custom - Type 2</v>
      </c>
      <c r="C61" s="377">
        <f>'Custom Bldg'!$E$6</f>
        <v>0</v>
      </c>
      <c r="D61" s="374">
        <f>'Custom Bldg'!$G$6</f>
        <v>0</v>
      </c>
      <c r="E61" s="377">
        <f>'Custom Bldg'!$I$6</f>
        <v>0</v>
      </c>
      <c r="F61" s="380">
        <f>'Custom Bldg'!$I$6</f>
        <v>0</v>
      </c>
      <c r="G61" s="374">
        <f>'Custom Bldg'!$L$6</f>
        <v>0</v>
      </c>
      <c r="H61" s="374">
        <f>'Custom Bldg'!$L$6</f>
        <v>0</v>
      </c>
      <c r="I61" s="32" t="str">
        <f>CONCATENATE("Custom - ",'Custom Bldg'!$C$6)</f>
        <v>Custom - Type 2</v>
      </c>
      <c r="J61" s="747">
        <f>'Custom Bldg'!$F$6</f>
        <v>0</v>
      </c>
      <c r="K61" s="745">
        <f>'Custom Bldg'!$H$6</f>
        <v>0</v>
      </c>
      <c r="L61" s="747">
        <f>'Custom Bldg'!$J$6</f>
        <v>0</v>
      </c>
      <c r="M61" s="747">
        <f>'Custom Bldg'!$J$6</f>
        <v>0</v>
      </c>
      <c r="N61" s="367">
        <f>'Custom Bldg'!$K$6</f>
        <v>0</v>
      </c>
      <c r="O61" s="747">
        <f>'Custom Bldg'!$M$6</f>
        <v>0</v>
      </c>
      <c r="P61" s="747">
        <f>'Custom Bldg'!$M$6</f>
        <v>0</v>
      </c>
      <c r="Q61" s="745">
        <f>'Custom Bldg'!$N$6</f>
        <v>0</v>
      </c>
    </row>
    <row r="62" spans="2:17" x14ac:dyDescent="0.25">
      <c r="B62" s="31" t="str">
        <f>CONCATENATE("Custom - ",'Custom Bldg'!$C$7)</f>
        <v>Custom - Type 3</v>
      </c>
      <c r="C62" s="376">
        <f>'Custom Bldg'!$E$7</f>
        <v>0</v>
      </c>
      <c r="D62" s="358">
        <f>'Custom Bldg'!$G$7</f>
        <v>0</v>
      </c>
      <c r="E62" s="376">
        <f>'Custom Bldg'!$I$7</f>
        <v>0</v>
      </c>
      <c r="F62" s="379">
        <f>'Custom Bldg'!$I$7</f>
        <v>0</v>
      </c>
      <c r="G62" s="358">
        <f>'Custom Bldg'!$L$7</f>
        <v>0</v>
      </c>
      <c r="H62" s="358">
        <f>'Custom Bldg'!$L$7</f>
        <v>0</v>
      </c>
      <c r="I62" s="31" t="str">
        <f>CONCATENATE("Custom - ",'Custom Bldg'!$C$7)</f>
        <v>Custom - Type 3</v>
      </c>
      <c r="J62" s="746">
        <f>'Custom Bldg'!$F$7</f>
        <v>0</v>
      </c>
      <c r="K62" s="743">
        <f>'Custom Bldg'!$H$7</f>
        <v>0</v>
      </c>
      <c r="L62" s="746">
        <f>'Custom Bldg'!$J$7</f>
        <v>0</v>
      </c>
      <c r="M62" s="746">
        <f>'Custom Bldg'!$J$7</f>
        <v>0</v>
      </c>
      <c r="N62" s="366">
        <f>'Custom Bldg'!$K$7</f>
        <v>0</v>
      </c>
      <c r="O62" s="746">
        <f>'Custom Bldg'!$M$7</f>
        <v>0</v>
      </c>
      <c r="P62" s="746">
        <f>'Custom Bldg'!$M$7</f>
        <v>0</v>
      </c>
      <c r="Q62" s="743">
        <f>'Custom Bldg'!$N$7</f>
        <v>0</v>
      </c>
    </row>
    <row r="63" spans="2:17" x14ac:dyDescent="0.25">
      <c r="B63" s="32" t="str">
        <f>CONCATENATE("Custom - ",'Custom Bldg'!$C$8)</f>
        <v>Custom - Type 4</v>
      </c>
      <c r="C63" s="377">
        <f>'Custom Bldg'!$E$8</f>
        <v>0</v>
      </c>
      <c r="D63" s="374">
        <f>'Custom Bldg'!$G$8</f>
        <v>0</v>
      </c>
      <c r="E63" s="377">
        <f>'Custom Bldg'!$I$8</f>
        <v>0</v>
      </c>
      <c r="F63" s="380">
        <f>'Custom Bldg'!$I$8</f>
        <v>0</v>
      </c>
      <c r="G63" s="374">
        <f>'Custom Bldg'!$L$8</f>
        <v>0</v>
      </c>
      <c r="H63" s="374">
        <f>'Custom Bldg'!$L$8</f>
        <v>0</v>
      </c>
      <c r="I63" s="32" t="str">
        <f>CONCATENATE("Custom - ",'Custom Bldg'!$C$8)</f>
        <v>Custom - Type 4</v>
      </c>
      <c r="J63" s="747">
        <f>'Custom Bldg'!$F$8</f>
        <v>0</v>
      </c>
      <c r="K63" s="745">
        <f>'Custom Bldg'!$H$8</f>
        <v>0</v>
      </c>
      <c r="L63" s="747">
        <f>'Custom Bldg'!$J$8</f>
        <v>0</v>
      </c>
      <c r="M63" s="747">
        <f>'Custom Bldg'!$J$8</f>
        <v>0</v>
      </c>
      <c r="N63" s="367">
        <f>'Custom Bldg'!$K$8</f>
        <v>0</v>
      </c>
      <c r="O63" s="747">
        <f>'Custom Bldg'!$M$8</f>
        <v>0</v>
      </c>
      <c r="P63" s="747">
        <f>'Custom Bldg'!$M$8</f>
        <v>0</v>
      </c>
      <c r="Q63" s="745">
        <f>'Custom Bldg'!$N$8</f>
        <v>0</v>
      </c>
    </row>
    <row r="64" spans="2:17" x14ac:dyDescent="0.25">
      <c r="B64" s="889" t="str">
        <f>CONCATENATE("Custom - ",'Custom Bldg'!$C$9)</f>
        <v>Custom - Type 5</v>
      </c>
      <c r="C64" s="890">
        <f>'Custom Bldg'!$E$9</f>
        <v>0</v>
      </c>
      <c r="D64" s="887">
        <f>'Custom Bldg'!$G$9</f>
        <v>0</v>
      </c>
      <c r="E64" s="890">
        <f>'Custom Bldg'!$I$9</f>
        <v>0</v>
      </c>
      <c r="F64" s="891">
        <f>'Custom Bldg'!$I$9</f>
        <v>0</v>
      </c>
      <c r="G64" s="887">
        <f>'Custom Bldg'!$L$9</f>
        <v>0</v>
      </c>
      <c r="H64" s="887">
        <f>'Custom Bldg'!$L$9</f>
        <v>0</v>
      </c>
      <c r="I64" s="889" t="str">
        <f>CONCATENATE("Custom - ",'Custom Bldg'!$C$9)</f>
        <v>Custom - Type 5</v>
      </c>
      <c r="J64" s="892">
        <f>'Custom Bldg'!$F$9</f>
        <v>0</v>
      </c>
      <c r="K64" s="888">
        <f>'Custom Bldg'!$H$9</f>
        <v>0</v>
      </c>
      <c r="L64" s="892">
        <f>'Custom Bldg'!$J$9</f>
        <v>0</v>
      </c>
      <c r="M64" s="892">
        <f>'Custom Bldg'!$J$9</f>
        <v>0</v>
      </c>
      <c r="N64" s="893">
        <f>'Custom Bldg'!$K$9</f>
        <v>0</v>
      </c>
      <c r="O64" s="892">
        <f>'Custom Bldg'!$M$9</f>
        <v>0</v>
      </c>
      <c r="P64" s="892">
        <f>'Custom Bldg'!$M$9</f>
        <v>0</v>
      </c>
      <c r="Q64" s="888">
        <f>'Custom Bldg'!$N$9</f>
        <v>0</v>
      </c>
    </row>
    <row r="66" spans="2:17" ht="25.5" customHeight="1" x14ac:dyDescent="0.25">
      <c r="B66" s="27" t="s">
        <v>182</v>
      </c>
      <c r="C66" s="345"/>
      <c r="D66" s="345"/>
      <c r="E66" s="345"/>
      <c r="F66" s="345"/>
      <c r="G66" s="345"/>
      <c r="H66" s="345"/>
      <c r="I66" s="27"/>
      <c r="J66" s="345"/>
      <c r="K66" s="345"/>
      <c r="L66" s="345"/>
      <c r="M66" s="740"/>
      <c r="N66" s="345"/>
      <c r="O66" s="345"/>
      <c r="P66" s="740"/>
      <c r="Q66" s="174" t="s">
        <v>184</v>
      </c>
    </row>
    <row r="67" spans="2:17" ht="25.5" customHeight="1" x14ac:dyDescent="0.25">
      <c r="B67" s="1053" t="s">
        <v>23</v>
      </c>
      <c r="C67" s="1048" t="s">
        <v>603</v>
      </c>
      <c r="D67" s="1049"/>
      <c r="E67" s="1049"/>
      <c r="F67" s="1049"/>
      <c r="G67" s="1049"/>
      <c r="H67" s="1050"/>
      <c r="I67" s="1051" t="s">
        <v>23</v>
      </c>
      <c r="J67" s="1048" t="s">
        <v>604</v>
      </c>
      <c r="K67" s="1049"/>
      <c r="L67" s="1049"/>
      <c r="M67" s="1049"/>
      <c r="N67" s="1049"/>
      <c r="O67" s="1049"/>
      <c r="P67" s="1049"/>
      <c r="Q67" s="1049"/>
    </row>
    <row r="68" spans="2:17" ht="25.5" x14ac:dyDescent="0.25">
      <c r="B68" s="1054"/>
      <c r="C68" s="336" t="s">
        <v>30</v>
      </c>
      <c r="D68" s="336" t="s">
        <v>31</v>
      </c>
      <c r="E68" s="737" t="s">
        <v>605</v>
      </c>
      <c r="F68" s="737" t="s">
        <v>608</v>
      </c>
      <c r="G68" s="336" t="s">
        <v>47</v>
      </c>
      <c r="H68" s="336" t="s">
        <v>48</v>
      </c>
      <c r="I68" s="1052"/>
      <c r="J68" s="336" t="s">
        <v>30</v>
      </c>
      <c r="K68" s="336" t="s">
        <v>31</v>
      </c>
      <c r="L68" s="737" t="s">
        <v>605</v>
      </c>
      <c r="M68" s="737" t="s">
        <v>606</v>
      </c>
      <c r="N68" s="737" t="s">
        <v>607</v>
      </c>
      <c r="O68" s="737" t="s">
        <v>47</v>
      </c>
      <c r="P68" s="738" t="s">
        <v>598</v>
      </c>
      <c r="Q68" s="738" t="s">
        <v>599</v>
      </c>
    </row>
    <row r="69" spans="2:17" x14ac:dyDescent="0.25">
      <c r="B69" s="28" t="s">
        <v>313</v>
      </c>
      <c r="C69" s="357">
        <v>0</v>
      </c>
      <c r="D69" s="357">
        <v>0</v>
      </c>
      <c r="E69" s="357">
        <v>0.98</v>
      </c>
      <c r="F69" s="357">
        <v>0.98</v>
      </c>
      <c r="G69" s="357">
        <v>0</v>
      </c>
      <c r="H69" s="357">
        <v>0</v>
      </c>
      <c r="I69" s="28" t="s">
        <v>313</v>
      </c>
      <c r="J69" s="359">
        <v>0</v>
      </c>
      <c r="K69" s="359">
        <v>0</v>
      </c>
      <c r="L69" s="359">
        <v>1797</v>
      </c>
      <c r="M69" s="742">
        <v>1797</v>
      </c>
      <c r="N69" s="359">
        <v>244</v>
      </c>
      <c r="O69" s="359">
        <v>0</v>
      </c>
      <c r="P69" s="742">
        <v>0</v>
      </c>
      <c r="Q69" s="359">
        <v>0</v>
      </c>
    </row>
    <row r="70" spans="2:17" x14ac:dyDescent="0.25">
      <c r="B70" s="26" t="s">
        <v>314</v>
      </c>
      <c r="C70" s="358">
        <v>0.76</v>
      </c>
      <c r="D70" s="358">
        <v>0.82</v>
      </c>
      <c r="E70" s="358">
        <v>0.95</v>
      </c>
      <c r="F70" s="358">
        <v>0.95</v>
      </c>
      <c r="G70" s="358">
        <v>0.55000000000000004</v>
      </c>
      <c r="H70" s="358">
        <v>0.55000000000000004</v>
      </c>
      <c r="I70" s="26" t="s">
        <v>314</v>
      </c>
      <c r="J70" s="360">
        <v>2690</v>
      </c>
      <c r="K70" s="360">
        <v>3475</v>
      </c>
      <c r="L70" s="360">
        <v>3327</v>
      </c>
      <c r="M70" s="743">
        <v>3327</v>
      </c>
      <c r="N70" s="360">
        <v>766</v>
      </c>
      <c r="O70" s="360">
        <v>1992</v>
      </c>
      <c r="P70" s="743">
        <v>1992</v>
      </c>
      <c r="Q70" s="360">
        <v>43</v>
      </c>
    </row>
    <row r="71" spans="2:17" x14ac:dyDescent="0.25">
      <c r="B71" s="28" t="s">
        <v>315</v>
      </c>
      <c r="C71" s="357">
        <v>0</v>
      </c>
      <c r="D71" s="357">
        <v>0</v>
      </c>
      <c r="E71" s="357">
        <v>0.81</v>
      </c>
      <c r="F71" s="357">
        <v>0.81</v>
      </c>
      <c r="G71" s="357">
        <v>0.55000000000000004</v>
      </c>
      <c r="H71" s="357">
        <v>0.55000000000000004</v>
      </c>
      <c r="I71" s="28" t="s">
        <v>315</v>
      </c>
      <c r="J71" s="359">
        <v>0</v>
      </c>
      <c r="K71" s="359">
        <v>0</v>
      </c>
      <c r="L71" s="359">
        <v>2537</v>
      </c>
      <c r="M71" s="742">
        <v>2537</v>
      </c>
      <c r="N71" s="359">
        <v>462</v>
      </c>
      <c r="O71" s="359">
        <v>1992</v>
      </c>
      <c r="P71" s="742">
        <v>1992</v>
      </c>
      <c r="Q71" s="359">
        <v>43</v>
      </c>
    </row>
    <row r="72" spans="2:17" x14ac:dyDescent="0.25">
      <c r="B72" s="26" t="s">
        <v>337</v>
      </c>
      <c r="C72" s="358">
        <v>0</v>
      </c>
      <c r="D72" s="358">
        <v>0</v>
      </c>
      <c r="E72" s="358">
        <v>0.82</v>
      </c>
      <c r="F72" s="358">
        <v>0.82</v>
      </c>
      <c r="G72" s="358">
        <v>0</v>
      </c>
      <c r="H72" s="358">
        <v>0</v>
      </c>
      <c r="I72" s="26" t="s">
        <v>337</v>
      </c>
      <c r="J72" s="360">
        <v>0</v>
      </c>
      <c r="K72" s="360">
        <v>0</v>
      </c>
      <c r="L72" s="360">
        <v>3116</v>
      </c>
      <c r="M72" s="743">
        <v>3116</v>
      </c>
      <c r="N72" s="360">
        <v>167</v>
      </c>
      <c r="O72" s="360">
        <v>0</v>
      </c>
      <c r="P72" s="743">
        <v>0</v>
      </c>
      <c r="Q72" s="360">
        <v>0</v>
      </c>
    </row>
    <row r="73" spans="2:17" x14ac:dyDescent="0.25">
      <c r="B73" s="28" t="s">
        <v>338</v>
      </c>
      <c r="C73" s="357">
        <v>0.82</v>
      </c>
      <c r="D73" s="357">
        <v>0.81</v>
      </c>
      <c r="E73" s="357">
        <v>0.94</v>
      </c>
      <c r="F73" s="357">
        <v>0.94</v>
      </c>
      <c r="G73" s="357">
        <v>0</v>
      </c>
      <c r="H73" s="357">
        <v>0</v>
      </c>
      <c r="I73" s="28" t="s">
        <v>338</v>
      </c>
      <c r="J73" s="359">
        <v>3753</v>
      </c>
      <c r="K73" s="359">
        <v>4708</v>
      </c>
      <c r="L73" s="359">
        <v>4676</v>
      </c>
      <c r="M73" s="742">
        <v>4676</v>
      </c>
      <c r="N73" s="359">
        <v>1239</v>
      </c>
      <c r="O73" s="359">
        <v>0</v>
      </c>
      <c r="P73" s="742">
        <v>0</v>
      </c>
      <c r="Q73" s="359">
        <v>0</v>
      </c>
    </row>
    <row r="74" spans="2:17" x14ac:dyDescent="0.25">
      <c r="B74" s="26" t="s">
        <v>336</v>
      </c>
      <c r="C74" s="358">
        <v>0.8</v>
      </c>
      <c r="D74" s="358">
        <v>0.84</v>
      </c>
      <c r="E74" s="358">
        <v>0.84</v>
      </c>
      <c r="F74" s="358">
        <v>0</v>
      </c>
      <c r="G74" s="358">
        <v>0</v>
      </c>
      <c r="H74" s="358">
        <v>0</v>
      </c>
      <c r="I74" s="26" t="s">
        <v>336</v>
      </c>
      <c r="J74" s="360">
        <v>1960</v>
      </c>
      <c r="K74" s="360">
        <v>2172</v>
      </c>
      <c r="L74" s="360">
        <v>2368</v>
      </c>
      <c r="M74" s="743">
        <v>0</v>
      </c>
      <c r="N74" s="360">
        <v>0</v>
      </c>
      <c r="O74" s="360">
        <v>0</v>
      </c>
      <c r="P74" s="743">
        <v>0</v>
      </c>
      <c r="Q74" s="360">
        <v>0</v>
      </c>
    </row>
    <row r="75" spans="2:17" x14ac:dyDescent="0.25">
      <c r="B75" s="28" t="s">
        <v>28</v>
      </c>
      <c r="C75" s="357">
        <v>0.79</v>
      </c>
      <c r="D75" s="357">
        <v>0.82</v>
      </c>
      <c r="E75" s="357">
        <v>0.88</v>
      </c>
      <c r="F75" s="357">
        <v>0.88</v>
      </c>
      <c r="G75" s="357">
        <v>0</v>
      </c>
      <c r="H75" s="357">
        <v>0</v>
      </c>
      <c r="I75" s="28" t="s">
        <v>28</v>
      </c>
      <c r="J75" s="359">
        <v>1680</v>
      </c>
      <c r="K75" s="359">
        <v>2185</v>
      </c>
      <c r="L75" s="359">
        <v>1903</v>
      </c>
      <c r="M75" s="742">
        <v>1903</v>
      </c>
      <c r="N75" s="359">
        <v>281</v>
      </c>
      <c r="O75" s="359">
        <v>0</v>
      </c>
      <c r="P75" s="742">
        <v>0</v>
      </c>
      <c r="Q75" s="359">
        <v>0</v>
      </c>
    </row>
    <row r="76" spans="2:17" x14ac:dyDescent="0.25">
      <c r="B76" s="26" t="s">
        <v>335</v>
      </c>
      <c r="C76" s="358">
        <v>0</v>
      </c>
      <c r="D76" s="358">
        <v>0</v>
      </c>
      <c r="E76" s="358">
        <v>0.75</v>
      </c>
      <c r="F76" s="358">
        <v>0.75</v>
      </c>
      <c r="G76" s="358">
        <v>0</v>
      </c>
      <c r="H76" s="358">
        <v>0</v>
      </c>
      <c r="I76" s="26" t="s">
        <v>335</v>
      </c>
      <c r="J76" s="360">
        <v>0</v>
      </c>
      <c r="K76" s="360">
        <v>0</v>
      </c>
      <c r="L76" s="360">
        <v>1357</v>
      </c>
      <c r="M76" s="743">
        <v>1357</v>
      </c>
      <c r="N76" s="360">
        <v>287</v>
      </c>
      <c r="O76" s="360">
        <v>0</v>
      </c>
      <c r="P76" s="743">
        <v>0</v>
      </c>
      <c r="Q76" s="360">
        <v>0</v>
      </c>
    </row>
    <row r="77" spans="2:17" x14ac:dyDescent="0.25">
      <c r="B77" s="28" t="s">
        <v>29</v>
      </c>
      <c r="C77" s="357">
        <v>0</v>
      </c>
      <c r="D77" s="357">
        <v>0</v>
      </c>
      <c r="E77" s="357">
        <v>0.85</v>
      </c>
      <c r="F77" s="357">
        <v>0.85</v>
      </c>
      <c r="G77" s="357">
        <v>0</v>
      </c>
      <c r="H77" s="357">
        <v>0</v>
      </c>
      <c r="I77" s="28" t="s">
        <v>29</v>
      </c>
      <c r="J77" s="359">
        <v>0</v>
      </c>
      <c r="K77" s="359">
        <v>0</v>
      </c>
      <c r="L77" s="359">
        <v>1445</v>
      </c>
      <c r="M77" s="742">
        <v>1445</v>
      </c>
      <c r="N77" s="359">
        <v>74</v>
      </c>
      <c r="O77" s="359">
        <v>0</v>
      </c>
      <c r="P77" s="742">
        <v>0</v>
      </c>
      <c r="Q77" s="359">
        <v>0</v>
      </c>
    </row>
    <row r="78" spans="2:17" x14ac:dyDescent="0.25">
      <c r="B78" s="26" t="s">
        <v>24</v>
      </c>
      <c r="C78" s="358">
        <v>0.81</v>
      </c>
      <c r="D78" s="358">
        <v>0.86</v>
      </c>
      <c r="E78" s="358">
        <v>0.86</v>
      </c>
      <c r="F78" s="358">
        <v>0</v>
      </c>
      <c r="G78" s="358">
        <v>0</v>
      </c>
      <c r="H78" s="358">
        <v>0</v>
      </c>
      <c r="I78" s="26" t="s">
        <v>24</v>
      </c>
      <c r="J78" s="360">
        <v>2264</v>
      </c>
      <c r="K78" s="360">
        <v>2482</v>
      </c>
      <c r="L78" s="360">
        <v>2559</v>
      </c>
      <c r="M78" s="743">
        <v>0</v>
      </c>
      <c r="N78" s="360">
        <v>0</v>
      </c>
      <c r="O78" s="360">
        <v>0</v>
      </c>
      <c r="P78" s="743">
        <v>0</v>
      </c>
      <c r="Q78" s="360">
        <v>0</v>
      </c>
    </row>
    <row r="79" spans="2:17" x14ac:dyDescent="0.25">
      <c r="B79" s="28" t="s">
        <v>339</v>
      </c>
      <c r="C79" s="357">
        <v>0.83</v>
      </c>
      <c r="D79" s="357">
        <v>0.84</v>
      </c>
      <c r="E79" s="357">
        <v>0.87</v>
      </c>
      <c r="F79" s="357">
        <v>0</v>
      </c>
      <c r="G79" s="357">
        <v>0</v>
      </c>
      <c r="H79" s="357">
        <v>0</v>
      </c>
      <c r="I79" s="28" t="s">
        <v>339</v>
      </c>
      <c r="J79" s="359">
        <v>1474</v>
      </c>
      <c r="K79" s="359">
        <v>1594</v>
      </c>
      <c r="L79" s="359">
        <v>2028</v>
      </c>
      <c r="M79" s="742">
        <v>0</v>
      </c>
      <c r="N79" s="359">
        <v>0</v>
      </c>
      <c r="O79" s="359">
        <v>0</v>
      </c>
      <c r="P79" s="742">
        <v>0</v>
      </c>
      <c r="Q79" s="359">
        <v>0</v>
      </c>
    </row>
    <row r="80" spans="2:17" x14ac:dyDescent="0.25">
      <c r="B80" s="26" t="s">
        <v>316</v>
      </c>
      <c r="C80" s="358">
        <v>0</v>
      </c>
      <c r="D80" s="358">
        <v>0</v>
      </c>
      <c r="E80" s="358">
        <v>0.86</v>
      </c>
      <c r="F80" s="358">
        <v>0.86</v>
      </c>
      <c r="G80" s="358">
        <v>0</v>
      </c>
      <c r="H80" s="358">
        <v>0</v>
      </c>
      <c r="I80" s="26" t="s">
        <v>316</v>
      </c>
      <c r="J80" s="360">
        <v>0</v>
      </c>
      <c r="K80" s="360">
        <v>0</v>
      </c>
      <c r="L80" s="360">
        <v>1881</v>
      </c>
      <c r="M80" s="743">
        <v>1881</v>
      </c>
      <c r="N80" s="360">
        <v>591</v>
      </c>
      <c r="O80" s="360">
        <v>0</v>
      </c>
      <c r="P80" s="743">
        <v>0</v>
      </c>
      <c r="Q80" s="360">
        <v>0</v>
      </c>
    </row>
    <row r="81" spans="2:17" x14ac:dyDescent="0.25">
      <c r="B81" s="28" t="s">
        <v>317</v>
      </c>
      <c r="C81" s="357">
        <v>0</v>
      </c>
      <c r="D81" s="357">
        <v>0</v>
      </c>
      <c r="E81" s="357">
        <v>0.85</v>
      </c>
      <c r="F81" s="357">
        <v>0.85</v>
      </c>
      <c r="G81" s="357">
        <v>0</v>
      </c>
      <c r="H81" s="357">
        <v>0</v>
      </c>
      <c r="I81" s="28" t="s">
        <v>317</v>
      </c>
      <c r="J81" s="359">
        <v>0</v>
      </c>
      <c r="K81" s="359">
        <v>0</v>
      </c>
      <c r="L81" s="359">
        <v>1536</v>
      </c>
      <c r="M81" s="742">
        <v>1536</v>
      </c>
      <c r="N81" s="359">
        <v>316</v>
      </c>
      <c r="O81" s="359">
        <v>0</v>
      </c>
      <c r="P81" s="742">
        <v>0</v>
      </c>
      <c r="Q81" s="359">
        <v>0</v>
      </c>
    </row>
    <row r="82" spans="2:17" x14ac:dyDescent="0.25">
      <c r="B82" s="26" t="s">
        <v>340</v>
      </c>
      <c r="C82" s="358">
        <v>0</v>
      </c>
      <c r="D82" s="358">
        <v>0</v>
      </c>
      <c r="E82" s="358">
        <v>0.88</v>
      </c>
      <c r="F82" s="358">
        <v>0</v>
      </c>
      <c r="G82" s="358">
        <v>0</v>
      </c>
      <c r="H82" s="358">
        <v>0</v>
      </c>
      <c r="I82" s="26" t="s">
        <v>340</v>
      </c>
      <c r="J82" s="360">
        <v>0</v>
      </c>
      <c r="K82" s="360">
        <v>0</v>
      </c>
      <c r="L82" s="360">
        <v>4168</v>
      </c>
      <c r="M82" s="743">
        <v>0</v>
      </c>
      <c r="N82" s="360">
        <v>0</v>
      </c>
      <c r="O82" s="360">
        <v>0</v>
      </c>
      <c r="P82" s="743">
        <v>0</v>
      </c>
      <c r="Q82" s="360">
        <v>0</v>
      </c>
    </row>
    <row r="83" spans="2:17" x14ac:dyDescent="0.25">
      <c r="B83" s="28" t="s">
        <v>318</v>
      </c>
      <c r="C83" s="357">
        <v>0</v>
      </c>
      <c r="D83" s="357">
        <v>0</v>
      </c>
      <c r="E83" s="357">
        <v>0.91</v>
      </c>
      <c r="F83" s="357">
        <v>0.91</v>
      </c>
      <c r="G83" s="357">
        <v>0</v>
      </c>
      <c r="H83" s="357">
        <v>0</v>
      </c>
      <c r="I83" s="28" t="s">
        <v>318</v>
      </c>
      <c r="J83" s="359">
        <v>0</v>
      </c>
      <c r="K83" s="359">
        <v>0</v>
      </c>
      <c r="L83" s="359">
        <v>1437</v>
      </c>
      <c r="M83" s="742">
        <v>1437</v>
      </c>
      <c r="N83" s="359">
        <v>200</v>
      </c>
      <c r="O83" s="359">
        <v>0</v>
      </c>
      <c r="P83" s="742">
        <v>0</v>
      </c>
      <c r="Q83" s="359">
        <v>0</v>
      </c>
    </row>
    <row r="84" spans="2:17" x14ac:dyDescent="0.25">
      <c r="B84" s="26" t="s">
        <v>319</v>
      </c>
      <c r="C84" s="358">
        <v>0</v>
      </c>
      <c r="D84" s="358">
        <v>0</v>
      </c>
      <c r="E84" s="358">
        <v>0.93</v>
      </c>
      <c r="F84" s="358">
        <v>0.93</v>
      </c>
      <c r="G84" s="358">
        <v>0</v>
      </c>
      <c r="H84" s="358">
        <v>0</v>
      </c>
      <c r="I84" s="26" t="s">
        <v>319</v>
      </c>
      <c r="J84" s="360">
        <v>0</v>
      </c>
      <c r="K84" s="360">
        <v>0</v>
      </c>
      <c r="L84" s="360">
        <v>1456</v>
      </c>
      <c r="M84" s="743">
        <v>1456</v>
      </c>
      <c r="N84" s="360">
        <v>182</v>
      </c>
      <c r="O84" s="360">
        <v>0</v>
      </c>
      <c r="P84" s="743">
        <v>0</v>
      </c>
      <c r="Q84" s="360">
        <v>0</v>
      </c>
    </row>
    <row r="85" spans="2:17" x14ac:dyDescent="0.25">
      <c r="B85" s="28" t="s">
        <v>320</v>
      </c>
      <c r="C85" s="357">
        <v>0</v>
      </c>
      <c r="D85" s="357">
        <v>0.88</v>
      </c>
      <c r="E85" s="357">
        <v>0.73</v>
      </c>
      <c r="F85" s="357">
        <v>0.73</v>
      </c>
      <c r="G85" s="357">
        <v>0</v>
      </c>
      <c r="H85" s="357">
        <v>0</v>
      </c>
      <c r="I85" s="28" t="s">
        <v>320</v>
      </c>
      <c r="J85" s="359">
        <v>0</v>
      </c>
      <c r="K85" s="359">
        <v>3012</v>
      </c>
      <c r="L85" s="359">
        <v>1325</v>
      </c>
      <c r="M85" s="742">
        <v>1325</v>
      </c>
      <c r="N85" s="359">
        <v>384</v>
      </c>
      <c r="O85" s="359">
        <v>0</v>
      </c>
      <c r="P85" s="742">
        <v>0</v>
      </c>
      <c r="Q85" s="359">
        <v>0</v>
      </c>
    </row>
    <row r="86" spans="2:17" x14ac:dyDescent="0.25">
      <c r="B86" s="26" t="s">
        <v>321</v>
      </c>
      <c r="C86" s="358">
        <v>0</v>
      </c>
      <c r="D86" s="358">
        <v>0</v>
      </c>
      <c r="E86" s="358">
        <v>0.84</v>
      </c>
      <c r="F86" s="358">
        <v>0.84</v>
      </c>
      <c r="G86" s="358">
        <v>0</v>
      </c>
      <c r="H86" s="358">
        <v>0</v>
      </c>
      <c r="I86" s="26" t="s">
        <v>321</v>
      </c>
      <c r="J86" s="360">
        <v>0</v>
      </c>
      <c r="K86" s="360">
        <v>0</v>
      </c>
      <c r="L86" s="360">
        <v>1265</v>
      </c>
      <c r="M86" s="743">
        <v>1265</v>
      </c>
      <c r="N86" s="360">
        <v>279</v>
      </c>
      <c r="O86" s="360">
        <v>0</v>
      </c>
      <c r="P86" s="743">
        <v>0</v>
      </c>
      <c r="Q86" s="360">
        <v>0</v>
      </c>
    </row>
    <row r="87" spans="2:17" x14ac:dyDescent="0.25">
      <c r="B87" s="28" t="s">
        <v>322</v>
      </c>
      <c r="C87" s="357">
        <v>0.78</v>
      </c>
      <c r="D87" s="357">
        <v>0.82</v>
      </c>
      <c r="E87" s="357">
        <v>0.96</v>
      </c>
      <c r="F87" s="357">
        <v>0.96</v>
      </c>
      <c r="G87" s="357">
        <v>0</v>
      </c>
      <c r="H87" s="357">
        <v>0</v>
      </c>
      <c r="I87" s="28" t="s">
        <v>322</v>
      </c>
      <c r="J87" s="359">
        <v>1297</v>
      </c>
      <c r="K87" s="359">
        <v>1726</v>
      </c>
      <c r="L87" s="359">
        <v>1396</v>
      </c>
      <c r="M87" s="742">
        <v>1396</v>
      </c>
      <c r="N87" s="359">
        <v>193</v>
      </c>
      <c r="O87" s="359">
        <v>0</v>
      </c>
      <c r="P87" s="742">
        <v>0</v>
      </c>
      <c r="Q87" s="359">
        <v>0</v>
      </c>
    </row>
    <row r="88" spans="2:17" x14ac:dyDescent="0.25">
      <c r="B88" s="26" t="s">
        <v>341</v>
      </c>
      <c r="C88" s="358">
        <v>0.8</v>
      </c>
      <c r="D88" s="358">
        <v>0.84</v>
      </c>
      <c r="E88" s="358">
        <v>0.85</v>
      </c>
      <c r="F88" s="358">
        <v>0</v>
      </c>
      <c r="G88" s="358">
        <v>0</v>
      </c>
      <c r="H88" s="358">
        <v>0</v>
      </c>
      <c r="I88" s="26" t="s">
        <v>341</v>
      </c>
      <c r="J88" s="360">
        <v>1858</v>
      </c>
      <c r="K88" s="360">
        <v>2099</v>
      </c>
      <c r="L88" s="360">
        <v>2175</v>
      </c>
      <c r="M88" s="743">
        <v>0</v>
      </c>
      <c r="N88" s="360">
        <v>0</v>
      </c>
      <c r="O88" s="360">
        <v>0</v>
      </c>
      <c r="P88" s="743">
        <v>0</v>
      </c>
      <c r="Q88" s="360">
        <v>0</v>
      </c>
    </row>
    <row r="89" spans="2:17" x14ac:dyDescent="0.25">
      <c r="B89" s="28" t="s">
        <v>342</v>
      </c>
      <c r="C89" s="357">
        <v>0</v>
      </c>
      <c r="D89" s="357">
        <v>0</v>
      </c>
      <c r="E89" s="357">
        <v>0.87</v>
      </c>
      <c r="F89" s="357">
        <v>0</v>
      </c>
      <c r="G89" s="357">
        <v>0</v>
      </c>
      <c r="H89" s="357">
        <v>0</v>
      </c>
      <c r="I89" s="28" t="s">
        <v>342</v>
      </c>
      <c r="J89" s="359">
        <v>0</v>
      </c>
      <c r="K89" s="359">
        <v>0</v>
      </c>
      <c r="L89" s="359">
        <v>2429</v>
      </c>
      <c r="M89" s="742">
        <v>0</v>
      </c>
      <c r="N89" s="359">
        <v>0</v>
      </c>
      <c r="O89" s="359">
        <v>0</v>
      </c>
      <c r="P89" s="742">
        <v>0</v>
      </c>
      <c r="Q89" s="359">
        <v>0</v>
      </c>
    </row>
    <row r="90" spans="2:17" x14ac:dyDescent="0.25">
      <c r="B90" s="26" t="s">
        <v>27</v>
      </c>
      <c r="C90" s="358">
        <v>0</v>
      </c>
      <c r="D90" s="358">
        <v>0</v>
      </c>
      <c r="E90" s="358">
        <v>0.81</v>
      </c>
      <c r="F90" s="358">
        <v>0.81</v>
      </c>
      <c r="G90" s="358">
        <v>0</v>
      </c>
      <c r="H90" s="358">
        <v>0</v>
      </c>
      <c r="I90" s="26" t="s">
        <v>27</v>
      </c>
      <c r="J90" s="743">
        <v>0</v>
      </c>
      <c r="K90" s="743">
        <v>0</v>
      </c>
      <c r="L90" s="743">
        <v>545</v>
      </c>
      <c r="M90" s="743">
        <v>545</v>
      </c>
      <c r="N90" s="743">
        <v>523</v>
      </c>
      <c r="O90" s="743">
        <v>0</v>
      </c>
      <c r="P90" s="743">
        <v>0</v>
      </c>
      <c r="Q90" s="743">
        <v>0</v>
      </c>
    </row>
    <row r="91" spans="2:17" x14ac:dyDescent="0.25">
      <c r="B91" s="28" t="s">
        <v>693</v>
      </c>
      <c r="C91" s="357">
        <f>SMALL(C69:C90,COUNTIF(C69:C90,0)+1)</f>
        <v>0.76</v>
      </c>
      <c r="D91" s="357">
        <f>SMALL(D69:D90,COUNTIF(D69:D90,0)+1)</f>
        <v>0.81</v>
      </c>
      <c r="E91" s="357">
        <f>SMALL(E69:E90,COUNTIF(E69:E90,0)+1)</f>
        <v>0.73</v>
      </c>
      <c r="F91" s="357">
        <f>SMALL(F69:F90,COUNTIF(F69:F90,0)+1)</f>
        <v>0.73</v>
      </c>
      <c r="G91" s="357">
        <v>0</v>
      </c>
      <c r="H91" s="357">
        <v>0</v>
      </c>
      <c r="I91" s="28" t="s">
        <v>693</v>
      </c>
      <c r="J91" s="742">
        <f t="shared" ref="J91" si="6">SMALL(J69:J90,COUNTIF(J69:J90,0)+1)</f>
        <v>1297</v>
      </c>
      <c r="K91" s="742">
        <f t="shared" ref="K91" si="7">SMALL(K69:K90,COUNTIF(K69:K90,0)+1)</f>
        <v>1594</v>
      </c>
      <c r="L91" s="742">
        <f t="shared" ref="L91" si="8">SMALL(L69:L90,COUNTIF(L69:L90,0)+1)</f>
        <v>545</v>
      </c>
      <c r="M91" s="742">
        <f t="shared" ref="M91" si="9">SMALL(M69:M90,COUNTIF(M69:M90,0)+1)</f>
        <v>545</v>
      </c>
      <c r="N91" s="742">
        <f t="shared" ref="N91" si="10">SMALL(N69:N90,COUNTIF(N69:N90,0)+1)</f>
        <v>74</v>
      </c>
      <c r="O91" s="742">
        <v>0</v>
      </c>
      <c r="P91" s="742">
        <v>0</v>
      </c>
      <c r="Q91" s="742">
        <v>0</v>
      </c>
    </row>
    <row r="92" spans="2:17" x14ac:dyDescent="0.25">
      <c r="B92" s="26" t="str">
        <f>CONCATENATE("Custom - ",'Custom Bldg'!$C$5)</f>
        <v>Custom - Type 1</v>
      </c>
      <c r="C92" s="358">
        <f>'Custom Bldg'!$E$5</f>
        <v>0</v>
      </c>
      <c r="D92" s="358">
        <f>'Custom Bldg'!$G$5</f>
        <v>0</v>
      </c>
      <c r="E92" s="358">
        <f>'Custom Bldg'!$I$5</f>
        <v>0</v>
      </c>
      <c r="F92" s="358">
        <f>'Custom Bldg'!$I$5</f>
        <v>0</v>
      </c>
      <c r="G92" s="358">
        <f>'Custom Bldg'!$L$5</f>
        <v>0</v>
      </c>
      <c r="H92" s="358">
        <f>'Custom Bldg'!$L$5</f>
        <v>0</v>
      </c>
      <c r="I92" s="26" t="str">
        <f>CONCATENATE("Custom - ",'Custom Bldg'!$C$5)</f>
        <v>Custom - Type 1</v>
      </c>
      <c r="J92" s="743">
        <f>'Custom Bldg'!$F$5</f>
        <v>0</v>
      </c>
      <c r="K92" s="743">
        <f>'Custom Bldg'!$H$5</f>
        <v>0</v>
      </c>
      <c r="L92" s="743">
        <f>'Custom Bldg'!$J$5</f>
        <v>0</v>
      </c>
      <c r="M92" s="743">
        <f>'Custom Bldg'!$J$5</f>
        <v>0</v>
      </c>
      <c r="N92" s="743">
        <f>'Custom Bldg'!$K$5</f>
        <v>0</v>
      </c>
      <c r="O92" s="743">
        <f>'Custom Bldg'!$M$5</f>
        <v>0</v>
      </c>
      <c r="P92" s="743">
        <f>'Custom Bldg'!$M$5</f>
        <v>0</v>
      </c>
      <c r="Q92" s="743">
        <f>'Custom Bldg'!$N$5</f>
        <v>0</v>
      </c>
    </row>
    <row r="93" spans="2:17" x14ac:dyDescent="0.25">
      <c r="B93" s="28" t="str">
        <f>CONCATENATE("Custom - ",'Custom Bldg'!$C$6)</f>
        <v>Custom - Type 2</v>
      </c>
      <c r="C93" s="357">
        <f>'Custom Bldg'!$E$6</f>
        <v>0</v>
      </c>
      <c r="D93" s="357">
        <f>'Custom Bldg'!$G$6</f>
        <v>0</v>
      </c>
      <c r="E93" s="357">
        <f>'Custom Bldg'!$I$6</f>
        <v>0</v>
      </c>
      <c r="F93" s="357">
        <f>'Custom Bldg'!$I$6</f>
        <v>0</v>
      </c>
      <c r="G93" s="357">
        <f>'Custom Bldg'!$L$6</f>
        <v>0</v>
      </c>
      <c r="H93" s="357">
        <f>'Custom Bldg'!$L$6</f>
        <v>0</v>
      </c>
      <c r="I93" s="28" t="str">
        <f>CONCATENATE("Custom - ",'Custom Bldg'!$C$6)</f>
        <v>Custom - Type 2</v>
      </c>
      <c r="J93" s="742">
        <f>'Custom Bldg'!$F$6</f>
        <v>0</v>
      </c>
      <c r="K93" s="742">
        <f>'Custom Bldg'!$H$6</f>
        <v>0</v>
      </c>
      <c r="L93" s="742">
        <f>'Custom Bldg'!$J$6</f>
        <v>0</v>
      </c>
      <c r="M93" s="742">
        <f>'Custom Bldg'!$J$6</f>
        <v>0</v>
      </c>
      <c r="N93" s="742">
        <f>'Custom Bldg'!$K$6</f>
        <v>0</v>
      </c>
      <c r="O93" s="742">
        <f>'Custom Bldg'!$M$6</f>
        <v>0</v>
      </c>
      <c r="P93" s="742">
        <f>'Custom Bldg'!$M$6</f>
        <v>0</v>
      </c>
      <c r="Q93" s="742">
        <f>'Custom Bldg'!$N$6</f>
        <v>0</v>
      </c>
    </row>
    <row r="94" spans="2:17" x14ac:dyDescent="0.25">
      <c r="B94" s="26" t="str">
        <f>CONCATENATE("Custom - ",'Custom Bldg'!$C$7)</f>
        <v>Custom - Type 3</v>
      </c>
      <c r="C94" s="358">
        <f>'Custom Bldg'!$E$7</f>
        <v>0</v>
      </c>
      <c r="D94" s="358">
        <f>'Custom Bldg'!$G$7</f>
        <v>0</v>
      </c>
      <c r="E94" s="358">
        <f>'Custom Bldg'!$I$7</f>
        <v>0</v>
      </c>
      <c r="F94" s="358">
        <f>'Custom Bldg'!$I$7</f>
        <v>0</v>
      </c>
      <c r="G94" s="358">
        <f>'Custom Bldg'!$L$7</f>
        <v>0</v>
      </c>
      <c r="H94" s="358">
        <f>'Custom Bldg'!$L$7</f>
        <v>0</v>
      </c>
      <c r="I94" s="26" t="str">
        <f>CONCATENATE("Custom - ",'Custom Bldg'!$C$7)</f>
        <v>Custom - Type 3</v>
      </c>
      <c r="J94" s="743">
        <f>'Custom Bldg'!$F$7</f>
        <v>0</v>
      </c>
      <c r="K94" s="743">
        <f>'Custom Bldg'!$H$7</f>
        <v>0</v>
      </c>
      <c r="L94" s="743">
        <f>'Custom Bldg'!$J$7</f>
        <v>0</v>
      </c>
      <c r="M94" s="743">
        <f>'Custom Bldg'!$J$7</f>
        <v>0</v>
      </c>
      <c r="N94" s="743">
        <f>'Custom Bldg'!$K$7</f>
        <v>0</v>
      </c>
      <c r="O94" s="743">
        <f>'Custom Bldg'!$M$7</f>
        <v>0</v>
      </c>
      <c r="P94" s="743">
        <f>'Custom Bldg'!$M$7</f>
        <v>0</v>
      </c>
      <c r="Q94" s="743">
        <f>'Custom Bldg'!$N$7</f>
        <v>0</v>
      </c>
    </row>
    <row r="95" spans="2:17" x14ac:dyDescent="0.25">
      <c r="B95" s="28" t="str">
        <f>CONCATENATE("Custom - ",'Custom Bldg'!$C$8)</f>
        <v>Custom - Type 4</v>
      </c>
      <c r="C95" s="357">
        <f>'Custom Bldg'!$E$8</f>
        <v>0</v>
      </c>
      <c r="D95" s="357">
        <f>'Custom Bldg'!$G$8</f>
        <v>0</v>
      </c>
      <c r="E95" s="357">
        <f>'Custom Bldg'!$I$8</f>
        <v>0</v>
      </c>
      <c r="F95" s="357">
        <f>'Custom Bldg'!$I$8</f>
        <v>0</v>
      </c>
      <c r="G95" s="357">
        <f>'Custom Bldg'!$L$8</f>
        <v>0</v>
      </c>
      <c r="H95" s="357">
        <f>'Custom Bldg'!$L$8</f>
        <v>0</v>
      </c>
      <c r="I95" s="28" t="str">
        <f>CONCATENATE("Custom - ",'Custom Bldg'!$C$8)</f>
        <v>Custom - Type 4</v>
      </c>
      <c r="J95" s="742">
        <f>'Custom Bldg'!$F$8</f>
        <v>0</v>
      </c>
      <c r="K95" s="742">
        <f>'Custom Bldg'!$H$8</f>
        <v>0</v>
      </c>
      <c r="L95" s="742">
        <f>'Custom Bldg'!$J$8</f>
        <v>0</v>
      </c>
      <c r="M95" s="742">
        <f>'Custom Bldg'!$J$8</f>
        <v>0</v>
      </c>
      <c r="N95" s="742">
        <f>'Custom Bldg'!$K$8</f>
        <v>0</v>
      </c>
      <c r="O95" s="742">
        <f>'Custom Bldg'!$M$8</f>
        <v>0</v>
      </c>
      <c r="P95" s="742">
        <f>'Custom Bldg'!$M$8</f>
        <v>0</v>
      </c>
      <c r="Q95" s="742">
        <f>'Custom Bldg'!$N$8</f>
        <v>0</v>
      </c>
    </row>
    <row r="96" spans="2:17" x14ac:dyDescent="0.25">
      <c r="B96" s="886" t="str">
        <f>CONCATENATE("Custom - ",'Custom Bldg'!$C$9)</f>
        <v>Custom - Type 5</v>
      </c>
      <c r="C96" s="887">
        <f>'Custom Bldg'!$E$9</f>
        <v>0</v>
      </c>
      <c r="D96" s="887">
        <f>'Custom Bldg'!$G$9</f>
        <v>0</v>
      </c>
      <c r="E96" s="887">
        <f>'Custom Bldg'!$I$9</f>
        <v>0</v>
      </c>
      <c r="F96" s="887">
        <f>'Custom Bldg'!$I$9</f>
        <v>0</v>
      </c>
      <c r="G96" s="887">
        <f>'Custom Bldg'!$L$9</f>
        <v>0</v>
      </c>
      <c r="H96" s="887">
        <f>'Custom Bldg'!$L$9</f>
        <v>0</v>
      </c>
      <c r="I96" s="886" t="str">
        <f>CONCATENATE("Custom - ",'Custom Bldg'!$C$9)</f>
        <v>Custom - Type 5</v>
      </c>
      <c r="J96" s="888">
        <f>'Custom Bldg'!$F$9</f>
        <v>0</v>
      </c>
      <c r="K96" s="888">
        <f>'Custom Bldg'!$H$9</f>
        <v>0</v>
      </c>
      <c r="L96" s="888">
        <f>'Custom Bldg'!$J$9</f>
        <v>0</v>
      </c>
      <c r="M96" s="888">
        <f>'Custom Bldg'!$J$9</f>
        <v>0</v>
      </c>
      <c r="N96" s="888">
        <f>'Custom Bldg'!$K$9</f>
        <v>0</v>
      </c>
      <c r="O96" s="888">
        <f>'Custom Bldg'!$M$9</f>
        <v>0</v>
      </c>
      <c r="P96" s="888">
        <f>'Custom Bldg'!$M$9</f>
        <v>0</v>
      </c>
      <c r="Q96" s="888">
        <f>'Custom Bldg'!$N$9</f>
        <v>0</v>
      </c>
    </row>
    <row r="98" spans="2:17" ht="25.5" customHeight="1" x14ac:dyDescent="0.25">
      <c r="B98" s="29" t="s">
        <v>182</v>
      </c>
      <c r="C98" s="346"/>
      <c r="D98" s="347"/>
      <c r="E98" s="346"/>
      <c r="F98" s="346"/>
      <c r="G98" s="346"/>
      <c r="H98" s="347"/>
      <c r="I98" s="29"/>
      <c r="J98" s="346"/>
      <c r="K98" s="347"/>
      <c r="L98" s="346"/>
      <c r="M98" s="741"/>
      <c r="N98" s="346"/>
      <c r="O98" s="346"/>
      <c r="P98" s="741"/>
      <c r="Q98" s="175" t="s">
        <v>183</v>
      </c>
    </row>
    <row r="99" spans="2:17" ht="25.5" customHeight="1" x14ac:dyDescent="0.25">
      <c r="B99" s="1053" t="s">
        <v>23</v>
      </c>
      <c r="C99" s="1048" t="s">
        <v>603</v>
      </c>
      <c r="D99" s="1049"/>
      <c r="E99" s="1049"/>
      <c r="F99" s="1049"/>
      <c r="G99" s="1049"/>
      <c r="H99" s="1050"/>
      <c r="I99" s="1051" t="s">
        <v>23</v>
      </c>
      <c r="J99" s="1048" t="s">
        <v>604</v>
      </c>
      <c r="K99" s="1049"/>
      <c r="L99" s="1049"/>
      <c r="M99" s="1049"/>
      <c r="N99" s="1049"/>
      <c r="O99" s="1049"/>
      <c r="P99" s="1049"/>
      <c r="Q99" s="1049"/>
    </row>
    <row r="100" spans="2:17" ht="25.5" x14ac:dyDescent="0.25">
      <c r="B100" s="1054"/>
      <c r="C100" s="336" t="s">
        <v>30</v>
      </c>
      <c r="D100" s="336" t="s">
        <v>31</v>
      </c>
      <c r="E100" s="737" t="s">
        <v>605</v>
      </c>
      <c r="F100" s="737" t="s">
        <v>608</v>
      </c>
      <c r="G100" s="336" t="s">
        <v>47</v>
      </c>
      <c r="H100" s="336" t="s">
        <v>48</v>
      </c>
      <c r="I100" s="1052"/>
      <c r="J100" s="336" t="s">
        <v>30</v>
      </c>
      <c r="K100" s="336" t="s">
        <v>31</v>
      </c>
      <c r="L100" s="737" t="s">
        <v>605</v>
      </c>
      <c r="M100" s="737" t="s">
        <v>606</v>
      </c>
      <c r="N100" s="737" t="s">
        <v>607</v>
      </c>
      <c r="O100" s="737" t="s">
        <v>47</v>
      </c>
      <c r="P100" s="738" t="s">
        <v>598</v>
      </c>
      <c r="Q100" s="738" t="s">
        <v>599</v>
      </c>
    </row>
    <row r="101" spans="2:17" x14ac:dyDescent="0.25">
      <c r="B101" s="30" t="s">
        <v>313</v>
      </c>
      <c r="C101" s="374">
        <v>0</v>
      </c>
      <c r="D101" s="375">
        <v>0</v>
      </c>
      <c r="E101" s="374">
        <v>0.94</v>
      </c>
      <c r="F101" s="374">
        <v>0.94</v>
      </c>
      <c r="G101" s="377">
        <v>0</v>
      </c>
      <c r="H101" s="374">
        <v>0</v>
      </c>
      <c r="I101" s="30" t="s">
        <v>313</v>
      </c>
      <c r="J101" s="363">
        <v>0</v>
      </c>
      <c r="K101" s="362">
        <v>0</v>
      </c>
      <c r="L101" s="363">
        <v>2381</v>
      </c>
      <c r="M101" s="745">
        <v>2381</v>
      </c>
      <c r="N101" s="363">
        <v>174</v>
      </c>
      <c r="O101" s="363">
        <v>0</v>
      </c>
      <c r="P101" s="745">
        <v>0</v>
      </c>
      <c r="Q101" s="362">
        <v>0</v>
      </c>
    </row>
    <row r="102" spans="2:17" x14ac:dyDescent="0.25">
      <c r="B102" s="31" t="s">
        <v>314</v>
      </c>
      <c r="C102" s="376">
        <v>0.9</v>
      </c>
      <c r="D102" s="358">
        <v>0.82</v>
      </c>
      <c r="E102" s="376">
        <v>0.95</v>
      </c>
      <c r="F102" s="376">
        <v>0.95</v>
      </c>
      <c r="G102" s="376">
        <v>0.49</v>
      </c>
      <c r="H102" s="358">
        <v>0.49</v>
      </c>
      <c r="I102" s="31" t="s">
        <v>314</v>
      </c>
      <c r="J102" s="364">
        <v>3575</v>
      </c>
      <c r="K102" s="360">
        <v>3969</v>
      </c>
      <c r="L102" s="364">
        <v>4041</v>
      </c>
      <c r="M102" s="746">
        <v>4041</v>
      </c>
      <c r="N102" s="364">
        <v>710</v>
      </c>
      <c r="O102" s="364">
        <v>2223</v>
      </c>
      <c r="P102" s="746">
        <v>2223</v>
      </c>
      <c r="Q102" s="360">
        <v>50</v>
      </c>
    </row>
    <row r="103" spans="2:17" x14ac:dyDescent="0.25">
      <c r="B103" s="32" t="s">
        <v>315</v>
      </c>
      <c r="C103" s="377">
        <v>0</v>
      </c>
      <c r="D103" s="374">
        <v>0</v>
      </c>
      <c r="E103" s="377">
        <v>0.78</v>
      </c>
      <c r="F103" s="377">
        <v>0.78</v>
      </c>
      <c r="G103" s="377">
        <v>0.49</v>
      </c>
      <c r="H103" s="374">
        <v>0.49</v>
      </c>
      <c r="I103" s="32" t="s">
        <v>315</v>
      </c>
      <c r="J103" s="365">
        <v>0</v>
      </c>
      <c r="K103" s="363">
        <v>0</v>
      </c>
      <c r="L103" s="365">
        <v>3019</v>
      </c>
      <c r="M103" s="747">
        <v>3019</v>
      </c>
      <c r="N103" s="365">
        <v>369</v>
      </c>
      <c r="O103" s="365">
        <v>2223</v>
      </c>
      <c r="P103" s="747">
        <v>2223</v>
      </c>
      <c r="Q103" s="363">
        <v>50</v>
      </c>
    </row>
    <row r="104" spans="2:17" x14ac:dyDescent="0.25">
      <c r="B104" s="31" t="s">
        <v>337</v>
      </c>
      <c r="C104" s="376">
        <v>0</v>
      </c>
      <c r="D104" s="358">
        <v>0</v>
      </c>
      <c r="E104" s="376">
        <v>0.84</v>
      </c>
      <c r="F104" s="376">
        <v>0.84</v>
      </c>
      <c r="G104" s="376">
        <v>0</v>
      </c>
      <c r="H104" s="358">
        <v>0</v>
      </c>
      <c r="I104" s="31" t="s">
        <v>337</v>
      </c>
      <c r="J104" s="364">
        <v>0</v>
      </c>
      <c r="K104" s="360">
        <v>0</v>
      </c>
      <c r="L104" s="364">
        <v>3294</v>
      </c>
      <c r="M104" s="746">
        <v>3294</v>
      </c>
      <c r="N104" s="364">
        <v>1431</v>
      </c>
      <c r="O104" s="364">
        <v>0</v>
      </c>
      <c r="P104" s="746">
        <v>0</v>
      </c>
      <c r="Q104" s="360">
        <v>0</v>
      </c>
    </row>
    <row r="105" spans="2:17" x14ac:dyDescent="0.25">
      <c r="B105" s="32" t="s">
        <v>338</v>
      </c>
      <c r="C105" s="377">
        <v>0.85</v>
      </c>
      <c r="D105" s="374">
        <v>0.8</v>
      </c>
      <c r="E105" s="377">
        <v>0.92</v>
      </c>
      <c r="F105" s="377">
        <v>0.92</v>
      </c>
      <c r="G105" s="377">
        <v>0</v>
      </c>
      <c r="H105" s="374">
        <v>0</v>
      </c>
      <c r="I105" s="32" t="s">
        <v>338</v>
      </c>
      <c r="J105" s="365">
        <v>4208</v>
      </c>
      <c r="K105" s="363">
        <v>5160</v>
      </c>
      <c r="L105" s="365">
        <v>5286</v>
      </c>
      <c r="M105" s="747">
        <v>5286</v>
      </c>
      <c r="N105" s="365">
        <v>1080</v>
      </c>
      <c r="O105" s="365">
        <v>0</v>
      </c>
      <c r="P105" s="747">
        <v>0</v>
      </c>
      <c r="Q105" s="363">
        <v>0</v>
      </c>
    </row>
    <row r="106" spans="2:17" x14ac:dyDescent="0.25">
      <c r="B106" s="31" t="s">
        <v>336</v>
      </c>
      <c r="C106" s="376">
        <v>0.8</v>
      </c>
      <c r="D106" s="358">
        <v>0.85</v>
      </c>
      <c r="E106" s="376">
        <v>0.85</v>
      </c>
      <c r="F106" s="376">
        <v>0</v>
      </c>
      <c r="G106" s="376">
        <v>0</v>
      </c>
      <c r="H106" s="358">
        <v>0</v>
      </c>
      <c r="I106" s="31" t="s">
        <v>336</v>
      </c>
      <c r="J106" s="364">
        <v>2634</v>
      </c>
      <c r="K106" s="360">
        <v>2890</v>
      </c>
      <c r="L106" s="364">
        <v>2953</v>
      </c>
      <c r="M106" s="746">
        <v>0</v>
      </c>
      <c r="N106" s="364">
        <v>0</v>
      </c>
      <c r="O106" s="364">
        <v>0</v>
      </c>
      <c r="P106" s="746">
        <v>0</v>
      </c>
      <c r="Q106" s="360">
        <v>0</v>
      </c>
    </row>
    <row r="107" spans="2:17" x14ac:dyDescent="0.25">
      <c r="B107" s="32" t="s">
        <v>28</v>
      </c>
      <c r="C107" s="377">
        <v>0.85</v>
      </c>
      <c r="D107" s="374">
        <v>0.83</v>
      </c>
      <c r="E107" s="377">
        <v>0.89</v>
      </c>
      <c r="F107" s="377">
        <v>0.89</v>
      </c>
      <c r="G107" s="377">
        <v>0</v>
      </c>
      <c r="H107" s="374">
        <v>0</v>
      </c>
      <c r="I107" s="32" t="s">
        <v>28</v>
      </c>
      <c r="J107" s="365">
        <v>2018</v>
      </c>
      <c r="K107" s="363">
        <v>2562</v>
      </c>
      <c r="L107" s="365">
        <v>2338</v>
      </c>
      <c r="M107" s="747">
        <v>2338</v>
      </c>
      <c r="N107" s="365">
        <v>206</v>
      </c>
      <c r="O107" s="365">
        <v>0</v>
      </c>
      <c r="P107" s="747">
        <v>0</v>
      </c>
      <c r="Q107" s="363">
        <v>0</v>
      </c>
    </row>
    <row r="108" spans="2:17" x14ac:dyDescent="0.25">
      <c r="B108" s="31" t="s">
        <v>335</v>
      </c>
      <c r="C108" s="376">
        <v>0</v>
      </c>
      <c r="D108" s="358">
        <v>0</v>
      </c>
      <c r="E108" s="376">
        <v>0.79</v>
      </c>
      <c r="F108" s="376">
        <v>0.79</v>
      </c>
      <c r="G108" s="376">
        <v>0</v>
      </c>
      <c r="H108" s="358">
        <v>0</v>
      </c>
      <c r="I108" s="31" t="s">
        <v>335</v>
      </c>
      <c r="J108" s="364">
        <v>0</v>
      </c>
      <c r="K108" s="360">
        <v>0</v>
      </c>
      <c r="L108" s="364">
        <v>1545</v>
      </c>
      <c r="M108" s="746">
        <v>1545</v>
      </c>
      <c r="N108" s="364">
        <v>215</v>
      </c>
      <c r="O108" s="364">
        <v>0</v>
      </c>
      <c r="P108" s="746">
        <v>0</v>
      </c>
      <c r="Q108" s="360">
        <v>0</v>
      </c>
    </row>
    <row r="109" spans="2:17" x14ac:dyDescent="0.25">
      <c r="B109" s="32" t="s">
        <v>29</v>
      </c>
      <c r="C109" s="377">
        <v>0</v>
      </c>
      <c r="D109" s="374">
        <v>0</v>
      </c>
      <c r="E109" s="377">
        <v>0.82</v>
      </c>
      <c r="F109" s="377">
        <v>0.82</v>
      </c>
      <c r="G109" s="377">
        <v>0</v>
      </c>
      <c r="H109" s="374">
        <v>0</v>
      </c>
      <c r="I109" s="32" t="s">
        <v>29</v>
      </c>
      <c r="J109" s="365">
        <v>0</v>
      </c>
      <c r="K109" s="363">
        <v>0</v>
      </c>
      <c r="L109" s="365">
        <v>1782</v>
      </c>
      <c r="M109" s="747">
        <v>1782</v>
      </c>
      <c r="N109" s="365">
        <v>61</v>
      </c>
      <c r="O109" s="365">
        <v>0</v>
      </c>
      <c r="P109" s="747">
        <v>0</v>
      </c>
      <c r="Q109" s="363">
        <v>0</v>
      </c>
    </row>
    <row r="110" spans="2:17" x14ac:dyDescent="0.25">
      <c r="B110" s="31" t="s">
        <v>24</v>
      </c>
      <c r="C110" s="376">
        <v>0.8</v>
      </c>
      <c r="D110" s="358">
        <v>0.85</v>
      </c>
      <c r="E110" s="376">
        <v>0.85</v>
      </c>
      <c r="F110" s="376">
        <v>0</v>
      </c>
      <c r="G110" s="376">
        <v>0</v>
      </c>
      <c r="H110" s="358">
        <v>0</v>
      </c>
      <c r="I110" s="31" t="s">
        <v>24</v>
      </c>
      <c r="J110" s="364">
        <v>2857</v>
      </c>
      <c r="K110" s="360">
        <v>3085</v>
      </c>
      <c r="L110" s="364">
        <v>3077</v>
      </c>
      <c r="M110" s="746">
        <v>0</v>
      </c>
      <c r="N110" s="364">
        <v>0</v>
      </c>
      <c r="O110" s="364">
        <v>0</v>
      </c>
      <c r="P110" s="746">
        <v>0</v>
      </c>
      <c r="Q110" s="360">
        <v>0</v>
      </c>
    </row>
    <row r="111" spans="2:17" x14ac:dyDescent="0.25">
      <c r="B111" s="32" t="s">
        <v>339</v>
      </c>
      <c r="C111" s="377">
        <v>0.81</v>
      </c>
      <c r="D111" s="374">
        <v>0.85</v>
      </c>
      <c r="E111" s="377">
        <v>0.84</v>
      </c>
      <c r="F111" s="377">
        <v>0</v>
      </c>
      <c r="G111" s="377">
        <v>0</v>
      </c>
      <c r="H111" s="374">
        <v>0</v>
      </c>
      <c r="I111" s="32" t="s">
        <v>339</v>
      </c>
      <c r="J111" s="365">
        <v>1754</v>
      </c>
      <c r="K111" s="363">
        <v>1907</v>
      </c>
      <c r="L111" s="365">
        <v>2181</v>
      </c>
      <c r="M111" s="747">
        <v>0</v>
      </c>
      <c r="N111" s="365">
        <v>0</v>
      </c>
      <c r="O111" s="365">
        <v>0</v>
      </c>
      <c r="P111" s="747">
        <v>0</v>
      </c>
      <c r="Q111" s="363">
        <v>0</v>
      </c>
    </row>
    <row r="112" spans="2:17" x14ac:dyDescent="0.25">
      <c r="B112" s="31" t="s">
        <v>316</v>
      </c>
      <c r="C112" s="376">
        <v>0</v>
      </c>
      <c r="D112" s="358">
        <v>0</v>
      </c>
      <c r="E112" s="376">
        <v>0.84</v>
      </c>
      <c r="F112" s="376">
        <v>0.84</v>
      </c>
      <c r="G112" s="376">
        <v>0</v>
      </c>
      <c r="H112" s="358">
        <v>0</v>
      </c>
      <c r="I112" s="31" t="s">
        <v>316</v>
      </c>
      <c r="J112" s="364">
        <v>0</v>
      </c>
      <c r="K112" s="360">
        <v>0</v>
      </c>
      <c r="L112" s="364">
        <v>2187</v>
      </c>
      <c r="M112" s="746">
        <v>2187</v>
      </c>
      <c r="N112" s="364">
        <v>522</v>
      </c>
      <c r="O112" s="364">
        <v>0</v>
      </c>
      <c r="P112" s="746">
        <v>0</v>
      </c>
      <c r="Q112" s="360">
        <v>0</v>
      </c>
    </row>
    <row r="113" spans="2:17" x14ac:dyDescent="0.25">
      <c r="B113" s="32" t="s">
        <v>317</v>
      </c>
      <c r="C113" s="377">
        <v>0</v>
      </c>
      <c r="D113" s="374">
        <v>0</v>
      </c>
      <c r="E113" s="377">
        <v>0.84</v>
      </c>
      <c r="F113" s="377">
        <v>0.84</v>
      </c>
      <c r="G113" s="377">
        <v>0</v>
      </c>
      <c r="H113" s="374">
        <v>0</v>
      </c>
      <c r="I113" s="32" t="s">
        <v>317</v>
      </c>
      <c r="J113" s="365">
        <v>0</v>
      </c>
      <c r="K113" s="363">
        <v>0</v>
      </c>
      <c r="L113" s="365">
        <v>1860</v>
      </c>
      <c r="M113" s="747">
        <v>1860</v>
      </c>
      <c r="N113" s="365">
        <v>262</v>
      </c>
      <c r="O113" s="365">
        <v>0</v>
      </c>
      <c r="P113" s="747">
        <v>0</v>
      </c>
      <c r="Q113" s="363">
        <v>0</v>
      </c>
    </row>
    <row r="114" spans="2:17" x14ac:dyDescent="0.25">
      <c r="B114" s="31" t="s">
        <v>340</v>
      </c>
      <c r="C114" s="376">
        <v>0</v>
      </c>
      <c r="D114" s="358">
        <v>0</v>
      </c>
      <c r="E114" s="376">
        <v>0.85</v>
      </c>
      <c r="F114" s="376">
        <v>0</v>
      </c>
      <c r="G114" s="376">
        <v>0</v>
      </c>
      <c r="H114" s="358">
        <v>0</v>
      </c>
      <c r="I114" s="31" t="s">
        <v>340</v>
      </c>
      <c r="J114" s="364">
        <v>0</v>
      </c>
      <c r="K114" s="360">
        <v>0</v>
      </c>
      <c r="L114" s="364">
        <v>4647</v>
      </c>
      <c r="M114" s="746">
        <v>0</v>
      </c>
      <c r="N114" s="364">
        <v>0</v>
      </c>
      <c r="O114" s="364">
        <v>0</v>
      </c>
      <c r="P114" s="746">
        <v>0</v>
      </c>
      <c r="Q114" s="360">
        <v>0</v>
      </c>
    </row>
    <row r="115" spans="2:17" x14ac:dyDescent="0.25">
      <c r="B115" s="32" t="s">
        <v>318</v>
      </c>
      <c r="C115" s="377">
        <v>0</v>
      </c>
      <c r="D115" s="374">
        <v>0</v>
      </c>
      <c r="E115" s="377">
        <v>0.82</v>
      </c>
      <c r="F115" s="377">
        <v>0.82</v>
      </c>
      <c r="G115" s="377">
        <v>0</v>
      </c>
      <c r="H115" s="374">
        <v>0</v>
      </c>
      <c r="I115" s="32" t="s">
        <v>318</v>
      </c>
      <c r="J115" s="365">
        <v>0</v>
      </c>
      <c r="K115" s="363">
        <v>0</v>
      </c>
      <c r="L115" s="365">
        <v>1763</v>
      </c>
      <c r="M115" s="747">
        <v>1763</v>
      </c>
      <c r="N115" s="365">
        <v>159</v>
      </c>
      <c r="O115" s="365">
        <v>0</v>
      </c>
      <c r="P115" s="747">
        <v>0</v>
      </c>
      <c r="Q115" s="363">
        <v>0</v>
      </c>
    </row>
    <row r="116" spans="2:17" x14ac:dyDescent="0.25">
      <c r="B116" s="31" t="s">
        <v>319</v>
      </c>
      <c r="C116" s="376">
        <v>0</v>
      </c>
      <c r="D116" s="358">
        <v>0</v>
      </c>
      <c r="E116" s="376">
        <v>0.85</v>
      </c>
      <c r="F116" s="376">
        <v>0.85</v>
      </c>
      <c r="G116" s="376">
        <v>0</v>
      </c>
      <c r="H116" s="358">
        <v>0</v>
      </c>
      <c r="I116" s="31" t="s">
        <v>319</v>
      </c>
      <c r="J116" s="364">
        <v>0</v>
      </c>
      <c r="K116" s="360">
        <v>0</v>
      </c>
      <c r="L116" s="364">
        <v>1757</v>
      </c>
      <c r="M116" s="746">
        <v>1757</v>
      </c>
      <c r="N116" s="364">
        <v>151</v>
      </c>
      <c r="O116" s="364">
        <v>0</v>
      </c>
      <c r="P116" s="746">
        <v>0</v>
      </c>
      <c r="Q116" s="360">
        <v>0</v>
      </c>
    </row>
    <row r="117" spans="2:17" x14ac:dyDescent="0.25">
      <c r="B117" s="32" t="s">
        <v>320</v>
      </c>
      <c r="C117" s="377">
        <v>0</v>
      </c>
      <c r="D117" s="374">
        <v>0.85</v>
      </c>
      <c r="E117" s="377">
        <v>0.84</v>
      </c>
      <c r="F117" s="377">
        <v>0.84</v>
      </c>
      <c r="G117" s="377">
        <v>0</v>
      </c>
      <c r="H117" s="374">
        <v>0</v>
      </c>
      <c r="I117" s="32" t="s">
        <v>320</v>
      </c>
      <c r="J117" s="365">
        <v>0</v>
      </c>
      <c r="K117" s="363">
        <v>3603</v>
      </c>
      <c r="L117" s="365">
        <v>1772</v>
      </c>
      <c r="M117" s="747">
        <v>1772</v>
      </c>
      <c r="N117" s="365">
        <v>368</v>
      </c>
      <c r="O117" s="365">
        <v>0</v>
      </c>
      <c r="P117" s="747">
        <v>0</v>
      </c>
      <c r="Q117" s="363">
        <v>0</v>
      </c>
    </row>
    <row r="118" spans="2:17" x14ac:dyDescent="0.25">
      <c r="B118" s="31" t="s">
        <v>321</v>
      </c>
      <c r="C118" s="376">
        <v>0</v>
      </c>
      <c r="D118" s="358">
        <v>0</v>
      </c>
      <c r="E118" s="376">
        <v>0.99</v>
      </c>
      <c r="F118" s="376">
        <v>0.99</v>
      </c>
      <c r="G118" s="376">
        <v>0</v>
      </c>
      <c r="H118" s="358">
        <v>0</v>
      </c>
      <c r="I118" s="31" t="s">
        <v>321</v>
      </c>
      <c r="J118" s="364">
        <v>0</v>
      </c>
      <c r="K118" s="360">
        <v>0</v>
      </c>
      <c r="L118" s="364">
        <v>1738</v>
      </c>
      <c r="M118" s="746">
        <v>1738</v>
      </c>
      <c r="N118" s="364">
        <v>293</v>
      </c>
      <c r="O118" s="364">
        <v>0</v>
      </c>
      <c r="P118" s="746">
        <v>0</v>
      </c>
      <c r="Q118" s="360">
        <v>0</v>
      </c>
    </row>
    <row r="119" spans="2:17" x14ac:dyDescent="0.25">
      <c r="B119" s="32" t="s">
        <v>322</v>
      </c>
      <c r="C119" s="377">
        <v>0.81</v>
      </c>
      <c r="D119" s="374">
        <v>0.85</v>
      </c>
      <c r="E119" s="377">
        <v>0.96</v>
      </c>
      <c r="F119" s="377">
        <v>0.96</v>
      </c>
      <c r="G119" s="377">
        <v>0</v>
      </c>
      <c r="H119" s="374">
        <v>0</v>
      </c>
      <c r="I119" s="32" t="s">
        <v>322</v>
      </c>
      <c r="J119" s="365">
        <v>1614</v>
      </c>
      <c r="K119" s="363">
        <v>2094</v>
      </c>
      <c r="L119" s="365">
        <v>1704</v>
      </c>
      <c r="M119" s="747">
        <v>1704</v>
      </c>
      <c r="N119" s="365">
        <v>165</v>
      </c>
      <c r="O119" s="365">
        <v>0</v>
      </c>
      <c r="P119" s="747">
        <v>0</v>
      </c>
      <c r="Q119" s="363">
        <v>0</v>
      </c>
    </row>
    <row r="120" spans="2:17" x14ac:dyDescent="0.25">
      <c r="B120" s="31" t="s">
        <v>341</v>
      </c>
      <c r="C120" s="376">
        <v>0.8</v>
      </c>
      <c r="D120" s="358">
        <v>0.87</v>
      </c>
      <c r="E120" s="376">
        <v>0.83</v>
      </c>
      <c r="F120" s="376">
        <v>0</v>
      </c>
      <c r="G120" s="376">
        <v>0</v>
      </c>
      <c r="H120" s="358">
        <v>0</v>
      </c>
      <c r="I120" s="31" t="s">
        <v>341</v>
      </c>
      <c r="J120" s="364">
        <v>2340</v>
      </c>
      <c r="K120" s="360">
        <v>2583</v>
      </c>
      <c r="L120" s="364">
        <v>2547</v>
      </c>
      <c r="M120" s="746">
        <v>0</v>
      </c>
      <c r="N120" s="364">
        <v>0</v>
      </c>
      <c r="O120" s="364">
        <v>0</v>
      </c>
      <c r="P120" s="746">
        <v>0</v>
      </c>
      <c r="Q120" s="360">
        <v>0</v>
      </c>
    </row>
    <row r="121" spans="2:17" x14ac:dyDescent="0.25">
      <c r="B121" s="32" t="s">
        <v>342</v>
      </c>
      <c r="C121" s="377">
        <v>0</v>
      </c>
      <c r="D121" s="374">
        <v>0</v>
      </c>
      <c r="E121" s="377">
        <v>0.85</v>
      </c>
      <c r="F121" s="377">
        <v>0</v>
      </c>
      <c r="G121" s="377">
        <v>0</v>
      </c>
      <c r="H121" s="374">
        <v>0</v>
      </c>
      <c r="I121" s="32" t="s">
        <v>342</v>
      </c>
      <c r="J121" s="365">
        <v>0</v>
      </c>
      <c r="K121" s="363">
        <v>0</v>
      </c>
      <c r="L121" s="365">
        <v>2684</v>
      </c>
      <c r="M121" s="747">
        <v>0</v>
      </c>
      <c r="N121" s="365">
        <v>0</v>
      </c>
      <c r="O121" s="365">
        <v>0</v>
      </c>
      <c r="P121" s="747">
        <v>0</v>
      </c>
      <c r="Q121" s="363">
        <v>0</v>
      </c>
    </row>
    <row r="122" spans="2:17" x14ac:dyDescent="0.25">
      <c r="B122" s="31" t="s">
        <v>27</v>
      </c>
      <c r="C122" s="376">
        <v>0</v>
      </c>
      <c r="D122" s="358">
        <v>0</v>
      </c>
      <c r="E122" s="376">
        <v>0.78</v>
      </c>
      <c r="F122" s="376">
        <v>0.78</v>
      </c>
      <c r="G122" s="376">
        <v>0</v>
      </c>
      <c r="H122" s="358">
        <v>0</v>
      </c>
      <c r="I122" s="31" t="s">
        <v>27</v>
      </c>
      <c r="J122" s="746">
        <v>0</v>
      </c>
      <c r="K122" s="743">
        <v>0</v>
      </c>
      <c r="L122" s="746">
        <v>687</v>
      </c>
      <c r="M122" s="746">
        <v>687</v>
      </c>
      <c r="N122" s="746">
        <v>424</v>
      </c>
      <c r="O122" s="746">
        <v>0</v>
      </c>
      <c r="P122" s="746">
        <v>0</v>
      </c>
      <c r="Q122" s="743">
        <v>0</v>
      </c>
    </row>
    <row r="123" spans="2:17" x14ac:dyDescent="0.25">
      <c r="B123" s="32" t="s">
        <v>693</v>
      </c>
      <c r="C123" s="377">
        <f>SMALL(C101:C122,COUNTIF(C101:C122,0)+1)</f>
        <v>0.8</v>
      </c>
      <c r="D123" s="374">
        <f>SMALL(D101:D122,COUNTIF(D101:D122,0)+1)</f>
        <v>0.8</v>
      </c>
      <c r="E123" s="377">
        <f>SMALL(E101:E122,COUNTIF(E101:E122,0)+1)</f>
        <v>0.78</v>
      </c>
      <c r="F123" s="377">
        <f>SMALL(F101:F122,COUNTIF(F101:F122,0)+1)</f>
        <v>0.78</v>
      </c>
      <c r="G123" s="377">
        <v>0</v>
      </c>
      <c r="H123" s="374">
        <v>0</v>
      </c>
      <c r="I123" s="32" t="s">
        <v>693</v>
      </c>
      <c r="J123" s="747">
        <f t="shared" ref="J123" si="11">SMALL(J101:J122,COUNTIF(J101:J122,0)+1)</f>
        <v>1614</v>
      </c>
      <c r="K123" s="745">
        <f t="shared" ref="K123" si="12">SMALL(K101:K122,COUNTIF(K101:K122,0)+1)</f>
        <v>1907</v>
      </c>
      <c r="L123" s="747">
        <f t="shared" ref="L123" si="13">SMALL(L101:L122,COUNTIF(L101:L122,0)+1)</f>
        <v>687</v>
      </c>
      <c r="M123" s="747">
        <f t="shared" ref="M123" si="14">SMALL(M101:M122,COUNTIF(M101:M122,0)+1)</f>
        <v>687</v>
      </c>
      <c r="N123" s="747">
        <f t="shared" ref="N123" si="15">SMALL(N101:N122,COUNTIF(N101:N122,0)+1)</f>
        <v>61</v>
      </c>
      <c r="O123" s="747">
        <v>0</v>
      </c>
      <c r="P123" s="747">
        <v>0</v>
      </c>
      <c r="Q123" s="745">
        <v>0</v>
      </c>
    </row>
    <row r="124" spans="2:17" x14ac:dyDescent="0.25">
      <c r="B124" s="31" t="str">
        <f>CONCATENATE("Custom - ",'Custom Bldg'!$C$5)</f>
        <v>Custom - Type 1</v>
      </c>
      <c r="C124" s="376">
        <f>'Custom Bldg'!$E$5</f>
        <v>0</v>
      </c>
      <c r="D124" s="358">
        <f>'Custom Bldg'!$G$5</f>
        <v>0</v>
      </c>
      <c r="E124" s="376">
        <f>'Custom Bldg'!$I$5</f>
        <v>0</v>
      </c>
      <c r="F124" s="376">
        <f>'Custom Bldg'!$I$5</f>
        <v>0</v>
      </c>
      <c r="G124" s="376">
        <f>'Custom Bldg'!$L$5</f>
        <v>0</v>
      </c>
      <c r="H124" s="358">
        <f>'Custom Bldg'!$L$5</f>
        <v>0</v>
      </c>
      <c r="I124" s="31" t="str">
        <f>CONCATENATE("Custom - ",'Custom Bldg'!$C$5)</f>
        <v>Custom - Type 1</v>
      </c>
      <c r="J124" s="746">
        <f>'Custom Bldg'!$F$5</f>
        <v>0</v>
      </c>
      <c r="K124" s="743">
        <f>'Custom Bldg'!$H$5</f>
        <v>0</v>
      </c>
      <c r="L124" s="746">
        <f>'Custom Bldg'!$J$5</f>
        <v>0</v>
      </c>
      <c r="M124" s="746">
        <f>'Custom Bldg'!$J$5</f>
        <v>0</v>
      </c>
      <c r="N124" s="746">
        <f>'Custom Bldg'!$K$5</f>
        <v>0</v>
      </c>
      <c r="O124" s="746">
        <f>'Custom Bldg'!$M$5</f>
        <v>0</v>
      </c>
      <c r="P124" s="746">
        <f>'Custom Bldg'!$M$5</f>
        <v>0</v>
      </c>
      <c r="Q124" s="743">
        <f>'Custom Bldg'!$N$5</f>
        <v>0</v>
      </c>
    </row>
    <row r="125" spans="2:17" x14ac:dyDescent="0.25">
      <c r="B125" s="32" t="str">
        <f>CONCATENATE("Custom - ",'Custom Bldg'!$C$6)</f>
        <v>Custom - Type 2</v>
      </c>
      <c r="C125" s="377">
        <f>'Custom Bldg'!$E$6</f>
        <v>0</v>
      </c>
      <c r="D125" s="374">
        <f>'Custom Bldg'!$G$6</f>
        <v>0</v>
      </c>
      <c r="E125" s="377">
        <f>'Custom Bldg'!$I$6</f>
        <v>0</v>
      </c>
      <c r="F125" s="377">
        <f>'Custom Bldg'!$I$6</f>
        <v>0</v>
      </c>
      <c r="G125" s="377">
        <f>'Custom Bldg'!$L$6</f>
        <v>0</v>
      </c>
      <c r="H125" s="374">
        <f>'Custom Bldg'!$L$6</f>
        <v>0</v>
      </c>
      <c r="I125" s="32" t="str">
        <f>CONCATENATE("Custom - ",'Custom Bldg'!$C$6)</f>
        <v>Custom - Type 2</v>
      </c>
      <c r="J125" s="747">
        <f>'Custom Bldg'!$F$6</f>
        <v>0</v>
      </c>
      <c r="K125" s="745">
        <f>'Custom Bldg'!$H$6</f>
        <v>0</v>
      </c>
      <c r="L125" s="747">
        <f>'Custom Bldg'!$J$6</f>
        <v>0</v>
      </c>
      <c r="M125" s="747">
        <f>'Custom Bldg'!$J$6</f>
        <v>0</v>
      </c>
      <c r="N125" s="747">
        <f>'Custom Bldg'!$K$6</f>
        <v>0</v>
      </c>
      <c r="O125" s="747">
        <f>'Custom Bldg'!$M$6</f>
        <v>0</v>
      </c>
      <c r="P125" s="747">
        <f>'Custom Bldg'!$M$6</f>
        <v>0</v>
      </c>
      <c r="Q125" s="745">
        <f>'Custom Bldg'!$N$6</f>
        <v>0</v>
      </c>
    </row>
    <row r="126" spans="2:17" x14ac:dyDescent="0.25">
      <c r="B126" s="31" t="str">
        <f>CONCATENATE("Custom - ",'Custom Bldg'!$C$7)</f>
        <v>Custom - Type 3</v>
      </c>
      <c r="C126" s="376">
        <f>'Custom Bldg'!$E$7</f>
        <v>0</v>
      </c>
      <c r="D126" s="358">
        <f>'Custom Bldg'!$G$7</f>
        <v>0</v>
      </c>
      <c r="E126" s="376">
        <f>'Custom Bldg'!$I$7</f>
        <v>0</v>
      </c>
      <c r="F126" s="376">
        <f>'Custom Bldg'!$I$7</f>
        <v>0</v>
      </c>
      <c r="G126" s="376">
        <f>'Custom Bldg'!$L$7</f>
        <v>0</v>
      </c>
      <c r="H126" s="358">
        <f>'Custom Bldg'!$L$7</f>
        <v>0</v>
      </c>
      <c r="I126" s="31" t="str">
        <f>CONCATENATE("Custom - ",'Custom Bldg'!$C$7)</f>
        <v>Custom - Type 3</v>
      </c>
      <c r="J126" s="746">
        <f>'Custom Bldg'!$F$7</f>
        <v>0</v>
      </c>
      <c r="K126" s="743">
        <f>'Custom Bldg'!$H$7</f>
        <v>0</v>
      </c>
      <c r="L126" s="746">
        <f>'Custom Bldg'!$J$7</f>
        <v>0</v>
      </c>
      <c r="M126" s="746">
        <f>'Custom Bldg'!$J$7</f>
        <v>0</v>
      </c>
      <c r="N126" s="746">
        <f>'Custom Bldg'!$K$7</f>
        <v>0</v>
      </c>
      <c r="O126" s="746">
        <f>'Custom Bldg'!$M$7</f>
        <v>0</v>
      </c>
      <c r="P126" s="746">
        <f>'Custom Bldg'!$M$7</f>
        <v>0</v>
      </c>
      <c r="Q126" s="743">
        <f>'Custom Bldg'!$N$7</f>
        <v>0</v>
      </c>
    </row>
    <row r="127" spans="2:17" x14ac:dyDescent="0.25">
      <c r="B127" s="32" t="str">
        <f>CONCATENATE("Custom - ",'Custom Bldg'!$C$8)</f>
        <v>Custom - Type 4</v>
      </c>
      <c r="C127" s="377">
        <f>'Custom Bldg'!$E$8</f>
        <v>0</v>
      </c>
      <c r="D127" s="374">
        <f>'Custom Bldg'!$G$8</f>
        <v>0</v>
      </c>
      <c r="E127" s="377">
        <f>'Custom Bldg'!$I$8</f>
        <v>0</v>
      </c>
      <c r="F127" s="377">
        <f>'Custom Bldg'!$I$8</f>
        <v>0</v>
      </c>
      <c r="G127" s="377">
        <f>'Custom Bldg'!$L$8</f>
        <v>0</v>
      </c>
      <c r="H127" s="374">
        <f>'Custom Bldg'!$L$8</f>
        <v>0</v>
      </c>
      <c r="I127" s="32" t="str">
        <f>CONCATENATE("Custom - ",'Custom Bldg'!$C$8)</f>
        <v>Custom - Type 4</v>
      </c>
      <c r="J127" s="747">
        <f>'Custom Bldg'!$F$8</f>
        <v>0</v>
      </c>
      <c r="K127" s="745">
        <f>'Custom Bldg'!$H$8</f>
        <v>0</v>
      </c>
      <c r="L127" s="747">
        <f>'Custom Bldg'!$J$8</f>
        <v>0</v>
      </c>
      <c r="M127" s="747">
        <f>'Custom Bldg'!$J$8</f>
        <v>0</v>
      </c>
      <c r="N127" s="747">
        <f>'Custom Bldg'!$K$8</f>
        <v>0</v>
      </c>
      <c r="O127" s="747">
        <f>'Custom Bldg'!$M$8</f>
        <v>0</v>
      </c>
      <c r="P127" s="747">
        <f>'Custom Bldg'!$M$8</f>
        <v>0</v>
      </c>
      <c r="Q127" s="745">
        <f>'Custom Bldg'!$N$8</f>
        <v>0</v>
      </c>
    </row>
    <row r="128" spans="2:17" x14ac:dyDescent="0.25">
      <c r="B128" s="889" t="str">
        <f>CONCATENATE("Custom - ",'Custom Bldg'!$C$9)</f>
        <v>Custom - Type 5</v>
      </c>
      <c r="C128" s="890">
        <f>'Custom Bldg'!$E$9</f>
        <v>0</v>
      </c>
      <c r="D128" s="887">
        <f>'Custom Bldg'!$G$9</f>
        <v>0</v>
      </c>
      <c r="E128" s="890">
        <f>'Custom Bldg'!$I$9</f>
        <v>0</v>
      </c>
      <c r="F128" s="890">
        <f>'Custom Bldg'!$I$9</f>
        <v>0</v>
      </c>
      <c r="G128" s="890">
        <f>'Custom Bldg'!$L$9</f>
        <v>0</v>
      </c>
      <c r="H128" s="887">
        <f>'Custom Bldg'!$L$9</f>
        <v>0</v>
      </c>
      <c r="I128" s="889" t="str">
        <f>CONCATENATE("Custom - ",'Custom Bldg'!$C$9)</f>
        <v>Custom - Type 5</v>
      </c>
      <c r="J128" s="892">
        <f>'Custom Bldg'!$F$9</f>
        <v>0</v>
      </c>
      <c r="K128" s="888">
        <f>'Custom Bldg'!$H$9</f>
        <v>0</v>
      </c>
      <c r="L128" s="892">
        <f>'Custom Bldg'!$J$9</f>
        <v>0</v>
      </c>
      <c r="M128" s="892">
        <f>'Custom Bldg'!$J$9</f>
        <v>0</v>
      </c>
      <c r="N128" s="892">
        <f>'Custom Bldg'!$K$9</f>
        <v>0</v>
      </c>
      <c r="O128" s="892">
        <f>'Custom Bldg'!$M$9</f>
        <v>0</v>
      </c>
      <c r="P128" s="892">
        <f>'Custom Bldg'!$M$9</f>
        <v>0</v>
      </c>
      <c r="Q128" s="888">
        <f>'Custom Bldg'!$N$9</f>
        <v>0</v>
      </c>
    </row>
    <row r="130" spans="2:17" ht="25.5" customHeight="1" x14ac:dyDescent="0.25">
      <c r="B130" s="27" t="s">
        <v>182</v>
      </c>
      <c r="C130" s="345"/>
      <c r="D130" s="345"/>
      <c r="E130" s="345"/>
      <c r="F130" s="345"/>
      <c r="G130" s="345"/>
      <c r="H130" s="345"/>
      <c r="I130" s="27"/>
      <c r="J130" s="345"/>
      <c r="K130" s="345"/>
      <c r="L130" s="345"/>
      <c r="M130" s="740"/>
      <c r="N130" s="345"/>
      <c r="O130" s="345"/>
      <c r="P130" s="740"/>
      <c r="Q130" s="174" t="s">
        <v>181</v>
      </c>
    </row>
    <row r="131" spans="2:17" ht="25.5" customHeight="1" x14ac:dyDescent="0.25">
      <c r="B131" s="1053" t="s">
        <v>23</v>
      </c>
      <c r="C131" s="1048" t="s">
        <v>603</v>
      </c>
      <c r="D131" s="1049"/>
      <c r="E131" s="1049"/>
      <c r="F131" s="1049"/>
      <c r="G131" s="1049"/>
      <c r="H131" s="1050"/>
      <c r="I131" s="1051" t="s">
        <v>23</v>
      </c>
      <c r="J131" s="1048" t="s">
        <v>604</v>
      </c>
      <c r="K131" s="1049"/>
      <c r="L131" s="1049"/>
      <c r="M131" s="1049"/>
      <c r="N131" s="1049"/>
      <c r="O131" s="1049"/>
      <c r="P131" s="1049"/>
      <c r="Q131" s="1049"/>
    </row>
    <row r="132" spans="2:17" ht="25.5" x14ac:dyDescent="0.25">
      <c r="B132" s="1054"/>
      <c r="C132" s="336" t="s">
        <v>30</v>
      </c>
      <c r="D132" s="336" t="s">
        <v>31</v>
      </c>
      <c r="E132" s="336" t="s">
        <v>605</v>
      </c>
      <c r="F132" s="336" t="s">
        <v>608</v>
      </c>
      <c r="G132" s="336" t="s">
        <v>47</v>
      </c>
      <c r="H132" s="336" t="s">
        <v>48</v>
      </c>
      <c r="I132" s="1052"/>
      <c r="J132" s="336" t="s">
        <v>30</v>
      </c>
      <c r="K132" s="336" t="s">
        <v>31</v>
      </c>
      <c r="L132" s="737" t="s">
        <v>605</v>
      </c>
      <c r="M132" s="737" t="s">
        <v>606</v>
      </c>
      <c r="N132" s="737" t="s">
        <v>607</v>
      </c>
      <c r="O132" s="737" t="s">
        <v>47</v>
      </c>
      <c r="P132" s="738" t="s">
        <v>598</v>
      </c>
      <c r="Q132" s="738" t="s">
        <v>599</v>
      </c>
    </row>
    <row r="133" spans="2:17" x14ac:dyDescent="0.25">
      <c r="B133" s="28" t="s">
        <v>313</v>
      </c>
      <c r="C133" s="371">
        <v>0</v>
      </c>
      <c r="D133" s="371">
        <v>0</v>
      </c>
      <c r="E133" s="371">
        <v>0.9</v>
      </c>
      <c r="F133" s="371">
        <v>0.9</v>
      </c>
      <c r="G133" s="371">
        <v>0</v>
      </c>
      <c r="H133" s="371">
        <v>0</v>
      </c>
      <c r="I133" s="28" t="s">
        <v>313</v>
      </c>
      <c r="J133" s="368">
        <v>0</v>
      </c>
      <c r="K133" s="368">
        <v>0</v>
      </c>
      <c r="L133" s="368">
        <v>1322</v>
      </c>
      <c r="M133" s="748">
        <f>M37</f>
        <v>1322</v>
      </c>
      <c r="N133" s="368">
        <v>284</v>
      </c>
      <c r="O133" s="368">
        <v>0</v>
      </c>
      <c r="P133" s="748">
        <v>0</v>
      </c>
      <c r="Q133" s="368">
        <v>0</v>
      </c>
    </row>
    <row r="134" spans="2:17" x14ac:dyDescent="0.25">
      <c r="B134" s="26" t="s">
        <v>314</v>
      </c>
      <c r="C134" s="358">
        <v>0.78</v>
      </c>
      <c r="D134" s="358">
        <v>0.7</v>
      </c>
      <c r="E134" s="358">
        <v>0.96</v>
      </c>
      <c r="F134" s="358">
        <v>0.96</v>
      </c>
      <c r="G134" s="358">
        <v>0.61</v>
      </c>
      <c r="H134" s="358">
        <v>0.61</v>
      </c>
      <c r="I134" s="26" t="s">
        <v>314</v>
      </c>
      <c r="J134" s="360">
        <v>1844</v>
      </c>
      <c r="K134" s="360">
        <v>1996</v>
      </c>
      <c r="L134" s="743">
        <v>2962</v>
      </c>
      <c r="M134" s="743">
        <v>2962</v>
      </c>
      <c r="N134" s="360">
        <v>874</v>
      </c>
      <c r="O134" s="360">
        <v>1834</v>
      </c>
      <c r="P134" s="743">
        <v>1834</v>
      </c>
      <c r="Q134" s="360">
        <v>208</v>
      </c>
    </row>
    <row r="135" spans="2:17" x14ac:dyDescent="0.25">
      <c r="B135" s="28" t="s">
        <v>315</v>
      </c>
      <c r="C135" s="371">
        <v>0</v>
      </c>
      <c r="D135" s="371">
        <v>0</v>
      </c>
      <c r="E135" s="357">
        <v>0.85</v>
      </c>
      <c r="F135" s="357">
        <v>0.85</v>
      </c>
      <c r="G135" s="357">
        <v>0.61</v>
      </c>
      <c r="H135" s="357">
        <v>0.61</v>
      </c>
      <c r="I135" s="28" t="s">
        <v>315</v>
      </c>
      <c r="J135" s="368">
        <v>0</v>
      </c>
      <c r="K135" s="368">
        <v>0</v>
      </c>
      <c r="L135" s="742">
        <v>2203</v>
      </c>
      <c r="M135" s="742">
        <v>2203</v>
      </c>
      <c r="N135" s="359">
        <v>745</v>
      </c>
      <c r="O135" s="359">
        <v>1834</v>
      </c>
      <c r="P135" s="742">
        <v>1834</v>
      </c>
      <c r="Q135" s="359">
        <v>208</v>
      </c>
    </row>
    <row r="136" spans="2:17" x14ac:dyDescent="0.25">
      <c r="B136" s="26" t="s">
        <v>337</v>
      </c>
      <c r="C136" s="358">
        <v>0</v>
      </c>
      <c r="D136" s="358">
        <v>0</v>
      </c>
      <c r="E136" s="358">
        <v>0.88</v>
      </c>
      <c r="F136" s="358">
        <v>0.88</v>
      </c>
      <c r="G136" s="358">
        <v>0</v>
      </c>
      <c r="H136" s="358">
        <v>0</v>
      </c>
      <c r="I136" s="26" t="s">
        <v>337</v>
      </c>
      <c r="J136" s="360">
        <v>0</v>
      </c>
      <c r="K136" s="360">
        <v>0</v>
      </c>
      <c r="L136" s="360">
        <v>2828</v>
      </c>
      <c r="M136" s="743">
        <f>M40</f>
        <v>2828</v>
      </c>
      <c r="N136" s="360">
        <f>N40</f>
        <v>1501</v>
      </c>
      <c r="O136" s="360">
        <v>0</v>
      </c>
      <c r="P136" s="743">
        <v>0</v>
      </c>
      <c r="Q136" s="360">
        <v>0</v>
      </c>
    </row>
    <row r="137" spans="2:17" x14ac:dyDescent="0.25">
      <c r="B137" s="28" t="s">
        <v>338</v>
      </c>
      <c r="C137" s="357">
        <v>0.97</v>
      </c>
      <c r="D137" s="357">
        <v>0.98</v>
      </c>
      <c r="E137" s="371">
        <v>0.98</v>
      </c>
      <c r="F137" s="371">
        <v>0.98</v>
      </c>
      <c r="G137" s="371">
        <v>0</v>
      </c>
      <c r="H137" s="371">
        <v>0</v>
      </c>
      <c r="I137" s="28" t="s">
        <v>338</v>
      </c>
      <c r="J137" s="359">
        <v>2225</v>
      </c>
      <c r="K137" s="359">
        <v>2705</v>
      </c>
      <c r="L137" s="368">
        <v>4185</v>
      </c>
      <c r="M137" s="748">
        <v>4185</v>
      </c>
      <c r="N137" s="368">
        <v>1349</v>
      </c>
      <c r="O137" s="368">
        <v>0</v>
      </c>
      <c r="P137" s="748">
        <v>0</v>
      </c>
      <c r="Q137" s="368">
        <v>0</v>
      </c>
    </row>
    <row r="138" spans="2:17" x14ac:dyDescent="0.25">
      <c r="B138" s="26" t="s">
        <v>336</v>
      </c>
      <c r="C138" s="358">
        <v>0.9</v>
      </c>
      <c r="D138" s="358">
        <v>0.82</v>
      </c>
      <c r="E138" s="358">
        <v>0.92</v>
      </c>
      <c r="F138" s="358">
        <v>0</v>
      </c>
      <c r="G138" s="358">
        <v>0</v>
      </c>
      <c r="H138" s="358">
        <v>0</v>
      </c>
      <c r="I138" s="26" t="s">
        <v>336</v>
      </c>
      <c r="J138" s="360">
        <v>1744</v>
      </c>
      <c r="K138" s="360">
        <v>1854</v>
      </c>
      <c r="L138" s="360">
        <v>2218</v>
      </c>
      <c r="M138" s="743">
        <v>0</v>
      </c>
      <c r="N138" s="360">
        <v>0</v>
      </c>
      <c r="O138" s="360">
        <v>0</v>
      </c>
      <c r="P138" s="743">
        <v>0</v>
      </c>
      <c r="Q138" s="360">
        <v>0</v>
      </c>
    </row>
    <row r="139" spans="2:17" x14ac:dyDescent="0.25">
      <c r="B139" s="28" t="s">
        <v>28</v>
      </c>
      <c r="C139" s="357">
        <v>1.05</v>
      </c>
      <c r="D139" s="357">
        <v>1.01</v>
      </c>
      <c r="E139" s="357">
        <v>0.91</v>
      </c>
      <c r="F139" s="357">
        <v>0.91</v>
      </c>
      <c r="G139" s="371">
        <v>0</v>
      </c>
      <c r="H139" s="371">
        <v>0</v>
      </c>
      <c r="I139" s="28" t="s">
        <v>28</v>
      </c>
      <c r="J139" s="359">
        <v>2134</v>
      </c>
      <c r="K139" s="359">
        <v>2213</v>
      </c>
      <c r="L139" s="742">
        <v>1720</v>
      </c>
      <c r="M139" s="742">
        <v>1720</v>
      </c>
      <c r="N139" s="359">
        <v>403</v>
      </c>
      <c r="O139" s="368">
        <v>0</v>
      </c>
      <c r="P139" s="748">
        <v>0</v>
      </c>
      <c r="Q139" s="368">
        <v>0</v>
      </c>
    </row>
    <row r="140" spans="2:17" x14ac:dyDescent="0.25">
      <c r="B140" s="26" t="s">
        <v>335</v>
      </c>
      <c r="C140" s="372">
        <v>0</v>
      </c>
      <c r="D140" s="372">
        <v>0</v>
      </c>
      <c r="E140" s="372">
        <v>0.85</v>
      </c>
      <c r="F140" s="372">
        <v>0.85</v>
      </c>
      <c r="G140" s="372">
        <v>0</v>
      </c>
      <c r="H140" s="372">
        <v>0</v>
      </c>
      <c r="I140" s="26" t="s">
        <v>335</v>
      </c>
      <c r="J140" s="369">
        <v>0</v>
      </c>
      <c r="K140" s="369">
        <v>0</v>
      </c>
      <c r="L140" s="749">
        <v>1281</v>
      </c>
      <c r="M140" s="749">
        <v>1281</v>
      </c>
      <c r="N140" s="369">
        <v>410</v>
      </c>
      <c r="O140" s="369">
        <v>0</v>
      </c>
      <c r="P140" s="749">
        <v>0</v>
      </c>
      <c r="Q140" s="369">
        <v>0</v>
      </c>
    </row>
    <row r="141" spans="2:17" x14ac:dyDescent="0.25">
      <c r="B141" s="28" t="s">
        <v>29</v>
      </c>
      <c r="C141" s="357">
        <v>0.88</v>
      </c>
      <c r="D141" s="357">
        <v>0.99</v>
      </c>
      <c r="E141" s="357">
        <v>0.91</v>
      </c>
      <c r="F141" s="357">
        <v>0.91</v>
      </c>
      <c r="G141" s="371">
        <v>0</v>
      </c>
      <c r="H141" s="371">
        <v>0</v>
      </c>
      <c r="I141" s="28" t="s">
        <v>29</v>
      </c>
      <c r="J141" s="359">
        <v>1614</v>
      </c>
      <c r="K141" s="359">
        <v>1873</v>
      </c>
      <c r="L141" s="742">
        <v>1347</v>
      </c>
      <c r="M141" s="742">
        <v>1347</v>
      </c>
      <c r="N141" s="359">
        <v>221</v>
      </c>
      <c r="O141" s="368">
        <v>0</v>
      </c>
      <c r="P141" s="748">
        <v>0</v>
      </c>
      <c r="Q141" s="368">
        <v>0</v>
      </c>
    </row>
    <row r="142" spans="2:17" x14ac:dyDescent="0.25">
      <c r="B142" s="26" t="s">
        <v>24</v>
      </c>
      <c r="C142" s="358">
        <v>0.77</v>
      </c>
      <c r="D142" s="358">
        <v>0.74</v>
      </c>
      <c r="E142" s="358">
        <v>0.92</v>
      </c>
      <c r="F142" s="358">
        <v>0</v>
      </c>
      <c r="G142" s="358">
        <v>0</v>
      </c>
      <c r="H142" s="358">
        <v>0</v>
      </c>
      <c r="I142" s="26" t="s">
        <v>24</v>
      </c>
      <c r="J142" s="360">
        <v>1724</v>
      </c>
      <c r="K142" s="360">
        <v>2013</v>
      </c>
      <c r="L142" s="360">
        <v>2385</v>
      </c>
      <c r="M142" s="743">
        <v>0</v>
      </c>
      <c r="N142" s="360">
        <v>0</v>
      </c>
      <c r="O142" s="360">
        <v>0</v>
      </c>
      <c r="P142" s="743">
        <v>0</v>
      </c>
      <c r="Q142" s="360">
        <v>0</v>
      </c>
    </row>
    <row r="143" spans="2:17" x14ac:dyDescent="0.25">
      <c r="B143" s="28" t="s">
        <v>339</v>
      </c>
      <c r="C143" s="357">
        <v>0.88</v>
      </c>
      <c r="D143" s="357">
        <v>0.83</v>
      </c>
      <c r="E143" s="357">
        <v>0.92</v>
      </c>
      <c r="F143" s="357">
        <v>0</v>
      </c>
      <c r="G143" s="357">
        <v>0</v>
      </c>
      <c r="H143" s="357">
        <v>0</v>
      </c>
      <c r="I143" s="28" t="s">
        <v>339</v>
      </c>
      <c r="J143" s="359">
        <v>1355</v>
      </c>
      <c r="K143" s="359">
        <v>1396</v>
      </c>
      <c r="L143" s="359">
        <v>1946</v>
      </c>
      <c r="M143" s="742">
        <v>0</v>
      </c>
      <c r="N143" s="359">
        <v>0</v>
      </c>
      <c r="O143" s="359">
        <v>0</v>
      </c>
      <c r="P143" s="742">
        <v>0</v>
      </c>
      <c r="Q143" s="359">
        <v>0</v>
      </c>
    </row>
    <row r="144" spans="2:17" x14ac:dyDescent="0.25">
      <c r="B144" s="26" t="s">
        <v>316</v>
      </c>
      <c r="C144" s="358">
        <v>0</v>
      </c>
      <c r="D144" s="358">
        <v>0</v>
      </c>
      <c r="E144" s="358">
        <v>0.86</v>
      </c>
      <c r="F144" s="358">
        <v>0.86</v>
      </c>
      <c r="G144" s="358">
        <v>0</v>
      </c>
      <c r="H144" s="358">
        <v>0</v>
      </c>
      <c r="I144" s="26" t="s">
        <v>316</v>
      </c>
      <c r="J144" s="360">
        <v>0</v>
      </c>
      <c r="K144" s="360">
        <v>0</v>
      </c>
      <c r="L144" s="743">
        <v>1548</v>
      </c>
      <c r="M144" s="743">
        <v>1548</v>
      </c>
      <c r="N144" s="360">
        <v>602</v>
      </c>
      <c r="O144" s="360">
        <v>0</v>
      </c>
      <c r="P144" s="743">
        <v>0</v>
      </c>
      <c r="Q144" s="360">
        <v>0</v>
      </c>
    </row>
    <row r="145" spans="2:17" x14ac:dyDescent="0.25">
      <c r="B145" s="28" t="s">
        <v>317</v>
      </c>
      <c r="C145" s="371">
        <v>0</v>
      </c>
      <c r="D145" s="371">
        <v>0</v>
      </c>
      <c r="E145" s="357">
        <v>0.87</v>
      </c>
      <c r="F145" s="357">
        <v>0.87</v>
      </c>
      <c r="G145" s="371">
        <v>0</v>
      </c>
      <c r="H145" s="371">
        <v>0</v>
      </c>
      <c r="I145" s="28" t="s">
        <v>317</v>
      </c>
      <c r="J145" s="368">
        <v>0</v>
      </c>
      <c r="K145" s="368">
        <v>0</v>
      </c>
      <c r="L145" s="742">
        <v>1302</v>
      </c>
      <c r="M145" s="742">
        <v>1302</v>
      </c>
      <c r="N145" s="359">
        <v>471</v>
      </c>
      <c r="O145" s="368">
        <v>0</v>
      </c>
      <c r="P145" s="748">
        <v>0</v>
      </c>
      <c r="Q145" s="368">
        <v>0</v>
      </c>
    </row>
    <row r="146" spans="2:17" x14ac:dyDescent="0.25">
      <c r="B146" s="381" t="s">
        <v>340</v>
      </c>
      <c r="C146" s="358">
        <v>0</v>
      </c>
      <c r="D146" s="358">
        <v>0</v>
      </c>
      <c r="E146" s="358">
        <v>0.92</v>
      </c>
      <c r="F146" s="358">
        <v>0</v>
      </c>
      <c r="G146" s="358">
        <v>0</v>
      </c>
      <c r="H146" s="358">
        <v>0</v>
      </c>
      <c r="I146" s="26" t="s">
        <v>340</v>
      </c>
      <c r="J146" s="360">
        <v>0</v>
      </c>
      <c r="K146" s="360">
        <v>0</v>
      </c>
      <c r="L146" s="360">
        <v>3831</v>
      </c>
      <c r="M146" s="743">
        <v>0</v>
      </c>
      <c r="N146" s="360">
        <v>0</v>
      </c>
      <c r="O146" s="360">
        <v>0</v>
      </c>
      <c r="P146" s="743">
        <v>0</v>
      </c>
      <c r="Q146" s="360">
        <v>0</v>
      </c>
    </row>
    <row r="147" spans="2:17" x14ac:dyDescent="0.25">
      <c r="B147" s="28" t="s">
        <v>318</v>
      </c>
      <c r="C147" s="357">
        <v>0.86</v>
      </c>
      <c r="D147" s="357">
        <v>0.77</v>
      </c>
      <c r="E147" s="357">
        <v>0.87</v>
      </c>
      <c r="F147" s="357">
        <v>0.87</v>
      </c>
      <c r="G147" s="357">
        <v>0</v>
      </c>
      <c r="H147" s="357">
        <v>0</v>
      </c>
      <c r="I147" s="28" t="s">
        <v>318</v>
      </c>
      <c r="J147" s="359">
        <v>1553</v>
      </c>
      <c r="K147" s="359">
        <v>1781</v>
      </c>
      <c r="L147" s="742">
        <v>1231</v>
      </c>
      <c r="M147" s="742">
        <v>1231</v>
      </c>
      <c r="N147" s="359">
        <v>422</v>
      </c>
      <c r="O147" s="359">
        <v>0</v>
      </c>
      <c r="P147" s="742">
        <v>0</v>
      </c>
      <c r="Q147" s="359">
        <v>0</v>
      </c>
    </row>
    <row r="148" spans="2:17" x14ac:dyDescent="0.25">
      <c r="B148" s="381" t="s">
        <v>319</v>
      </c>
      <c r="C148" s="358">
        <v>0</v>
      </c>
      <c r="D148" s="358">
        <v>0</v>
      </c>
      <c r="E148" s="358">
        <v>0.93</v>
      </c>
      <c r="F148" s="358">
        <v>0.93</v>
      </c>
      <c r="G148" s="358">
        <v>0</v>
      </c>
      <c r="H148" s="358">
        <v>0</v>
      </c>
      <c r="I148" s="26" t="s">
        <v>319</v>
      </c>
      <c r="J148" s="360">
        <v>0</v>
      </c>
      <c r="K148" s="360">
        <v>0</v>
      </c>
      <c r="L148" s="743">
        <v>1288</v>
      </c>
      <c r="M148" s="743">
        <v>1288</v>
      </c>
      <c r="N148" s="360">
        <v>410</v>
      </c>
      <c r="O148" s="360">
        <v>0</v>
      </c>
      <c r="P148" s="743">
        <v>0</v>
      </c>
      <c r="Q148" s="360">
        <v>0</v>
      </c>
    </row>
    <row r="149" spans="2:17" x14ac:dyDescent="0.25">
      <c r="B149" s="28" t="s">
        <v>320</v>
      </c>
      <c r="C149" s="371">
        <v>0</v>
      </c>
      <c r="D149" s="357">
        <v>0.83</v>
      </c>
      <c r="E149" s="357">
        <v>0.85</v>
      </c>
      <c r="F149" s="357">
        <v>0.85</v>
      </c>
      <c r="G149" s="371">
        <v>0</v>
      </c>
      <c r="H149" s="371">
        <v>0</v>
      </c>
      <c r="I149" s="28" t="s">
        <v>320</v>
      </c>
      <c r="J149" s="368">
        <v>0</v>
      </c>
      <c r="K149" s="359">
        <v>2468</v>
      </c>
      <c r="L149" s="742">
        <v>1296</v>
      </c>
      <c r="M149" s="742">
        <v>1296</v>
      </c>
      <c r="N149" s="359">
        <v>622</v>
      </c>
      <c r="O149" s="368">
        <v>0</v>
      </c>
      <c r="P149" s="748">
        <v>0</v>
      </c>
      <c r="Q149" s="368">
        <v>0</v>
      </c>
    </row>
    <row r="150" spans="2:17" x14ac:dyDescent="0.25">
      <c r="B150" s="26" t="s">
        <v>321</v>
      </c>
      <c r="C150" s="358">
        <v>0.87</v>
      </c>
      <c r="D150" s="358">
        <v>0.93</v>
      </c>
      <c r="E150" s="358">
        <v>0.91</v>
      </c>
      <c r="F150" s="358">
        <v>0.91</v>
      </c>
      <c r="G150" s="358">
        <v>0</v>
      </c>
      <c r="H150" s="358">
        <v>0</v>
      </c>
      <c r="I150" s="26" t="s">
        <v>321</v>
      </c>
      <c r="J150" s="360">
        <v>979</v>
      </c>
      <c r="K150" s="360">
        <v>1141</v>
      </c>
      <c r="L150" s="743">
        <v>1162</v>
      </c>
      <c r="M150" s="743">
        <v>1162</v>
      </c>
      <c r="N150" s="360">
        <v>474</v>
      </c>
      <c r="O150" s="360">
        <v>0</v>
      </c>
      <c r="P150" s="743">
        <v>0</v>
      </c>
      <c r="Q150" s="360">
        <v>0</v>
      </c>
    </row>
    <row r="151" spans="2:17" x14ac:dyDescent="0.25">
      <c r="B151" s="28" t="s">
        <v>322</v>
      </c>
      <c r="C151" s="357">
        <v>0.87</v>
      </c>
      <c r="D151" s="357">
        <v>0.93</v>
      </c>
      <c r="E151" s="357">
        <v>1</v>
      </c>
      <c r="F151" s="357">
        <v>1</v>
      </c>
      <c r="G151" s="357">
        <v>0</v>
      </c>
      <c r="H151" s="357">
        <v>0</v>
      </c>
      <c r="I151" s="28" t="s">
        <v>322</v>
      </c>
      <c r="J151" s="359">
        <v>979</v>
      </c>
      <c r="K151" s="359">
        <v>1141</v>
      </c>
      <c r="L151" s="742">
        <v>1244</v>
      </c>
      <c r="M151" s="742">
        <v>1244</v>
      </c>
      <c r="N151" s="359">
        <v>397</v>
      </c>
      <c r="O151" s="359">
        <v>0</v>
      </c>
      <c r="P151" s="742">
        <v>0</v>
      </c>
      <c r="Q151" s="359">
        <v>0</v>
      </c>
    </row>
    <row r="152" spans="2:17" x14ac:dyDescent="0.25">
      <c r="B152" s="26" t="s">
        <v>341</v>
      </c>
      <c r="C152" s="358">
        <v>0.93</v>
      </c>
      <c r="D152" s="358">
        <v>0.96</v>
      </c>
      <c r="E152" s="358">
        <v>0.91</v>
      </c>
      <c r="F152" s="373">
        <v>0</v>
      </c>
      <c r="G152" s="373">
        <v>0</v>
      </c>
      <c r="H152" s="373">
        <v>0</v>
      </c>
      <c r="I152" s="26" t="s">
        <v>341</v>
      </c>
      <c r="J152" s="360">
        <v>1278</v>
      </c>
      <c r="K152" s="360">
        <v>1458</v>
      </c>
      <c r="L152" s="360">
        <v>1955</v>
      </c>
      <c r="M152" s="743">
        <v>0</v>
      </c>
      <c r="N152" s="370">
        <v>0</v>
      </c>
      <c r="O152" s="370">
        <v>0</v>
      </c>
      <c r="P152" s="750">
        <v>0</v>
      </c>
      <c r="Q152" s="370">
        <v>0</v>
      </c>
    </row>
    <row r="153" spans="2:17" x14ac:dyDescent="0.25">
      <c r="B153" s="28" t="s">
        <v>342</v>
      </c>
      <c r="C153" s="357">
        <v>0</v>
      </c>
      <c r="D153" s="357">
        <v>0</v>
      </c>
      <c r="E153" s="357">
        <v>0.92</v>
      </c>
      <c r="F153" s="357">
        <v>0</v>
      </c>
      <c r="G153" s="357">
        <v>0</v>
      </c>
      <c r="H153" s="357">
        <v>0</v>
      </c>
      <c r="I153" s="28" t="s">
        <v>342</v>
      </c>
      <c r="J153" s="359">
        <v>0</v>
      </c>
      <c r="K153" s="359">
        <v>0</v>
      </c>
      <c r="L153" s="359">
        <v>2262</v>
      </c>
      <c r="M153" s="742">
        <v>0</v>
      </c>
      <c r="N153" s="359">
        <v>0</v>
      </c>
      <c r="O153" s="359">
        <v>0</v>
      </c>
      <c r="P153" s="742">
        <v>0</v>
      </c>
      <c r="Q153" s="359">
        <v>0</v>
      </c>
    </row>
    <row r="154" spans="2:17" x14ac:dyDescent="0.25">
      <c r="B154" s="26" t="s">
        <v>27</v>
      </c>
      <c r="C154" s="358">
        <v>0.8</v>
      </c>
      <c r="D154" s="358">
        <v>0.82</v>
      </c>
      <c r="E154" s="358">
        <v>0.85</v>
      </c>
      <c r="F154" s="373">
        <v>0.85</v>
      </c>
      <c r="G154" s="373">
        <v>0</v>
      </c>
      <c r="H154" s="373">
        <v>0</v>
      </c>
      <c r="I154" s="26" t="s">
        <v>27</v>
      </c>
      <c r="J154" s="743">
        <v>1161</v>
      </c>
      <c r="K154" s="743">
        <v>1381</v>
      </c>
      <c r="L154" s="743">
        <v>622</v>
      </c>
      <c r="M154" s="743">
        <v>622</v>
      </c>
      <c r="N154" s="750">
        <v>945</v>
      </c>
      <c r="O154" s="750">
        <v>0</v>
      </c>
      <c r="P154" s="750">
        <v>0</v>
      </c>
      <c r="Q154" s="750">
        <v>0</v>
      </c>
    </row>
    <row r="155" spans="2:17" x14ac:dyDescent="0.25">
      <c r="B155" s="28" t="s">
        <v>693</v>
      </c>
      <c r="C155" s="357">
        <f>SMALL(C133:C154,COUNTIF(C133:C154,0)+1)</f>
        <v>0.77</v>
      </c>
      <c r="D155" s="357">
        <f>SMALL(D133:D154,COUNTIF(D133:D154,0)+1)</f>
        <v>0.7</v>
      </c>
      <c r="E155" s="357">
        <f>SMALL(E133:E154,COUNTIF(E133:E154,0)+1)</f>
        <v>0.85</v>
      </c>
      <c r="F155" s="357">
        <f>SMALL(F133:F154,COUNTIF(F133:F154,0)+1)</f>
        <v>0.85</v>
      </c>
      <c r="G155" s="357">
        <v>0</v>
      </c>
      <c r="H155" s="357">
        <v>0</v>
      </c>
      <c r="I155" s="28" t="s">
        <v>693</v>
      </c>
      <c r="J155" s="742">
        <f t="shared" ref="J155" si="16">SMALL(J133:J154,COUNTIF(J133:J154,0)+1)</f>
        <v>979</v>
      </c>
      <c r="K155" s="742">
        <f t="shared" ref="K155" si="17">SMALL(K133:K154,COUNTIF(K133:K154,0)+1)</f>
        <v>1141</v>
      </c>
      <c r="L155" s="742">
        <f t="shared" ref="L155" si="18">SMALL(L133:L154,COUNTIF(L133:L154,0)+1)</f>
        <v>622</v>
      </c>
      <c r="M155" s="742">
        <f t="shared" ref="M155" si="19">SMALL(M133:M154,COUNTIF(M133:M154,0)+1)</f>
        <v>622</v>
      </c>
      <c r="N155" s="742">
        <f t="shared" ref="N155" si="20">SMALL(N133:N154,COUNTIF(N133:N154,0)+1)</f>
        <v>221</v>
      </c>
      <c r="O155" s="742">
        <v>0</v>
      </c>
      <c r="P155" s="742">
        <v>0</v>
      </c>
      <c r="Q155" s="742">
        <v>0</v>
      </c>
    </row>
    <row r="156" spans="2:17" x14ac:dyDescent="0.25">
      <c r="B156" s="26" t="str">
        <f>CONCATENATE("Custom - ",'Custom Bldg'!$C$5)</f>
        <v>Custom - Type 1</v>
      </c>
      <c r="C156" s="358">
        <f>'Custom Bldg'!$E$5</f>
        <v>0</v>
      </c>
      <c r="D156" s="358">
        <f>'Custom Bldg'!$G$5</f>
        <v>0</v>
      </c>
      <c r="E156" s="358">
        <f>'Custom Bldg'!$I$5</f>
        <v>0</v>
      </c>
      <c r="F156" s="373">
        <f>'Custom Bldg'!$I$5</f>
        <v>0</v>
      </c>
      <c r="G156" s="373">
        <f>'Custom Bldg'!$L$5</f>
        <v>0</v>
      </c>
      <c r="H156" s="373">
        <f>'Custom Bldg'!$L$5</f>
        <v>0</v>
      </c>
      <c r="I156" s="26" t="str">
        <f>CONCATENATE("Custom - ",'Custom Bldg'!$C$5)</f>
        <v>Custom - Type 1</v>
      </c>
      <c r="J156" s="743">
        <f>'Custom Bldg'!$F$5</f>
        <v>0</v>
      </c>
      <c r="K156" s="743">
        <f>'Custom Bldg'!$H$5</f>
        <v>0</v>
      </c>
      <c r="L156" s="743">
        <f>'Custom Bldg'!$J$5</f>
        <v>0</v>
      </c>
      <c r="M156" s="743">
        <f>'Custom Bldg'!$J$5</f>
        <v>0</v>
      </c>
      <c r="N156" s="750">
        <f>'Custom Bldg'!$K$5</f>
        <v>0</v>
      </c>
      <c r="O156" s="750">
        <f>'Custom Bldg'!$M$5</f>
        <v>0</v>
      </c>
      <c r="P156" s="750">
        <f>'Custom Bldg'!$M$5</f>
        <v>0</v>
      </c>
      <c r="Q156" s="750">
        <f>'Custom Bldg'!$N$5</f>
        <v>0</v>
      </c>
    </row>
    <row r="157" spans="2:17" x14ac:dyDescent="0.25">
      <c r="B157" s="28" t="str">
        <f>CONCATENATE("Custom - ",'Custom Bldg'!$C$6)</f>
        <v>Custom - Type 2</v>
      </c>
      <c r="C157" s="357">
        <f>'Custom Bldg'!$E$6</f>
        <v>0</v>
      </c>
      <c r="D157" s="357">
        <f>'Custom Bldg'!$G$6</f>
        <v>0</v>
      </c>
      <c r="E157" s="357">
        <f>'Custom Bldg'!$I$6</f>
        <v>0</v>
      </c>
      <c r="F157" s="357">
        <f>'Custom Bldg'!$I$6</f>
        <v>0</v>
      </c>
      <c r="G157" s="357">
        <f>'Custom Bldg'!$L$6</f>
        <v>0</v>
      </c>
      <c r="H157" s="357">
        <f>'Custom Bldg'!$L$6</f>
        <v>0</v>
      </c>
      <c r="I157" s="28" t="str">
        <f>CONCATENATE("Custom - ",'Custom Bldg'!$C$6)</f>
        <v>Custom - Type 2</v>
      </c>
      <c r="J157" s="742">
        <f>'Custom Bldg'!$F$6</f>
        <v>0</v>
      </c>
      <c r="K157" s="742">
        <f>'Custom Bldg'!$H$6</f>
        <v>0</v>
      </c>
      <c r="L157" s="742">
        <f>'Custom Bldg'!$J$6</f>
        <v>0</v>
      </c>
      <c r="M157" s="742">
        <f>'Custom Bldg'!$J$6</f>
        <v>0</v>
      </c>
      <c r="N157" s="742">
        <f>'Custom Bldg'!$K$6</f>
        <v>0</v>
      </c>
      <c r="O157" s="742">
        <f>'Custom Bldg'!$M$6</f>
        <v>0</v>
      </c>
      <c r="P157" s="742">
        <f>'Custom Bldg'!$M$6</f>
        <v>0</v>
      </c>
      <c r="Q157" s="742">
        <f>'Custom Bldg'!$N$6</f>
        <v>0</v>
      </c>
    </row>
    <row r="158" spans="2:17" x14ac:dyDescent="0.25">
      <c r="B158" s="26" t="str">
        <f>CONCATENATE("Custom - ",'Custom Bldg'!$C$7)</f>
        <v>Custom - Type 3</v>
      </c>
      <c r="C158" s="358">
        <f>'Custom Bldg'!$E$7</f>
        <v>0</v>
      </c>
      <c r="D158" s="358">
        <f>'Custom Bldg'!$G$7</f>
        <v>0</v>
      </c>
      <c r="E158" s="358">
        <f>'Custom Bldg'!$I$7</f>
        <v>0</v>
      </c>
      <c r="F158" s="373">
        <f>'Custom Bldg'!$I$7</f>
        <v>0</v>
      </c>
      <c r="G158" s="373">
        <f>'Custom Bldg'!$L$7</f>
        <v>0</v>
      </c>
      <c r="H158" s="373">
        <f>'Custom Bldg'!$L$7</f>
        <v>0</v>
      </c>
      <c r="I158" s="26" t="str">
        <f>CONCATENATE("Custom - ",'Custom Bldg'!$C$7)</f>
        <v>Custom - Type 3</v>
      </c>
      <c r="J158" s="743">
        <f>'Custom Bldg'!$F$7</f>
        <v>0</v>
      </c>
      <c r="K158" s="743">
        <f>'Custom Bldg'!$H$7</f>
        <v>0</v>
      </c>
      <c r="L158" s="743">
        <f>'Custom Bldg'!$J$7</f>
        <v>0</v>
      </c>
      <c r="M158" s="743">
        <f>'Custom Bldg'!$J$7</f>
        <v>0</v>
      </c>
      <c r="N158" s="750">
        <f>'Custom Bldg'!$K$7</f>
        <v>0</v>
      </c>
      <c r="O158" s="750">
        <f>'Custom Bldg'!$M$7</f>
        <v>0</v>
      </c>
      <c r="P158" s="750">
        <f>'Custom Bldg'!$M$7</f>
        <v>0</v>
      </c>
      <c r="Q158" s="750">
        <f>'Custom Bldg'!$N$7</f>
        <v>0</v>
      </c>
    </row>
    <row r="159" spans="2:17" x14ac:dyDescent="0.25">
      <c r="B159" s="28" t="str">
        <f>CONCATENATE("Custom - ",'Custom Bldg'!$C$8)</f>
        <v>Custom - Type 4</v>
      </c>
      <c r="C159" s="357">
        <f>'Custom Bldg'!$E$8</f>
        <v>0</v>
      </c>
      <c r="D159" s="357">
        <f>'Custom Bldg'!$G$8</f>
        <v>0</v>
      </c>
      <c r="E159" s="357">
        <f>'Custom Bldg'!$I$8</f>
        <v>0</v>
      </c>
      <c r="F159" s="357">
        <f>'Custom Bldg'!$I$8</f>
        <v>0</v>
      </c>
      <c r="G159" s="357">
        <f>'Custom Bldg'!$L$8</f>
        <v>0</v>
      </c>
      <c r="H159" s="357">
        <f>'Custom Bldg'!$L$8</f>
        <v>0</v>
      </c>
      <c r="I159" s="28" t="str">
        <f>CONCATENATE("Custom - ",'Custom Bldg'!$C$8)</f>
        <v>Custom - Type 4</v>
      </c>
      <c r="J159" s="742">
        <f>'Custom Bldg'!$F$8</f>
        <v>0</v>
      </c>
      <c r="K159" s="742">
        <f>'Custom Bldg'!$H$8</f>
        <v>0</v>
      </c>
      <c r="L159" s="742">
        <f>'Custom Bldg'!$J$8</f>
        <v>0</v>
      </c>
      <c r="M159" s="742">
        <f>'Custom Bldg'!$J$8</f>
        <v>0</v>
      </c>
      <c r="N159" s="742">
        <f>'Custom Bldg'!$K$8</f>
        <v>0</v>
      </c>
      <c r="O159" s="742">
        <f>'Custom Bldg'!$M$8</f>
        <v>0</v>
      </c>
      <c r="P159" s="742">
        <f>'Custom Bldg'!$M$8</f>
        <v>0</v>
      </c>
      <c r="Q159" s="742">
        <f>'Custom Bldg'!$N$8</f>
        <v>0</v>
      </c>
    </row>
    <row r="160" spans="2:17" x14ac:dyDescent="0.25">
      <c r="B160" s="886" t="str">
        <f>CONCATENATE("Custom - ",'Custom Bldg'!$C$9)</f>
        <v>Custom - Type 5</v>
      </c>
      <c r="C160" s="887">
        <f>'Custom Bldg'!$E$9</f>
        <v>0</v>
      </c>
      <c r="D160" s="887">
        <f>'Custom Bldg'!$G$9</f>
        <v>0</v>
      </c>
      <c r="E160" s="887">
        <f>'Custom Bldg'!$I$9</f>
        <v>0</v>
      </c>
      <c r="F160" s="894">
        <f>'Custom Bldg'!$I$9</f>
        <v>0</v>
      </c>
      <c r="G160" s="894">
        <f>'Custom Bldg'!$L$9</f>
        <v>0</v>
      </c>
      <c r="H160" s="894">
        <f>'Custom Bldg'!$L$9</f>
        <v>0</v>
      </c>
      <c r="I160" s="886" t="str">
        <f>CONCATENATE("Custom - ",'Custom Bldg'!$C$9)</f>
        <v>Custom - Type 5</v>
      </c>
      <c r="J160" s="888">
        <f>'Custom Bldg'!$F$9</f>
        <v>0</v>
      </c>
      <c r="K160" s="888">
        <f>'Custom Bldg'!$H$9</f>
        <v>0</v>
      </c>
      <c r="L160" s="888">
        <f>'Custom Bldg'!$J$9</f>
        <v>0</v>
      </c>
      <c r="M160" s="888">
        <f>'Custom Bldg'!$J$9</f>
        <v>0</v>
      </c>
      <c r="N160" s="895">
        <f>'Custom Bldg'!$K$9</f>
        <v>0</v>
      </c>
      <c r="O160" s="895">
        <f>'Custom Bldg'!$M$9</f>
        <v>0</v>
      </c>
      <c r="P160" s="895">
        <f>'Custom Bldg'!$M$9</f>
        <v>0</v>
      </c>
      <c r="Q160" s="895">
        <f>'Custom Bldg'!$N$9</f>
        <v>0</v>
      </c>
    </row>
    <row r="162" spans="2:17" hidden="1" x14ac:dyDescent="0.25">
      <c r="B162" s="29" t="s">
        <v>182</v>
      </c>
      <c r="C162" s="346"/>
      <c r="D162" s="347"/>
      <c r="E162" s="346"/>
      <c r="F162" s="346"/>
      <c r="G162" s="346"/>
      <c r="H162" s="347"/>
      <c r="I162" s="29"/>
      <c r="J162" s="346"/>
      <c r="K162" s="347"/>
      <c r="L162" s="346"/>
      <c r="M162" s="741"/>
      <c r="N162" s="346"/>
      <c r="O162" s="346"/>
      <c r="P162" s="741"/>
      <c r="Q162" s="175">
        <f>'Project Info'!$D8</f>
        <v>0</v>
      </c>
    </row>
    <row r="163" spans="2:17" ht="25.5" hidden="1" customHeight="1" x14ac:dyDescent="0.25">
      <c r="B163" s="1053" t="s">
        <v>23</v>
      </c>
      <c r="C163" s="1048" t="s">
        <v>603</v>
      </c>
      <c r="D163" s="1049"/>
      <c r="E163" s="1049"/>
      <c r="F163" s="1049"/>
      <c r="G163" s="1049"/>
      <c r="H163" s="1050"/>
      <c r="I163" s="1051" t="s">
        <v>23</v>
      </c>
      <c r="J163" s="1048" t="s">
        <v>604</v>
      </c>
      <c r="K163" s="1049"/>
      <c r="L163" s="1049"/>
      <c r="M163" s="1049"/>
      <c r="N163" s="1049"/>
      <c r="O163" s="1049"/>
      <c r="P163" s="1049"/>
      <c r="Q163" s="1049"/>
    </row>
    <row r="164" spans="2:17" ht="25.5" hidden="1" x14ac:dyDescent="0.25">
      <c r="B164" s="1054"/>
      <c r="C164" s="737" t="s">
        <v>30</v>
      </c>
      <c r="D164" s="737" t="s">
        <v>31</v>
      </c>
      <c r="E164" s="737" t="s">
        <v>605</v>
      </c>
      <c r="F164" s="737" t="s">
        <v>608</v>
      </c>
      <c r="G164" s="737" t="s">
        <v>47</v>
      </c>
      <c r="H164" s="737" t="s">
        <v>48</v>
      </c>
      <c r="I164" s="1052"/>
      <c r="J164" s="737" t="s">
        <v>30</v>
      </c>
      <c r="K164" s="737" t="s">
        <v>31</v>
      </c>
      <c r="L164" s="737" t="s">
        <v>605</v>
      </c>
      <c r="M164" s="737" t="s">
        <v>606</v>
      </c>
      <c r="N164" s="737" t="s">
        <v>607</v>
      </c>
      <c r="O164" s="737" t="s">
        <v>47</v>
      </c>
      <c r="P164" s="738" t="s">
        <v>598</v>
      </c>
      <c r="Q164" s="738" t="s">
        <v>599</v>
      </c>
    </row>
    <row r="165" spans="2:17" hidden="1" x14ac:dyDescent="0.25">
      <c r="B165" s="30" t="s">
        <v>313</v>
      </c>
      <c r="C165" s="374">
        <f t="shared" ref="C165:H174" si="21">IF($Q$162="Weather Zone 1: Amarillo",C5,IF($Q$162="Weather Zone 2: Fort Worth",C37, IF($Q$162="Weather Zone 3: Houston",C69, IF($Q$162="Weather Zone 4: Brownsville",C101,IF($Q$162="Weather Zone 5: El Paso",C133,0)))))</f>
        <v>0</v>
      </c>
      <c r="D165" s="375">
        <f t="shared" si="21"/>
        <v>0</v>
      </c>
      <c r="E165" s="374">
        <f t="shared" si="21"/>
        <v>0</v>
      </c>
      <c r="F165" s="374">
        <f t="shared" si="21"/>
        <v>0</v>
      </c>
      <c r="G165" s="374">
        <f t="shared" si="21"/>
        <v>0</v>
      </c>
      <c r="H165" s="375">
        <f t="shared" si="21"/>
        <v>0</v>
      </c>
      <c r="I165" s="30" t="s">
        <v>313</v>
      </c>
      <c r="J165" s="362">
        <f t="shared" ref="J165:Q174" si="22">IF($Q$162="Weather Zone 1: Amarillo",J5,IF($Q$162="Weather Zone 2: Fort Worth",J37, IF($Q$162="Weather Zone 3: Houston",J69, IF($Q$162="Weather Zone 4: Brownsville",J101,IF($Q$162="Weather Zone 5: El Paso",J133,0)))))</f>
        <v>0</v>
      </c>
      <c r="K165" s="362">
        <f t="shared" si="22"/>
        <v>0</v>
      </c>
      <c r="L165" s="363">
        <f t="shared" si="22"/>
        <v>0</v>
      </c>
      <c r="M165" s="745">
        <f t="shared" si="22"/>
        <v>0</v>
      </c>
      <c r="N165" s="363">
        <f t="shared" si="22"/>
        <v>0</v>
      </c>
      <c r="O165" s="363">
        <f t="shared" si="22"/>
        <v>0</v>
      </c>
      <c r="P165" s="745">
        <f t="shared" si="22"/>
        <v>0</v>
      </c>
      <c r="Q165" s="362">
        <f t="shared" si="22"/>
        <v>0</v>
      </c>
    </row>
    <row r="166" spans="2:17" hidden="1" x14ac:dyDescent="0.25">
      <c r="B166" s="31" t="s">
        <v>314</v>
      </c>
      <c r="C166" s="376">
        <f t="shared" si="21"/>
        <v>0</v>
      </c>
      <c r="D166" s="358">
        <f t="shared" si="21"/>
        <v>0</v>
      </c>
      <c r="E166" s="376">
        <f t="shared" si="21"/>
        <v>0</v>
      </c>
      <c r="F166" s="376">
        <f t="shared" si="21"/>
        <v>0</v>
      </c>
      <c r="G166" s="376">
        <f t="shared" si="21"/>
        <v>0</v>
      </c>
      <c r="H166" s="358">
        <f t="shared" si="21"/>
        <v>0</v>
      </c>
      <c r="I166" s="31" t="s">
        <v>314</v>
      </c>
      <c r="J166" s="364">
        <f t="shared" si="22"/>
        <v>0</v>
      </c>
      <c r="K166" s="360">
        <f t="shared" si="22"/>
        <v>0</v>
      </c>
      <c r="L166" s="364">
        <f t="shared" si="22"/>
        <v>0</v>
      </c>
      <c r="M166" s="746">
        <f t="shared" si="22"/>
        <v>0</v>
      </c>
      <c r="N166" s="364">
        <f t="shared" si="22"/>
        <v>0</v>
      </c>
      <c r="O166" s="364">
        <f t="shared" si="22"/>
        <v>0</v>
      </c>
      <c r="P166" s="746">
        <f t="shared" si="22"/>
        <v>0</v>
      </c>
      <c r="Q166" s="360">
        <f t="shared" si="22"/>
        <v>0</v>
      </c>
    </row>
    <row r="167" spans="2:17" hidden="1" x14ac:dyDescent="0.25">
      <c r="B167" s="32" t="s">
        <v>315</v>
      </c>
      <c r="C167" s="377">
        <f t="shared" si="21"/>
        <v>0</v>
      </c>
      <c r="D167" s="374">
        <f t="shared" si="21"/>
        <v>0</v>
      </c>
      <c r="E167" s="377">
        <f t="shared" si="21"/>
        <v>0</v>
      </c>
      <c r="F167" s="377">
        <f t="shared" si="21"/>
        <v>0</v>
      </c>
      <c r="G167" s="377">
        <f t="shared" si="21"/>
        <v>0</v>
      </c>
      <c r="H167" s="374">
        <f t="shared" si="21"/>
        <v>0</v>
      </c>
      <c r="I167" s="32" t="s">
        <v>315</v>
      </c>
      <c r="J167" s="365">
        <f t="shared" si="22"/>
        <v>0</v>
      </c>
      <c r="K167" s="363">
        <f t="shared" si="22"/>
        <v>0</v>
      </c>
      <c r="L167" s="365">
        <f t="shared" si="22"/>
        <v>0</v>
      </c>
      <c r="M167" s="747">
        <f t="shared" si="22"/>
        <v>0</v>
      </c>
      <c r="N167" s="365">
        <f t="shared" si="22"/>
        <v>0</v>
      </c>
      <c r="O167" s="365">
        <f t="shared" si="22"/>
        <v>0</v>
      </c>
      <c r="P167" s="747">
        <f t="shared" si="22"/>
        <v>0</v>
      </c>
      <c r="Q167" s="363">
        <f t="shared" si="22"/>
        <v>0</v>
      </c>
    </row>
    <row r="168" spans="2:17" hidden="1" x14ac:dyDescent="0.25">
      <c r="B168" s="31" t="s">
        <v>337</v>
      </c>
      <c r="C168" s="376">
        <f t="shared" si="21"/>
        <v>0</v>
      </c>
      <c r="D168" s="358">
        <f t="shared" si="21"/>
        <v>0</v>
      </c>
      <c r="E168" s="376">
        <f t="shared" si="21"/>
        <v>0</v>
      </c>
      <c r="F168" s="376">
        <f t="shared" si="21"/>
        <v>0</v>
      </c>
      <c r="G168" s="376">
        <f t="shared" si="21"/>
        <v>0</v>
      </c>
      <c r="H168" s="358">
        <f t="shared" si="21"/>
        <v>0</v>
      </c>
      <c r="I168" s="31" t="s">
        <v>337</v>
      </c>
      <c r="J168" s="364">
        <f t="shared" si="22"/>
        <v>0</v>
      </c>
      <c r="K168" s="360">
        <f t="shared" si="22"/>
        <v>0</v>
      </c>
      <c r="L168" s="364">
        <f t="shared" si="22"/>
        <v>0</v>
      </c>
      <c r="M168" s="746">
        <f t="shared" si="22"/>
        <v>0</v>
      </c>
      <c r="N168" s="364">
        <f t="shared" si="22"/>
        <v>0</v>
      </c>
      <c r="O168" s="364">
        <f t="shared" si="22"/>
        <v>0</v>
      </c>
      <c r="P168" s="746">
        <f t="shared" si="22"/>
        <v>0</v>
      </c>
      <c r="Q168" s="360">
        <f t="shared" si="22"/>
        <v>0</v>
      </c>
    </row>
    <row r="169" spans="2:17" hidden="1" x14ac:dyDescent="0.25">
      <c r="B169" s="32" t="s">
        <v>338</v>
      </c>
      <c r="C169" s="377">
        <f t="shared" si="21"/>
        <v>0</v>
      </c>
      <c r="D169" s="374">
        <f t="shared" si="21"/>
        <v>0</v>
      </c>
      <c r="E169" s="377">
        <f t="shared" si="21"/>
        <v>0</v>
      </c>
      <c r="F169" s="377">
        <f t="shared" si="21"/>
        <v>0</v>
      </c>
      <c r="G169" s="377">
        <f t="shared" si="21"/>
        <v>0</v>
      </c>
      <c r="H169" s="374">
        <f t="shared" si="21"/>
        <v>0</v>
      </c>
      <c r="I169" s="32" t="s">
        <v>338</v>
      </c>
      <c r="J169" s="365">
        <f t="shared" si="22"/>
        <v>0</v>
      </c>
      <c r="K169" s="363">
        <f t="shared" si="22"/>
        <v>0</v>
      </c>
      <c r="L169" s="365">
        <f t="shared" si="22"/>
        <v>0</v>
      </c>
      <c r="M169" s="747">
        <f t="shared" si="22"/>
        <v>0</v>
      </c>
      <c r="N169" s="365">
        <f t="shared" si="22"/>
        <v>0</v>
      </c>
      <c r="O169" s="365">
        <f t="shared" si="22"/>
        <v>0</v>
      </c>
      <c r="P169" s="747">
        <f t="shared" si="22"/>
        <v>0</v>
      </c>
      <c r="Q169" s="363">
        <f t="shared" si="22"/>
        <v>0</v>
      </c>
    </row>
    <row r="170" spans="2:17" hidden="1" x14ac:dyDescent="0.25">
      <c r="B170" s="31" t="s">
        <v>336</v>
      </c>
      <c r="C170" s="376">
        <f t="shared" si="21"/>
        <v>0</v>
      </c>
      <c r="D170" s="358">
        <f t="shared" si="21"/>
        <v>0</v>
      </c>
      <c r="E170" s="376">
        <f t="shared" si="21"/>
        <v>0</v>
      </c>
      <c r="F170" s="376">
        <f t="shared" si="21"/>
        <v>0</v>
      </c>
      <c r="G170" s="376">
        <f t="shared" si="21"/>
        <v>0</v>
      </c>
      <c r="H170" s="358">
        <f t="shared" si="21"/>
        <v>0</v>
      </c>
      <c r="I170" s="31" t="s">
        <v>336</v>
      </c>
      <c r="J170" s="364">
        <f t="shared" si="22"/>
        <v>0</v>
      </c>
      <c r="K170" s="360">
        <f t="shared" si="22"/>
        <v>0</v>
      </c>
      <c r="L170" s="364">
        <f t="shared" si="22"/>
        <v>0</v>
      </c>
      <c r="M170" s="746">
        <f t="shared" si="22"/>
        <v>0</v>
      </c>
      <c r="N170" s="364">
        <f t="shared" si="22"/>
        <v>0</v>
      </c>
      <c r="O170" s="364">
        <f t="shared" si="22"/>
        <v>0</v>
      </c>
      <c r="P170" s="746">
        <f t="shared" si="22"/>
        <v>0</v>
      </c>
      <c r="Q170" s="360">
        <f t="shared" si="22"/>
        <v>0</v>
      </c>
    </row>
    <row r="171" spans="2:17" hidden="1" x14ac:dyDescent="0.25">
      <c r="B171" s="32" t="s">
        <v>28</v>
      </c>
      <c r="C171" s="377">
        <f t="shared" si="21"/>
        <v>0</v>
      </c>
      <c r="D171" s="374">
        <f t="shared" si="21"/>
        <v>0</v>
      </c>
      <c r="E171" s="377">
        <f t="shared" si="21"/>
        <v>0</v>
      </c>
      <c r="F171" s="377">
        <f t="shared" si="21"/>
        <v>0</v>
      </c>
      <c r="G171" s="377">
        <f t="shared" si="21"/>
        <v>0</v>
      </c>
      <c r="H171" s="374">
        <f t="shared" si="21"/>
        <v>0</v>
      </c>
      <c r="I171" s="32" t="s">
        <v>28</v>
      </c>
      <c r="J171" s="365">
        <f t="shared" si="22"/>
        <v>0</v>
      </c>
      <c r="K171" s="363">
        <f t="shared" si="22"/>
        <v>0</v>
      </c>
      <c r="L171" s="365">
        <f t="shared" si="22"/>
        <v>0</v>
      </c>
      <c r="M171" s="747">
        <f t="shared" si="22"/>
        <v>0</v>
      </c>
      <c r="N171" s="365">
        <f t="shared" si="22"/>
        <v>0</v>
      </c>
      <c r="O171" s="365">
        <f t="shared" si="22"/>
        <v>0</v>
      </c>
      <c r="P171" s="747">
        <f t="shared" si="22"/>
        <v>0</v>
      </c>
      <c r="Q171" s="363">
        <f t="shared" si="22"/>
        <v>0</v>
      </c>
    </row>
    <row r="172" spans="2:17" hidden="1" x14ac:dyDescent="0.25">
      <c r="B172" s="31" t="s">
        <v>335</v>
      </c>
      <c r="C172" s="376">
        <f t="shared" si="21"/>
        <v>0</v>
      </c>
      <c r="D172" s="358">
        <f t="shared" si="21"/>
        <v>0</v>
      </c>
      <c r="E172" s="376">
        <f t="shared" si="21"/>
        <v>0</v>
      </c>
      <c r="F172" s="376">
        <f t="shared" si="21"/>
        <v>0</v>
      </c>
      <c r="G172" s="376">
        <f t="shared" si="21"/>
        <v>0</v>
      </c>
      <c r="H172" s="358">
        <f t="shared" si="21"/>
        <v>0</v>
      </c>
      <c r="I172" s="31" t="s">
        <v>335</v>
      </c>
      <c r="J172" s="364">
        <f t="shared" si="22"/>
        <v>0</v>
      </c>
      <c r="K172" s="360">
        <f t="shared" si="22"/>
        <v>0</v>
      </c>
      <c r="L172" s="364">
        <f t="shared" si="22"/>
        <v>0</v>
      </c>
      <c r="M172" s="746">
        <f t="shared" si="22"/>
        <v>0</v>
      </c>
      <c r="N172" s="364">
        <f t="shared" si="22"/>
        <v>0</v>
      </c>
      <c r="O172" s="364">
        <f t="shared" si="22"/>
        <v>0</v>
      </c>
      <c r="P172" s="746">
        <f t="shared" si="22"/>
        <v>0</v>
      </c>
      <c r="Q172" s="360">
        <f t="shared" si="22"/>
        <v>0</v>
      </c>
    </row>
    <row r="173" spans="2:17" hidden="1" x14ac:dyDescent="0.25">
      <c r="B173" s="32" t="s">
        <v>29</v>
      </c>
      <c r="C173" s="377">
        <f t="shared" si="21"/>
        <v>0</v>
      </c>
      <c r="D173" s="374">
        <f t="shared" si="21"/>
        <v>0</v>
      </c>
      <c r="E173" s="377">
        <f t="shared" si="21"/>
        <v>0</v>
      </c>
      <c r="F173" s="377">
        <f t="shared" si="21"/>
        <v>0</v>
      </c>
      <c r="G173" s="377">
        <f t="shared" si="21"/>
        <v>0</v>
      </c>
      <c r="H173" s="374">
        <f t="shared" si="21"/>
        <v>0</v>
      </c>
      <c r="I173" s="32" t="s">
        <v>29</v>
      </c>
      <c r="J173" s="365">
        <f t="shared" si="22"/>
        <v>0</v>
      </c>
      <c r="K173" s="363">
        <f t="shared" si="22"/>
        <v>0</v>
      </c>
      <c r="L173" s="365">
        <f t="shared" si="22"/>
        <v>0</v>
      </c>
      <c r="M173" s="747">
        <f t="shared" si="22"/>
        <v>0</v>
      </c>
      <c r="N173" s="365">
        <f t="shared" si="22"/>
        <v>0</v>
      </c>
      <c r="O173" s="365">
        <f t="shared" si="22"/>
        <v>0</v>
      </c>
      <c r="P173" s="747">
        <f t="shared" si="22"/>
        <v>0</v>
      </c>
      <c r="Q173" s="363">
        <f t="shared" si="22"/>
        <v>0</v>
      </c>
    </row>
    <row r="174" spans="2:17" hidden="1" x14ac:dyDescent="0.25">
      <c r="B174" s="31" t="s">
        <v>24</v>
      </c>
      <c r="C174" s="376">
        <f t="shared" si="21"/>
        <v>0</v>
      </c>
      <c r="D174" s="358">
        <f t="shared" si="21"/>
        <v>0</v>
      </c>
      <c r="E174" s="376">
        <f t="shared" si="21"/>
        <v>0</v>
      </c>
      <c r="F174" s="376">
        <f t="shared" si="21"/>
        <v>0</v>
      </c>
      <c r="G174" s="376">
        <f t="shared" si="21"/>
        <v>0</v>
      </c>
      <c r="H174" s="358">
        <f t="shared" si="21"/>
        <v>0</v>
      </c>
      <c r="I174" s="31" t="s">
        <v>24</v>
      </c>
      <c r="J174" s="364">
        <f t="shared" si="22"/>
        <v>0</v>
      </c>
      <c r="K174" s="360">
        <f t="shared" si="22"/>
        <v>0</v>
      </c>
      <c r="L174" s="364">
        <f t="shared" si="22"/>
        <v>0</v>
      </c>
      <c r="M174" s="746">
        <f t="shared" si="22"/>
        <v>0</v>
      </c>
      <c r="N174" s="364">
        <f t="shared" si="22"/>
        <v>0</v>
      </c>
      <c r="O174" s="364">
        <f t="shared" si="22"/>
        <v>0</v>
      </c>
      <c r="P174" s="746">
        <f t="shared" si="22"/>
        <v>0</v>
      </c>
      <c r="Q174" s="360">
        <f t="shared" si="22"/>
        <v>0</v>
      </c>
    </row>
    <row r="175" spans="2:17" hidden="1" x14ac:dyDescent="0.25">
      <c r="B175" s="32" t="s">
        <v>339</v>
      </c>
      <c r="C175" s="377">
        <f t="shared" ref="C175:H184" si="23">IF($Q$162="Weather Zone 1: Amarillo",C15,IF($Q$162="Weather Zone 2: Fort Worth",C47, IF($Q$162="Weather Zone 3: Houston",C79, IF($Q$162="Weather Zone 4: Brownsville",C111,IF($Q$162="Weather Zone 5: El Paso",C143,0)))))</f>
        <v>0</v>
      </c>
      <c r="D175" s="374">
        <f t="shared" si="23"/>
        <v>0</v>
      </c>
      <c r="E175" s="377">
        <f t="shared" si="23"/>
        <v>0</v>
      </c>
      <c r="F175" s="377">
        <f t="shared" si="23"/>
        <v>0</v>
      </c>
      <c r="G175" s="377">
        <f t="shared" si="23"/>
        <v>0</v>
      </c>
      <c r="H175" s="374">
        <f t="shared" si="23"/>
        <v>0</v>
      </c>
      <c r="I175" s="32" t="s">
        <v>339</v>
      </c>
      <c r="J175" s="365">
        <f t="shared" ref="J175:Q184" si="24">IF($Q$162="Weather Zone 1: Amarillo",J15,IF($Q$162="Weather Zone 2: Fort Worth",J47, IF($Q$162="Weather Zone 3: Houston",J79, IF($Q$162="Weather Zone 4: Brownsville",J111,IF($Q$162="Weather Zone 5: El Paso",J143,0)))))</f>
        <v>0</v>
      </c>
      <c r="K175" s="363">
        <f t="shared" si="24"/>
        <v>0</v>
      </c>
      <c r="L175" s="365">
        <f t="shared" si="24"/>
        <v>0</v>
      </c>
      <c r="M175" s="747">
        <f t="shared" si="24"/>
        <v>0</v>
      </c>
      <c r="N175" s="365">
        <f t="shared" si="24"/>
        <v>0</v>
      </c>
      <c r="O175" s="365">
        <f t="shared" si="24"/>
        <v>0</v>
      </c>
      <c r="P175" s="747">
        <f t="shared" si="24"/>
        <v>0</v>
      </c>
      <c r="Q175" s="363">
        <f t="shared" si="24"/>
        <v>0</v>
      </c>
    </row>
    <row r="176" spans="2:17" hidden="1" x14ac:dyDescent="0.25">
      <c r="B176" s="31" t="s">
        <v>316</v>
      </c>
      <c r="C176" s="376">
        <f t="shared" si="23"/>
        <v>0</v>
      </c>
      <c r="D176" s="358">
        <f t="shared" si="23"/>
        <v>0</v>
      </c>
      <c r="E176" s="376">
        <f t="shared" si="23"/>
        <v>0</v>
      </c>
      <c r="F176" s="376">
        <f t="shared" si="23"/>
        <v>0</v>
      </c>
      <c r="G176" s="376">
        <f t="shared" si="23"/>
        <v>0</v>
      </c>
      <c r="H176" s="358">
        <f t="shared" si="23"/>
        <v>0</v>
      </c>
      <c r="I176" s="31" t="s">
        <v>316</v>
      </c>
      <c r="J176" s="364">
        <f t="shared" si="24"/>
        <v>0</v>
      </c>
      <c r="K176" s="360">
        <f t="shared" si="24"/>
        <v>0</v>
      </c>
      <c r="L176" s="364">
        <f t="shared" si="24"/>
        <v>0</v>
      </c>
      <c r="M176" s="746">
        <f t="shared" si="24"/>
        <v>0</v>
      </c>
      <c r="N176" s="364">
        <f t="shared" si="24"/>
        <v>0</v>
      </c>
      <c r="O176" s="364">
        <f t="shared" si="24"/>
        <v>0</v>
      </c>
      <c r="P176" s="746">
        <f t="shared" si="24"/>
        <v>0</v>
      </c>
      <c r="Q176" s="360">
        <f t="shared" si="24"/>
        <v>0</v>
      </c>
    </row>
    <row r="177" spans="2:17" hidden="1" x14ac:dyDescent="0.25">
      <c r="B177" s="32" t="s">
        <v>317</v>
      </c>
      <c r="C177" s="377">
        <f t="shared" si="23"/>
        <v>0</v>
      </c>
      <c r="D177" s="374">
        <f t="shared" si="23"/>
        <v>0</v>
      </c>
      <c r="E177" s="377">
        <f t="shared" si="23"/>
        <v>0</v>
      </c>
      <c r="F177" s="377">
        <f t="shared" si="23"/>
        <v>0</v>
      </c>
      <c r="G177" s="377">
        <f t="shared" si="23"/>
        <v>0</v>
      </c>
      <c r="H177" s="374">
        <f t="shared" si="23"/>
        <v>0</v>
      </c>
      <c r="I177" s="32" t="s">
        <v>317</v>
      </c>
      <c r="J177" s="365">
        <f t="shared" si="24"/>
        <v>0</v>
      </c>
      <c r="K177" s="363">
        <f t="shared" si="24"/>
        <v>0</v>
      </c>
      <c r="L177" s="365">
        <f t="shared" si="24"/>
        <v>0</v>
      </c>
      <c r="M177" s="747">
        <f t="shared" si="24"/>
        <v>0</v>
      </c>
      <c r="N177" s="365">
        <f t="shared" si="24"/>
        <v>0</v>
      </c>
      <c r="O177" s="365">
        <f t="shared" si="24"/>
        <v>0</v>
      </c>
      <c r="P177" s="747">
        <f t="shared" si="24"/>
        <v>0</v>
      </c>
      <c r="Q177" s="363">
        <f t="shared" si="24"/>
        <v>0</v>
      </c>
    </row>
    <row r="178" spans="2:17" hidden="1" x14ac:dyDescent="0.25">
      <c r="B178" s="31" t="s">
        <v>340</v>
      </c>
      <c r="C178" s="376">
        <f t="shared" si="23"/>
        <v>0</v>
      </c>
      <c r="D178" s="358">
        <f t="shared" si="23"/>
        <v>0</v>
      </c>
      <c r="E178" s="376">
        <f t="shared" si="23"/>
        <v>0</v>
      </c>
      <c r="F178" s="376">
        <f t="shared" si="23"/>
        <v>0</v>
      </c>
      <c r="G178" s="376">
        <f t="shared" si="23"/>
        <v>0</v>
      </c>
      <c r="H178" s="358">
        <f t="shared" si="23"/>
        <v>0</v>
      </c>
      <c r="I178" s="31" t="s">
        <v>340</v>
      </c>
      <c r="J178" s="364">
        <f t="shared" si="24"/>
        <v>0</v>
      </c>
      <c r="K178" s="360">
        <f t="shared" si="24"/>
        <v>0</v>
      </c>
      <c r="L178" s="364">
        <f t="shared" si="24"/>
        <v>0</v>
      </c>
      <c r="M178" s="746">
        <f t="shared" si="24"/>
        <v>0</v>
      </c>
      <c r="N178" s="364">
        <f t="shared" si="24"/>
        <v>0</v>
      </c>
      <c r="O178" s="364">
        <f t="shared" si="24"/>
        <v>0</v>
      </c>
      <c r="P178" s="746">
        <f t="shared" si="24"/>
        <v>0</v>
      </c>
      <c r="Q178" s="360">
        <f t="shared" si="24"/>
        <v>0</v>
      </c>
    </row>
    <row r="179" spans="2:17" hidden="1" x14ac:dyDescent="0.25">
      <c r="B179" s="32" t="s">
        <v>318</v>
      </c>
      <c r="C179" s="377">
        <f t="shared" si="23"/>
        <v>0</v>
      </c>
      <c r="D179" s="374">
        <f t="shared" si="23"/>
        <v>0</v>
      </c>
      <c r="E179" s="377">
        <f t="shared" si="23"/>
        <v>0</v>
      </c>
      <c r="F179" s="377">
        <f t="shared" si="23"/>
        <v>0</v>
      </c>
      <c r="G179" s="377">
        <f t="shared" si="23"/>
        <v>0</v>
      </c>
      <c r="H179" s="374">
        <f t="shared" si="23"/>
        <v>0</v>
      </c>
      <c r="I179" s="32" t="s">
        <v>318</v>
      </c>
      <c r="J179" s="365">
        <f t="shared" si="24"/>
        <v>0</v>
      </c>
      <c r="K179" s="363">
        <f t="shared" si="24"/>
        <v>0</v>
      </c>
      <c r="L179" s="365">
        <f t="shared" si="24"/>
        <v>0</v>
      </c>
      <c r="M179" s="747">
        <f t="shared" si="24"/>
        <v>0</v>
      </c>
      <c r="N179" s="365">
        <f t="shared" si="24"/>
        <v>0</v>
      </c>
      <c r="O179" s="365">
        <f t="shared" si="24"/>
        <v>0</v>
      </c>
      <c r="P179" s="747">
        <f t="shared" si="24"/>
        <v>0</v>
      </c>
      <c r="Q179" s="363">
        <f t="shared" si="24"/>
        <v>0</v>
      </c>
    </row>
    <row r="180" spans="2:17" hidden="1" x14ac:dyDescent="0.25">
      <c r="B180" s="31" t="s">
        <v>319</v>
      </c>
      <c r="C180" s="376">
        <f t="shared" si="23"/>
        <v>0</v>
      </c>
      <c r="D180" s="358">
        <f t="shared" si="23"/>
        <v>0</v>
      </c>
      <c r="E180" s="376">
        <f t="shared" si="23"/>
        <v>0</v>
      </c>
      <c r="F180" s="376">
        <f t="shared" si="23"/>
        <v>0</v>
      </c>
      <c r="G180" s="376">
        <f t="shared" si="23"/>
        <v>0</v>
      </c>
      <c r="H180" s="358">
        <f t="shared" si="23"/>
        <v>0</v>
      </c>
      <c r="I180" s="31" t="s">
        <v>319</v>
      </c>
      <c r="J180" s="364">
        <f t="shared" si="24"/>
        <v>0</v>
      </c>
      <c r="K180" s="360">
        <f t="shared" si="24"/>
        <v>0</v>
      </c>
      <c r="L180" s="364">
        <f t="shared" si="24"/>
        <v>0</v>
      </c>
      <c r="M180" s="746">
        <f t="shared" si="24"/>
        <v>0</v>
      </c>
      <c r="N180" s="364">
        <f t="shared" si="24"/>
        <v>0</v>
      </c>
      <c r="O180" s="364">
        <f t="shared" si="24"/>
        <v>0</v>
      </c>
      <c r="P180" s="746">
        <f t="shared" si="24"/>
        <v>0</v>
      </c>
      <c r="Q180" s="360">
        <f t="shared" si="24"/>
        <v>0</v>
      </c>
    </row>
    <row r="181" spans="2:17" hidden="1" x14ac:dyDescent="0.25">
      <c r="B181" s="32" t="s">
        <v>320</v>
      </c>
      <c r="C181" s="377">
        <f t="shared" si="23"/>
        <v>0</v>
      </c>
      <c r="D181" s="374">
        <f t="shared" si="23"/>
        <v>0</v>
      </c>
      <c r="E181" s="377">
        <f t="shared" si="23"/>
        <v>0</v>
      </c>
      <c r="F181" s="377">
        <f t="shared" si="23"/>
        <v>0</v>
      </c>
      <c r="G181" s="377">
        <f t="shared" si="23"/>
        <v>0</v>
      </c>
      <c r="H181" s="374">
        <f t="shared" si="23"/>
        <v>0</v>
      </c>
      <c r="I181" s="32" t="s">
        <v>320</v>
      </c>
      <c r="J181" s="365">
        <f t="shared" si="24"/>
        <v>0</v>
      </c>
      <c r="K181" s="363">
        <f t="shared" si="24"/>
        <v>0</v>
      </c>
      <c r="L181" s="365">
        <f t="shared" si="24"/>
        <v>0</v>
      </c>
      <c r="M181" s="747">
        <f t="shared" si="24"/>
        <v>0</v>
      </c>
      <c r="N181" s="365">
        <f t="shared" si="24"/>
        <v>0</v>
      </c>
      <c r="O181" s="365">
        <f t="shared" si="24"/>
        <v>0</v>
      </c>
      <c r="P181" s="747">
        <f t="shared" si="24"/>
        <v>0</v>
      </c>
      <c r="Q181" s="363">
        <f t="shared" si="24"/>
        <v>0</v>
      </c>
    </row>
    <row r="182" spans="2:17" hidden="1" x14ac:dyDescent="0.25">
      <c r="B182" s="31" t="s">
        <v>321</v>
      </c>
      <c r="C182" s="376">
        <f t="shared" si="23"/>
        <v>0</v>
      </c>
      <c r="D182" s="358">
        <f t="shared" si="23"/>
        <v>0</v>
      </c>
      <c r="E182" s="376">
        <f t="shared" si="23"/>
        <v>0</v>
      </c>
      <c r="F182" s="376">
        <f t="shared" si="23"/>
        <v>0</v>
      </c>
      <c r="G182" s="376">
        <f t="shared" si="23"/>
        <v>0</v>
      </c>
      <c r="H182" s="358">
        <f t="shared" si="23"/>
        <v>0</v>
      </c>
      <c r="I182" s="31" t="s">
        <v>321</v>
      </c>
      <c r="J182" s="364">
        <f t="shared" si="24"/>
        <v>0</v>
      </c>
      <c r="K182" s="360">
        <f t="shared" si="24"/>
        <v>0</v>
      </c>
      <c r="L182" s="364">
        <f t="shared" si="24"/>
        <v>0</v>
      </c>
      <c r="M182" s="746">
        <f t="shared" si="24"/>
        <v>0</v>
      </c>
      <c r="N182" s="364">
        <f t="shared" si="24"/>
        <v>0</v>
      </c>
      <c r="O182" s="364">
        <f t="shared" si="24"/>
        <v>0</v>
      </c>
      <c r="P182" s="746">
        <f t="shared" si="24"/>
        <v>0</v>
      </c>
      <c r="Q182" s="360">
        <f t="shared" si="24"/>
        <v>0</v>
      </c>
    </row>
    <row r="183" spans="2:17" hidden="1" x14ac:dyDescent="0.25">
      <c r="B183" s="32" t="s">
        <v>322</v>
      </c>
      <c r="C183" s="377">
        <f t="shared" si="23"/>
        <v>0</v>
      </c>
      <c r="D183" s="374">
        <f t="shared" si="23"/>
        <v>0</v>
      </c>
      <c r="E183" s="377">
        <f t="shared" si="23"/>
        <v>0</v>
      </c>
      <c r="F183" s="377">
        <f t="shared" si="23"/>
        <v>0</v>
      </c>
      <c r="G183" s="377">
        <f t="shared" si="23"/>
        <v>0</v>
      </c>
      <c r="H183" s="374">
        <f t="shared" si="23"/>
        <v>0</v>
      </c>
      <c r="I183" s="32" t="s">
        <v>322</v>
      </c>
      <c r="J183" s="365">
        <f t="shared" si="24"/>
        <v>0</v>
      </c>
      <c r="K183" s="363">
        <f t="shared" si="24"/>
        <v>0</v>
      </c>
      <c r="L183" s="365">
        <f t="shared" si="24"/>
        <v>0</v>
      </c>
      <c r="M183" s="747">
        <f t="shared" si="24"/>
        <v>0</v>
      </c>
      <c r="N183" s="365">
        <f t="shared" si="24"/>
        <v>0</v>
      </c>
      <c r="O183" s="365">
        <f t="shared" si="24"/>
        <v>0</v>
      </c>
      <c r="P183" s="747">
        <f t="shared" si="24"/>
        <v>0</v>
      </c>
      <c r="Q183" s="363">
        <f t="shared" si="24"/>
        <v>0</v>
      </c>
    </row>
    <row r="184" spans="2:17" hidden="1" x14ac:dyDescent="0.25">
      <c r="B184" s="31" t="s">
        <v>341</v>
      </c>
      <c r="C184" s="376">
        <f t="shared" si="23"/>
        <v>0</v>
      </c>
      <c r="D184" s="358">
        <f t="shared" si="23"/>
        <v>0</v>
      </c>
      <c r="E184" s="376">
        <f t="shared" si="23"/>
        <v>0</v>
      </c>
      <c r="F184" s="376">
        <f t="shared" si="23"/>
        <v>0</v>
      </c>
      <c r="G184" s="376">
        <f t="shared" si="23"/>
        <v>0</v>
      </c>
      <c r="H184" s="358">
        <f t="shared" si="23"/>
        <v>0</v>
      </c>
      <c r="I184" s="31" t="s">
        <v>341</v>
      </c>
      <c r="J184" s="746">
        <f t="shared" si="24"/>
        <v>0</v>
      </c>
      <c r="K184" s="743">
        <f t="shared" si="24"/>
        <v>0</v>
      </c>
      <c r="L184" s="746">
        <f t="shared" si="24"/>
        <v>0</v>
      </c>
      <c r="M184" s="746">
        <f t="shared" si="24"/>
        <v>0</v>
      </c>
      <c r="N184" s="746">
        <f t="shared" si="24"/>
        <v>0</v>
      </c>
      <c r="O184" s="746">
        <f t="shared" si="24"/>
        <v>0</v>
      </c>
      <c r="P184" s="746">
        <f t="shared" si="24"/>
        <v>0</v>
      </c>
      <c r="Q184" s="743">
        <f t="shared" si="24"/>
        <v>0</v>
      </c>
    </row>
    <row r="185" spans="2:17" hidden="1" x14ac:dyDescent="0.25">
      <c r="B185" s="32" t="s">
        <v>342</v>
      </c>
      <c r="C185" s="377">
        <f t="shared" ref="C185:H192" si="25">IF($Q$162="Weather Zone 1: Amarillo",C25,IF($Q$162="Weather Zone 2: Fort Worth",C57, IF($Q$162="Weather Zone 3: Houston",C89, IF($Q$162="Weather Zone 4: Brownsville",C121,IF($Q$162="Weather Zone 5: El Paso",C153,0)))))</f>
        <v>0</v>
      </c>
      <c r="D185" s="374">
        <f t="shared" si="25"/>
        <v>0</v>
      </c>
      <c r="E185" s="377">
        <f t="shared" si="25"/>
        <v>0</v>
      </c>
      <c r="F185" s="377">
        <f t="shared" si="25"/>
        <v>0</v>
      </c>
      <c r="G185" s="377">
        <f t="shared" si="25"/>
        <v>0</v>
      </c>
      <c r="H185" s="374">
        <f t="shared" si="25"/>
        <v>0</v>
      </c>
      <c r="I185" s="32" t="s">
        <v>342</v>
      </c>
      <c r="J185" s="747">
        <f t="shared" ref="J185:Q192" si="26">IF($Q$162="Weather Zone 1: Amarillo",J25,IF($Q$162="Weather Zone 2: Fort Worth",J57, IF($Q$162="Weather Zone 3: Houston",J89, IF($Q$162="Weather Zone 4: Brownsville",J121,IF($Q$162="Weather Zone 5: El Paso",J153,0)))))</f>
        <v>0</v>
      </c>
      <c r="K185" s="745">
        <f t="shared" si="26"/>
        <v>0</v>
      </c>
      <c r="L185" s="747">
        <f t="shared" si="26"/>
        <v>0</v>
      </c>
      <c r="M185" s="747">
        <f t="shared" si="26"/>
        <v>0</v>
      </c>
      <c r="N185" s="747">
        <f t="shared" si="26"/>
        <v>0</v>
      </c>
      <c r="O185" s="747">
        <f t="shared" si="26"/>
        <v>0</v>
      </c>
      <c r="P185" s="747">
        <f t="shared" si="26"/>
        <v>0</v>
      </c>
      <c r="Q185" s="745">
        <f t="shared" si="26"/>
        <v>0</v>
      </c>
    </row>
    <row r="186" spans="2:17" hidden="1" x14ac:dyDescent="0.25">
      <c r="B186" s="31" t="s">
        <v>27</v>
      </c>
      <c r="C186" s="376">
        <f t="shared" si="25"/>
        <v>0</v>
      </c>
      <c r="D186" s="358">
        <f t="shared" si="25"/>
        <v>0</v>
      </c>
      <c r="E186" s="376">
        <f t="shared" si="25"/>
        <v>0</v>
      </c>
      <c r="F186" s="376">
        <f t="shared" si="25"/>
        <v>0</v>
      </c>
      <c r="G186" s="376">
        <f t="shared" si="25"/>
        <v>0</v>
      </c>
      <c r="H186" s="358">
        <f t="shared" si="25"/>
        <v>0</v>
      </c>
      <c r="I186" s="31" t="s">
        <v>27</v>
      </c>
      <c r="J186" s="746">
        <f t="shared" si="26"/>
        <v>0</v>
      </c>
      <c r="K186" s="743">
        <f t="shared" si="26"/>
        <v>0</v>
      </c>
      <c r="L186" s="746">
        <f t="shared" si="26"/>
        <v>0</v>
      </c>
      <c r="M186" s="746">
        <f t="shared" si="26"/>
        <v>0</v>
      </c>
      <c r="N186" s="746">
        <f t="shared" si="26"/>
        <v>0</v>
      </c>
      <c r="O186" s="746">
        <f t="shared" si="26"/>
        <v>0</v>
      </c>
      <c r="P186" s="746">
        <f t="shared" si="26"/>
        <v>0</v>
      </c>
      <c r="Q186" s="743">
        <f t="shared" si="26"/>
        <v>0</v>
      </c>
    </row>
    <row r="187" spans="2:17" hidden="1" x14ac:dyDescent="0.25">
      <c r="B187" s="32" t="s">
        <v>693</v>
      </c>
      <c r="C187" s="377">
        <f t="shared" si="25"/>
        <v>0</v>
      </c>
      <c r="D187" s="374">
        <f t="shared" si="25"/>
        <v>0</v>
      </c>
      <c r="E187" s="377">
        <f t="shared" si="25"/>
        <v>0</v>
      </c>
      <c r="F187" s="377">
        <f t="shared" si="25"/>
        <v>0</v>
      </c>
      <c r="G187" s="377">
        <f t="shared" si="25"/>
        <v>0</v>
      </c>
      <c r="H187" s="374">
        <f t="shared" si="25"/>
        <v>0</v>
      </c>
      <c r="I187" s="32" t="s">
        <v>693</v>
      </c>
      <c r="J187" s="747">
        <f t="shared" si="26"/>
        <v>0</v>
      </c>
      <c r="K187" s="745">
        <f t="shared" si="26"/>
        <v>0</v>
      </c>
      <c r="L187" s="747">
        <f t="shared" si="26"/>
        <v>0</v>
      </c>
      <c r="M187" s="747">
        <f t="shared" si="26"/>
        <v>0</v>
      </c>
      <c r="N187" s="747">
        <f t="shared" si="26"/>
        <v>0</v>
      </c>
      <c r="O187" s="747">
        <f t="shared" si="26"/>
        <v>0</v>
      </c>
      <c r="P187" s="747">
        <f t="shared" si="26"/>
        <v>0</v>
      </c>
      <c r="Q187" s="745">
        <f t="shared" si="26"/>
        <v>0</v>
      </c>
    </row>
    <row r="188" spans="2:17" hidden="1" x14ac:dyDescent="0.25">
      <c r="B188" s="31" t="str">
        <f>CONCATENATE("Custom - ",'Custom Bldg'!$C$5)</f>
        <v>Custom - Type 1</v>
      </c>
      <c r="C188" s="376">
        <f t="shared" si="25"/>
        <v>0</v>
      </c>
      <c r="D188" s="358">
        <f t="shared" si="25"/>
        <v>0</v>
      </c>
      <c r="E188" s="376">
        <f t="shared" si="25"/>
        <v>0</v>
      </c>
      <c r="F188" s="376">
        <f t="shared" si="25"/>
        <v>0</v>
      </c>
      <c r="G188" s="376">
        <f t="shared" si="25"/>
        <v>0</v>
      </c>
      <c r="H188" s="358">
        <f t="shared" si="25"/>
        <v>0</v>
      </c>
      <c r="I188" s="31" t="str">
        <f>CONCATENATE("Custom - ",'Custom Bldg'!$C$5)</f>
        <v>Custom - Type 1</v>
      </c>
      <c r="J188" s="746">
        <f t="shared" si="26"/>
        <v>0</v>
      </c>
      <c r="K188" s="743">
        <f t="shared" si="26"/>
        <v>0</v>
      </c>
      <c r="L188" s="746">
        <f t="shared" si="26"/>
        <v>0</v>
      </c>
      <c r="M188" s="746">
        <f t="shared" si="26"/>
        <v>0</v>
      </c>
      <c r="N188" s="746">
        <f t="shared" si="26"/>
        <v>0</v>
      </c>
      <c r="O188" s="746">
        <f t="shared" si="26"/>
        <v>0</v>
      </c>
      <c r="P188" s="746">
        <f t="shared" si="26"/>
        <v>0</v>
      </c>
      <c r="Q188" s="743">
        <f t="shared" si="26"/>
        <v>0</v>
      </c>
    </row>
    <row r="189" spans="2:17" hidden="1" x14ac:dyDescent="0.25">
      <c r="B189" s="32" t="str">
        <f>CONCATENATE("Custom - ",'Custom Bldg'!$C$6)</f>
        <v>Custom - Type 2</v>
      </c>
      <c r="C189" s="377">
        <f t="shared" si="25"/>
        <v>0</v>
      </c>
      <c r="D189" s="374">
        <f t="shared" si="25"/>
        <v>0</v>
      </c>
      <c r="E189" s="377">
        <f t="shared" si="25"/>
        <v>0</v>
      </c>
      <c r="F189" s="377">
        <f t="shared" si="25"/>
        <v>0</v>
      </c>
      <c r="G189" s="377">
        <f t="shared" si="25"/>
        <v>0</v>
      </c>
      <c r="H189" s="374">
        <f t="shared" si="25"/>
        <v>0</v>
      </c>
      <c r="I189" s="32" t="str">
        <f>CONCATENATE("Custom - ",'Custom Bldg'!$C$6)</f>
        <v>Custom - Type 2</v>
      </c>
      <c r="J189" s="747">
        <f t="shared" si="26"/>
        <v>0</v>
      </c>
      <c r="K189" s="745">
        <f t="shared" si="26"/>
        <v>0</v>
      </c>
      <c r="L189" s="747">
        <f t="shared" si="26"/>
        <v>0</v>
      </c>
      <c r="M189" s="747">
        <f t="shared" si="26"/>
        <v>0</v>
      </c>
      <c r="N189" s="747">
        <f t="shared" si="26"/>
        <v>0</v>
      </c>
      <c r="O189" s="747">
        <f t="shared" si="26"/>
        <v>0</v>
      </c>
      <c r="P189" s="747">
        <f t="shared" si="26"/>
        <v>0</v>
      </c>
      <c r="Q189" s="745">
        <f t="shared" si="26"/>
        <v>0</v>
      </c>
    </row>
    <row r="190" spans="2:17" hidden="1" x14ac:dyDescent="0.25">
      <c r="B190" s="31" t="str">
        <f>CONCATENATE("Custom - ",'Custom Bldg'!$C$7)</f>
        <v>Custom - Type 3</v>
      </c>
      <c r="C190" s="376">
        <f t="shared" si="25"/>
        <v>0</v>
      </c>
      <c r="D190" s="358">
        <f t="shared" si="25"/>
        <v>0</v>
      </c>
      <c r="E190" s="376">
        <f t="shared" si="25"/>
        <v>0</v>
      </c>
      <c r="F190" s="376">
        <f t="shared" si="25"/>
        <v>0</v>
      </c>
      <c r="G190" s="376">
        <f t="shared" si="25"/>
        <v>0</v>
      </c>
      <c r="H190" s="358">
        <f t="shared" si="25"/>
        <v>0</v>
      </c>
      <c r="I190" s="31" t="str">
        <f>CONCATENATE("Custom - ",'Custom Bldg'!$C$7)</f>
        <v>Custom - Type 3</v>
      </c>
      <c r="J190" s="746">
        <f t="shared" si="26"/>
        <v>0</v>
      </c>
      <c r="K190" s="743">
        <f t="shared" si="26"/>
        <v>0</v>
      </c>
      <c r="L190" s="746">
        <f t="shared" si="26"/>
        <v>0</v>
      </c>
      <c r="M190" s="746">
        <f t="shared" si="26"/>
        <v>0</v>
      </c>
      <c r="N190" s="746">
        <f t="shared" si="26"/>
        <v>0</v>
      </c>
      <c r="O190" s="746">
        <f t="shared" si="26"/>
        <v>0</v>
      </c>
      <c r="P190" s="746">
        <f t="shared" si="26"/>
        <v>0</v>
      </c>
      <c r="Q190" s="743">
        <f t="shared" si="26"/>
        <v>0</v>
      </c>
    </row>
    <row r="191" spans="2:17" hidden="1" x14ac:dyDescent="0.25">
      <c r="B191" s="32" t="str">
        <f>CONCATENATE("Custom - ",'Custom Bldg'!$C$8)</f>
        <v>Custom - Type 4</v>
      </c>
      <c r="C191" s="377">
        <f t="shared" si="25"/>
        <v>0</v>
      </c>
      <c r="D191" s="374">
        <f t="shared" si="25"/>
        <v>0</v>
      </c>
      <c r="E191" s="377">
        <f t="shared" si="25"/>
        <v>0</v>
      </c>
      <c r="F191" s="377">
        <f t="shared" si="25"/>
        <v>0</v>
      </c>
      <c r="G191" s="377">
        <f t="shared" si="25"/>
        <v>0</v>
      </c>
      <c r="H191" s="374">
        <f t="shared" si="25"/>
        <v>0</v>
      </c>
      <c r="I191" s="32" t="str">
        <f>CONCATENATE("Custom - ",'Custom Bldg'!$C$8)</f>
        <v>Custom - Type 4</v>
      </c>
      <c r="J191" s="747">
        <f t="shared" si="26"/>
        <v>0</v>
      </c>
      <c r="K191" s="745">
        <f t="shared" si="26"/>
        <v>0</v>
      </c>
      <c r="L191" s="747">
        <f t="shared" si="26"/>
        <v>0</v>
      </c>
      <c r="M191" s="747">
        <f t="shared" si="26"/>
        <v>0</v>
      </c>
      <c r="N191" s="747">
        <f t="shared" si="26"/>
        <v>0</v>
      </c>
      <c r="O191" s="747">
        <f t="shared" si="26"/>
        <v>0</v>
      </c>
      <c r="P191" s="747">
        <f t="shared" si="26"/>
        <v>0</v>
      </c>
      <c r="Q191" s="745">
        <f t="shared" si="26"/>
        <v>0</v>
      </c>
    </row>
    <row r="192" spans="2:17" hidden="1" x14ac:dyDescent="0.25">
      <c r="B192" s="889" t="str">
        <f>CONCATENATE("Custom - ",'Custom Bldg'!$C$9)</f>
        <v>Custom - Type 5</v>
      </c>
      <c r="C192" s="890">
        <f t="shared" si="25"/>
        <v>0</v>
      </c>
      <c r="D192" s="887">
        <f t="shared" si="25"/>
        <v>0</v>
      </c>
      <c r="E192" s="890">
        <f t="shared" si="25"/>
        <v>0</v>
      </c>
      <c r="F192" s="890">
        <f t="shared" si="25"/>
        <v>0</v>
      </c>
      <c r="G192" s="890">
        <f t="shared" si="25"/>
        <v>0</v>
      </c>
      <c r="H192" s="887">
        <f t="shared" si="25"/>
        <v>0</v>
      </c>
      <c r="I192" s="889" t="str">
        <f>CONCATENATE("Custom - ",'Custom Bldg'!$C$9)</f>
        <v>Custom - Type 5</v>
      </c>
      <c r="J192" s="892">
        <f t="shared" si="26"/>
        <v>0</v>
      </c>
      <c r="K192" s="888">
        <f t="shared" si="26"/>
        <v>0</v>
      </c>
      <c r="L192" s="892">
        <f t="shared" si="26"/>
        <v>0</v>
      </c>
      <c r="M192" s="892">
        <f t="shared" si="26"/>
        <v>0</v>
      </c>
      <c r="N192" s="892">
        <f t="shared" si="26"/>
        <v>0</v>
      </c>
      <c r="O192" s="892">
        <f t="shared" si="26"/>
        <v>0</v>
      </c>
      <c r="P192" s="892">
        <f t="shared" si="26"/>
        <v>0</v>
      </c>
      <c r="Q192" s="888">
        <f t="shared" si="26"/>
        <v>0</v>
      </c>
    </row>
  </sheetData>
  <sheetProtection password="D24D" sheet="1" objects="1" scenarios="1"/>
  <mergeCells count="24">
    <mergeCell ref="B163:B164"/>
    <mergeCell ref="C163:H163"/>
    <mergeCell ref="I163:I164"/>
    <mergeCell ref="J163:Q163"/>
    <mergeCell ref="B35:B36"/>
    <mergeCell ref="I35:I36"/>
    <mergeCell ref="J131:Q131"/>
    <mergeCell ref="J99:Q99"/>
    <mergeCell ref="B3:B4"/>
    <mergeCell ref="I3:I4"/>
    <mergeCell ref="B131:B132"/>
    <mergeCell ref="C131:H131"/>
    <mergeCell ref="B99:B100"/>
    <mergeCell ref="B67:B68"/>
    <mergeCell ref="I131:I132"/>
    <mergeCell ref="C3:H3"/>
    <mergeCell ref="C99:H99"/>
    <mergeCell ref="I99:I100"/>
    <mergeCell ref="J3:Q3"/>
    <mergeCell ref="C35:H35"/>
    <mergeCell ref="J35:Q35"/>
    <mergeCell ref="C67:H67"/>
    <mergeCell ref="J67:Q67"/>
    <mergeCell ref="I67:I68"/>
  </mergeCells>
  <pageMargins left="0.7" right="0.7" top="0.75" bottom="0.75" header="0.3" footer="0.3"/>
  <pageSetup orientation="landscape" r:id="rId1"/>
  <ignoredErrors>
    <ignoredError sqref="I188:I192"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L1040"/>
  <sheetViews>
    <sheetView zoomScaleNormal="100" workbookViewId="0">
      <pane ySplit="2" topLeftCell="A3" activePane="bottomLeft" state="frozen"/>
      <selection pane="bottomLeft"/>
    </sheetView>
  </sheetViews>
  <sheetFormatPr defaultRowHeight="15" customHeight="1" x14ac:dyDescent="0.25"/>
  <cols>
    <col min="1" max="1" width="2.7109375" style="78" customWidth="1"/>
    <col min="2" max="2" width="19.140625" style="77" customWidth="1"/>
    <col min="3" max="4" width="4.7109375" style="78" customWidth="1"/>
    <col min="5" max="5" width="18.28515625" style="77" bestFit="1" customWidth="1"/>
    <col min="6" max="7" width="4.7109375" style="78" customWidth="1"/>
    <col min="8" max="8" width="11.42578125" style="77" customWidth="1"/>
    <col min="9" max="10" width="4.7109375" style="78" customWidth="1"/>
    <col min="11" max="11" width="8.140625" style="78" customWidth="1"/>
    <col min="12" max="13" width="4.7109375" style="78" customWidth="1"/>
    <col min="14" max="14" width="9.28515625" style="78" customWidth="1"/>
    <col min="15" max="16" width="4.7109375" style="78" customWidth="1"/>
    <col min="17" max="17" width="16.140625" style="78" bestFit="1" customWidth="1"/>
    <col min="18" max="18" width="10.5703125" style="78" bestFit="1" customWidth="1"/>
    <col min="19" max="19" width="10.85546875" style="78" bestFit="1" customWidth="1"/>
    <col min="20" max="21" width="4.7109375" style="78" customWidth="1"/>
    <col min="22" max="22" width="10" style="78" bestFit="1" customWidth="1"/>
    <col min="23" max="24" width="4.7109375" style="78" customWidth="1"/>
    <col min="25" max="25" width="6.5703125" style="78" bestFit="1" customWidth="1"/>
    <col min="26" max="30" width="4.7109375" style="78" customWidth="1"/>
    <col min="31" max="31" width="6.7109375" style="78" customWidth="1"/>
    <col min="32" max="48" width="7.7109375" style="78" customWidth="1"/>
    <col min="49" max="50" width="4.7109375" style="78" customWidth="1"/>
    <col min="51" max="52" width="10.7109375" style="78" customWidth="1"/>
    <col min="53" max="53" width="10.7109375" style="630" customWidth="1"/>
    <col min="54" max="60" width="10.7109375" style="78" customWidth="1"/>
    <col min="61" max="64" width="10.7109375" style="630" customWidth="1"/>
    <col min="65" max="72" width="10.7109375" style="78" customWidth="1"/>
    <col min="73" max="73" width="10.7109375" style="630" customWidth="1"/>
    <col min="74" max="74" width="12.7109375" style="630" bestFit="1" customWidth="1"/>
    <col min="75" max="75" width="10.7109375" style="78" customWidth="1"/>
    <col min="76" max="76" width="10.7109375" style="630" customWidth="1"/>
    <col min="77" max="77" width="10.7109375" style="78" customWidth="1"/>
    <col min="78" max="81" width="10.7109375" style="630" customWidth="1"/>
    <col min="82" max="83" width="10.7109375" style="78" customWidth="1"/>
    <col min="84" max="87" width="10.7109375" style="630" customWidth="1"/>
    <col min="88" max="88" width="10.7109375" style="78" customWidth="1"/>
    <col min="89" max="89" width="10.7109375" style="630" customWidth="1"/>
    <col min="90" max="90" width="10.7109375" style="78" customWidth="1"/>
    <col min="91" max="92" width="10.7109375" style="630" customWidth="1"/>
    <col min="93" max="93" width="4.7109375" style="79" customWidth="1"/>
    <col min="94" max="100" width="10.7109375" style="79" customWidth="1"/>
    <col min="101" max="105" width="10.7109375" style="631" customWidth="1"/>
    <col min="106" max="16384" width="9.140625" style="79"/>
  </cols>
  <sheetData>
    <row r="1" spans="1:142" s="449" customFormat="1" ht="9.9499999999999993" customHeight="1" thickBot="1" x14ac:dyDescent="0.3">
      <c r="A1" s="78"/>
      <c r="B1" s="77"/>
      <c r="C1" s="78"/>
      <c r="D1" s="79"/>
      <c r="E1" s="77"/>
      <c r="F1" s="78"/>
      <c r="G1" s="78"/>
      <c r="H1" s="77"/>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630"/>
      <c r="BB1" s="78"/>
      <c r="BC1" s="78"/>
      <c r="BD1" s="78"/>
      <c r="BE1" s="78"/>
      <c r="BF1" s="78"/>
      <c r="BG1" s="78"/>
      <c r="BH1" s="78"/>
      <c r="BI1" s="630"/>
      <c r="BJ1" s="630"/>
      <c r="BK1" s="630"/>
      <c r="BL1" s="630"/>
      <c r="BM1" s="78"/>
      <c r="BN1" s="78"/>
      <c r="BO1" s="78"/>
      <c r="BP1" s="78"/>
      <c r="BQ1" s="78"/>
      <c r="BR1" s="78"/>
      <c r="BS1" s="78"/>
      <c r="BT1" s="78"/>
      <c r="BU1" s="630"/>
      <c r="BV1" s="630"/>
      <c r="BW1" s="78"/>
      <c r="BX1" s="630"/>
      <c r="BY1" s="78"/>
      <c r="BZ1" s="630"/>
      <c r="CA1" s="630"/>
      <c r="CB1" s="630"/>
      <c r="CC1" s="630"/>
      <c r="CD1" s="78"/>
      <c r="CE1" s="78"/>
      <c r="CF1" s="630"/>
      <c r="CG1" s="630"/>
      <c r="CH1" s="630"/>
      <c r="CI1" s="630"/>
      <c r="CJ1" s="78"/>
      <c r="CK1" s="630"/>
      <c r="CL1" s="78"/>
      <c r="CM1" s="630"/>
      <c r="CN1" s="630"/>
      <c r="CO1" s="78"/>
      <c r="CP1" s="78"/>
      <c r="CQ1" s="78"/>
      <c r="CR1" s="78"/>
      <c r="CS1" s="78"/>
      <c r="CT1" s="78"/>
      <c r="CU1" s="78"/>
      <c r="CV1" s="78"/>
      <c r="CW1" s="630"/>
      <c r="CX1" s="630"/>
      <c r="CY1" s="630"/>
      <c r="CZ1" s="630"/>
      <c r="DA1" s="630"/>
      <c r="DB1" s="562"/>
      <c r="DC1" s="562"/>
      <c r="DD1" s="562"/>
      <c r="DE1" s="562"/>
      <c r="DF1" s="562"/>
      <c r="DG1" s="562"/>
      <c r="DH1" s="562"/>
      <c r="DI1" s="562"/>
      <c r="DJ1" s="562"/>
      <c r="DK1" s="562"/>
      <c r="DL1" s="562"/>
      <c r="DM1" s="562"/>
      <c r="DN1" s="562"/>
      <c r="DO1" s="562"/>
      <c r="DP1" s="562"/>
      <c r="DQ1" s="562"/>
      <c r="DR1" s="562"/>
      <c r="DS1" s="562"/>
      <c r="DT1" s="562"/>
      <c r="DU1" s="562"/>
      <c r="DV1" s="562"/>
      <c r="DW1" s="562"/>
      <c r="DX1" s="562"/>
      <c r="DY1" s="562"/>
      <c r="DZ1" s="562"/>
      <c r="EA1" s="562"/>
      <c r="EB1" s="562"/>
      <c r="EC1" s="562"/>
      <c r="ED1" s="562"/>
      <c r="EE1" s="562"/>
      <c r="EF1" s="562"/>
      <c r="EG1" s="562"/>
      <c r="EH1" s="562"/>
      <c r="EI1" s="562"/>
      <c r="EJ1" s="562"/>
      <c r="EK1" s="562"/>
      <c r="EL1" s="562"/>
    </row>
    <row r="2" spans="1:142" s="72" customFormat="1" ht="50.1" customHeight="1" thickBot="1" x14ac:dyDescent="0.3">
      <c r="B2" s="66" t="s">
        <v>57</v>
      </c>
      <c r="C2" s="67" t="s">
        <v>63</v>
      </c>
      <c r="D2" s="68"/>
      <c r="E2" s="69" t="s">
        <v>189</v>
      </c>
      <c r="F2" s="67" t="s">
        <v>64</v>
      </c>
      <c r="G2" s="68"/>
      <c r="H2" s="69" t="s">
        <v>68</v>
      </c>
      <c r="I2" s="67" t="s">
        <v>65</v>
      </c>
      <c r="J2" s="68"/>
      <c r="K2" s="70" t="s">
        <v>69</v>
      </c>
      <c r="L2" s="71" t="s">
        <v>66</v>
      </c>
      <c r="M2" s="68"/>
      <c r="N2" s="70" t="s">
        <v>70</v>
      </c>
      <c r="O2" s="71" t="s">
        <v>71</v>
      </c>
      <c r="P2" s="68"/>
      <c r="Q2" s="69" t="s">
        <v>56</v>
      </c>
      <c r="R2" s="75" t="s">
        <v>51</v>
      </c>
      <c r="S2" s="75" t="s">
        <v>52</v>
      </c>
      <c r="T2" s="67" t="s">
        <v>72</v>
      </c>
      <c r="U2" s="68"/>
      <c r="V2" s="70" t="s">
        <v>141</v>
      </c>
      <c r="W2" s="71" t="s">
        <v>140</v>
      </c>
      <c r="Y2" s="69" t="s">
        <v>67</v>
      </c>
      <c r="Z2" s="73" t="s">
        <v>63</v>
      </c>
      <c r="AA2" s="73" t="s">
        <v>64</v>
      </c>
      <c r="AB2" s="73" t="s">
        <v>65</v>
      </c>
      <c r="AC2" s="73" t="s">
        <v>66</v>
      </c>
      <c r="AD2" s="74" t="s">
        <v>71</v>
      </c>
      <c r="AE2" s="76" t="s">
        <v>85</v>
      </c>
      <c r="AF2" s="111">
        <f>760000/12000</f>
        <v>63.333333333333336</v>
      </c>
      <c r="AG2" s="111">
        <f>240000/12000</f>
        <v>20</v>
      </c>
      <c r="AH2" s="111">
        <f>135000/12000</f>
        <v>11.25</v>
      </c>
      <c r="AI2" s="111">
        <f>65000/12000</f>
        <v>5.416666666666667</v>
      </c>
      <c r="AJ2" s="111">
        <v>0</v>
      </c>
      <c r="AK2" s="111">
        <f>25000/12000</f>
        <v>2.0833333333333335</v>
      </c>
      <c r="AL2" s="111">
        <f>20000/12000</f>
        <v>1.6666666666666667</v>
      </c>
      <c r="AM2" s="111">
        <f>14000/12000</f>
        <v>1.1666666666666667</v>
      </c>
      <c r="AN2" s="111">
        <f>11000/12000</f>
        <v>0.91666666666666663</v>
      </c>
      <c r="AO2" s="111">
        <f>8000/12000</f>
        <v>0.66666666666666663</v>
      </c>
      <c r="AP2" s="111">
        <v>0</v>
      </c>
      <c r="AQ2" s="111">
        <v>600</v>
      </c>
      <c r="AR2" s="111">
        <v>300</v>
      </c>
      <c r="AS2" s="111">
        <v>150</v>
      </c>
      <c r="AT2" s="111">
        <v>75</v>
      </c>
      <c r="AU2" s="111">
        <v>0</v>
      </c>
      <c r="AV2" s="111" t="s">
        <v>136</v>
      </c>
      <c r="AW2" s="74" t="s">
        <v>72</v>
      </c>
      <c r="AX2" s="74" t="s">
        <v>140</v>
      </c>
      <c r="AY2" s="69" t="s">
        <v>62</v>
      </c>
      <c r="AZ2" s="155" t="s">
        <v>144</v>
      </c>
      <c r="BA2" s="674" t="s">
        <v>574</v>
      </c>
      <c r="BB2" s="155" t="s">
        <v>531</v>
      </c>
      <c r="BC2" s="155" t="s">
        <v>563</v>
      </c>
      <c r="BD2" s="155" t="s">
        <v>564</v>
      </c>
      <c r="BE2" s="155" t="s">
        <v>562</v>
      </c>
      <c r="BF2" s="155" t="s">
        <v>41</v>
      </c>
      <c r="BG2" s="155" t="s">
        <v>562</v>
      </c>
      <c r="BH2" s="155" t="s">
        <v>41</v>
      </c>
      <c r="BI2" s="674" t="s">
        <v>572</v>
      </c>
      <c r="BJ2" s="674" t="s">
        <v>573</v>
      </c>
      <c r="BK2" s="674" t="s">
        <v>565</v>
      </c>
      <c r="BL2" s="674" t="s">
        <v>41</v>
      </c>
      <c r="BM2" s="156" t="s">
        <v>145</v>
      </c>
      <c r="BN2" s="156" t="s">
        <v>42</v>
      </c>
      <c r="BO2" s="156" t="s">
        <v>164</v>
      </c>
      <c r="BP2" s="156" t="s">
        <v>263</v>
      </c>
      <c r="BQ2" s="156" t="s">
        <v>153</v>
      </c>
      <c r="BR2" s="156" t="s">
        <v>150</v>
      </c>
      <c r="BS2" s="156" t="s">
        <v>560</v>
      </c>
      <c r="BT2" s="156" t="s">
        <v>41</v>
      </c>
      <c r="BU2" s="675" t="s">
        <v>561</v>
      </c>
      <c r="BV2" s="675" t="s">
        <v>41</v>
      </c>
      <c r="BW2" s="675" t="s">
        <v>560</v>
      </c>
      <c r="BX2" s="675" t="s">
        <v>561</v>
      </c>
      <c r="BY2" s="156" t="s">
        <v>41</v>
      </c>
      <c r="BZ2" s="675" t="s">
        <v>565</v>
      </c>
      <c r="CA2" s="675" t="s">
        <v>41</v>
      </c>
      <c r="CB2" s="675" t="s">
        <v>565</v>
      </c>
      <c r="CC2" s="675" t="s">
        <v>41</v>
      </c>
      <c r="CD2" s="157" t="s">
        <v>146</v>
      </c>
      <c r="CE2" s="157" t="s">
        <v>560</v>
      </c>
      <c r="CF2" s="676" t="s">
        <v>561</v>
      </c>
      <c r="CG2" s="676" t="s">
        <v>41</v>
      </c>
      <c r="CH2" s="676" t="s">
        <v>565</v>
      </c>
      <c r="CI2" s="676" t="s">
        <v>41</v>
      </c>
      <c r="CJ2" s="75" t="s">
        <v>560</v>
      </c>
      <c r="CK2" s="597" t="s">
        <v>561</v>
      </c>
      <c r="CL2" s="629" t="s">
        <v>41</v>
      </c>
      <c r="CM2" s="597" t="s">
        <v>565</v>
      </c>
      <c r="CN2" s="628" t="s">
        <v>41</v>
      </c>
      <c r="CP2" s="627" t="s">
        <v>62</v>
      </c>
      <c r="CQ2" s="629" t="s">
        <v>560</v>
      </c>
      <c r="CR2" s="629" t="s">
        <v>41</v>
      </c>
      <c r="CS2" s="579" t="s">
        <v>561</v>
      </c>
      <c r="CT2" s="629" t="s">
        <v>41</v>
      </c>
      <c r="CU2" s="629" t="s">
        <v>560</v>
      </c>
      <c r="CV2" s="629" t="s">
        <v>561</v>
      </c>
      <c r="CW2" s="629" t="s">
        <v>41</v>
      </c>
      <c r="CX2" s="629" t="s">
        <v>565</v>
      </c>
      <c r="CY2" s="629" t="s">
        <v>41</v>
      </c>
      <c r="CZ2" s="629" t="s">
        <v>565</v>
      </c>
      <c r="DA2" s="636" t="s">
        <v>41</v>
      </c>
      <c r="DB2" s="562"/>
      <c r="DC2" s="562"/>
      <c r="DD2" s="562"/>
      <c r="DE2" s="562"/>
      <c r="DF2" s="562"/>
      <c r="DG2" s="562"/>
      <c r="DH2" s="562"/>
      <c r="DI2" s="562"/>
      <c r="DJ2" s="562"/>
      <c r="DK2" s="562"/>
      <c r="DL2" s="562"/>
      <c r="DM2" s="562"/>
      <c r="DN2" s="562"/>
      <c r="DO2" s="562"/>
      <c r="DP2" s="562"/>
      <c r="DQ2" s="562"/>
      <c r="DR2" s="562"/>
      <c r="DS2" s="562"/>
      <c r="DT2" s="562"/>
      <c r="DU2" s="562"/>
      <c r="DV2" s="562"/>
      <c r="DW2" s="562"/>
      <c r="DX2" s="562"/>
      <c r="DY2" s="562"/>
      <c r="DZ2" s="562"/>
      <c r="EA2" s="562"/>
      <c r="EB2" s="562"/>
      <c r="EC2" s="562"/>
      <c r="ED2" s="562"/>
      <c r="EE2" s="562"/>
      <c r="EF2" s="562"/>
      <c r="EG2" s="562"/>
      <c r="EH2" s="562"/>
      <c r="EI2" s="562"/>
      <c r="EJ2" s="562"/>
      <c r="EK2" s="562"/>
      <c r="EL2" s="562"/>
    </row>
    <row r="3" spans="1:142" s="78" customFormat="1" ht="15" customHeight="1" x14ac:dyDescent="0.25">
      <c r="B3" s="80" t="s">
        <v>34</v>
      </c>
      <c r="C3" s="81" t="s">
        <v>90</v>
      </c>
      <c r="D3" s="79"/>
      <c r="E3" s="80" t="s">
        <v>53</v>
      </c>
      <c r="F3" s="81" t="s">
        <v>90</v>
      </c>
      <c r="G3" s="79"/>
      <c r="H3" s="82" t="s">
        <v>77</v>
      </c>
      <c r="I3" s="81" t="s">
        <v>90</v>
      </c>
      <c r="J3" s="79"/>
      <c r="K3" s="83" t="s">
        <v>77</v>
      </c>
      <c r="L3" s="84" t="s">
        <v>90</v>
      </c>
      <c r="M3" s="79"/>
      <c r="N3" s="83" t="s">
        <v>77</v>
      </c>
      <c r="O3" s="84" t="s">
        <v>90</v>
      </c>
      <c r="P3" s="79"/>
      <c r="Q3" s="1062" t="s">
        <v>32</v>
      </c>
      <c r="R3" s="85">
        <v>0</v>
      </c>
      <c r="S3" s="85">
        <f>65000/12000</f>
        <v>5.416666666666667</v>
      </c>
      <c r="T3" s="108">
        <v>1</v>
      </c>
      <c r="U3" s="79"/>
      <c r="V3" s="83" t="s">
        <v>77</v>
      </c>
      <c r="W3" s="84" t="s">
        <v>179</v>
      </c>
      <c r="Y3" s="83">
        <v>1</v>
      </c>
      <c r="Z3" s="86" t="str">
        <f>IF(Inventory!$C10="","",VLOOKUP(Inventory!$C10,$B$3:$C$5,2,FALSE))</f>
        <v/>
      </c>
      <c r="AA3" s="86" t="str">
        <f>IF($Z3="","",IF(AND($Z3="b",Inventory!$G10=""),"",IF(AND($Z3="b",Inventory!$G10&lt;&gt;""),VLOOKUP(Inventory!$G10,$E$3:$F$10,2,FALSE),IF(AND($Z3="a",Inventory!$Z10=""),"",IF(AND($Z3="a",Inventory!$Z10&lt;&gt;""),VLOOKUP(Inventory!$Z10,$E$3:$F$10,2,FALSE),IF(AND($Z3="c",Inventory!$Z10=""),"",IF(AND($Z3="c",Inventory!$Z10&lt;&gt;""),VLOOKUP(Inventory!$Z10,$E$3:$F$10,2,FALSE),"")))))))</f>
        <v/>
      </c>
      <c r="AB3" s="86" t="str">
        <f>IF($Z3="","a",IF(AND($Z3="b",Inventory!$J10=""),"a",IF(AND($Z3="b",Inventory!$J10&lt;&gt;""),VLOOKUP(Inventory!$J10,$H$4:$I$6,2,FALSE),IF(AND($Z3="a",Inventory!$AA10=""),"a",IF(AND($Z3="a",Inventory!$AA10&lt;&gt;""),VLOOKUP(Inventory!$AA10,$H$4:$I$6,2,FALSE),IF(AND($Z3="c",Inventory!$AA10=""),"a",IF(AND($Z3="c",Inventory!$AA10&lt;&gt;""),VLOOKUP(Inventory!$AA10,$H$4:$I$6,2,FALSE),"a")))))))</f>
        <v>a</v>
      </c>
      <c r="AC3" s="86" t="str">
        <f>IF($AA3="f","b",IF($AA3="e","c","a"))</f>
        <v>a</v>
      </c>
      <c r="AD3" s="87" t="str">
        <f>IF($Z3="","a",IF(AND($Z3="b",Inventory!$L10=""),"a",IF(AND($Z3="b",Inventory!$L10&lt;&gt;""),VLOOKUP(Inventory!$L10,$N$4:$O$5,2,FALSE),IF(AND($Z3="a",Inventory!$AC10=""),"a",IF(AND($Z3="a",Inventory!$AC10&lt;&gt;""),VLOOKUP(Inventory!$AC10,$N$4:$O$5,2,FALSE),IF(AND($Z3="c",Inventory!$AC10=""),"a",IF(AND($Z3="c",Inventory!$AC10&lt;&gt;""),VLOOKUP(Inventory!$AC10,$N$4:$O$5,2,FALSE),"a")))))))</f>
        <v>a</v>
      </c>
      <c r="AE3" s="114">
        <f>IF(OR(Inventory!C10="New Construction",Inventory!C10="Replace-on-Burnout"),Inventory!AF10,IF(Inventory!C10="Early Retirement",MIN(Inventory!AE10,Inventory!AF10),0))</f>
        <v>0</v>
      </c>
      <c r="AF3" s="115" t="str">
        <f>IF(OR(AND($AA3&lt;&gt;"a",$AA3&lt;&gt;"b"),$AE3=""),"",IF(AND($AE3&gt;=$AF$2,$AA3="a"),5,IF(AND($AE3&gt;=$AF$2,$AA3="b"),10,0)))</f>
        <v/>
      </c>
      <c r="AG3" s="115" t="str">
        <f t="shared" ref="AG3:AG66" si="0">IF(OR(AND($AA3&lt;&gt;"a",$AA3&lt;&gt;"b"),$AE3="",$AF3&lt;&gt;0),"",IF(AND($AE3&gt;=$AG$2,$AA3="a"),4,IF(AND($AE3&gt;=$AG$2,$AA3="b"),9,0)))</f>
        <v/>
      </c>
      <c r="AH3" s="115" t="str">
        <f t="shared" ref="AH3:AH66" si="1">IF(OR(AND($AA3&lt;&gt;"a",$AA3&lt;&gt;"b"),$AE3="",$AG3&lt;&gt;0),"",IF(AND($AE3&gt;=$AH$2,$AA3="a"),3,IF(AND($AE3&gt;=$AH$2,$AA3="b"),8,0)))</f>
        <v/>
      </c>
      <c r="AI3" s="115" t="str">
        <f t="shared" ref="AI3:AI66" si="2">IF(OR(AND($AA3&lt;&gt;"a",$AA3&lt;&gt;"b"),$AE3="",$AH3&lt;&gt;0),"",IF(AND($AE3&gt;=$AI$2,$AA3="a"),2,IF(AND($AE3&gt;=$AI$2,$AA3="b"),7,0)))</f>
        <v/>
      </c>
      <c r="AJ3" s="115" t="str">
        <f t="shared" ref="AJ3:AJ66" si="3">IF(OR(AND($AA3&lt;&gt;"a",$AA3&lt;&gt;"b"),$AE3="",$AI3&lt;&gt;0),"",IF(AND($AE3&gt;=$AJ$2,$AA3="a"),1,IF(AND($AE3&gt;=$AJ$2,$AA3="b"),6,0)))</f>
        <v/>
      </c>
      <c r="AK3" s="115" t="str">
        <f>IF(OR(AND($AA3&lt;&gt;"e",$AA3&lt;&gt;"f"),$AE3=""),"",IF(AND($AE3&gt;=$AK$2,OR($AA3="e",$AA3="f"),$AC3="b",$AD3="b"),26,IF(AND($AE3&gt;$AK$2,OR($AA3="e",$AA3="f"),$AC3="b",$AD3="c"),28,IF(AND($AE3&gt;$AK$2,OR($AA3="e",$AA3="f"),$AC3="c",$AD3="b"),19,IF(AND($AE3&gt;$AK$2,OR($AA3="e",$AA3="f"),$AC3="c",$AD3="c"),24,0)))))</f>
        <v/>
      </c>
      <c r="AL3" s="115" t="str">
        <f>IF(OR(AND($AA3&lt;&gt;"e",$AA3&lt;&gt;"f"),$AE3="",$AK3&lt;&gt;0),"",IF(AND($AE3&gt;=$AL$2,OR($AA3="e",$AA3="f"),$AC3="b",$AD3="b"),26,IF(AND($AE3&gt;$AL$2,OR($AA3="e",$AA3="f"),$AC3="b",$AD3="c"),28,IF(AND($AE3&gt;$AL$2,OR($AA3="e",$AA3="f"),$AC3="c",$AD3="b"),18,IF(AND($AE3&gt;$AL$2,OR($AA3="e",$AA3="f"),$AC3="c",$AD3="c"),24,0)))))</f>
        <v/>
      </c>
      <c r="AM3" s="115" t="str">
        <f>IF(OR(AND($AA3&lt;&gt;"e",$AA3&lt;&gt;"f"),$AE3="",$AL3&lt;&gt;0),"",IF(AND($AE3&gt;=$AM$2,OR($AA3="e",$AA3="f"),$AC3="b",$AD3="b"),25,IF(AND($AE3&gt;$AM$2,OR($AA3="e",$AA3="f"),$AC3="b",$AD3="c"),28,IF(AND($AE3&gt;$AM$2,OR($AA3="e",$AA3="f"),$AC3="c",$AD3="b"),17,IF(AND($AE3&gt;$AM$2,OR($AA3="e",$AA3="f"),$AC3="c",$AD3="c"),23,0)))))</f>
        <v/>
      </c>
      <c r="AN3" s="115" t="str">
        <f>IF(OR(AND($AA3&lt;&gt;"e",$AA3&lt;&gt;"f"),$AE3="",$AM3&lt;&gt;0),"",IF(AND($AE3&gt;=$AN$2,OR($AA3="e",$AA3="f"),$AC3="b",$AD3="b"),25,IF(AND($AE3&gt;$AN$2,OR($AA3="e",$AA3="f"),$AC3="b",$AD3="c"),27,IF(AND($AE3&gt;$AN$2,OR($AA3="e",$AA3="f"),$AC3="c",$AD3="b"),16,IF(AND($AE3&gt;$AN$2,OR($AA3="e",$AA3="f"),$AC3="c",$AD3="c"),22,0)))))</f>
        <v/>
      </c>
      <c r="AO3" s="115" t="str">
        <f>IF(OR(AND($AA3&lt;&gt;"e",$AA3&lt;&gt;"f"),$AE3="",$AN3&lt;&gt;0),"",IF(AND($AE3&gt;=$AO$2,OR($AA3="e",$AA3="f"),$AC3="b",$AD3="b"),25,IF(AND($AE3&gt;$AO$2,OR($AA3="e",$AA3="f"),$AC3="b",$AD3="c"),27,IF(AND($AE3&gt;$AO$2,OR($AA3="e",$AA3="f"),$AC3="c",$AD3="b"),16,IF(AND($AE3&gt;$AO$2,OR($AA3="e",$AA3="f"),$AC3="c",$AD3="c"),21,0)))))</f>
        <v/>
      </c>
      <c r="AP3" s="115" t="str">
        <f>IF(OR(AND($AA3&lt;&gt;"e",$AA3&lt;&gt;"f"),$AE3="",$AO3&lt;&gt;0),"",IF(AND($AE3&gt;=$AP$2,OR($AA3="e",$AA3="f"),$AC3="b",$AD3="b"),25,IF(AND($AE3&gt;$AP$2,OR($AA3="e",$AA3="f"),$AC3="b",$AD3="c"),27,IF(AND($AE3&gt;$AP$2,OR($AA3="e",$AA3="f"),$AC3="c",$AD3="b"),15,IF(AND($AE3&gt;$AP$2,OR($AA3="e",$AA3="f"),$AC3="c",$AD3="c"),20,0)))))</f>
        <v/>
      </c>
      <c r="AQ3" s="115" t="str">
        <f>IF(OR(AND($AA3&lt;&gt;"g",$AA3&lt;&gt;"h"),$AE3=""),"",IF(AND($AE3&gt;=$AQ$2,$AA3="g"),33,IF(AND($AE3&gt;=$AQ$2,$AA3="h",$AB3="b"),38,IF(AND($AE3&gt;=$AQ$2,$AA3="h",$AB3&lt;&gt;"b"),43,0))))</f>
        <v/>
      </c>
      <c r="AR3" s="115" t="str">
        <f>IF(OR(AND($AA3&lt;&gt;"g",$AA3&lt;&gt;"h"),$AE3="",$AQ3&lt;&gt;0),"",IF(AND($AE3&gt;=$AR$2,$AA3="g"),32,IF(AND($AE3&gt;=$AR$2,$AA3="h",$AB3="b"),37,IF(AND($AE3&gt;=$AR$2,$AA3="h",$AB3&lt;&gt;"b"),42,0))))</f>
        <v/>
      </c>
      <c r="AS3" s="115" t="str">
        <f>IF(OR(AND($AA3&lt;&gt;"g",$AA3&lt;&gt;"h"),$AE3="",$AR3&lt;&gt;0),"",IF(AND($AE3&gt;=$AS$2,$AA3="g"),31,IF(AND($AE3&gt;=$AS$2,$AA3="h",$AB3="b"),36,IF(AND($AE3&gt;=$AS$2,$AA3="h",$AB3&lt;&gt;"b"),41,0))))</f>
        <v/>
      </c>
      <c r="AT3" s="115" t="str">
        <f>IF(OR(AND($AA3&lt;&gt;"g",$AA3&lt;&gt;"h"),$AE3="",$AS3&lt;&gt;0),"",IF(AND($AE3&gt;=$AT$2,$AA3="g"),30,IF(AND($AE3&gt;=$AT$2,$AA3="h",$AB3="b"),35,IF(AND($AE3&gt;=$AT$2,$AA3="h",$AB3&lt;&gt;"b"),40,0))))</f>
        <v/>
      </c>
      <c r="AU3" s="115" t="str">
        <f>IF(OR(AND($AA3&lt;&gt;"g",$AA3&lt;&gt;"h"),$AE3="",$AT3&lt;&gt;0),"",IF(AND($AE3&gt;=$AU$2,$AA3="g"),29,IF(AND($AE3&gt;=$AU$2,$AA3="h",$AB3="b"),34,IF(AND($AE3&gt;=$AU$2,$AA3="h",$AB3&lt;&gt;"b"),39,0))))</f>
        <v/>
      </c>
      <c r="AV3" s="115" t="str">
        <f t="shared" ref="AV3:AV66" si="4">IF($AE3="","",IF(AND($Z3="c",$AA3="c"),10,IF(AND($Z3="a",$AA3="c"),11,IF(AND($Z3="c",$AA3="d"),12,IF(AND($Z3="a",$AA3="d"),13,"")))))</f>
        <v/>
      </c>
      <c r="AW3" s="113">
        <f t="shared" ref="AW3:AW66" si="5">SUM($AF3:$AV3)</f>
        <v>0</v>
      </c>
      <c r="AX3" s="113" t="str">
        <f>IF(AND($Z3="b",OR($AA3="a",$AA3="b"),Inventory!$I10="",$AE3&lt;(65000/12000)),"x",IF(AND($Z3="b",OR($AA3="a",$AA3="b"),Inventory!$I10&lt;&gt;"",$AE3&lt;(65000/12000)),VLOOKUP(Inventory!$I10,$V$4:$W$5,2,FALSE),"x"))</f>
        <v>x</v>
      </c>
      <c r="AY3" s="148" t="str">
        <f>CONCATENATE($Z3,$AA3,$AB3,$AC3,$AD3,$AW3)</f>
        <v>aaa0</v>
      </c>
      <c r="AZ3" s="149" t="str">
        <f>IF($AA3="c","Yes","No")</f>
        <v>No</v>
      </c>
      <c r="BA3" s="668" t="str">
        <f>IF($AA3="d","Yes","No")</f>
        <v>No</v>
      </c>
      <c r="BB3" s="149">
        <f>IF($Z3="c",Inventory!$AB10,Inventory!$K10)</f>
        <v>0</v>
      </c>
      <c r="BC3" s="152">
        <f>IF(AND($Z3="b",Inventory!$N10="Btu/hr"),Inventory!$M10,IF(AND($Z3="b",Inventory!$N10="Tons"),Inventory!$M10*12000,IF(AND($Z3&lt;&gt;"b",Inventory!$AK10="Btu/hr"),Inventory!$AD10,IF(AND($Z3&lt;&gt;"b",Inventory!$AK10="Tons"),Inventory!$AD10*12000,0))))</f>
        <v>0</v>
      </c>
      <c r="BD3" s="152">
        <f>IF(BC3=0,0,IF($BC3&lt;7000,7000,IF($BC3&gt;15000,15000,$BC3)))</f>
        <v>0</v>
      </c>
      <c r="BE3" s="158">
        <f>IF(OR(AND($AZ3="No",$BA3="No"),$BC3=0),0,IF(AND($Z3&lt;&gt;"b",$AZ3="Yes",$BB3="Yes"),13.8-(0.3*$BD3/1000),IF(AND($Z3&lt;&gt;"b",$AZ3="Yes",$BB3="No"),10.9-(0.213*$BD3/1000),IF(AND($Z3="b",$AZ3="Yes"),12.5-(0.213*$BD3/1000),IF(AND($Z3&lt;&gt;"b",$BA3="Yes",$BB3="Yes"),14-(0.3*$BD3/1000),IF(AND($Z3&lt;&gt;"b",$BA3="Yes",$BB3="No"),10.8-(0.213*$BD3/1000),IF(AND($Z3="b",$BA3="Yes"),12.3-(0.213*$BD3/1000),0)))))))</f>
        <v>0</v>
      </c>
      <c r="BF3" s="149" t="s">
        <v>50</v>
      </c>
      <c r="BG3" s="158">
        <f t="shared" ref="BG3:BG66" si="6">IFERROR(12/$BE3,0)</f>
        <v>0</v>
      </c>
      <c r="BH3" s="149" t="s">
        <v>46</v>
      </c>
      <c r="BI3" s="671">
        <f>IF(AND($Z3="b",Inventory!$P10="Btu/hr"),Inventory!$O10,IF(AND($Z3="b",Inventory!$P10="Tons"),Inventory!$O10*12000,IF(AND($Z3&lt;&gt;"b",Inventory!$AM10="Btu/hr"),Inventory!$AL10,IF(AND($Z3&lt;&gt;"b",Inventory!$AM10="Tons"),Inventory!$AL10*12000,0))))</f>
        <v>0</v>
      </c>
      <c r="BJ3" s="671">
        <f>IF(BI3=0,0,IF($BI3&lt;7000,7000,IF($BI3&gt;15000,15000,$BI3)))</f>
        <v>0</v>
      </c>
      <c r="BK3" s="599">
        <f>IF(OR($BA3="No",$BI3=0),0,IF(AND($Z3&lt;&gt;"b",$BA3="Yes",$BB3="Yes"),3.7-(0.052*$BJ3/1000),IF(AND($Z3&lt;&gt;"b",$BA3="Yes",$BB3="No"),2.9-(0.026*$BJ3/1000),IF(AND($Z3="b",$BA3="Yes"),3.2-(0.026*$BJ3/1000),0))))</f>
        <v>0</v>
      </c>
      <c r="BL3" s="668" t="s">
        <v>567</v>
      </c>
      <c r="BM3" s="149" t="str">
        <f t="shared" ref="BM3:BM66" si="7">IF($Z3="b","Yes","No")</f>
        <v>No</v>
      </c>
      <c r="BN3" s="149" t="str">
        <f>IF(OR(Inventory!$H10="",$BM3="No"),"-",Inventory!$H10)</f>
        <v>-</v>
      </c>
      <c r="BO3" s="149" t="str">
        <f>IFERROR(VLOOKUP(BN3,'Early Retirement'!$B$6:$C$33,2,FALSE),"-")</f>
        <v>-</v>
      </c>
      <c r="BP3" s="149" t="str">
        <f>IF(Inventory!$J10="Centrifugal","Yes","No")</f>
        <v>No</v>
      </c>
      <c r="BQ3" s="166">
        <f>IF($BM3="No",0,IF($BP3="Yes",CONCATENATE($AW3,$AX3,"c"),CONCATENATE($AW3,$AX3)))</f>
        <v>0</v>
      </c>
      <c r="BR3" s="149" t="str">
        <f>IFERROR(VLOOKUP($BQ3,$BQ$506:$BR$537,2,FALSE),"-")</f>
        <v>-</v>
      </c>
      <c r="BS3" s="158">
        <f>IFERROR(INDEX('Early Retirement'!$C$4:$AC$33,$BO3,$BR3),0)</f>
        <v>0</v>
      </c>
      <c r="BT3" s="149">
        <f>IFERROR(HLOOKUP($BR3,'Early Retirement'!$D$4:$AC$5,2,FALSE),0)</f>
        <v>0</v>
      </c>
      <c r="BU3" s="677">
        <f>IFERROR(INDEX('Early Retirement'!$AE$4:$BE$33,$BO3,$BR3),0)</f>
        <v>0</v>
      </c>
      <c r="BV3" s="668">
        <f>IFERROR(HLOOKUP($BR3,'Early Retirement'!$AF$4:$BE$5,2,FALSE),0)</f>
        <v>0</v>
      </c>
      <c r="BW3" s="158">
        <f>IF($BT3="EER",12/$BS3,IF($BT3="kW/ton",$BS3,0))</f>
        <v>0</v>
      </c>
      <c r="BX3" s="677">
        <f>IF(OR($BV3="SEER",$BV3="IEER (EER)",$BV3="IPLV (EER)"),12/$BU3,IF($BV3="IPLV (kW/ton)",$BU3,0))</f>
        <v>0</v>
      </c>
      <c r="BY3" s="149" t="s">
        <v>46</v>
      </c>
      <c r="BZ3" s="599">
        <f>IFERROR(INDEX('Early Retirement'!$BG$4:$CG$33,$BO3,$BR3),0)</f>
        <v>0</v>
      </c>
      <c r="CA3" s="668">
        <f>IFERROR(HLOOKUP($BR3,'Early Retirement'!$BH$4:$CH$5,2,FALSE),0)</f>
        <v>0</v>
      </c>
      <c r="CB3" s="599">
        <f>IF($CA3="HSPF",$BZ3/3.412,IF($CA3="COP",$BZ3,0))</f>
        <v>0</v>
      </c>
      <c r="CC3" s="668" t="s">
        <v>567</v>
      </c>
      <c r="CD3" s="149" t="str">
        <f t="shared" ref="CD3:CD66" si="8">IF(AND($AZ3="No",$BM3="No"),"Yes","No")</f>
        <v>Yes</v>
      </c>
      <c r="CE3" s="158">
        <f t="shared" ref="CE3:CE66" si="9">IF($CD3="Yes",IFERROR(VLOOKUP($AY3,$CP:$CW,6,FALSE),0),0)</f>
        <v>0</v>
      </c>
      <c r="CF3" s="677">
        <f t="shared" ref="CF3:CF66" si="10">IF($CD3="Yes",IFERROR(VLOOKUP($AY3,$CP:$CW,7,FALSE),0),0)</f>
        <v>0</v>
      </c>
      <c r="CG3" s="668" t="s">
        <v>46</v>
      </c>
      <c r="CH3" s="599">
        <f>IF($CD3="Yes",IFERROR(VLOOKUP($AY3,$CP:$DA,11,FALSE),0),0)</f>
        <v>0</v>
      </c>
      <c r="CI3" s="668" t="s">
        <v>567</v>
      </c>
      <c r="CJ3" s="161">
        <f>MAX($BG3,$BW3,$CE3)</f>
        <v>0</v>
      </c>
      <c r="CK3" s="582">
        <f>MAX($BG3,$BX3,$CF3)</f>
        <v>0</v>
      </c>
      <c r="CL3" s="580" t="s">
        <v>46</v>
      </c>
      <c r="CM3" s="604">
        <f>MAX($BK3,$CB3,$CH3)</f>
        <v>0</v>
      </c>
      <c r="CN3" s="667" t="s">
        <v>567</v>
      </c>
      <c r="CP3" s="83" t="s">
        <v>97</v>
      </c>
      <c r="CQ3" s="120">
        <v>11.2</v>
      </c>
      <c r="CR3" s="86" t="s">
        <v>50</v>
      </c>
      <c r="CS3" s="640">
        <v>13</v>
      </c>
      <c r="CT3" s="86" t="s">
        <v>45</v>
      </c>
      <c r="CU3" s="644">
        <f>12/$CQ3</f>
        <v>1.0714285714285714</v>
      </c>
      <c r="CV3" s="644">
        <f>12/$CS3</f>
        <v>0.92307692307692313</v>
      </c>
      <c r="CW3" s="632" t="s">
        <v>46</v>
      </c>
      <c r="CX3" s="640">
        <v>7.7</v>
      </c>
      <c r="CY3" s="632" t="s">
        <v>566</v>
      </c>
      <c r="CZ3" s="640">
        <f>CX3/3.412</f>
        <v>2.2567409144196953</v>
      </c>
      <c r="DA3" s="637" t="s">
        <v>567</v>
      </c>
      <c r="DB3" s="562"/>
      <c r="DC3" s="562"/>
      <c r="DD3" s="562"/>
      <c r="DE3" s="562"/>
      <c r="DF3" s="562"/>
      <c r="DG3" s="562"/>
      <c r="DH3" s="562"/>
      <c r="DI3" s="562"/>
      <c r="DJ3" s="562"/>
      <c r="DK3" s="562"/>
      <c r="DL3" s="562"/>
      <c r="DM3" s="562"/>
      <c r="DN3" s="562"/>
      <c r="DO3" s="562"/>
      <c r="DP3" s="562"/>
      <c r="DQ3" s="562"/>
      <c r="DR3" s="562"/>
      <c r="DS3" s="562"/>
      <c r="DT3" s="562"/>
      <c r="DU3" s="562"/>
      <c r="DV3" s="562"/>
      <c r="DW3" s="562"/>
      <c r="DX3" s="562"/>
      <c r="DY3" s="562"/>
      <c r="DZ3" s="562"/>
      <c r="EA3" s="562"/>
      <c r="EB3" s="562"/>
      <c r="EC3" s="562"/>
      <c r="ED3" s="562"/>
      <c r="EE3" s="562"/>
      <c r="EF3" s="562"/>
      <c r="EG3" s="562"/>
      <c r="EH3" s="562"/>
      <c r="EI3" s="562"/>
      <c r="EJ3" s="562"/>
      <c r="EK3" s="562"/>
      <c r="EL3" s="562"/>
    </row>
    <row r="4" spans="1:142" s="78" customFormat="1" ht="15" customHeight="1" x14ac:dyDescent="0.25">
      <c r="B4" s="88" t="s">
        <v>58</v>
      </c>
      <c r="C4" s="89" t="s">
        <v>91</v>
      </c>
      <c r="D4" s="79"/>
      <c r="E4" s="88" t="s">
        <v>54</v>
      </c>
      <c r="F4" s="89" t="s">
        <v>91</v>
      </c>
      <c r="G4" s="79"/>
      <c r="H4" s="88" t="s">
        <v>55</v>
      </c>
      <c r="I4" s="89" t="s">
        <v>91</v>
      </c>
      <c r="J4" s="79"/>
      <c r="K4" s="90" t="s">
        <v>73</v>
      </c>
      <c r="L4" s="89" t="s">
        <v>91</v>
      </c>
      <c r="M4" s="79"/>
      <c r="N4" s="90" t="s">
        <v>73</v>
      </c>
      <c r="O4" s="89" t="s">
        <v>91</v>
      </c>
      <c r="P4" s="79"/>
      <c r="Q4" s="1063"/>
      <c r="R4" s="91">
        <f>65000/12000</f>
        <v>5.416666666666667</v>
      </c>
      <c r="S4" s="91">
        <f>135000/12000</f>
        <v>11.25</v>
      </c>
      <c r="T4" s="109">
        <v>2</v>
      </c>
      <c r="U4" s="79"/>
      <c r="V4" s="90" t="s">
        <v>138</v>
      </c>
      <c r="W4" s="89" t="s">
        <v>142</v>
      </c>
      <c r="Y4" s="90">
        <v>2</v>
      </c>
      <c r="Z4" s="92" t="str">
        <f>IF(Inventory!$C11="","",VLOOKUP(Inventory!$C11,$B$3:$C$5,2,FALSE))</f>
        <v/>
      </c>
      <c r="AA4" s="92" t="str">
        <f>IF($Z4="","",IF(AND($Z4="b",Inventory!$G11=""),"",IF(AND($Z4="b",Inventory!$G11&lt;&gt;""),VLOOKUP(Inventory!$G11,$E$3:$F$10,2,FALSE),IF(AND($Z4="a",Inventory!$Z11=""),"",IF(AND($Z4="a",Inventory!$Z11&lt;&gt;""),VLOOKUP(Inventory!$Z11,$E$3:$F$10,2,FALSE),IF(AND($Z4="c",Inventory!$Z11=""),"",IF(AND($Z4="c",Inventory!$Z11&lt;&gt;""),VLOOKUP(Inventory!$Z11,$E$3:$F$10,2,FALSE),"")))))))</f>
        <v/>
      </c>
      <c r="AB4" s="92" t="str">
        <f>IF($Z4="","a",IF(AND($Z4="b",Inventory!$J11=""),"a",IF(AND($Z4="b",Inventory!$J11&lt;&gt;""),VLOOKUP(Inventory!$J11,$H$4:$I$6,2,FALSE),IF(AND($Z4="a",Inventory!$AA11=""),"a",IF(AND($Z4="a",Inventory!$AA11&lt;&gt;""),VLOOKUP(Inventory!$AA11,$H$4:$I$6,2,FALSE),IF(AND($Z4="c",Inventory!$AA11=""),"a",IF(AND($Z4="c",Inventory!$AA11&lt;&gt;""),VLOOKUP(Inventory!$AA11,$H$4:$I$6,2,FALSE),"a")))))))</f>
        <v>a</v>
      </c>
      <c r="AC4" s="307" t="str">
        <f t="shared" ref="AC4:AC67" si="11">IF($AA4="f","b",IF($AA4="e","c","a"))</f>
        <v>a</v>
      </c>
      <c r="AD4" s="93" t="str">
        <f>IF($Z4="","a",IF(AND($Z4="b",Inventory!$L11=""),"a",IF(AND($Z4="b",Inventory!$L11&lt;&gt;""),VLOOKUP(Inventory!$L11,$N$4:$O$5,2,FALSE),IF(AND($Z4="a",Inventory!$AC11=""),"a",IF(AND($Z4="a",Inventory!$AC11&lt;&gt;""),VLOOKUP(Inventory!$AC11,$N$4:$O$5,2,FALSE),IF(AND($Z4="c",Inventory!$AC11=""),"a",IF(AND($Z4="c",Inventory!$AC11&lt;&gt;""),VLOOKUP(Inventory!$AC11,$N$4:$O$5,2,FALSE),"a")))))))</f>
        <v>a</v>
      </c>
      <c r="AE4" s="116">
        <f>IF(OR(Inventory!C11="New Construction",Inventory!C11="Replace-on-Burnout"),Inventory!AF11,IF(Inventory!C11="Early Retirement",MIN(Inventory!AE11,Inventory!AF11),0))</f>
        <v>0</v>
      </c>
      <c r="AF4" s="117" t="str">
        <f t="shared" ref="AF4:AF67" si="12">IF(OR(AND($AA4&lt;&gt;"a",$AA4&lt;&gt;"b"),$AE4=""),"",IF(AND($AE4&gt;=$AF$2,$AA4="a"),5,IF(AND($AE4&gt;=$AF$2,$AA4="b"),10,0)))</f>
        <v/>
      </c>
      <c r="AG4" s="117" t="str">
        <f t="shared" si="0"/>
        <v/>
      </c>
      <c r="AH4" s="117" t="str">
        <f t="shared" si="1"/>
        <v/>
      </c>
      <c r="AI4" s="117" t="str">
        <f t="shared" si="2"/>
        <v/>
      </c>
      <c r="AJ4" s="117" t="str">
        <f t="shared" si="3"/>
        <v/>
      </c>
      <c r="AK4" s="117" t="str">
        <f t="shared" ref="AK4:AK67" si="13">IF(OR(AND($AA4&lt;&gt;"e",$AA4&lt;&gt;"f"),$AE4=""),"",IF(AND($AE4&gt;=$AK$2,OR($AA4="e",$AA4="f"),$AC4="b",$AD4="b"),26,IF(AND($AE4&gt;$AK$2,OR($AA4="e",$AA4="f"),$AC4="b",$AD4="c"),28,IF(AND($AE4&gt;$AK$2,OR($AA4="e",$AA4="f"),$AC4="c",$AD4="b"),19,IF(AND($AE4&gt;$AK$2,OR($AA4="e",$AA4="f"),$AC4="c",$AD4="c"),24,0)))))</f>
        <v/>
      </c>
      <c r="AL4" s="117" t="str">
        <f t="shared" ref="AL4:AL67" si="14">IF(OR(AND($AA4&lt;&gt;"e",$AA4&lt;&gt;"f"),$AE4="",$AK4&lt;&gt;0),"",IF(AND($AE4&gt;=$AL$2,OR($AA4="e",$AA4="f"),$AC4="b",$AD4="b"),26,IF(AND($AE4&gt;$AL$2,OR($AA4="e",$AA4="f"),$AC4="b",$AD4="c"),28,IF(AND($AE4&gt;$AL$2,OR($AA4="e",$AA4="f"),$AC4="c",$AD4="b"),18,IF(AND($AE4&gt;$AL$2,OR($AA4="e",$AA4="f"),$AC4="c",$AD4="c"),24,0)))))</f>
        <v/>
      </c>
      <c r="AM4" s="117" t="str">
        <f t="shared" ref="AM4:AM67" si="15">IF(OR(AND($AA4&lt;&gt;"e",$AA4&lt;&gt;"f"),$AE4="",$AL4&lt;&gt;0),"",IF(AND($AE4&gt;=$AM$2,OR($AA4="e",$AA4="f"),$AC4="b",$AD4="b"),25,IF(AND($AE4&gt;$AM$2,OR($AA4="e",$AA4="f"),$AC4="b",$AD4="c"),28,IF(AND($AE4&gt;$AM$2,OR($AA4="e",$AA4="f"),$AC4="c",$AD4="b"),17,IF(AND($AE4&gt;$AM$2,OR($AA4="e",$AA4="f"),$AC4="c",$AD4="c"),23,0)))))</f>
        <v/>
      </c>
      <c r="AN4" s="117" t="str">
        <f t="shared" ref="AN4:AN67" si="16">IF(OR(AND($AA4&lt;&gt;"e",$AA4&lt;&gt;"f"),$AE4="",$AM4&lt;&gt;0),"",IF(AND($AE4&gt;=$AN$2,OR($AA4="e",$AA4="f"),$AC4="b",$AD4="b"),25,IF(AND($AE4&gt;$AN$2,OR($AA4="e",$AA4="f"),$AC4="b",$AD4="c"),27,IF(AND($AE4&gt;$AN$2,OR($AA4="e",$AA4="f"),$AC4="c",$AD4="b"),16,IF(AND($AE4&gt;$AN$2,OR($AA4="e",$AA4="f"),$AC4="c",$AD4="c"),22,0)))))</f>
        <v/>
      </c>
      <c r="AO4" s="117" t="str">
        <f t="shared" ref="AO4:AO67" si="17">IF(OR(AND($AA4&lt;&gt;"e",$AA4&lt;&gt;"f"),$AE4="",$AN4&lt;&gt;0),"",IF(AND($AE4&gt;=$AO$2,OR($AA4="e",$AA4="f"),$AC4="b",$AD4="b"),25,IF(AND($AE4&gt;$AO$2,OR($AA4="e",$AA4="f"),$AC4="b",$AD4="c"),27,IF(AND($AE4&gt;$AO$2,OR($AA4="e",$AA4="f"),$AC4="c",$AD4="b"),16,IF(AND($AE4&gt;$AO$2,OR($AA4="e",$AA4="f"),$AC4="c",$AD4="c"),21,0)))))</f>
        <v/>
      </c>
      <c r="AP4" s="117" t="str">
        <f t="shared" ref="AP4:AP67" si="18">IF(OR(AND($AA4&lt;&gt;"e",$AA4&lt;&gt;"f"),$AE4="",$AO4&lt;&gt;0),"",IF(AND($AE4&gt;=$AP$2,OR($AA4="e",$AA4="f"),$AC4="b",$AD4="b"),25,IF(AND($AE4&gt;$AP$2,OR($AA4="e",$AA4="f"),$AC4="b",$AD4="c"),27,IF(AND($AE4&gt;$AP$2,OR($AA4="e",$AA4="f"),$AC4="c",$AD4="b"),15,IF(AND($AE4&gt;$AP$2,OR($AA4="e",$AA4="f"),$AC4="c",$AD4="c"),20,0)))))</f>
        <v/>
      </c>
      <c r="AQ4" s="117" t="str">
        <f t="shared" ref="AQ4:AQ67" si="19">IF(OR(AND($AA4&lt;&gt;"g",$AA4&lt;&gt;"h"),$AE4=""),"",IF(AND($AE4&gt;=$AQ$2,$AA4="g"),33,IF(AND($AE4&gt;=$AQ$2,$AA4="h",$AB4="b"),38,IF(AND($AE4&gt;=$AQ$2,$AA4="h",$AB4&lt;&gt;"b"),43,0))))</f>
        <v/>
      </c>
      <c r="AR4" s="117" t="str">
        <f t="shared" ref="AR4:AR67" si="20">IF(OR(AND($AA4&lt;&gt;"g",$AA4&lt;&gt;"h"),$AE4="",$AQ4&lt;&gt;0),"",IF(AND($AE4&gt;=$AR$2,$AA4="g"),32,IF(AND($AE4&gt;=$AR$2,$AA4="h",$AB4="b"),37,IF(AND($AE4&gt;=$AR$2,$AA4="h",$AB4&lt;&gt;"b"),42,0))))</f>
        <v/>
      </c>
      <c r="AS4" s="117" t="str">
        <f t="shared" ref="AS4:AS67" si="21">IF(OR(AND($AA4&lt;&gt;"g",$AA4&lt;&gt;"h"),$AE4="",$AR4&lt;&gt;0),"",IF(AND($AE4&gt;=$AS$2,$AA4="g"),31,IF(AND($AE4&gt;=$AS$2,$AA4="h",$AB4="b"),36,IF(AND($AE4&gt;=$AS$2,$AA4="h",$AB4&lt;&gt;"b"),41,0))))</f>
        <v/>
      </c>
      <c r="AT4" s="117" t="str">
        <f t="shared" ref="AT4:AT67" si="22">IF(OR(AND($AA4&lt;&gt;"g",$AA4&lt;&gt;"h"),$AE4="",$AS4&lt;&gt;0),"",IF(AND($AE4&gt;=$AT$2,$AA4="g"),30,IF(AND($AE4&gt;=$AT$2,$AA4="h",$AB4="b"),35,IF(AND($AE4&gt;=$AT$2,$AA4="h",$AB4&lt;&gt;"b"),40,0))))</f>
        <v/>
      </c>
      <c r="AU4" s="117" t="str">
        <f t="shared" ref="AU4:AU67" si="23">IF(OR(AND($AA4&lt;&gt;"g",$AA4&lt;&gt;"h"),$AE4="",$AT4&lt;&gt;0),"",IF(AND($AE4&gt;=$AU$2,$AA4="g"),29,IF(AND($AE4&gt;=$AU$2,$AA4="h",$AB4="b"),34,IF(AND($AE4&gt;=$AU$2,$AA4="h",$AB4&lt;&gt;"b"),39,0))))</f>
        <v/>
      </c>
      <c r="AV4" s="117" t="str">
        <f t="shared" si="4"/>
        <v/>
      </c>
      <c r="AW4" s="93">
        <f t="shared" si="5"/>
        <v>0</v>
      </c>
      <c r="AX4" s="93" t="str">
        <f>IF(AND($Z4="b",OR($AA4="a",$AA4="b"),Inventory!$I11="",$AE4&lt;(65000/12000)),"x",IF(AND($Z4="b",OR($AA4="a",$AA4="b"),Inventory!$I11&lt;&gt;"",$AE4&lt;(65000/12000)),VLOOKUP(Inventory!$I11,$V$4:$W$5,2,FALSE),"x"))</f>
        <v>x</v>
      </c>
      <c r="AY4" s="146" t="str">
        <f t="shared" ref="AY4:AY67" si="24">CONCATENATE($Z4,$AA4,$AB4,$AC4,$AD4,$AW4)</f>
        <v>aaa0</v>
      </c>
      <c r="AZ4" s="150" t="str">
        <f t="shared" ref="AZ4:AZ67" si="25">IF($AA4="c","Yes","No")</f>
        <v>No</v>
      </c>
      <c r="BA4" s="669" t="str">
        <f t="shared" ref="BA4:BA67" si="26">IF($AA4="d","Yes","No")</f>
        <v>No</v>
      </c>
      <c r="BB4" s="150">
        <f>IF($Z4="c",Inventory!$AB11,Inventory!$K11)</f>
        <v>0</v>
      </c>
      <c r="BC4" s="153">
        <f>IF(AND($Z4="b",Inventory!$N11="Btu/hr"),Inventory!$M11,IF(AND($Z4="b",Inventory!$N11="Tons"),Inventory!$M11*12000,IF(AND($Z4&lt;&gt;"b",Inventory!$AK11="Btu/hr"),Inventory!$AD11,IF(AND($Z4&lt;&gt;"b",Inventory!$AK11="Tons"),Inventory!$AD11*12000,0))))</f>
        <v>0</v>
      </c>
      <c r="BD4" s="153">
        <f t="shared" ref="BD4:BD51" si="27">IF(BC4=0,0,IF($BC4&lt;7000,7000,IF($BC4&gt;15000,15000,$BC4)))</f>
        <v>0</v>
      </c>
      <c r="BE4" s="159">
        <f t="shared" ref="BE4:BE67" si="28">IF(OR(AND($AZ4="No",$BA4="No"),$BC4=0),0,IF(AND($Z4&lt;&gt;"b",$AZ4="Yes",$BB4="Yes"),13.8-(0.3*$BD4/1000),IF(AND($Z4&lt;&gt;"b",$AZ4="Yes",$BB4="No"),10.9-(0.213*$BD4/1000),IF(AND($Z4="b",$AZ4="Yes"),12.5-(0.213*$BD4/1000),IF(AND($Z4&lt;&gt;"b",$BA4="Yes",$BB4="Yes"),14-(0.3*$BD4/1000),IF(AND($Z4&lt;&gt;"b",$BA4="Yes",$BB4="No"),10.8-(0.213*$BD4/1000),IF(AND($Z4="b",$BA4="Yes"),12.3-(0.213*$BD4/1000),0)))))))</f>
        <v>0</v>
      </c>
      <c r="BF4" s="150" t="s">
        <v>50</v>
      </c>
      <c r="BG4" s="159">
        <f t="shared" si="6"/>
        <v>0</v>
      </c>
      <c r="BH4" s="150" t="s">
        <v>46</v>
      </c>
      <c r="BI4" s="672">
        <f>IF(AND($Z4="b",Inventory!$P11="Btu/hr"),Inventory!$O11,IF(AND($Z4="b",Inventory!$P11="Tons"),Inventory!$O11*12000,IF(AND($Z4&lt;&gt;"b",Inventory!$AM11="Btu/hr"),Inventory!$AL11,IF(AND($Z4&lt;&gt;"b",Inventory!$AM11="Tons"),Inventory!$AL11*12000,0))))</f>
        <v>0</v>
      </c>
      <c r="BJ4" s="672">
        <f t="shared" ref="BJ4:BJ51" si="29">IF(BI4=0,0,IF($BI4&lt;7000,7000,IF($BI4&gt;15000,15000,$BI4)))</f>
        <v>0</v>
      </c>
      <c r="BK4" s="608">
        <f t="shared" ref="BK4:BK67" si="30">IF(OR($BA4="No",$BI4=0),0,IF(AND($Z4&lt;&gt;"b",$BA4="Yes",$BB4="Yes"),3.7-(0.052*$BJ4/1000),IF(AND($Z4&lt;&gt;"b",$BA4="Yes",$BB4="No"),2.9-(0.026*$BJ4/1000),IF(AND($Z4="b",$BA4="Yes"),3.2-(0.026*$BJ4/1000),0))))</f>
        <v>0</v>
      </c>
      <c r="BL4" s="669" t="s">
        <v>567</v>
      </c>
      <c r="BM4" s="150" t="str">
        <f t="shared" si="7"/>
        <v>No</v>
      </c>
      <c r="BN4" s="150" t="str">
        <f>IF(OR(Inventory!$H11="",$BM4="No"),"-",Inventory!$H11)</f>
        <v>-</v>
      </c>
      <c r="BO4" s="669" t="str">
        <f>IFERROR(VLOOKUP(BN4,'Early Retirement'!$B$6:$C$33,2,FALSE),"-")</f>
        <v>-</v>
      </c>
      <c r="BP4" s="150" t="str">
        <f>IF(Inventory!$J11="Centrifugal","Yes","No")</f>
        <v>No</v>
      </c>
      <c r="BQ4" s="150">
        <f t="shared" ref="BQ4:BQ67" si="31">IF($BM4="No",0,IF($BP4="Yes",CONCATENATE($AW4,$AX4,"c"),CONCATENATE($AW4,$AX4)))</f>
        <v>0</v>
      </c>
      <c r="BR4" s="669" t="str">
        <f t="shared" ref="BR4:BR67" si="32">IFERROR(VLOOKUP($BQ4,$BQ$506:$BR$537,2,FALSE),"-")</f>
        <v>-</v>
      </c>
      <c r="BS4" s="159">
        <f>IFERROR(INDEX('Early Retirement'!$C$4:$AC$33,$BO4,$BR4),0)</f>
        <v>0</v>
      </c>
      <c r="BT4" s="668">
        <f>IFERROR(HLOOKUP($BR4,'Early Retirement'!$D$4:$AC$5,2,FALSE),0)</f>
        <v>0</v>
      </c>
      <c r="BU4" s="677">
        <f>IFERROR(INDEX('Early Retirement'!$AE$4:$BE$33,$BO4,$BR4),0)</f>
        <v>0</v>
      </c>
      <c r="BV4" s="668">
        <f>IFERROR(HLOOKUP($BR4,'Early Retirement'!$AF$4:$BE$5,2,FALSE),0)</f>
        <v>0</v>
      </c>
      <c r="BW4" s="677">
        <f>IF($BT4="SEER",12/($BS4*0.697+2.0394),IF($BT4="EER",12/$BS4,IF($BT4="kW/ton",$BS4,0)))</f>
        <v>0</v>
      </c>
      <c r="BX4" s="678">
        <f t="shared" ref="BX4:BX67" si="33">IF(OR($BV4="SEER",$BV4="IEER (EER)",$BV4="IPLV (EER)"),12/$BU4,IF($BV4="IPLV (kW/ton)",$BU4,0))</f>
        <v>0</v>
      </c>
      <c r="BY4" s="150" t="s">
        <v>46</v>
      </c>
      <c r="BZ4" s="608">
        <f>IFERROR(INDEX('Early Retirement'!$BG$4:$CG$33,$BO4,$BR4),0)</f>
        <v>0</v>
      </c>
      <c r="CA4" s="669">
        <f>IFERROR(HLOOKUP($BR4,'Early Retirement'!$BH$4:$CH$5,2,FALSE),0)</f>
        <v>0</v>
      </c>
      <c r="CB4" s="608">
        <f t="shared" ref="CB4:CB67" si="34">IF($CA4="HSPF",$BZ4/3.412,IF($CA4="COP",$BZ4,0))</f>
        <v>0</v>
      </c>
      <c r="CC4" s="669" t="s">
        <v>567</v>
      </c>
      <c r="CD4" s="150" t="str">
        <f t="shared" si="8"/>
        <v>Yes</v>
      </c>
      <c r="CE4" s="159">
        <f t="shared" si="9"/>
        <v>0</v>
      </c>
      <c r="CF4" s="678">
        <f t="shared" si="10"/>
        <v>0</v>
      </c>
      <c r="CG4" s="669" t="s">
        <v>46</v>
      </c>
      <c r="CH4" s="608">
        <f t="shared" ref="CH4:CH67" si="35">IF($CD4="Yes",IFERROR(VLOOKUP($AY4,$CP:$DA,11,FALSE),0),0)</f>
        <v>0</v>
      </c>
      <c r="CI4" s="669" t="s">
        <v>567</v>
      </c>
      <c r="CJ4" s="162">
        <f t="shared" ref="CJ4:CJ67" si="36">MAX($BG4,$BW4,$CE4)</f>
        <v>0</v>
      </c>
      <c r="CK4" s="602">
        <f t="shared" ref="CK4:CK67" si="37">MAX($BG4,$BX4,$CF4)</f>
        <v>0</v>
      </c>
      <c r="CL4" s="610" t="s">
        <v>46</v>
      </c>
      <c r="CM4" s="592">
        <f t="shared" ref="CM4:CM67" si="38">MAX($BK4,$CB4,$CH4)</f>
        <v>0</v>
      </c>
      <c r="CN4" s="665" t="s">
        <v>567</v>
      </c>
      <c r="CP4" s="90" t="s">
        <v>98</v>
      </c>
      <c r="CQ4" s="121">
        <v>11</v>
      </c>
      <c r="CR4" s="307" t="s">
        <v>50</v>
      </c>
      <c r="CS4" s="641">
        <v>11.2</v>
      </c>
      <c r="CT4" s="551" t="s">
        <v>558</v>
      </c>
      <c r="CU4" s="645">
        <f t="shared" ref="CU4:CU22" si="39">12/$CQ4</f>
        <v>1.0909090909090908</v>
      </c>
      <c r="CV4" s="645">
        <f t="shared" ref="CV4:CV22" si="40">12/$CS4</f>
        <v>1.0714285714285714</v>
      </c>
      <c r="CW4" s="633" t="s">
        <v>46</v>
      </c>
      <c r="CX4" s="641">
        <v>3.3</v>
      </c>
      <c r="CY4" s="633" t="s">
        <v>567</v>
      </c>
      <c r="CZ4" s="641">
        <f>CX4</f>
        <v>3.3</v>
      </c>
      <c r="DA4" s="638" t="s">
        <v>567</v>
      </c>
      <c r="DB4" s="562"/>
      <c r="DC4" s="562"/>
      <c r="DD4" s="562"/>
      <c r="DE4" s="562"/>
      <c r="DF4" s="562"/>
      <c r="DG4" s="562"/>
      <c r="DH4" s="562"/>
      <c r="DI4" s="562"/>
      <c r="DJ4" s="562"/>
      <c r="DK4" s="562"/>
      <c r="DL4" s="562"/>
      <c r="DM4" s="562"/>
      <c r="DN4" s="562"/>
      <c r="DO4" s="562"/>
      <c r="DP4" s="562"/>
      <c r="DQ4" s="562"/>
      <c r="DR4" s="562"/>
      <c r="DS4" s="562"/>
      <c r="DT4" s="562"/>
      <c r="DU4" s="562"/>
      <c r="DV4" s="562"/>
      <c r="DW4" s="562"/>
      <c r="DX4" s="562"/>
      <c r="DY4" s="562"/>
      <c r="DZ4" s="562"/>
      <c r="EA4" s="562"/>
      <c r="EB4" s="562"/>
      <c r="EC4" s="562"/>
      <c r="ED4" s="562"/>
      <c r="EE4" s="562"/>
      <c r="EF4" s="562"/>
      <c r="EG4" s="562"/>
      <c r="EH4" s="562"/>
      <c r="EI4" s="562"/>
      <c r="EJ4" s="562"/>
      <c r="EK4" s="562"/>
      <c r="EL4" s="562"/>
    </row>
    <row r="5" spans="1:142" s="78" customFormat="1" ht="15" customHeight="1" thickBot="1" x14ac:dyDescent="0.3">
      <c r="B5" s="94" t="s">
        <v>59</v>
      </c>
      <c r="C5" s="95" t="s">
        <v>92</v>
      </c>
      <c r="D5" s="79"/>
      <c r="E5" s="88" t="s">
        <v>47</v>
      </c>
      <c r="F5" s="89" t="s">
        <v>92</v>
      </c>
      <c r="G5" s="79"/>
      <c r="H5" s="88" t="s">
        <v>61</v>
      </c>
      <c r="I5" s="89" t="s">
        <v>92</v>
      </c>
      <c r="J5" s="79"/>
      <c r="K5" s="96" t="s">
        <v>74</v>
      </c>
      <c r="L5" s="95" t="s">
        <v>92</v>
      </c>
      <c r="M5" s="79"/>
      <c r="N5" s="96" t="s">
        <v>74</v>
      </c>
      <c r="O5" s="95" t="s">
        <v>92</v>
      </c>
      <c r="P5" s="79"/>
      <c r="Q5" s="1063"/>
      <c r="R5" s="91">
        <f>135000/12000</f>
        <v>11.25</v>
      </c>
      <c r="S5" s="91">
        <f>240000/12000</f>
        <v>20</v>
      </c>
      <c r="T5" s="109">
        <v>3</v>
      </c>
      <c r="U5" s="79"/>
      <c r="V5" s="96" t="s">
        <v>139</v>
      </c>
      <c r="W5" s="95" t="s">
        <v>143</v>
      </c>
      <c r="Y5" s="90">
        <v>3</v>
      </c>
      <c r="Z5" s="92" t="str">
        <f>IF(Inventory!$C12="","",VLOOKUP(Inventory!$C12,$B$3:$C$5,2,FALSE))</f>
        <v/>
      </c>
      <c r="AA5" s="92" t="str">
        <f>IF($Z5="","",IF(AND($Z5="b",Inventory!$G12=""),"",IF(AND($Z5="b",Inventory!$G12&lt;&gt;""),VLOOKUP(Inventory!$G12,$E$3:$F$10,2,FALSE),IF(AND($Z5="a",Inventory!$Z12=""),"",IF(AND($Z5="a",Inventory!$Z12&lt;&gt;""),VLOOKUP(Inventory!$Z12,$E$3:$F$10,2,FALSE),IF(AND($Z5="c",Inventory!$Z12=""),"",IF(AND($Z5="c",Inventory!$Z12&lt;&gt;""),VLOOKUP(Inventory!$Z12,$E$3:$F$10,2,FALSE),"")))))))</f>
        <v/>
      </c>
      <c r="AB5" s="92" t="str">
        <f>IF($Z5="","a",IF(AND($Z5="b",Inventory!$J12=""),"a",IF(AND($Z5="b",Inventory!$J12&lt;&gt;""),VLOOKUP(Inventory!$J12,$H$4:$I$6,2,FALSE),IF(AND($Z5="a",Inventory!$AA12=""),"a",IF(AND($Z5="a",Inventory!$AA12&lt;&gt;""),VLOOKUP(Inventory!$AA12,$H$4:$I$6,2,FALSE),IF(AND($Z5="c",Inventory!$AA12=""),"a",IF(AND($Z5="c",Inventory!$AA12&lt;&gt;""),VLOOKUP(Inventory!$AA12,$H$4:$I$6,2,FALSE),"a")))))))</f>
        <v>a</v>
      </c>
      <c r="AC5" s="307" t="str">
        <f t="shared" si="11"/>
        <v>a</v>
      </c>
      <c r="AD5" s="93" t="str">
        <f>IF($Z5="","a",IF(AND($Z5="b",Inventory!$L12=""),"a",IF(AND($Z5="b",Inventory!$L12&lt;&gt;""),VLOOKUP(Inventory!$L12,$N$4:$O$5,2,FALSE),IF(AND($Z5="a",Inventory!$AC12=""),"a",IF(AND($Z5="a",Inventory!$AC12&lt;&gt;""),VLOOKUP(Inventory!$AC12,$N$4:$O$5,2,FALSE),IF(AND($Z5="c",Inventory!$AC12=""),"a",IF(AND($Z5="c",Inventory!$AC12&lt;&gt;""),VLOOKUP(Inventory!$AC12,$N$4:$O$5,2,FALSE),"a")))))))</f>
        <v>a</v>
      </c>
      <c r="AE5" s="116">
        <f>IF(OR(Inventory!C12="New Construction",Inventory!C12="Replace-on-Burnout"),Inventory!AF12,IF(Inventory!C12="Early Retirement",MIN(Inventory!AE12,Inventory!AF12),0))</f>
        <v>0</v>
      </c>
      <c r="AF5" s="117" t="str">
        <f t="shared" si="12"/>
        <v/>
      </c>
      <c r="AG5" s="117" t="str">
        <f t="shared" si="0"/>
        <v/>
      </c>
      <c r="AH5" s="117" t="str">
        <f t="shared" si="1"/>
        <v/>
      </c>
      <c r="AI5" s="117" t="str">
        <f t="shared" si="2"/>
        <v/>
      </c>
      <c r="AJ5" s="117" t="str">
        <f t="shared" si="3"/>
        <v/>
      </c>
      <c r="AK5" s="117" t="str">
        <f t="shared" si="13"/>
        <v/>
      </c>
      <c r="AL5" s="117" t="str">
        <f t="shared" si="14"/>
        <v/>
      </c>
      <c r="AM5" s="117" t="str">
        <f t="shared" si="15"/>
        <v/>
      </c>
      <c r="AN5" s="117" t="str">
        <f t="shared" si="16"/>
        <v/>
      </c>
      <c r="AO5" s="117" t="str">
        <f t="shared" si="17"/>
        <v/>
      </c>
      <c r="AP5" s="117" t="str">
        <f t="shared" si="18"/>
        <v/>
      </c>
      <c r="AQ5" s="117" t="str">
        <f t="shared" si="19"/>
        <v/>
      </c>
      <c r="AR5" s="117" t="str">
        <f t="shared" si="20"/>
        <v/>
      </c>
      <c r="AS5" s="117" t="str">
        <f t="shared" si="21"/>
        <v/>
      </c>
      <c r="AT5" s="117" t="str">
        <f t="shared" si="22"/>
        <v/>
      </c>
      <c r="AU5" s="117" t="str">
        <f t="shared" si="23"/>
        <v/>
      </c>
      <c r="AV5" s="117" t="str">
        <f t="shared" si="4"/>
        <v/>
      </c>
      <c r="AW5" s="112">
        <f t="shared" si="5"/>
        <v>0</v>
      </c>
      <c r="AX5" s="112" t="str">
        <f>IF(AND($Z5="b",OR($AA5="a",$AA5="b"),Inventory!$I12="",$AE5&lt;(65000/12000)),"x",IF(AND($Z5="b",OR($AA5="a",$AA5="b"),Inventory!$I12&lt;&gt;"",$AE5&lt;(65000/12000)),VLOOKUP(Inventory!$I12,$V$4:$W$5,2,FALSE),"x"))</f>
        <v>x</v>
      </c>
      <c r="AY5" s="146" t="str">
        <f t="shared" si="24"/>
        <v>aaa0</v>
      </c>
      <c r="AZ5" s="150" t="str">
        <f t="shared" si="25"/>
        <v>No</v>
      </c>
      <c r="BA5" s="669" t="str">
        <f t="shared" si="26"/>
        <v>No</v>
      </c>
      <c r="BB5" s="150">
        <f>IF($Z5="c",Inventory!$AB12,Inventory!$K12)</f>
        <v>0</v>
      </c>
      <c r="BC5" s="153">
        <f>IF(AND($Z5="b",Inventory!$N12="Btu/hr"),Inventory!$M12,IF(AND($Z5="b",Inventory!$N12="Tons"),Inventory!$M12*12000,IF(AND($Z5&lt;&gt;"b",Inventory!$AK12="Btu/hr"),Inventory!$AD12,IF(AND($Z5&lt;&gt;"b",Inventory!$AK12="Tons"),Inventory!$AD12*12000,0))))</f>
        <v>0</v>
      </c>
      <c r="BD5" s="153">
        <f t="shared" si="27"/>
        <v>0</v>
      </c>
      <c r="BE5" s="159">
        <f t="shared" si="28"/>
        <v>0</v>
      </c>
      <c r="BF5" s="150" t="s">
        <v>50</v>
      </c>
      <c r="BG5" s="159">
        <f t="shared" si="6"/>
        <v>0</v>
      </c>
      <c r="BH5" s="150" t="s">
        <v>46</v>
      </c>
      <c r="BI5" s="672">
        <f>IF(AND($Z5="b",Inventory!$P12="Btu/hr"),Inventory!$O12,IF(AND($Z5="b",Inventory!$P12="Tons"),Inventory!$O12*12000,IF(AND($Z5&lt;&gt;"b",Inventory!$AM12="Btu/hr"),Inventory!$AL12,IF(AND($Z5&lt;&gt;"b",Inventory!$AM12="Tons"),Inventory!$AL12*12000,0))))</f>
        <v>0</v>
      </c>
      <c r="BJ5" s="672">
        <f t="shared" si="29"/>
        <v>0</v>
      </c>
      <c r="BK5" s="608">
        <f t="shared" si="30"/>
        <v>0</v>
      </c>
      <c r="BL5" s="669" t="s">
        <v>567</v>
      </c>
      <c r="BM5" s="150" t="str">
        <f t="shared" si="7"/>
        <v>No</v>
      </c>
      <c r="BN5" s="150" t="str">
        <f>IF(OR(Inventory!$H12="",$BM5="No"),"-",Inventory!$H12)</f>
        <v>-</v>
      </c>
      <c r="BO5" s="150" t="str">
        <f>IFERROR(VLOOKUP(BN5,'Early Retirement'!$B$6:$C$33,2,FALSE),"-")</f>
        <v>-</v>
      </c>
      <c r="BP5" s="150" t="str">
        <f>IF(Inventory!$J12="Centrifugal","Yes","No")</f>
        <v>No</v>
      </c>
      <c r="BQ5" s="150">
        <f t="shared" si="31"/>
        <v>0</v>
      </c>
      <c r="BR5" s="150" t="str">
        <f t="shared" si="32"/>
        <v>-</v>
      </c>
      <c r="BS5" s="159">
        <f>IFERROR(INDEX('Early Retirement'!$C$4:$AC$33,$BO5,$BR5),0)</f>
        <v>0</v>
      </c>
      <c r="BT5" s="150">
        <f>IFERROR(HLOOKUP($BR5,'Early Retirement'!$D$4:$AC$5,2,FALSE),0)</f>
        <v>0</v>
      </c>
      <c r="BU5" s="678">
        <f>IFERROR(INDEX('Early Retirement'!$AE$4:$BE$33,$BO5,$BR5),0)</f>
        <v>0</v>
      </c>
      <c r="BV5" s="669">
        <f>IFERROR(HLOOKUP($BR5,'Early Retirement'!$AF$4:$BE$5,2,FALSE),0)</f>
        <v>0</v>
      </c>
      <c r="BW5" s="159">
        <f t="shared" ref="BW5:BW68" si="41">IF($BT5="SEER",12/($BS5*0.697+2.0394),IF($BT5="EER",12/$BS5,IF($BT5="kW/ton",$BS5,0)))</f>
        <v>0</v>
      </c>
      <c r="BX5" s="678">
        <f t="shared" si="33"/>
        <v>0</v>
      </c>
      <c r="BY5" s="150" t="s">
        <v>46</v>
      </c>
      <c r="BZ5" s="608">
        <f>IFERROR(INDEX('Early Retirement'!$BG$4:$CG$33,$BO5,$BR5),0)</f>
        <v>0</v>
      </c>
      <c r="CA5" s="669">
        <f>IFERROR(HLOOKUP($BR5,'Early Retirement'!$BH$4:$CH$5,2,FALSE),0)</f>
        <v>0</v>
      </c>
      <c r="CB5" s="608">
        <f t="shared" si="34"/>
        <v>0</v>
      </c>
      <c r="CC5" s="669" t="s">
        <v>567</v>
      </c>
      <c r="CD5" s="150" t="str">
        <f t="shared" si="8"/>
        <v>Yes</v>
      </c>
      <c r="CE5" s="159">
        <f t="shared" si="9"/>
        <v>0</v>
      </c>
      <c r="CF5" s="678">
        <f t="shared" si="10"/>
        <v>0</v>
      </c>
      <c r="CG5" s="669" t="s">
        <v>46</v>
      </c>
      <c r="CH5" s="608">
        <f t="shared" si="35"/>
        <v>0</v>
      </c>
      <c r="CI5" s="669" t="s">
        <v>567</v>
      </c>
      <c r="CJ5" s="162">
        <f t="shared" si="36"/>
        <v>0</v>
      </c>
      <c r="CK5" s="602">
        <f t="shared" si="37"/>
        <v>0</v>
      </c>
      <c r="CL5" s="610" t="s">
        <v>46</v>
      </c>
      <c r="CM5" s="592">
        <f t="shared" si="38"/>
        <v>0</v>
      </c>
      <c r="CN5" s="665" t="s">
        <v>567</v>
      </c>
      <c r="CP5" s="90" t="s">
        <v>99</v>
      </c>
      <c r="CQ5" s="121">
        <v>10.8</v>
      </c>
      <c r="CR5" s="307" t="s">
        <v>50</v>
      </c>
      <c r="CS5" s="641">
        <v>11</v>
      </c>
      <c r="CT5" s="633" t="s">
        <v>558</v>
      </c>
      <c r="CU5" s="645">
        <f t="shared" si="39"/>
        <v>1.1111111111111109</v>
      </c>
      <c r="CV5" s="645">
        <f t="shared" si="40"/>
        <v>1.0909090909090908</v>
      </c>
      <c r="CW5" s="633" t="s">
        <v>46</v>
      </c>
      <c r="CX5" s="641">
        <v>3.2</v>
      </c>
      <c r="CY5" s="633" t="s">
        <v>567</v>
      </c>
      <c r="CZ5" s="641">
        <f>CX5</f>
        <v>3.2</v>
      </c>
      <c r="DA5" s="638" t="s">
        <v>567</v>
      </c>
      <c r="DB5" s="562"/>
      <c r="DC5" s="562"/>
      <c r="DD5" s="562"/>
      <c r="DE5" s="562"/>
      <c r="DF5" s="562"/>
      <c r="DG5" s="562"/>
      <c r="DH5" s="562"/>
      <c r="DI5" s="562"/>
      <c r="DJ5" s="562"/>
      <c r="DK5" s="562"/>
      <c r="DL5" s="562"/>
      <c r="DM5" s="562"/>
      <c r="DN5" s="562"/>
      <c r="DO5" s="562"/>
      <c r="DP5" s="562"/>
      <c r="DQ5" s="562"/>
      <c r="DR5" s="562"/>
      <c r="DS5" s="562"/>
      <c r="DT5" s="562"/>
      <c r="DU5" s="562"/>
      <c r="DV5" s="562"/>
      <c r="DW5" s="562"/>
      <c r="DX5" s="562"/>
      <c r="DY5" s="562"/>
      <c r="DZ5" s="562"/>
      <c r="EA5" s="562"/>
      <c r="EB5" s="562"/>
      <c r="EC5" s="562"/>
      <c r="ED5" s="562"/>
      <c r="EE5" s="562"/>
      <c r="EF5" s="562"/>
      <c r="EG5" s="562"/>
      <c r="EH5" s="562"/>
      <c r="EI5" s="562"/>
      <c r="EJ5" s="562"/>
      <c r="EK5" s="562"/>
      <c r="EL5" s="562"/>
    </row>
    <row r="6" spans="1:142" s="78" customFormat="1" ht="15" customHeight="1" thickBot="1" x14ac:dyDescent="0.3">
      <c r="B6" s="97"/>
      <c r="C6" s="79"/>
      <c r="D6" s="79"/>
      <c r="E6" s="88" t="s">
        <v>48</v>
      </c>
      <c r="F6" s="89" t="s">
        <v>93</v>
      </c>
      <c r="G6" s="79"/>
      <c r="H6" s="94" t="s">
        <v>60</v>
      </c>
      <c r="I6" s="95" t="s">
        <v>93</v>
      </c>
      <c r="J6" s="79"/>
      <c r="K6" s="79"/>
      <c r="L6" s="79"/>
      <c r="M6" s="79"/>
      <c r="N6" s="79"/>
      <c r="O6" s="79"/>
      <c r="P6" s="79"/>
      <c r="Q6" s="1063"/>
      <c r="R6" s="91">
        <f>240000/12000</f>
        <v>20</v>
      </c>
      <c r="S6" s="91">
        <f>760000/12000</f>
        <v>63.333333333333336</v>
      </c>
      <c r="T6" s="109">
        <v>4</v>
      </c>
      <c r="U6" s="145"/>
      <c r="V6" s="145"/>
      <c r="W6" s="145"/>
      <c r="Y6" s="90">
        <v>4</v>
      </c>
      <c r="Z6" s="92" t="str">
        <f>IF(Inventory!$C13="","",VLOOKUP(Inventory!$C13,$B$3:$C$5,2,FALSE))</f>
        <v/>
      </c>
      <c r="AA6" s="92" t="str">
        <f>IF($Z6="","",IF(AND($Z6="b",Inventory!$G13=""),"",IF(AND($Z6="b",Inventory!$G13&lt;&gt;""),VLOOKUP(Inventory!$G13,$E$3:$F$10,2,FALSE),IF(AND($Z6="a",Inventory!$Z13=""),"",IF(AND($Z6="a",Inventory!$Z13&lt;&gt;""),VLOOKUP(Inventory!$Z13,$E$3:$F$10,2,FALSE),IF(AND($Z6="c",Inventory!$Z13=""),"",IF(AND($Z6="c",Inventory!$Z13&lt;&gt;""),VLOOKUP(Inventory!$Z13,$E$3:$F$10,2,FALSE),"")))))))</f>
        <v/>
      </c>
      <c r="AB6" s="92" t="str">
        <f>IF($Z6="","a",IF(AND($Z6="b",Inventory!$J13=""),"a",IF(AND($Z6="b",Inventory!$J13&lt;&gt;""),VLOOKUP(Inventory!$J13,$H$4:$I$6,2,FALSE),IF(AND($Z6="a",Inventory!$AA13=""),"a",IF(AND($Z6="a",Inventory!$AA13&lt;&gt;""),VLOOKUP(Inventory!$AA13,$H$4:$I$6,2,FALSE),IF(AND($Z6="c",Inventory!$AA13=""),"a",IF(AND($Z6="c",Inventory!$AA13&lt;&gt;""),VLOOKUP(Inventory!$AA13,$H$4:$I$6,2,FALSE),"a")))))))</f>
        <v>a</v>
      </c>
      <c r="AC6" s="307" t="str">
        <f t="shared" si="11"/>
        <v>a</v>
      </c>
      <c r="AD6" s="93" t="str">
        <f>IF($Z6="","a",IF(AND($Z6="b",Inventory!$L13=""),"a",IF(AND($Z6="b",Inventory!$L13&lt;&gt;""),VLOOKUP(Inventory!$L13,$N$4:$O$5,2,FALSE),IF(AND($Z6="a",Inventory!$AC13=""),"a",IF(AND($Z6="a",Inventory!$AC13&lt;&gt;""),VLOOKUP(Inventory!$AC13,$N$4:$O$5,2,FALSE),IF(AND($Z6="c",Inventory!$AC13=""),"a",IF(AND($Z6="c",Inventory!$AC13&lt;&gt;""),VLOOKUP(Inventory!$AC13,$N$4:$O$5,2,FALSE),"a")))))))</f>
        <v>a</v>
      </c>
      <c r="AE6" s="116">
        <f>IF(OR(Inventory!C13="New Construction",Inventory!C13="Replace-on-Burnout"),Inventory!AF13,IF(Inventory!C13="Early Retirement",MIN(Inventory!AE13,Inventory!AF13),0))</f>
        <v>0</v>
      </c>
      <c r="AF6" s="117" t="str">
        <f t="shared" si="12"/>
        <v/>
      </c>
      <c r="AG6" s="117" t="str">
        <f t="shared" si="0"/>
        <v/>
      </c>
      <c r="AH6" s="117" t="str">
        <f t="shared" si="1"/>
        <v/>
      </c>
      <c r="AI6" s="117" t="str">
        <f t="shared" si="2"/>
        <v/>
      </c>
      <c r="AJ6" s="117" t="str">
        <f t="shared" si="3"/>
        <v/>
      </c>
      <c r="AK6" s="117" t="str">
        <f t="shared" si="13"/>
        <v/>
      </c>
      <c r="AL6" s="117" t="str">
        <f t="shared" si="14"/>
        <v/>
      </c>
      <c r="AM6" s="117" t="str">
        <f t="shared" si="15"/>
        <v/>
      </c>
      <c r="AN6" s="117" t="str">
        <f t="shared" si="16"/>
        <v/>
      </c>
      <c r="AO6" s="117" t="str">
        <f t="shared" si="17"/>
        <v/>
      </c>
      <c r="AP6" s="117" t="str">
        <f t="shared" si="18"/>
        <v/>
      </c>
      <c r="AQ6" s="117" t="str">
        <f t="shared" si="19"/>
        <v/>
      </c>
      <c r="AR6" s="117" t="str">
        <f t="shared" si="20"/>
        <v/>
      </c>
      <c r="AS6" s="117" t="str">
        <f t="shared" si="21"/>
        <v/>
      </c>
      <c r="AT6" s="117" t="str">
        <f t="shared" si="22"/>
        <v/>
      </c>
      <c r="AU6" s="117" t="str">
        <f t="shared" si="23"/>
        <v/>
      </c>
      <c r="AV6" s="117" t="str">
        <f t="shared" si="4"/>
        <v/>
      </c>
      <c r="AW6" s="93">
        <f t="shared" si="5"/>
        <v>0</v>
      </c>
      <c r="AX6" s="93" t="str">
        <f>IF(AND($Z6="b",OR($AA6="a",$AA6="b"),Inventory!$I13="",$AE6&lt;(65000/12000)),"x",IF(AND($Z6="b",OR($AA6="a",$AA6="b"),Inventory!$I13&lt;&gt;"",$AE6&lt;(65000/12000)),VLOOKUP(Inventory!$I13,$V$4:$W$5,2,FALSE),"x"))</f>
        <v>x</v>
      </c>
      <c r="AY6" s="146" t="str">
        <f t="shared" si="24"/>
        <v>aaa0</v>
      </c>
      <c r="AZ6" s="150" t="str">
        <f t="shared" si="25"/>
        <v>No</v>
      </c>
      <c r="BA6" s="669" t="str">
        <f t="shared" si="26"/>
        <v>No</v>
      </c>
      <c r="BB6" s="150">
        <f>IF($Z6="c",Inventory!$AB13,Inventory!$K13)</f>
        <v>0</v>
      </c>
      <c r="BC6" s="153">
        <f>IF(AND($Z6="b",Inventory!$N13="Btu/hr"),Inventory!$M13,IF(AND($Z6="b",Inventory!$N13="Tons"),Inventory!$M13*12000,IF(AND($Z6&lt;&gt;"b",Inventory!$AK13="Btu/hr"),Inventory!$AD13,IF(AND($Z6&lt;&gt;"b",Inventory!$AK13="Tons"),Inventory!$AD13*12000,0))))</f>
        <v>0</v>
      </c>
      <c r="BD6" s="153">
        <f t="shared" si="27"/>
        <v>0</v>
      </c>
      <c r="BE6" s="159">
        <f t="shared" si="28"/>
        <v>0</v>
      </c>
      <c r="BF6" s="150" t="s">
        <v>50</v>
      </c>
      <c r="BG6" s="159">
        <f t="shared" si="6"/>
        <v>0</v>
      </c>
      <c r="BH6" s="150" t="s">
        <v>46</v>
      </c>
      <c r="BI6" s="672">
        <f>IF(AND($Z6="b",Inventory!$P13="Btu/hr"),Inventory!$O13,IF(AND($Z6="b",Inventory!$P13="Tons"),Inventory!$O13*12000,IF(AND($Z6&lt;&gt;"b",Inventory!$AM13="Btu/hr"),Inventory!$AL13,IF(AND($Z6&lt;&gt;"b",Inventory!$AM13="Tons"),Inventory!$AL13*12000,0))))</f>
        <v>0</v>
      </c>
      <c r="BJ6" s="672">
        <f t="shared" si="29"/>
        <v>0</v>
      </c>
      <c r="BK6" s="608">
        <f t="shared" si="30"/>
        <v>0</v>
      </c>
      <c r="BL6" s="669" t="s">
        <v>567</v>
      </c>
      <c r="BM6" s="150" t="str">
        <f t="shared" si="7"/>
        <v>No</v>
      </c>
      <c r="BN6" s="150" t="str">
        <f>IF(OR(Inventory!$H13="",$BM6="No"),"-",Inventory!$H13)</f>
        <v>-</v>
      </c>
      <c r="BO6" s="150" t="str">
        <f>IFERROR(VLOOKUP(BN6,'Early Retirement'!$B$6:$C$33,2,FALSE),"-")</f>
        <v>-</v>
      </c>
      <c r="BP6" s="150" t="str">
        <f>IF(Inventory!$J13="Centrifugal","Yes","No")</f>
        <v>No</v>
      </c>
      <c r="BQ6" s="150">
        <f t="shared" si="31"/>
        <v>0</v>
      </c>
      <c r="BR6" s="150" t="str">
        <f t="shared" si="32"/>
        <v>-</v>
      </c>
      <c r="BS6" s="159">
        <f>IFERROR(INDEX('Early Retirement'!$C$4:$AC$33,$BO6,$BR6),0)</f>
        <v>0</v>
      </c>
      <c r="BT6" s="150">
        <f>IFERROR(HLOOKUP($BR6,'Early Retirement'!$D$4:$AC$5,2,FALSE),0)</f>
        <v>0</v>
      </c>
      <c r="BU6" s="678">
        <f>IFERROR(INDEX('Early Retirement'!$AE$4:$BE$33,$BO6,$BR6),0)</f>
        <v>0</v>
      </c>
      <c r="BV6" s="669">
        <f>IFERROR(HLOOKUP($BR6,'Early Retirement'!$AF$4:$BE$5,2,FALSE),0)</f>
        <v>0</v>
      </c>
      <c r="BW6" s="159">
        <f t="shared" si="41"/>
        <v>0</v>
      </c>
      <c r="BX6" s="678">
        <f t="shared" si="33"/>
        <v>0</v>
      </c>
      <c r="BY6" s="150" t="s">
        <v>46</v>
      </c>
      <c r="BZ6" s="608">
        <f>IFERROR(INDEX('Early Retirement'!$BG$4:$CG$33,$BO6,$BR6),0)</f>
        <v>0</v>
      </c>
      <c r="CA6" s="669">
        <f>IFERROR(HLOOKUP($BR6,'Early Retirement'!$BH$4:$CH$5,2,FALSE),0)</f>
        <v>0</v>
      </c>
      <c r="CB6" s="608">
        <f t="shared" si="34"/>
        <v>0</v>
      </c>
      <c r="CC6" s="669" t="s">
        <v>567</v>
      </c>
      <c r="CD6" s="150" t="str">
        <f t="shared" si="8"/>
        <v>Yes</v>
      </c>
      <c r="CE6" s="159">
        <f t="shared" si="9"/>
        <v>0</v>
      </c>
      <c r="CF6" s="678">
        <f t="shared" si="10"/>
        <v>0</v>
      </c>
      <c r="CG6" s="669" t="s">
        <v>46</v>
      </c>
      <c r="CH6" s="608">
        <f t="shared" si="35"/>
        <v>0</v>
      </c>
      <c r="CI6" s="669" t="s">
        <v>567</v>
      </c>
      <c r="CJ6" s="162">
        <f t="shared" si="36"/>
        <v>0</v>
      </c>
      <c r="CK6" s="602">
        <f t="shared" si="37"/>
        <v>0</v>
      </c>
      <c r="CL6" s="610" t="s">
        <v>46</v>
      </c>
      <c r="CM6" s="592">
        <f t="shared" si="38"/>
        <v>0</v>
      </c>
      <c r="CN6" s="665" t="s">
        <v>567</v>
      </c>
      <c r="CP6" s="90" t="s">
        <v>100</v>
      </c>
      <c r="CQ6" s="121">
        <v>9.8000000000000007</v>
      </c>
      <c r="CR6" s="307" t="s">
        <v>50</v>
      </c>
      <c r="CS6" s="641">
        <v>9.9</v>
      </c>
      <c r="CT6" s="633" t="s">
        <v>558</v>
      </c>
      <c r="CU6" s="645">
        <f t="shared" si="39"/>
        <v>1.2244897959183672</v>
      </c>
      <c r="CV6" s="645">
        <f t="shared" si="40"/>
        <v>1.2121212121212122</v>
      </c>
      <c r="CW6" s="633" t="s">
        <v>46</v>
      </c>
      <c r="CX6" s="641">
        <v>3.2</v>
      </c>
      <c r="CY6" s="633" t="s">
        <v>567</v>
      </c>
      <c r="CZ6" s="641">
        <f>CX6</f>
        <v>3.2</v>
      </c>
      <c r="DA6" s="638" t="s">
        <v>567</v>
      </c>
      <c r="DB6" s="562"/>
      <c r="DC6" s="562"/>
      <c r="DD6" s="562"/>
      <c r="DE6" s="562"/>
      <c r="DF6" s="562"/>
      <c r="DG6" s="562"/>
      <c r="DH6" s="562"/>
      <c r="DI6" s="562"/>
      <c r="DJ6" s="562"/>
      <c r="DK6" s="562"/>
      <c r="DL6" s="562"/>
      <c r="DM6" s="562"/>
      <c r="DN6" s="562"/>
      <c r="DO6" s="562"/>
      <c r="DP6" s="562"/>
      <c r="DQ6" s="562"/>
      <c r="DR6" s="562"/>
      <c r="DS6" s="562"/>
      <c r="DT6" s="562"/>
      <c r="DU6" s="562"/>
      <c r="DV6" s="562"/>
      <c r="DW6" s="562"/>
      <c r="DX6" s="562"/>
      <c r="DY6" s="562"/>
      <c r="DZ6" s="562"/>
      <c r="EA6" s="562"/>
      <c r="EB6" s="562"/>
      <c r="EC6" s="562"/>
      <c r="ED6" s="562"/>
      <c r="EE6" s="562"/>
      <c r="EF6" s="562"/>
      <c r="EG6" s="562"/>
      <c r="EH6" s="562"/>
      <c r="EI6" s="562"/>
      <c r="EJ6" s="562"/>
      <c r="EK6" s="562"/>
      <c r="EL6" s="562"/>
    </row>
    <row r="7" spans="1:142" s="78" customFormat="1" ht="15" customHeight="1" x14ac:dyDescent="0.25">
      <c r="B7" s="318" t="s">
        <v>34</v>
      </c>
      <c r="C7" s="84" t="s">
        <v>90</v>
      </c>
      <c r="D7" s="79"/>
      <c r="E7" s="88" t="s">
        <v>191</v>
      </c>
      <c r="F7" s="89" t="s">
        <v>94</v>
      </c>
      <c r="G7" s="79"/>
      <c r="H7" s="97"/>
      <c r="I7" s="79"/>
      <c r="J7" s="79"/>
      <c r="K7" s="79"/>
      <c r="L7" s="79"/>
      <c r="M7" s="79"/>
      <c r="N7" s="79"/>
      <c r="O7" s="79"/>
      <c r="P7" s="79"/>
      <c r="Q7" s="1064"/>
      <c r="R7" s="91">
        <f>760000/12000</f>
        <v>63.333333333333336</v>
      </c>
      <c r="S7" s="98"/>
      <c r="T7" s="109">
        <v>5</v>
      </c>
      <c r="U7" s="145"/>
      <c r="V7" s="145"/>
      <c r="W7" s="145"/>
      <c r="Y7" s="90">
        <v>5</v>
      </c>
      <c r="Z7" s="92" t="str">
        <f>IF(Inventory!$C14="","",VLOOKUP(Inventory!$C14,$B$3:$C$5,2,FALSE))</f>
        <v/>
      </c>
      <c r="AA7" s="92" t="str">
        <f>IF($Z7="","",IF(AND($Z7="b",Inventory!$G14=""),"",IF(AND($Z7="b",Inventory!$G14&lt;&gt;""),VLOOKUP(Inventory!$G14,$E$3:$F$10,2,FALSE),IF(AND($Z7="a",Inventory!$Z14=""),"",IF(AND($Z7="a",Inventory!$Z14&lt;&gt;""),VLOOKUP(Inventory!$Z14,$E$3:$F$10,2,FALSE),IF(AND($Z7="c",Inventory!$Z14=""),"",IF(AND($Z7="c",Inventory!$Z14&lt;&gt;""),VLOOKUP(Inventory!$Z14,$E$3:$F$10,2,FALSE),"")))))))</f>
        <v/>
      </c>
      <c r="AB7" s="92" t="str">
        <f>IF($Z7="","a",IF(AND($Z7="b",Inventory!$J14=""),"a",IF(AND($Z7="b",Inventory!$J14&lt;&gt;""),VLOOKUP(Inventory!$J14,$H$4:$I$6,2,FALSE),IF(AND($Z7="a",Inventory!$AA14=""),"a",IF(AND($Z7="a",Inventory!$AA14&lt;&gt;""),VLOOKUP(Inventory!$AA14,$H$4:$I$6,2,FALSE),IF(AND($Z7="c",Inventory!$AA14=""),"a",IF(AND($Z7="c",Inventory!$AA14&lt;&gt;""),VLOOKUP(Inventory!$AA14,$H$4:$I$6,2,FALSE),"a")))))))</f>
        <v>a</v>
      </c>
      <c r="AC7" s="307" t="str">
        <f t="shared" si="11"/>
        <v>a</v>
      </c>
      <c r="AD7" s="93" t="str">
        <f>IF($Z7="","a",IF(AND($Z7="b",Inventory!$L14=""),"a",IF(AND($Z7="b",Inventory!$L14&lt;&gt;""),VLOOKUP(Inventory!$L14,$N$4:$O$5,2,FALSE),IF(AND($Z7="a",Inventory!$AC14=""),"a",IF(AND($Z7="a",Inventory!$AC14&lt;&gt;""),VLOOKUP(Inventory!$AC14,$N$4:$O$5,2,FALSE),IF(AND($Z7="c",Inventory!$AC14=""),"a",IF(AND($Z7="c",Inventory!$AC14&lt;&gt;""),VLOOKUP(Inventory!$AC14,$N$4:$O$5,2,FALSE),"a")))))))</f>
        <v>a</v>
      </c>
      <c r="AE7" s="116">
        <f>IF(OR(Inventory!C14="New Construction",Inventory!C14="Replace-on-Burnout"),Inventory!AF14,IF(Inventory!C14="Early Retirement",MIN(Inventory!AE14,Inventory!AF14),0))</f>
        <v>0</v>
      </c>
      <c r="AF7" s="117" t="str">
        <f t="shared" si="12"/>
        <v/>
      </c>
      <c r="AG7" s="117" t="str">
        <f t="shared" si="0"/>
        <v/>
      </c>
      <c r="AH7" s="117" t="str">
        <f t="shared" si="1"/>
        <v/>
      </c>
      <c r="AI7" s="117" t="str">
        <f t="shared" si="2"/>
        <v/>
      </c>
      <c r="AJ7" s="117" t="str">
        <f t="shared" si="3"/>
        <v/>
      </c>
      <c r="AK7" s="117" t="str">
        <f t="shared" si="13"/>
        <v/>
      </c>
      <c r="AL7" s="117" t="str">
        <f t="shared" si="14"/>
        <v/>
      </c>
      <c r="AM7" s="117" t="str">
        <f t="shared" si="15"/>
        <v/>
      </c>
      <c r="AN7" s="117" t="str">
        <f t="shared" si="16"/>
        <v/>
      </c>
      <c r="AO7" s="117" t="str">
        <f t="shared" si="17"/>
        <v/>
      </c>
      <c r="AP7" s="117" t="str">
        <f t="shared" si="18"/>
        <v/>
      </c>
      <c r="AQ7" s="117" t="str">
        <f t="shared" si="19"/>
        <v/>
      </c>
      <c r="AR7" s="117" t="str">
        <f t="shared" si="20"/>
        <v/>
      </c>
      <c r="AS7" s="117" t="str">
        <f t="shared" si="21"/>
        <v/>
      </c>
      <c r="AT7" s="117" t="str">
        <f t="shared" si="22"/>
        <v/>
      </c>
      <c r="AU7" s="117" t="str">
        <f t="shared" si="23"/>
        <v/>
      </c>
      <c r="AV7" s="117" t="str">
        <f t="shared" si="4"/>
        <v/>
      </c>
      <c r="AW7" s="93">
        <f t="shared" si="5"/>
        <v>0</v>
      </c>
      <c r="AX7" s="93" t="str">
        <f>IF(AND($Z7="b",OR($AA7="a",$AA7="b"),Inventory!$I14="",$AE7&lt;(65000/12000)),"x",IF(AND($Z7="b",OR($AA7="a",$AA7="b"),Inventory!$I14&lt;&gt;"",$AE7&lt;(65000/12000)),VLOOKUP(Inventory!$I14,$V$4:$W$5,2,FALSE),"x"))</f>
        <v>x</v>
      </c>
      <c r="AY7" s="146" t="str">
        <f t="shared" si="24"/>
        <v>aaa0</v>
      </c>
      <c r="AZ7" s="150" t="str">
        <f t="shared" si="25"/>
        <v>No</v>
      </c>
      <c r="BA7" s="669" t="str">
        <f t="shared" si="26"/>
        <v>No</v>
      </c>
      <c r="BB7" s="150">
        <f>IF($Z7="c",Inventory!$AB14,Inventory!$K14)</f>
        <v>0</v>
      </c>
      <c r="BC7" s="153">
        <f>IF(AND($Z7="b",Inventory!$N14="Btu/hr"),Inventory!$M14,IF(AND($Z7="b",Inventory!$N14="Tons"),Inventory!$M14*12000,IF(AND($Z7&lt;&gt;"b",Inventory!$AK14="Btu/hr"),Inventory!$AD14,IF(AND($Z7&lt;&gt;"b",Inventory!$AK14="Tons"),Inventory!$AD14*12000,0))))</f>
        <v>0</v>
      </c>
      <c r="BD7" s="153">
        <f t="shared" si="27"/>
        <v>0</v>
      </c>
      <c r="BE7" s="159">
        <f t="shared" si="28"/>
        <v>0</v>
      </c>
      <c r="BF7" s="150" t="s">
        <v>50</v>
      </c>
      <c r="BG7" s="159">
        <f t="shared" si="6"/>
        <v>0</v>
      </c>
      <c r="BH7" s="150" t="s">
        <v>46</v>
      </c>
      <c r="BI7" s="672">
        <f>IF(AND($Z7="b",Inventory!$P14="Btu/hr"),Inventory!$O14,IF(AND($Z7="b",Inventory!$P14="Tons"),Inventory!$O14*12000,IF(AND($Z7&lt;&gt;"b",Inventory!$AM14="Btu/hr"),Inventory!$AL14,IF(AND($Z7&lt;&gt;"b",Inventory!$AM14="Tons"),Inventory!$AL14*12000,0))))</f>
        <v>0</v>
      </c>
      <c r="BJ7" s="672">
        <f t="shared" si="29"/>
        <v>0</v>
      </c>
      <c r="BK7" s="608">
        <f t="shared" si="30"/>
        <v>0</v>
      </c>
      <c r="BL7" s="669" t="s">
        <v>567</v>
      </c>
      <c r="BM7" s="150" t="str">
        <f t="shared" si="7"/>
        <v>No</v>
      </c>
      <c r="BN7" s="150" t="str">
        <f>IF(OR(Inventory!$H14="",$BM7="No"),"-",Inventory!$H14)</f>
        <v>-</v>
      </c>
      <c r="BO7" s="150" t="str">
        <f>IFERROR(VLOOKUP(BN7,'Early Retirement'!$B$6:$C$33,2,FALSE),"-")</f>
        <v>-</v>
      </c>
      <c r="BP7" s="150" t="str">
        <f>IF(Inventory!$J14="Centrifugal","Yes","No")</f>
        <v>No</v>
      </c>
      <c r="BQ7" s="150">
        <f t="shared" si="31"/>
        <v>0</v>
      </c>
      <c r="BR7" s="150" t="str">
        <f t="shared" si="32"/>
        <v>-</v>
      </c>
      <c r="BS7" s="159">
        <f>IFERROR(INDEX('Early Retirement'!$C$4:$AC$33,$BO7,$BR7),0)</f>
        <v>0</v>
      </c>
      <c r="BT7" s="150">
        <f>IFERROR(HLOOKUP($BR7,'Early Retirement'!$D$4:$AC$5,2,FALSE),0)</f>
        <v>0</v>
      </c>
      <c r="BU7" s="678">
        <f>IFERROR(INDEX('Early Retirement'!$AE$4:$BE$33,$BO7,$BR7),0)</f>
        <v>0</v>
      </c>
      <c r="BV7" s="669">
        <f>IFERROR(HLOOKUP($BR7,'Early Retirement'!$AF$4:$BE$5,2,FALSE),0)</f>
        <v>0</v>
      </c>
      <c r="BW7" s="159">
        <f t="shared" si="41"/>
        <v>0</v>
      </c>
      <c r="BX7" s="678">
        <f t="shared" si="33"/>
        <v>0</v>
      </c>
      <c r="BY7" s="150" t="s">
        <v>46</v>
      </c>
      <c r="BZ7" s="608">
        <f>IFERROR(INDEX('Early Retirement'!$BG$4:$CG$33,$BO7,$BR7),0)</f>
        <v>0</v>
      </c>
      <c r="CA7" s="669">
        <f>IFERROR(HLOOKUP($BR7,'Early Retirement'!$BH$4:$CH$5,2,FALSE),0)</f>
        <v>0</v>
      </c>
      <c r="CB7" s="608">
        <f t="shared" si="34"/>
        <v>0</v>
      </c>
      <c r="CC7" s="669" t="s">
        <v>567</v>
      </c>
      <c r="CD7" s="150" t="str">
        <f t="shared" si="8"/>
        <v>Yes</v>
      </c>
      <c r="CE7" s="159">
        <f t="shared" si="9"/>
        <v>0</v>
      </c>
      <c r="CF7" s="678">
        <f t="shared" si="10"/>
        <v>0</v>
      </c>
      <c r="CG7" s="669" t="s">
        <v>46</v>
      </c>
      <c r="CH7" s="608">
        <f t="shared" si="35"/>
        <v>0</v>
      </c>
      <c r="CI7" s="669" t="s">
        <v>567</v>
      </c>
      <c r="CJ7" s="162">
        <f t="shared" si="36"/>
        <v>0</v>
      </c>
      <c r="CK7" s="602">
        <f t="shared" si="37"/>
        <v>0</v>
      </c>
      <c r="CL7" s="610" t="s">
        <v>46</v>
      </c>
      <c r="CM7" s="592">
        <f t="shared" si="38"/>
        <v>0</v>
      </c>
      <c r="CN7" s="665" t="s">
        <v>567</v>
      </c>
      <c r="CP7" s="90" t="s">
        <v>101</v>
      </c>
      <c r="CQ7" s="121">
        <v>9.5</v>
      </c>
      <c r="CR7" s="307" t="s">
        <v>50</v>
      </c>
      <c r="CS7" s="641">
        <v>9.6</v>
      </c>
      <c r="CT7" s="633" t="s">
        <v>558</v>
      </c>
      <c r="CU7" s="645">
        <f t="shared" si="39"/>
        <v>1.263157894736842</v>
      </c>
      <c r="CV7" s="645">
        <f t="shared" si="40"/>
        <v>1.25</v>
      </c>
      <c r="CW7" s="633" t="s">
        <v>46</v>
      </c>
      <c r="CX7" s="641">
        <v>3.2</v>
      </c>
      <c r="CY7" s="633" t="s">
        <v>567</v>
      </c>
      <c r="CZ7" s="641">
        <f>CX7</f>
        <v>3.2</v>
      </c>
      <c r="DA7" s="638" t="s">
        <v>567</v>
      </c>
      <c r="DB7" s="562"/>
      <c r="DC7" s="562"/>
      <c r="DD7" s="562"/>
      <c r="DE7" s="562"/>
      <c r="DF7" s="562"/>
      <c r="DG7" s="562"/>
      <c r="DH7" s="562"/>
      <c r="DI7" s="562"/>
      <c r="DJ7" s="562"/>
      <c r="DK7" s="562"/>
      <c r="DL7" s="562"/>
      <c r="DM7" s="562"/>
      <c r="DN7" s="562"/>
      <c r="DO7" s="562"/>
      <c r="DP7" s="562"/>
      <c r="DQ7" s="562"/>
      <c r="DR7" s="562"/>
      <c r="DS7" s="562"/>
      <c r="DT7" s="562"/>
      <c r="DU7" s="562"/>
      <c r="DV7" s="562"/>
      <c r="DW7" s="562"/>
      <c r="DX7" s="562"/>
      <c r="DY7" s="562"/>
      <c r="DZ7" s="562"/>
      <c r="EA7" s="562"/>
      <c r="EB7" s="562"/>
      <c r="EC7" s="562"/>
      <c r="ED7" s="562"/>
      <c r="EE7" s="562"/>
      <c r="EF7" s="562"/>
      <c r="EG7" s="562"/>
      <c r="EH7" s="562"/>
      <c r="EI7" s="562"/>
      <c r="EJ7" s="562"/>
      <c r="EK7" s="562"/>
      <c r="EL7" s="562"/>
    </row>
    <row r="8" spans="1:142" s="78" customFormat="1" ht="15" customHeight="1" x14ac:dyDescent="0.25">
      <c r="B8" s="88" t="s">
        <v>58</v>
      </c>
      <c r="C8" s="89" t="s">
        <v>90</v>
      </c>
      <c r="D8" s="79"/>
      <c r="E8" s="88" t="s">
        <v>190</v>
      </c>
      <c r="F8" s="89" t="s">
        <v>95</v>
      </c>
      <c r="G8" s="79"/>
      <c r="H8" s="97"/>
      <c r="I8" s="79"/>
      <c r="J8" s="79"/>
      <c r="K8" s="79"/>
      <c r="L8" s="79"/>
      <c r="M8" s="79"/>
      <c r="N8" s="79"/>
      <c r="O8" s="79"/>
      <c r="P8" s="79"/>
      <c r="Q8" s="1055" t="s">
        <v>33</v>
      </c>
      <c r="R8" s="91">
        <v>0</v>
      </c>
      <c r="S8" s="91">
        <f>65000/12000</f>
        <v>5.416666666666667</v>
      </c>
      <c r="T8" s="109">
        <v>6</v>
      </c>
      <c r="U8" s="145"/>
      <c r="V8" s="145"/>
      <c r="W8" s="145"/>
      <c r="Y8" s="90">
        <v>6</v>
      </c>
      <c r="Z8" s="92" t="str">
        <f>IF(Inventory!$C15="","",VLOOKUP(Inventory!$C15,$B$3:$C$5,2,FALSE))</f>
        <v/>
      </c>
      <c r="AA8" s="92" t="str">
        <f>IF($Z8="","",IF(AND($Z8="b",Inventory!$G15=""),"",IF(AND($Z8="b",Inventory!$G15&lt;&gt;""),VLOOKUP(Inventory!$G15,$E$3:$F$10,2,FALSE),IF(AND($Z8="a",Inventory!$Z15=""),"",IF(AND($Z8="a",Inventory!$Z15&lt;&gt;""),VLOOKUP(Inventory!$Z15,$E$3:$F$10,2,FALSE),IF(AND($Z8="c",Inventory!$Z15=""),"",IF(AND($Z8="c",Inventory!$Z15&lt;&gt;""),VLOOKUP(Inventory!$Z15,$E$3:$F$10,2,FALSE),"")))))))</f>
        <v/>
      </c>
      <c r="AB8" s="92" t="str">
        <f>IF($Z8="","a",IF(AND($Z8="b",Inventory!$J15=""),"a",IF(AND($Z8="b",Inventory!$J15&lt;&gt;""),VLOOKUP(Inventory!$J15,$H$4:$I$6,2,FALSE),IF(AND($Z8="a",Inventory!$AA15=""),"a",IF(AND($Z8="a",Inventory!$AA15&lt;&gt;""),VLOOKUP(Inventory!$AA15,$H$4:$I$6,2,FALSE),IF(AND($Z8="c",Inventory!$AA15=""),"a",IF(AND($Z8="c",Inventory!$AA15&lt;&gt;""),VLOOKUP(Inventory!$AA15,$H$4:$I$6,2,FALSE),"a")))))))</f>
        <v>a</v>
      </c>
      <c r="AC8" s="307" t="str">
        <f t="shared" si="11"/>
        <v>a</v>
      </c>
      <c r="AD8" s="93" t="str">
        <f>IF($Z8="","a",IF(AND($Z8="b",Inventory!$L15=""),"a",IF(AND($Z8="b",Inventory!$L15&lt;&gt;""),VLOOKUP(Inventory!$L15,$N$4:$O$5,2,FALSE),IF(AND($Z8="a",Inventory!$AC15=""),"a",IF(AND($Z8="a",Inventory!$AC15&lt;&gt;""),VLOOKUP(Inventory!$AC15,$N$4:$O$5,2,FALSE),IF(AND($Z8="c",Inventory!$AC15=""),"a",IF(AND($Z8="c",Inventory!$AC15&lt;&gt;""),VLOOKUP(Inventory!$AC15,$N$4:$O$5,2,FALSE),"a")))))))</f>
        <v>a</v>
      </c>
      <c r="AE8" s="116">
        <f>IF(OR(Inventory!C15="New Construction",Inventory!C15="Replace-on-Burnout"),Inventory!AF15,IF(Inventory!C15="Early Retirement",MIN(Inventory!AE15,Inventory!AF15),0))</f>
        <v>0</v>
      </c>
      <c r="AF8" s="117" t="str">
        <f t="shared" si="12"/>
        <v/>
      </c>
      <c r="AG8" s="117" t="str">
        <f t="shared" si="0"/>
        <v/>
      </c>
      <c r="AH8" s="117" t="str">
        <f t="shared" si="1"/>
        <v/>
      </c>
      <c r="AI8" s="117" t="str">
        <f t="shared" si="2"/>
        <v/>
      </c>
      <c r="AJ8" s="117" t="str">
        <f t="shared" si="3"/>
        <v/>
      </c>
      <c r="AK8" s="117" t="str">
        <f t="shared" si="13"/>
        <v/>
      </c>
      <c r="AL8" s="117" t="str">
        <f t="shared" si="14"/>
        <v/>
      </c>
      <c r="AM8" s="117" t="str">
        <f t="shared" si="15"/>
        <v/>
      </c>
      <c r="AN8" s="117" t="str">
        <f t="shared" si="16"/>
        <v/>
      </c>
      <c r="AO8" s="117" t="str">
        <f t="shared" si="17"/>
        <v/>
      </c>
      <c r="AP8" s="117" t="str">
        <f t="shared" si="18"/>
        <v/>
      </c>
      <c r="AQ8" s="117" t="str">
        <f t="shared" si="19"/>
        <v/>
      </c>
      <c r="AR8" s="117" t="str">
        <f t="shared" si="20"/>
        <v/>
      </c>
      <c r="AS8" s="117" t="str">
        <f t="shared" si="21"/>
        <v/>
      </c>
      <c r="AT8" s="117" t="str">
        <f t="shared" si="22"/>
        <v/>
      </c>
      <c r="AU8" s="117" t="str">
        <f t="shared" si="23"/>
        <v/>
      </c>
      <c r="AV8" s="117" t="str">
        <f t="shared" si="4"/>
        <v/>
      </c>
      <c r="AW8" s="93">
        <f t="shared" si="5"/>
        <v>0</v>
      </c>
      <c r="AX8" s="93" t="str">
        <f>IF(AND($Z8="b",OR($AA8="a",$AA8="b"),Inventory!$I15="",$AE8&lt;(65000/12000)),"x",IF(AND($Z8="b",OR($AA8="a",$AA8="b"),Inventory!$I15&lt;&gt;"",$AE8&lt;(65000/12000)),VLOOKUP(Inventory!$I15,$V$4:$W$5,2,FALSE),"x"))</f>
        <v>x</v>
      </c>
      <c r="AY8" s="146" t="str">
        <f t="shared" si="24"/>
        <v>aaa0</v>
      </c>
      <c r="AZ8" s="150" t="str">
        <f t="shared" si="25"/>
        <v>No</v>
      </c>
      <c r="BA8" s="669" t="str">
        <f t="shared" si="26"/>
        <v>No</v>
      </c>
      <c r="BB8" s="150">
        <f>IF($Z8="c",Inventory!$AB15,Inventory!$K15)</f>
        <v>0</v>
      </c>
      <c r="BC8" s="153">
        <f>IF(AND($Z8="b",Inventory!$N15="Btu/hr"),Inventory!$M15,IF(AND($Z8="b",Inventory!$N15="Tons"),Inventory!$M15*12000,IF(AND($Z8&lt;&gt;"b",Inventory!$AK15="Btu/hr"),Inventory!$AD15,IF(AND($Z8&lt;&gt;"b",Inventory!$AK15="Tons"),Inventory!$AD15*12000,0))))</f>
        <v>0</v>
      </c>
      <c r="BD8" s="153">
        <f t="shared" si="27"/>
        <v>0</v>
      </c>
      <c r="BE8" s="159">
        <f t="shared" si="28"/>
        <v>0</v>
      </c>
      <c r="BF8" s="150" t="s">
        <v>50</v>
      </c>
      <c r="BG8" s="159">
        <f t="shared" si="6"/>
        <v>0</v>
      </c>
      <c r="BH8" s="150" t="s">
        <v>46</v>
      </c>
      <c r="BI8" s="672">
        <f>IF(AND($Z8="b",Inventory!$P15="Btu/hr"),Inventory!$O15,IF(AND($Z8="b",Inventory!$P15="Tons"),Inventory!$O15*12000,IF(AND($Z8&lt;&gt;"b",Inventory!$AM15="Btu/hr"),Inventory!$AL15,IF(AND($Z8&lt;&gt;"b",Inventory!$AM15="Tons"),Inventory!$AL15*12000,0))))</f>
        <v>0</v>
      </c>
      <c r="BJ8" s="672">
        <f t="shared" si="29"/>
        <v>0</v>
      </c>
      <c r="BK8" s="608">
        <f t="shared" si="30"/>
        <v>0</v>
      </c>
      <c r="BL8" s="669" t="s">
        <v>567</v>
      </c>
      <c r="BM8" s="150" t="str">
        <f t="shared" si="7"/>
        <v>No</v>
      </c>
      <c r="BN8" s="150" t="str">
        <f>IF(OR(Inventory!$H15="",$BM8="No"),"-",Inventory!$H15)</f>
        <v>-</v>
      </c>
      <c r="BO8" s="150" t="str">
        <f>IFERROR(VLOOKUP(BN8,'Early Retirement'!$B$6:$C$33,2,FALSE),"-")</f>
        <v>-</v>
      </c>
      <c r="BP8" s="150" t="str">
        <f>IF(Inventory!$J15="Centrifugal","Yes","No")</f>
        <v>No</v>
      </c>
      <c r="BQ8" s="150">
        <f t="shared" si="31"/>
        <v>0</v>
      </c>
      <c r="BR8" s="150" t="str">
        <f t="shared" si="32"/>
        <v>-</v>
      </c>
      <c r="BS8" s="159">
        <f>IFERROR(INDEX('Early Retirement'!$C$4:$AC$33,$BO8,$BR8),0)</f>
        <v>0</v>
      </c>
      <c r="BT8" s="150">
        <f>IFERROR(HLOOKUP($BR8,'Early Retirement'!$D$4:$AC$5,2,FALSE),0)</f>
        <v>0</v>
      </c>
      <c r="BU8" s="678">
        <f>IFERROR(INDEX('Early Retirement'!$AE$4:$BE$33,$BO8,$BR8),0)</f>
        <v>0</v>
      </c>
      <c r="BV8" s="669">
        <f>IFERROR(HLOOKUP($BR8,'Early Retirement'!$AF$4:$BE$5,2,FALSE),0)</f>
        <v>0</v>
      </c>
      <c r="BW8" s="159">
        <f t="shared" si="41"/>
        <v>0</v>
      </c>
      <c r="BX8" s="678">
        <f t="shared" si="33"/>
        <v>0</v>
      </c>
      <c r="BY8" s="150" t="s">
        <v>46</v>
      </c>
      <c r="BZ8" s="608">
        <f>IFERROR(INDEX('Early Retirement'!$BG$4:$CG$33,$BO8,$BR8),0)</f>
        <v>0</v>
      </c>
      <c r="CA8" s="669">
        <f>IFERROR(HLOOKUP($BR8,'Early Retirement'!$BH$4:$CH$5,2,FALSE),0)</f>
        <v>0</v>
      </c>
      <c r="CB8" s="608">
        <f t="shared" si="34"/>
        <v>0</v>
      </c>
      <c r="CC8" s="669" t="s">
        <v>567</v>
      </c>
      <c r="CD8" s="150" t="str">
        <f t="shared" si="8"/>
        <v>Yes</v>
      </c>
      <c r="CE8" s="159">
        <f t="shared" si="9"/>
        <v>0</v>
      </c>
      <c r="CF8" s="678">
        <f t="shared" si="10"/>
        <v>0</v>
      </c>
      <c r="CG8" s="669" t="s">
        <v>46</v>
      </c>
      <c r="CH8" s="608">
        <f t="shared" si="35"/>
        <v>0</v>
      </c>
      <c r="CI8" s="669" t="s">
        <v>567</v>
      </c>
      <c r="CJ8" s="162">
        <f t="shared" si="36"/>
        <v>0</v>
      </c>
      <c r="CK8" s="602">
        <f t="shared" si="37"/>
        <v>0</v>
      </c>
      <c r="CL8" s="610" t="s">
        <v>46</v>
      </c>
      <c r="CM8" s="592">
        <f t="shared" si="38"/>
        <v>0</v>
      </c>
      <c r="CN8" s="665" t="s">
        <v>567</v>
      </c>
      <c r="CP8" s="90" t="s">
        <v>102</v>
      </c>
      <c r="CQ8" s="121">
        <v>11.2</v>
      </c>
      <c r="CR8" s="307" t="s">
        <v>45</v>
      </c>
      <c r="CS8" s="641">
        <v>13</v>
      </c>
      <c r="CT8" s="633" t="s">
        <v>45</v>
      </c>
      <c r="CU8" s="645">
        <f t="shared" si="39"/>
        <v>1.0714285714285714</v>
      </c>
      <c r="CV8" s="645">
        <f t="shared" si="40"/>
        <v>0.92307692307692313</v>
      </c>
      <c r="CW8" s="633" t="s">
        <v>46</v>
      </c>
      <c r="CX8" s="641">
        <v>7.7</v>
      </c>
      <c r="CY8" s="633" t="s">
        <v>566</v>
      </c>
      <c r="CZ8" s="641">
        <f>CX8/3.412</f>
        <v>2.2567409144196953</v>
      </c>
      <c r="DA8" s="638" t="s">
        <v>567</v>
      </c>
      <c r="DB8" s="562"/>
      <c r="DC8" s="562"/>
      <c r="DD8" s="562"/>
      <c r="DE8" s="562"/>
      <c r="DF8" s="562"/>
      <c r="DG8" s="562"/>
      <c r="DH8" s="562"/>
      <c r="DI8" s="562"/>
      <c r="DJ8" s="562"/>
      <c r="DK8" s="562"/>
      <c r="DL8" s="562"/>
      <c r="DM8" s="562"/>
      <c r="DN8" s="562"/>
      <c r="DO8" s="562"/>
      <c r="DP8" s="562"/>
      <c r="DQ8" s="562"/>
      <c r="DR8" s="562"/>
      <c r="DS8" s="562"/>
      <c r="DT8" s="562"/>
      <c r="DU8" s="562"/>
      <c r="DV8" s="562"/>
      <c r="DW8" s="562"/>
      <c r="DX8" s="562"/>
      <c r="DY8" s="562"/>
      <c r="DZ8" s="562"/>
      <c r="EA8" s="562"/>
      <c r="EB8" s="562"/>
      <c r="EC8" s="562"/>
      <c r="ED8" s="562"/>
      <c r="EE8" s="562"/>
      <c r="EF8" s="562"/>
      <c r="EG8" s="562"/>
      <c r="EH8" s="562"/>
      <c r="EI8" s="562"/>
      <c r="EJ8" s="562"/>
      <c r="EK8" s="562"/>
      <c r="EL8" s="562"/>
    </row>
    <row r="9" spans="1:142" s="78" customFormat="1" ht="15" customHeight="1" thickBot="1" x14ac:dyDescent="0.3">
      <c r="B9" s="94" t="s">
        <v>59</v>
      </c>
      <c r="C9" s="95" t="s">
        <v>92</v>
      </c>
      <c r="D9" s="79"/>
      <c r="E9" s="88" t="s">
        <v>44</v>
      </c>
      <c r="F9" s="89" t="s">
        <v>96</v>
      </c>
      <c r="G9" s="79"/>
      <c r="H9" s="97"/>
      <c r="I9" s="79"/>
      <c r="J9" s="79"/>
      <c r="K9" s="79"/>
      <c r="L9" s="79"/>
      <c r="M9" s="79"/>
      <c r="N9" s="79"/>
      <c r="O9" s="79"/>
      <c r="P9" s="79"/>
      <c r="Q9" s="1063"/>
      <c r="R9" s="91">
        <f>65000/12000</f>
        <v>5.416666666666667</v>
      </c>
      <c r="S9" s="91">
        <f>135000/12000</f>
        <v>11.25</v>
      </c>
      <c r="T9" s="109">
        <v>7</v>
      </c>
      <c r="U9" s="145"/>
      <c r="V9" s="145"/>
      <c r="W9" s="145"/>
      <c r="Y9" s="90">
        <v>7</v>
      </c>
      <c r="Z9" s="92" t="str">
        <f>IF(Inventory!$C16="","",VLOOKUP(Inventory!$C16,$B$3:$C$5,2,FALSE))</f>
        <v/>
      </c>
      <c r="AA9" s="92" t="str">
        <f>IF($Z9="","",IF(AND($Z9="b",Inventory!$G16=""),"",IF(AND($Z9="b",Inventory!$G16&lt;&gt;""),VLOOKUP(Inventory!$G16,$E$3:$F$10,2,FALSE),IF(AND($Z9="a",Inventory!$Z16=""),"",IF(AND($Z9="a",Inventory!$Z16&lt;&gt;""),VLOOKUP(Inventory!$Z16,$E$3:$F$10,2,FALSE),IF(AND($Z9="c",Inventory!$Z16=""),"",IF(AND($Z9="c",Inventory!$Z16&lt;&gt;""),VLOOKUP(Inventory!$Z16,$E$3:$F$10,2,FALSE),"")))))))</f>
        <v/>
      </c>
      <c r="AB9" s="92" t="str">
        <f>IF($Z9="","a",IF(AND($Z9="b",Inventory!$J16=""),"a",IF(AND($Z9="b",Inventory!$J16&lt;&gt;""),VLOOKUP(Inventory!$J16,$H$4:$I$6,2,FALSE),IF(AND($Z9="a",Inventory!$AA16=""),"a",IF(AND($Z9="a",Inventory!$AA16&lt;&gt;""),VLOOKUP(Inventory!$AA16,$H$4:$I$6,2,FALSE),IF(AND($Z9="c",Inventory!$AA16=""),"a",IF(AND($Z9="c",Inventory!$AA16&lt;&gt;""),VLOOKUP(Inventory!$AA16,$H$4:$I$6,2,FALSE),"a")))))))</f>
        <v>a</v>
      </c>
      <c r="AC9" s="307" t="str">
        <f t="shared" si="11"/>
        <v>a</v>
      </c>
      <c r="AD9" s="93" t="str">
        <f>IF($Z9="","a",IF(AND($Z9="b",Inventory!$L16=""),"a",IF(AND($Z9="b",Inventory!$L16&lt;&gt;""),VLOOKUP(Inventory!$L16,$N$4:$O$5,2,FALSE),IF(AND($Z9="a",Inventory!$AC16=""),"a",IF(AND($Z9="a",Inventory!$AC16&lt;&gt;""),VLOOKUP(Inventory!$AC16,$N$4:$O$5,2,FALSE),IF(AND($Z9="c",Inventory!$AC16=""),"a",IF(AND($Z9="c",Inventory!$AC16&lt;&gt;""),VLOOKUP(Inventory!$AC16,$N$4:$O$5,2,FALSE),"a")))))))</f>
        <v>a</v>
      </c>
      <c r="AE9" s="116">
        <f>IF(OR(Inventory!C16="New Construction",Inventory!C16="Replace-on-Burnout"),Inventory!AF16,IF(Inventory!C16="Early Retirement",MIN(Inventory!AE16,Inventory!AF16),0))</f>
        <v>0</v>
      </c>
      <c r="AF9" s="117" t="str">
        <f t="shared" si="12"/>
        <v/>
      </c>
      <c r="AG9" s="117" t="str">
        <f t="shared" si="0"/>
        <v/>
      </c>
      <c r="AH9" s="117" t="str">
        <f t="shared" si="1"/>
        <v/>
      </c>
      <c r="AI9" s="117" t="str">
        <f t="shared" si="2"/>
        <v/>
      </c>
      <c r="AJ9" s="117" t="str">
        <f t="shared" si="3"/>
        <v/>
      </c>
      <c r="AK9" s="117" t="str">
        <f t="shared" si="13"/>
        <v/>
      </c>
      <c r="AL9" s="117" t="str">
        <f t="shared" si="14"/>
        <v/>
      </c>
      <c r="AM9" s="117" t="str">
        <f t="shared" si="15"/>
        <v/>
      </c>
      <c r="AN9" s="117" t="str">
        <f t="shared" si="16"/>
        <v/>
      </c>
      <c r="AO9" s="117" t="str">
        <f t="shared" si="17"/>
        <v/>
      </c>
      <c r="AP9" s="117" t="str">
        <f t="shared" si="18"/>
        <v/>
      </c>
      <c r="AQ9" s="117" t="str">
        <f t="shared" si="19"/>
        <v/>
      </c>
      <c r="AR9" s="117" t="str">
        <f t="shared" si="20"/>
        <v/>
      </c>
      <c r="AS9" s="117" t="str">
        <f t="shared" si="21"/>
        <v/>
      </c>
      <c r="AT9" s="117" t="str">
        <f t="shared" si="22"/>
        <v/>
      </c>
      <c r="AU9" s="117" t="str">
        <f t="shared" si="23"/>
        <v/>
      </c>
      <c r="AV9" s="117" t="str">
        <f t="shared" si="4"/>
        <v/>
      </c>
      <c r="AW9" s="93">
        <f t="shared" si="5"/>
        <v>0</v>
      </c>
      <c r="AX9" s="93" t="str">
        <f>IF(AND($Z9="b",OR($AA9="a",$AA9="b"),Inventory!$I16="",$AE9&lt;(65000/12000)),"x",IF(AND($Z9="b",OR($AA9="a",$AA9="b"),Inventory!$I16&lt;&gt;"",$AE9&lt;(65000/12000)),VLOOKUP(Inventory!$I16,$V$4:$W$5,2,FALSE),"x"))</f>
        <v>x</v>
      </c>
      <c r="AY9" s="146" t="str">
        <f t="shared" si="24"/>
        <v>aaa0</v>
      </c>
      <c r="AZ9" s="150" t="str">
        <f t="shared" si="25"/>
        <v>No</v>
      </c>
      <c r="BA9" s="669" t="str">
        <f t="shared" si="26"/>
        <v>No</v>
      </c>
      <c r="BB9" s="150">
        <f>IF($Z9="c",Inventory!$AB16,Inventory!$K16)</f>
        <v>0</v>
      </c>
      <c r="BC9" s="153">
        <f>IF(AND($Z9="b",Inventory!$N16="Btu/hr"),Inventory!$M16,IF(AND($Z9="b",Inventory!$N16="Tons"),Inventory!$M16*12000,IF(AND($Z9&lt;&gt;"b",Inventory!$AK16="Btu/hr"),Inventory!$AD16,IF(AND($Z9&lt;&gt;"b",Inventory!$AK16="Tons"),Inventory!$AD16*12000,0))))</f>
        <v>0</v>
      </c>
      <c r="BD9" s="153">
        <f t="shared" si="27"/>
        <v>0</v>
      </c>
      <c r="BE9" s="159">
        <f t="shared" si="28"/>
        <v>0</v>
      </c>
      <c r="BF9" s="150" t="s">
        <v>50</v>
      </c>
      <c r="BG9" s="159">
        <f t="shared" si="6"/>
        <v>0</v>
      </c>
      <c r="BH9" s="150" t="s">
        <v>46</v>
      </c>
      <c r="BI9" s="672">
        <f>IF(AND($Z9="b",Inventory!$P16="Btu/hr"),Inventory!$O16,IF(AND($Z9="b",Inventory!$P16="Tons"),Inventory!$O16*12000,IF(AND($Z9&lt;&gt;"b",Inventory!$AM16="Btu/hr"),Inventory!$AL16,IF(AND($Z9&lt;&gt;"b",Inventory!$AM16="Tons"),Inventory!$AL16*12000,0))))</f>
        <v>0</v>
      </c>
      <c r="BJ9" s="672">
        <f t="shared" si="29"/>
        <v>0</v>
      </c>
      <c r="BK9" s="608">
        <f t="shared" si="30"/>
        <v>0</v>
      </c>
      <c r="BL9" s="669" t="s">
        <v>567</v>
      </c>
      <c r="BM9" s="150" t="str">
        <f t="shared" si="7"/>
        <v>No</v>
      </c>
      <c r="BN9" s="150" t="str">
        <f>IF(OR(Inventory!$H16="",$BM9="No"),"-",Inventory!$H16)</f>
        <v>-</v>
      </c>
      <c r="BO9" s="150" t="str">
        <f>IFERROR(VLOOKUP(BN9,'Early Retirement'!$B$6:$C$33,2,FALSE),"-")</f>
        <v>-</v>
      </c>
      <c r="BP9" s="150" t="str">
        <f>IF(Inventory!$J16="Centrifugal","Yes","No")</f>
        <v>No</v>
      </c>
      <c r="BQ9" s="150">
        <f t="shared" si="31"/>
        <v>0</v>
      </c>
      <c r="BR9" s="150" t="str">
        <f t="shared" si="32"/>
        <v>-</v>
      </c>
      <c r="BS9" s="159">
        <f>IFERROR(INDEX('Early Retirement'!$C$4:$AC$33,$BO9,$BR9),0)</f>
        <v>0</v>
      </c>
      <c r="BT9" s="150">
        <f>IFERROR(HLOOKUP($BR9,'Early Retirement'!$D$4:$AC$5,2,FALSE),0)</f>
        <v>0</v>
      </c>
      <c r="BU9" s="678">
        <f>IFERROR(INDEX('Early Retirement'!$AE$4:$BE$33,$BO9,$BR9),0)</f>
        <v>0</v>
      </c>
      <c r="BV9" s="669">
        <f>IFERROR(HLOOKUP($BR9,'Early Retirement'!$AF$4:$BE$5,2,FALSE),0)</f>
        <v>0</v>
      </c>
      <c r="BW9" s="159">
        <f t="shared" si="41"/>
        <v>0</v>
      </c>
      <c r="BX9" s="678">
        <f t="shared" si="33"/>
        <v>0</v>
      </c>
      <c r="BY9" s="150" t="s">
        <v>46</v>
      </c>
      <c r="BZ9" s="608">
        <f>IFERROR(INDEX('Early Retirement'!$BG$4:$CG$33,$BO9,$BR9),0)</f>
        <v>0</v>
      </c>
      <c r="CA9" s="669">
        <f>IFERROR(HLOOKUP($BR9,'Early Retirement'!$BH$4:$CH$5,2,FALSE),0)</f>
        <v>0</v>
      </c>
      <c r="CB9" s="608">
        <f t="shared" si="34"/>
        <v>0</v>
      </c>
      <c r="CC9" s="669" t="s">
        <v>567</v>
      </c>
      <c r="CD9" s="150" t="str">
        <f t="shared" si="8"/>
        <v>Yes</v>
      </c>
      <c r="CE9" s="159">
        <f t="shared" si="9"/>
        <v>0</v>
      </c>
      <c r="CF9" s="678">
        <f t="shared" si="10"/>
        <v>0</v>
      </c>
      <c r="CG9" s="669" t="s">
        <v>46</v>
      </c>
      <c r="CH9" s="608">
        <f t="shared" si="35"/>
        <v>0</v>
      </c>
      <c r="CI9" s="669" t="s">
        <v>567</v>
      </c>
      <c r="CJ9" s="162">
        <f t="shared" si="36"/>
        <v>0</v>
      </c>
      <c r="CK9" s="602">
        <f t="shared" si="37"/>
        <v>0</v>
      </c>
      <c r="CL9" s="610" t="s">
        <v>46</v>
      </c>
      <c r="CM9" s="592">
        <f t="shared" si="38"/>
        <v>0</v>
      </c>
      <c r="CN9" s="665" t="s">
        <v>567</v>
      </c>
      <c r="CP9" s="90" t="s">
        <v>103</v>
      </c>
      <c r="CQ9" s="121">
        <v>11</v>
      </c>
      <c r="CR9" s="307" t="s">
        <v>50</v>
      </c>
      <c r="CS9" s="641">
        <v>11.2</v>
      </c>
      <c r="CT9" s="633" t="s">
        <v>558</v>
      </c>
      <c r="CU9" s="645">
        <f t="shared" si="39"/>
        <v>1.0909090909090908</v>
      </c>
      <c r="CV9" s="645">
        <f t="shared" si="40"/>
        <v>1.0714285714285714</v>
      </c>
      <c r="CW9" s="633" t="s">
        <v>46</v>
      </c>
      <c r="CX9" s="641">
        <v>3.3</v>
      </c>
      <c r="CY9" s="633" t="s">
        <v>567</v>
      </c>
      <c r="CZ9" s="641">
        <f>CX9</f>
        <v>3.3</v>
      </c>
      <c r="DA9" s="638" t="s">
        <v>567</v>
      </c>
      <c r="DB9" s="562"/>
      <c r="DC9" s="562"/>
      <c r="DD9" s="562"/>
      <c r="DE9" s="562"/>
      <c r="DF9" s="562"/>
      <c r="DG9" s="562"/>
      <c r="DH9" s="562"/>
      <c r="DI9" s="562"/>
      <c r="DJ9" s="562"/>
      <c r="DK9" s="562"/>
      <c r="DL9" s="562"/>
      <c r="DM9" s="562"/>
      <c r="DN9" s="562"/>
      <c r="DO9" s="562"/>
      <c r="DP9" s="562"/>
      <c r="DQ9" s="562"/>
      <c r="DR9" s="562"/>
      <c r="DS9" s="562"/>
      <c r="DT9" s="562"/>
      <c r="DU9" s="562"/>
      <c r="DV9" s="562"/>
      <c r="DW9" s="562"/>
      <c r="DX9" s="562"/>
      <c r="DY9" s="562"/>
      <c r="DZ9" s="562"/>
      <c r="EA9" s="562"/>
      <c r="EB9" s="562"/>
      <c r="EC9" s="562"/>
      <c r="ED9" s="562"/>
      <c r="EE9" s="562"/>
      <c r="EF9" s="562"/>
      <c r="EG9" s="562"/>
      <c r="EH9" s="562"/>
      <c r="EI9" s="562"/>
      <c r="EJ9" s="562"/>
      <c r="EK9" s="562"/>
      <c r="EL9" s="562"/>
    </row>
    <row r="10" spans="1:142" s="78" customFormat="1" ht="15" customHeight="1" thickBot="1" x14ac:dyDescent="0.3">
      <c r="B10" s="77"/>
      <c r="C10" s="79"/>
      <c r="D10" s="79"/>
      <c r="E10" s="94" t="s">
        <v>43</v>
      </c>
      <c r="F10" s="95" t="s">
        <v>192</v>
      </c>
      <c r="G10" s="79"/>
      <c r="H10" s="97"/>
      <c r="I10" s="79"/>
      <c r="J10" s="79"/>
      <c r="K10" s="79"/>
      <c r="L10" s="79"/>
      <c r="M10" s="79"/>
      <c r="N10" s="79"/>
      <c r="O10" s="79"/>
      <c r="P10" s="79"/>
      <c r="Q10" s="1063"/>
      <c r="R10" s="91">
        <f>135000/12000</f>
        <v>11.25</v>
      </c>
      <c r="S10" s="91">
        <f>240000/12000</f>
        <v>20</v>
      </c>
      <c r="T10" s="109">
        <v>8</v>
      </c>
      <c r="U10" s="145"/>
      <c r="V10" s="145"/>
      <c r="W10" s="145"/>
      <c r="Y10" s="90">
        <v>8</v>
      </c>
      <c r="Z10" s="92" t="str">
        <f>IF(Inventory!$C17="","",VLOOKUP(Inventory!$C17,$B$3:$C$5,2,FALSE))</f>
        <v/>
      </c>
      <c r="AA10" s="92" t="str">
        <f>IF($Z10="","",IF(AND($Z10="b",Inventory!$G17=""),"",IF(AND($Z10="b",Inventory!$G17&lt;&gt;""),VLOOKUP(Inventory!$G17,$E$3:$F$10,2,FALSE),IF(AND($Z10="a",Inventory!$Z17=""),"",IF(AND($Z10="a",Inventory!$Z17&lt;&gt;""),VLOOKUP(Inventory!$Z17,$E$3:$F$10,2,FALSE),IF(AND($Z10="c",Inventory!$Z17=""),"",IF(AND($Z10="c",Inventory!$Z17&lt;&gt;""),VLOOKUP(Inventory!$Z17,$E$3:$F$10,2,FALSE),"")))))))</f>
        <v/>
      </c>
      <c r="AB10" s="92" t="str">
        <f>IF($Z10="","a",IF(AND($Z10="b",Inventory!$J17=""),"a",IF(AND($Z10="b",Inventory!$J17&lt;&gt;""),VLOOKUP(Inventory!$J17,$H$4:$I$6,2,FALSE),IF(AND($Z10="a",Inventory!$AA17=""),"a",IF(AND($Z10="a",Inventory!$AA17&lt;&gt;""),VLOOKUP(Inventory!$AA17,$H$4:$I$6,2,FALSE),IF(AND($Z10="c",Inventory!$AA17=""),"a",IF(AND($Z10="c",Inventory!$AA17&lt;&gt;""),VLOOKUP(Inventory!$AA17,$H$4:$I$6,2,FALSE),"a")))))))</f>
        <v>a</v>
      </c>
      <c r="AC10" s="307" t="str">
        <f t="shared" si="11"/>
        <v>a</v>
      </c>
      <c r="AD10" s="93" t="str">
        <f>IF($Z10="","a",IF(AND($Z10="b",Inventory!$L17=""),"a",IF(AND($Z10="b",Inventory!$L17&lt;&gt;""),VLOOKUP(Inventory!$L17,$N$4:$O$5,2,FALSE),IF(AND($Z10="a",Inventory!$AC17=""),"a",IF(AND($Z10="a",Inventory!$AC17&lt;&gt;""),VLOOKUP(Inventory!$AC17,$N$4:$O$5,2,FALSE),IF(AND($Z10="c",Inventory!$AC17=""),"a",IF(AND($Z10="c",Inventory!$AC17&lt;&gt;""),VLOOKUP(Inventory!$AC17,$N$4:$O$5,2,FALSE),"a")))))))</f>
        <v>a</v>
      </c>
      <c r="AE10" s="116">
        <f>IF(OR(Inventory!C17="New Construction",Inventory!C17="Replace-on-Burnout"),Inventory!AF17,IF(Inventory!C17="Early Retirement",MIN(Inventory!AE17,Inventory!AF17),0))</f>
        <v>0</v>
      </c>
      <c r="AF10" s="117" t="str">
        <f t="shared" si="12"/>
        <v/>
      </c>
      <c r="AG10" s="117" t="str">
        <f t="shared" si="0"/>
        <v/>
      </c>
      <c r="AH10" s="117" t="str">
        <f t="shared" si="1"/>
        <v/>
      </c>
      <c r="AI10" s="117" t="str">
        <f t="shared" si="2"/>
        <v/>
      </c>
      <c r="AJ10" s="117" t="str">
        <f t="shared" si="3"/>
        <v/>
      </c>
      <c r="AK10" s="117" t="str">
        <f t="shared" si="13"/>
        <v/>
      </c>
      <c r="AL10" s="117" t="str">
        <f t="shared" si="14"/>
        <v/>
      </c>
      <c r="AM10" s="117" t="str">
        <f t="shared" si="15"/>
        <v/>
      </c>
      <c r="AN10" s="117" t="str">
        <f t="shared" si="16"/>
        <v/>
      </c>
      <c r="AO10" s="117" t="str">
        <f t="shared" si="17"/>
        <v/>
      </c>
      <c r="AP10" s="117" t="str">
        <f t="shared" si="18"/>
        <v/>
      </c>
      <c r="AQ10" s="117" t="str">
        <f t="shared" si="19"/>
        <v/>
      </c>
      <c r="AR10" s="117" t="str">
        <f t="shared" si="20"/>
        <v/>
      </c>
      <c r="AS10" s="117" t="str">
        <f t="shared" si="21"/>
        <v/>
      </c>
      <c r="AT10" s="117" t="str">
        <f t="shared" si="22"/>
        <v/>
      </c>
      <c r="AU10" s="117" t="str">
        <f t="shared" si="23"/>
        <v/>
      </c>
      <c r="AV10" s="117" t="str">
        <f t="shared" si="4"/>
        <v/>
      </c>
      <c r="AW10" s="93">
        <f t="shared" si="5"/>
        <v>0</v>
      </c>
      <c r="AX10" s="93" t="str">
        <f>IF(AND($Z10="b",OR($AA10="a",$AA10="b"),Inventory!$I17="",$AE10&lt;(65000/12000)),"x",IF(AND($Z10="b",OR($AA10="a",$AA10="b"),Inventory!$I17&lt;&gt;"",$AE10&lt;(65000/12000)),VLOOKUP(Inventory!$I17,$V$4:$W$5,2,FALSE),"x"))</f>
        <v>x</v>
      </c>
      <c r="AY10" s="146" t="str">
        <f t="shared" si="24"/>
        <v>aaa0</v>
      </c>
      <c r="AZ10" s="150" t="str">
        <f t="shared" si="25"/>
        <v>No</v>
      </c>
      <c r="BA10" s="669" t="str">
        <f t="shared" si="26"/>
        <v>No</v>
      </c>
      <c r="BB10" s="150">
        <f>IF($Z10="c",Inventory!$AB17,Inventory!$K17)</f>
        <v>0</v>
      </c>
      <c r="BC10" s="153">
        <f>IF(AND($Z10="b",Inventory!$N17="Btu/hr"),Inventory!$M17,IF(AND($Z10="b",Inventory!$N17="Tons"),Inventory!$M17*12000,IF(AND($Z10&lt;&gt;"b",Inventory!$AK17="Btu/hr"),Inventory!$AD17,IF(AND($Z10&lt;&gt;"b",Inventory!$AK17="Tons"),Inventory!$AD17*12000,0))))</f>
        <v>0</v>
      </c>
      <c r="BD10" s="153">
        <f t="shared" si="27"/>
        <v>0</v>
      </c>
      <c r="BE10" s="159">
        <f t="shared" si="28"/>
        <v>0</v>
      </c>
      <c r="BF10" s="150" t="s">
        <v>50</v>
      </c>
      <c r="BG10" s="159">
        <f t="shared" si="6"/>
        <v>0</v>
      </c>
      <c r="BH10" s="150" t="s">
        <v>46</v>
      </c>
      <c r="BI10" s="672">
        <f>IF(AND($Z10="b",Inventory!$P17="Btu/hr"),Inventory!$O17,IF(AND($Z10="b",Inventory!$P17="Tons"),Inventory!$O17*12000,IF(AND($Z10&lt;&gt;"b",Inventory!$AM17="Btu/hr"),Inventory!$AL17,IF(AND($Z10&lt;&gt;"b",Inventory!$AM17="Tons"),Inventory!$AL17*12000,0))))</f>
        <v>0</v>
      </c>
      <c r="BJ10" s="672">
        <f t="shared" si="29"/>
        <v>0</v>
      </c>
      <c r="BK10" s="608">
        <f t="shared" si="30"/>
        <v>0</v>
      </c>
      <c r="BL10" s="669" t="s">
        <v>567</v>
      </c>
      <c r="BM10" s="150" t="str">
        <f t="shared" si="7"/>
        <v>No</v>
      </c>
      <c r="BN10" s="150" t="str">
        <f>IF(OR(Inventory!$H17="",$BM10="No"),"-",Inventory!$H17)</f>
        <v>-</v>
      </c>
      <c r="BO10" s="150" t="str">
        <f>IFERROR(VLOOKUP(BN10,'Early Retirement'!$B$6:$C$33,2,FALSE),"-")</f>
        <v>-</v>
      </c>
      <c r="BP10" s="150" t="str">
        <f>IF(Inventory!$J17="Centrifugal","Yes","No")</f>
        <v>No</v>
      </c>
      <c r="BQ10" s="150">
        <f t="shared" si="31"/>
        <v>0</v>
      </c>
      <c r="BR10" s="150" t="str">
        <f t="shared" si="32"/>
        <v>-</v>
      </c>
      <c r="BS10" s="159">
        <f>IFERROR(INDEX('Early Retirement'!$C$4:$AC$33,$BO10,$BR10),0)</f>
        <v>0</v>
      </c>
      <c r="BT10" s="150">
        <f>IFERROR(HLOOKUP($BR10,'Early Retirement'!$D$4:$AC$5,2,FALSE),0)</f>
        <v>0</v>
      </c>
      <c r="BU10" s="678">
        <f>IFERROR(INDEX('Early Retirement'!$AE$4:$BE$33,$BO10,$BR10),0)</f>
        <v>0</v>
      </c>
      <c r="BV10" s="669">
        <f>IFERROR(HLOOKUP($BR10,'Early Retirement'!$AF$4:$BE$5,2,FALSE),0)</f>
        <v>0</v>
      </c>
      <c r="BW10" s="159">
        <f t="shared" si="41"/>
        <v>0</v>
      </c>
      <c r="BX10" s="678">
        <f t="shared" si="33"/>
        <v>0</v>
      </c>
      <c r="BY10" s="150" t="s">
        <v>46</v>
      </c>
      <c r="BZ10" s="608">
        <f>IFERROR(INDEX('Early Retirement'!$BG$4:$CG$33,$BO10,$BR10),0)</f>
        <v>0</v>
      </c>
      <c r="CA10" s="669">
        <f>IFERROR(HLOOKUP($BR10,'Early Retirement'!$BH$4:$CH$5,2,FALSE),0)</f>
        <v>0</v>
      </c>
      <c r="CB10" s="608">
        <f t="shared" si="34"/>
        <v>0</v>
      </c>
      <c r="CC10" s="669" t="s">
        <v>567</v>
      </c>
      <c r="CD10" s="150" t="str">
        <f t="shared" si="8"/>
        <v>Yes</v>
      </c>
      <c r="CE10" s="159">
        <f t="shared" si="9"/>
        <v>0</v>
      </c>
      <c r="CF10" s="678">
        <f t="shared" si="10"/>
        <v>0</v>
      </c>
      <c r="CG10" s="669" t="s">
        <v>46</v>
      </c>
      <c r="CH10" s="608">
        <f t="shared" si="35"/>
        <v>0</v>
      </c>
      <c r="CI10" s="669" t="s">
        <v>567</v>
      </c>
      <c r="CJ10" s="162">
        <f t="shared" si="36"/>
        <v>0</v>
      </c>
      <c r="CK10" s="602">
        <f t="shared" si="37"/>
        <v>0</v>
      </c>
      <c r="CL10" s="610" t="s">
        <v>46</v>
      </c>
      <c r="CM10" s="592">
        <f t="shared" si="38"/>
        <v>0</v>
      </c>
      <c r="CN10" s="665" t="s">
        <v>567</v>
      </c>
      <c r="CP10" s="90" t="s">
        <v>104</v>
      </c>
      <c r="CQ10" s="121">
        <v>10.6</v>
      </c>
      <c r="CR10" s="307" t="s">
        <v>50</v>
      </c>
      <c r="CS10" s="641">
        <v>10.7</v>
      </c>
      <c r="CT10" s="633" t="s">
        <v>558</v>
      </c>
      <c r="CU10" s="645">
        <f t="shared" si="39"/>
        <v>1.1320754716981132</v>
      </c>
      <c r="CV10" s="645">
        <f t="shared" si="40"/>
        <v>1.1214953271028039</v>
      </c>
      <c r="CW10" s="633" t="s">
        <v>46</v>
      </c>
      <c r="CX10" s="641">
        <v>3.2</v>
      </c>
      <c r="CY10" s="633" t="s">
        <v>567</v>
      </c>
      <c r="CZ10" s="641">
        <f>CX10</f>
        <v>3.2</v>
      </c>
      <c r="DA10" s="638" t="s">
        <v>567</v>
      </c>
      <c r="DB10" s="562"/>
      <c r="DC10" s="562"/>
      <c r="DD10" s="562"/>
      <c r="DE10" s="562"/>
      <c r="DF10" s="562"/>
      <c r="DG10" s="562"/>
      <c r="DH10" s="562"/>
      <c r="DI10" s="562"/>
      <c r="DJ10" s="562"/>
      <c r="DK10" s="562"/>
      <c r="DL10" s="562"/>
      <c r="DM10" s="562"/>
      <c r="DN10" s="562"/>
      <c r="DO10" s="562"/>
      <c r="DP10" s="562"/>
      <c r="DQ10" s="562"/>
      <c r="DR10" s="562"/>
      <c r="DS10" s="562"/>
      <c r="DT10" s="562"/>
      <c r="DU10" s="562"/>
      <c r="DV10" s="562"/>
      <c r="DW10" s="562"/>
      <c r="DX10" s="562"/>
      <c r="DY10" s="562"/>
      <c r="DZ10" s="562"/>
      <c r="EA10" s="562"/>
      <c r="EB10" s="562"/>
      <c r="EC10" s="562"/>
      <c r="ED10" s="562"/>
      <c r="EE10" s="562"/>
      <c r="EF10" s="562"/>
      <c r="EG10" s="562"/>
      <c r="EH10" s="562"/>
      <c r="EI10" s="562"/>
      <c r="EJ10" s="562"/>
      <c r="EK10" s="562"/>
      <c r="EL10" s="562"/>
    </row>
    <row r="11" spans="1:142" s="78" customFormat="1" ht="15" customHeight="1" x14ac:dyDescent="0.25">
      <c r="B11" s="77"/>
      <c r="C11" s="79"/>
      <c r="D11" s="79"/>
      <c r="E11" s="97"/>
      <c r="F11" s="79"/>
      <c r="G11" s="79"/>
      <c r="H11" s="97"/>
      <c r="I11" s="79"/>
      <c r="J11" s="79"/>
      <c r="K11" s="79"/>
      <c r="L11" s="79"/>
      <c r="M11" s="79"/>
      <c r="N11" s="79"/>
      <c r="O11" s="79"/>
      <c r="P11" s="79"/>
      <c r="Q11" s="1063"/>
      <c r="R11" s="103">
        <f>240000/12000</f>
        <v>20</v>
      </c>
      <c r="S11" s="103">
        <f>760000/12000</f>
        <v>63.333333333333336</v>
      </c>
      <c r="T11" s="110">
        <v>9</v>
      </c>
      <c r="U11" s="145"/>
      <c r="V11" s="145"/>
      <c r="W11" s="145"/>
      <c r="Y11" s="90">
        <v>9</v>
      </c>
      <c r="Z11" s="92" t="str">
        <f>IF(Inventory!$C18="","",VLOOKUP(Inventory!$C18,$B$3:$C$5,2,FALSE))</f>
        <v/>
      </c>
      <c r="AA11" s="92" t="str">
        <f>IF($Z11="","",IF(AND($Z11="b",Inventory!$G18=""),"",IF(AND($Z11="b",Inventory!$G18&lt;&gt;""),VLOOKUP(Inventory!$G18,$E$3:$F$10,2,FALSE),IF(AND($Z11="a",Inventory!$Z18=""),"",IF(AND($Z11="a",Inventory!$Z18&lt;&gt;""),VLOOKUP(Inventory!$Z18,$E$3:$F$10,2,FALSE),IF(AND($Z11="c",Inventory!$Z18=""),"",IF(AND($Z11="c",Inventory!$Z18&lt;&gt;""),VLOOKUP(Inventory!$Z18,$E$3:$F$10,2,FALSE),"")))))))</f>
        <v/>
      </c>
      <c r="AB11" s="92" t="str">
        <f>IF($Z11="","a",IF(AND($Z11="b",Inventory!$J18=""),"a",IF(AND($Z11="b",Inventory!$J18&lt;&gt;""),VLOOKUP(Inventory!$J18,$H$4:$I$6,2,FALSE),IF(AND($Z11="a",Inventory!$AA18=""),"a",IF(AND($Z11="a",Inventory!$AA18&lt;&gt;""),VLOOKUP(Inventory!$AA18,$H$4:$I$6,2,FALSE),IF(AND($Z11="c",Inventory!$AA18=""),"a",IF(AND($Z11="c",Inventory!$AA18&lt;&gt;""),VLOOKUP(Inventory!$AA18,$H$4:$I$6,2,FALSE),"a")))))))</f>
        <v>a</v>
      </c>
      <c r="AC11" s="307" t="str">
        <f t="shared" si="11"/>
        <v>a</v>
      </c>
      <c r="AD11" s="93" t="str">
        <f>IF($Z11="","a",IF(AND($Z11="b",Inventory!$L18=""),"a",IF(AND($Z11="b",Inventory!$L18&lt;&gt;""),VLOOKUP(Inventory!$L18,$N$4:$O$5,2,FALSE),IF(AND($Z11="a",Inventory!$AC18=""),"a",IF(AND($Z11="a",Inventory!$AC18&lt;&gt;""),VLOOKUP(Inventory!$AC18,$N$4:$O$5,2,FALSE),IF(AND($Z11="c",Inventory!$AC18=""),"a",IF(AND($Z11="c",Inventory!$AC18&lt;&gt;""),VLOOKUP(Inventory!$AC18,$N$4:$O$5,2,FALSE),"a")))))))</f>
        <v>a</v>
      </c>
      <c r="AE11" s="116">
        <f>IF(OR(Inventory!C18="New Construction",Inventory!C18="Replace-on-Burnout"),Inventory!AF18,IF(Inventory!C18="Early Retirement",MIN(Inventory!AE18,Inventory!AF18),0))</f>
        <v>0</v>
      </c>
      <c r="AF11" s="117" t="str">
        <f t="shared" si="12"/>
        <v/>
      </c>
      <c r="AG11" s="117" t="str">
        <f t="shared" si="0"/>
        <v/>
      </c>
      <c r="AH11" s="117" t="str">
        <f t="shared" si="1"/>
        <v/>
      </c>
      <c r="AI11" s="117" t="str">
        <f t="shared" si="2"/>
        <v/>
      </c>
      <c r="AJ11" s="117" t="str">
        <f t="shared" si="3"/>
        <v/>
      </c>
      <c r="AK11" s="117" t="str">
        <f t="shared" si="13"/>
        <v/>
      </c>
      <c r="AL11" s="117" t="str">
        <f t="shared" si="14"/>
        <v/>
      </c>
      <c r="AM11" s="117" t="str">
        <f t="shared" si="15"/>
        <v/>
      </c>
      <c r="AN11" s="117" t="str">
        <f t="shared" si="16"/>
        <v/>
      </c>
      <c r="AO11" s="117" t="str">
        <f t="shared" si="17"/>
        <v/>
      </c>
      <c r="AP11" s="117" t="str">
        <f t="shared" si="18"/>
        <v/>
      </c>
      <c r="AQ11" s="117" t="str">
        <f t="shared" si="19"/>
        <v/>
      </c>
      <c r="AR11" s="117" t="str">
        <f t="shared" si="20"/>
        <v/>
      </c>
      <c r="AS11" s="117" t="str">
        <f t="shared" si="21"/>
        <v/>
      </c>
      <c r="AT11" s="117" t="str">
        <f t="shared" si="22"/>
        <v/>
      </c>
      <c r="AU11" s="117" t="str">
        <f t="shared" si="23"/>
        <v/>
      </c>
      <c r="AV11" s="117" t="str">
        <f t="shared" si="4"/>
        <v/>
      </c>
      <c r="AW11" s="93">
        <f t="shared" si="5"/>
        <v>0</v>
      </c>
      <c r="AX11" s="93" t="str">
        <f>IF(AND($Z11="b",OR($AA11="a",$AA11="b"),Inventory!$I18="",$AE11&lt;(65000/12000)),"x",IF(AND($Z11="b",OR($AA11="a",$AA11="b"),Inventory!$I18&lt;&gt;"",$AE11&lt;(65000/12000)),VLOOKUP(Inventory!$I18,$V$4:$W$5,2,FALSE),"x"))</f>
        <v>x</v>
      </c>
      <c r="AY11" s="146" t="str">
        <f t="shared" si="24"/>
        <v>aaa0</v>
      </c>
      <c r="AZ11" s="150" t="str">
        <f t="shared" si="25"/>
        <v>No</v>
      </c>
      <c r="BA11" s="669" t="str">
        <f t="shared" si="26"/>
        <v>No</v>
      </c>
      <c r="BB11" s="150">
        <f>IF($Z11="c",Inventory!$AB18,Inventory!$K18)</f>
        <v>0</v>
      </c>
      <c r="BC11" s="153">
        <f>IF(AND($Z11="b",Inventory!$N18="Btu/hr"),Inventory!$M18,IF(AND($Z11="b",Inventory!$N18="Tons"),Inventory!$M18*12000,IF(AND($Z11&lt;&gt;"b",Inventory!$AK18="Btu/hr"),Inventory!$AD18,IF(AND($Z11&lt;&gt;"b",Inventory!$AK18="Tons"),Inventory!$AD18*12000,0))))</f>
        <v>0</v>
      </c>
      <c r="BD11" s="153">
        <f t="shared" si="27"/>
        <v>0</v>
      </c>
      <c r="BE11" s="159">
        <f t="shared" si="28"/>
        <v>0</v>
      </c>
      <c r="BF11" s="150" t="s">
        <v>50</v>
      </c>
      <c r="BG11" s="159">
        <f t="shared" si="6"/>
        <v>0</v>
      </c>
      <c r="BH11" s="150" t="s">
        <v>46</v>
      </c>
      <c r="BI11" s="672">
        <f>IF(AND($Z11="b",Inventory!$P18="Btu/hr"),Inventory!$O18,IF(AND($Z11="b",Inventory!$P18="Tons"),Inventory!$O18*12000,IF(AND($Z11&lt;&gt;"b",Inventory!$AM18="Btu/hr"),Inventory!$AL18,IF(AND($Z11&lt;&gt;"b",Inventory!$AM18="Tons"),Inventory!$AL18*12000,0))))</f>
        <v>0</v>
      </c>
      <c r="BJ11" s="672">
        <f t="shared" si="29"/>
        <v>0</v>
      </c>
      <c r="BK11" s="608">
        <f t="shared" si="30"/>
        <v>0</v>
      </c>
      <c r="BL11" s="669" t="s">
        <v>567</v>
      </c>
      <c r="BM11" s="150" t="str">
        <f t="shared" si="7"/>
        <v>No</v>
      </c>
      <c r="BN11" s="150" t="str">
        <f>IF(OR(Inventory!$H18="",$BM11="No"),"-",Inventory!$H18)</f>
        <v>-</v>
      </c>
      <c r="BO11" s="150" t="str">
        <f>IFERROR(VLOOKUP(BN11,'Early Retirement'!$B$6:$C$33,2,FALSE),"-")</f>
        <v>-</v>
      </c>
      <c r="BP11" s="150" t="str">
        <f>IF(Inventory!$J18="Centrifugal","Yes","No")</f>
        <v>No</v>
      </c>
      <c r="BQ11" s="150">
        <f t="shared" si="31"/>
        <v>0</v>
      </c>
      <c r="BR11" s="150" t="str">
        <f t="shared" si="32"/>
        <v>-</v>
      </c>
      <c r="BS11" s="159">
        <f>IFERROR(INDEX('Early Retirement'!$C$4:$AC$33,$BO11,$BR11),0)</f>
        <v>0</v>
      </c>
      <c r="BT11" s="150">
        <f>IFERROR(HLOOKUP($BR11,'Early Retirement'!$D$4:$AC$5,2,FALSE),0)</f>
        <v>0</v>
      </c>
      <c r="BU11" s="678">
        <f>IFERROR(INDEX('Early Retirement'!$AE$4:$BE$33,$BO11,$BR11),0)</f>
        <v>0</v>
      </c>
      <c r="BV11" s="669">
        <f>IFERROR(HLOOKUP($BR11,'Early Retirement'!$AF$4:$BE$5,2,FALSE),0)</f>
        <v>0</v>
      </c>
      <c r="BW11" s="159">
        <f t="shared" si="41"/>
        <v>0</v>
      </c>
      <c r="BX11" s="678">
        <f t="shared" si="33"/>
        <v>0</v>
      </c>
      <c r="BY11" s="150" t="s">
        <v>46</v>
      </c>
      <c r="BZ11" s="608">
        <f>IFERROR(INDEX('Early Retirement'!$BG$4:$CG$33,$BO11,$BR11),0)</f>
        <v>0</v>
      </c>
      <c r="CA11" s="669">
        <f>IFERROR(HLOOKUP($BR11,'Early Retirement'!$BH$4:$CH$5,2,FALSE),0)</f>
        <v>0</v>
      </c>
      <c r="CB11" s="608">
        <f t="shared" si="34"/>
        <v>0</v>
      </c>
      <c r="CC11" s="669" t="s">
        <v>567</v>
      </c>
      <c r="CD11" s="150" t="str">
        <f t="shared" si="8"/>
        <v>Yes</v>
      </c>
      <c r="CE11" s="159">
        <f t="shared" si="9"/>
        <v>0</v>
      </c>
      <c r="CF11" s="678">
        <f t="shared" si="10"/>
        <v>0</v>
      </c>
      <c r="CG11" s="669" t="s">
        <v>46</v>
      </c>
      <c r="CH11" s="608">
        <f t="shared" si="35"/>
        <v>0</v>
      </c>
      <c r="CI11" s="669" t="s">
        <v>567</v>
      </c>
      <c r="CJ11" s="162">
        <f t="shared" si="36"/>
        <v>0</v>
      </c>
      <c r="CK11" s="602">
        <f t="shared" si="37"/>
        <v>0</v>
      </c>
      <c r="CL11" s="610" t="s">
        <v>46</v>
      </c>
      <c r="CM11" s="592">
        <f t="shared" si="38"/>
        <v>0</v>
      </c>
      <c r="CN11" s="665" t="s">
        <v>567</v>
      </c>
      <c r="CP11" s="90" t="s">
        <v>105</v>
      </c>
      <c r="CQ11" s="121">
        <v>9.5</v>
      </c>
      <c r="CR11" s="506" t="s">
        <v>50</v>
      </c>
      <c r="CS11" s="641">
        <v>9.6</v>
      </c>
      <c r="CT11" s="633" t="s">
        <v>558</v>
      </c>
      <c r="CU11" s="645">
        <f t="shared" si="39"/>
        <v>1.263157894736842</v>
      </c>
      <c r="CV11" s="645">
        <f t="shared" si="40"/>
        <v>1.25</v>
      </c>
      <c r="CW11" s="633" t="s">
        <v>46</v>
      </c>
      <c r="CX11" s="641">
        <v>3.2</v>
      </c>
      <c r="CY11" s="633" t="s">
        <v>567</v>
      </c>
      <c r="CZ11" s="641">
        <f>CX11</f>
        <v>3.2</v>
      </c>
      <c r="DA11" s="638" t="s">
        <v>567</v>
      </c>
      <c r="DB11" s="562"/>
      <c r="DC11" s="562"/>
      <c r="DD11" s="562"/>
      <c r="DE11" s="562"/>
      <c r="DF11" s="562"/>
      <c r="DG11" s="562"/>
      <c r="DH11" s="562"/>
      <c r="DI11" s="562"/>
      <c r="DJ11" s="562"/>
      <c r="DK11" s="562"/>
      <c r="DL11" s="562"/>
      <c r="DM11" s="562"/>
      <c r="DN11" s="562"/>
      <c r="DO11" s="562"/>
      <c r="DP11" s="562"/>
      <c r="DQ11" s="562"/>
      <c r="DR11" s="562"/>
      <c r="DS11" s="562"/>
      <c r="DT11" s="562"/>
      <c r="DU11" s="562"/>
      <c r="DV11" s="562"/>
      <c r="DW11" s="562"/>
      <c r="DX11" s="562"/>
      <c r="DY11" s="562"/>
      <c r="DZ11" s="562"/>
      <c r="EA11" s="562"/>
      <c r="EB11" s="562"/>
      <c r="EC11" s="562"/>
      <c r="ED11" s="562"/>
      <c r="EE11" s="562"/>
      <c r="EF11" s="562"/>
      <c r="EG11" s="562"/>
      <c r="EH11" s="562"/>
      <c r="EI11" s="562"/>
      <c r="EJ11" s="562"/>
      <c r="EK11" s="562"/>
      <c r="EL11" s="562"/>
    </row>
    <row r="12" spans="1:142" s="78" customFormat="1" ht="15" customHeight="1" thickBot="1" x14ac:dyDescent="0.3">
      <c r="D12" s="79"/>
      <c r="E12" s="77"/>
      <c r="F12" s="79"/>
      <c r="G12" s="79"/>
      <c r="H12" s="77"/>
      <c r="Q12" s="1063"/>
      <c r="R12" s="103">
        <f>760000/12000</f>
        <v>63.333333333333336</v>
      </c>
      <c r="S12" s="104"/>
      <c r="T12" s="110">
        <v>10</v>
      </c>
      <c r="U12" s="145"/>
      <c r="V12" s="145"/>
      <c r="W12" s="145"/>
      <c r="Y12" s="90">
        <v>10</v>
      </c>
      <c r="Z12" s="92" t="str">
        <f>IF(Inventory!$C19="","",VLOOKUP(Inventory!$C19,$B$3:$C$5,2,FALSE))</f>
        <v/>
      </c>
      <c r="AA12" s="92" t="str">
        <f>IF($Z12="","",IF(AND($Z12="b",Inventory!$G19=""),"",IF(AND($Z12="b",Inventory!$G19&lt;&gt;""),VLOOKUP(Inventory!$G19,$E$3:$F$10,2,FALSE),IF(AND($Z12="a",Inventory!$Z19=""),"",IF(AND($Z12="a",Inventory!$Z19&lt;&gt;""),VLOOKUP(Inventory!$Z19,$E$3:$F$10,2,FALSE),IF(AND($Z12="c",Inventory!$Z19=""),"",IF(AND($Z12="c",Inventory!$Z19&lt;&gt;""),VLOOKUP(Inventory!$Z19,$E$3:$F$10,2,FALSE),"")))))))</f>
        <v/>
      </c>
      <c r="AB12" s="92" t="str">
        <f>IF($Z12="","a",IF(AND($Z12="b",Inventory!$J19=""),"a",IF(AND($Z12="b",Inventory!$J19&lt;&gt;""),VLOOKUP(Inventory!$J19,$H$4:$I$6,2,FALSE),IF(AND($Z12="a",Inventory!$AA19=""),"a",IF(AND($Z12="a",Inventory!$AA19&lt;&gt;""),VLOOKUP(Inventory!$AA19,$H$4:$I$6,2,FALSE),IF(AND($Z12="c",Inventory!$AA19=""),"a",IF(AND($Z12="c",Inventory!$AA19&lt;&gt;""),VLOOKUP(Inventory!$AA19,$H$4:$I$6,2,FALSE),"a")))))))</f>
        <v>a</v>
      </c>
      <c r="AC12" s="307" t="str">
        <f t="shared" si="11"/>
        <v>a</v>
      </c>
      <c r="AD12" s="93" t="str">
        <f>IF($Z12="","a",IF(AND($Z12="b",Inventory!$L19=""),"a",IF(AND($Z12="b",Inventory!$L19&lt;&gt;""),VLOOKUP(Inventory!$L19,$N$4:$O$5,2,FALSE),IF(AND($Z12="a",Inventory!$AC19=""),"a",IF(AND($Z12="a",Inventory!$AC19&lt;&gt;""),VLOOKUP(Inventory!$AC19,$N$4:$O$5,2,FALSE),IF(AND($Z12="c",Inventory!$AC19=""),"a",IF(AND($Z12="c",Inventory!$AC19&lt;&gt;""),VLOOKUP(Inventory!$AC19,$N$4:$O$5,2,FALSE),"a")))))))</f>
        <v>a</v>
      </c>
      <c r="AE12" s="116">
        <f>IF(OR(Inventory!C19="New Construction",Inventory!C19="Replace-on-Burnout"),Inventory!AF19,IF(Inventory!C19="Early Retirement",MIN(Inventory!AE19,Inventory!AF19),0))</f>
        <v>0</v>
      </c>
      <c r="AF12" s="117" t="str">
        <f t="shared" si="12"/>
        <v/>
      </c>
      <c r="AG12" s="117" t="str">
        <f t="shared" si="0"/>
        <v/>
      </c>
      <c r="AH12" s="117" t="str">
        <f t="shared" si="1"/>
        <v/>
      </c>
      <c r="AI12" s="117" t="str">
        <f t="shared" si="2"/>
        <v/>
      </c>
      <c r="AJ12" s="117" t="str">
        <f t="shared" si="3"/>
        <v/>
      </c>
      <c r="AK12" s="117" t="str">
        <f t="shared" si="13"/>
        <v/>
      </c>
      <c r="AL12" s="117" t="str">
        <f t="shared" si="14"/>
        <v/>
      </c>
      <c r="AM12" s="117" t="str">
        <f t="shared" si="15"/>
        <v/>
      </c>
      <c r="AN12" s="117" t="str">
        <f t="shared" si="16"/>
        <v/>
      </c>
      <c r="AO12" s="117" t="str">
        <f t="shared" si="17"/>
        <v/>
      </c>
      <c r="AP12" s="117" t="str">
        <f t="shared" si="18"/>
        <v/>
      </c>
      <c r="AQ12" s="117" t="str">
        <f t="shared" si="19"/>
        <v/>
      </c>
      <c r="AR12" s="117" t="str">
        <f t="shared" si="20"/>
        <v/>
      </c>
      <c r="AS12" s="117" t="str">
        <f t="shared" si="21"/>
        <v/>
      </c>
      <c r="AT12" s="117" t="str">
        <f t="shared" si="22"/>
        <v/>
      </c>
      <c r="AU12" s="117" t="str">
        <f t="shared" si="23"/>
        <v/>
      </c>
      <c r="AV12" s="117" t="str">
        <f t="shared" si="4"/>
        <v/>
      </c>
      <c r="AW12" s="93">
        <f t="shared" si="5"/>
        <v>0</v>
      </c>
      <c r="AX12" s="93" t="str">
        <f>IF(AND($Z12="b",OR($AA12="a",$AA12="b"),Inventory!$I19="",$AE12&lt;(65000/12000)),"x",IF(AND($Z12="b",OR($AA12="a",$AA12="b"),Inventory!$I19&lt;&gt;"",$AE12&lt;(65000/12000)),VLOOKUP(Inventory!$I19,$V$4:$W$5,2,FALSE),"x"))</f>
        <v>x</v>
      </c>
      <c r="AY12" s="146" t="str">
        <f t="shared" si="24"/>
        <v>aaa0</v>
      </c>
      <c r="AZ12" s="150" t="str">
        <f t="shared" si="25"/>
        <v>No</v>
      </c>
      <c r="BA12" s="669" t="str">
        <f t="shared" si="26"/>
        <v>No</v>
      </c>
      <c r="BB12" s="150">
        <f>IF($Z12="c",Inventory!$AB19,Inventory!$K19)</f>
        <v>0</v>
      </c>
      <c r="BC12" s="153">
        <f>IF(AND($Z12="b",Inventory!$N19="Btu/hr"),Inventory!$M19,IF(AND($Z12="b",Inventory!$N19="Tons"),Inventory!$M19*12000,IF(AND($Z12&lt;&gt;"b",Inventory!$AK19="Btu/hr"),Inventory!$AD19,IF(AND($Z12&lt;&gt;"b",Inventory!$AK19="Tons"),Inventory!$AD19*12000,0))))</f>
        <v>0</v>
      </c>
      <c r="BD12" s="153">
        <f t="shared" si="27"/>
        <v>0</v>
      </c>
      <c r="BE12" s="159">
        <f t="shared" si="28"/>
        <v>0</v>
      </c>
      <c r="BF12" s="150" t="s">
        <v>50</v>
      </c>
      <c r="BG12" s="159">
        <f t="shared" si="6"/>
        <v>0</v>
      </c>
      <c r="BH12" s="150" t="s">
        <v>46</v>
      </c>
      <c r="BI12" s="672">
        <f>IF(AND($Z12="b",Inventory!$P19="Btu/hr"),Inventory!$O19,IF(AND($Z12="b",Inventory!$P19="Tons"),Inventory!$O19*12000,IF(AND($Z12&lt;&gt;"b",Inventory!$AM19="Btu/hr"),Inventory!$AL19,IF(AND($Z12&lt;&gt;"b",Inventory!$AM19="Tons"),Inventory!$AL19*12000,0))))</f>
        <v>0</v>
      </c>
      <c r="BJ12" s="672">
        <f t="shared" si="29"/>
        <v>0</v>
      </c>
      <c r="BK12" s="608">
        <f t="shared" si="30"/>
        <v>0</v>
      </c>
      <c r="BL12" s="669" t="s">
        <v>567</v>
      </c>
      <c r="BM12" s="150" t="str">
        <f t="shared" si="7"/>
        <v>No</v>
      </c>
      <c r="BN12" s="150" t="str">
        <f>IF(OR(Inventory!$H19="",$BM12="No"),"-",Inventory!$H19)</f>
        <v>-</v>
      </c>
      <c r="BO12" s="150" t="str">
        <f>IFERROR(VLOOKUP(BN12,'Early Retirement'!$B$6:$C$33,2,FALSE),"-")</f>
        <v>-</v>
      </c>
      <c r="BP12" s="150" t="str">
        <f>IF(Inventory!$J19="Centrifugal","Yes","No")</f>
        <v>No</v>
      </c>
      <c r="BQ12" s="150">
        <f t="shared" si="31"/>
        <v>0</v>
      </c>
      <c r="BR12" s="150" t="str">
        <f t="shared" si="32"/>
        <v>-</v>
      </c>
      <c r="BS12" s="159">
        <f>IFERROR(INDEX('Early Retirement'!$C$4:$AC$33,$BO12,$BR12),0)</f>
        <v>0</v>
      </c>
      <c r="BT12" s="150">
        <f>IFERROR(HLOOKUP($BR12,'Early Retirement'!$D$4:$AC$5,2,FALSE),0)</f>
        <v>0</v>
      </c>
      <c r="BU12" s="678">
        <f>IFERROR(INDEX('Early Retirement'!$AE$4:$BE$33,$BO12,$BR12),0)</f>
        <v>0</v>
      </c>
      <c r="BV12" s="669">
        <f>IFERROR(HLOOKUP($BR12,'Early Retirement'!$AF$4:$BE$5,2,FALSE),0)</f>
        <v>0</v>
      </c>
      <c r="BW12" s="159">
        <f t="shared" si="41"/>
        <v>0</v>
      </c>
      <c r="BX12" s="678">
        <f t="shared" si="33"/>
        <v>0</v>
      </c>
      <c r="BY12" s="150" t="s">
        <v>46</v>
      </c>
      <c r="BZ12" s="608">
        <f>IFERROR(INDEX('Early Retirement'!$BG$4:$CG$33,$BO12,$BR12),0)</f>
        <v>0</v>
      </c>
      <c r="CA12" s="669">
        <f>IFERROR(HLOOKUP($BR12,'Early Retirement'!$BH$4:$CH$5,2,FALSE),0)</f>
        <v>0</v>
      </c>
      <c r="CB12" s="608">
        <f t="shared" si="34"/>
        <v>0</v>
      </c>
      <c r="CC12" s="669" t="s">
        <v>567</v>
      </c>
      <c r="CD12" s="150" t="str">
        <f t="shared" si="8"/>
        <v>Yes</v>
      </c>
      <c r="CE12" s="159">
        <f t="shared" si="9"/>
        <v>0</v>
      </c>
      <c r="CF12" s="678">
        <f t="shared" si="10"/>
        <v>0</v>
      </c>
      <c r="CG12" s="669" t="s">
        <v>46</v>
      </c>
      <c r="CH12" s="608">
        <f t="shared" si="35"/>
        <v>0</v>
      </c>
      <c r="CI12" s="669" t="s">
        <v>567</v>
      </c>
      <c r="CJ12" s="162">
        <f t="shared" si="36"/>
        <v>0</v>
      </c>
      <c r="CK12" s="602">
        <f t="shared" si="37"/>
        <v>0</v>
      </c>
      <c r="CL12" s="610" t="s">
        <v>46</v>
      </c>
      <c r="CM12" s="592">
        <f t="shared" si="38"/>
        <v>0</v>
      </c>
      <c r="CN12" s="665" t="s">
        <v>567</v>
      </c>
      <c r="CP12" s="90" t="s">
        <v>159</v>
      </c>
      <c r="CQ12" s="121">
        <v>9.5</v>
      </c>
      <c r="CR12" s="506" t="s">
        <v>50</v>
      </c>
      <c r="CS12" s="641">
        <v>9.6</v>
      </c>
      <c r="CT12" s="633" t="s">
        <v>558</v>
      </c>
      <c r="CU12" s="645">
        <f t="shared" si="39"/>
        <v>1.263157894736842</v>
      </c>
      <c r="CV12" s="645">
        <f t="shared" si="40"/>
        <v>1.25</v>
      </c>
      <c r="CW12" s="633" t="s">
        <v>46</v>
      </c>
      <c r="CX12" s="641">
        <v>3.2</v>
      </c>
      <c r="CY12" s="633" t="s">
        <v>567</v>
      </c>
      <c r="CZ12" s="641">
        <f>CX12</f>
        <v>3.2</v>
      </c>
      <c r="DA12" s="638" t="s">
        <v>567</v>
      </c>
      <c r="DB12" s="562"/>
      <c r="DC12" s="562"/>
      <c r="DD12" s="562"/>
      <c r="DE12" s="562"/>
      <c r="DF12" s="562"/>
      <c r="DG12" s="562"/>
      <c r="DH12" s="562"/>
      <c r="DI12" s="562"/>
      <c r="DJ12" s="562"/>
      <c r="DK12" s="562"/>
      <c r="DL12" s="562"/>
      <c r="DM12" s="562"/>
      <c r="DN12" s="562"/>
      <c r="DO12" s="562"/>
      <c r="DP12" s="562"/>
      <c r="DQ12" s="562"/>
      <c r="DR12" s="562"/>
      <c r="DS12" s="562"/>
      <c r="DT12" s="562"/>
      <c r="DU12" s="562"/>
      <c r="DV12" s="562"/>
      <c r="DW12" s="562"/>
      <c r="DX12" s="562"/>
      <c r="DY12" s="562"/>
      <c r="DZ12" s="562"/>
      <c r="EA12" s="562"/>
      <c r="EB12" s="562"/>
      <c r="EC12" s="562"/>
      <c r="ED12" s="562"/>
      <c r="EE12" s="562"/>
      <c r="EF12" s="562"/>
      <c r="EG12" s="562"/>
      <c r="EH12" s="562"/>
      <c r="EI12" s="562"/>
      <c r="EJ12" s="562"/>
      <c r="EK12" s="562"/>
      <c r="EL12" s="562"/>
    </row>
    <row r="13" spans="1:142" s="78" customFormat="1" ht="15" customHeight="1" x14ac:dyDescent="0.25">
      <c r="D13" s="79"/>
      <c r="E13" s="77"/>
      <c r="F13" s="79"/>
      <c r="G13" s="79"/>
      <c r="H13" s="77"/>
      <c r="Q13" s="83" t="s">
        <v>86</v>
      </c>
      <c r="R13" s="107"/>
      <c r="S13" s="107"/>
      <c r="T13" s="84">
        <v>11</v>
      </c>
      <c r="U13" s="79"/>
      <c r="V13" s="79"/>
      <c r="W13" s="79"/>
      <c r="Y13" s="90">
        <v>11</v>
      </c>
      <c r="Z13" s="92" t="str">
        <f>IF(Inventory!$C20="","",VLOOKUP(Inventory!$C20,$B$3:$C$5,2,FALSE))</f>
        <v/>
      </c>
      <c r="AA13" s="92" t="str">
        <f>IF($Z13="","",IF(AND($Z13="b",Inventory!$G20=""),"",IF(AND($Z13="b",Inventory!$G20&lt;&gt;""),VLOOKUP(Inventory!$G20,$E$3:$F$10,2,FALSE),IF(AND($Z13="a",Inventory!$Z20=""),"",IF(AND($Z13="a",Inventory!$Z20&lt;&gt;""),VLOOKUP(Inventory!$Z20,$E$3:$F$10,2,FALSE),IF(AND($Z13="c",Inventory!$Z20=""),"",IF(AND($Z13="c",Inventory!$Z20&lt;&gt;""),VLOOKUP(Inventory!$Z20,$E$3:$F$10,2,FALSE),"")))))))</f>
        <v/>
      </c>
      <c r="AB13" s="92" t="str">
        <f>IF($Z13="","a",IF(AND($Z13="b",Inventory!$J20=""),"a",IF(AND($Z13="b",Inventory!$J20&lt;&gt;""),VLOOKUP(Inventory!$J20,$H$4:$I$6,2,FALSE),IF(AND($Z13="a",Inventory!$AA20=""),"a",IF(AND($Z13="a",Inventory!$AA20&lt;&gt;""),VLOOKUP(Inventory!$AA20,$H$4:$I$6,2,FALSE),IF(AND($Z13="c",Inventory!$AA20=""),"a",IF(AND($Z13="c",Inventory!$AA20&lt;&gt;""),VLOOKUP(Inventory!$AA20,$H$4:$I$6,2,FALSE),"a")))))))</f>
        <v>a</v>
      </c>
      <c r="AC13" s="307" t="str">
        <f t="shared" si="11"/>
        <v>a</v>
      </c>
      <c r="AD13" s="93" t="str">
        <f>IF($Z13="","a",IF(AND($Z13="b",Inventory!$L20=""),"a",IF(AND($Z13="b",Inventory!$L20&lt;&gt;""),VLOOKUP(Inventory!$L20,$N$4:$O$5,2,FALSE),IF(AND($Z13="a",Inventory!$AC20=""),"a",IF(AND($Z13="a",Inventory!$AC20&lt;&gt;""),VLOOKUP(Inventory!$AC20,$N$4:$O$5,2,FALSE),IF(AND($Z13="c",Inventory!$AC20=""),"a",IF(AND($Z13="c",Inventory!$AC20&lt;&gt;""),VLOOKUP(Inventory!$AC20,$N$4:$O$5,2,FALSE),"a")))))))</f>
        <v>a</v>
      </c>
      <c r="AE13" s="116">
        <f>IF(OR(Inventory!C20="New Construction",Inventory!C20="Replace-on-Burnout"),Inventory!AF20,IF(Inventory!C20="Early Retirement",MIN(Inventory!AE20,Inventory!AF20),0))</f>
        <v>0</v>
      </c>
      <c r="AF13" s="117" t="str">
        <f t="shared" si="12"/>
        <v/>
      </c>
      <c r="AG13" s="117" t="str">
        <f t="shared" si="0"/>
        <v/>
      </c>
      <c r="AH13" s="117" t="str">
        <f t="shared" si="1"/>
        <v/>
      </c>
      <c r="AI13" s="117" t="str">
        <f t="shared" si="2"/>
        <v/>
      </c>
      <c r="AJ13" s="117" t="str">
        <f t="shared" si="3"/>
        <v/>
      </c>
      <c r="AK13" s="117" t="str">
        <f t="shared" si="13"/>
        <v/>
      </c>
      <c r="AL13" s="117" t="str">
        <f t="shared" si="14"/>
        <v/>
      </c>
      <c r="AM13" s="117" t="str">
        <f t="shared" si="15"/>
        <v/>
      </c>
      <c r="AN13" s="117" t="str">
        <f t="shared" si="16"/>
        <v/>
      </c>
      <c r="AO13" s="117" t="str">
        <f t="shared" si="17"/>
        <v/>
      </c>
      <c r="AP13" s="117" t="str">
        <f t="shared" si="18"/>
        <v/>
      </c>
      <c r="AQ13" s="117" t="str">
        <f t="shared" si="19"/>
        <v/>
      </c>
      <c r="AR13" s="117" t="str">
        <f t="shared" si="20"/>
        <v/>
      </c>
      <c r="AS13" s="117" t="str">
        <f t="shared" si="21"/>
        <v/>
      </c>
      <c r="AT13" s="117" t="str">
        <f t="shared" si="22"/>
        <v/>
      </c>
      <c r="AU13" s="117" t="str">
        <f t="shared" si="23"/>
        <v/>
      </c>
      <c r="AV13" s="117" t="str">
        <f t="shared" si="4"/>
        <v/>
      </c>
      <c r="AW13" s="93">
        <f t="shared" si="5"/>
        <v>0</v>
      </c>
      <c r="AX13" s="93" t="str">
        <f>IF(AND($Z13="b",OR($AA13="a",$AA13="b"),Inventory!$I20="",$AE13&lt;(65000/12000)),"x",IF(AND($Z13="b",OR($AA13="a",$AA13="b"),Inventory!$I20&lt;&gt;"",$AE13&lt;(65000/12000)),VLOOKUP(Inventory!$I20,$V$4:$W$5,2,FALSE),"x"))</f>
        <v>x</v>
      </c>
      <c r="AY13" s="146" t="str">
        <f t="shared" si="24"/>
        <v>aaa0</v>
      </c>
      <c r="AZ13" s="150" t="str">
        <f t="shared" si="25"/>
        <v>No</v>
      </c>
      <c r="BA13" s="669" t="str">
        <f t="shared" si="26"/>
        <v>No</v>
      </c>
      <c r="BB13" s="150">
        <f>IF($Z13="c",Inventory!$AB20,Inventory!$K20)</f>
        <v>0</v>
      </c>
      <c r="BC13" s="153">
        <f>IF(AND($Z13="b",Inventory!$N20="Btu/hr"),Inventory!$M20,IF(AND($Z13="b",Inventory!$N20="Tons"),Inventory!$M20*12000,IF(AND($Z13&lt;&gt;"b",Inventory!$AK20="Btu/hr"),Inventory!$AD20,IF(AND($Z13&lt;&gt;"b",Inventory!$AK20="Tons"),Inventory!$AD20*12000,0))))</f>
        <v>0</v>
      </c>
      <c r="BD13" s="153">
        <f t="shared" si="27"/>
        <v>0</v>
      </c>
      <c r="BE13" s="159">
        <f t="shared" si="28"/>
        <v>0</v>
      </c>
      <c r="BF13" s="150" t="s">
        <v>50</v>
      </c>
      <c r="BG13" s="159">
        <f t="shared" si="6"/>
        <v>0</v>
      </c>
      <c r="BH13" s="150" t="s">
        <v>46</v>
      </c>
      <c r="BI13" s="672">
        <f>IF(AND($Z13="b",Inventory!$P20="Btu/hr"),Inventory!$O20,IF(AND($Z13="b",Inventory!$P20="Tons"),Inventory!$O20*12000,IF(AND($Z13&lt;&gt;"b",Inventory!$AM20="Btu/hr"),Inventory!$AL20,IF(AND($Z13&lt;&gt;"b",Inventory!$AM20="Tons"),Inventory!$AL20*12000,0))))</f>
        <v>0</v>
      </c>
      <c r="BJ13" s="672">
        <f t="shared" si="29"/>
        <v>0</v>
      </c>
      <c r="BK13" s="608">
        <f t="shared" si="30"/>
        <v>0</v>
      </c>
      <c r="BL13" s="669" t="s">
        <v>567</v>
      </c>
      <c r="BM13" s="150" t="str">
        <f t="shared" si="7"/>
        <v>No</v>
      </c>
      <c r="BN13" s="150" t="str">
        <f>IF(OR(Inventory!$H20="",$BM13="No"),"-",Inventory!$H20)</f>
        <v>-</v>
      </c>
      <c r="BO13" s="150" t="str">
        <f>IFERROR(VLOOKUP(BN13,'Early Retirement'!$B$6:$C$33,2,FALSE),"-")</f>
        <v>-</v>
      </c>
      <c r="BP13" s="150" t="str">
        <f>IF(Inventory!$J20="Centrifugal","Yes","No")</f>
        <v>No</v>
      </c>
      <c r="BQ13" s="150">
        <f t="shared" si="31"/>
        <v>0</v>
      </c>
      <c r="BR13" s="150" t="str">
        <f t="shared" si="32"/>
        <v>-</v>
      </c>
      <c r="BS13" s="159">
        <f>IFERROR(INDEX('Early Retirement'!$C$4:$AC$33,$BO13,$BR13),0)</f>
        <v>0</v>
      </c>
      <c r="BT13" s="150">
        <f>IFERROR(HLOOKUP($BR13,'Early Retirement'!$D$4:$AC$5,2,FALSE),0)</f>
        <v>0</v>
      </c>
      <c r="BU13" s="678">
        <f>IFERROR(INDEX('Early Retirement'!$AE$4:$BE$33,$BO13,$BR13),0)</f>
        <v>0</v>
      </c>
      <c r="BV13" s="669">
        <f>IFERROR(HLOOKUP($BR13,'Early Retirement'!$AF$4:$BE$5,2,FALSE),0)</f>
        <v>0</v>
      </c>
      <c r="BW13" s="159">
        <f t="shared" si="41"/>
        <v>0</v>
      </c>
      <c r="BX13" s="678">
        <f t="shared" si="33"/>
        <v>0</v>
      </c>
      <c r="BY13" s="150" t="s">
        <v>46</v>
      </c>
      <c r="BZ13" s="608">
        <f>IFERROR(INDEX('Early Retirement'!$BG$4:$CG$33,$BO13,$BR13),0)</f>
        <v>0</v>
      </c>
      <c r="CA13" s="669">
        <f>IFERROR(HLOOKUP($BR13,'Early Retirement'!$BH$4:$CH$5,2,FALSE),0)</f>
        <v>0</v>
      </c>
      <c r="CB13" s="608">
        <f t="shared" si="34"/>
        <v>0</v>
      </c>
      <c r="CC13" s="669" t="s">
        <v>567</v>
      </c>
      <c r="CD13" s="150" t="str">
        <f t="shared" si="8"/>
        <v>Yes</v>
      </c>
      <c r="CE13" s="159">
        <f t="shared" si="9"/>
        <v>0</v>
      </c>
      <c r="CF13" s="678">
        <f t="shared" si="10"/>
        <v>0</v>
      </c>
      <c r="CG13" s="669" t="s">
        <v>46</v>
      </c>
      <c r="CH13" s="608">
        <f t="shared" si="35"/>
        <v>0</v>
      </c>
      <c r="CI13" s="669" t="s">
        <v>567</v>
      </c>
      <c r="CJ13" s="162">
        <f t="shared" si="36"/>
        <v>0</v>
      </c>
      <c r="CK13" s="602">
        <f t="shared" si="37"/>
        <v>0</v>
      </c>
      <c r="CL13" s="610" t="s">
        <v>46</v>
      </c>
      <c r="CM13" s="592">
        <f t="shared" si="38"/>
        <v>0</v>
      </c>
      <c r="CN13" s="665" t="s">
        <v>567</v>
      </c>
      <c r="CP13" s="90" t="s">
        <v>106</v>
      </c>
      <c r="CQ13" s="123">
        <v>11.2</v>
      </c>
      <c r="CR13" s="307" t="s">
        <v>45</v>
      </c>
      <c r="CS13" s="643">
        <v>13</v>
      </c>
      <c r="CT13" s="633" t="s">
        <v>45</v>
      </c>
      <c r="CU13" s="647">
        <f t="shared" si="39"/>
        <v>1.0714285714285714</v>
      </c>
      <c r="CV13" s="647">
        <f t="shared" si="40"/>
        <v>0.92307692307692313</v>
      </c>
      <c r="CW13" s="633" t="s">
        <v>46</v>
      </c>
      <c r="CX13" s="643">
        <v>7.7</v>
      </c>
      <c r="CY13" s="633" t="s">
        <v>566</v>
      </c>
      <c r="CZ13" s="641">
        <f>CX13/3.412</f>
        <v>2.2567409144196953</v>
      </c>
      <c r="DA13" s="638" t="s">
        <v>567</v>
      </c>
      <c r="DB13" s="562"/>
      <c r="DC13" s="562"/>
      <c r="DD13" s="562"/>
      <c r="DE13" s="562"/>
      <c r="DF13" s="562"/>
      <c r="DG13" s="562"/>
      <c r="DH13" s="562"/>
      <c r="DI13" s="562"/>
      <c r="DJ13" s="562"/>
      <c r="DK13" s="562"/>
      <c r="DL13" s="562"/>
      <c r="DM13" s="562"/>
      <c r="DN13" s="562"/>
      <c r="DO13" s="562"/>
      <c r="DP13" s="562"/>
      <c r="DQ13" s="562"/>
      <c r="DR13" s="562"/>
      <c r="DS13" s="562"/>
      <c r="DT13" s="562"/>
      <c r="DU13" s="562"/>
      <c r="DV13" s="562"/>
      <c r="DW13" s="562"/>
      <c r="DX13" s="562"/>
      <c r="DY13" s="562"/>
      <c r="DZ13" s="562"/>
      <c r="EA13" s="562"/>
      <c r="EB13" s="562"/>
      <c r="EC13" s="562"/>
      <c r="ED13" s="562"/>
      <c r="EE13" s="562"/>
      <c r="EF13" s="562"/>
      <c r="EG13" s="562"/>
      <c r="EH13" s="562"/>
      <c r="EI13" s="562"/>
      <c r="EJ13" s="562"/>
      <c r="EK13" s="562"/>
      <c r="EL13" s="562"/>
    </row>
    <row r="14" spans="1:142" s="78" customFormat="1" ht="15" customHeight="1" x14ac:dyDescent="0.25">
      <c r="D14" s="79"/>
      <c r="E14" s="77"/>
      <c r="F14" s="79"/>
      <c r="G14" s="79"/>
      <c r="H14" s="77"/>
      <c r="Q14" s="90" t="s">
        <v>87</v>
      </c>
      <c r="R14" s="98"/>
      <c r="S14" s="98"/>
      <c r="T14" s="89">
        <v>12</v>
      </c>
      <c r="U14" s="79"/>
      <c r="V14" s="79"/>
      <c r="W14" s="79"/>
      <c r="Y14" s="90">
        <v>12</v>
      </c>
      <c r="Z14" s="92" t="str">
        <f>IF(Inventory!$C21="","",VLOOKUP(Inventory!$C21,$B$3:$C$5,2,FALSE))</f>
        <v/>
      </c>
      <c r="AA14" s="92" t="str">
        <f>IF($Z14="","",IF(AND($Z14="b",Inventory!$G21=""),"",IF(AND($Z14="b",Inventory!$G21&lt;&gt;""),VLOOKUP(Inventory!$G21,$E$3:$F$10,2,FALSE),IF(AND($Z14="a",Inventory!$Z21=""),"",IF(AND($Z14="a",Inventory!$Z21&lt;&gt;""),VLOOKUP(Inventory!$Z21,$E$3:$F$10,2,FALSE),IF(AND($Z14="c",Inventory!$Z21=""),"",IF(AND($Z14="c",Inventory!$Z21&lt;&gt;""),VLOOKUP(Inventory!$Z21,$E$3:$F$10,2,FALSE),"")))))))</f>
        <v/>
      </c>
      <c r="AB14" s="92" t="str">
        <f>IF($Z14="","a",IF(AND($Z14="b",Inventory!$J21=""),"a",IF(AND($Z14="b",Inventory!$J21&lt;&gt;""),VLOOKUP(Inventory!$J21,$H$4:$I$6,2,FALSE),IF(AND($Z14="a",Inventory!$AA21=""),"a",IF(AND($Z14="a",Inventory!$AA21&lt;&gt;""),VLOOKUP(Inventory!$AA21,$H$4:$I$6,2,FALSE),IF(AND($Z14="c",Inventory!$AA21=""),"a",IF(AND($Z14="c",Inventory!$AA21&lt;&gt;""),VLOOKUP(Inventory!$AA21,$H$4:$I$6,2,FALSE),"a")))))))</f>
        <v>a</v>
      </c>
      <c r="AC14" s="307" t="str">
        <f t="shared" si="11"/>
        <v>a</v>
      </c>
      <c r="AD14" s="93" t="str">
        <f>IF($Z14="","a",IF(AND($Z14="b",Inventory!$L21=""),"a",IF(AND($Z14="b",Inventory!$L21&lt;&gt;""),VLOOKUP(Inventory!$L21,$N$4:$O$5,2,FALSE),IF(AND($Z14="a",Inventory!$AC21=""),"a",IF(AND($Z14="a",Inventory!$AC21&lt;&gt;""),VLOOKUP(Inventory!$AC21,$N$4:$O$5,2,FALSE),IF(AND($Z14="c",Inventory!$AC21=""),"a",IF(AND($Z14="c",Inventory!$AC21&lt;&gt;""),VLOOKUP(Inventory!$AC21,$N$4:$O$5,2,FALSE),"a")))))))</f>
        <v>a</v>
      </c>
      <c r="AE14" s="116">
        <f>IF(OR(Inventory!C21="New Construction",Inventory!C21="Replace-on-Burnout"),Inventory!AF21,IF(Inventory!C21="Early Retirement",MIN(Inventory!AE21,Inventory!AF21),0))</f>
        <v>0</v>
      </c>
      <c r="AF14" s="117" t="str">
        <f t="shared" si="12"/>
        <v/>
      </c>
      <c r="AG14" s="117" t="str">
        <f t="shared" si="0"/>
        <v/>
      </c>
      <c r="AH14" s="117" t="str">
        <f t="shared" si="1"/>
        <v/>
      </c>
      <c r="AI14" s="117" t="str">
        <f t="shared" si="2"/>
        <v/>
      </c>
      <c r="AJ14" s="117" t="str">
        <f t="shared" si="3"/>
        <v/>
      </c>
      <c r="AK14" s="117" t="str">
        <f t="shared" si="13"/>
        <v/>
      </c>
      <c r="AL14" s="117" t="str">
        <f t="shared" si="14"/>
        <v/>
      </c>
      <c r="AM14" s="117" t="str">
        <f t="shared" si="15"/>
        <v/>
      </c>
      <c r="AN14" s="117" t="str">
        <f t="shared" si="16"/>
        <v/>
      </c>
      <c r="AO14" s="117" t="str">
        <f t="shared" si="17"/>
        <v/>
      </c>
      <c r="AP14" s="117" t="str">
        <f t="shared" si="18"/>
        <v/>
      </c>
      <c r="AQ14" s="117" t="str">
        <f t="shared" si="19"/>
        <v/>
      </c>
      <c r="AR14" s="117" t="str">
        <f t="shared" si="20"/>
        <v/>
      </c>
      <c r="AS14" s="117" t="str">
        <f t="shared" si="21"/>
        <v/>
      </c>
      <c r="AT14" s="117" t="str">
        <f t="shared" si="22"/>
        <v/>
      </c>
      <c r="AU14" s="117" t="str">
        <f t="shared" si="23"/>
        <v/>
      </c>
      <c r="AV14" s="117" t="str">
        <f t="shared" si="4"/>
        <v/>
      </c>
      <c r="AW14" s="93">
        <f t="shared" si="5"/>
        <v>0</v>
      </c>
      <c r="AX14" s="93" t="str">
        <f>IF(AND($Z14="b",OR($AA14="a",$AA14="b"),Inventory!$I21="",$AE14&lt;(65000/12000)),"x",IF(AND($Z14="b",OR($AA14="a",$AA14="b"),Inventory!$I21&lt;&gt;"",$AE14&lt;(65000/12000)),VLOOKUP(Inventory!$I21,$V$4:$W$5,2,FALSE),"x"))</f>
        <v>x</v>
      </c>
      <c r="AY14" s="146" t="str">
        <f t="shared" si="24"/>
        <v>aaa0</v>
      </c>
      <c r="AZ14" s="150" t="str">
        <f t="shared" si="25"/>
        <v>No</v>
      </c>
      <c r="BA14" s="669" t="str">
        <f t="shared" si="26"/>
        <v>No</v>
      </c>
      <c r="BB14" s="150">
        <f>IF($Z14="c",Inventory!$AB21,Inventory!$K21)</f>
        <v>0</v>
      </c>
      <c r="BC14" s="153">
        <f>IF(AND($Z14="b",Inventory!$N21="Btu/hr"),Inventory!$M21,IF(AND($Z14="b",Inventory!$N21="Tons"),Inventory!$M21*12000,IF(AND($Z14&lt;&gt;"b",Inventory!$AK21="Btu/hr"),Inventory!$AD21,IF(AND($Z14&lt;&gt;"b",Inventory!$AK21="Tons"),Inventory!$AD21*12000,0))))</f>
        <v>0</v>
      </c>
      <c r="BD14" s="153">
        <f t="shared" si="27"/>
        <v>0</v>
      </c>
      <c r="BE14" s="159">
        <f t="shared" si="28"/>
        <v>0</v>
      </c>
      <c r="BF14" s="150" t="s">
        <v>50</v>
      </c>
      <c r="BG14" s="159">
        <f t="shared" si="6"/>
        <v>0</v>
      </c>
      <c r="BH14" s="150" t="s">
        <v>46</v>
      </c>
      <c r="BI14" s="672">
        <f>IF(AND($Z14="b",Inventory!$P21="Btu/hr"),Inventory!$O21,IF(AND($Z14="b",Inventory!$P21="Tons"),Inventory!$O21*12000,IF(AND($Z14&lt;&gt;"b",Inventory!$AM21="Btu/hr"),Inventory!$AL21,IF(AND($Z14&lt;&gt;"b",Inventory!$AM21="Tons"),Inventory!$AL21*12000,0))))</f>
        <v>0</v>
      </c>
      <c r="BJ14" s="672">
        <f t="shared" si="29"/>
        <v>0</v>
      </c>
      <c r="BK14" s="608">
        <f t="shared" si="30"/>
        <v>0</v>
      </c>
      <c r="BL14" s="669" t="s">
        <v>567</v>
      </c>
      <c r="BM14" s="150" t="str">
        <f t="shared" si="7"/>
        <v>No</v>
      </c>
      <c r="BN14" s="150" t="str">
        <f>IF(OR(Inventory!$H21="",$BM14="No"),"-",Inventory!$H21)</f>
        <v>-</v>
      </c>
      <c r="BO14" s="150" t="str">
        <f>IFERROR(VLOOKUP(BN14,'Early Retirement'!$B$6:$C$33,2,FALSE),"-")</f>
        <v>-</v>
      </c>
      <c r="BP14" s="150" t="str">
        <f>IF(Inventory!$J21="Centrifugal","Yes","No")</f>
        <v>No</v>
      </c>
      <c r="BQ14" s="150">
        <f t="shared" si="31"/>
        <v>0</v>
      </c>
      <c r="BR14" s="150" t="str">
        <f t="shared" si="32"/>
        <v>-</v>
      </c>
      <c r="BS14" s="159">
        <f>IFERROR(INDEX('Early Retirement'!$C$4:$AC$33,$BO14,$BR14),0)</f>
        <v>0</v>
      </c>
      <c r="BT14" s="150">
        <f>IFERROR(HLOOKUP($BR14,'Early Retirement'!$D$4:$AC$5,2,FALSE),0)</f>
        <v>0</v>
      </c>
      <c r="BU14" s="678">
        <f>IFERROR(INDEX('Early Retirement'!$AE$4:$BE$33,$BO14,$BR14),0)</f>
        <v>0</v>
      </c>
      <c r="BV14" s="669">
        <f>IFERROR(HLOOKUP($BR14,'Early Retirement'!$AF$4:$BE$5,2,FALSE),0)</f>
        <v>0</v>
      </c>
      <c r="BW14" s="159">
        <f t="shared" si="41"/>
        <v>0</v>
      </c>
      <c r="BX14" s="678">
        <f t="shared" si="33"/>
        <v>0</v>
      </c>
      <c r="BY14" s="150" t="s">
        <v>46</v>
      </c>
      <c r="BZ14" s="608">
        <f>IFERROR(INDEX('Early Retirement'!$BG$4:$CG$33,$BO14,$BR14),0)</f>
        <v>0</v>
      </c>
      <c r="CA14" s="669">
        <f>IFERROR(HLOOKUP($BR14,'Early Retirement'!$BH$4:$CH$5,2,FALSE),0)</f>
        <v>0</v>
      </c>
      <c r="CB14" s="608">
        <f t="shared" si="34"/>
        <v>0</v>
      </c>
      <c r="CC14" s="669" t="s">
        <v>567</v>
      </c>
      <c r="CD14" s="150" t="str">
        <f t="shared" si="8"/>
        <v>Yes</v>
      </c>
      <c r="CE14" s="159">
        <f t="shared" si="9"/>
        <v>0</v>
      </c>
      <c r="CF14" s="678">
        <f t="shared" si="10"/>
        <v>0</v>
      </c>
      <c r="CG14" s="669" t="s">
        <v>46</v>
      </c>
      <c r="CH14" s="608">
        <f t="shared" si="35"/>
        <v>0</v>
      </c>
      <c r="CI14" s="669" t="s">
        <v>567</v>
      </c>
      <c r="CJ14" s="162">
        <f t="shared" si="36"/>
        <v>0</v>
      </c>
      <c r="CK14" s="602">
        <f t="shared" si="37"/>
        <v>0</v>
      </c>
      <c r="CL14" s="610" t="s">
        <v>46</v>
      </c>
      <c r="CM14" s="592">
        <f t="shared" si="38"/>
        <v>0</v>
      </c>
      <c r="CN14" s="665" t="s">
        <v>567</v>
      </c>
      <c r="CP14" s="90" t="s">
        <v>107</v>
      </c>
      <c r="CQ14" s="121">
        <v>11</v>
      </c>
      <c r="CR14" s="307" t="s">
        <v>50</v>
      </c>
      <c r="CS14" s="641">
        <v>11.2</v>
      </c>
      <c r="CT14" s="633" t="s">
        <v>558</v>
      </c>
      <c r="CU14" s="645">
        <f t="shared" si="39"/>
        <v>1.0909090909090908</v>
      </c>
      <c r="CV14" s="645">
        <f t="shared" si="40"/>
        <v>1.0714285714285714</v>
      </c>
      <c r="CW14" s="633" t="s">
        <v>46</v>
      </c>
      <c r="CX14" s="641">
        <v>3.3</v>
      </c>
      <c r="CY14" s="633" t="s">
        <v>567</v>
      </c>
      <c r="CZ14" s="641">
        <f>CX14</f>
        <v>3.3</v>
      </c>
      <c r="DA14" s="638" t="s">
        <v>567</v>
      </c>
      <c r="DB14" s="562"/>
      <c r="DC14" s="562"/>
      <c r="DD14" s="562"/>
      <c r="DE14" s="562"/>
      <c r="DF14" s="562"/>
      <c r="DG14" s="562"/>
      <c r="DH14" s="562"/>
      <c r="DI14" s="562"/>
      <c r="DJ14" s="562"/>
      <c r="DK14" s="562"/>
      <c r="DL14" s="562"/>
      <c r="DM14" s="562"/>
      <c r="DN14" s="562"/>
      <c r="DO14" s="562"/>
      <c r="DP14" s="562"/>
      <c r="DQ14" s="562"/>
      <c r="DR14" s="562"/>
      <c r="DS14" s="562"/>
      <c r="DT14" s="562"/>
      <c r="DU14" s="562"/>
      <c r="DV14" s="562"/>
      <c r="DW14" s="562"/>
      <c r="DX14" s="562"/>
      <c r="DY14" s="562"/>
      <c r="DZ14" s="562"/>
      <c r="EA14" s="562"/>
      <c r="EB14" s="562"/>
      <c r="EC14" s="562"/>
      <c r="ED14" s="562"/>
      <c r="EE14" s="562"/>
      <c r="EF14" s="562"/>
      <c r="EG14" s="562"/>
      <c r="EH14" s="562"/>
      <c r="EI14" s="562"/>
      <c r="EJ14" s="562"/>
      <c r="EK14" s="562"/>
      <c r="EL14" s="562"/>
    </row>
    <row r="15" spans="1:142" s="78" customFormat="1" ht="15" customHeight="1" x14ac:dyDescent="0.25">
      <c r="D15" s="79"/>
      <c r="E15" s="77"/>
      <c r="F15" s="79"/>
      <c r="G15" s="79"/>
      <c r="H15" s="77"/>
      <c r="Q15" s="90" t="s">
        <v>88</v>
      </c>
      <c r="R15" s="98"/>
      <c r="S15" s="98"/>
      <c r="T15" s="89">
        <v>13</v>
      </c>
      <c r="U15" s="79"/>
      <c r="V15" s="79"/>
      <c r="W15" s="79"/>
      <c r="Y15" s="90">
        <v>13</v>
      </c>
      <c r="Z15" s="92" t="str">
        <f>IF(Inventory!$C22="","",VLOOKUP(Inventory!$C22,$B$3:$C$5,2,FALSE))</f>
        <v/>
      </c>
      <c r="AA15" s="92" t="str">
        <f>IF($Z15="","",IF(AND($Z15="b",Inventory!$G22=""),"",IF(AND($Z15="b",Inventory!$G22&lt;&gt;""),VLOOKUP(Inventory!$G22,$E$3:$F$10,2,FALSE),IF(AND($Z15="a",Inventory!$Z22=""),"",IF(AND($Z15="a",Inventory!$Z22&lt;&gt;""),VLOOKUP(Inventory!$Z22,$E$3:$F$10,2,FALSE),IF(AND($Z15="c",Inventory!$Z22=""),"",IF(AND($Z15="c",Inventory!$Z22&lt;&gt;""),VLOOKUP(Inventory!$Z22,$E$3:$F$10,2,FALSE),"")))))))</f>
        <v/>
      </c>
      <c r="AB15" s="92" t="str">
        <f>IF($Z15="","a",IF(AND($Z15="b",Inventory!$J22=""),"a",IF(AND($Z15="b",Inventory!$J22&lt;&gt;""),VLOOKUP(Inventory!$J22,$H$4:$I$6,2,FALSE),IF(AND($Z15="a",Inventory!$AA22=""),"a",IF(AND($Z15="a",Inventory!$AA22&lt;&gt;""),VLOOKUP(Inventory!$AA22,$H$4:$I$6,2,FALSE),IF(AND($Z15="c",Inventory!$AA22=""),"a",IF(AND($Z15="c",Inventory!$AA22&lt;&gt;""),VLOOKUP(Inventory!$AA22,$H$4:$I$6,2,FALSE),"a")))))))</f>
        <v>a</v>
      </c>
      <c r="AC15" s="307" t="str">
        <f t="shared" si="11"/>
        <v>a</v>
      </c>
      <c r="AD15" s="93" t="str">
        <f>IF($Z15="","a",IF(AND($Z15="b",Inventory!$L22=""),"a",IF(AND($Z15="b",Inventory!$L22&lt;&gt;""),VLOOKUP(Inventory!$L22,$N$4:$O$5,2,FALSE),IF(AND($Z15="a",Inventory!$AC22=""),"a",IF(AND($Z15="a",Inventory!$AC22&lt;&gt;""),VLOOKUP(Inventory!$AC22,$N$4:$O$5,2,FALSE),IF(AND($Z15="c",Inventory!$AC22=""),"a",IF(AND($Z15="c",Inventory!$AC22&lt;&gt;""),VLOOKUP(Inventory!$AC22,$N$4:$O$5,2,FALSE),"a")))))))</f>
        <v>a</v>
      </c>
      <c r="AE15" s="116">
        <f>IF(OR(Inventory!C22="New Construction",Inventory!C22="Replace-on-Burnout"),Inventory!AF22,IF(Inventory!C22="Early Retirement",MIN(Inventory!AE22,Inventory!AF22),0))</f>
        <v>0</v>
      </c>
      <c r="AF15" s="117" t="str">
        <f t="shared" si="12"/>
        <v/>
      </c>
      <c r="AG15" s="117" t="str">
        <f t="shared" si="0"/>
        <v/>
      </c>
      <c r="AH15" s="117" t="str">
        <f t="shared" si="1"/>
        <v/>
      </c>
      <c r="AI15" s="117" t="str">
        <f t="shared" si="2"/>
        <v/>
      </c>
      <c r="AJ15" s="117" t="str">
        <f t="shared" si="3"/>
        <v/>
      </c>
      <c r="AK15" s="117" t="str">
        <f t="shared" si="13"/>
        <v/>
      </c>
      <c r="AL15" s="117" t="str">
        <f t="shared" si="14"/>
        <v/>
      </c>
      <c r="AM15" s="117" t="str">
        <f t="shared" si="15"/>
        <v/>
      </c>
      <c r="AN15" s="117" t="str">
        <f t="shared" si="16"/>
        <v/>
      </c>
      <c r="AO15" s="117" t="str">
        <f t="shared" si="17"/>
        <v/>
      </c>
      <c r="AP15" s="117" t="str">
        <f t="shared" si="18"/>
        <v/>
      </c>
      <c r="AQ15" s="117" t="str">
        <f t="shared" si="19"/>
        <v/>
      </c>
      <c r="AR15" s="117" t="str">
        <f t="shared" si="20"/>
        <v/>
      </c>
      <c r="AS15" s="117" t="str">
        <f t="shared" si="21"/>
        <v/>
      </c>
      <c r="AT15" s="117" t="str">
        <f t="shared" si="22"/>
        <v/>
      </c>
      <c r="AU15" s="117" t="str">
        <f t="shared" si="23"/>
        <v/>
      </c>
      <c r="AV15" s="117" t="str">
        <f t="shared" si="4"/>
        <v/>
      </c>
      <c r="AW15" s="93">
        <f t="shared" si="5"/>
        <v>0</v>
      </c>
      <c r="AX15" s="93" t="str">
        <f>IF(AND($Z15="b",OR($AA15="a",$AA15="b"),Inventory!$I22="",$AE15&lt;(65000/12000)),"x",IF(AND($Z15="b",OR($AA15="a",$AA15="b"),Inventory!$I22&lt;&gt;"",$AE15&lt;(65000/12000)),VLOOKUP(Inventory!$I22,$V$4:$W$5,2,FALSE),"x"))</f>
        <v>x</v>
      </c>
      <c r="AY15" s="146" t="str">
        <f t="shared" si="24"/>
        <v>aaa0</v>
      </c>
      <c r="AZ15" s="150" t="str">
        <f t="shared" si="25"/>
        <v>No</v>
      </c>
      <c r="BA15" s="669" t="str">
        <f t="shared" si="26"/>
        <v>No</v>
      </c>
      <c r="BB15" s="150">
        <f>IF($Z15="c",Inventory!$AB22,Inventory!$K22)</f>
        <v>0</v>
      </c>
      <c r="BC15" s="153">
        <f>IF(AND($Z15="b",Inventory!$N22="Btu/hr"),Inventory!$M22,IF(AND($Z15="b",Inventory!$N22="Tons"),Inventory!$M22*12000,IF(AND($Z15&lt;&gt;"b",Inventory!$AK22="Btu/hr"),Inventory!$AD22,IF(AND($Z15&lt;&gt;"b",Inventory!$AK22="Tons"),Inventory!$AD22*12000,0))))</f>
        <v>0</v>
      </c>
      <c r="BD15" s="153">
        <f t="shared" si="27"/>
        <v>0</v>
      </c>
      <c r="BE15" s="159">
        <f t="shared" si="28"/>
        <v>0</v>
      </c>
      <c r="BF15" s="150" t="s">
        <v>50</v>
      </c>
      <c r="BG15" s="159">
        <f t="shared" si="6"/>
        <v>0</v>
      </c>
      <c r="BH15" s="150" t="s">
        <v>46</v>
      </c>
      <c r="BI15" s="672">
        <f>IF(AND($Z15="b",Inventory!$P22="Btu/hr"),Inventory!$O22,IF(AND($Z15="b",Inventory!$P22="Tons"),Inventory!$O22*12000,IF(AND($Z15&lt;&gt;"b",Inventory!$AM22="Btu/hr"),Inventory!$AL22,IF(AND($Z15&lt;&gt;"b",Inventory!$AM22="Tons"),Inventory!$AL22*12000,0))))</f>
        <v>0</v>
      </c>
      <c r="BJ15" s="672">
        <f t="shared" si="29"/>
        <v>0</v>
      </c>
      <c r="BK15" s="608">
        <f t="shared" si="30"/>
        <v>0</v>
      </c>
      <c r="BL15" s="669" t="s">
        <v>567</v>
      </c>
      <c r="BM15" s="150" t="str">
        <f t="shared" si="7"/>
        <v>No</v>
      </c>
      <c r="BN15" s="150" t="str">
        <f>IF(OR(Inventory!$H22="",$BM15="No"),"-",Inventory!$H22)</f>
        <v>-</v>
      </c>
      <c r="BO15" s="150" t="str">
        <f>IFERROR(VLOOKUP(BN15,'Early Retirement'!$B$6:$C$33,2,FALSE),"-")</f>
        <v>-</v>
      </c>
      <c r="BP15" s="150" t="str">
        <f>IF(Inventory!$J22="Centrifugal","Yes","No")</f>
        <v>No</v>
      </c>
      <c r="BQ15" s="150">
        <f t="shared" si="31"/>
        <v>0</v>
      </c>
      <c r="BR15" s="150" t="str">
        <f t="shared" si="32"/>
        <v>-</v>
      </c>
      <c r="BS15" s="159">
        <f>IFERROR(INDEX('Early Retirement'!$C$4:$AC$33,$BO15,$BR15),0)</f>
        <v>0</v>
      </c>
      <c r="BT15" s="150">
        <f>IFERROR(HLOOKUP($BR15,'Early Retirement'!$D$4:$AC$5,2,FALSE),0)</f>
        <v>0</v>
      </c>
      <c r="BU15" s="678">
        <f>IFERROR(INDEX('Early Retirement'!$AE$4:$BE$33,$BO15,$BR15),0)</f>
        <v>0</v>
      </c>
      <c r="BV15" s="669">
        <f>IFERROR(HLOOKUP($BR15,'Early Retirement'!$AF$4:$BE$5,2,FALSE),0)</f>
        <v>0</v>
      </c>
      <c r="BW15" s="159">
        <f t="shared" si="41"/>
        <v>0</v>
      </c>
      <c r="BX15" s="678">
        <f t="shared" si="33"/>
        <v>0</v>
      </c>
      <c r="BY15" s="150" t="s">
        <v>46</v>
      </c>
      <c r="BZ15" s="608">
        <f>IFERROR(INDEX('Early Retirement'!$BG$4:$CG$33,$BO15,$BR15),0)</f>
        <v>0</v>
      </c>
      <c r="CA15" s="669">
        <f>IFERROR(HLOOKUP($BR15,'Early Retirement'!$BH$4:$CH$5,2,FALSE),0)</f>
        <v>0</v>
      </c>
      <c r="CB15" s="608">
        <f t="shared" si="34"/>
        <v>0</v>
      </c>
      <c r="CC15" s="669" t="s">
        <v>567</v>
      </c>
      <c r="CD15" s="150" t="str">
        <f t="shared" si="8"/>
        <v>Yes</v>
      </c>
      <c r="CE15" s="159">
        <f t="shared" si="9"/>
        <v>0</v>
      </c>
      <c r="CF15" s="678">
        <f t="shared" si="10"/>
        <v>0</v>
      </c>
      <c r="CG15" s="669" t="s">
        <v>46</v>
      </c>
      <c r="CH15" s="608">
        <f t="shared" si="35"/>
        <v>0</v>
      </c>
      <c r="CI15" s="669" t="s">
        <v>567</v>
      </c>
      <c r="CJ15" s="162">
        <f t="shared" si="36"/>
        <v>0</v>
      </c>
      <c r="CK15" s="602">
        <f t="shared" si="37"/>
        <v>0</v>
      </c>
      <c r="CL15" s="610" t="s">
        <v>46</v>
      </c>
      <c r="CM15" s="592">
        <f t="shared" si="38"/>
        <v>0</v>
      </c>
      <c r="CN15" s="665" t="s">
        <v>567</v>
      </c>
      <c r="CP15" s="90" t="s">
        <v>108</v>
      </c>
      <c r="CQ15" s="121">
        <v>10.8</v>
      </c>
      <c r="CR15" s="307" t="s">
        <v>50</v>
      </c>
      <c r="CS15" s="641">
        <v>11</v>
      </c>
      <c r="CT15" s="633" t="s">
        <v>558</v>
      </c>
      <c r="CU15" s="645">
        <f t="shared" si="39"/>
        <v>1.1111111111111109</v>
      </c>
      <c r="CV15" s="645">
        <f t="shared" si="40"/>
        <v>1.0909090909090908</v>
      </c>
      <c r="CW15" s="633" t="s">
        <v>46</v>
      </c>
      <c r="CX15" s="641">
        <v>3.2</v>
      </c>
      <c r="CY15" s="633" t="s">
        <v>567</v>
      </c>
      <c r="CZ15" s="641">
        <f>CX15</f>
        <v>3.2</v>
      </c>
      <c r="DA15" s="638" t="s">
        <v>567</v>
      </c>
      <c r="DB15" s="562"/>
      <c r="DC15" s="562"/>
      <c r="DD15" s="562"/>
      <c r="DE15" s="562"/>
      <c r="DF15" s="562"/>
      <c r="DG15" s="562"/>
      <c r="DH15" s="562"/>
      <c r="DI15" s="562"/>
      <c r="DJ15" s="562"/>
      <c r="DK15" s="562"/>
      <c r="DL15" s="562"/>
      <c r="DM15" s="562"/>
      <c r="DN15" s="562"/>
      <c r="DO15" s="562"/>
      <c r="DP15" s="562"/>
      <c r="DQ15" s="562"/>
      <c r="DR15" s="562"/>
      <c r="DS15" s="562"/>
      <c r="DT15" s="562"/>
      <c r="DU15" s="562"/>
      <c r="DV15" s="562"/>
      <c r="DW15" s="562"/>
      <c r="DX15" s="562"/>
      <c r="DY15" s="562"/>
      <c r="DZ15" s="562"/>
      <c r="EA15" s="562"/>
      <c r="EB15" s="562"/>
      <c r="EC15" s="562"/>
      <c r="ED15" s="562"/>
      <c r="EE15" s="562"/>
      <c r="EF15" s="562"/>
      <c r="EG15" s="562"/>
      <c r="EH15" s="562"/>
      <c r="EI15" s="562"/>
      <c r="EJ15" s="562"/>
      <c r="EK15" s="562"/>
      <c r="EL15" s="562"/>
    </row>
    <row r="16" spans="1:142" s="78" customFormat="1" ht="15" customHeight="1" thickBot="1" x14ac:dyDescent="0.3">
      <c r="D16" s="79"/>
      <c r="E16" s="77"/>
      <c r="F16" s="79"/>
      <c r="G16" s="79"/>
      <c r="H16" s="77"/>
      <c r="Q16" s="180" t="s">
        <v>89</v>
      </c>
      <c r="R16" s="104"/>
      <c r="S16" s="104"/>
      <c r="T16" s="105">
        <v>14</v>
      </c>
      <c r="U16" s="79"/>
      <c r="V16" s="79"/>
      <c r="W16" s="79"/>
      <c r="Y16" s="90">
        <v>14</v>
      </c>
      <c r="Z16" s="92" t="str">
        <f>IF(Inventory!$C23="","",VLOOKUP(Inventory!$C23,$B$3:$C$5,2,FALSE))</f>
        <v/>
      </c>
      <c r="AA16" s="92" t="str">
        <f>IF($Z16="","",IF(AND($Z16="b",Inventory!$G23=""),"",IF(AND($Z16="b",Inventory!$G23&lt;&gt;""),VLOOKUP(Inventory!$G23,$E$3:$F$10,2,FALSE),IF(AND($Z16="a",Inventory!$Z23=""),"",IF(AND($Z16="a",Inventory!$Z23&lt;&gt;""),VLOOKUP(Inventory!$Z23,$E$3:$F$10,2,FALSE),IF(AND($Z16="c",Inventory!$Z23=""),"",IF(AND($Z16="c",Inventory!$Z23&lt;&gt;""),VLOOKUP(Inventory!$Z23,$E$3:$F$10,2,FALSE),"")))))))</f>
        <v/>
      </c>
      <c r="AB16" s="92" t="str">
        <f>IF($Z16="","a",IF(AND($Z16="b",Inventory!$J23=""),"a",IF(AND($Z16="b",Inventory!$J23&lt;&gt;""),VLOOKUP(Inventory!$J23,$H$4:$I$6,2,FALSE),IF(AND($Z16="a",Inventory!$AA23=""),"a",IF(AND($Z16="a",Inventory!$AA23&lt;&gt;""),VLOOKUP(Inventory!$AA23,$H$4:$I$6,2,FALSE),IF(AND($Z16="c",Inventory!$AA23=""),"a",IF(AND($Z16="c",Inventory!$AA23&lt;&gt;""),VLOOKUP(Inventory!$AA23,$H$4:$I$6,2,FALSE),"a")))))))</f>
        <v>a</v>
      </c>
      <c r="AC16" s="307" t="str">
        <f t="shared" si="11"/>
        <v>a</v>
      </c>
      <c r="AD16" s="93" t="str">
        <f>IF($Z16="","a",IF(AND($Z16="b",Inventory!$L23=""),"a",IF(AND($Z16="b",Inventory!$L23&lt;&gt;""),VLOOKUP(Inventory!$L23,$N$4:$O$5,2,FALSE),IF(AND($Z16="a",Inventory!$AC23=""),"a",IF(AND($Z16="a",Inventory!$AC23&lt;&gt;""),VLOOKUP(Inventory!$AC23,$N$4:$O$5,2,FALSE),IF(AND($Z16="c",Inventory!$AC23=""),"a",IF(AND($Z16="c",Inventory!$AC23&lt;&gt;""),VLOOKUP(Inventory!$AC23,$N$4:$O$5,2,FALSE),"a")))))))</f>
        <v>a</v>
      </c>
      <c r="AE16" s="116">
        <f>IF(OR(Inventory!C23="New Construction",Inventory!C23="Replace-on-Burnout"),Inventory!AF23,IF(Inventory!C23="Early Retirement",MIN(Inventory!AE23,Inventory!AF23),0))</f>
        <v>0</v>
      </c>
      <c r="AF16" s="117" t="str">
        <f t="shared" si="12"/>
        <v/>
      </c>
      <c r="AG16" s="117" t="str">
        <f t="shared" si="0"/>
        <v/>
      </c>
      <c r="AH16" s="117" t="str">
        <f t="shared" si="1"/>
        <v/>
      </c>
      <c r="AI16" s="117" t="str">
        <f t="shared" si="2"/>
        <v/>
      </c>
      <c r="AJ16" s="117" t="str">
        <f t="shared" si="3"/>
        <v/>
      </c>
      <c r="AK16" s="117" t="str">
        <f t="shared" si="13"/>
        <v/>
      </c>
      <c r="AL16" s="117" t="str">
        <f t="shared" si="14"/>
        <v/>
      </c>
      <c r="AM16" s="117" t="str">
        <f t="shared" si="15"/>
        <v/>
      </c>
      <c r="AN16" s="117" t="str">
        <f t="shared" si="16"/>
        <v/>
      </c>
      <c r="AO16" s="117" t="str">
        <f t="shared" si="17"/>
        <v/>
      </c>
      <c r="AP16" s="117" t="str">
        <f t="shared" si="18"/>
        <v/>
      </c>
      <c r="AQ16" s="117" t="str">
        <f t="shared" si="19"/>
        <v/>
      </c>
      <c r="AR16" s="117" t="str">
        <f t="shared" si="20"/>
        <v/>
      </c>
      <c r="AS16" s="117" t="str">
        <f t="shared" si="21"/>
        <v/>
      </c>
      <c r="AT16" s="117" t="str">
        <f t="shared" si="22"/>
        <v/>
      </c>
      <c r="AU16" s="117" t="str">
        <f t="shared" si="23"/>
        <v/>
      </c>
      <c r="AV16" s="117" t="str">
        <f t="shared" si="4"/>
        <v/>
      </c>
      <c r="AW16" s="93">
        <f t="shared" si="5"/>
        <v>0</v>
      </c>
      <c r="AX16" s="93" t="str">
        <f>IF(AND($Z16="b",OR($AA16="a",$AA16="b"),Inventory!$I23="",$AE16&lt;(65000/12000)),"x",IF(AND($Z16="b",OR($AA16="a",$AA16="b"),Inventory!$I23&lt;&gt;"",$AE16&lt;(65000/12000)),VLOOKUP(Inventory!$I23,$V$4:$W$5,2,FALSE),"x"))</f>
        <v>x</v>
      </c>
      <c r="AY16" s="146" t="str">
        <f t="shared" si="24"/>
        <v>aaa0</v>
      </c>
      <c r="AZ16" s="150" t="str">
        <f t="shared" si="25"/>
        <v>No</v>
      </c>
      <c r="BA16" s="669" t="str">
        <f t="shared" si="26"/>
        <v>No</v>
      </c>
      <c r="BB16" s="150">
        <f>IF($Z16="c",Inventory!$AB23,Inventory!$K23)</f>
        <v>0</v>
      </c>
      <c r="BC16" s="153">
        <f>IF(AND($Z16="b",Inventory!$N23="Btu/hr"),Inventory!$M23,IF(AND($Z16="b",Inventory!$N23="Tons"),Inventory!$M23*12000,IF(AND($Z16&lt;&gt;"b",Inventory!$AK23="Btu/hr"),Inventory!$AD23,IF(AND($Z16&lt;&gt;"b",Inventory!$AK23="Tons"),Inventory!$AD23*12000,0))))</f>
        <v>0</v>
      </c>
      <c r="BD16" s="153">
        <f t="shared" si="27"/>
        <v>0</v>
      </c>
      <c r="BE16" s="159">
        <f t="shared" si="28"/>
        <v>0</v>
      </c>
      <c r="BF16" s="150" t="s">
        <v>50</v>
      </c>
      <c r="BG16" s="159">
        <f t="shared" si="6"/>
        <v>0</v>
      </c>
      <c r="BH16" s="150" t="s">
        <v>46</v>
      </c>
      <c r="BI16" s="672">
        <f>IF(AND($Z16="b",Inventory!$P23="Btu/hr"),Inventory!$O23,IF(AND($Z16="b",Inventory!$P23="Tons"),Inventory!$O23*12000,IF(AND($Z16&lt;&gt;"b",Inventory!$AM23="Btu/hr"),Inventory!$AL23,IF(AND($Z16&lt;&gt;"b",Inventory!$AM23="Tons"),Inventory!$AL23*12000,0))))</f>
        <v>0</v>
      </c>
      <c r="BJ16" s="672">
        <f t="shared" si="29"/>
        <v>0</v>
      </c>
      <c r="BK16" s="608">
        <f t="shared" si="30"/>
        <v>0</v>
      </c>
      <c r="BL16" s="669" t="s">
        <v>567</v>
      </c>
      <c r="BM16" s="150" t="str">
        <f t="shared" si="7"/>
        <v>No</v>
      </c>
      <c r="BN16" s="150" t="str">
        <f>IF(OR(Inventory!$H23="",$BM16="No"),"-",Inventory!$H23)</f>
        <v>-</v>
      </c>
      <c r="BO16" s="150" t="str">
        <f>IFERROR(VLOOKUP(BN16,'Early Retirement'!$B$6:$C$33,2,FALSE),"-")</f>
        <v>-</v>
      </c>
      <c r="BP16" s="150" t="str">
        <f>IF(Inventory!$J23="Centrifugal","Yes","No")</f>
        <v>No</v>
      </c>
      <c r="BQ16" s="150">
        <f t="shared" si="31"/>
        <v>0</v>
      </c>
      <c r="BR16" s="150" t="str">
        <f t="shared" si="32"/>
        <v>-</v>
      </c>
      <c r="BS16" s="159">
        <f>IFERROR(INDEX('Early Retirement'!$C$4:$AC$33,$BO16,$BR16),0)</f>
        <v>0</v>
      </c>
      <c r="BT16" s="150">
        <f>IFERROR(HLOOKUP($BR16,'Early Retirement'!$D$4:$AC$5,2,FALSE),0)</f>
        <v>0</v>
      </c>
      <c r="BU16" s="678">
        <f>IFERROR(INDEX('Early Retirement'!$AE$4:$BE$33,$BO16,$BR16),0)</f>
        <v>0</v>
      </c>
      <c r="BV16" s="669">
        <f>IFERROR(HLOOKUP($BR16,'Early Retirement'!$AF$4:$BE$5,2,FALSE),0)</f>
        <v>0</v>
      </c>
      <c r="BW16" s="159">
        <f t="shared" si="41"/>
        <v>0</v>
      </c>
      <c r="BX16" s="678">
        <f t="shared" si="33"/>
        <v>0</v>
      </c>
      <c r="BY16" s="150" t="s">
        <v>46</v>
      </c>
      <c r="BZ16" s="608">
        <f>IFERROR(INDEX('Early Retirement'!$BG$4:$CG$33,$BO16,$BR16),0)</f>
        <v>0</v>
      </c>
      <c r="CA16" s="669">
        <f>IFERROR(HLOOKUP($BR16,'Early Retirement'!$BH$4:$CH$5,2,FALSE),0)</f>
        <v>0</v>
      </c>
      <c r="CB16" s="608">
        <f t="shared" si="34"/>
        <v>0</v>
      </c>
      <c r="CC16" s="669" t="s">
        <v>567</v>
      </c>
      <c r="CD16" s="150" t="str">
        <f t="shared" si="8"/>
        <v>Yes</v>
      </c>
      <c r="CE16" s="159">
        <f t="shared" si="9"/>
        <v>0</v>
      </c>
      <c r="CF16" s="678">
        <f t="shared" si="10"/>
        <v>0</v>
      </c>
      <c r="CG16" s="669" t="s">
        <v>46</v>
      </c>
      <c r="CH16" s="608">
        <f t="shared" si="35"/>
        <v>0</v>
      </c>
      <c r="CI16" s="669" t="s">
        <v>567</v>
      </c>
      <c r="CJ16" s="162">
        <f t="shared" si="36"/>
        <v>0</v>
      </c>
      <c r="CK16" s="602">
        <f t="shared" si="37"/>
        <v>0</v>
      </c>
      <c r="CL16" s="610" t="s">
        <v>46</v>
      </c>
      <c r="CM16" s="592">
        <f t="shared" si="38"/>
        <v>0</v>
      </c>
      <c r="CN16" s="665" t="s">
        <v>567</v>
      </c>
      <c r="CP16" s="90" t="s">
        <v>109</v>
      </c>
      <c r="CQ16" s="121">
        <v>9.8000000000000007</v>
      </c>
      <c r="CR16" s="307" t="s">
        <v>50</v>
      </c>
      <c r="CS16" s="641">
        <v>9.9</v>
      </c>
      <c r="CT16" s="633" t="s">
        <v>558</v>
      </c>
      <c r="CU16" s="645">
        <f t="shared" si="39"/>
        <v>1.2244897959183672</v>
      </c>
      <c r="CV16" s="645">
        <f t="shared" si="40"/>
        <v>1.2121212121212122</v>
      </c>
      <c r="CW16" s="633" t="s">
        <v>46</v>
      </c>
      <c r="CX16" s="641">
        <v>3.2</v>
      </c>
      <c r="CY16" s="633" t="s">
        <v>567</v>
      </c>
      <c r="CZ16" s="641">
        <f>CX16</f>
        <v>3.2</v>
      </c>
      <c r="DA16" s="638" t="s">
        <v>567</v>
      </c>
      <c r="DB16" s="562"/>
      <c r="DC16" s="562"/>
      <c r="DD16" s="562"/>
      <c r="DE16" s="562"/>
      <c r="DF16" s="562"/>
      <c r="DG16" s="562"/>
      <c r="DH16" s="562"/>
      <c r="DI16" s="562"/>
      <c r="DJ16" s="562"/>
      <c r="DK16" s="562"/>
      <c r="DL16" s="562"/>
      <c r="DM16" s="562"/>
      <c r="DN16" s="562"/>
      <c r="DO16" s="562"/>
      <c r="DP16" s="562"/>
      <c r="DQ16" s="562"/>
      <c r="DR16" s="562"/>
      <c r="DS16" s="562"/>
      <c r="DT16" s="562"/>
      <c r="DU16" s="562"/>
      <c r="DV16" s="562"/>
      <c r="DW16" s="562"/>
      <c r="DX16" s="562"/>
      <c r="DY16" s="562"/>
      <c r="DZ16" s="562"/>
      <c r="EA16" s="562"/>
      <c r="EB16" s="562"/>
      <c r="EC16" s="562"/>
      <c r="ED16" s="562"/>
      <c r="EE16" s="562"/>
      <c r="EF16" s="562"/>
      <c r="EG16" s="562"/>
      <c r="EH16" s="562"/>
      <c r="EI16" s="562"/>
      <c r="EJ16" s="562"/>
      <c r="EK16" s="562"/>
      <c r="EL16" s="562"/>
    </row>
    <row r="17" spans="2:142" s="78" customFormat="1" ht="15" customHeight="1" x14ac:dyDescent="0.25">
      <c r="B17" s="77"/>
      <c r="E17" s="77"/>
      <c r="F17" s="79"/>
      <c r="G17" s="79"/>
      <c r="H17" s="77"/>
      <c r="Q17" s="1065" t="s">
        <v>78</v>
      </c>
      <c r="R17" s="85">
        <v>0</v>
      </c>
      <c r="S17" s="85">
        <f>8000/12000</f>
        <v>0.66666666666666663</v>
      </c>
      <c r="T17" s="84">
        <v>15</v>
      </c>
      <c r="U17" s="79"/>
      <c r="V17" s="79"/>
      <c r="W17" s="79"/>
      <c r="Y17" s="90">
        <v>15</v>
      </c>
      <c r="Z17" s="92" t="str">
        <f>IF(Inventory!$C24="","",VLOOKUP(Inventory!$C24,$B$3:$C$5,2,FALSE))</f>
        <v/>
      </c>
      <c r="AA17" s="92" t="str">
        <f>IF($Z17="","",IF(AND($Z17="b",Inventory!$G24=""),"",IF(AND($Z17="b",Inventory!$G24&lt;&gt;""),VLOOKUP(Inventory!$G24,$E$3:$F$10,2,FALSE),IF(AND($Z17="a",Inventory!$Z24=""),"",IF(AND($Z17="a",Inventory!$Z24&lt;&gt;""),VLOOKUP(Inventory!$Z24,$E$3:$F$10,2,FALSE),IF(AND($Z17="c",Inventory!$Z24=""),"",IF(AND($Z17="c",Inventory!$Z24&lt;&gt;""),VLOOKUP(Inventory!$Z24,$E$3:$F$10,2,FALSE),"")))))))</f>
        <v/>
      </c>
      <c r="AB17" s="92" t="str">
        <f>IF($Z17="","a",IF(AND($Z17="b",Inventory!$J24=""),"a",IF(AND($Z17="b",Inventory!$J24&lt;&gt;""),VLOOKUP(Inventory!$J24,$H$4:$I$6,2,FALSE),IF(AND($Z17="a",Inventory!$AA24=""),"a",IF(AND($Z17="a",Inventory!$AA24&lt;&gt;""),VLOOKUP(Inventory!$AA24,$H$4:$I$6,2,FALSE),IF(AND($Z17="c",Inventory!$AA24=""),"a",IF(AND($Z17="c",Inventory!$AA24&lt;&gt;""),VLOOKUP(Inventory!$AA24,$H$4:$I$6,2,FALSE),"a")))))))</f>
        <v>a</v>
      </c>
      <c r="AC17" s="307" t="str">
        <f t="shared" si="11"/>
        <v>a</v>
      </c>
      <c r="AD17" s="93" t="str">
        <f>IF($Z17="","a",IF(AND($Z17="b",Inventory!$L24=""),"a",IF(AND($Z17="b",Inventory!$L24&lt;&gt;""),VLOOKUP(Inventory!$L24,$N$4:$O$5,2,FALSE),IF(AND($Z17="a",Inventory!$AC24=""),"a",IF(AND($Z17="a",Inventory!$AC24&lt;&gt;""),VLOOKUP(Inventory!$AC24,$N$4:$O$5,2,FALSE),IF(AND($Z17="c",Inventory!$AC24=""),"a",IF(AND($Z17="c",Inventory!$AC24&lt;&gt;""),VLOOKUP(Inventory!$AC24,$N$4:$O$5,2,FALSE),"a")))))))</f>
        <v>a</v>
      </c>
      <c r="AE17" s="116">
        <f>IF(OR(Inventory!C24="New Construction",Inventory!C24="Replace-on-Burnout"),Inventory!AF24,IF(Inventory!C24="Early Retirement",MIN(Inventory!AE24,Inventory!AF24),0))</f>
        <v>0</v>
      </c>
      <c r="AF17" s="117" t="str">
        <f t="shared" si="12"/>
        <v/>
      </c>
      <c r="AG17" s="117" t="str">
        <f t="shared" si="0"/>
        <v/>
      </c>
      <c r="AH17" s="117" t="str">
        <f t="shared" si="1"/>
        <v/>
      </c>
      <c r="AI17" s="117" t="str">
        <f t="shared" si="2"/>
        <v/>
      </c>
      <c r="AJ17" s="117" t="str">
        <f t="shared" si="3"/>
        <v/>
      </c>
      <c r="AK17" s="117" t="str">
        <f t="shared" si="13"/>
        <v/>
      </c>
      <c r="AL17" s="117" t="str">
        <f t="shared" si="14"/>
        <v/>
      </c>
      <c r="AM17" s="117" t="str">
        <f t="shared" si="15"/>
        <v/>
      </c>
      <c r="AN17" s="117" t="str">
        <f t="shared" si="16"/>
        <v/>
      </c>
      <c r="AO17" s="117" t="str">
        <f t="shared" si="17"/>
        <v/>
      </c>
      <c r="AP17" s="117" t="str">
        <f t="shared" si="18"/>
        <v/>
      </c>
      <c r="AQ17" s="117" t="str">
        <f t="shared" si="19"/>
        <v/>
      </c>
      <c r="AR17" s="117" t="str">
        <f t="shared" si="20"/>
        <v/>
      </c>
      <c r="AS17" s="117" t="str">
        <f t="shared" si="21"/>
        <v/>
      </c>
      <c r="AT17" s="117" t="str">
        <f t="shared" si="22"/>
        <v/>
      </c>
      <c r="AU17" s="117" t="str">
        <f t="shared" si="23"/>
        <v/>
      </c>
      <c r="AV17" s="117" t="str">
        <f t="shared" si="4"/>
        <v/>
      </c>
      <c r="AW17" s="93">
        <f t="shared" si="5"/>
        <v>0</v>
      </c>
      <c r="AX17" s="93" t="str">
        <f>IF(AND($Z17="b",OR($AA17="a",$AA17="b"),Inventory!$I24="",$AE17&lt;(65000/12000)),"x",IF(AND($Z17="b",OR($AA17="a",$AA17="b"),Inventory!$I24&lt;&gt;"",$AE17&lt;(65000/12000)),VLOOKUP(Inventory!$I24,$V$4:$W$5,2,FALSE),"x"))</f>
        <v>x</v>
      </c>
      <c r="AY17" s="146" t="str">
        <f t="shared" si="24"/>
        <v>aaa0</v>
      </c>
      <c r="AZ17" s="150" t="str">
        <f t="shared" si="25"/>
        <v>No</v>
      </c>
      <c r="BA17" s="669" t="str">
        <f t="shared" si="26"/>
        <v>No</v>
      </c>
      <c r="BB17" s="150">
        <f>IF($Z17="c",Inventory!$AB24,Inventory!$K24)</f>
        <v>0</v>
      </c>
      <c r="BC17" s="153">
        <f>IF(AND($Z17="b",Inventory!$N24="Btu/hr"),Inventory!$M24,IF(AND($Z17="b",Inventory!$N24="Tons"),Inventory!$M24*12000,IF(AND($Z17&lt;&gt;"b",Inventory!$AK24="Btu/hr"),Inventory!$AD24,IF(AND($Z17&lt;&gt;"b",Inventory!$AK24="Tons"),Inventory!$AD24*12000,0))))</f>
        <v>0</v>
      </c>
      <c r="BD17" s="153">
        <f t="shared" si="27"/>
        <v>0</v>
      </c>
      <c r="BE17" s="159">
        <f t="shared" si="28"/>
        <v>0</v>
      </c>
      <c r="BF17" s="150" t="s">
        <v>50</v>
      </c>
      <c r="BG17" s="159">
        <f t="shared" si="6"/>
        <v>0</v>
      </c>
      <c r="BH17" s="150" t="s">
        <v>46</v>
      </c>
      <c r="BI17" s="672">
        <f>IF(AND($Z17="b",Inventory!$P24="Btu/hr"),Inventory!$O24,IF(AND($Z17="b",Inventory!$P24="Tons"),Inventory!$O24*12000,IF(AND($Z17&lt;&gt;"b",Inventory!$AM24="Btu/hr"),Inventory!$AL24,IF(AND($Z17&lt;&gt;"b",Inventory!$AM24="Tons"),Inventory!$AL24*12000,0))))</f>
        <v>0</v>
      </c>
      <c r="BJ17" s="672">
        <f t="shared" si="29"/>
        <v>0</v>
      </c>
      <c r="BK17" s="608">
        <f t="shared" si="30"/>
        <v>0</v>
      </c>
      <c r="BL17" s="669" t="s">
        <v>567</v>
      </c>
      <c r="BM17" s="150" t="str">
        <f t="shared" si="7"/>
        <v>No</v>
      </c>
      <c r="BN17" s="150" t="str">
        <f>IF(OR(Inventory!$H24="",$BM17="No"),"-",Inventory!$H24)</f>
        <v>-</v>
      </c>
      <c r="BO17" s="150" t="str">
        <f>IFERROR(VLOOKUP(BN17,'Early Retirement'!$B$6:$C$33,2,FALSE),"-")</f>
        <v>-</v>
      </c>
      <c r="BP17" s="150" t="str">
        <f>IF(Inventory!$J24="Centrifugal","Yes","No")</f>
        <v>No</v>
      </c>
      <c r="BQ17" s="150">
        <f t="shared" si="31"/>
        <v>0</v>
      </c>
      <c r="BR17" s="150" t="str">
        <f t="shared" si="32"/>
        <v>-</v>
      </c>
      <c r="BS17" s="159">
        <f>IFERROR(INDEX('Early Retirement'!$C$4:$AC$33,$BO17,$BR17),0)</f>
        <v>0</v>
      </c>
      <c r="BT17" s="150">
        <f>IFERROR(HLOOKUP($BR17,'Early Retirement'!$D$4:$AC$5,2,FALSE),0)</f>
        <v>0</v>
      </c>
      <c r="BU17" s="678">
        <f>IFERROR(INDEX('Early Retirement'!$AE$4:$BE$33,$BO17,$BR17),0)</f>
        <v>0</v>
      </c>
      <c r="BV17" s="669">
        <f>IFERROR(HLOOKUP($BR17,'Early Retirement'!$AF$4:$BE$5,2,FALSE),0)</f>
        <v>0</v>
      </c>
      <c r="BW17" s="159">
        <f t="shared" si="41"/>
        <v>0</v>
      </c>
      <c r="BX17" s="678">
        <f t="shared" si="33"/>
        <v>0</v>
      </c>
      <c r="BY17" s="150" t="s">
        <v>46</v>
      </c>
      <c r="BZ17" s="608">
        <f>IFERROR(INDEX('Early Retirement'!$BG$4:$CG$33,$BO17,$BR17),0)</f>
        <v>0</v>
      </c>
      <c r="CA17" s="669">
        <f>IFERROR(HLOOKUP($BR17,'Early Retirement'!$BH$4:$CH$5,2,FALSE),0)</f>
        <v>0</v>
      </c>
      <c r="CB17" s="608">
        <f t="shared" si="34"/>
        <v>0</v>
      </c>
      <c r="CC17" s="669" t="s">
        <v>567</v>
      </c>
      <c r="CD17" s="150" t="str">
        <f t="shared" si="8"/>
        <v>Yes</v>
      </c>
      <c r="CE17" s="159">
        <f t="shared" si="9"/>
        <v>0</v>
      </c>
      <c r="CF17" s="678">
        <f t="shared" si="10"/>
        <v>0</v>
      </c>
      <c r="CG17" s="669" t="s">
        <v>46</v>
      </c>
      <c r="CH17" s="608">
        <f t="shared" si="35"/>
        <v>0</v>
      </c>
      <c r="CI17" s="669" t="s">
        <v>567</v>
      </c>
      <c r="CJ17" s="162">
        <f t="shared" si="36"/>
        <v>0</v>
      </c>
      <c r="CK17" s="602">
        <f t="shared" si="37"/>
        <v>0</v>
      </c>
      <c r="CL17" s="610" t="s">
        <v>46</v>
      </c>
      <c r="CM17" s="592">
        <f t="shared" si="38"/>
        <v>0</v>
      </c>
      <c r="CN17" s="665" t="s">
        <v>567</v>
      </c>
      <c r="CP17" s="90" t="s">
        <v>110</v>
      </c>
      <c r="CQ17" s="121">
        <v>9.5</v>
      </c>
      <c r="CR17" s="307" t="s">
        <v>50</v>
      </c>
      <c r="CS17" s="641">
        <v>9.6</v>
      </c>
      <c r="CT17" s="633" t="s">
        <v>558</v>
      </c>
      <c r="CU17" s="645">
        <f t="shared" si="39"/>
        <v>1.263157894736842</v>
      </c>
      <c r="CV17" s="645">
        <f t="shared" si="40"/>
        <v>1.25</v>
      </c>
      <c r="CW17" s="633" t="s">
        <v>46</v>
      </c>
      <c r="CX17" s="641">
        <v>3.2</v>
      </c>
      <c r="CY17" s="633" t="s">
        <v>567</v>
      </c>
      <c r="CZ17" s="641">
        <f>CX17</f>
        <v>3.2</v>
      </c>
      <c r="DA17" s="638" t="s">
        <v>567</v>
      </c>
      <c r="DB17" s="562"/>
      <c r="DC17" s="562"/>
      <c r="DD17" s="562"/>
      <c r="DE17" s="562"/>
      <c r="DF17" s="562"/>
      <c r="DG17" s="562"/>
      <c r="DH17" s="562"/>
      <c r="DI17" s="562"/>
      <c r="DJ17" s="562"/>
      <c r="DK17" s="562"/>
      <c r="DL17" s="562"/>
      <c r="DM17" s="562"/>
      <c r="DN17" s="562"/>
      <c r="DO17" s="562"/>
      <c r="DP17" s="562"/>
      <c r="DQ17" s="562"/>
      <c r="DR17" s="562"/>
      <c r="DS17" s="562"/>
      <c r="DT17" s="562"/>
      <c r="DU17" s="562"/>
      <c r="DV17" s="562"/>
      <c r="DW17" s="562"/>
      <c r="DX17" s="562"/>
      <c r="DY17" s="562"/>
      <c r="DZ17" s="562"/>
      <c r="EA17" s="562"/>
      <c r="EB17" s="562"/>
      <c r="EC17" s="562"/>
      <c r="ED17" s="562"/>
      <c r="EE17" s="562"/>
      <c r="EF17" s="562"/>
      <c r="EG17" s="562"/>
      <c r="EH17" s="562"/>
      <c r="EI17" s="562"/>
      <c r="EJ17" s="562"/>
      <c r="EK17" s="562"/>
      <c r="EL17" s="562"/>
    </row>
    <row r="18" spans="2:142" s="78" customFormat="1" ht="15" customHeight="1" x14ac:dyDescent="0.25">
      <c r="B18" s="77"/>
      <c r="E18" s="77"/>
      <c r="F18" s="79"/>
      <c r="H18" s="77"/>
      <c r="Q18" s="1066"/>
      <c r="R18" s="91">
        <f>8000/12000</f>
        <v>0.66666666666666663</v>
      </c>
      <c r="S18" s="91">
        <f>14000/12000</f>
        <v>1.1666666666666667</v>
      </c>
      <c r="T18" s="89">
        <v>16</v>
      </c>
      <c r="U18" s="79"/>
      <c r="V18" s="79"/>
      <c r="W18" s="79"/>
      <c r="Y18" s="90">
        <v>16</v>
      </c>
      <c r="Z18" s="92" t="str">
        <f>IF(Inventory!$C25="","",VLOOKUP(Inventory!$C25,$B$3:$C$5,2,FALSE))</f>
        <v/>
      </c>
      <c r="AA18" s="92" t="str">
        <f>IF($Z18="","",IF(AND($Z18="b",Inventory!$G25=""),"",IF(AND($Z18="b",Inventory!$G25&lt;&gt;""),VLOOKUP(Inventory!$G25,$E$3:$F$10,2,FALSE),IF(AND($Z18="a",Inventory!$Z25=""),"",IF(AND($Z18="a",Inventory!$Z25&lt;&gt;""),VLOOKUP(Inventory!$Z25,$E$3:$F$10,2,FALSE),IF(AND($Z18="c",Inventory!$Z25=""),"",IF(AND($Z18="c",Inventory!$Z25&lt;&gt;""),VLOOKUP(Inventory!$Z25,$E$3:$F$10,2,FALSE),"")))))))</f>
        <v/>
      </c>
      <c r="AB18" s="92" t="str">
        <f>IF($Z18="","a",IF(AND($Z18="b",Inventory!$J25=""),"a",IF(AND($Z18="b",Inventory!$J25&lt;&gt;""),VLOOKUP(Inventory!$J25,$H$4:$I$6,2,FALSE),IF(AND($Z18="a",Inventory!$AA25=""),"a",IF(AND($Z18="a",Inventory!$AA25&lt;&gt;""),VLOOKUP(Inventory!$AA25,$H$4:$I$6,2,FALSE),IF(AND($Z18="c",Inventory!$AA25=""),"a",IF(AND($Z18="c",Inventory!$AA25&lt;&gt;""),VLOOKUP(Inventory!$AA25,$H$4:$I$6,2,FALSE),"a")))))))</f>
        <v>a</v>
      </c>
      <c r="AC18" s="307" t="str">
        <f t="shared" si="11"/>
        <v>a</v>
      </c>
      <c r="AD18" s="93" t="str">
        <f>IF($Z18="","a",IF(AND($Z18="b",Inventory!$L25=""),"a",IF(AND($Z18="b",Inventory!$L25&lt;&gt;""),VLOOKUP(Inventory!$L25,$N$4:$O$5,2,FALSE),IF(AND($Z18="a",Inventory!$AC25=""),"a",IF(AND($Z18="a",Inventory!$AC25&lt;&gt;""),VLOOKUP(Inventory!$AC25,$N$4:$O$5,2,FALSE),IF(AND($Z18="c",Inventory!$AC25=""),"a",IF(AND($Z18="c",Inventory!$AC25&lt;&gt;""),VLOOKUP(Inventory!$AC25,$N$4:$O$5,2,FALSE),"a")))))))</f>
        <v>a</v>
      </c>
      <c r="AE18" s="116">
        <f>IF(OR(Inventory!C25="New Construction",Inventory!C25="Replace-on-Burnout"),Inventory!AF25,IF(Inventory!C25="Early Retirement",MIN(Inventory!AE25,Inventory!AF25),0))</f>
        <v>0</v>
      </c>
      <c r="AF18" s="117" t="str">
        <f t="shared" si="12"/>
        <v/>
      </c>
      <c r="AG18" s="117" t="str">
        <f t="shared" si="0"/>
        <v/>
      </c>
      <c r="AH18" s="117" t="str">
        <f t="shared" si="1"/>
        <v/>
      </c>
      <c r="AI18" s="117" t="str">
        <f t="shared" si="2"/>
        <v/>
      </c>
      <c r="AJ18" s="117" t="str">
        <f t="shared" si="3"/>
        <v/>
      </c>
      <c r="AK18" s="117" t="str">
        <f t="shared" si="13"/>
        <v/>
      </c>
      <c r="AL18" s="117" t="str">
        <f t="shared" si="14"/>
        <v/>
      </c>
      <c r="AM18" s="117" t="str">
        <f t="shared" si="15"/>
        <v/>
      </c>
      <c r="AN18" s="117" t="str">
        <f t="shared" si="16"/>
        <v/>
      </c>
      <c r="AO18" s="117" t="str">
        <f t="shared" si="17"/>
        <v/>
      </c>
      <c r="AP18" s="117" t="str">
        <f t="shared" si="18"/>
        <v/>
      </c>
      <c r="AQ18" s="117" t="str">
        <f t="shared" si="19"/>
        <v/>
      </c>
      <c r="AR18" s="117" t="str">
        <f t="shared" si="20"/>
        <v/>
      </c>
      <c r="AS18" s="117" t="str">
        <f t="shared" si="21"/>
        <v/>
      </c>
      <c r="AT18" s="117" t="str">
        <f t="shared" si="22"/>
        <v/>
      </c>
      <c r="AU18" s="117" t="str">
        <f t="shared" si="23"/>
        <v/>
      </c>
      <c r="AV18" s="117" t="str">
        <f t="shared" si="4"/>
        <v/>
      </c>
      <c r="AW18" s="93">
        <f t="shared" si="5"/>
        <v>0</v>
      </c>
      <c r="AX18" s="93" t="str">
        <f>IF(AND($Z18="b",OR($AA18="a",$AA18="b"),Inventory!$I25="",$AE18&lt;(65000/12000)),"x",IF(AND($Z18="b",OR($AA18="a",$AA18="b"),Inventory!$I25&lt;&gt;"",$AE18&lt;(65000/12000)),VLOOKUP(Inventory!$I25,$V$4:$W$5,2,FALSE),"x"))</f>
        <v>x</v>
      </c>
      <c r="AY18" s="146" t="str">
        <f t="shared" si="24"/>
        <v>aaa0</v>
      </c>
      <c r="AZ18" s="150" t="str">
        <f t="shared" si="25"/>
        <v>No</v>
      </c>
      <c r="BA18" s="669" t="str">
        <f t="shared" si="26"/>
        <v>No</v>
      </c>
      <c r="BB18" s="150">
        <f>IF($Z18="c",Inventory!$AB25,Inventory!$K25)</f>
        <v>0</v>
      </c>
      <c r="BC18" s="153">
        <f>IF(AND($Z18="b",Inventory!$N25="Btu/hr"),Inventory!$M25,IF(AND($Z18="b",Inventory!$N25="Tons"),Inventory!$M25*12000,IF(AND($Z18&lt;&gt;"b",Inventory!$AK25="Btu/hr"),Inventory!$AD25,IF(AND($Z18&lt;&gt;"b",Inventory!$AK25="Tons"),Inventory!$AD25*12000,0))))</f>
        <v>0</v>
      </c>
      <c r="BD18" s="153">
        <f t="shared" si="27"/>
        <v>0</v>
      </c>
      <c r="BE18" s="159">
        <f t="shared" si="28"/>
        <v>0</v>
      </c>
      <c r="BF18" s="150" t="s">
        <v>50</v>
      </c>
      <c r="BG18" s="159">
        <f t="shared" si="6"/>
        <v>0</v>
      </c>
      <c r="BH18" s="150" t="s">
        <v>46</v>
      </c>
      <c r="BI18" s="672">
        <f>IF(AND($Z18="b",Inventory!$P25="Btu/hr"),Inventory!$O25,IF(AND($Z18="b",Inventory!$P25="Tons"),Inventory!$O25*12000,IF(AND($Z18&lt;&gt;"b",Inventory!$AM25="Btu/hr"),Inventory!$AL25,IF(AND($Z18&lt;&gt;"b",Inventory!$AM25="Tons"),Inventory!$AL25*12000,0))))</f>
        <v>0</v>
      </c>
      <c r="BJ18" s="672">
        <f t="shared" si="29"/>
        <v>0</v>
      </c>
      <c r="BK18" s="608">
        <f t="shared" si="30"/>
        <v>0</v>
      </c>
      <c r="BL18" s="669" t="s">
        <v>567</v>
      </c>
      <c r="BM18" s="150" t="str">
        <f t="shared" si="7"/>
        <v>No</v>
      </c>
      <c r="BN18" s="150" t="str">
        <f>IF(OR(Inventory!$H25="",$BM18="No"),"-",Inventory!$H25)</f>
        <v>-</v>
      </c>
      <c r="BO18" s="150" t="str">
        <f>IFERROR(VLOOKUP(BN18,'Early Retirement'!$B$6:$C$33,2,FALSE),"-")</f>
        <v>-</v>
      </c>
      <c r="BP18" s="150" t="str">
        <f>IF(Inventory!$J25="Centrifugal","Yes","No")</f>
        <v>No</v>
      </c>
      <c r="BQ18" s="150">
        <f t="shared" si="31"/>
        <v>0</v>
      </c>
      <c r="BR18" s="150" t="str">
        <f t="shared" si="32"/>
        <v>-</v>
      </c>
      <c r="BS18" s="159">
        <f>IFERROR(INDEX('Early Retirement'!$C$4:$AC$33,$BO18,$BR18),0)</f>
        <v>0</v>
      </c>
      <c r="BT18" s="150">
        <f>IFERROR(HLOOKUP($BR18,'Early Retirement'!$D$4:$AC$5,2,FALSE),0)</f>
        <v>0</v>
      </c>
      <c r="BU18" s="678">
        <f>IFERROR(INDEX('Early Retirement'!$AE$4:$BE$33,$BO18,$BR18),0)</f>
        <v>0</v>
      </c>
      <c r="BV18" s="669">
        <f>IFERROR(HLOOKUP($BR18,'Early Retirement'!$AF$4:$BE$5,2,FALSE),0)</f>
        <v>0</v>
      </c>
      <c r="BW18" s="159">
        <f t="shared" si="41"/>
        <v>0</v>
      </c>
      <c r="BX18" s="678">
        <f t="shared" si="33"/>
        <v>0</v>
      </c>
      <c r="BY18" s="150" t="s">
        <v>46</v>
      </c>
      <c r="BZ18" s="608">
        <f>IFERROR(INDEX('Early Retirement'!$BG$4:$CG$33,$BO18,$BR18),0)</f>
        <v>0</v>
      </c>
      <c r="CA18" s="669">
        <f>IFERROR(HLOOKUP($BR18,'Early Retirement'!$BH$4:$CH$5,2,FALSE),0)</f>
        <v>0</v>
      </c>
      <c r="CB18" s="608">
        <f t="shared" si="34"/>
        <v>0</v>
      </c>
      <c r="CC18" s="669" t="s">
        <v>567</v>
      </c>
      <c r="CD18" s="150" t="str">
        <f t="shared" si="8"/>
        <v>Yes</v>
      </c>
      <c r="CE18" s="159">
        <f t="shared" si="9"/>
        <v>0</v>
      </c>
      <c r="CF18" s="678">
        <f t="shared" si="10"/>
        <v>0</v>
      </c>
      <c r="CG18" s="669" t="s">
        <v>46</v>
      </c>
      <c r="CH18" s="608">
        <f t="shared" si="35"/>
        <v>0</v>
      </c>
      <c r="CI18" s="669" t="s">
        <v>567</v>
      </c>
      <c r="CJ18" s="162">
        <f t="shared" si="36"/>
        <v>0</v>
      </c>
      <c r="CK18" s="602">
        <f t="shared" si="37"/>
        <v>0</v>
      </c>
      <c r="CL18" s="610" t="s">
        <v>46</v>
      </c>
      <c r="CM18" s="592">
        <f t="shared" si="38"/>
        <v>0</v>
      </c>
      <c r="CN18" s="665" t="s">
        <v>567</v>
      </c>
      <c r="CP18" s="90" t="s">
        <v>111</v>
      </c>
      <c r="CQ18" s="121">
        <v>11.2</v>
      </c>
      <c r="CR18" s="307" t="s">
        <v>45</v>
      </c>
      <c r="CS18" s="641">
        <v>13</v>
      </c>
      <c r="CT18" s="633" t="s">
        <v>45</v>
      </c>
      <c r="CU18" s="645">
        <f t="shared" si="39"/>
        <v>1.0714285714285714</v>
      </c>
      <c r="CV18" s="645">
        <f t="shared" si="40"/>
        <v>0.92307692307692313</v>
      </c>
      <c r="CW18" s="633" t="s">
        <v>46</v>
      </c>
      <c r="CX18" s="641">
        <v>7.7</v>
      </c>
      <c r="CY18" s="633" t="s">
        <v>566</v>
      </c>
      <c r="CZ18" s="641">
        <f>CX18/3.412</f>
        <v>2.2567409144196953</v>
      </c>
      <c r="DA18" s="638" t="s">
        <v>567</v>
      </c>
      <c r="DB18" s="562"/>
      <c r="DC18" s="562"/>
      <c r="DD18" s="562"/>
      <c r="DE18" s="562"/>
      <c r="DF18" s="562"/>
      <c r="DG18" s="562"/>
      <c r="DH18" s="562"/>
      <c r="DI18" s="562"/>
      <c r="DJ18" s="562"/>
      <c r="DK18" s="562"/>
      <c r="DL18" s="562"/>
      <c r="DM18" s="562"/>
      <c r="DN18" s="562"/>
      <c r="DO18" s="562"/>
      <c r="DP18" s="562"/>
      <c r="DQ18" s="562"/>
      <c r="DR18" s="562"/>
      <c r="DS18" s="562"/>
      <c r="DT18" s="562"/>
      <c r="DU18" s="562"/>
      <c r="DV18" s="562"/>
      <c r="DW18" s="562"/>
      <c r="DX18" s="562"/>
      <c r="DY18" s="562"/>
      <c r="DZ18" s="562"/>
      <c r="EA18" s="562"/>
      <c r="EB18" s="562"/>
      <c r="EC18" s="562"/>
      <c r="ED18" s="562"/>
      <c r="EE18" s="562"/>
      <c r="EF18" s="562"/>
      <c r="EG18" s="562"/>
      <c r="EH18" s="562"/>
      <c r="EI18" s="562"/>
      <c r="EJ18" s="562"/>
      <c r="EK18" s="562"/>
      <c r="EL18" s="562"/>
    </row>
    <row r="19" spans="2:142" s="78" customFormat="1" ht="15" customHeight="1" x14ac:dyDescent="0.25">
      <c r="B19" s="77"/>
      <c r="E19" s="77"/>
      <c r="H19" s="77"/>
      <c r="Q19" s="1066"/>
      <c r="R19" s="91">
        <f>14000/12000</f>
        <v>1.1666666666666667</v>
      </c>
      <c r="S19" s="91">
        <f>20000/12000</f>
        <v>1.6666666666666667</v>
      </c>
      <c r="T19" s="89">
        <v>17</v>
      </c>
      <c r="U19" s="79"/>
      <c r="V19" s="79"/>
      <c r="W19" s="79"/>
      <c r="Y19" s="90">
        <v>17</v>
      </c>
      <c r="Z19" s="92" t="str">
        <f>IF(Inventory!$C26="","",VLOOKUP(Inventory!$C26,$B$3:$C$5,2,FALSE))</f>
        <v/>
      </c>
      <c r="AA19" s="92" t="str">
        <f>IF($Z19="","",IF(AND($Z19="b",Inventory!$G26=""),"",IF(AND($Z19="b",Inventory!$G26&lt;&gt;""),VLOOKUP(Inventory!$G26,$E$3:$F$10,2,FALSE),IF(AND($Z19="a",Inventory!$Z26=""),"",IF(AND($Z19="a",Inventory!$Z26&lt;&gt;""),VLOOKUP(Inventory!$Z26,$E$3:$F$10,2,FALSE),IF(AND($Z19="c",Inventory!$Z26=""),"",IF(AND($Z19="c",Inventory!$Z26&lt;&gt;""),VLOOKUP(Inventory!$Z26,$E$3:$F$10,2,FALSE),"")))))))</f>
        <v/>
      </c>
      <c r="AB19" s="92" t="str">
        <f>IF($Z19="","a",IF(AND($Z19="b",Inventory!$J26=""),"a",IF(AND($Z19="b",Inventory!$J26&lt;&gt;""),VLOOKUP(Inventory!$J26,$H$4:$I$6,2,FALSE),IF(AND($Z19="a",Inventory!$AA26=""),"a",IF(AND($Z19="a",Inventory!$AA26&lt;&gt;""),VLOOKUP(Inventory!$AA26,$H$4:$I$6,2,FALSE),IF(AND($Z19="c",Inventory!$AA26=""),"a",IF(AND($Z19="c",Inventory!$AA26&lt;&gt;""),VLOOKUP(Inventory!$AA26,$H$4:$I$6,2,FALSE),"a")))))))</f>
        <v>a</v>
      </c>
      <c r="AC19" s="307" t="str">
        <f t="shared" si="11"/>
        <v>a</v>
      </c>
      <c r="AD19" s="93" t="str">
        <f>IF($Z19="","a",IF(AND($Z19="b",Inventory!$L26=""),"a",IF(AND($Z19="b",Inventory!$L26&lt;&gt;""),VLOOKUP(Inventory!$L26,$N$4:$O$5,2,FALSE),IF(AND($Z19="a",Inventory!$AC26=""),"a",IF(AND($Z19="a",Inventory!$AC26&lt;&gt;""),VLOOKUP(Inventory!$AC26,$N$4:$O$5,2,FALSE),IF(AND($Z19="c",Inventory!$AC26=""),"a",IF(AND($Z19="c",Inventory!$AC26&lt;&gt;""),VLOOKUP(Inventory!$AC26,$N$4:$O$5,2,FALSE),"a")))))))</f>
        <v>a</v>
      </c>
      <c r="AE19" s="116">
        <f>IF(OR(Inventory!C26="New Construction",Inventory!C26="Replace-on-Burnout"),Inventory!AF26,IF(Inventory!C26="Early Retirement",MIN(Inventory!AE26,Inventory!AF26),0))</f>
        <v>0</v>
      </c>
      <c r="AF19" s="117" t="str">
        <f t="shared" si="12"/>
        <v/>
      </c>
      <c r="AG19" s="117" t="str">
        <f t="shared" si="0"/>
        <v/>
      </c>
      <c r="AH19" s="117" t="str">
        <f t="shared" si="1"/>
        <v/>
      </c>
      <c r="AI19" s="117" t="str">
        <f t="shared" si="2"/>
        <v/>
      </c>
      <c r="AJ19" s="117" t="str">
        <f t="shared" si="3"/>
        <v/>
      </c>
      <c r="AK19" s="117" t="str">
        <f t="shared" si="13"/>
        <v/>
      </c>
      <c r="AL19" s="117" t="str">
        <f t="shared" si="14"/>
        <v/>
      </c>
      <c r="AM19" s="117" t="str">
        <f t="shared" si="15"/>
        <v/>
      </c>
      <c r="AN19" s="117" t="str">
        <f t="shared" si="16"/>
        <v/>
      </c>
      <c r="AO19" s="117" t="str">
        <f t="shared" si="17"/>
        <v/>
      </c>
      <c r="AP19" s="117" t="str">
        <f t="shared" si="18"/>
        <v/>
      </c>
      <c r="AQ19" s="117" t="str">
        <f t="shared" si="19"/>
        <v/>
      </c>
      <c r="AR19" s="117" t="str">
        <f t="shared" si="20"/>
        <v/>
      </c>
      <c r="AS19" s="117" t="str">
        <f t="shared" si="21"/>
        <v/>
      </c>
      <c r="AT19" s="117" t="str">
        <f t="shared" si="22"/>
        <v/>
      </c>
      <c r="AU19" s="117" t="str">
        <f t="shared" si="23"/>
        <v/>
      </c>
      <c r="AV19" s="117" t="str">
        <f t="shared" si="4"/>
        <v/>
      </c>
      <c r="AW19" s="93">
        <f t="shared" si="5"/>
        <v>0</v>
      </c>
      <c r="AX19" s="93" t="str">
        <f>IF(AND($Z19="b",OR($AA19="a",$AA19="b"),Inventory!$I26="",$AE19&lt;(65000/12000)),"x",IF(AND($Z19="b",OR($AA19="a",$AA19="b"),Inventory!$I26&lt;&gt;"",$AE19&lt;(65000/12000)),VLOOKUP(Inventory!$I26,$V$4:$W$5,2,FALSE),"x"))</f>
        <v>x</v>
      </c>
      <c r="AY19" s="146" t="str">
        <f t="shared" si="24"/>
        <v>aaa0</v>
      </c>
      <c r="AZ19" s="150" t="str">
        <f t="shared" si="25"/>
        <v>No</v>
      </c>
      <c r="BA19" s="669" t="str">
        <f t="shared" si="26"/>
        <v>No</v>
      </c>
      <c r="BB19" s="150">
        <f>IF($Z19="c",Inventory!$AB26,Inventory!$K26)</f>
        <v>0</v>
      </c>
      <c r="BC19" s="153">
        <f>IF(AND($Z19="b",Inventory!$N26="Btu/hr"),Inventory!$M26,IF(AND($Z19="b",Inventory!$N26="Tons"),Inventory!$M26*12000,IF(AND($Z19&lt;&gt;"b",Inventory!$AK26="Btu/hr"),Inventory!$AD26,IF(AND($Z19&lt;&gt;"b",Inventory!$AK26="Tons"),Inventory!$AD26*12000,0))))</f>
        <v>0</v>
      </c>
      <c r="BD19" s="153">
        <f t="shared" si="27"/>
        <v>0</v>
      </c>
      <c r="BE19" s="159">
        <f t="shared" si="28"/>
        <v>0</v>
      </c>
      <c r="BF19" s="150" t="s">
        <v>50</v>
      </c>
      <c r="BG19" s="159">
        <f t="shared" si="6"/>
        <v>0</v>
      </c>
      <c r="BH19" s="150" t="s">
        <v>46</v>
      </c>
      <c r="BI19" s="672">
        <f>IF(AND($Z19="b",Inventory!$P26="Btu/hr"),Inventory!$O26,IF(AND($Z19="b",Inventory!$P26="Tons"),Inventory!$O26*12000,IF(AND($Z19&lt;&gt;"b",Inventory!$AM26="Btu/hr"),Inventory!$AL26,IF(AND($Z19&lt;&gt;"b",Inventory!$AM26="Tons"),Inventory!$AL26*12000,0))))</f>
        <v>0</v>
      </c>
      <c r="BJ19" s="672">
        <f t="shared" si="29"/>
        <v>0</v>
      </c>
      <c r="BK19" s="608">
        <f t="shared" si="30"/>
        <v>0</v>
      </c>
      <c r="BL19" s="669" t="s">
        <v>567</v>
      </c>
      <c r="BM19" s="150" t="str">
        <f t="shared" si="7"/>
        <v>No</v>
      </c>
      <c r="BN19" s="150" t="str">
        <f>IF(OR(Inventory!$H26="",$BM19="No"),"-",Inventory!$H26)</f>
        <v>-</v>
      </c>
      <c r="BO19" s="150" t="str">
        <f>IFERROR(VLOOKUP(BN19,'Early Retirement'!$B$6:$C$33,2,FALSE),"-")</f>
        <v>-</v>
      </c>
      <c r="BP19" s="150" t="str">
        <f>IF(Inventory!$J26="Centrifugal","Yes","No")</f>
        <v>No</v>
      </c>
      <c r="BQ19" s="150">
        <f t="shared" si="31"/>
        <v>0</v>
      </c>
      <c r="BR19" s="150" t="str">
        <f t="shared" si="32"/>
        <v>-</v>
      </c>
      <c r="BS19" s="159">
        <f>IFERROR(INDEX('Early Retirement'!$C$4:$AC$33,$BO19,$BR19),0)</f>
        <v>0</v>
      </c>
      <c r="BT19" s="150">
        <f>IFERROR(HLOOKUP($BR19,'Early Retirement'!$D$4:$AC$5,2,FALSE),0)</f>
        <v>0</v>
      </c>
      <c r="BU19" s="678">
        <f>IFERROR(INDEX('Early Retirement'!$AE$4:$BE$33,$BO19,$BR19),0)</f>
        <v>0</v>
      </c>
      <c r="BV19" s="669">
        <f>IFERROR(HLOOKUP($BR19,'Early Retirement'!$AF$4:$BE$5,2,FALSE),0)</f>
        <v>0</v>
      </c>
      <c r="BW19" s="159">
        <f t="shared" si="41"/>
        <v>0</v>
      </c>
      <c r="BX19" s="678">
        <f t="shared" si="33"/>
        <v>0</v>
      </c>
      <c r="BY19" s="150" t="s">
        <v>46</v>
      </c>
      <c r="BZ19" s="608">
        <f>IFERROR(INDEX('Early Retirement'!$BG$4:$CG$33,$BO19,$BR19),0)</f>
        <v>0</v>
      </c>
      <c r="CA19" s="669">
        <f>IFERROR(HLOOKUP($BR19,'Early Retirement'!$BH$4:$CH$5,2,FALSE),0)</f>
        <v>0</v>
      </c>
      <c r="CB19" s="608">
        <f t="shared" si="34"/>
        <v>0</v>
      </c>
      <c r="CC19" s="669" t="s">
        <v>567</v>
      </c>
      <c r="CD19" s="150" t="str">
        <f t="shared" si="8"/>
        <v>Yes</v>
      </c>
      <c r="CE19" s="159">
        <f t="shared" si="9"/>
        <v>0</v>
      </c>
      <c r="CF19" s="678">
        <f t="shared" si="10"/>
        <v>0</v>
      </c>
      <c r="CG19" s="669" t="s">
        <v>46</v>
      </c>
      <c r="CH19" s="608">
        <f t="shared" si="35"/>
        <v>0</v>
      </c>
      <c r="CI19" s="669" t="s">
        <v>567</v>
      </c>
      <c r="CJ19" s="162">
        <f t="shared" si="36"/>
        <v>0</v>
      </c>
      <c r="CK19" s="602">
        <f t="shared" si="37"/>
        <v>0</v>
      </c>
      <c r="CL19" s="610" t="s">
        <v>46</v>
      </c>
      <c r="CM19" s="592">
        <f t="shared" si="38"/>
        <v>0</v>
      </c>
      <c r="CN19" s="665" t="s">
        <v>567</v>
      </c>
      <c r="CP19" s="90" t="s">
        <v>112</v>
      </c>
      <c r="CQ19" s="121">
        <v>11</v>
      </c>
      <c r="CR19" s="307" t="s">
        <v>50</v>
      </c>
      <c r="CS19" s="641">
        <v>11.2</v>
      </c>
      <c r="CT19" s="633" t="s">
        <v>558</v>
      </c>
      <c r="CU19" s="645">
        <f t="shared" si="39"/>
        <v>1.0909090909090908</v>
      </c>
      <c r="CV19" s="645">
        <f t="shared" si="40"/>
        <v>1.0714285714285714</v>
      </c>
      <c r="CW19" s="633" t="s">
        <v>46</v>
      </c>
      <c r="CX19" s="641">
        <v>3.3</v>
      </c>
      <c r="CY19" s="633" t="s">
        <v>567</v>
      </c>
      <c r="CZ19" s="641">
        <f>CX19</f>
        <v>3.3</v>
      </c>
      <c r="DA19" s="638" t="s">
        <v>567</v>
      </c>
      <c r="DB19" s="562"/>
      <c r="DC19" s="562"/>
      <c r="DD19" s="562"/>
      <c r="DE19" s="562"/>
      <c r="DF19" s="562"/>
      <c r="DG19" s="562"/>
      <c r="DH19" s="562"/>
      <c r="DI19" s="562"/>
      <c r="DJ19" s="562"/>
      <c r="DK19" s="562"/>
      <c r="DL19" s="562"/>
      <c r="DM19" s="562"/>
      <c r="DN19" s="562"/>
      <c r="DO19" s="562"/>
      <c r="DP19" s="562"/>
      <c r="DQ19" s="562"/>
      <c r="DR19" s="562"/>
      <c r="DS19" s="562"/>
      <c r="DT19" s="562"/>
      <c r="DU19" s="562"/>
      <c r="DV19" s="562"/>
      <c r="DW19" s="562"/>
      <c r="DX19" s="562"/>
      <c r="DY19" s="562"/>
      <c r="DZ19" s="562"/>
      <c r="EA19" s="562"/>
      <c r="EB19" s="562"/>
      <c r="EC19" s="562"/>
      <c r="ED19" s="562"/>
      <c r="EE19" s="562"/>
      <c r="EF19" s="562"/>
      <c r="EG19" s="562"/>
      <c r="EH19" s="562"/>
      <c r="EI19" s="562"/>
      <c r="EJ19" s="562"/>
      <c r="EK19" s="562"/>
      <c r="EL19" s="562"/>
    </row>
    <row r="20" spans="2:142" s="78" customFormat="1" ht="15" customHeight="1" x14ac:dyDescent="0.25">
      <c r="B20" s="77"/>
      <c r="E20" s="77"/>
      <c r="H20" s="77"/>
      <c r="Q20" s="1066"/>
      <c r="R20" s="91">
        <f>20000/12000</f>
        <v>1.6666666666666667</v>
      </c>
      <c r="S20" s="91">
        <f>25000/12000</f>
        <v>2.0833333333333335</v>
      </c>
      <c r="T20" s="89">
        <v>18</v>
      </c>
      <c r="U20" s="79"/>
      <c r="V20" s="79"/>
      <c r="W20" s="79"/>
      <c r="Y20" s="90">
        <v>18</v>
      </c>
      <c r="Z20" s="92" t="str">
        <f>IF(Inventory!$C27="","",VLOOKUP(Inventory!$C27,$B$3:$C$5,2,FALSE))</f>
        <v/>
      </c>
      <c r="AA20" s="92" t="str">
        <f>IF($Z20="","",IF(AND($Z20="b",Inventory!$G27=""),"",IF(AND($Z20="b",Inventory!$G27&lt;&gt;""),VLOOKUP(Inventory!$G27,$E$3:$F$10,2,FALSE),IF(AND($Z20="a",Inventory!$Z27=""),"",IF(AND($Z20="a",Inventory!$Z27&lt;&gt;""),VLOOKUP(Inventory!$Z27,$E$3:$F$10,2,FALSE),IF(AND($Z20="c",Inventory!$Z27=""),"",IF(AND($Z20="c",Inventory!$Z27&lt;&gt;""),VLOOKUP(Inventory!$Z27,$E$3:$F$10,2,FALSE),"")))))))</f>
        <v/>
      </c>
      <c r="AB20" s="92" t="str">
        <f>IF($Z20="","a",IF(AND($Z20="b",Inventory!$J27=""),"a",IF(AND($Z20="b",Inventory!$J27&lt;&gt;""),VLOOKUP(Inventory!$J27,$H$4:$I$6,2,FALSE),IF(AND($Z20="a",Inventory!$AA27=""),"a",IF(AND($Z20="a",Inventory!$AA27&lt;&gt;""),VLOOKUP(Inventory!$AA27,$H$4:$I$6,2,FALSE),IF(AND($Z20="c",Inventory!$AA27=""),"a",IF(AND($Z20="c",Inventory!$AA27&lt;&gt;""),VLOOKUP(Inventory!$AA27,$H$4:$I$6,2,FALSE),"a")))))))</f>
        <v>a</v>
      </c>
      <c r="AC20" s="307" t="str">
        <f t="shared" si="11"/>
        <v>a</v>
      </c>
      <c r="AD20" s="93" t="str">
        <f>IF($Z20="","a",IF(AND($Z20="b",Inventory!$L27=""),"a",IF(AND($Z20="b",Inventory!$L27&lt;&gt;""),VLOOKUP(Inventory!$L27,$N$4:$O$5,2,FALSE),IF(AND($Z20="a",Inventory!$AC27=""),"a",IF(AND($Z20="a",Inventory!$AC27&lt;&gt;""),VLOOKUP(Inventory!$AC27,$N$4:$O$5,2,FALSE),IF(AND($Z20="c",Inventory!$AC27=""),"a",IF(AND($Z20="c",Inventory!$AC27&lt;&gt;""),VLOOKUP(Inventory!$AC27,$N$4:$O$5,2,FALSE),"a")))))))</f>
        <v>a</v>
      </c>
      <c r="AE20" s="116">
        <f>IF(OR(Inventory!C27="New Construction",Inventory!C27="Replace-on-Burnout"),Inventory!AF27,IF(Inventory!C27="Early Retirement",MIN(Inventory!AE27,Inventory!AF27),0))</f>
        <v>0</v>
      </c>
      <c r="AF20" s="117" t="str">
        <f t="shared" si="12"/>
        <v/>
      </c>
      <c r="AG20" s="117" t="str">
        <f t="shared" si="0"/>
        <v/>
      </c>
      <c r="AH20" s="117" t="str">
        <f t="shared" si="1"/>
        <v/>
      </c>
      <c r="AI20" s="117" t="str">
        <f t="shared" si="2"/>
        <v/>
      </c>
      <c r="AJ20" s="117" t="str">
        <f t="shared" si="3"/>
        <v/>
      </c>
      <c r="AK20" s="117" t="str">
        <f t="shared" si="13"/>
        <v/>
      </c>
      <c r="AL20" s="117" t="str">
        <f t="shared" si="14"/>
        <v/>
      </c>
      <c r="AM20" s="117" t="str">
        <f t="shared" si="15"/>
        <v/>
      </c>
      <c r="AN20" s="117" t="str">
        <f t="shared" si="16"/>
        <v/>
      </c>
      <c r="AO20" s="117" t="str">
        <f t="shared" si="17"/>
        <v/>
      </c>
      <c r="AP20" s="117" t="str">
        <f t="shared" si="18"/>
        <v/>
      </c>
      <c r="AQ20" s="117" t="str">
        <f t="shared" si="19"/>
        <v/>
      </c>
      <c r="AR20" s="117" t="str">
        <f t="shared" si="20"/>
        <v/>
      </c>
      <c r="AS20" s="117" t="str">
        <f t="shared" si="21"/>
        <v/>
      </c>
      <c r="AT20" s="117" t="str">
        <f t="shared" si="22"/>
        <v/>
      </c>
      <c r="AU20" s="117" t="str">
        <f t="shared" si="23"/>
        <v/>
      </c>
      <c r="AV20" s="117" t="str">
        <f t="shared" si="4"/>
        <v/>
      </c>
      <c r="AW20" s="93">
        <f t="shared" si="5"/>
        <v>0</v>
      </c>
      <c r="AX20" s="93" t="str">
        <f>IF(AND($Z20="b",OR($AA20="a",$AA20="b"),Inventory!$I27="",$AE20&lt;(65000/12000)),"x",IF(AND($Z20="b",OR($AA20="a",$AA20="b"),Inventory!$I27&lt;&gt;"",$AE20&lt;(65000/12000)),VLOOKUP(Inventory!$I27,$V$4:$W$5,2,FALSE),"x"))</f>
        <v>x</v>
      </c>
      <c r="AY20" s="146" t="str">
        <f t="shared" si="24"/>
        <v>aaa0</v>
      </c>
      <c r="AZ20" s="150" t="str">
        <f t="shared" si="25"/>
        <v>No</v>
      </c>
      <c r="BA20" s="669" t="str">
        <f t="shared" si="26"/>
        <v>No</v>
      </c>
      <c r="BB20" s="150">
        <f>IF($Z20="c",Inventory!$AB27,Inventory!$K27)</f>
        <v>0</v>
      </c>
      <c r="BC20" s="153">
        <f>IF(AND($Z20="b",Inventory!$N27="Btu/hr"),Inventory!$M27,IF(AND($Z20="b",Inventory!$N27="Tons"),Inventory!$M27*12000,IF(AND($Z20&lt;&gt;"b",Inventory!$AK27="Btu/hr"),Inventory!$AD27,IF(AND($Z20&lt;&gt;"b",Inventory!$AK27="Tons"),Inventory!$AD27*12000,0))))</f>
        <v>0</v>
      </c>
      <c r="BD20" s="153">
        <f t="shared" si="27"/>
        <v>0</v>
      </c>
      <c r="BE20" s="159">
        <f t="shared" si="28"/>
        <v>0</v>
      </c>
      <c r="BF20" s="150" t="s">
        <v>50</v>
      </c>
      <c r="BG20" s="159">
        <f t="shared" si="6"/>
        <v>0</v>
      </c>
      <c r="BH20" s="150" t="s">
        <v>46</v>
      </c>
      <c r="BI20" s="672">
        <f>IF(AND($Z20="b",Inventory!$P27="Btu/hr"),Inventory!$O27,IF(AND($Z20="b",Inventory!$P27="Tons"),Inventory!$O27*12000,IF(AND($Z20&lt;&gt;"b",Inventory!$AM27="Btu/hr"),Inventory!$AL27,IF(AND($Z20&lt;&gt;"b",Inventory!$AM27="Tons"),Inventory!$AL27*12000,0))))</f>
        <v>0</v>
      </c>
      <c r="BJ20" s="672">
        <f t="shared" si="29"/>
        <v>0</v>
      </c>
      <c r="BK20" s="608">
        <f t="shared" si="30"/>
        <v>0</v>
      </c>
      <c r="BL20" s="669" t="s">
        <v>567</v>
      </c>
      <c r="BM20" s="150" t="str">
        <f t="shared" si="7"/>
        <v>No</v>
      </c>
      <c r="BN20" s="150" t="str">
        <f>IF(OR(Inventory!$H27="",$BM20="No"),"-",Inventory!$H27)</f>
        <v>-</v>
      </c>
      <c r="BO20" s="150" t="str">
        <f>IFERROR(VLOOKUP(BN20,'Early Retirement'!$B$6:$C$33,2,FALSE),"-")</f>
        <v>-</v>
      </c>
      <c r="BP20" s="150" t="str">
        <f>IF(Inventory!$J27="Centrifugal","Yes","No")</f>
        <v>No</v>
      </c>
      <c r="BQ20" s="150">
        <f t="shared" si="31"/>
        <v>0</v>
      </c>
      <c r="BR20" s="150" t="str">
        <f t="shared" si="32"/>
        <v>-</v>
      </c>
      <c r="BS20" s="159">
        <f>IFERROR(INDEX('Early Retirement'!$C$4:$AC$33,$BO20,$BR20),0)</f>
        <v>0</v>
      </c>
      <c r="BT20" s="150">
        <f>IFERROR(HLOOKUP($BR20,'Early Retirement'!$D$4:$AC$5,2,FALSE),0)</f>
        <v>0</v>
      </c>
      <c r="BU20" s="678">
        <f>IFERROR(INDEX('Early Retirement'!$AE$4:$BE$33,$BO20,$BR20),0)</f>
        <v>0</v>
      </c>
      <c r="BV20" s="669">
        <f>IFERROR(HLOOKUP($BR20,'Early Retirement'!$AF$4:$BE$5,2,FALSE),0)</f>
        <v>0</v>
      </c>
      <c r="BW20" s="159">
        <f t="shared" si="41"/>
        <v>0</v>
      </c>
      <c r="BX20" s="678">
        <f t="shared" si="33"/>
        <v>0</v>
      </c>
      <c r="BY20" s="150" t="s">
        <v>46</v>
      </c>
      <c r="BZ20" s="608">
        <f>IFERROR(INDEX('Early Retirement'!$BG$4:$CG$33,$BO20,$BR20),0)</f>
        <v>0</v>
      </c>
      <c r="CA20" s="669">
        <f>IFERROR(HLOOKUP($BR20,'Early Retirement'!$BH$4:$CH$5,2,FALSE),0)</f>
        <v>0</v>
      </c>
      <c r="CB20" s="608">
        <f t="shared" si="34"/>
        <v>0</v>
      </c>
      <c r="CC20" s="669" t="s">
        <v>567</v>
      </c>
      <c r="CD20" s="150" t="str">
        <f t="shared" si="8"/>
        <v>Yes</v>
      </c>
      <c r="CE20" s="159">
        <f t="shared" si="9"/>
        <v>0</v>
      </c>
      <c r="CF20" s="678">
        <f t="shared" si="10"/>
        <v>0</v>
      </c>
      <c r="CG20" s="669" t="s">
        <v>46</v>
      </c>
      <c r="CH20" s="608">
        <f t="shared" si="35"/>
        <v>0</v>
      </c>
      <c r="CI20" s="669" t="s">
        <v>567</v>
      </c>
      <c r="CJ20" s="162">
        <f t="shared" si="36"/>
        <v>0</v>
      </c>
      <c r="CK20" s="602">
        <f t="shared" si="37"/>
        <v>0</v>
      </c>
      <c r="CL20" s="610" t="s">
        <v>46</v>
      </c>
      <c r="CM20" s="592">
        <f t="shared" si="38"/>
        <v>0</v>
      </c>
      <c r="CN20" s="665" t="s">
        <v>567</v>
      </c>
      <c r="CP20" s="90" t="s">
        <v>113</v>
      </c>
      <c r="CQ20" s="121">
        <v>10.6</v>
      </c>
      <c r="CR20" s="307" t="s">
        <v>50</v>
      </c>
      <c r="CS20" s="641">
        <v>10.7</v>
      </c>
      <c r="CT20" s="633" t="s">
        <v>558</v>
      </c>
      <c r="CU20" s="645">
        <f t="shared" si="39"/>
        <v>1.1320754716981132</v>
      </c>
      <c r="CV20" s="645">
        <f t="shared" si="40"/>
        <v>1.1214953271028039</v>
      </c>
      <c r="CW20" s="633" t="s">
        <v>46</v>
      </c>
      <c r="CX20" s="641">
        <v>3.2</v>
      </c>
      <c r="CY20" s="633" t="s">
        <v>567</v>
      </c>
      <c r="CZ20" s="641">
        <f>CX20</f>
        <v>3.2</v>
      </c>
      <c r="DA20" s="638" t="s">
        <v>567</v>
      </c>
      <c r="DB20" s="562"/>
      <c r="DC20" s="562"/>
      <c r="DD20" s="562"/>
      <c r="DE20" s="562"/>
      <c r="DF20" s="562"/>
      <c r="DG20" s="562"/>
      <c r="DH20" s="562"/>
      <c r="DI20" s="562"/>
      <c r="DJ20" s="562"/>
      <c r="DK20" s="562"/>
      <c r="DL20" s="562"/>
      <c r="DM20" s="562"/>
      <c r="DN20" s="562"/>
      <c r="DO20" s="562"/>
      <c r="DP20" s="562"/>
      <c r="DQ20" s="562"/>
      <c r="DR20" s="562"/>
      <c r="DS20" s="562"/>
      <c r="DT20" s="562"/>
      <c r="DU20" s="562"/>
      <c r="DV20" s="562"/>
      <c r="DW20" s="562"/>
      <c r="DX20" s="562"/>
      <c r="DY20" s="562"/>
      <c r="DZ20" s="562"/>
      <c r="EA20" s="562"/>
      <c r="EB20" s="562"/>
      <c r="EC20" s="562"/>
      <c r="ED20" s="562"/>
      <c r="EE20" s="562"/>
      <c r="EF20" s="562"/>
      <c r="EG20" s="562"/>
      <c r="EH20" s="562"/>
      <c r="EI20" s="562"/>
      <c r="EJ20" s="562"/>
      <c r="EK20" s="562"/>
      <c r="EL20" s="562"/>
    </row>
    <row r="21" spans="2:142" s="78" customFormat="1" ht="15" customHeight="1" x14ac:dyDescent="0.25">
      <c r="B21" s="77"/>
      <c r="E21" s="77"/>
      <c r="H21" s="77"/>
      <c r="Q21" s="1066"/>
      <c r="R21" s="91">
        <f>25000/12000</f>
        <v>2.0833333333333335</v>
      </c>
      <c r="S21" s="98"/>
      <c r="T21" s="89">
        <v>19</v>
      </c>
      <c r="U21" s="79"/>
      <c r="V21" s="79"/>
      <c r="W21" s="79"/>
      <c r="Y21" s="90">
        <v>19</v>
      </c>
      <c r="Z21" s="92" t="str">
        <f>IF(Inventory!$C28="","",VLOOKUP(Inventory!$C28,$B$3:$C$5,2,FALSE))</f>
        <v/>
      </c>
      <c r="AA21" s="92" t="str">
        <f>IF($Z21="","",IF(AND($Z21="b",Inventory!$G28=""),"",IF(AND($Z21="b",Inventory!$G28&lt;&gt;""),VLOOKUP(Inventory!$G28,$E$3:$F$10,2,FALSE),IF(AND($Z21="a",Inventory!$Z28=""),"",IF(AND($Z21="a",Inventory!$Z28&lt;&gt;""),VLOOKUP(Inventory!$Z28,$E$3:$F$10,2,FALSE),IF(AND($Z21="c",Inventory!$Z28=""),"",IF(AND($Z21="c",Inventory!$Z28&lt;&gt;""),VLOOKUP(Inventory!$Z28,$E$3:$F$10,2,FALSE),"")))))))</f>
        <v/>
      </c>
      <c r="AB21" s="92" t="str">
        <f>IF($Z21="","a",IF(AND($Z21="b",Inventory!$J28=""),"a",IF(AND($Z21="b",Inventory!$J28&lt;&gt;""),VLOOKUP(Inventory!$J28,$H$4:$I$6,2,FALSE),IF(AND($Z21="a",Inventory!$AA28=""),"a",IF(AND($Z21="a",Inventory!$AA28&lt;&gt;""),VLOOKUP(Inventory!$AA28,$H$4:$I$6,2,FALSE),IF(AND($Z21="c",Inventory!$AA28=""),"a",IF(AND($Z21="c",Inventory!$AA28&lt;&gt;""),VLOOKUP(Inventory!$AA28,$H$4:$I$6,2,FALSE),"a")))))))</f>
        <v>a</v>
      </c>
      <c r="AC21" s="307" t="str">
        <f t="shared" si="11"/>
        <v>a</v>
      </c>
      <c r="AD21" s="93" t="str">
        <f>IF($Z21="","a",IF(AND($Z21="b",Inventory!$L28=""),"a",IF(AND($Z21="b",Inventory!$L28&lt;&gt;""),VLOOKUP(Inventory!$L28,$N$4:$O$5,2,FALSE),IF(AND($Z21="a",Inventory!$AC28=""),"a",IF(AND($Z21="a",Inventory!$AC28&lt;&gt;""),VLOOKUP(Inventory!$AC28,$N$4:$O$5,2,FALSE),IF(AND($Z21="c",Inventory!$AC28=""),"a",IF(AND($Z21="c",Inventory!$AC28&lt;&gt;""),VLOOKUP(Inventory!$AC28,$N$4:$O$5,2,FALSE),"a")))))))</f>
        <v>a</v>
      </c>
      <c r="AE21" s="116">
        <f>IF(OR(Inventory!C28="New Construction",Inventory!C28="Replace-on-Burnout"),Inventory!AF28,IF(Inventory!C28="Early Retirement",MIN(Inventory!AE28,Inventory!AF28),0))</f>
        <v>0</v>
      </c>
      <c r="AF21" s="117" t="str">
        <f t="shared" si="12"/>
        <v/>
      </c>
      <c r="AG21" s="117" t="str">
        <f t="shared" si="0"/>
        <v/>
      </c>
      <c r="AH21" s="117" t="str">
        <f t="shared" si="1"/>
        <v/>
      </c>
      <c r="AI21" s="117" t="str">
        <f t="shared" si="2"/>
        <v/>
      </c>
      <c r="AJ21" s="117" t="str">
        <f t="shared" si="3"/>
        <v/>
      </c>
      <c r="AK21" s="117" t="str">
        <f t="shared" si="13"/>
        <v/>
      </c>
      <c r="AL21" s="117" t="str">
        <f t="shared" si="14"/>
        <v/>
      </c>
      <c r="AM21" s="117" t="str">
        <f t="shared" si="15"/>
        <v/>
      </c>
      <c r="AN21" s="117" t="str">
        <f t="shared" si="16"/>
        <v/>
      </c>
      <c r="AO21" s="117" t="str">
        <f t="shared" si="17"/>
        <v/>
      </c>
      <c r="AP21" s="117" t="str">
        <f t="shared" si="18"/>
        <v/>
      </c>
      <c r="AQ21" s="117" t="str">
        <f t="shared" si="19"/>
        <v/>
      </c>
      <c r="AR21" s="117" t="str">
        <f t="shared" si="20"/>
        <v/>
      </c>
      <c r="AS21" s="117" t="str">
        <f t="shared" si="21"/>
        <v/>
      </c>
      <c r="AT21" s="117" t="str">
        <f t="shared" si="22"/>
        <v/>
      </c>
      <c r="AU21" s="117" t="str">
        <f t="shared" si="23"/>
        <v/>
      </c>
      <c r="AV21" s="117" t="str">
        <f t="shared" si="4"/>
        <v/>
      </c>
      <c r="AW21" s="93">
        <f t="shared" si="5"/>
        <v>0</v>
      </c>
      <c r="AX21" s="93" t="str">
        <f>IF(AND($Z21="b",OR($AA21="a",$AA21="b"),Inventory!$I28="",$AE21&lt;(65000/12000)),"x",IF(AND($Z21="b",OR($AA21="a",$AA21="b"),Inventory!$I28&lt;&gt;"",$AE21&lt;(65000/12000)),VLOOKUP(Inventory!$I28,$V$4:$W$5,2,FALSE),"x"))</f>
        <v>x</v>
      </c>
      <c r="AY21" s="146" t="str">
        <f t="shared" si="24"/>
        <v>aaa0</v>
      </c>
      <c r="AZ21" s="150" t="str">
        <f t="shared" si="25"/>
        <v>No</v>
      </c>
      <c r="BA21" s="669" t="str">
        <f t="shared" si="26"/>
        <v>No</v>
      </c>
      <c r="BB21" s="150">
        <f>IF($Z21="c",Inventory!$AB28,Inventory!$K28)</f>
        <v>0</v>
      </c>
      <c r="BC21" s="153">
        <f>IF(AND($Z21="b",Inventory!$N28="Btu/hr"),Inventory!$M28,IF(AND($Z21="b",Inventory!$N28="Tons"),Inventory!$M28*12000,IF(AND($Z21&lt;&gt;"b",Inventory!$AK28="Btu/hr"),Inventory!$AD28,IF(AND($Z21&lt;&gt;"b",Inventory!$AK28="Tons"),Inventory!$AD28*12000,0))))</f>
        <v>0</v>
      </c>
      <c r="BD21" s="153">
        <f t="shared" si="27"/>
        <v>0</v>
      </c>
      <c r="BE21" s="159">
        <f t="shared" si="28"/>
        <v>0</v>
      </c>
      <c r="BF21" s="150" t="s">
        <v>50</v>
      </c>
      <c r="BG21" s="159">
        <f t="shared" si="6"/>
        <v>0</v>
      </c>
      <c r="BH21" s="150" t="s">
        <v>46</v>
      </c>
      <c r="BI21" s="672">
        <f>IF(AND($Z21="b",Inventory!$P28="Btu/hr"),Inventory!$O28,IF(AND($Z21="b",Inventory!$P28="Tons"),Inventory!$O28*12000,IF(AND($Z21&lt;&gt;"b",Inventory!$AM28="Btu/hr"),Inventory!$AL28,IF(AND($Z21&lt;&gt;"b",Inventory!$AM28="Tons"),Inventory!$AL28*12000,0))))</f>
        <v>0</v>
      </c>
      <c r="BJ21" s="672">
        <f t="shared" si="29"/>
        <v>0</v>
      </c>
      <c r="BK21" s="608">
        <f t="shared" si="30"/>
        <v>0</v>
      </c>
      <c r="BL21" s="669" t="s">
        <v>567</v>
      </c>
      <c r="BM21" s="150" t="str">
        <f t="shared" si="7"/>
        <v>No</v>
      </c>
      <c r="BN21" s="150" t="str">
        <f>IF(OR(Inventory!$H28="",$BM21="No"),"-",Inventory!$H28)</f>
        <v>-</v>
      </c>
      <c r="BO21" s="150" t="str">
        <f>IFERROR(VLOOKUP(BN21,'Early Retirement'!$B$6:$C$33,2,FALSE),"-")</f>
        <v>-</v>
      </c>
      <c r="BP21" s="150" t="str">
        <f>IF(Inventory!$J28="Centrifugal","Yes","No")</f>
        <v>No</v>
      </c>
      <c r="BQ21" s="150">
        <f t="shared" si="31"/>
        <v>0</v>
      </c>
      <c r="BR21" s="150" t="str">
        <f t="shared" si="32"/>
        <v>-</v>
      </c>
      <c r="BS21" s="159">
        <f>IFERROR(INDEX('Early Retirement'!$C$4:$AC$33,$BO21,$BR21),0)</f>
        <v>0</v>
      </c>
      <c r="BT21" s="150">
        <f>IFERROR(HLOOKUP($BR21,'Early Retirement'!$D$4:$AC$5,2,FALSE),0)</f>
        <v>0</v>
      </c>
      <c r="BU21" s="678">
        <f>IFERROR(INDEX('Early Retirement'!$AE$4:$BE$33,$BO21,$BR21),0)</f>
        <v>0</v>
      </c>
      <c r="BV21" s="669">
        <f>IFERROR(HLOOKUP($BR21,'Early Retirement'!$AF$4:$BE$5,2,FALSE),0)</f>
        <v>0</v>
      </c>
      <c r="BW21" s="159">
        <f t="shared" si="41"/>
        <v>0</v>
      </c>
      <c r="BX21" s="678">
        <f t="shared" si="33"/>
        <v>0</v>
      </c>
      <c r="BY21" s="150" t="s">
        <v>46</v>
      </c>
      <c r="BZ21" s="608">
        <f>IFERROR(INDEX('Early Retirement'!$BG$4:$CG$33,$BO21,$BR21),0)</f>
        <v>0</v>
      </c>
      <c r="CA21" s="669">
        <f>IFERROR(HLOOKUP($BR21,'Early Retirement'!$BH$4:$CH$5,2,FALSE),0)</f>
        <v>0</v>
      </c>
      <c r="CB21" s="608">
        <f t="shared" si="34"/>
        <v>0</v>
      </c>
      <c r="CC21" s="669" t="s">
        <v>567</v>
      </c>
      <c r="CD21" s="150" t="str">
        <f t="shared" si="8"/>
        <v>Yes</v>
      </c>
      <c r="CE21" s="159">
        <f t="shared" si="9"/>
        <v>0</v>
      </c>
      <c r="CF21" s="678">
        <f t="shared" si="10"/>
        <v>0</v>
      </c>
      <c r="CG21" s="669" t="s">
        <v>46</v>
      </c>
      <c r="CH21" s="608">
        <f t="shared" si="35"/>
        <v>0</v>
      </c>
      <c r="CI21" s="669" t="s">
        <v>567</v>
      </c>
      <c r="CJ21" s="162">
        <f t="shared" si="36"/>
        <v>0</v>
      </c>
      <c r="CK21" s="602">
        <f t="shared" si="37"/>
        <v>0</v>
      </c>
      <c r="CL21" s="610" t="s">
        <v>46</v>
      </c>
      <c r="CM21" s="592">
        <f t="shared" si="38"/>
        <v>0</v>
      </c>
      <c r="CN21" s="665" t="s">
        <v>567</v>
      </c>
      <c r="CP21" s="90" t="s">
        <v>114</v>
      </c>
      <c r="CQ21" s="121">
        <v>9.5</v>
      </c>
      <c r="CR21" s="307" t="s">
        <v>50</v>
      </c>
      <c r="CS21" s="641">
        <v>9.6</v>
      </c>
      <c r="CT21" s="633" t="s">
        <v>558</v>
      </c>
      <c r="CU21" s="645">
        <f t="shared" si="39"/>
        <v>1.263157894736842</v>
      </c>
      <c r="CV21" s="645">
        <f t="shared" si="40"/>
        <v>1.25</v>
      </c>
      <c r="CW21" s="633" t="s">
        <v>46</v>
      </c>
      <c r="CX21" s="641">
        <v>3.2</v>
      </c>
      <c r="CY21" s="633" t="s">
        <v>567</v>
      </c>
      <c r="CZ21" s="641">
        <f>CX21</f>
        <v>3.2</v>
      </c>
      <c r="DA21" s="638" t="s">
        <v>567</v>
      </c>
      <c r="DB21" s="562"/>
      <c r="DC21" s="562"/>
      <c r="DD21" s="562"/>
      <c r="DE21" s="562"/>
      <c r="DF21" s="562"/>
      <c r="DG21" s="562"/>
      <c r="DH21" s="562"/>
      <c r="DI21" s="562"/>
      <c r="DJ21" s="562"/>
      <c r="DK21" s="562"/>
      <c r="DL21" s="562"/>
      <c r="DM21" s="562"/>
      <c r="DN21" s="562"/>
      <c r="DO21" s="562"/>
      <c r="DP21" s="562"/>
      <c r="DQ21" s="562"/>
      <c r="DR21" s="562"/>
      <c r="DS21" s="562"/>
      <c r="DT21" s="562"/>
      <c r="DU21" s="562"/>
      <c r="DV21" s="562"/>
      <c r="DW21" s="562"/>
      <c r="DX21" s="562"/>
      <c r="DY21" s="562"/>
      <c r="DZ21" s="562"/>
      <c r="EA21" s="562"/>
      <c r="EB21" s="562"/>
      <c r="EC21" s="562"/>
      <c r="ED21" s="562"/>
      <c r="EE21" s="562"/>
      <c r="EF21" s="562"/>
      <c r="EG21" s="562"/>
      <c r="EH21" s="562"/>
      <c r="EI21" s="562"/>
      <c r="EJ21" s="562"/>
      <c r="EK21" s="562"/>
      <c r="EL21" s="562"/>
    </row>
    <row r="22" spans="2:142" s="78" customFormat="1" ht="15" customHeight="1" thickBot="1" x14ac:dyDescent="0.3">
      <c r="B22" s="77"/>
      <c r="E22" s="77"/>
      <c r="H22" s="77"/>
      <c r="Q22" s="1066" t="s">
        <v>79</v>
      </c>
      <c r="R22" s="91">
        <v>0</v>
      </c>
      <c r="S22" s="91">
        <f>8000/12000</f>
        <v>0.66666666666666663</v>
      </c>
      <c r="T22" s="89">
        <v>20</v>
      </c>
      <c r="U22" s="79"/>
      <c r="V22" s="79"/>
      <c r="W22" s="79"/>
      <c r="Y22" s="90">
        <v>20</v>
      </c>
      <c r="Z22" s="472" t="str">
        <f>IF(Inventory!$C29="","",VLOOKUP(Inventory!$C29,$B$3:$C$5,2,FALSE))</f>
        <v/>
      </c>
      <c r="AA22" s="472" t="str">
        <f>IF($Z22="","",IF(AND($Z22="b",Inventory!$G29=""),"",IF(AND($Z22="b",Inventory!$G29&lt;&gt;""),VLOOKUP(Inventory!$G29,$E$3:$F$10,2,FALSE),IF(AND($Z22="a",Inventory!$Z29=""),"",IF(AND($Z22="a",Inventory!$Z29&lt;&gt;""),VLOOKUP(Inventory!$Z29,$E$3:$F$10,2,FALSE),IF(AND($Z22="c",Inventory!$Z29=""),"",IF(AND($Z22="c",Inventory!$Z29&lt;&gt;""),VLOOKUP(Inventory!$Z29,$E$3:$F$10,2,FALSE),"")))))))</f>
        <v/>
      </c>
      <c r="AB22" s="472" t="str">
        <f>IF($Z22="","a",IF(AND($Z22="b",Inventory!$J29=""),"a",IF(AND($Z22="b",Inventory!$J29&lt;&gt;""),VLOOKUP(Inventory!$J29,$H$4:$I$6,2,FALSE),IF(AND($Z22="a",Inventory!$AA29=""),"a",IF(AND($Z22="a",Inventory!$AA29&lt;&gt;""),VLOOKUP(Inventory!$AA29,$H$4:$I$6,2,FALSE),IF(AND($Z22="c",Inventory!$AA29=""),"a",IF(AND($Z22="c",Inventory!$AA29&lt;&gt;""),VLOOKUP(Inventory!$AA29,$H$4:$I$6,2,FALSE),"a")))))))</f>
        <v>a</v>
      </c>
      <c r="AC22" s="506" t="str">
        <f t="shared" si="11"/>
        <v>a</v>
      </c>
      <c r="AD22" s="473" t="str">
        <f>IF($Z22="","a",IF(AND($Z22="b",Inventory!$L29=""),"a",IF(AND($Z22="b",Inventory!$L29&lt;&gt;""),VLOOKUP(Inventory!$L29,$N$4:$O$5,2,FALSE),IF(AND($Z22="a",Inventory!$AC29=""),"a",IF(AND($Z22="a",Inventory!$AC29&lt;&gt;""),VLOOKUP(Inventory!$AC29,$N$4:$O$5,2,FALSE),IF(AND($Z22="c",Inventory!$AC29=""),"a",IF(AND($Z22="c",Inventory!$AC29&lt;&gt;""),VLOOKUP(Inventory!$AC29,$N$4:$O$5,2,FALSE),"a")))))))</f>
        <v>a</v>
      </c>
      <c r="AE22" s="474">
        <f>IF(OR(Inventory!C29="New Construction",Inventory!C29="Replace-on-Burnout"),Inventory!AF29,IF(Inventory!C29="Early Retirement",MIN(Inventory!AE29,Inventory!AF29),0))</f>
        <v>0</v>
      </c>
      <c r="AF22" s="475" t="str">
        <f t="shared" si="12"/>
        <v/>
      </c>
      <c r="AG22" s="475" t="str">
        <f t="shared" si="0"/>
        <v/>
      </c>
      <c r="AH22" s="475" t="str">
        <f t="shared" si="1"/>
        <v/>
      </c>
      <c r="AI22" s="475" t="str">
        <f t="shared" si="2"/>
        <v/>
      </c>
      <c r="AJ22" s="475" t="str">
        <f t="shared" si="3"/>
        <v/>
      </c>
      <c r="AK22" s="475" t="str">
        <f t="shared" si="13"/>
        <v/>
      </c>
      <c r="AL22" s="475" t="str">
        <f t="shared" si="14"/>
        <v/>
      </c>
      <c r="AM22" s="475" t="str">
        <f t="shared" si="15"/>
        <v/>
      </c>
      <c r="AN22" s="475" t="str">
        <f t="shared" si="16"/>
        <v/>
      </c>
      <c r="AO22" s="475" t="str">
        <f t="shared" si="17"/>
        <v/>
      </c>
      <c r="AP22" s="475" t="str">
        <f t="shared" si="18"/>
        <v/>
      </c>
      <c r="AQ22" s="475" t="str">
        <f t="shared" si="19"/>
        <v/>
      </c>
      <c r="AR22" s="475" t="str">
        <f t="shared" si="20"/>
        <v/>
      </c>
      <c r="AS22" s="475" t="str">
        <f t="shared" si="21"/>
        <v/>
      </c>
      <c r="AT22" s="475" t="str">
        <f t="shared" si="22"/>
        <v/>
      </c>
      <c r="AU22" s="475" t="str">
        <f t="shared" si="23"/>
        <v/>
      </c>
      <c r="AV22" s="475" t="str">
        <f t="shared" si="4"/>
        <v/>
      </c>
      <c r="AW22" s="473">
        <f t="shared" si="5"/>
        <v>0</v>
      </c>
      <c r="AX22" s="473" t="str">
        <f>IF(AND($Z22="b",OR($AA22="a",$AA22="b"),Inventory!$I29="",$AE22&lt;(65000/12000)),"x",IF(AND($Z22="b",OR($AA22="a",$AA22="b"),Inventory!$I29&lt;&gt;"",$AE22&lt;(65000/12000)),VLOOKUP(Inventory!$I29,$V$4:$W$5,2,FALSE),"x"))</f>
        <v>x</v>
      </c>
      <c r="AY22" s="476" t="str">
        <f t="shared" si="24"/>
        <v>aaa0</v>
      </c>
      <c r="AZ22" s="477" t="str">
        <f t="shared" si="25"/>
        <v>No</v>
      </c>
      <c r="BA22" s="759" t="str">
        <f t="shared" si="26"/>
        <v>No</v>
      </c>
      <c r="BB22" s="477">
        <f>IF($Z22="c",Inventory!$AB29,Inventory!$K29)</f>
        <v>0</v>
      </c>
      <c r="BC22" s="478">
        <f>IF(AND($Z22="b",Inventory!$N29="Btu/hr"),Inventory!$M29,IF(AND($Z22="b",Inventory!$N29="Tons"),Inventory!$M29*12000,IF(AND($Z22&lt;&gt;"b",Inventory!$AK29="Btu/hr"),Inventory!$AD29,IF(AND($Z22&lt;&gt;"b",Inventory!$AK29="Tons"),Inventory!$AD29*12000,0))))</f>
        <v>0</v>
      </c>
      <c r="BD22" s="478">
        <f t="shared" si="27"/>
        <v>0</v>
      </c>
      <c r="BE22" s="479">
        <f t="shared" si="28"/>
        <v>0</v>
      </c>
      <c r="BF22" s="477" t="s">
        <v>50</v>
      </c>
      <c r="BG22" s="479">
        <f t="shared" si="6"/>
        <v>0</v>
      </c>
      <c r="BH22" s="477" t="s">
        <v>46</v>
      </c>
      <c r="BI22" s="760">
        <f>IF(AND($Z22="b",Inventory!$P29="Btu/hr"),Inventory!$O29,IF(AND($Z22="b",Inventory!$P29="Tons"),Inventory!$O29*12000,IF(AND($Z22&lt;&gt;"b",Inventory!$AM29="Btu/hr"),Inventory!$AL29,IF(AND($Z22&lt;&gt;"b",Inventory!$AM29="Tons"),Inventory!$AL29*12000,0))))</f>
        <v>0</v>
      </c>
      <c r="BJ22" s="760">
        <f t="shared" si="29"/>
        <v>0</v>
      </c>
      <c r="BK22" s="598">
        <f t="shared" si="30"/>
        <v>0</v>
      </c>
      <c r="BL22" s="759" t="s">
        <v>567</v>
      </c>
      <c r="BM22" s="477" t="str">
        <f t="shared" si="7"/>
        <v>No</v>
      </c>
      <c r="BN22" s="477" t="str">
        <f>IF(OR(Inventory!$H29="",$BM22="No"),"-",Inventory!$H29)</f>
        <v>-</v>
      </c>
      <c r="BO22" s="477" t="str">
        <f>IFERROR(VLOOKUP(BN22,'Early Retirement'!$B$6:$C$33,2,FALSE),"-")</f>
        <v>-</v>
      </c>
      <c r="BP22" s="477" t="str">
        <f>IF(Inventory!$J29="Centrifugal","Yes","No")</f>
        <v>No</v>
      </c>
      <c r="BQ22" s="477">
        <f t="shared" si="31"/>
        <v>0</v>
      </c>
      <c r="BR22" s="477" t="str">
        <f t="shared" si="32"/>
        <v>-</v>
      </c>
      <c r="BS22" s="479">
        <f>IFERROR(INDEX('Early Retirement'!$C$4:$AC$33,$BO22,$BR22),0)</f>
        <v>0</v>
      </c>
      <c r="BT22" s="477">
        <f>IFERROR(HLOOKUP($BR22,'Early Retirement'!$D$4:$AC$5,2,FALSE),0)</f>
        <v>0</v>
      </c>
      <c r="BU22" s="761">
        <f>IFERROR(INDEX('Early Retirement'!$AE$4:$BE$33,$BO22,$BR22),0)</f>
        <v>0</v>
      </c>
      <c r="BV22" s="759">
        <f>IFERROR(HLOOKUP($BR22,'Early Retirement'!$AF$4:$BE$5,2,FALSE),0)</f>
        <v>0</v>
      </c>
      <c r="BW22" s="479">
        <f t="shared" si="41"/>
        <v>0</v>
      </c>
      <c r="BX22" s="761">
        <f t="shared" si="33"/>
        <v>0</v>
      </c>
      <c r="BY22" s="477" t="s">
        <v>46</v>
      </c>
      <c r="BZ22" s="598">
        <f>IFERROR(INDEX('Early Retirement'!$BG$4:$CG$33,$BO22,$BR22),0)</f>
        <v>0</v>
      </c>
      <c r="CA22" s="759">
        <f>IFERROR(HLOOKUP($BR22,'Early Retirement'!$BH$4:$CH$5,2,FALSE),0)</f>
        <v>0</v>
      </c>
      <c r="CB22" s="598">
        <f t="shared" si="34"/>
        <v>0</v>
      </c>
      <c r="CC22" s="759" t="s">
        <v>567</v>
      </c>
      <c r="CD22" s="477" t="str">
        <f t="shared" si="8"/>
        <v>Yes</v>
      </c>
      <c r="CE22" s="479">
        <f t="shared" si="9"/>
        <v>0</v>
      </c>
      <c r="CF22" s="761">
        <f t="shared" si="10"/>
        <v>0</v>
      </c>
      <c r="CG22" s="759" t="s">
        <v>46</v>
      </c>
      <c r="CH22" s="598">
        <f t="shared" si="35"/>
        <v>0</v>
      </c>
      <c r="CI22" s="759" t="s">
        <v>567</v>
      </c>
      <c r="CJ22" s="480">
        <f t="shared" si="36"/>
        <v>0</v>
      </c>
      <c r="CK22" s="583">
        <f t="shared" si="37"/>
        <v>0</v>
      </c>
      <c r="CL22" s="596" t="s">
        <v>46</v>
      </c>
      <c r="CM22" s="581">
        <f t="shared" si="38"/>
        <v>0</v>
      </c>
      <c r="CN22" s="762" t="s">
        <v>567</v>
      </c>
      <c r="CP22" s="96" t="s">
        <v>158</v>
      </c>
      <c r="CQ22" s="122">
        <v>9.5</v>
      </c>
      <c r="CR22" s="101" t="s">
        <v>50</v>
      </c>
      <c r="CS22" s="642">
        <v>9.6</v>
      </c>
      <c r="CT22" s="633" t="s">
        <v>558</v>
      </c>
      <c r="CU22" s="646">
        <f t="shared" si="39"/>
        <v>1.263157894736842</v>
      </c>
      <c r="CV22" s="646">
        <f t="shared" si="40"/>
        <v>1.25</v>
      </c>
      <c r="CW22" s="633" t="s">
        <v>46</v>
      </c>
      <c r="CX22" s="642">
        <v>3.2</v>
      </c>
      <c r="CY22" s="633" t="s">
        <v>567</v>
      </c>
      <c r="CZ22" s="642">
        <f>CX22</f>
        <v>3.2</v>
      </c>
      <c r="DA22" s="639" t="s">
        <v>567</v>
      </c>
      <c r="DB22" s="562"/>
      <c r="DC22" s="562"/>
      <c r="DD22" s="562"/>
      <c r="DE22" s="562"/>
      <c r="DF22" s="562"/>
      <c r="DG22" s="562"/>
      <c r="DH22" s="562"/>
      <c r="DI22" s="562"/>
      <c r="DJ22" s="562"/>
      <c r="DK22" s="562"/>
      <c r="DL22" s="562"/>
      <c r="DM22" s="562"/>
      <c r="DN22" s="562"/>
      <c r="DO22" s="562"/>
      <c r="DP22" s="562"/>
      <c r="DQ22" s="562"/>
      <c r="DR22" s="562"/>
      <c r="DS22" s="562"/>
      <c r="DT22" s="562"/>
      <c r="DU22" s="562"/>
      <c r="DV22" s="562"/>
      <c r="DW22" s="562"/>
      <c r="DX22" s="562"/>
      <c r="DY22" s="562"/>
      <c r="DZ22" s="562"/>
      <c r="EA22" s="562"/>
      <c r="EB22" s="562"/>
      <c r="EC22" s="562"/>
      <c r="ED22" s="562"/>
      <c r="EE22" s="562"/>
      <c r="EF22" s="562"/>
      <c r="EG22" s="562"/>
      <c r="EH22" s="562"/>
      <c r="EI22" s="562"/>
      <c r="EJ22" s="562"/>
      <c r="EK22" s="562"/>
      <c r="EL22" s="562"/>
    </row>
    <row r="23" spans="2:142" s="78" customFormat="1" ht="15" customHeight="1" x14ac:dyDescent="0.25">
      <c r="B23" s="77"/>
      <c r="E23" s="77"/>
      <c r="H23" s="77"/>
      <c r="Q23" s="1066"/>
      <c r="R23" s="91">
        <f>8000/12000</f>
        <v>0.66666666666666663</v>
      </c>
      <c r="S23" s="91">
        <f>11000/12000</f>
        <v>0.91666666666666663</v>
      </c>
      <c r="T23" s="89">
        <v>21</v>
      </c>
      <c r="U23" s="79"/>
      <c r="V23" s="79"/>
      <c r="W23" s="79"/>
      <c r="Y23" s="90">
        <v>21</v>
      </c>
      <c r="Z23" s="472" t="str">
        <f>IF(Inventory!$C30="","",VLOOKUP(Inventory!$C30,$B$3:$C$5,2,FALSE))</f>
        <v/>
      </c>
      <c r="AA23" s="472" t="str">
        <f>IF($Z23="","",IF(AND($Z23="b",Inventory!$G30=""),"",IF(AND($Z23="b",Inventory!$G30&lt;&gt;""),VLOOKUP(Inventory!$G30,$E$3:$F$10,2,FALSE),IF(AND($Z23="a",Inventory!$Z30=""),"",IF(AND($Z23="a",Inventory!$Z30&lt;&gt;""),VLOOKUP(Inventory!$Z30,$E$3:$F$10,2,FALSE),IF(AND($Z23="c",Inventory!$Z30=""),"",IF(AND($Z23="c",Inventory!$Z30&lt;&gt;""),VLOOKUP(Inventory!$Z30,$E$3:$F$10,2,FALSE),"")))))))</f>
        <v/>
      </c>
      <c r="AB23" s="472" t="str">
        <f>IF($Z23="","a",IF(AND($Z23="b",Inventory!$J30=""),"a",IF(AND($Z23="b",Inventory!$J30&lt;&gt;""),VLOOKUP(Inventory!$J30,$H$4:$I$6,2,FALSE),IF(AND($Z23="a",Inventory!$AA30=""),"a",IF(AND($Z23="a",Inventory!$AA30&lt;&gt;""),VLOOKUP(Inventory!$AA30,$H$4:$I$6,2,FALSE),IF(AND($Z23="c",Inventory!$AA30=""),"a",IF(AND($Z23="c",Inventory!$AA30&lt;&gt;""),VLOOKUP(Inventory!$AA30,$H$4:$I$6,2,FALSE),"a")))))))</f>
        <v>a</v>
      </c>
      <c r="AC23" s="506" t="str">
        <f t="shared" si="11"/>
        <v>a</v>
      </c>
      <c r="AD23" s="473" t="str">
        <f>IF($Z23="","a",IF(AND($Z23="b",Inventory!$L30=""),"a",IF(AND($Z23="b",Inventory!$L30&lt;&gt;""),VLOOKUP(Inventory!$L30,$N$4:$O$5,2,FALSE),IF(AND($Z23="a",Inventory!$AC30=""),"a",IF(AND($Z23="a",Inventory!$AC30&lt;&gt;""),VLOOKUP(Inventory!$AC30,$N$4:$O$5,2,FALSE),IF(AND($Z23="c",Inventory!$AC30=""),"a",IF(AND($Z23="c",Inventory!$AC30&lt;&gt;""),VLOOKUP(Inventory!$AC30,$N$4:$O$5,2,FALSE),"a")))))))</f>
        <v>a</v>
      </c>
      <c r="AE23" s="474">
        <f>IF(OR(Inventory!C30="New Construction",Inventory!C30="Replace-on-Burnout"),Inventory!AF30,IF(Inventory!C30="Early Retirement",MIN(Inventory!AE30,Inventory!AF30),0))</f>
        <v>0</v>
      </c>
      <c r="AF23" s="475" t="str">
        <f t="shared" si="12"/>
        <v/>
      </c>
      <c r="AG23" s="475" t="str">
        <f t="shared" si="0"/>
        <v/>
      </c>
      <c r="AH23" s="475" t="str">
        <f t="shared" si="1"/>
        <v/>
      </c>
      <c r="AI23" s="475" t="str">
        <f t="shared" si="2"/>
        <v/>
      </c>
      <c r="AJ23" s="475" t="str">
        <f t="shared" si="3"/>
        <v/>
      </c>
      <c r="AK23" s="475" t="str">
        <f t="shared" si="13"/>
        <v/>
      </c>
      <c r="AL23" s="475" t="str">
        <f t="shared" si="14"/>
        <v/>
      </c>
      <c r="AM23" s="475" t="str">
        <f t="shared" si="15"/>
        <v/>
      </c>
      <c r="AN23" s="475" t="str">
        <f t="shared" si="16"/>
        <v/>
      </c>
      <c r="AO23" s="475" t="str">
        <f t="shared" si="17"/>
        <v/>
      </c>
      <c r="AP23" s="475" t="str">
        <f t="shared" si="18"/>
        <v/>
      </c>
      <c r="AQ23" s="475" t="str">
        <f t="shared" si="19"/>
        <v/>
      </c>
      <c r="AR23" s="475" t="str">
        <f t="shared" si="20"/>
        <v/>
      </c>
      <c r="AS23" s="475" t="str">
        <f t="shared" si="21"/>
        <v/>
      </c>
      <c r="AT23" s="475" t="str">
        <f t="shared" si="22"/>
        <v/>
      </c>
      <c r="AU23" s="475" t="str">
        <f t="shared" si="23"/>
        <v/>
      </c>
      <c r="AV23" s="475" t="str">
        <f t="shared" si="4"/>
        <v/>
      </c>
      <c r="AW23" s="473">
        <f t="shared" si="5"/>
        <v>0</v>
      </c>
      <c r="AX23" s="473" t="str">
        <f>IF(AND($Z23="b",OR($AA23="a",$AA23="b"),Inventory!$I30="",$AE23&lt;(65000/12000)),"x",IF(AND($Z23="b",OR($AA23="a",$AA23="b"),Inventory!$I30&lt;&gt;"",$AE23&lt;(65000/12000)),VLOOKUP(Inventory!$I30,$V$4:$W$5,2,FALSE),"x"))</f>
        <v>x</v>
      </c>
      <c r="AY23" s="476" t="str">
        <f t="shared" si="24"/>
        <v>aaa0</v>
      </c>
      <c r="AZ23" s="477" t="str">
        <f t="shared" si="25"/>
        <v>No</v>
      </c>
      <c r="BA23" s="759" t="str">
        <f t="shared" si="26"/>
        <v>No</v>
      </c>
      <c r="BB23" s="477">
        <f>IF($Z23="c",Inventory!$AB30,Inventory!$K30)</f>
        <v>0</v>
      </c>
      <c r="BC23" s="478">
        <f>IF(AND($Z23="b",Inventory!$N30="Btu/hr"),Inventory!$M30,IF(AND($Z23="b",Inventory!$N30="Tons"),Inventory!$M30*12000,IF(AND($Z23&lt;&gt;"b",Inventory!$AK30="Btu/hr"),Inventory!$AD30,IF(AND($Z23&lt;&gt;"b",Inventory!$AK30="Tons"),Inventory!$AD30*12000,0))))</f>
        <v>0</v>
      </c>
      <c r="BD23" s="478">
        <f t="shared" si="27"/>
        <v>0</v>
      </c>
      <c r="BE23" s="479">
        <f t="shared" si="28"/>
        <v>0</v>
      </c>
      <c r="BF23" s="477" t="s">
        <v>50</v>
      </c>
      <c r="BG23" s="479">
        <f t="shared" si="6"/>
        <v>0</v>
      </c>
      <c r="BH23" s="477" t="s">
        <v>46</v>
      </c>
      <c r="BI23" s="760">
        <f>IF(AND($Z23="b",Inventory!$P30="Btu/hr"),Inventory!$O30,IF(AND($Z23="b",Inventory!$P30="Tons"),Inventory!$O30*12000,IF(AND($Z23&lt;&gt;"b",Inventory!$AM30="Btu/hr"),Inventory!$AL30,IF(AND($Z23&lt;&gt;"b",Inventory!$AM30="Tons"),Inventory!$AL30*12000,0))))</f>
        <v>0</v>
      </c>
      <c r="BJ23" s="760">
        <f t="shared" si="29"/>
        <v>0</v>
      </c>
      <c r="BK23" s="598">
        <f t="shared" si="30"/>
        <v>0</v>
      </c>
      <c r="BL23" s="759" t="s">
        <v>567</v>
      </c>
      <c r="BM23" s="477" t="str">
        <f t="shared" si="7"/>
        <v>No</v>
      </c>
      <c r="BN23" s="477" t="str">
        <f>IF(OR(Inventory!$H30="",$BM23="No"),"-",Inventory!$H30)</f>
        <v>-</v>
      </c>
      <c r="BO23" s="477" t="str">
        <f>IFERROR(VLOOKUP(BN23,'Early Retirement'!$B$6:$C$33,2,FALSE),"-")</f>
        <v>-</v>
      </c>
      <c r="BP23" s="477" t="str">
        <f>IF(Inventory!$J30="Centrifugal","Yes","No")</f>
        <v>No</v>
      </c>
      <c r="BQ23" s="477">
        <f t="shared" si="31"/>
        <v>0</v>
      </c>
      <c r="BR23" s="477" t="str">
        <f t="shared" si="32"/>
        <v>-</v>
      </c>
      <c r="BS23" s="479">
        <f>IFERROR(INDEX('Early Retirement'!$C$4:$AC$33,$BO23,$BR23),0)</f>
        <v>0</v>
      </c>
      <c r="BT23" s="477">
        <f>IFERROR(HLOOKUP($BR23,'Early Retirement'!$D$4:$AC$5,2,FALSE),0)</f>
        <v>0</v>
      </c>
      <c r="BU23" s="761">
        <f>IFERROR(INDEX('Early Retirement'!$AE$4:$BE$33,$BO23,$BR23),0)</f>
        <v>0</v>
      </c>
      <c r="BV23" s="759">
        <f>IFERROR(HLOOKUP($BR23,'Early Retirement'!$AF$4:$BE$5,2,FALSE),0)</f>
        <v>0</v>
      </c>
      <c r="BW23" s="479">
        <f t="shared" si="41"/>
        <v>0</v>
      </c>
      <c r="BX23" s="761">
        <f t="shared" si="33"/>
        <v>0</v>
      </c>
      <c r="BY23" s="477" t="s">
        <v>46</v>
      </c>
      <c r="BZ23" s="598">
        <f>IFERROR(INDEX('Early Retirement'!$BG$4:$CG$33,$BO23,$BR23),0)</f>
        <v>0</v>
      </c>
      <c r="CA23" s="759">
        <f>IFERROR(HLOOKUP($BR23,'Early Retirement'!$BH$4:$CH$5,2,FALSE),0)</f>
        <v>0</v>
      </c>
      <c r="CB23" s="598">
        <f t="shared" si="34"/>
        <v>0</v>
      </c>
      <c r="CC23" s="759" t="s">
        <v>567</v>
      </c>
      <c r="CD23" s="477" t="str">
        <f t="shared" si="8"/>
        <v>Yes</v>
      </c>
      <c r="CE23" s="479">
        <f t="shared" si="9"/>
        <v>0</v>
      </c>
      <c r="CF23" s="761">
        <f t="shared" si="10"/>
        <v>0</v>
      </c>
      <c r="CG23" s="759" t="s">
        <v>46</v>
      </c>
      <c r="CH23" s="598">
        <f t="shared" si="35"/>
        <v>0</v>
      </c>
      <c r="CI23" s="759" t="s">
        <v>567</v>
      </c>
      <c r="CJ23" s="480">
        <f t="shared" si="36"/>
        <v>0</v>
      </c>
      <c r="CK23" s="583">
        <f t="shared" si="37"/>
        <v>0</v>
      </c>
      <c r="CL23" s="596" t="s">
        <v>46</v>
      </c>
      <c r="CM23" s="581">
        <f t="shared" si="38"/>
        <v>0</v>
      </c>
      <c r="CN23" s="762" t="s">
        <v>567</v>
      </c>
      <c r="CP23" s="83" t="s">
        <v>115</v>
      </c>
      <c r="CQ23" s="120">
        <v>11</v>
      </c>
      <c r="CR23" s="86" t="s">
        <v>50</v>
      </c>
      <c r="CS23" s="640">
        <v>11</v>
      </c>
      <c r="CT23" s="86" t="s">
        <v>50</v>
      </c>
      <c r="CU23" s="644">
        <f t="shared" ref="CU23:CV32" si="42">12/$CQ23</f>
        <v>1.0909090909090908</v>
      </c>
      <c r="CV23" s="644">
        <f t="shared" si="42"/>
        <v>1.0909090909090908</v>
      </c>
      <c r="CW23" s="632" t="s">
        <v>46</v>
      </c>
      <c r="CX23" s="607"/>
      <c r="CY23" s="603"/>
      <c r="CZ23" s="607"/>
      <c r="DA23" s="595"/>
      <c r="DB23" s="562"/>
      <c r="DC23" s="562"/>
      <c r="DD23" s="562"/>
      <c r="DE23" s="562"/>
      <c r="DF23" s="562"/>
      <c r="DG23" s="562"/>
      <c r="DH23" s="562"/>
      <c r="DI23" s="562"/>
      <c r="DJ23" s="562"/>
      <c r="DK23" s="562"/>
      <c r="DL23" s="562"/>
      <c r="DM23" s="562"/>
      <c r="DN23" s="562"/>
      <c r="DO23" s="562"/>
      <c r="DP23" s="562"/>
      <c r="DQ23" s="562"/>
      <c r="DR23" s="562"/>
      <c r="DS23" s="562"/>
      <c r="DT23" s="562"/>
      <c r="DU23" s="562"/>
      <c r="DV23" s="562"/>
      <c r="DW23" s="562"/>
      <c r="DX23" s="562"/>
      <c r="DY23" s="562"/>
      <c r="DZ23" s="562"/>
      <c r="EA23" s="562"/>
      <c r="EB23" s="562"/>
      <c r="EC23" s="562"/>
      <c r="ED23" s="562"/>
      <c r="EE23" s="562"/>
      <c r="EF23" s="562"/>
      <c r="EG23" s="562"/>
      <c r="EH23" s="562"/>
      <c r="EI23" s="562"/>
      <c r="EJ23" s="562"/>
      <c r="EK23" s="562"/>
      <c r="EL23" s="562"/>
    </row>
    <row r="24" spans="2:142" s="78" customFormat="1" ht="15" customHeight="1" x14ac:dyDescent="0.25">
      <c r="B24" s="77"/>
      <c r="E24" s="77"/>
      <c r="H24" s="77"/>
      <c r="Q24" s="1066"/>
      <c r="R24" s="91">
        <f>11000/12000</f>
        <v>0.91666666666666663</v>
      </c>
      <c r="S24" s="91">
        <f>14000/12000</f>
        <v>1.1666666666666667</v>
      </c>
      <c r="T24" s="89">
        <v>22</v>
      </c>
      <c r="U24" s="79"/>
      <c r="V24" s="79"/>
      <c r="W24" s="79"/>
      <c r="Y24" s="90">
        <v>22</v>
      </c>
      <c r="Z24" s="472" t="str">
        <f>IF(Inventory!$C31="","",VLOOKUP(Inventory!$C31,$B$3:$C$5,2,FALSE))</f>
        <v/>
      </c>
      <c r="AA24" s="472" t="str">
        <f>IF($Z24="","",IF(AND($Z24="b",Inventory!$G31=""),"",IF(AND($Z24="b",Inventory!$G31&lt;&gt;""),VLOOKUP(Inventory!$G31,$E$3:$F$10,2,FALSE),IF(AND($Z24="a",Inventory!$Z31=""),"",IF(AND($Z24="a",Inventory!$Z31&lt;&gt;""),VLOOKUP(Inventory!$Z31,$E$3:$F$10,2,FALSE),IF(AND($Z24="c",Inventory!$Z31=""),"",IF(AND($Z24="c",Inventory!$Z31&lt;&gt;""),VLOOKUP(Inventory!$Z31,$E$3:$F$10,2,FALSE),"")))))))</f>
        <v/>
      </c>
      <c r="AB24" s="472" t="str">
        <f>IF($Z24="","a",IF(AND($Z24="b",Inventory!$J31=""),"a",IF(AND($Z24="b",Inventory!$J31&lt;&gt;""),VLOOKUP(Inventory!$J31,$H$4:$I$6,2,FALSE),IF(AND($Z24="a",Inventory!$AA31=""),"a",IF(AND($Z24="a",Inventory!$AA31&lt;&gt;""),VLOOKUP(Inventory!$AA31,$H$4:$I$6,2,FALSE),IF(AND($Z24="c",Inventory!$AA31=""),"a",IF(AND($Z24="c",Inventory!$AA31&lt;&gt;""),VLOOKUP(Inventory!$AA31,$H$4:$I$6,2,FALSE),"a")))))))</f>
        <v>a</v>
      </c>
      <c r="AC24" s="506" t="str">
        <f t="shared" si="11"/>
        <v>a</v>
      </c>
      <c r="AD24" s="473" t="str">
        <f>IF($Z24="","a",IF(AND($Z24="b",Inventory!$L31=""),"a",IF(AND($Z24="b",Inventory!$L31&lt;&gt;""),VLOOKUP(Inventory!$L31,$N$4:$O$5,2,FALSE),IF(AND($Z24="a",Inventory!$AC31=""),"a",IF(AND($Z24="a",Inventory!$AC31&lt;&gt;""),VLOOKUP(Inventory!$AC31,$N$4:$O$5,2,FALSE),IF(AND($Z24="c",Inventory!$AC31=""),"a",IF(AND($Z24="c",Inventory!$AC31&lt;&gt;""),VLOOKUP(Inventory!$AC31,$N$4:$O$5,2,FALSE),"a")))))))</f>
        <v>a</v>
      </c>
      <c r="AE24" s="474">
        <f>IF(OR(Inventory!C31="New Construction",Inventory!C31="Replace-on-Burnout"),Inventory!AF31,IF(Inventory!C31="Early Retirement",MIN(Inventory!AE31,Inventory!AF31),0))</f>
        <v>0</v>
      </c>
      <c r="AF24" s="475" t="str">
        <f t="shared" si="12"/>
        <v/>
      </c>
      <c r="AG24" s="475" t="str">
        <f t="shared" si="0"/>
        <v/>
      </c>
      <c r="AH24" s="475" t="str">
        <f t="shared" si="1"/>
        <v/>
      </c>
      <c r="AI24" s="475" t="str">
        <f t="shared" si="2"/>
        <v/>
      </c>
      <c r="AJ24" s="475" t="str">
        <f t="shared" si="3"/>
        <v/>
      </c>
      <c r="AK24" s="475" t="str">
        <f t="shared" si="13"/>
        <v/>
      </c>
      <c r="AL24" s="475" t="str">
        <f t="shared" si="14"/>
        <v/>
      </c>
      <c r="AM24" s="475" t="str">
        <f t="shared" si="15"/>
        <v/>
      </c>
      <c r="AN24" s="475" t="str">
        <f t="shared" si="16"/>
        <v/>
      </c>
      <c r="AO24" s="475" t="str">
        <f t="shared" si="17"/>
        <v/>
      </c>
      <c r="AP24" s="475" t="str">
        <f t="shared" si="18"/>
        <v/>
      </c>
      <c r="AQ24" s="475" t="str">
        <f t="shared" si="19"/>
        <v/>
      </c>
      <c r="AR24" s="475" t="str">
        <f t="shared" si="20"/>
        <v/>
      </c>
      <c r="AS24" s="475" t="str">
        <f t="shared" si="21"/>
        <v/>
      </c>
      <c r="AT24" s="475" t="str">
        <f t="shared" si="22"/>
        <v/>
      </c>
      <c r="AU24" s="475" t="str">
        <f t="shared" si="23"/>
        <v/>
      </c>
      <c r="AV24" s="475" t="str">
        <f t="shared" si="4"/>
        <v/>
      </c>
      <c r="AW24" s="473">
        <f t="shared" si="5"/>
        <v>0</v>
      </c>
      <c r="AX24" s="473" t="str">
        <f>IF(AND($Z24="b",OR($AA24="a",$AA24="b"),Inventory!$I31="",$AE24&lt;(65000/12000)),"x",IF(AND($Z24="b",OR($AA24="a",$AA24="b"),Inventory!$I31&lt;&gt;"",$AE24&lt;(65000/12000)),VLOOKUP(Inventory!$I31,$V$4:$W$5,2,FALSE),"x"))</f>
        <v>x</v>
      </c>
      <c r="AY24" s="476" t="str">
        <f t="shared" si="24"/>
        <v>aaa0</v>
      </c>
      <c r="AZ24" s="477" t="str">
        <f t="shared" si="25"/>
        <v>No</v>
      </c>
      <c r="BA24" s="759" t="str">
        <f t="shared" si="26"/>
        <v>No</v>
      </c>
      <c r="BB24" s="477">
        <f>IF($Z24="c",Inventory!$AB31,Inventory!$K31)</f>
        <v>0</v>
      </c>
      <c r="BC24" s="478">
        <f>IF(AND($Z24="b",Inventory!$N31="Btu/hr"),Inventory!$M31,IF(AND($Z24="b",Inventory!$N31="Tons"),Inventory!$M31*12000,IF(AND($Z24&lt;&gt;"b",Inventory!$AK31="Btu/hr"),Inventory!$AD31,IF(AND($Z24&lt;&gt;"b",Inventory!$AK31="Tons"),Inventory!$AD31*12000,0))))</f>
        <v>0</v>
      </c>
      <c r="BD24" s="478">
        <f t="shared" si="27"/>
        <v>0</v>
      </c>
      <c r="BE24" s="479">
        <f t="shared" si="28"/>
        <v>0</v>
      </c>
      <c r="BF24" s="477" t="s">
        <v>50</v>
      </c>
      <c r="BG24" s="479">
        <f t="shared" si="6"/>
        <v>0</v>
      </c>
      <c r="BH24" s="477" t="s">
        <v>46</v>
      </c>
      <c r="BI24" s="760">
        <f>IF(AND($Z24="b",Inventory!$P31="Btu/hr"),Inventory!$O31,IF(AND($Z24="b",Inventory!$P31="Tons"),Inventory!$O31*12000,IF(AND($Z24&lt;&gt;"b",Inventory!$AM31="Btu/hr"),Inventory!$AL31,IF(AND($Z24&lt;&gt;"b",Inventory!$AM31="Tons"),Inventory!$AL31*12000,0))))</f>
        <v>0</v>
      </c>
      <c r="BJ24" s="760">
        <f t="shared" si="29"/>
        <v>0</v>
      </c>
      <c r="BK24" s="598">
        <f t="shared" si="30"/>
        <v>0</v>
      </c>
      <c r="BL24" s="759" t="s">
        <v>567</v>
      </c>
      <c r="BM24" s="477" t="str">
        <f t="shared" si="7"/>
        <v>No</v>
      </c>
      <c r="BN24" s="477" t="str">
        <f>IF(OR(Inventory!$H31="",$BM24="No"),"-",Inventory!$H31)</f>
        <v>-</v>
      </c>
      <c r="BO24" s="477" t="str">
        <f>IFERROR(VLOOKUP(BN24,'Early Retirement'!$B$6:$C$33,2,FALSE),"-")</f>
        <v>-</v>
      </c>
      <c r="BP24" s="477" t="str">
        <f>IF(Inventory!$J31="Centrifugal","Yes","No")</f>
        <v>No</v>
      </c>
      <c r="BQ24" s="477">
        <f t="shared" si="31"/>
        <v>0</v>
      </c>
      <c r="BR24" s="477" t="str">
        <f t="shared" si="32"/>
        <v>-</v>
      </c>
      <c r="BS24" s="479">
        <f>IFERROR(INDEX('Early Retirement'!$C$4:$AC$33,$BO24,$BR24),0)</f>
        <v>0</v>
      </c>
      <c r="BT24" s="477">
        <f>IFERROR(HLOOKUP($BR24,'Early Retirement'!$D$4:$AC$5,2,FALSE),0)</f>
        <v>0</v>
      </c>
      <c r="BU24" s="761">
        <f>IFERROR(INDEX('Early Retirement'!$AE$4:$BE$33,$BO24,$BR24),0)</f>
        <v>0</v>
      </c>
      <c r="BV24" s="759">
        <f>IFERROR(HLOOKUP($BR24,'Early Retirement'!$AF$4:$BE$5,2,FALSE),0)</f>
        <v>0</v>
      </c>
      <c r="BW24" s="479">
        <f t="shared" si="41"/>
        <v>0</v>
      </c>
      <c r="BX24" s="761">
        <f t="shared" si="33"/>
        <v>0</v>
      </c>
      <c r="BY24" s="477" t="s">
        <v>46</v>
      </c>
      <c r="BZ24" s="598">
        <f>IFERROR(INDEX('Early Retirement'!$BG$4:$CG$33,$BO24,$BR24),0)</f>
        <v>0</v>
      </c>
      <c r="CA24" s="759">
        <f>IFERROR(HLOOKUP($BR24,'Early Retirement'!$BH$4:$CH$5,2,FALSE),0)</f>
        <v>0</v>
      </c>
      <c r="CB24" s="598">
        <f t="shared" si="34"/>
        <v>0</v>
      </c>
      <c r="CC24" s="759" t="s">
        <v>567</v>
      </c>
      <c r="CD24" s="477" t="str">
        <f t="shared" si="8"/>
        <v>Yes</v>
      </c>
      <c r="CE24" s="479">
        <f t="shared" si="9"/>
        <v>0</v>
      </c>
      <c r="CF24" s="761">
        <f t="shared" si="10"/>
        <v>0</v>
      </c>
      <c r="CG24" s="759" t="s">
        <v>46</v>
      </c>
      <c r="CH24" s="598">
        <f t="shared" si="35"/>
        <v>0</v>
      </c>
      <c r="CI24" s="759" t="s">
        <v>567</v>
      </c>
      <c r="CJ24" s="480">
        <f t="shared" si="36"/>
        <v>0</v>
      </c>
      <c r="CK24" s="583">
        <f t="shared" si="37"/>
        <v>0</v>
      </c>
      <c r="CL24" s="596" t="s">
        <v>46</v>
      </c>
      <c r="CM24" s="581">
        <f t="shared" si="38"/>
        <v>0</v>
      </c>
      <c r="CN24" s="762" t="s">
        <v>567</v>
      </c>
      <c r="CP24" s="90" t="s">
        <v>116</v>
      </c>
      <c r="CQ24" s="121">
        <v>10.9</v>
      </c>
      <c r="CR24" s="307" t="s">
        <v>50</v>
      </c>
      <c r="CS24" s="641">
        <v>10.9</v>
      </c>
      <c r="CT24" s="551" t="s">
        <v>50</v>
      </c>
      <c r="CU24" s="645">
        <f t="shared" si="42"/>
        <v>1.1009174311926606</v>
      </c>
      <c r="CV24" s="645">
        <f t="shared" si="42"/>
        <v>1.1009174311926606</v>
      </c>
      <c r="CW24" s="633" t="s">
        <v>46</v>
      </c>
      <c r="CX24" s="606"/>
      <c r="CY24" s="589"/>
      <c r="CZ24" s="606"/>
      <c r="DA24" s="609"/>
      <c r="DB24" s="562"/>
      <c r="DC24" s="562"/>
      <c r="DD24" s="562"/>
      <c r="DE24" s="562"/>
      <c r="DF24" s="562"/>
      <c r="DG24" s="562"/>
      <c r="DH24" s="562"/>
      <c r="DI24" s="562"/>
      <c r="DJ24" s="562"/>
      <c r="DK24" s="562"/>
      <c r="DL24" s="562"/>
      <c r="DM24" s="562"/>
      <c r="DN24" s="562"/>
      <c r="DO24" s="562"/>
      <c r="DP24" s="562"/>
      <c r="DQ24" s="562"/>
      <c r="DR24" s="562"/>
      <c r="DS24" s="562"/>
      <c r="DT24" s="562"/>
      <c r="DU24" s="562"/>
      <c r="DV24" s="562"/>
      <c r="DW24" s="562"/>
      <c r="DX24" s="562"/>
      <c r="DY24" s="562"/>
      <c r="DZ24" s="562"/>
      <c r="EA24" s="562"/>
      <c r="EB24" s="562"/>
      <c r="EC24" s="562"/>
      <c r="ED24" s="562"/>
      <c r="EE24" s="562"/>
      <c r="EF24" s="562"/>
      <c r="EG24" s="562"/>
      <c r="EH24" s="562"/>
      <c r="EI24" s="562"/>
      <c r="EJ24" s="562"/>
      <c r="EK24" s="562"/>
      <c r="EL24" s="562"/>
    </row>
    <row r="25" spans="2:142" s="78" customFormat="1" ht="15" customHeight="1" x14ac:dyDescent="0.25">
      <c r="B25" s="77"/>
      <c r="E25" s="77"/>
      <c r="H25" s="77"/>
      <c r="Q25" s="1066"/>
      <c r="R25" s="91">
        <f>14000/12000</f>
        <v>1.1666666666666667</v>
      </c>
      <c r="S25" s="91">
        <f>20000/12000</f>
        <v>1.6666666666666667</v>
      </c>
      <c r="T25" s="89">
        <v>23</v>
      </c>
      <c r="U25" s="79"/>
      <c r="V25" s="79"/>
      <c r="W25" s="79"/>
      <c r="Y25" s="90">
        <v>23</v>
      </c>
      <c r="Z25" s="472" t="str">
        <f>IF(Inventory!$C32="","",VLOOKUP(Inventory!$C32,$B$3:$C$5,2,FALSE))</f>
        <v/>
      </c>
      <c r="AA25" s="472" t="str">
        <f>IF($Z25="","",IF(AND($Z25="b",Inventory!$G32=""),"",IF(AND($Z25="b",Inventory!$G32&lt;&gt;""),VLOOKUP(Inventory!$G32,$E$3:$F$10,2,FALSE),IF(AND($Z25="a",Inventory!$Z32=""),"",IF(AND($Z25="a",Inventory!$Z32&lt;&gt;""),VLOOKUP(Inventory!$Z32,$E$3:$F$10,2,FALSE),IF(AND($Z25="c",Inventory!$Z32=""),"",IF(AND($Z25="c",Inventory!$Z32&lt;&gt;""),VLOOKUP(Inventory!$Z32,$E$3:$F$10,2,FALSE),"")))))))</f>
        <v/>
      </c>
      <c r="AB25" s="472" t="str">
        <f>IF($Z25="","a",IF(AND($Z25="b",Inventory!$J32=""),"a",IF(AND($Z25="b",Inventory!$J32&lt;&gt;""),VLOOKUP(Inventory!$J32,$H$4:$I$6,2,FALSE),IF(AND($Z25="a",Inventory!$AA32=""),"a",IF(AND($Z25="a",Inventory!$AA32&lt;&gt;""),VLOOKUP(Inventory!$AA32,$H$4:$I$6,2,FALSE),IF(AND($Z25="c",Inventory!$AA32=""),"a",IF(AND($Z25="c",Inventory!$AA32&lt;&gt;""),VLOOKUP(Inventory!$AA32,$H$4:$I$6,2,FALSE),"a")))))))</f>
        <v>a</v>
      </c>
      <c r="AC25" s="506" t="str">
        <f t="shared" si="11"/>
        <v>a</v>
      </c>
      <c r="AD25" s="473" t="str">
        <f>IF($Z25="","a",IF(AND($Z25="b",Inventory!$L32=""),"a",IF(AND($Z25="b",Inventory!$L32&lt;&gt;""),VLOOKUP(Inventory!$L32,$N$4:$O$5,2,FALSE),IF(AND($Z25="a",Inventory!$AC32=""),"a",IF(AND($Z25="a",Inventory!$AC32&lt;&gt;""),VLOOKUP(Inventory!$AC32,$N$4:$O$5,2,FALSE),IF(AND($Z25="c",Inventory!$AC32=""),"a",IF(AND($Z25="c",Inventory!$AC32&lt;&gt;""),VLOOKUP(Inventory!$AC32,$N$4:$O$5,2,FALSE),"a")))))))</f>
        <v>a</v>
      </c>
      <c r="AE25" s="474">
        <f>IF(OR(Inventory!C32="New Construction",Inventory!C32="Replace-on-Burnout"),Inventory!AF32,IF(Inventory!C32="Early Retirement",MIN(Inventory!AE32,Inventory!AF32),0))</f>
        <v>0</v>
      </c>
      <c r="AF25" s="475" t="str">
        <f t="shared" si="12"/>
        <v/>
      </c>
      <c r="AG25" s="475" t="str">
        <f t="shared" si="0"/>
        <v/>
      </c>
      <c r="AH25" s="475" t="str">
        <f t="shared" si="1"/>
        <v/>
      </c>
      <c r="AI25" s="475" t="str">
        <f t="shared" si="2"/>
        <v/>
      </c>
      <c r="AJ25" s="475" t="str">
        <f t="shared" si="3"/>
        <v/>
      </c>
      <c r="AK25" s="475" t="str">
        <f t="shared" si="13"/>
        <v/>
      </c>
      <c r="AL25" s="475" t="str">
        <f t="shared" si="14"/>
        <v/>
      </c>
      <c r="AM25" s="475" t="str">
        <f t="shared" si="15"/>
        <v/>
      </c>
      <c r="AN25" s="475" t="str">
        <f t="shared" si="16"/>
        <v/>
      </c>
      <c r="AO25" s="475" t="str">
        <f t="shared" si="17"/>
        <v/>
      </c>
      <c r="AP25" s="475" t="str">
        <f t="shared" si="18"/>
        <v/>
      </c>
      <c r="AQ25" s="475" t="str">
        <f t="shared" si="19"/>
        <v/>
      </c>
      <c r="AR25" s="475" t="str">
        <f t="shared" si="20"/>
        <v/>
      </c>
      <c r="AS25" s="475" t="str">
        <f t="shared" si="21"/>
        <v/>
      </c>
      <c r="AT25" s="475" t="str">
        <f t="shared" si="22"/>
        <v/>
      </c>
      <c r="AU25" s="475" t="str">
        <f t="shared" si="23"/>
        <v/>
      </c>
      <c r="AV25" s="475" t="str">
        <f t="shared" si="4"/>
        <v/>
      </c>
      <c r="AW25" s="473">
        <f t="shared" si="5"/>
        <v>0</v>
      </c>
      <c r="AX25" s="473" t="str">
        <f>IF(AND($Z25="b",OR($AA25="a",$AA25="b"),Inventory!$I32="",$AE25&lt;(65000/12000)),"x",IF(AND($Z25="b",OR($AA25="a",$AA25="b"),Inventory!$I32&lt;&gt;"",$AE25&lt;(65000/12000)),VLOOKUP(Inventory!$I32,$V$4:$W$5,2,FALSE),"x"))</f>
        <v>x</v>
      </c>
      <c r="AY25" s="476" t="str">
        <f t="shared" si="24"/>
        <v>aaa0</v>
      </c>
      <c r="AZ25" s="477" t="str">
        <f t="shared" si="25"/>
        <v>No</v>
      </c>
      <c r="BA25" s="759" t="str">
        <f t="shared" si="26"/>
        <v>No</v>
      </c>
      <c r="BB25" s="477">
        <f>IF($Z25="c",Inventory!$AB32,Inventory!$K32)</f>
        <v>0</v>
      </c>
      <c r="BC25" s="478">
        <f>IF(AND($Z25="b",Inventory!$N32="Btu/hr"),Inventory!$M32,IF(AND($Z25="b",Inventory!$N32="Tons"),Inventory!$M32*12000,IF(AND($Z25&lt;&gt;"b",Inventory!$AK32="Btu/hr"),Inventory!$AD32,IF(AND($Z25&lt;&gt;"b",Inventory!$AK32="Tons"),Inventory!$AD32*12000,0))))</f>
        <v>0</v>
      </c>
      <c r="BD25" s="478">
        <f t="shared" si="27"/>
        <v>0</v>
      </c>
      <c r="BE25" s="479">
        <f t="shared" si="28"/>
        <v>0</v>
      </c>
      <c r="BF25" s="477" t="s">
        <v>50</v>
      </c>
      <c r="BG25" s="479">
        <f t="shared" si="6"/>
        <v>0</v>
      </c>
      <c r="BH25" s="477" t="s">
        <v>46</v>
      </c>
      <c r="BI25" s="760">
        <f>IF(AND($Z25="b",Inventory!$P32="Btu/hr"),Inventory!$O32,IF(AND($Z25="b",Inventory!$P32="Tons"),Inventory!$O32*12000,IF(AND($Z25&lt;&gt;"b",Inventory!$AM32="Btu/hr"),Inventory!$AL32,IF(AND($Z25&lt;&gt;"b",Inventory!$AM32="Tons"),Inventory!$AL32*12000,0))))</f>
        <v>0</v>
      </c>
      <c r="BJ25" s="760">
        <f t="shared" si="29"/>
        <v>0</v>
      </c>
      <c r="BK25" s="598">
        <f t="shared" si="30"/>
        <v>0</v>
      </c>
      <c r="BL25" s="759" t="s">
        <v>567</v>
      </c>
      <c r="BM25" s="477" t="str">
        <f t="shared" si="7"/>
        <v>No</v>
      </c>
      <c r="BN25" s="477" t="str">
        <f>IF(OR(Inventory!$H32="",$BM25="No"),"-",Inventory!$H32)</f>
        <v>-</v>
      </c>
      <c r="BO25" s="477" t="str">
        <f>IFERROR(VLOOKUP(BN25,'Early Retirement'!$B$6:$C$33,2,FALSE),"-")</f>
        <v>-</v>
      </c>
      <c r="BP25" s="477" t="str">
        <f>IF(Inventory!$J32="Centrifugal","Yes","No")</f>
        <v>No</v>
      </c>
      <c r="BQ25" s="477">
        <f t="shared" si="31"/>
        <v>0</v>
      </c>
      <c r="BR25" s="477" t="str">
        <f t="shared" si="32"/>
        <v>-</v>
      </c>
      <c r="BS25" s="479">
        <f>IFERROR(INDEX('Early Retirement'!$C$4:$AC$33,$BO25,$BR25),0)</f>
        <v>0</v>
      </c>
      <c r="BT25" s="477">
        <f>IFERROR(HLOOKUP($BR25,'Early Retirement'!$D$4:$AC$5,2,FALSE),0)</f>
        <v>0</v>
      </c>
      <c r="BU25" s="761">
        <f>IFERROR(INDEX('Early Retirement'!$AE$4:$BE$33,$BO25,$BR25),0)</f>
        <v>0</v>
      </c>
      <c r="BV25" s="759">
        <f>IFERROR(HLOOKUP($BR25,'Early Retirement'!$AF$4:$BE$5,2,FALSE),0)</f>
        <v>0</v>
      </c>
      <c r="BW25" s="479">
        <f t="shared" si="41"/>
        <v>0</v>
      </c>
      <c r="BX25" s="761">
        <f t="shared" si="33"/>
        <v>0</v>
      </c>
      <c r="BY25" s="477" t="s">
        <v>46</v>
      </c>
      <c r="BZ25" s="598">
        <f>IFERROR(INDEX('Early Retirement'!$BG$4:$CG$33,$BO25,$BR25),0)</f>
        <v>0</v>
      </c>
      <c r="CA25" s="759">
        <f>IFERROR(HLOOKUP($BR25,'Early Retirement'!$BH$4:$CH$5,2,FALSE),0)</f>
        <v>0</v>
      </c>
      <c r="CB25" s="598">
        <f t="shared" si="34"/>
        <v>0</v>
      </c>
      <c r="CC25" s="759" t="s">
        <v>567</v>
      </c>
      <c r="CD25" s="477" t="str">
        <f t="shared" si="8"/>
        <v>Yes</v>
      </c>
      <c r="CE25" s="479">
        <f t="shared" si="9"/>
        <v>0</v>
      </c>
      <c r="CF25" s="761">
        <f t="shared" si="10"/>
        <v>0</v>
      </c>
      <c r="CG25" s="759" t="s">
        <v>46</v>
      </c>
      <c r="CH25" s="598">
        <f t="shared" si="35"/>
        <v>0</v>
      </c>
      <c r="CI25" s="759" t="s">
        <v>567</v>
      </c>
      <c r="CJ25" s="480">
        <f t="shared" si="36"/>
        <v>0</v>
      </c>
      <c r="CK25" s="583">
        <f t="shared" si="37"/>
        <v>0</v>
      </c>
      <c r="CL25" s="596" t="s">
        <v>46</v>
      </c>
      <c r="CM25" s="581">
        <f t="shared" si="38"/>
        <v>0</v>
      </c>
      <c r="CN25" s="762" t="s">
        <v>567</v>
      </c>
      <c r="CP25" s="90" t="s">
        <v>117</v>
      </c>
      <c r="CQ25" s="121">
        <v>10.7</v>
      </c>
      <c r="CR25" s="307" t="s">
        <v>50</v>
      </c>
      <c r="CS25" s="641">
        <v>10.7</v>
      </c>
      <c r="CT25" s="551" t="s">
        <v>50</v>
      </c>
      <c r="CU25" s="645">
        <f t="shared" si="42"/>
        <v>1.1214953271028039</v>
      </c>
      <c r="CV25" s="645">
        <f t="shared" si="42"/>
        <v>1.1214953271028039</v>
      </c>
      <c r="CW25" s="633" t="s">
        <v>46</v>
      </c>
      <c r="CX25" s="606"/>
      <c r="CY25" s="589"/>
      <c r="CZ25" s="606"/>
      <c r="DA25" s="609"/>
      <c r="DB25" s="562"/>
      <c r="DC25" s="562"/>
      <c r="DD25" s="562"/>
      <c r="DE25" s="562"/>
      <c r="DF25" s="562"/>
      <c r="DG25" s="562"/>
      <c r="DH25" s="562"/>
      <c r="DI25" s="562"/>
      <c r="DJ25" s="562"/>
      <c r="DK25" s="562"/>
      <c r="DL25" s="562"/>
      <c r="DM25" s="562"/>
      <c r="DN25" s="562"/>
      <c r="DO25" s="562"/>
      <c r="DP25" s="562"/>
      <c r="DQ25" s="562"/>
      <c r="DR25" s="562"/>
      <c r="DS25" s="562"/>
      <c r="DT25" s="562"/>
      <c r="DU25" s="562"/>
      <c r="DV25" s="562"/>
      <c r="DW25" s="562"/>
      <c r="DX25" s="562"/>
      <c r="DY25" s="562"/>
      <c r="DZ25" s="562"/>
      <c r="EA25" s="562"/>
      <c r="EB25" s="562"/>
      <c r="EC25" s="562"/>
      <c r="ED25" s="562"/>
      <c r="EE25" s="562"/>
      <c r="EF25" s="562"/>
      <c r="EG25" s="562"/>
      <c r="EH25" s="562"/>
      <c r="EI25" s="562"/>
      <c r="EJ25" s="562"/>
      <c r="EK25" s="562"/>
      <c r="EL25" s="562"/>
    </row>
    <row r="26" spans="2:142" s="78" customFormat="1" ht="15" customHeight="1" x14ac:dyDescent="0.25">
      <c r="B26" s="77"/>
      <c r="E26" s="77"/>
      <c r="H26" s="77"/>
      <c r="Q26" s="1066"/>
      <c r="R26" s="91">
        <f>20000/12000</f>
        <v>1.6666666666666667</v>
      </c>
      <c r="S26" s="98"/>
      <c r="T26" s="89">
        <v>24</v>
      </c>
      <c r="U26" s="79"/>
      <c r="V26" s="79"/>
      <c r="W26" s="79"/>
      <c r="Y26" s="90">
        <v>24</v>
      </c>
      <c r="Z26" s="472" t="str">
        <f>IF(Inventory!$C33="","",VLOOKUP(Inventory!$C33,$B$3:$C$5,2,FALSE))</f>
        <v/>
      </c>
      <c r="AA26" s="472" t="str">
        <f>IF($Z26="","",IF(AND($Z26="b",Inventory!$G33=""),"",IF(AND($Z26="b",Inventory!$G33&lt;&gt;""),VLOOKUP(Inventory!$G33,$E$3:$F$10,2,FALSE),IF(AND($Z26="a",Inventory!$Z33=""),"",IF(AND($Z26="a",Inventory!$Z33&lt;&gt;""),VLOOKUP(Inventory!$Z33,$E$3:$F$10,2,FALSE),IF(AND($Z26="c",Inventory!$Z33=""),"",IF(AND($Z26="c",Inventory!$Z33&lt;&gt;""),VLOOKUP(Inventory!$Z33,$E$3:$F$10,2,FALSE),"")))))))</f>
        <v/>
      </c>
      <c r="AB26" s="472" t="str">
        <f>IF($Z26="","a",IF(AND($Z26="b",Inventory!$J33=""),"a",IF(AND($Z26="b",Inventory!$J33&lt;&gt;""),VLOOKUP(Inventory!$J33,$H$4:$I$6,2,FALSE),IF(AND($Z26="a",Inventory!$AA33=""),"a",IF(AND($Z26="a",Inventory!$AA33&lt;&gt;""),VLOOKUP(Inventory!$AA33,$H$4:$I$6,2,FALSE),IF(AND($Z26="c",Inventory!$AA33=""),"a",IF(AND($Z26="c",Inventory!$AA33&lt;&gt;""),VLOOKUP(Inventory!$AA33,$H$4:$I$6,2,FALSE),"a")))))))</f>
        <v>a</v>
      </c>
      <c r="AC26" s="506" t="str">
        <f t="shared" si="11"/>
        <v>a</v>
      </c>
      <c r="AD26" s="473" t="str">
        <f>IF($Z26="","a",IF(AND($Z26="b",Inventory!$L33=""),"a",IF(AND($Z26="b",Inventory!$L33&lt;&gt;""),VLOOKUP(Inventory!$L33,$N$4:$O$5,2,FALSE),IF(AND($Z26="a",Inventory!$AC33=""),"a",IF(AND($Z26="a",Inventory!$AC33&lt;&gt;""),VLOOKUP(Inventory!$AC33,$N$4:$O$5,2,FALSE),IF(AND($Z26="c",Inventory!$AC33=""),"a",IF(AND($Z26="c",Inventory!$AC33&lt;&gt;""),VLOOKUP(Inventory!$AC33,$N$4:$O$5,2,FALSE),"a")))))))</f>
        <v>a</v>
      </c>
      <c r="AE26" s="474">
        <f>IF(OR(Inventory!C33="New Construction",Inventory!C33="Replace-on-Burnout"),Inventory!AF33,IF(Inventory!C33="Early Retirement",MIN(Inventory!AE33,Inventory!AF33),0))</f>
        <v>0</v>
      </c>
      <c r="AF26" s="475" t="str">
        <f t="shared" si="12"/>
        <v/>
      </c>
      <c r="AG26" s="475" t="str">
        <f t="shared" si="0"/>
        <v/>
      </c>
      <c r="AH26" s="475" t="str">
        <f t="shared" si="1"/>
        <v/>
      </c>
      <c r="AI26" s="475" t="str">
        <f t="shared" si="2"/>
        <v/>
      </c>
      <c r="AJ26" s="475" t="str">
        <f t="shared" si="3"/>
        <v/>
      </c>
      <c r="AK26" s="475" t="str">
        <f t="shared" si="13"/>
        <v/>
      </c>
      <c r="AL26" s="475" t="str">
        <f t="shared" si="14"/>
        <v/>
      </c>
      <c r="AM26" s="475" t="str">
        <f t="shared" si="15"/>
        <v/>
      </c>
      <c r="AN26" s="475" t="str">
        <f t="shared" si="16"/>
        <v/>
      </c>
      <c r="AO26" s="475" t="str">
        <f t="shared" si="17"/>
        <v/>
      </c>
      <c r="AP26" s="475" t="str">
        <f t="shared" si="18"/>
        <v/>
      </c>
      <c r="AQ26" s="475" t="str">
        <f t="shared" si="19"/>
        <v/>
      </c>
      <c r="AR26" s="475" t="str">
        <f t="shared" si="20"/>
        <v/>
      </c>
      <c r="AS26" s="475" t="str">
        <f t="shared" si="21"/>
        <v/>
      </c>
      <c r="AT26" s="475" t="str">
        <f t="shared" si="22"/>
        <v/>
      </c>
      <c r="AU26" s="475" t="str">
        <f t="shared" si="23"/>
        <v/>
      </c>
      <c r="AV26" s="475" t="str">
        <f t="shared" si="4"/>
        <v/>
      </c>
      <c r="AW26" s="473">
        <f t="shared" si="5"/>
        <v>0</v>
      </c>
      <c r="AX26" s="473" t="str">
        <f>IF(AND($Z26="b",OR($AA26="a",$AA26="b"),Inventory!$I33="",$AE26&lt;(65000/12000)),"x",IF(AND($Z26="b",OR($AA26="a",$AA26="b"),Inventory!$I33&lt;&gt;"",$AE26&lt;(65000/12000)),VLOOKUP(Inventory!$I33,$V$4:$W$5,2,FALSE),"x"))</f>
        <v>x</v>
      </c>
      <c r="AY26" s="476" t="str">
        <f t="shared" si="24"/>
        <v>aaa0</v>
      </c>
      <c r="AZ26" s="477" t="str">
        <f t="shared" si="25"/>
        <v>No</v>
      </c>
      <c r="BA26" s="759" t="str">
        <f t="shared" si="26"/>
        <v>No</v>
      </c>
      <c r="BB26" s="477">
        <f>IF($Z26="c",Inventory!$AB33,Inventory!$K33)</f>
        <v>0</v>
      </c>
      <c r="BC26" s="478">
        <f>IF(AND($Z26="b",Inventory!$N33="Btu/hr"),Inventory!$M33,IF(AND($Z26="b",Inventory!$N33="Tons"),Inventory!$M33*12000,IF(AND($Z26&lt;&gt;"b",Inventory!$AK33="Btu/hr"),Inventory!$AD33,IF(AND($Z26&lt;&gt;"b",Inventory!$AK33="Tons"),Inventory!$AD33*12000,0))))</f>
        <v>0</v>
      </c>
      <c r="BD26" s="478">
        <f t="shared" si="27"/>
        <v>0</v>
      </c>
      <c r="BE26" s="479">
        <f t="shared" si="28"/>
        <v>0</v>
      </c>
      <c r="BF26" s="477" t="s">
        <v>50</v>
      </c>
      <c r="BG26" s="479">
        <f t="shared" si="6"/>
        <v>0</v>
      </c>
      <c r="BH26" s="477" t="s">
        <v>46</v>
      </c>
      <c r="BI26" s="760">
        <f>IF(AND($Z26="b",Inventory!$P33="Btu/hr"),Inventory!$O33,IF(AND($Z26="b",Inventory!$P33="Tons"),Inventory!$O33*12000,IF(AND($Z26&lt;&gt;"b",Inventory!$AM33="Btu/hr"),Inventory!$AL33,IF(AND($Z26&lt;&gt;"b",Inventory!$AM33="Tons"),Inventory!$AL33*12000,0))))</f>
        <v>0</v>
      </c>
      <c r="BJ26" s="760">
        <f t="shared" si="29"/>
        <v>0</v>
      </c>
      <c r="BK26" s="598">
        <f t="shared" si="30"/>
        <v>0</v>
      </c>
      <c r="BL26" s="759" t="s">
        <v>567</v>
      </c>
      <c r="BM26" s="477" t="str">
        <f t="shared" si="7"/>
        <v>No</v>
      </c>
      <c r="BN26" s="477" t="str">
        <f>IF(OR(Inventory!$H33="",$BM26="No"),"-",Inventory!$H33)</f>
        <v>-</v>
      </c>
      <c r="BO26" s="477" t="str">
        <f>IFERROR(VLOOKUP(BN26,'Early Retirement'!$B$6:$C$33,2,FALSE),"-")</f>
        <v>-</v>
      </c>
      <c r="BP26" s="477" t="str">
        <f>IF(Inventory!$J33="Centrifugal","Yes","No")</f>
        <v>No</v>
      </c>
      <c r="BQ26" s="477">
        <f t="shared" si="31"/>
        <v>0</v>
      </c>
      <c r="BR26" s="477" t="str">
        <f t="shared" si="32"/>
        <v>-</v>
      </c>
      <c r="BS26" s="479">
        <f>IFERROR(INDEX('Early Retirement'!$C$4:$AC$33,$BO26,$BR26),0)</f>
        <v>0</v>
      </c>
      <c r="BT26" s="477">
        <f>IFERROR(HLOOKUP($BR26,'Early Retirement'!$D$4:$AC$5,2,FALSE),0)</f>
        <v>0</v>
      </c>
      <c r="BU26" s="761">
        <f>IFERROR(INDEX('Early Retirement'!$AE$4:$BE$33,$BO26,$BR26),0)</f>
        <v>0</v>
      </c>
      <c r="BV26" s="759">
        <f>IFERROR(HLOOKUP($BR26,'Early Retirement'!$AF$4:$BE$5,2,FALSE),0)</f>
        <v>0</v>
      </c>
      <c r="BW26" s="479">
        <f t="shared" si="41"/>
        <v>0</v>
      </c>
      <c r="BX26" s="761">
        <f t="shared" si="33"/>
        <v>0</v>
      </c>
      <c r="BY26" s="477" t="s">
        <v>46</v>
      </c>
      <c r="BZ26" s="598">
        <f>IFERROR(INDEX('Early Retirement'!$BG$4:$CG$33,$BO26,$BR26),0)</f>
        <v>0</v>
      </c>
      <c r="CA26" s="759">
        <f>IFERROR(HLOOKUP($BR26,'Early Retirement'!$BH$4:$CH$5,2,FALSE),0)</f>
        <v>0</v>
      </c>
      <c r="CB26" s="598">
        <f t="shared" si="34"/>
        <v>0</v>
      </c>
      <c r="CC26" s="759" t="s">
        <v>567</v>
      </c>
      <c r="CD26" s="477" t="str">
        <f t="shared" si="8"/>
        <v>Yes</v>
      </c>
      <c r="CE26" s="479">
        <f t="shared" si="9"/>
        <v>0</v>
      </c>
      <c r="CF26" s="761">
        <f t="shared" si="10"/>
        <v>0</v>
      </c>
      <c r="CG26" s="759" t="s">
        <v>46</v>
      </c>
      <c r="CH26" s="598">
        <f t="shared" si="35"/>
        <v>0</v>
      </c>
      <c r="CI26" s="759" t="s">
        <v>567</v>
      </c>
      <c r="CJ26" s="480">
        <f t="shared" si="36"/>
        <v>0</v>
      </c>
      <c r="CK26" s="583">
        <f t="shared" si="37"/>
        <v>0</v>
      </c>
      <c r="CL26" s="596" t="s">
        <v>46</v>
      </c>
      <c r="CM26" s="581">
        <f t="shared" si="38"/>
        <v>0</v>
      </c>
      <c r="CN26" s="762" t="s">
        <v>567</v>
      </c>
      <c r="CP26" s="90" t="s">
        <v>122</v>
      </c>
      <c r="CQ26" s="121">
        <v>9.4</v>
      </c>
      <c r="CR26" s="307" t="s">
        <v>50</v>
      </c>
      <c r="CS26" s="641">
        <v>9.4</v>
      </c>
      <c r="CT26" s="551" t="s">
        <v>50</v>
      </c>
      <c r="CU26" s="645">
        <f t="shared" si="42"/>
        <v>1.2765957446808509</v>
      </c>
      <c r="CV26" s="645">
        <f t="shared" si="42"/>
        <v>1.2765957446808509</v>
      </c>
      <c r="CW26" s="633" t="s">
        <v>46</v>
      </c>
      <c r="CX26" s="606"/>
      <c r="CY26" s="589"/>
      <c r="CZ26" s="606"/>
      <c r="DA26" s="609"/>
      <c r="DB26" s="562"/>
      <c r="DC26" s="562"/>
      <c r="DD26" s="562"/>
      <c r="DE26" s="562"/>
      <c r="DF26" s="562"/>
      <c r="DG26" s="562"/>
      <c r="DH26" s="562"/>
      <c r="DI26" s="562"/>
      <c r="DJ26" s="562"/>
      <c r="DK26" s="562"/>
      <c r="DL26" s="562"/>
      <c r="DM26" s="562"/>
      <c r="DN26" s="562"/>
      <c r="DO26" s="562"/>
      <c r="DP26" s="562"/>
      <c r="DQ26" s="562"/>
      <c r="DR26" s="562"/>
      <c r="DS26" s="562"/>
      <c r="DT26" s="562"/>
      <c r="DU26" s="562"/>
      <c r="DV26" s="562"/>
      <c r="DW26" s="562"/>
      <c r="DX26" s="562"/>
      <c r="DY26" s="562"/>
      <c r="DZ26" s="562"/>
      <c r="EA26" s="562"/>
      <c r="EB26" s="562"/>
      <c r="EC26" s="562"/>
      <c r="ED26" s="562"/>
      <c r="EE26" s="562"/>
      <c r="EF26" s="562"/>
      <c r="EG26" s="562"/>
      <c r="EH26" s="562"/>
      <c r="EI26" s="562"/>
      <c r="EJ26" s="562"/>
      <c r="EK26" s="562"/>
      <c r="EL26" s="562"/>
    </row>
    <row r="27" spans="2:142" s="78" customFormat="1" ht="15" customHeight="1" x14ac:dyDescent="0.25">
      <c r="B27" s="77"/>
      <c r="E27" s="77"/>
      <c r="H27" s="77"/>
      <c r="Q27" s="1066" t="s">
        <v>80</v>
      </c>
      <c r="R27" s="91">
        <v>0</v>
      </c>
      <c r="S27" s="91">
        <f>20000/12000</f>
        <v>1.6666666666666667</v>
      </c>
      <c r="T27" s="89">
        <v>25</v>
      </c>
      <c r="U27" s="79"/>
      <c r="V27" s="79"/>
      <c r="W27" s="79"/>
      <c r="Y27" s="90">
        <v>25</v>
      </c>
      <c r="Z27" s="472" t="str">
        <f>IF(Inventory!$C34="","",VLOOKUP(Inventory!$C34,$B$3:$C$5,2,FALSE))</f>
        <v/>
      </c>
      <c r="AA27" s="472" t="str">
        <f>IF($Z27="","",IF(AND($Z27="b",Inventory!$G34=""),"",IF(AND($Z27="b",Inventory!$G34&lt;&gt;""),VLOOKUP(Inventory!$G34,$E$3:$F$10,2,FALSE),IF(AND($Z27="a",Inventory!$Z34=""),"",IF(AND($Z27="a",Inventory!$Z34&lt;&gt;""),VLOOKUP(Inventory!$Z34,$E$3:$F$10,2,FALSE),IF(AND($Z27="c",Inventory!$Z34=""),"",IF(AND($Z27="c",Inventory!$Z34&lt;&gt;""),VLOOKUP(Inventory!$Z34,$E$3:$F$10,2,FALSE),"")))))))</f>
        <v/>
      </c>
      <c r="AB27" s="472" t="str">
        <f>IF($Z27="","a",IF(AND($Z27="b",Inventory!$J34=""),"a",IF(AND($Z27="b",Inventory!$J34&lt;&gt;""),VLOOKUP(Inventory!$J34,$H$4:$I$6,2,FALSE),IF(AND($Z27="a",Inventory!$AA34=""),"a",IF(AND($Z27="a",Inventory!$AA34&lt;&gt;""),VLOOKUP(Inventory!$AA34,$H$4:$I$6,2,FALSE),IF(AND($Z27="c",Inventory!$AA34=""),"a",IF(AND($Z27="c",Inventory!$AA34&lt;&gt;""),VLOOKUP(Inventory!$AA34,$H$4:$I$6,2,FALSE),"a")))))))</f>
        <v>a</v>
      </c>
      <c r="AC27" s="506" t="str">
        <f t="shared" si="11"/>
        <v>a</v>
      </c>
      <c r="AD27" s="473" t="str">
        <f>IF($Z27="","a",IF(AND($Z27="b",Inventory!$L34=""),"a",IF(AND($Z27="b",Inventory!$L34&lt;&gt;""),VLOOKUP(Inventory!$L34,$N$4:$O$5,2,FALSE),IF(AND($Z27="a",Inventory!$AC34=""),"a",IF(AND($Z27="a",Inventory!$AC34&lt;&gt;""),VLOOKUP(Inventory!$AC34,$N$4:$O$5,2,FALSE),IF(AND($Z27="c",Inventory!$AC34=""),"a",IF(AND($Z27="c",Inventory!$AC34&lt;&gt;""),VLOOKUP(Inventory!$AC34,$N$4:$O$5,2,FALSE),"a")))))))</f>
        <v>a</v>
      </c>
      <c r="AE27" s="474">
        <f>IF(OR(Inventory!C34="New Construction",Inventory!C34="Replace-on-Burnout"),Inventory!AF34,IF(Inventory!C34="Early Retirement",MIN(Inventory!AE34,Inventory!AF34),0))</f>
        <v>0</v>
      </c>
      <c r="AF27" s="475" t="str">
        <f t="shared" si="12"/>
        <v/>
      </c>
      <c r="AG27" s="475" t="str">
        <f t="shared" si="0"/>
        <v/>
      </c>
      <c r="AH27" s="475" t="str">
        <f t="shared" si="1"/>
        <v/>
      </c>
      <c r="AI27" s="475" t="str">
        <f t="shared" si="2"/>
        <v/>
      </c>
      <c r="AJ27" s="475" t="str">
        <f t="shared" si="3"/>
        <v/>
      </c>
      <c r="AK27" s="475" t="str">
        <f t="shared" si="13"/>
        <v/>
      </c>
      <c r="AL27" s="475" t="str">
        <f t="shared" si="14"/>
        <v/>
      </c>
      <c r="AM27" s="475" t="str">
        <f t="shared" si="15"/>
        <v/>
      </c>
      <c r="AN27" s="475" t="str">
        <f t="shared" si="16"/>
        <v/>
      </c>
      <c r="AO27" s="475" t="str">
        <f t="shared" si="17"/>
        <v/>
      </c>
      <c r="AP27" s="475" t="str">
        <f t="shared" si="18"/>
        <v/>
      </c>
      <c r="AQ27" s="475" t="str">
        <f t="shared" si="19"/>
        <v/>
      </c>
      <c r="AR27" s="475" t="str">
        <f t="shared" si="20"/>
        <v/>
      </c>
      <c r="AS27" s="475" t="str">
        <f t="shared" si="21"/>
        <v/>
      </c>
      <c r="AT27" s="475" t="str">
        <f t="shared" si="22"/>
        <v/>
      </c>
      <c r="AU27" s="475" t="str">
        <f t="shared" si="23"/>
        <v/>
      </c>
      <c r="AV27" s="475" t="str">
        <f t="shared" si="4"/>
        <v/>
      </c>
      <c r="AW27" s="473">
        <f t="shared" si="5"/>
        <v>0</v>
      </c>
      <c r="AX27" s="473" t="str">
        <f>IF(AND($Z27="b",OR($AA27="a",$AA27="b"),Inventory!$I34="",$AE27&lt;(65000/12000)),"x",IF(AND($Z27="b",OR($AA27="a",$AA27="b"),Inventory!$I34&lt;&gt;"",$AE27&lt;(65000/12000)),VLOOKUP(Inventory!$I34,$V$4:$W$5,2,FALSE),"x"))</f>
        <v>x</v>
      </c>
      <c r="AY27" s="476" t="str">
        <f t="shared" si="24"/>
        <v>aaa0</v>
      </c>
      <c r="AZ27" s="477" t="str">
        <f t="shared" si="25"/>
        <v>No</v>
      </c>
      <c r="BA27" s="759" t="str">
        <f t="shared" si="26"/>
        <v>No</v>
      </c>
      <c r="BB27" s="477">
        <f>IF($Z27="c",Inventory!$AB34,Inventory!$K34)</f>
        <v>0</v>
      </c>
      <c r="BC27" s="478">
        <f>IF(AND($Z27="b",Inventory!$N34="Btu/hr"),Inventory!$M34,IF(AND($Z27="b",Inventory!$N34="Tons"),Inventory!$M34*12000,IF(AND($Z27&lt;&gt;"b",Inventory!$AK34="Btu/hr"),Inventory!$AD34,IF(AND($Z27&lt;&gt;"b",Inventory!$AK34="Tons"),Inventory!$AD34*12000,0))))</f>
        <v>0</v>
      </c>
      <c r="BD27" s="478">
        <f t="shared" si="27"/>
        <v>0</v>
      </c>
      <c r="BE27" s="479">
        <f t="shared" si="28"/>
        <v>0</v>
      </c>
      <c r="BF27" s="477" t="s">
        <v>50</v>
      </c>
      <c r="BG27" s="479">
        <f t="shared" si="6"/>
        <v>0</v>
      </c>
      <c r="BH27" s="477" t="s">
        <v>46</v>
      </c>
      <c r="BI27" s="760">
        <f>IF(AND($Z27="b",Inventory!$P34="Btu/hr"),Inventory!$O34,IF(AND($Z27="b",Inventory!$P34="Tons"),Inventory!$O34*12000,IF(AND($Z27&lt;&gt;"b",Inventory!$AM34="Btu/hr"),Inventory!$AL34,IF(AND($Z27&lt;&gt;"b",Inventory!$AM34="Tons"),Inventory!$AL34*12000,0))))</f>
        <v>0</v>
      </c>
      <c r="BJ27" s="760">
        <f t="shared" si="29"/>
        <v>0</v>
      </c>
      <c r="BK27" s="598">
        <f t="shared" si="30"/>
        <v>0</v>
      </c>
      <c r="BL27" s="759" t="s">
        <v>567</v>
      </c>
      <c r="BM27" s="477" t="str">
        <f t="shared" si="7"/>
        <v>No</v>
      </c>
      <c r="BN27" s="477" t="str">
        <f>IF(OR(Inventory!$H34="",$BM27="No"),"-",Inventory!$H34)</f>
        <v>-</v>
      </c>
      <c r="BO27" s="477" t="str">
        <f>IFERROR(VLOOKUP(BN27,'Early Retirement'!$B$6:$C$33,2,FALSE),"-")</f>
        <v>-</v>
      </c>
      <c r="BP27" s="477" t="str">
        <f>IF(Inventory!$J34="Centrifugal","Yes","No")</f>
        <v>No</v>
      </c>
      <c r="BQ27" s="477">
        <f t="shared" si="31"/>
        <v>0</v>
      </c>
      <c r="BR27" s="477" t="str">
        <f t="shared" si="32"/>
        <v>-</v>
      </c>
      <c r="BS27" s="479">
        <f>IFERROR(INDEX('Early Retirement'!$C$4:$AC$33,$BO27,$BR27),0)</f>
        <v>0</v>
      </c>
      <c r="BT27" s="477">
        <f>IFERROR(HLOOKUP($BR27,'Early Retirement'!$D$4:$AC$5,2,FALSE),0)</f>
        <v>0</v>
      </c>
      <c r="BU27" s="761">
        <f>IFERROR(INDEX('Early Retirement'!$AE$4:$BE$33,$BO27,$BR27),0)</f>
        <v>0</v>
      </c>
      <c r="BV27" s="759">
        <f>IFERROR(HLOOKUP($BR27,'Early Retirement'!$AF$4:$BE$5,2,FALSE),0)</f>
        <v>0</v>
      </c>
      <c r="BW27" s="479">
        <f t="shared" si="41"/>
        <v>0</v>
      </c>
      <c r="BX27" s="761">
        <f t="shared" si="33"/>
        <v>0</v>
      </c>
      <c r="BY27" s="477" t="s">
        <v>46</v>
      </c>
      <c r="BZ27" s="598">
        <f>IFERROR(INDEX('Early Retirement'!$BG$4:$CG$33,$BO27,$BR27),0)</f>
        <v>0</v>
      </c>
      <c r="CA27" s="759">
        <f>IFERROR(HLOOKUP($BR27,'Early Retirement'!$BH$4:$CH$5,2,FALSE),0)</f>
        <v>0</v>
      </c>
      <c r="CB27" s="598">
        <f t="shared" si="34"/>
        <v>0</v>
      </c>
      <c r="CC27" s="759" t="s">
        <v>567</v>
      </c>
      <c r="CD27" s="477" t="str">
        <f t="shared" si="8"/>
        <v>Yes</v>
      </c>
      <c r="CE27" s="479">
        <f t="shared" si="9"/>
        <v>0</v>
      </c>
      <c r="CF27" s="761">
        <f t="shared" si="10"/>
        <v>0</v>
      </c>
      <c r="CG27" s="759" t="s">
        <v>46</v>
      </c>
      <c r="CH27" s="598">
        <f t="shared" si="35"/>
        <v>0</v>
      </c>
      <c r="CI27" s="759" t="s">
        <v>567</v>
      </c>
      <c r="CJ27" s="480">
        <f t="shared" si="36"/>
        <v>0</v>
      </c>
      <c r="CK27" s="583">
        <f t="shared" si="37"/>
        <v>0</v>
      </c>
      <c r="CL27" s="596" t="s">
        <v>46</v>
      </c>
      <c r="CM27" s="581">
        <f t="shared" si="38"/>
        <v>0</v>
      </c>
      <c r="CN27" s="762" t="s">
        <v>567</v>
      </c>
      <c r="CP27" s="90" t="s">
        <v>160</v>
      </c>
      <c r="CQ27" s="121">
        <v>9</v>
      </c>
      <c r="CR27" s="307" t="s">
        <v>50</v>
      </c>
      <c r="CS27" s="641">
        <v>9</v>
      </c>
      <c r="CT27" s="551" t="s">
        <v>50</v>
      </c>
      <c r="CU27" s="645">
        <f t="shared" si="42"/>
        <v>1.3333333333333333</v>
      </c>
      <c r="CV27" s="645">
        <f t="shared" si="42"/>
        <v>1.3333333333333333</v>
      </c>
      <c r="CW27" s="633" t="s">
        <v>46</v>
      </c>
      <c r="CX27" s="606"/>
      <c r="CY27" s="589"/>
      <c r="CZ27" s="606"/>
      <c r="DA27" s="609"/>
      <c r="DB27" s="562"/>
      <c r="DC27" s="562"/>
      <c r="DD27" s="562"/>
      <c r="DE27" s="562"/>
      <c r="DF27" s="562"/>
      <c r="DG27" s="562"/>
      <c r="DH27" s="562"/>
      <c r="DI27" s="562"/>
      <c r="DJ27" s="562"/>
      <c r="DK27" s="562"/>
      <c r="DL27" s="562"/>
      <c r="DM27" s="562"/>
      <c r="DN27" s="562"/>
      <c r="DO27" s="562"/>
      <c r="DP27" s="562"/>
      <c r="DQ27" s="562"/>
      <c r="DR27" s="562"/>
      <c r="DS27" s="562"/>
      <c r="DT27" s="562"/>
      <c r="DU27" s="562"/>
      <c r="DV27" s="562"/>
      <c r="DW27" s="562"/>
      <c r="DX27" s="562"/>
      <c r="DY27" s="562"/>
      <c r="DZ27" s="562"/>
      <c r="EA27" s="562"/>
      <c r="EB27" s="562"/>
      <c r="EC27" s="562"/>
      <c r="ED27" s="562"/>
      <c r="EE27" s="562"/>
      <c r="EF27" s="562"/>
      <c r="EG27" s="562"/>
      <c r="EH27" s="562"/>
      <c r="EI27" s="562"/>
      <c r="EJ27" s="562"/>
      <c r="EK27" s="562"/>
      <c r="EL27" s="562"/>
    </row>
    <row r="28" spans="2:142" s="78" customFormat="1" ht="15" customHeight="1" x14ac:dyDescent="0.25">
      <c r="B28" s="77"/>
      <c r="E28" s="77"/>
      <c r="H28" s="77"/>
      <c r="Q28" s="1066"/>
      <c r="R28" s="91">
        <f>20000/12000</f>
        <v>1.6666666666666667</v>
      </c>
      <c r="S28" s="98"/>
      <c r="T28" s="89">
        <v>26</v>
      </c>
      <c r="U28" s="79"/>
      <c r="V28" s="79"/>
      <c r="W28" s="79"/>
      <c r="Y28" s="90">
        <v>26</v>
      </c>
      <c r="Z28" s="472" t="str">
        <f>IF(Inventory!$C35="","",VLOOKUP(Inventory!$C35,$B$3:$C$5,2,FALSE))</f>
        <v/>
      </c>
      <c r="AA28" s="472" t="str">
        <f>IF($Z28="","",IF(AND($Z28="b",Inventory!$G35=""),"",IF(AND($Z28="b",Inventory!$G35&lt;&gt;""),VLOOKUP(Inventory!$G35,$E$3:$F$10,2,FALSE),IF(AND($Z28="a",Inventory!$Z35=""),"",IF(AND($Z28="a",Inventory!$Z35&lt;&gt;""),VLOOKUP(Inventory!$Z35,$E$3:$F$10,2,FALSE),IF(AND($Z28="c",Inventory!$Z35=""),"",IF(AND($Z28="c",Inventory!$Z35&lt;&gt;""),VLOOKUP(Inventory!$Z35,$E$3:$F$10,2,FALSE),"")))))))</f>
        <v/>
      </c>
      <c r="AB28" s="472" t="str">
        <f>IF($Z28="","a",IF(AND($Z28="b",Inventory!$J35=""),"a",IF(AND($Z28="b",Inventory!$J35&lt;&gt;""),VLOOKUP(Inventory!$J35,$H$4:$I$6,2,FALSE),IF(AND($Z28="a",Inventory!$AA35=""),"a",IF(AND($Z28="a",Inventory!$AA35&lt;&gt;""),VLOOKUP(Inventory!$AA35,$H$4:$I$6,2,FALSE),IF(AND($Z28="c",Inventory!$AA35=""),"a",IF(AND($Z28="c",Inventory!$AA35&lt;&gt;""),VLOOKUP(Inventory!$AA35,$H$4:$I$6,2,FALSE),"a")))))))</f>
        <v>a</v>
      </c>
      <c r="AC28" s="506" t="str">
        <f t="shared" si="11"/>
        <v>a</v>
      </c>
      <c r="AD28" s="473" t="str">
        <f>IF($Z28="","a",IF(AND($Z28="b",Inventory!$L35=""),"a",IF(AND($Z28="b",Inventory!$L35&lt;&gt;""),VLOOKUP(Inventory!$L35,$N$4:$O$5,2,FALSE),IF(AND($Z28="a",Inventory!$AC35=""),"a",IF(AND($Z28="a",Inventory!$AC35&lt;&gt;""),VLOOKUP(Inventory!$AC35,$N$4:$O$5,2,FALSE),IF(AND($Z28="c",Inventory!$AC35=""),"a",IF(AND($Z28="c",Inventory!$AC35&lt;&gt;""),VLOOKUP(Inventory!$AC35,$N$4:$O$5,2,FALSE),"a")))))))</f>
        <v>a</v>
      </c>
      <c r="AE28" s="474">
        <f>IF(OR(Inventory!C35="New Construction",Inventory!C35="Replace-on-Burnout"),Inventory!AF35,IF(Inventory!C35="Early Retirement",MIN(Inventory!AE35,Inventory!AF35),0))</f>
        <v>0</v>
      </c>
      <c r="AF28" s="475" t="str">
        <f t="shared" si="12"/>
        <v/>
      </c>
      <c r="AG28" s="475" t="str">
        <f t="shared" si="0"/>
        <v/>
      </c>
      <c r="AH28" s="475" t="str">
        <f t="shared" si="1"/>
        <v/>
      </c>
      <c r="AI28" s="475" t="str">
        <f t="shared" si="2"/>
        <v/>
      </c>
      <c r="AJ28" s="475" t="str">
        <f t="shared" si="3"/>
        <v/>
      </c>
      <c r="AK28" s="475" t="str">
        <f t="shared" si="13"/>
        <v/>
      </c>
      <c r="AL28" s="475" t="str">
        <f t="shared" si="14"/>
        <v/>
      </c>
      <c r="AM28" s="475" t="str">
        <f t="shared" si="15"/>
        <v/>
      </c>
      <c r="AN28" s="475" t="str">
        <f t="shared" si="16"/>
        <v/>
      </c>
      <c r="AO28" s="475" t="str">
        <f t="shared" si="17"/>
        <v/>
      </c>
      <c r="AP28" s="475" t="str">
        <f t="shared" si="18"/>
        <v/>
      </c>
      <c r="AQ28" s="475" t="str">
        <f t="shared" si="19"/>
        <v/>
      </c>
      <c r="AR28" s="475" t="str">
        <f t="shared" si="20"/>
        <v/>
      </c>
      <c r="AS28" s="475" t="str">
        <f t="shared" si="21"/>
        <v/>
      </c>
      <c r="AT28" s="475" t="str">
        <f t="shared" si="22"/>
        <v/>
      </c>
      <c r="AU28" s="475" t="str">
        <f t="shared" si="23"/>
        <v/>
      </c>
      <c r="AV28" s="475" t="str">
        <f t="shared" si="4"/>
        <v/>
      </c>
      <c r="AW28" s="473">
        <f t="shared" si="5"/>
        <v>0</v>
      </c>
      <c r="AX28" s="473" t="str">
        <f>IF(AND($Z28="b",OR($AA28="a",$AA28="b"),Inventory!$I35="",$AE28&lt;(65000/12000)),"x",IF(AND($Z28="b",OR($AA28="a",$AA28="b"),Inventory!$I35&lt;&gt;"",$AE28&lt;(65000/12000)),VLOOKUP(Inventory!$I35,$V$4:$W$5,2,FALSE),"x"))</f>
        <v>x</v>
      </c>
      <c r="AY28" s="476" t="str">
        <f t="shared" si="24"/>
        <v>aaa0</v>
      </c>
      <c r="AZ28" s="477" t="str">
        <f t="shared" si="25"/>
        <v>No</v>
      </c>
      <c r="BA28" s="759" t="str">
        <f t="shared" si="26"/>
        <v>No</v>
      </c>
      <c r="BB28" s="477">
        <f>IF($Z28="c",Inventory!$AB35,Inventory!$K35)</f>
        <v>0</v>
      </c>
      <c r="BC28" s="478">
        <f>IF(AND($Z28="b",Inventory!$N35="Btu/hr"),Inventory!$M35,IF(AND($Z28="b",Inventory!$N35="Tons"),Inventory!$M35*12000,IF(AND($Z28&lt;&gt;"b",Inventory!$AK35="Btu/hr"),Inventory!$AD35,IF(AND($Z28&lt;&gt;"b",Inventory!$AK35="Tons"),Inventory!$AD35*12000,0))))</f>
        <v>0</v>
      </c>
      <c r="BD28" s="478">
        <f t="shared" si="27"/>
        <v>0</v>
      </c>
      <c r="BE28" s="479">
        <f t="shared" si="28"/>
        <v>0</v>
      </c>
      <c r="BF28" s="477" t="s">
        <v>50</v>
      </c>
      <c r="BG28" s="479">
        <f t="shared" si="6"/>
        <v>0</v>
      </c>
      <c r="BH28" s="477" t="s">
        <v>46</v>
      </c>
      <c r="BI28" s="760">
        <f>IF(AND($Z28="b",Inventory!$P35="Btu/hr"),Inventory!$O35,IF(AND($Z28="b",Inventory!$P35="Tons"),Inventory!$O35*12000,IF(AND($Z28&lt;&gt;"b",Inventory!$AM35="Btu/hr"),Inventory!$AL35,IF(AND($Z28&lt;&gt;"b",Inventory!$AM35="Tons"),Inventory!$AL35*12000,0))))</f>
        <v>0</v>
      </c>
      <c r="BJ28" s="760">
        <f t="shared" si="29"/>
        <v>0</v>
      </c>
      <c r="BK28" s="598">
        <f t="shared" si="30"/>
        <v>0</v>
      </c>
      <c r="BL28" s="759" t="s">
        <v>567</v>
      </c>
      <c r="BM28" s="477" t="str">
        <f t="shared" si="7"/>
        <v>No</v>
      </c>
      <c r="BN28" s="477" t="str">
        <f>IF(OR(Inventory!$H35="",$BM28="No"),"-",Inventory!$H35)</f>
        <v>-</v>
      </c>
      <c r="BO28" s="477" t="str">
        <f>IFERROR(VLOOKUP(BN28,'Early Retirement'!$B$6:$C$33,2,FALSE),"-")</f>
        <v>-</v>
      </c>
      <c r="BP28" s="477" t="str">
        <f>IF(Inventory!$J35="Centrifugal","Yes","No")</f>
        <v>No</v>
      </c>
      <c r="BQ28" s="477">
        <f t="shared" si="31"/>
        <v>0</v>
      </c>
      <c r="BR28" s="477" t="str">
        <f t="shared" si="32"/>
        <v>-</v>
      </c>
      <c r="BS28" s="479">
        <f>IFERROR(INDEX('Early Retirement'!$C$4:$AC$33,$BO28,$BR28),0)</f>
        <v>0</v>
      </c>
      <c r="BT28" s="477">
        <f>IFERROR(HLOOKUP($BR28,'Early Retirement'!$D$4:$AC$5,2,FALSE),0)</f>
        <v>0</v>
      </c>
      <c r="BU28" s="761">
        <f>IFERROR(INDEX('Early Retirement'!$AE$4:$BE$33,$BO28,$BR28),0)</f>
        <v>0</v>
      </c>
      <c r="BV28" s="759">
        <f>IFERROR(HLOOKUP($BR28,'Early Retirement'!$AF$4:$BE$5,2,FALSE),0)</f>
        <v>0</v>
      </c>
      <c r="BW28" s="479">
        <f t="shared" si="41"/>
        <v>0</v>
      </c>
      <c r="BX28" s="761">
        <f t="shared" si="33"/>
        <v>0</v>
      </c>
      <c r="BY28" s="477" t="s">
        <v>46</v>
      </c>
      <c r="BZ28" s="598">
        <f>IFERROR(INDEX('Early Retirement'!$BG$4:$CG$33,$BO28,$BR28),0)</f>
        <v>0</v>
      </c>
      <c r="CA28" s="759">
        <f>IFERROR(HLOOKUP($BR28,'Early Retirement'!$BH$4:$CH$5,2,FALSE),0)</f>
        <v>0</v>
      </c>
      <c r="CB28" s="598">
        <f t="shared" si="34"/>
        <v>0</v>
      </c>
      <c r="CC28" s="759" t="s">
        <v>567</v>
      </c>
      <c r="CD28" s="477" t="str">
        <f t="shared" si="8"/>
        <v>Yes</v>
      </c>
      <c r="CE28" s="479">
        <f t="shared" si="9"/>
        <v>0</v>
      </c>
      <c r="CF28" s="761">
        <f t="shared" si="10"/>
        <v>0</v>
      </c>
      <c r="CG28" s="759" t="s">
        <v>46</v>
      </c>
      <c r="CH28" s="598">
        <f t="shared" si="35"/>
        <v>0</v>
      </c>
      <c r="CI28" s="759" t="s">
        <v>567</v>
      </c>
      <c r="CJ28" s="480">
        <f t="shared" si="36"/>
        <v>0</v>
      </c>
      <c r="CK28" s="583">
        <f t="shared" si="37"/>
        <v>0</v>
      </c>
      <c r="CL28" s="596" t="s">
        <v>46</v>
      </c>
      <c r="CM28" s="581">
        <f t="shared" si="38"/>
        <v>0</v>
      </c>
      <c r="CN28" s="762" t="s">
        <v>567</v>
      </c>
      <c r="CP28" s="90" t="s">
        <v>121</v>
      </c>
      <c r="CQ28" s="121">
        <v>10</v>
      </c>
      <c r="CR28" s="307" t="s">
        <v>50</v>
      </c>
      <c r="CS28" s="641">
        <v>10</v>
      </c>
      <c r="CT28" s="551" t="s">
        <v>50</v>
      </c>
      <c r="CU28" s="645">
        <f t="shared" si="42"/>
        <v>1.2</v>
      </c>
      <c r="CV28" s="645">
        <f t="shared" si="42"/>
        <v>1.2</v>
      </c>
      <c r="CW28" s="633" t="s">
        <v>46</v>
      </c>
      <c r="CX28" s="606"/>
      <c r="CY28" s="589"/>
      <c r="CZ28" s="606"/>
      <c r="DA28" s="609"/>
      <c r="DB28" s="562"/>
      <c r="DC28" s="562"/>
      <c r="DD28" s="562"/>
      <c r="DE28" s="562"/>
      <c r="DF28" s="562"/>
      <c r="DG28" s="562"/>
      <c r="DH28" s="562"/>
      <c r="DI28" s="562"/>
      <c r="DJ28" s="562"/>
      <c r="DK28" s="562"/>
      <c r="DL28" s="562"/>
      <c r="DM28" s="562"/>
      <c r="DN28" s="562"/>
      <c r="DO28" s="562"/>
      <c r="DP28" s="562"/>
      <c r="DQ28" s="562"/>
      <c r="DR28" s="562"/>
      <c r="DS28" s="562"/>
      <c r="DT28" s="562"/>
      <c r="DU28" s="562"/>
      <c r="DV28" s="562"/>
      <c r="DW28" s="562"/>
      <c r="DX28" s="562"/>
      <c r="DY28" s="562"/>
      <c r="DZ28" s="562"/>
      <c r="EA28" s="562"/>
      <c r="EB28" s="562"/>
      <c r="EC28" s="562"/>
      <c r="ED28" s="562"/>
      <c r="EE28" s="562"/>
      <c r="EF28" s="562"/>
      <c r="EG28" s="562"/>
      <c r="EH28" s="562"/>
      <c r="EI28" s="562"/>
      <c r="EJ28" s="562"/>
      <c r="EK28" s="562"/>
      <c r="EL28" s="562"/>
    </row>
    <row r="29" spans="2:142" s="78" customFormat="1" ht="15" customHeight="1" x14ac:dyDescent="0.25">
      <c r="B29" s="77"/>
      <c r="E29" s="77"/>
      <c r="H29" s="77"/>
      <c r="Q29" s="1066" t="s">
        <v>81</v>
      </c>
      <c r="R29" s="91">
        <v>0</v>
      </c>
      <c r="S29" s="91">
        <f>14000/12000</f>
        <v>1.1666666666666667</v>
      </c>
      <c r="T29" s="89">
        <v>27</v>
      </c>
      <c r="U29" s="79"/>
      <c r="V29" s="79"/>
      <c r="W29" s="79"/>
      <c r="Y29" s="90">
        <v>27</v>
      </c>
      <c r="Z29" s="472" t="str">
        <f>IF(Inventory!$C36="","",VLOOKUP(Inventory!$C36,$B$3:$C$5,2,FALSE))</f>
        <v/>
      </c>
      <c r="AA29" s="472" t="str">
        <f>IF($Z29="","",IF(AND($Z29="b",Inventory!$G36=""),"",IF(AND($Z29="b",Inventory!$G36&lt;&gt;""),VLOOKUP(Inventory!$G36,$E$3:$F$10,2,FALSE),IF(AND($Z29="a",Inventory!$Z36=""),"",IF(AND($Z29="a",Inventory!$Z36&lt;&gt;""),VLOOKUP(Inventory!$Z36,$E$3:$F$10,2,FALSE),IF(AND($Z29="c",Inventory!$Z36=""),"",IF(AND($Z29="c",Inventory!$Z36&lt;&gt;""),VLOOKUP(Inventory!$Z36,$E$3:$F$10,2,FALSE),"")))))))</f>
        <v/>
      </c>
      <c r="AB29" s="472" t="str">
        <f>IF($Z29="","a",IF(AND($Z29="b",Inventory!$J36=""),"a",IF(AND($Z29="b",Inventory!$J36&lt;&gt;""),VLOOKUP(Inventory!$J36,$H$4:$I$6,2,FALSE),IF(AND($Z29="a",Inventory!$AA36=""),"a",IF(AND($Z29="a",Inventory!$AA36&lt;&gt;""),VLOOKUP(Inventory!$AA36,$H$4:$I$6,2,FALSE),IF(AND($Z29="c",Inventory!$AA36=""),"a",IF(AND($Z29="c",Inventory!$AA36&lt;&gt;""),VLOOKUP(Inventory!$AA36,$H$4:$I$6,2,FALSE),"a")))))))</f>
        <v>a</v>
      </c>
      <c r="AC29" s="506" t="str">
        <f t="shared" si="11"/>
        <v>a</v>
      </c>
      <c r="AD29" s="473" t="str">
        <f>IF($Z29="","a",IF(AND($Z29="b",Inventory!$L36=""),"a",IF(AND($Z29="b",Inventory!$L36&lt;&gt;""),VLOOKUP(Inventory!$L36,$N$4:$O$5,2,FALSE),IF(AND($Z29="a",Inventory!$AC36=""),"a",IF(AND($Z29="a",Inventory!$AC36&lt;&gt;""),VLOOKUP(Inventory!$AC36,$N$4:$O$5,2,FALSE),IF(AND($Z29="c",Inventory!$AC36=""),"a",IF(AND($Z29="c",Inventory!$AC36&lt;&gt;""),VLOOKUP(Inventory!$AC36,$N$4:$O$5,2,FALSE),"a")))))))</f>
        <v>a</v>
      </c>
      <c r="AE29" s="474">
        <f>IF(OR(Inventory!C36="New Construction",Inventory!C36="Replace-on-Burnout"),Inventory!AF36,IF(Inventory!C36="Early Retirement",MIN(Inventory!AE36,Inventory!AF36),0))</f>
        <v>0</v>
      </c>
      <c r="AF29" s="475" t="str">
        <f t="shared" si="12"/>
        <v/>
      </c>
      <c r="AG29" s="475" t="str">
        <f t="shared" si="0"/>
        <v/>
      </c>
      <c r="AH29" s="475" t="str">
        <f t="shared" si="1"/>
        <v/>
      </c>
      <c r="AI29" s="475" t="str">
        <f t="shared" si="2"/>
        <v/>
      </c>
      <c r="AJ29" s="475" t="str">
        <f t="shared" si="3"/>
        <v/>
      </c>
      <c r="AK29" s="475" t="str">
        <f t="shared" si="13"/>
        <v/>
      </c>
      <c r="AL29" s="475" t="str">
        <f t="shared" si="14"/>
        <v/>
      </c>
      <c r="AM29" s="475" t="str">
        <f t="shared" si="15"/>
        <v/>
      </c>
      <c r="AN29" s="475" t="str">
        <f t="shared" si="16"/>
        <v/>
      </c>
      <c r="AO29" s="475" t="str">
        <f t="shared" si="17"/>
        <v/>
      </c>
      <c r="AP29" s="475" t="str">
        <f t="shared" si="18"/>
        <v/>
      </c>
      <c r="AQ29" s="475" t="str">
        <f t="shared" si="19"/>
        <v/>
      </c>
      <c r="AR29" s="475" t="str">
        <f t="shared" si="20"/>
        <v/>
      </c>
      <c r="AS29" s="475" t="str">
        <f t="shared" si="21"/>
        <v/>
      </c>
      <c r="AT29" s="475" t="str">
        <f t="shared" si="22"/>
        <v/>
      </c>
      <c r="AU29" s="475" t="str">
        <f t="shared" si="23"/>
        <v/>
      </c>
      <c r="AV29" s="475" t="str">
        <f t="shared" si="4"/>
        <v/>
      </c>
      <c r="AW29" s="473">
        <f t="shared" si="5"/>
        <v>0</v>
      </c>
      <c r="AX29" s="473" t="str">
        <f>IF(AND($Z29="b",OR($AA29="a",$AA29="b"),Inventory!$I36="",$AE29&lt;(65000/12000)),"x",IF(AND($Z29="b",OR($AA29="a",$AA29="b"),Inventory!$I36&lt;&gt;"",$AE29&lt;(65000/12000)),VLOOKUP(Inventory!$I36,$V$4:$W$5,2,FALSE),"x"))</f>
        <v>x</v>
      </c>
      <c r="AY29" s="476" t="str">
        <f t="shared" si="24"/>
        <v>aaa0</v>
      </c>
      <c r="AZ29" s="477" t="str">
        <f t="shared" si="25"/>
        <v>No</v>
      </c>
      <c r="BA29" s="759" t="str">
        <f t="shared" si="26"/>
        <v>No</v>
      </c>
      <c r="BB29" s="477">
        <f>IF($Z29="c",Inventory!$AB36,Inventory!$K36)</f>
        <v>0</v>
      </c>
      <c r="BC29" s="478">
        <f>IF(AND($Z29="b",Inventory!$N36="Btu/hr"),Inventory!$M36,IF(AND($Z29="b",Inventory!$N36="Tons"),Inventory!$M36*12000,IF(AND($Z29&lt;&gt;"b",Inventory!$AK36="Btu/hr"),Inventory!$AD36,IF(AND($Z29&lt;&gt;"b",Inventory!$AK36="Tons"),Inventory!$AD36*12000,0))))</f>
        <v>0</v>
      </c>
      <c r="BD29" s="478">
        <f t="shared" si="27"/>
        <v>0</v>
      </c>
      <c r="BE29" s="479">
        <f t="shared" si="28"/>
        <v>0</v>
      </c>
      <c r="BF29" s="477" t="s">
        <v>50</v>
      </c>
      <c r="BG29" s="479">
        <f t="shared" si="6"/>
        <v>0</v>
      </c>
      <c r="BH29" s="477" t="s">
        <v>46</v>
      </c>
      <c r="BI29" s="760">
        <f>IF(AND($Z29="b",Inventory!$P36="Btu/hr"),Inventory!$O36,IF(AND($Z29="b",Inventory!$P36="Tons"),Inventory!$O36*12000,IF(AND($Z29&lt;&gt;"b",Inventory!$AM36="Btu/hr"),Inventory!$AL36,IF(AND($Z29&lt;&gt;"b",Inventory!$AM36="Tons"),Inventory!$AL36*12000,0))))</f>
        <v>0</v>
      </c>
      <c r="BJ29" s="760">
        <f t="shared" si="29"/>
        <v>0</v>
      </c>
      <c r="BK29" s="598">
        <f t="shared" si="30"/>
        <v>0</v>
      </c>
      <c r="BL29" s="759" t="s">
        <v>567</v>
      </c>
      <c r="BM29" s="477" t="str">
        <f t="shared" si="7"/>
        <v>No</v>
      </c>
      <c r="BN29" s="477" t="str">
        <f>IF(OR(Inventory!$H36="",$BM29="No"),"-",Inventory!$H36)</f>
        <v>-</v>
      </c>
      <c r="BO29" s="477" t="str">
        <f>IFERROR(VLOOKUP(BN29,'Early Retirement'!$B$6:$C$33,2,FALSE),"-")</f>
        <v>-</v>
      </c>
      <c r="BP29" s="477" t="str">
        <f>IF(Inventory!$J36="Centrifugal","Yes","No")</f>
        <v>No</v>
      </c>
      <c r="BQ29" s="477">
        <f t="shared" si="31"/>
        <v>0</v>
      </c>
      <c r="BR29" s="477" t="str">
        <f t="shared" si="32"/>
        <v>-</v>
      </c>
      <c r="BS29" s="479">
        <f>IFERROR(INDEX('Early Retirement'!$C$4:$AC$33,$BO29,$BR29),0)</f>
        <v>0</v>
      </c>
      <c r="BT29" s="477">
        <f>IFERROR(HLOOKUP($BR29,'Early Retirement'!$D$4:$AC$5,2,FALSE),0)</f>
        <v>0</v>
      </c>
      <c r="BU29" s="761">
        <f>IFERROR(INDEX('Early Retirement'!$AE$4:$BE$33,$BO29,$BR29),0)</f>
        <v>0</v>
      </c>
      <c r="BV29" s="759">
        <f>IFERROR(HLOOKUP($BR29,'Early Retirement'!$AF$4:$BE$5,2,FALSE),0)</f>
        <v>0</v>
      </c>
      <c r="BW29" s="479">
        <f t="shared" si="41"/>
        <v>0</v>
      </c>
      <c r="BX29" s="761">
        <f t="shared" si="33"/>
        <v>0</v>
      </c>
      <c r="BY29" s="477" t="s">
        <v>46</v>
      </c>
      <c r="BZ29" s="598">
        <f>IFERROR(INDEX('Early Retirement'!$BG$4:$CG$33,$BO29,$BR29),0)</f>
        <v>0</v>
      </c>
      <c r="CA29" s="759">
        <f>IFERROR(HLOOKUP($BR29,'Early Retirement'!$BH$4:$CH$5,2,FALSE),0)</f>
        <v>0</v>
      </c>
      <c r="CB29" s="598">
        <f t="shared" si="34"/>
        <v>0</v>
      </c>
      <c r="CC29" s="759" t="s">
        <v>567</v>
      </c>
      <c r="CD29" s="477" t="str">
        <f t="shared" si="8"/>
        <v>Yes</v>
      </c>
      <c r="CE29" s="479">
        <f t="shared" si="9"/>
        <v>0</v>
      </c>
      <c r="CF29" s="761">
        <f t="shared" si="10"/>
        <v>0</v>
      </c>
      <c r="CG29" s="759" t="s">
        <v>46</v>
      </c>
      <c r="CH29" s="598">
        <f t="shared" si="35"/>
        <v>0</v>
      </c>
      <c r="CI29" s="759" t="s">
        <v>567</v>
      </c>
      <c r="CJ29" s="480">
        <f t="shared" si="36"/>
        <v>0</v>
      </c>
      <c r="CK29" s="583">
        <f t="shared" si="37"/>
        <v>0</v>
      </c>
      <c r="CL29" s="596" t="s">
        <v>46</v>
      </c>
      <c r="CM29" s="581">
        <f t="shared" si="38"/>
        <v>0</v>
      </c>
      <c r="CN29" s="762" t="s">
        <v>567</v>
      </c>
      <c r="CP29" s="90" t="s">
        <v>123</v>
      </c>
      <c r="CQ29" s="121">
        <v>9.6</v>
      </c>
      <c r="CR29" s="307" t="s">
        <v>50</v>
      </c>
      <c r="CS29" s="641">
        <v>9.6</v>
      </c>
      <c r="CT29" s="551" t="s">
        <v>50</v>
      </c>
      <c r="CU29" s="645">
        <f t="shared" si="42"/>
        <v>1.25</v>
      </c>
      <c r="CV29" s="645">
        <f t="shared" si="42"/>
        <v>1.25</v>
      </c>
      <c r="CW29" s="633" t="s">
        <v>46</v>
      </c>
      <c r="CX29" s="606"/>
      <c r="CY29" s="589"/>
      <c r="CZ29" s="606"/>
      <c r="DA29" s="609"/>
      <c r="DB29" s="562"/>
      <c r="DC29" s="562"/>
      <c r="DD29" s="562"/>
      <c r="DE29" s="562"/>
      <c r="DF29" s="562"/>
      <c r="DG29" s="562"/>
      <c r="DH29" s="562"/>
      <c r="DI29" s="562"/>
      <c r="DJ29" s="562"/>
      <c r="DK29" s="562"/>
      <c r="DL29" s="562"/>
      <c r="DM29" s="562"/>
      <c r="DN29" s="562"/>
      <c r="DO29" s="562"/>
      <c r="DP29" s="562"/>
      <c r="DQ29" s="562"/>
      <c r="DR29" s="562"/>
      <c r="DS29" s="562"/>
      <c r="DT29" s="562"/>
      <c r="DU29" s="562"/>
      <c r="DV29" s="562"/>
      <c r="DW29" s="562"/>
      <c r="DX29" s="562"/>
      <c r="DY29" s="562"/>
      <c r="DZ29" s="562"/>
      <c r="EA29" s="562"/>
      <c r="EB29" s="562"/>
      <c r="EC29" s="562"/>
      <c r="ED29" s="562"/>
      <c r="EE29" s="562"/>
      <c r="EF29" s="562"/>
      <c r="EG29" s="562"/>
      <c r="EH29" s="562"/>
      <c r="EI29" s="562"/>
      <c r="EJ29" s="562"/>
      <c r="EK29" s="562"/>
      <c r="EL29" s="562"/>
    </row>
    <row r="30" spans="2:142" s="78" customFormat="1" ht="15" customHeight="1" thickBot="1" x14ac:dyDescent="0.3">
      <c r="B30" s="77"/>
      <c r="E30" s="77"/>
      <c r="H30" s="77"/>
      <c r="Q30" s="1067"/>
      <c r="R30" s="99">
        <f>14000/12000</f>
        <v>1.1666666666666667</v>
      </c>
      <c r="S30" s="100"/>
      <c r="T30" s="95">
        <v>28</v>
      </c>
      <c r="U30" s="79"/>
      <c r="V30" s="79"/>
      <c r="W30" s="79"/>
      <c r="Y30" s="90">
        <v>28</v>
      </c>
      <c r="Z30" s="472" t="str">
        <f>IF(Inventory!$C37="","",VLOOKUP(Inventory!$C37,$B$3:$C$5,2,FALSE))</f>
        <v/>
      </c>
      <c r="AA30" s="472" t="str">
        <f>IF($Z30="","",IF(AND($Z30="b",Inventory!$G37=""),"",IF(AND($Z30="b",Inventory!$G37&lt;&gt;""),VLOOKUP(Inventory!$G37,$E$3:$F$10,2,FALSE),IF(AND($Z30="a",Inventory!$Z37=""),"",IF(AND($Z30="a",Inventory!$Z37&lt;&gt;""),VLOOKUP(Inventory!$Z37,$E$3:$F$10,2,FALSE),IF(AND($Z30="c",Inventory!$Z37=""),"",IF(AND($Z30="c",Inventory!$Z37&lt;&gt;""),VLOOKUP(Inventory!$Z37,$E$3:$F$10,2,FALSE),"")))))))</f>
        <v/>
      </c>
      <c r="AB30" s="472" t="str">
        <f>IF($Z30="","a",IF(AND($Z30="b",Inventory!$J37=""),"a",IF(AND($Z30="b",Inventory!$J37&lt;&gt;""),VLOOKUP(Inventory!$J37,$H$4:$I$6,2,FALSE),IF(AND($Z30="a",Inventory!$AA37=""),"a",IF(AND($Z30="a",Inventory!$AA37&lt;&gt;""),VLOOKUP(Inventory!$AA37,$H$4:$I$6,2,FALSE),IF(AND($Z30="c",Inventory!$AA37=""),"a",IF(AND($Z30="c",Inventory!$AA37&lt;&gt;""),VLOOKUP(Inventory!$AA37,$H$4:$I$6,2,FALSE),"a")))))))</f>
        <v>a</v>
      </c>
      <c r="AC30" s="506" t="str">
        <f t="shared" si="11"/>
        <v>a</v>
      </c>
      <c r="AD30" s="473" t="str">
        <f>IF($Z30="","a",IF(AND($Z30="b",Inventory!$L37=""),"a",IF(AND($Z30="b",Inventory!$L37&lt;&gt;""),VLOOKUP(Inventory!$L37,$N$4:$O$5,2,FALSE),IF(AND($Z30="a",Inventory!$AC37=""),"a",IF(AND($Z30="a",Inventory!$AC37&lt;&gt;""),VLOOKUP(Inventory!$AC37,$N$4:$O$5,2,FALSE),IF(AND($Z30="c",Inventory!$AC37=""),"a",IF(AND($Z30="c",Inventory!$AC37&lt;&gt;""),VLOOKUP(Inventory!$AC37,$N$4:$O$5,2,FALSE),"a")))))))</f>
        <v>a</v>
      </c>
      <c r="AE30" s="474">
        <f>IF(OR(Inventory!C37="New Construction",Inventory!C37="Replace-on-Burnout"),Inventory!AF37,IF(Inventory!C37="Early Retirement",MIN(Inventory!AE37,Inventory!AF37),0))</f>
        <v>0</v>
      </c>
      <c r="AF30" s="475" t="str">
        <f t="shared" si="12"/>
        <v/>
      </c>
      <c r="AG30" s="475" t="str">
        <f t="shared" si="0"/>
        <v/>
      </c>
      <c r="AH30" s="475" t="str">
        <f t="shared" si="1"/>
        <v/>
      </c>
      <c r="AI30" s="475" t="str">
        <f t="shared" si="2"/>
        <v/>
      </c>
      <c r="AJ30" s="475" t="str">
        <f t="shared" si="3"/>
        <v/>
      </c>
      <c r="AK30" s="475" t="str">
        <f t="shared" si="13"/>
        <v/>
      </c>
      <c r="AL30" s="475" t="str">
        <f t="shared" si="14"/>
        <v/>
      </c>
      <c r="AM30" s="475" t="str">
        <f t="shared" si="15"/>
        <v/>
      </c>
      <c r="AN30" s="475" t="str">
        <f t="shared" si="16"/>
        <v/>
      </c>
      <c r="AO30" s="475" t="str">
        <f t="shared" si="17"/>
        <v/>
      </c>
      <c r="AP30" s="475" t="str">
        <f t="shared" si="18"/>
        <v/>
      </c>
      <c r="AQ30" s="475" t="str">
        <f t="shared" si="19"/>
        <v/>
      </c>
      <c r="AR30" s="475" t="str">
        <f t="shared" si="20"/>
        <v/>
      </c>
      <c r="AS30" s="475" t="str">
        <f t="shared" si="21"/>
        <v/>
      </c>
      <c r="AT30" s="475" t="str">
        <f t="shared" si="22"/>
        <v/>
      </c>
      <c r="AU30" s="475" t="str">
        <f t="shared" si="23"/>
        <v/>
      </c>
      <c r="AV30" s="475" t="str">
        <f t="shared" si="4"/>
        <v/>
      </c>
      <c r="AW30" s="473">
        <f t="shared" si="5"/>
        <v>0</v>
      </c>
      <c r="AX30" s="473" t="str">
        <f>IF(AND($Z30="b",OR($AA30="a",$AA30="b"),Inventory!$I37="",$AE30&lt;(65000/12000)),"x",IF(AND($Z30="b",OR($AA30="a",$AA30="b"),Inventory!$I37&lt;&gt;"",$AE30&lt;(65000/12000)),VLOOKUP(Inventory!$I37,$V$4:$W$5,2,FALSE),"x"))</f>
        <v>x</v>
      </c>
      <c r="AY30" s="476" t="str">
        <f t="shared" si="24"/>
        <v>aaa0</v>
      </c>
      <c r="AZ30" s="477" t="str">
        <f t="shared" si="25"/>
        <v>No</v>
      </c>
      <c r="BA30" s="759" t="str">
        <f t="shared" si="26"/>
        <v>No</v>
      </c>
      <c r="BB30" s="477">
        <f>IF($Z30="c",Inventory!$AB37,Inventory!$K37)</f>
        <v>0</v>
      </c>
      <c r="BC30" s="478">
        <f>IF(AND($Z30="b",Inventory!$N37="Btu/hr"),Inventory!$M37,IF(AND($Z30="b",Inventory!$N37="Tons"),Inventory!$M37*12000,IF(AND($Z30&lt;&gt;"b",Inventory!$AK37="Btu/hr"),Inventory!$AD37,IF(AND($Z30&lt;&gt;"b",Inventory!$AK37="Tons"),Inventory!$AD37*12000,0))))</f>
        <v>0</v>
      </c>
      <c r="BD30" s="478">
        <f t="shared" si="27"/>
        <v>0</v>
      </c>
      <c r="BE30" s="479">
        <f t="shared" si="28"/>
        <v>0</v>
      </c>
      <c r="BF30" s="477" t="s">
        <v>50</v>
      </c>
      <c r="BG30" s="479">
        <f t="shared" si="6"/>
        <v>0</v>
      </c>
      <c r="BH30" s="477" t="s">
        <v>46</v>
      </c>
      <c r="BI30" s="760">
        <f>IF(AND($Z30="b",Inventory!$P37="Btu/hr"),Inventory!$O37,IF(AND($Z30="b",Inventory!$P37="Tons"),Inventory!$O37*12000,IF(AND($Z30&lt;&gt;"b",Inventory!$AM37="Btu/hr"),Inventory!$AL37,IF(AND($Z30&lt;&gt;"b",Inventory!$AM37="Tons"),Inventory!$AL37*12000,0))))</f>
        <v>0</v>
      </c>
      <c r="BJ30" s="760">
        <f t="shared" si="29"/>
        <v>0</v>
      </c>
      <c r="BK30" s="598">
        <f t="shared" si="30"/>
        <v>0</v>
      </c>
      <c r="BL30" s="759" t="s">
        <v>567</v>
      </c>
      <c r="BM30" s="477" t="str">
        <f t="shared" si="7"/>
        <v>No</v>
      </c>
      <c r="BN30" s="477" t="str">
        <f>IF(OR(Inventory!$H37="",$BM30="No"),"-",Inventory!$H37)</f>
        <v>-</v>
      </c>
      <c r="BO30" s="477" t="str">
        <f>IFERROR(VLOOKUP(BN30,'Early Retirement'!$B$6:$C$33,2,FALSE),"-")</f>
        <v>-</v>
      </c>
      <c r="BP30" s="477" t="str">
        <f>IF(Inventory!$J37="Centrifugal","Yes","No")</f>
        <v>No</v>
      </c>
      <c r="BQ30" s="477">
        <f t="shared" si="31"/>
        <v>0</v>
      </c>
      <c r="BR30" s="477" t="str">
        <f t="shared" si="32"/>
        <v>-</v>
      </c>
      <c r="BS30" s="479">
        <f>IFERROR(INDEX('Early Retirement'!$C$4:$AC$33,$BO30,$BR30),0)</f>
        <v>0</v>
      </c>
      <c r="BT30" s="477">
        <f>IFERROR(HLOOKUP($BR30,'Early Retirement'!$D$4:$AC$5,2,FALSE),0)</f>
        <v>0</v>
      </c>
      <c r="BU30" s="761">
        <f>IFERROR(INDEX('Early Retirement'!$AE$4:$BE$33,$BO30,$BR30),0)</f>
        <v>0</v>
      </c>
      <c r="BV30" s="759">
        <f>IFERROR(HLOOKUP($BR30,'Early Retirement'!$AF$4:$BE$5,2,FALSE),0)</f>
        <v>0</v>
      </c>
      <c r="BW30" s="479">
        <f t="shared" si="41"/>
        <v>0</v>
      </c>
      <c r="BX30" s="761">
        <f t="shared" si="33"/>
        <v>0</v>
      </c>
      <c r="BY30" s="477" t="s">
        <v>46</v>
      </c>
      <c r="BZ30" s="598">
        <f>IFERROR(INDEX('Early Retirement'!$BG$4:$CG$33,$BO30,$BR30),0)</f>
        <v>0</v>
      </c>
      <c r="CA30" s="759">
        <f>IFERROR(HLOOKUP($BR30,'Early Retirement'!$BH$4:$CH$5,2,FALSE),0)</f>
        <v>0</v>
      </c>
      <c r="CB30" s="598">
        <f t="shared" si="34"/>
        <v>0</v>
      </c>
      <c r="CC30" s="759" t="s">
        <v>567</v>
      </c>
      <c r="CD30" s="477" t="str">
        <f t="shared" si="8"/>
        <v>Yes</v>
      </c>
      <c r="CE30" s="479">
        <f t="shared" si="9"/>
        <v>0</v>
      </c>
      <c r="CF30" s="761">
        <f t="shared" si="10"/>
        <v>0</v>
      </c>
      <c r="CG30" s="759" t="s">
        <v>46</v>
      </c>
      <c r="CH30" s="598">
        <f t="shared" si="35"/>
        <v>0</v>
      </c>
      <c r="CI30" s="759" t="s">
        <v>567</v>
      </c>
      <c r="CJ30" s="480">
        <f t="shared" si="36"/>
        <v>0</v>
      </c>
      <c r="CK30" s="583">
        <f t="shared" si="37"/>
        <v>0</v>
      </c>
      <c r="CL30" s="596" t="s">
        <v>46</v>
      </c>
      <c r="CM30" s="581">
        <f t="shared" si="38"/>
        <v>0</v>
      </c>
      <c r="CN30" s="762" t="s">
        <v>567</v>
      </c>
      <c r="CP30" s="90" t="s">
        <v>161</v>
      </c>
      <c r="CQ30" s="121">
        <v>9.5</v>
      </c>
      <c r="CR30" s="307" t="s">
        <v>50</v>
      </c>
      <c r="CS30" s="641">
        <v>9.5</v>
      </c>
      <c r="CT30" s="551" t="s">
        <v>50</v>
      </c>
      <c r="CU30" s="645">
        <f t="shared" si="42"/>
        <v>1.263157894736842</v>
      </c>
      <c r="CV30" s="645">
        <f t="shared" si="42"/>
        <v>1.263157894736842</v>
      </c>
      <c r="CW30" s="633" t="s">
        <v>46</v>
      </c>
      <c r="CX30" s="606"/>
      <c r="CY30" s="589"/>
      <c r="CZ30" s="606"/>
      <c r="DA30" s="609"/>
      <c r="DB30" s="562"/>
      <c r="DC30" s="562"/>
      <c r="DD30" s="562"/>
      <c r="DE30" s="562"/>
      <c r="DF30" s="562"/>
      <c r="DG30" s="562"/>
      <c r="DH30" s="562"/>
      <c r="DI30" s="562"/>
      <c r="DJ30" s="562"/>
      <c r="DK30" s="562"/>
      <c r="DL30" s="562"/>
      <c r="DM30" s="562"/>
      <c r="DN30" s="562"/>
      <c r="DO30" s="562"/>
      <c r="DP30" s="562"/>
      <c r="DQ30" s="562"/>
      <c r="DR30" s="562"/>
      <c r="DS30" s="562"/>
      <c r="DT30" s="562"/>
      <c r="DU30" s="562"/>
      <c r="DV30" s="562"/>
      <c r="DW30" s="562"/>
      <c r="DX30" s="562"/>
      <c r="DY30" s="562"/>
      <c r="DZ30" s="562"/>
      <c r="EA30" s="562"/>
      <c r="EB30" s="562"/>
      <c r="EC30" s="562"/>
      <c r="ED30" s="562"/>
      <c r="EE30" s="562"/>
      <c r="EF30" s="562"/>
      <c r="EG30" s="562"/>
      <c r="EH30" s="562"/>
      <c r="EI30" s="562"/>
      <c r="EJ30" s="562"/>
      <c r="EK30" s="562"/>
      <c r="EL30" s="562"/>
    </row>
    <row r="31" spans="2:142" s="78" customFormat="1" ht="15" customHeight="1" x14ac:dyDescent="0.25">
      <c r="B31" s="77"/>
      <c r="E31" s="77"/>
      <c r="H31" s="77"/>
      <c r="Q31" s="1056" t="s">
        <v>82</v>
      </c>
      <c r="R31" s="106">
        <v>0</v>
      </c>
      <c r="S31" s="106">
        <v>75</v>
      </c>
      <c r="T31" s="81">
        <v>29</v>
      </c>
      <c r="U31" s="79"/>
      <c r="V31" s="79"/>
      <c r="W31" s="79"/>
      <c r="Y31" s="90">
        <v>29</v>
      </c>
      <c r="Z31" s="472" t="str">
        <f>IF(Inventory!$C38="","",VLOOKUP(Inventory!$C38,$B$3:$C$5,2,FALSE))</f>
        <v/>
      </c>
      <c r="AA31" s="472" t="str">
        <f>IF($Z31="","",IF(AND($Z31="b",Inventory!$G38=""),"",IF(AND($Z31="b",Inventory!$G38&lt;&gt;""),VLOOKUP(Inventory!$G38,$E$3:$F$10,2,FALSE),IF(AND($Z31="a",Inventory!$Z38=""),"",IF(AND($Z31="a",Inventory!$Z38&lt;&gt;""),VLOOKUP(Inventory!$Z38,$E$3:$F$10,2,FALSE),IF(AND($Z31="c",Inventory!$Z38=""),"",IF(AND($Z31="c",Inventory!$Z38&lt;&gt;""),VLOOKUP(Inventory!$Z38,$E$3:$F$10,2,FALSE),"")))))))</f>
        <v/>
      </c>
      <c r="AB31" s="472" t="str">
        <f>IF($Z31="","a",IF(AND($Z31="b",Inventory!$J38=""),"a",IF(AND($Z31="b",Inventory!$J38&lt;&gt;""),VLOOKUP(Inventory!$J38,$H$4:$I$6,2,FALSE),IF(AND($Z31="a",Inventory!$AA38=""),"a",IF(AND($Z31="a",Inventory!$AA38&lt;&gt;""),VLOOKUP(Inventory!$AA38,$H$4:$I$6,2,FALSE),IF(AND($Z31="c",Inventory!$AA38=""),"a",IF(AND($Z31="c",Inventory!$AA38&lt;&gt;""),VLOOKUP(Inventory!$AA38,$H$4:$I$6,2,FALSE),"a")))))))</f>
        <v>a</v>
      </c>
      <c r="AC31" s="506" t="str">
        <f t="shared" si="11"/>
        <v>a</v>
      </c>
      <c r="AD31" s="473" t="str">
        <f>IF($Z31="","a",IF(AND($Z31="b",Inventory!$L38=""),"a",IF(AND($Z31="b",Inventory!$L38&lt;&gt;""),VLOOKUP(Inventory!$L38,$N$4:$O$5,2,FALSE),IF(AND($Z31="a",Inventory!$AC38=""),"a",IF(AND($Z31="a",Inventory!$AC38&lt;&gt;""),VLOOKUP(Inventory!$AC38,$N$4:$O$5,2,FALSE),IF(AND($Z31="c",Inventory!$AC38=""),"a",IF(AND($Z31="c",Inventory!$AC38&lt;&gt;""),VLOOKUP(Inventory!$AC38,$N$4:$O$5,2,FALSE),"a")))))))</f>
        <v>a</v>
      </c>
      <c r="AE31" s="474">
        <f>IF(OR(Inventory!C38="New Construction",Inventory!C38="Replace-on-Burnout"),Inventory!AF38,IF(Inventory!C38="Early Retirement",MIN(Inventory!AE38,Inventory!AF38),0))</f>
        <v>0</v>
      </c>
      <c r="AF31" s="475" t="str">
        <f t="shared" si="12"/>
        <v/>
      </c>
      <c r="AG31" s="475" t="str">
        <f t="shared" si="0"/>
        <v/>
      </c>
      <c r="AH31" s="475" t="str">
        <f t="shared" si="1"/>
        <v/>
      </c>
      <c r="AI31" s="475" t="str">
        <f t="shared" si="2"/>
        <v/>
      </c>
      <c r="AJ31" s="475" t="str">
        <f t="shared" si="3"/>
        <v/>
      </c>
      <c r="AK31" s="475" t="str">
        <f t="shared" si="13"/>
        <v/>
      </c>
      <c r="AL31" s="475" t="str">
        <f t="shared" si="14"/>
        <v/>
      </c>
      <c r="AM31" s="475" t="str">
        <f t="shared" si="15"/>
        <v/>
      </c>
      <c r="AN31" s="475" t="str">
        <f t="shared" si="16"/>
        <v/>
      </c>
      <c r="AO31" s="475" t="str">
        <f t="shared" si="17"/>
        <v/>
      </c>
      <c r="AP31" s="475" t="str">
        <f t="shared" si="18"/>
        <v/>
      </c>
      <c r="AQ31" s="475" t="str">
        <f t="shared" si="19"/>
        <v/>
      </c>
      <c r="AR31" s="475" t="str">
        <f t="shared" si="20"/>
        <v/>
      </c>
      <c r="AS31" s="475" t="str">
        <f t="shared" si="21"/>
        <v/>
      </c>
      <c r="AT31" s="475" t="str">
        <f t="shared" si="22"/>
        <v/>
      </c>
      <c r="AU31" s="475" t="str">
        <f t="shared" si="23"/>
        <v/>
      </c>
      <c r="AV31" s="475" t="str">
        <f t="shared" si="4"/>
        <v/>
      </c>
      <c r="AW31" s="473">
        <f t="shared" si="5"/>
        <v>0</v>
      </c>
      <c r="AX31" s="473" t="str">
        <f>IF(AND($Z31="b",OR($AA31="a",$AA31="b"),Inventory!$I38="",$AE31&lt;(65000/12000)),"x",IF(AND($Z31="b",OR($AA31="a",$AA31="b"),Inventory!$I38&lt;&gt;"",$AE31&lt;(65000/12000)),VLOOKUP(Inventory!$I38,$V$4:$W$5,2,FALSE),"x"))</f>
        <v>x</v>
      </c>
      <c r="AY31" s="476" t="str">
        <f t="shared" si="24"/>
        <v>aaa0</v>
      </c>
      <c r="AZ31" s="477" t="str">
        <f t="shared" si="25"/>
        <v>No</v>
      </c>
      <c r="BA31" s="759" t="str">
        <f t="shared" si="26"/>
        <v>No</v>
      </c>
      <c r="BB31" s="477">
        <f>IF($Z31="c",Inventory!$AB38,Inventory!$K38)</f>
        <v>0</v>
      </c>
      <c r="BC31" s="478">
        <f>IF(AND($Z31="b",Inventory!$N38="Btu/hr"),Inventory!$M38,IF(AND($Z31="b",Inventory!$N38="Tons"),Inventory!$M38*12000,IF(AND($Z31&lt;&gt;"b",Inventory!$AK38="Btu/hr"),Inventory!$AD38,IF(AND($Z31&lt;&gt;"b",Inventory!$AK38="Tons"),Inventory!$AD38*12000,0))))</f>
        <v>0</v>
      </c>
      <c r="BD31" s="478">
        <f t="shared" si="27"/>
        <v>0</v>
      </c>
      <c r="BE31" s="479">
        <f t="shared" si="28"/>
        <v>0</v>
      </c>
      <c r="BF31" s="477" t="s">
        <v>50</v>
      </c>
      <c r="BG31" s="479">
        <f t="shared" si="6"/>
        <v>0</v>
      </c>
      <c r="BH31" s="477" t="s">
        <v>46</v>
      </c>
      <c r="BI31" s="760">
        <f>IF(AND($Z31="b",Inventory!$P38="Btu/hr"),Inventory!$O38,IF(AND($Z31="b",Inventory!$P38="Tons"),Inventory!$O38*12000,IF(AND($Z31&lt;&gt;"b",Inventory!$AM38="Btu/hr"),Inventory!$AL38,IF(AND($Z31&lt;&gt;"b",Inventory!$AM38="Tons"),Inventory!$AL38*12000,0))))</f>
        <v>0</v>
      </c>
      <c r="BJ31" s="760">
        <f t="shared" si="29"/>
        <v>0</v>
      </c>
      <c r="BK31" s="598">
        <f t="shared" si="30"/>
        <v>0</v>
      </c>
      <c r="BL31" s="759" t="s">
        <v>567</v>
      </c>
      <c r="BM31" s="477" t="str">
        <f t="shared" si="7"/>
        <v>No</v>
      </c>
      <c r="BN31" s="477" t="str">
        <f>IF(OR(Inventory!$H38="",$BM31="No"),"-",Inventory!$H38)</f>
        <v>-</v>
      </c>
      <c r="BO31" s="477" t="str">
        <f>IFERROR(VLOOKUP(BN31,'Early Retirement'!$B$6:$C$33,2,FALSE),"-")</f>
        <v>-</v>
      </c>
      <c r="BP31" s="477" t="str">
        <f>IF(Inventory!$J38="Centrifugal","Yes","No")</f>
        <v>No</v>
      </c>
      <c r="BQ31" s="477">
        <f t="shared" si="31"/>
        <v>0</v>
      </c>
      <c r="BR31" s="477" t="str">
        <f t="shared" si="32"/>
        <v>-</v>
      </c>
      <c r="BS31" s="479">
        <f>IFERROR(INDEX('Early Retirement'!$C$4:$AC$33,$BO31,$BR31),0)</f>
        <v>0</v>
      </c>
      <c r="BT31" s="477">
        <f>IFERROR(HLOOKUP($BR31,'Early Retirement'!$D$4:$AC$5,2,FALSE),0)</f>
        <v>0</v>
      </c>
      <c r="BU31" s="761">
        <f>IFERROR(INDEX('Early Retirement'!$AE$4:$BE$33,$BO31,$BR31),0)</f>
        <v>0</v>
      </c>
      <c r="BV31" s="759">
        <f>IFERROR(HLOOKUP($BR31,'Early Retirement'!$AF$4:$BE$5,2,FALSE),0)</f>
        <v>0</v>
      </c>
      <c r="BW31" s="479">
        <f t="shared" si="41"/>
        <v>0</v>
      </c>
      <c r="BX31" s="761">
        <f t="shared" si="33"/>
        <v>0</v>
      </c>
      <c r="BY31" s="477" t="s">
        <v>46</v>
      </c>
      <c r="BZ31" s="598">
        <f>IFERROR(INDEX('Early Retirement'!$BG$4:$CG$33,$BO31,$BR31),0)</f>
        <v>0</v>
      </c>
      <c r="CA31" s="759">
        <f>IFERROR(HLOOKUP($BR31,'Early Retirement'!$BH$4:$CH$5,2,FALSE),0)</f>
        <v>0</v>
      </c>
      <c r="CB31" s="598">
        <f t="shared" si="34"/>
        <v>0</v>
      </c>
      <c r="CC31" s="759" t="s">
        <v>567</v>
      </c>
      <c r="CD31" s="477" t="str">
        <f t="shared" si="8"/>
        <v>Yes</v>
      </c>
      <c r="CE31" s="479">
        <f t="shared" si="9"/>
        <v>0</v>
      </c>
      <c r="CF31" s="761">
        <f t="shared" si="10"/>
        <v>0</v>
      </c>
      <c r="CG31" s="759" t="s">
        <v>46</v>
      </c>
      <c r="CH31" s="598">
        <f t="shared" si="35"/>
        <v>0</v>
      </c>
      <c r="CI31" s="759" t="s">
        <v>567</v>
      </c>
      <c r="CJ31" s="480">
        <f t="shared" si="36"/>
        <v>0</v>
      </c>
      <c r="CK31" s="583">
        <f t="shared" si="37"/>
        <v>0</v>
      </c>
      <c r="CL31" s="596" t="s">
        <v>46</v>
      </c>
      <c r="CM31" s="581">
        <f t="shared" si="38"/>
        <v>0</v>
      </c>
      <c r="CN31" s="762" t="s">
        <v>567</v>
      </c>
      <c r="CP31" s="90" t="s">
        <v>483</v>
      </c>
      <c r="CQ31" s="121">
        <v>9.3000000000000007</v>
      </c>
      <c r="CR31" s="307" t="s">
        <v>50</v>
      </c>
      <c r="CS31" s="641">
        <v>9.3000000000000007</v>
      </c>
      <c r="CT31" s="551" t="s">
        <v>50</v>
      </c>
      <c r="CU31" s="645">
        <f t="shared" si="42"/>
        <v>1.2903225806451613</v>
      </c>
      <c r="CV31" s="645">
        <f t="shared" si="42"/>
        <v>1.2903225806451613</v>
      </c>
      <c r="CW31" s="633" t="s">
        <v>46</v>
      </c>
      <c r="CX31" s="606"/>
      <c r="CY31" s="589"/>
      <c r="CZ31" s="606"/>
      <c r="DA31" s="609"/>
      <c r="DB31" s="562"/>
      <c r="DC31" s="562"/>
      <c r="DD31" s="562"/>
      <c r="DE31" s="562"/>
      <c r="DF31" s="562"/>
      <c r="DG31" s="562"/>
      <c r="DH31" s="562"/>
      <c r="DI31" s="562"/>
      <c r="DJ31" s="562"/>
      <c r="DK31" s="562"/>
      <c r="DL31" s="562"/>
      <c r="DM31" s="562"/>
      <c r="DN31" s="562"/>
      <c r="DO31" s="562"/>
      <c r="DP31" s="562"/>
      <c r="DQ31" s="562"/>
      <c r="DR31" s="562"/>
      <c r="DS31" s="562"/>
      <c r="DT31" s="562"/>
      <c r="DU31" s="562"/>
      <c r="DV31" s="562"/>
      <c r="DW31" s="562"/>
      <c r="DX31" s="562"/>
      <c r="DY31" s="562"/>
      <c r="DZ31" s="562"/>
      <c r="EA31" s="562"/>
      <c r="EB31" s="562"/>
      <c r="EC31" s="562"/>
      <c r="ED31" s="562"/>
      <c r="EE31" s="562"/>
      <c r="EF31" s="562"/>
      <c r="EG31" s="562"/>
      <c r="EH31" s="562"/>
      <c r="EI31" s="562"/>
      <c r="EJ31" s="562"/>
      <c r="EK31" s="562"/>
      <c r="EL31" s="562"/>
    </row>
    <row r="32" spans="2:142" s="78" customFormat="1" ht="15" customHeight="1" x14ac:dyDescent="0.25">
      <c r="B32" s="77"/>
      <c r="E32" s="77"/>
      <c r="H32" s="77"/>
      <c r="Q32" s="1056"/>
      <c r="R32" s="91">
        <v>75</v>
      </c>
      <c r="S32" s="91">
        <v>150</v>
      </c>
      <c r="T32" s="89">
        <v>30</v>
      </c>
      <c r="U32" s="79"/>
      <c r="V32" s="79"/>
      <c r="W32" s="79"/>
      <c r="Y32" s="90">
        <v>30</v>
      </c>
      <c r="Z32" s="472" t="str">
        <f>IF(Inventory!$C39="","",VLOOKUP(Inventory!$C39,$B$3:$C$5,2,FALSE))</f>
        <v/>
      </c>
      <c r="AA32" s="472" t="str">
        <f>IF($Z32="","",IF(AND($Z32="b",Inventory!$G39=""),"",IF(AND($Z32="b",Inventory!$G39&lt;&gt;""),VLOOKUP(Inventory!$G39,$E$3:$F$10,2,FALSE),IF(AND($Z32="a",Inventory!$Z39=""),"",IF(AND($Z32="a",Inventory!$Z39&lt;&gt;""),VLOOKUP(Inventory!$Z39,$E$3:$F$10,2,FALSE),IF(AND($Z32="c",Inventory!$Z39=""),"",IF(AND($Z32="c",Inventory!$Z39&lt;&gt;""),VLOOKUP(Inventory!$Z39,$E$3:$F$10,2,FALSE),"")))))))</f>
        <v/>
      </c>
      <c r="AB32" s="472" t="str">
        <f>IF($Z32="","a",IF(AND($Z32="b",Inventory!$J39=""),"a",IF(AND($Z32="b",Inventory!$J39&lt;&gt;""),VLOOKUP(Inventory!$J39,$H$4:$I$6,2,FALSE),IF(AND($Z32="a",Inventory!$AA39=""),"a",IF(AND($Z32="a",Inventory!$AA39&lt;&gt;""),VLOOKUP(Inventory!$AA39,$H$4:$I$6,2,FALSE),IF(AND($Z32="c",Inventory!$AA39=""),"a",IF(AND($Z32="c",Inventory!$AA39&lt;&gt;""),VLOOKUP(Inventory!$AA39,$H$4:$I$6,2,FALSE),"a")))))))</f>
        <v>a</v>
      </c>
      <c r="AC32" s="506" t="str">
        <f t="shared" si="11"/>
        <v>a</v>
      </c>
      <c r="AD32" s="473" t="str">
        <f>IF($Z32="","a",IF(AND($Z32="b",Inventory!$L39=""),"a",IF(AND($Z32="b",Inventory!$L39&lt;&gt;""),VLOOKUP(Inventory!$L39,$N$4:$O$5,2,FALSE),IF(AND($Z32="a",Inventory!$AC39=""),"a",IF(AND($Z32="a",Inventory!$AC39&lt;&gt;""),VLOOKUP(Inventory!$AC39,$N$4:$O$5,2,FALSE),IF(AND($Z32="c",Inventory!$AC39=""),"a",IF(AND($Z32="c",Inventory!$AC39&lt;&gt;""),VLOOKUP(Inventory!$AC39,$N$4:$O$5,2,FALSE),"a")))))))</f>
        <v>a</v>
      </c>
      <c r="AE32" s="474">
        <f>IF(OR(Inventory!C39="New Construction",Inventory!C39="Replace-on-Burnout"),Inventory!AF39,IF(Inventory!C39="Early Retirement",MIN(Inventory!AE39,Inventory!AF39),0))</f>
        <v>0</v>
      </c>
      <c r="AF32" s="475" t="str">
        <f t="shared" si="12"/>
        <v/>
      </c>
      <c r="AG32" s="475" t="str">
        <f t="shared" si="0"/>
        <v/>
      </c>
      <c r="AH32" s="475" t="str">
        <f t="shared" si="1"/>
        <v/>
      </c>
      <c r="AI32" s="475" t="str">
        <f t="shared" si="2"/>
        <v/>
      </c>
      <c r="AJ32" s="475" t="str">
        <f t="shared" si="3"/>
        <v/>
      </c>
      <c r="AK32" s="475" t="str">
        <f t="shared" si="13"/>
        <v/>
      </c>
      <c r="AL32" s="475" t="str">
        <f t="shared" si="14"/>
        <v/>
      </c>
      <c r="AM32" s="475" t="str">
        <f t="shared" si="15"/>
        <v/>
      </c>
      <c r="AN32" s="475" t="str">
        <f t="shared" si="16"/>
        <v/>
      </c>
      <c r="AO32" s="475" t="str">
        <f t="shared" si="17"/>
        <v/>
      </c>
      <c r="AP32" s="475" t="str">
        <f t="shared" si="18"/>
        <v/>
      </c>
      <c r="AQ32" s="475" t="str">
        <f t="shared" si="19"/>
        <v/>
      </c>
      <c r="AR32" s="475" t="str">
        <f t="shared" si="20"/>
        <v/>
      </c>
      <c r="AS32" s="475" t="str">
        <f t="shared" si="21"/>
        <v/>
      </c>
      <c r="AT32" s="475" t="str">
        <f t="shared" si="22"/>
        <v/>
      </c>
      <c r="AU32" s="475" t="str">
        <f t="shared" si="23"/>
        <v/>
      </c>
      <c r="AV32" s="475" t="str">
        <f t="shared" si="4"/>
        <v/>
      </c>
      <c r="AW32" s="473">
        <f t="shared" si="5"/>
        <v>0</v>
      </c>
      <c r="AX32" s="473" t="str">
        <f>IF(AND($Z32="b",OR($AA32="a",$AA32="b"),Inventory!$I39="",$AE32&lt;(65000/12000)),"x",IF(AND($Z32="b",OR($AA32="a",$AA32="b"),Inventory!$I39&lt;&gt;"",$AE32&lt;(65000/12000)),VLOOKUP(Inventory!$I39,$V$4:$W$5,2,FALSE),"x"))</f>
        <v>x</v>
      </c>
      <c r="AY32" s="476" t="str">
        <f t="shared" si="24"/>
        <v>aaa0</v>
      </c>
      <c r="AZ32" s="477" t="str">
        <f t="shared" si="25"/>
        <v>No</v>
      </c>
      <c r="BA32" s="759" t="str">
        <f t="shared" si="26"/>
        <v>No</v>
      </c>
      <c r="BB32" s="477">
        <f>IF($Z32="c",Inventory!$AB39,Inventory!$K39)</f>
        <v>0</v>
      </c>
      <c r="BC32" s="478">
        <f>IF(AND($Z32="b",Inventory!$N39="Btu/hr"),Inventory!$M39,IF(AND($Z32="b",Inventory!$N39="Tons"),Inventory!$M39*12000,IF(AND($Z32&lt;&gt;"b",Inventory!$AK39="Btu/hr"),Inventory!$AD39,IF(AND($Z32&lt;&gt;"b",Inventory!$AK39="Tons"),Inventory!$AD39*12000,0))))</f>
        <v>0</v>
      </c>
      <c r="BD32" s="478">
        <f t="shared" si="27"/>
        <v>0</v>
      </c>
      <c r="BE32" s="479">
        <f t="shared" si="28"/>
        <v>0</v>
      </c>
      <c r="BF32" s="477" t="s">
        <v>50</v>
      </c>
      <c r="BG32" s="479">
        <f t="shared" si="6"/>
        <v>0</v>
      </c>
      <c r="BH32" s="477" t="s">
        <v>46</v>
      </c>
      <c r="BI32" s="760">
        <f>IF(AND($Z32="b",Inventory!$P39="Btu/hr"),Inventory!$O39,IF(AND($Z32="b",Inventory!$P39="Tons"),Inventory!$O39*12000,IF(AND($Z32&lt;&gt;"b",Inventory!$AM39="Btu/hr"),Inventory!$AL39,IF(AND($Z32&lt;&gt;"b",Inventory!$AM39="Tons"),Inventory!$AL39*12000,0))))</f>
        <v>0</v>
      </c>
      <c r="BJ32" s="760">
        <f t="shared" si="29"/>
        <v>0</v>
      </c>
      <c r="BK32" s="598">
        <f t="shared" si="30"/>
        <v>0</v>
      </c>
      <c r="BL32" s="759" t="s">
        <v>567</v>
      </c>
      <c r="BM32" s="477" t="str">
        <f t="shared" si="7"/>
        <v>No</v>
      </c>
      <c r="BN32" s="477" t="str">
        <f>IF(OR(Inventory!$H39="",$BM32="No"),"-",Inventory!$H39)</f>
        <v>-</v>
      </c>
      <c r="BO32" s="477" t="str">
        <f>IFERROR(VLOOKUP(BN32,'Early Retirement'!$B$6:$C$33,2,FALSE),"-")</f>
        <v>-</v>
      </c>
      <c r="BP32" s="477" t="str">
        <f>IF(Inventory!$J39="Centrifugal","Yes","No")</f>
        <v>No</v>
      </c>
      <c r="BQ32" s="477">
        <f t="shared" si="31"/>
        <v>0</v>
      </c>
      <c r="BR32" s="477" t="str">
        <f t="shared" si="32"/>
        <v>-</v>
      </c>
      <c r="BS32" s="479">
        <f>IFERROR(INDEX('Early Retirement'!$C$4:$AC$33,$BO32,$BR32),0)</f>
        <v>0</v>
      </c>
      <c r="BT32" s="477">
        <f>IFERROR(HLOOKUP($BR32,'Early Retirement'!$D$4:$AC$5,2,FALSE),0)</f>
        <v>0</v>
      </c>
      <c r="BU32" s="761">
        <f>IFERROR(INDEX('Early Retirement'!$AE$4:$BE$33,$BO32,$BR32),0)</f>
        <v>0</v>
      </c>
      <c r="BV32" s="759">
        <f>IFERROR(HLOOKUP($BR32,'Early Retirement'!$AF$4:$BE$5,2,FALSE),0)</f>
        <v>0</v>
      </c>
      <c r="BW32" s="479">
        <f t="shared" si="41"/>
        <v>0</v>
      </c>
      <c r="BX32" s="761">
        <f t="shared" si="33"/>
        <v>0</v>
      </c>
      <c r="BY32" s="477" t="s">
        <v>46</v>
      </c>
      <c r="BZ32" s="598">
        <f>IFERROR(INDEX('Early Retirement'!$BG$4:$CG$33,$BO32,$BR32),0)</f>
        <v>0</v>
      </c>
      <c r="CA32" s="759">
        <f>IFERROR(HLOOKUP($BR32,'Early Retirement'!$BH$4:$CH$5,2,FALSE),0)</f>
        <v>0</v>
      </c>
      <c r="CB32" s="598">
        <f t="shared" si="34"/>
        <v>0</v>
      </c>
      <c r="CC32" s="759" t="s">
        <v>567</v>
      </c>
      <c r="CD32" s="477" t="str">
        <f t="shared" si="8"/>
        <v>Yes</v>
      </c>
      <c r="CE32" s="479">
        <f t="shared" si="9"/>
        <v>0</v>
      </c>
      <c r="CF32" s="761">
        <f t="shared" si="10"/>
        <v>0</v>
      </c>
      <c r="CG32" s="759" t="s">
        <v>46</v>
      </c>
      <c r="CH32" s="598">
        <f t="shared" si="35"/>
        <v>0</v>
      </c>
      <c r="CI32" s="759" t="s">
        <v>567</v>
      </c>
      <c r="CJ32" s="480">
        <f t="shared" si="36"/>
        <v>0</v>
      </c>
      <c r="CK32" s="583">
        <f t="shared" si="37"/>
        <v>0</v>
      </c>
      <c r="CL32" s="596" t="s">
        <v>46</v>
      </c>
      <c r="CM32" s="581">
        <f t="shared" si="38"/>
        <v>0</v>
      </c>
      <c r="CN32" s="762" t="s">
        <v>567</v>
      </c>
      <c r="CP32" s="90" t="s">
        <v>484</v>
      </c>
      <c r="CQ32" s="121">
        <v>9.4</v>
      </c>
      <c r="CR32" s="307" t="s">
        <v>50</v>
      </c>
      <c r="CS32" s="641">
        <v>9.4</v>
      </c>
      <c r="CT32" s="551" t="s">
        <v>50</v>
      </c>
      <c r="CU32" s="645">
        <f t="shared" si="42"/>
        <v>1.2765957446808509</v>
      </c>
      <c r="CV32" s="645">
        <f t="shared" si="42"/>
        <v>1.2765957446808509</v>
      </c>
      <c r="CW32" s="633" t="s">
        <v>46</v>
      </c>
      <c r="CX32" s="606"/>
      <c r="CY32" s="589"/>
      <c r="CZ32" s="606"/>
      <c r="DA32" s="609"/>
      <c r="DB32" s="562"/>
      <c r="DC32" s="562"/>
      <c r="DD32" s="562"/>
      <c r="DE32" s="562"/>
      <c r="DF32" s="562"/>
      <c r="DG32" s="562"/>
      <c r="DH32" s="562"/>
      <c r="DI32" s="562"/>
      <c r="DJ32" s="562"/>
      <c r="DK32" s="562"/>
      <c r="DL32" s="562"/>
      <c r="DM32" s="562"/>
      <c r="DN32" s="562"/>
      <c r="DO32" s="562"/>
      <c r="DP32" s="562"/>
      <c r="DQ32" s="562"/>
      <c r="DR32" s="562"/>
      <c r="DS32" s="562"/>
      <c r="DT32" s="562"/>
      <c r="DU32" s="562"/>
      <c r="DV32" s="562"/>
      <c r="DW32" s="562"/>
      <c r="DX32" s="562"/>
      <c r="DY32" s="562"/>
      <c r="DZ32" s="562"/>
      <c r="EA32" s="562"/>
      <c r="EB32" s="562"/>
      <c r="EC32" s="562"/>
      <c r="ED32" s="562"/>
      <c r="EE32" s="562"/>
      <c r="EF32" s="562"/>
      <c r="EG32" s="562"/>
      <c r="EH32" s="562"/>
      <c r="EI32" s="562"/>
      <c r="EJ32" s="562"/>
      <c r="EK32" s="562"/>
      <c r="EL32" s="562"/>
    </row>
    <row r="33" spans="2:142" s="78" customFormat="1" ht="15" customHeight="1" x14ac:dyDescent="0.25">
      <c r="B33" s="77"/>
      <c r="E33" s="77"/>
      <c r="H33" s="77"/>
      <c r="Q33" s="1056"/>
      <c r="R33" s="91">
        <v>150</v>
      </c>
      <c r="S33" s="91">
        <v>300</v>
      </c>
      <c r="T33" s="89">
        <v>31</v>
      </c>
      <c r="U33" s="79"/>
      <c r="V33" s="79"/>
      <c r="W33" s="79"/>
      <c r="Y33" s="90">
        <v>31</v>
      </c>
      <c r="Z33" s="472" t="str">
        <f>IF(Inventory!$C40="","",VLOOKUP(Inventory!$C40,$B$3:$C$5,2,FALSE))</f>
        <v/>
      </c>
      <c r="AA33" s="472" t="str">
        <f>IF($Z33="","",IF(AND($Z33="b",Inventory!$G40=""),"",IF(AND($Z33="b",Inventory!$G40&lt;&gt;""),VLOOKUP(Inventory!$G40,$E$3:$F$10,2,FALSE),IF(AND($Z33="a",Inventory!$Z40=""),"",IF(AND($Z33="a",Inventory!$Z40&lt;&gt;""),VLOOKUP(Inventory!$Z40,$E$3:$F$10,2,FALSE),IF(AND($Z33="c",Inventory!$Z40=""),"",IF(AND($Z33="c",Inventory!$Z40&lt;&gt;""),VLOOKUP(Inventory!$Z40,$E$3:$F$10,2,FALSE),"")))))))</f>
        <v/>
      </c>
      <c r="AB33" s="472" t="str">
        <f>IF($Z33="","a",IF(AND($Z33="b",Inventory!$J40=""),"a",IF(AND($Z33="b",Inventory!$J40&lt;&gt;""),VLOOKUP(Inventory!$J40,$H$4:$I$6,2,FALSE),IF(AND($Z33="a",Inventory!$AA40=""),"a",IF(AND($Z33="a",Inventory!$AA40&lt;&gt;""),VLOOKUP(Inventory!$AA40,$H$4:$I$6,2,FALSE),IF(AND($Z33="c",Inventory!$AA40=""),"a",IF(AND($Z33="c",Inventory!$AA40&lt;&gt;""),VLOOKUP(Inventory!$AA40,$H$4:$I$6,2,FALSE),"a")))))))</f>
        <v>a</v>
      </c>
      <c r="AC33" s="506" t="str">
        <f t="shared" si="11"/>
        <v>a</v>
      </c>
      <c r="AD33" s="473" t="str">
        <f>IF($Z33="","a",IF(AND($Z33="b",Inventory!$L40=""),"a",IF(AND($Z33="b",Inventory!$L40&lt;&gt;""),VLOOKUP(Inventory!$L40,$N$4:$O$5,2,FALSE),IF(AND($Z33="a",Inventory!$AC40=""),"a",IF(AND($Z33="a",Inventory!$AC40&lt;&gt;""),VLOOKUP(Inventory!$AC40,$N$4:$O$5,2,FALSE),IF(AND($Z33="c",Inventory!$AC40=""),"a",IF(AND($Z33="c",Inventory!$AC40&lt;&gt;""),VLOOKUP(Inventory!$AC40,$N$4:$O$5,2,FALSE),"a")))))))</f>
        <v>a</v>
      </c>
      <c r="AE33" s="474">
        <f>IF(OR(Inventory!C40="New Construction",Inventory!C40="Replace-on-Burnout"),Inventory!AF40,IF(Inventory!C40="Early Retirement",MIN(Inventory!AE40,Inventory!AF40),0))</f>
        <v>0</v>
      </c>
      <c r="AF33" s="475" t="str">
        <f t="shared" si="12"/>
        <v/>
      </c>
      <c r="AG33" s="475" t="str">
        <f t="shared" si="0"/>
        <v/>
      </c>
      <c r="AH33" s="475" t="str">
        <f t="shared" si="1"/>
        <v/>
      </c>
      <c r="AI33" s="475" t="str">
        <f t="shared" si="2"/>
        <v/>
      </c>
      <c r="AJ33" s="475" t="str">
        <f t="shared" si="3"/>
        <v/>
      </c>
      <c r="AK33" s="475" t="str">
        <f t="shared" si="13"/>
        <v/>
      </c>
      <c r="AL33" s="475" t="str">
        <f t="shared" si="14"/>
        <v/>
      </c>
      <c r="AM33" s="475" t="str">
        <f t="shared" si="15"/>
        <v/>
      </c>
      <c r="AN33" s="475" t="str">
        <f t="shared" si="16"/>
        <v/>
      </c>
      <c r="AO33" s="475" t="str">
        <f t="shared" si="17"/>
        <v/>
      </c>
      <c r="AP33" s="475" t="str">
        <f t="shared" si="18"/>
        <v/>
      </c>
      <c r="AQ33" s="475" t="str">
        <f t="shared" si="19"/>
        <v/>
      </c>
      <c r="AR33" s="475" t="str">
        <f t="shared" si="20"/>
        <v/>
      </c>
      <c r="AS33" s="475" t="str">
        <f t="shared" si="21"/>
        <v/>
      </c>
      <c r="AT33" s="475" t="str">
        <f t="shared" si="22"/>
        <v/>
      </c>
      <c r="AU33" s="475" t="str">
        <f t="shared" si="23"/>
        <v/>
      </c>
      <c r="AV33" s="475" t="str">
        <f t="shared" si="4"/>
        <v/>
      </c>
      <c r="AW33" s="473">
        <f t="shared" si="5"/>
        <v>0</v>
      </c>
      <c r="AX33" s="473" t="str">
        <f>IF(AND($Z33="b",OR($AA33="a",$AA33="b"),Inventory!$I40="",$AE33&lt;(65000/12000)),"x",IF(AND($Z33="b",OR($AA33="a",$AA33="b"),Inventory!$I40&lt;&gt;"",$AE33&lt;(65000/12000)),VLOOKUP(Inventory!$I40,$V$4:$W$5,2,FALSE),"x"))</f>
        <v>x</v>
      </c>
      <c r="AY33" s="476" t="str">
        <f t="shared" si="24"/>
        <v>aaa0</v>
      </c>
      <c r="AZ33" s="477" t="str">
        <f t="shared" si="25"/>
        <v>No</v>
      </c>
      <c r="BA33" s="759" t="str">
        <f t="shared" si="26"/>
        <v>No</v>
      </c>
      <c r="BB33" s="477">
        <f>IF($Z33="c",Inventory!$AB40,Inventory!$K40)</f>
        <v>0</v>
      </c>
      <c r="BC33" s="478">
        <f>IF(AND($Z33="b",Inventory!$N40="Btu/hr"),Inventory!$M40,IF(AND($Z33="b",Inventory!$N40="Tons"),Inventory!$M40*12000,IF(AND($Z33&lt;&gt;"b",Inventory!$AK40="Btu/hr"),Inventory!$AD40,IF(AND($Z33&lt;&gt;"b",Inventory!$AK40="Tons"),Inventory!$AD40*12000,0))))</f>
        <v>0</v>
      </c>
      <c r="BD33" s="478">
        <f t="shared" si="27"/>
        <v>0</v>
      </c>
      <c r="BE33" s="479">
        <f t="shared" si="28"/>
        <v>0</v>
      </c>
      <c r="BF33" s="477" t="s">
        <v>50</v>
      </c>
      <c r="BG33" s="479">
        <f t="shared" si="6"/>
        <v>0</v>
      </c>
      <c r="BH33" s="477" t="s">
        <v>46</v>
      </c>
      <c r="BI33" s="760">
        <f>IF(AND($Z33="b",Inventory!$P40="Btu/hr"),Inventory!$O40,IF(AND($Z33="b",Inventory!$P40="Tons"),Inventory!$O40*12000,IF(AND($Z33&lt;&gt;"b",Inventory!$AM40="Btu/hr"),Inventory!$AL40,IF(AND($Z33&lt;&gt;"b",Inventory!$AM40="Tons"),Inventory!$AL40*12000,0))))</f>
        <v>0</v>
      </c>
      <c r="BJ33" s="760">
        <f t="shared" si="29"/>
        <v>0</v>
      </c>
      <c r="BK33" s="598">
        <f t="shared" si="30"/>
        <v>0</v>
      </c>
      <c r="BL33" s="759" t="s">
        <v>567</v>
      </c>
      <c r="BM33" s="477" t="str">
        <f t="shared" si="7"/>
        <v>No</v>
      </c>
      <c r="BN33" s="477" t="str">
        <f>IF(OR(Inventory!$H40="",$BM33="No"),"-",Inventory!$H40)</f>
        <v>-</v>
      </c>
      <c r="BO33" s="477" t="str">
        <f>IFERROR(VLOOKUP(BN33,'Early Retirement'!$B$6:$C$33,2,FALSE),"-")</f>
        <v>-</v>
      </c>
      <c r="BP33" s="477" t="str">
        <f>IF(Inventory!$J40="Centrifugal","Yes","No")</f>
        <v>No</v>
      </c>
      <c r="BQ33" s="477">
        <f t="shared" si="31"/>
        <v>0</v>
      </c>
      <c r="BR33" s="477" t="str">
        <f t="shared" si="32"/>
        <v>-</v>
      </c>
      <c r="BS33" s="479">
        <f>IFERROR(INDEX('Early Retirement'!$C$4:$AC$33,$BO33,$BR33),0)</f>
        <v>0</v>
      </c>
      <c r="BT33" s="477">
        <f>IFERROR(HLOOKUP($BR33,'Early Retirement'!$D$4:$AC$5,2,FALSE),0)</f>
        <v>0</v>
      </c>
      <c r="BU33" s="761">
        <f>IFERROR(INDEX('Early Retirement'!$AE$4:$BE$33,$BO33,$BR33),0)</f>
        <v>0</v>
      </c>
      <c r="BV33" s="759">
        <f>IFERROR(HLOOKUP($BR33,'Early Retirement'!$AF$4:$BE$5,2,FALSE),0)</f>
        <v>0</v>
      </c>
      <c r="BW33" s="479">
        <f t="shared" si="41"/>
        <v>0</v>
      </c>
      <c r="BX33" s="761">
        <f t="shared" si="33"/>
        <v>0</v>
      </c>
      <c r="BY33" s="477" t="s">
        <v>46</v>
      </c>
      <c r="BZ33" s="598">
        <f>IFERROR(INDEX('Early Retirement'!$BG$4:$CG$33,$BO33,$BR33),0)</f>
        <v>0</v>
      </c>
      <c r="CA33" s="759">
        <f>IFERROR(HLOOKUP($BR33,'Early Retirement'!$BH$4:$CH$5,2,FALSE),0)</f>
        <v>0</v>
      </c>
      <c r="CB33" s="598">
        <f t="shared" si="34"/>
        <v>0</v>
      </c>
      <c r="CC33" s="759" t="s">
        <v>567</v>
      </c>
      <c r="CD33" s="477" t="str">
        <f t="shared" si="8"/>
        <v>Yes</v>
      </c>
      <c r="CE33" s="479">
        <f t="shared" si="9"/>
        <v>0</v>
      </c>
      <c r="CF33" s="761">
        <f t="shared" si="10"/>
        <v>0</v>
      </c>
      <c r="CG33" s="759" t="s">
        <v>46</v>
      </c>
      <c r="CH33" s="598">
        <f t="shared" si="35"/>
        <v>0</v>
      </c>
      <c r="CI33" s="759" t="s">
        <v>567</v>
      </c>
      <c r="CJ33" s="480">
        <f t="shared" si="36"/>
        <v>0</v>
      </c>
      <c r="CK33" s="583">
        <f t="shared" si="37"/>
        <v>0</v>
      </c>
      <c r="CL33" s="596" t="s">
        <v>46</v>
      </c>
      <c r="CM33" s="581">
        <f t="shared" si="38"/>
        <v>0</v>
      </c>
      <c r="CN33" s="762" t="s">
        <v>567</v>
      </c>
      <c r="CP33" s="90" t="s">
        <v>485</v>
      </c>
      <c r="CQ33" s="121">
        <v>9.8000000000000007</v>
      </c>
      <c r="CR33" s="307" t="s">
        <v>50</v>
      </c>
      <c r="CS33" s="641">
        <v>9.8000000000000007</v>
      </c>
      <c r="CT33" s="551" t="s">
        <v>50</v>
      </c>
      <c r="CU33" s="645">
        <f t="shared" ref="CU33:CV44" si="43">12/$CQ33</f>
        <v>1.2244897959183672</v>
      </c>
      <c r="CV33" s="645">
        <f t="shared" si="43"/>
        <v>1.2244897959183672</v>
      </c>
      <c r="CW33" s="633" t="s">
        <v>46</v>
      </c>
      <c r="CX33" s="606"/>
      <c r="CY33" s="589"/>
      <c r="CZ33" s="606"/>
      <c r="DA33" s="609"/>
      <c r="DB33" s="562"/>
      <c r="DC33" s="562"/>
      <c r="DD33" s="562"/>
      <c r="DE33" s="562"/>
      <c r="DF33" s="562"/>
      <c r="DG33" s="562"/>
      <c r="DH33" s="562"/>
      <c r="DI33" s="562"/>
      <c r="DJ33" s="562"/>
      <c r="DK33" s="562"/>
      <c r="DL33" s="562"/>
      <c r="DM33" s="562"/>
      <c r="DN33" s="562"/>
      <c r="DO33" s="562"/>
      <c r="DP33" s="562"/>
      <c r="DQ33" s="562"/>
      <c r="DR33" s="562"/>
      <c r="DS33" s="562"/>
      <c r="DT33" s="562"/>
      <c r="DU33" s="562"/>
      <c r="DV33" s="562"/>
      <c r="DW33" s="562"/>
      <c r="DX33" s="562"/>
      <c r="DY33" s="562"/>
      <c r="DZ33" s="562"/>
      <c r="EA33" s="562"/>
      <c r="EB33" s="562"/>
      <c r="EC33" s="562"/>
      <c r="ED33" s="562"/>
      <c r="EE33" s="562"/>
      <c r="EF33" s="562"/>
      <c r="EG33" s="562"/>
      <c r="EH33" s="562"/>
      <c r="EI33" s="562"/>
      <c r="EJ33" s="562"/>
      <c r="EK33" s="562"/>
      <c r="EL33" s="562"/>
    </row>
    <row r="34" spans="2:142" s="78" customFormat="1" ht="15" customHeight="1" x14ac:dyDescent="0.25">
      <c r="B34" s="77"/>
      <c r="E34" s="77"/>
      <c r="H34" s="77"/>
      <c r="Q34" s="1056"/>
      <c r="R34" s="91">
        <v>300</v>
      </c>
      <c r="S34" s="91">
        <v>600</v>
      </c>
      <c r="T34" s="89">
        <v>32</v>
      </c>
      <c r="U34" s="79"/>
      <c r="V34" s="79"/>
      <c r="W34" s="79"/>
      <c r="Y34" s="90">
        <v>32</v>
      </c>
      <c r="Z34" s="472" t="str">
        <f>IF(Inventory!$C41="","",VLOOKUP(Inventory!$C41,$B$3:$C$5,2,FALSE))</f>
        <v/>
      </c>
      <c r="AA34" s="472" t="str">
        <f>IF($Z34="","",IF(AND($Z34="b",Inventory!$G41=""),"",IF(AND($Z34="b",Inventory!$G41&lt;&gt;""),VLOOKUP(Inventory!$G41,$E$3:$F$10,2,FALSE),IF(AND($Z34="a",Inventory!$Z41=""),"",IF(AND($Z34="a",Inventory!$Z41&lt;&gt;""),VLOOKUP(Inventory!$Z41,$E$3:$F$10,2,FALSE),IF(AND($Z34="c",Inventory!$Z41=""),"",IF(AND($Z34="c",Inventory!$Z41&lt;&gt;""),VLOOKUP(Inventory!$Z41,$E$3:$F$10,2,FALSE),"")))))))</f>
        <v/>
      </c>
      <c r="AB34" s="472" t="str">
        <f>IF($Z34="","a",IF(AND($Z34="b",Inventory!$J41=""),"a",IF(AND($Z34="b",Inventory!$J41&lt;&gt;""),VLOOKUP(Inventory!$J41,$H$4:$I$6,2,FALSE),IF(AND($Z34="a",Inventory!$AA41=""),"a",IF(AND($Z34="a",Inventory!$AA41&lt;&gt;""),VLOOKUP(Inventory!$AA41,$H$4:$I$6,2,FALSE),IF(AND($Z34="c",Inventory!$AA41=""),"a",IF(AND($Z34="c",Inventory!$AA41&lt;&gt;""),VLOOKUP(Inventory!$AA41,$H$4:$I$6,2,FALSE),"a")))))))</f>
        <v>a</v>
      </c>
      <c r="AC34" s="506" t="str">
        <f t="shared" si="11"/>
        <v>a</v>
      </c>
      <c r="AD34" s="473" t="str">
        <f>IF($Z34="","a",IF(AND($Z34="b",Inventory!$L41=""),"a",IF(AND($Z34="b",Inventory!$L41&lt;&gt;""),VLOOKUP(Inventory!$L41,$N$4:$O$5,2,FALSE),IF(AND($Z34="a",Inventory!$AC41=""),"a",IF(AND($Z34="a",Inventory!$AC41&lt;&gt;""),VLOOKUP(Inventory!$AC41,$N$4:$O$5,2,FALSE),IF(AND($Z34="c",Inventory!$AC41=""),"a",IF(AND($Z34="c",Inventory!$AC41&lt;&gt;""),VLOOKUP(Inventory!$AC41,$N$4:$O$5,2,FALSE),"a")))))))</f>
        <v>a</v>
      </c>
      <c r="AE34" s="474">
        <f>IF(OR(Inventory!C41="New Construction",Inventory!C41="Replace-on-Burnout"),Inventory!AF41,IF(Inventory!C41="Early Retirement",MIN(Inventory!AE41,Inventory!AF41),0))</f>
        <v>0</v>
      </c>
      <c r="AF34" s="475" t="str">
        <f t="shared" si="12"/>
        <v/>
      </c>
      <c r="AG34" s="475" t="str">
        <f t="shared" si="0"/>
        <v/>
      </c>
      <c r="AH34" s="475" t="str">
        <f t="shared" si="1"/>
        <v/>
      </c>
      <c r="AI34" s="475" t="str">
        <f t="shared" si="2"/>
        <v/>
      </c>
      <c r="AJ34" s="475" t="str">
        <f t="shared" si="3"/>
        <v/>
      </c>
      <c r="AK34" s="475" t="str">
        <f t="shared" si="13"/>
        <v/>
      </c>
      <c r="AL34" s="475" t="str">
        <f t="shared" si="14"/>
        <v/>
      </c>
      <c r="AM34" s="475" t="str">
        <f t="shared" si="15"/>
        <v/>
      </c>
      <c r="AN34" s="475" t="str">
        <f t="shared" si="16"/>
        <v/>
      </c>
      <c r="AO34" s="475" t="str">
        <f t="shared" si="17"/>
        <v/>
      </c>
      <c r="AP34" s="475" t="str">
        <f t="shared" si="18"/>
        <v/>
      </c>
      <c r="AQ34" s="475" t="str">
        <f t="shared" si="19"/>
        <v/>
      </c>
      <c r="AR34" s="475" t="str">
        <f t="shared" si="20"/>
        <v/>
      </c>
      <c r="AS34" s="475" t="str">
        <f t="shared" si="21"/>
        <v/>
      </c>
      <c r="AT34" s="475" t="str">
        <f t="shared" si="22"/>
        <v/>
      </c>
      <c r="AU34" s="475" t="str">
        <f t="shared" si="23"/>
        <v/>
      </c>
      <c r="AV34" s="475" t="str">
        <f t="shared" si="4"/>
        <v/>
      </c>
      <c r="AW34" s="473">
        <f t="shared" si="5"/>
        <v>0</v>
      </c>
      <c r="AX34" s="473" t="str">
        <f>IF(AND($Z34="b",OR($AA34="a",$AA34="b"),Inventory!$I41="",$AE34&lt;(65000/12000)),"x",IF(AND($Z34="b",OR($AA34="a",$AA34="b"),Inventory!$I41&lt;&gt;"",$AE34&lt;(65000/12000)),VLOOKUP(Inventory!$I41,$V$4:$W$5,2,FALSE),"x"))</f>
        <v>x</v>
      </c>
      <c r="AY34" s="476" t="str">
        <f t="shared" si="24"/>
        <v>aaa0</v>
      </c>
      <c r="AZ34" s="477" t="str">
        <f t="shared" si="25"/>
        <v>No</v>
      </c>
      <c r="BA34" s="759" t="str">
        <f t="shared" si="26"/>
        <v>No</v>
      </c>
      <c r="BB34" s="477">
        <f>IF($Z34="c",Inventory!$AB41,Inventory!$K41)</f>
        <v>0</v>
      </c>
      <c r="BC34" s="478">
        <f>IF(AND($Z34="b",Inventory!$N41="Btu/hr"),Inventory!$M41,IF(AND($Z34="b",Inventory!$N41="Tons"),Inventory!$M41*12000,IF(AND($Z34&lt;&gt;"b",Inventory!$AK41="Btu/hr"),Inventory!$AD41,IF(AND($Z34&lt;&gt;"b",Inventory!$AK41="Tons"),Inventory!$AD41*12000,0))))</f>
        <v>0</v>
      </c>
      <c r="BD34" s="478">
        <f t="shared" si="27"/>
        <v>0</v>
      </c>
      <c r="BE34" s="479">
        <f t="shared" si="28"/>
        <v>0</v>
      </c>
      <c r="BF34" s="477" t="s">
        <v>50</v>
      </c>
      <c r="BG34" s="479">
        <f t="shared" si="6"/>
        <v>0</v>
      </c>
      <c r="BH34" s="477" t="s">
        <v>46</v>
      </c>
      <c r="BI34" s="760">
        <f>IF(AND($Z34="b",Inventory!$P41="Btu/hr"),Inventory!$O41,IF(AND($Z34="b",Inventory!$P41="Tons"),Inventory!$O41*12000,IF(AND($Z34&lt;&gt;"b",Inventory!$AM41="Btu/hr"),Inventory!$AL41,IF(AND($Z34&lt;&gt;"b",Inventory!$AM41="Tons"),Inventory!$AL41*12000,0))))</f>
        <v>0</v>
      </c>
      <c r="BJ34" s="760">
        <f t="shared" si="29"/>
        <v>0</v>
      </c>
      <c r="BK34" s="598">
        <f t="shared" si="30"/>
        <v>0</v>
      </c>
      <c r="BL34" s="759" t="s">
        <v>567</v>
      </c>
      <c r="BM34" s="477" t="str">
        <f t="shared" si="7"/>
        <v>No</v>
      </c>
      <c r="BN34" s="477" t="str">
        <f>IF(OR(Inventory!$H41="",$BM34="No"),"-",Inventory!$H41)</f>
        <v>-</v>
      </c>
      <c r="BO34" s="477" t="str">
        <f>IFERROR(VLOOKUP(BN34,'Early Retirement'!$B$6:$C$33,2,FALSE),"-")</f>
        <v>-</v>
      </c>
      <c r="BP34" s="477" t="str">
        <f>IF(Inventory!$J41="Centrifugal","Yes","No")</f>
        <v>No</v>
      </c>
      <c r="BQ34" s="477">
        <f t="shared" si="31"/>
        <v>0</v>
      </c>
      <c r="BR34" s="477" t="str">
        <f t="shared" si="32"/>
        <v>-</v>
      </c>
      <c r="BS34" s="479">
        <f>IFERROR(INDEX('Early Retirement'!$C$4:$AC$33,$BO34,$BR34),0)</f>
        <v>0</v>
      </c>
      <c r="BT34" s="477">
        <f>IFERROR(HLOOKUP($BR34,'Early Retirement'!$D$4:$AC$5,2,FALSE),0)</f>
        <v>0</v>
      </c>
      <c r="BU34" s="761">
        <f>IFERROR(INDEX('Early Retirement'!$AE$4:$BE$33,$BO34,$BR34),0)</f>
        <v>0</v>
      </c>
      <c r="BV34" s="759">
        <f>IFERROR(HLOOKUP($BR34,'Early Retirement'!$AF$4:$BE$5,2,FALSE),0)</f>
        <v>0</v>
      </c>
      <c r="BW34" s="479">
        <f t="shared" si="41"/>
        <v>0</v>
      </c>
      <c r="BX34" s="761">
        <f t="shared" si="33"/>
        <v>0</v>
      </c>
      <c r="BY34" s="477" t="s">
        <v>46</v>
      </c>
      <c r="BZ34" s="598">
        <f>IFERROR(INDEX('Early Retirement'!$BG$4:$CG$33,$BO34,$BR34),0)</f>
        <v>0</v>
      </c>
      <c r="CA34" s="759">
        <f>IFERROR(HLOOKUP($BR34,'Early Retirement'!$BH$4:$CH$5,2,FALSE),0)</f>
        <v>0</v>
      </c>
      <c r="CB34" s="598">
        <f t="shared" si="34"/>
        <v>0</v>
      </c>
      <c r="CC34" s="759" t="s">
        <v>567</v>
      </c>
      <c r="CD34" s="477" t="str">
        <f t="shared" si="8"/>
        <v>Yes</v>
      </c>
      <c r="CE34" s="479">
        <f t="shared" si="9"/>
        <v>0</v>
      </c>
      <c r="CF34" s="761">
        <f t="shared" si="10"/>
        <v>0</v>
      </c>
      <c r="CG34" s="759" t="s">
        <v>46</v>
      </c>
      <c r="CH34" s="598">
        <f t="shared" si="35"/>
        <v>0</v>
      </c>
      <c r="CI34" s="759" t="s">
        <v>567</v>
      </c>
      <c r="CJ34" s="480">
        <f t="shared" si="36"/>
        <v>0</v>
      </c>
      <c r="CK34" s="583">
        <f t="shared" si="37"/>
        <v>0</v>
      </c>
      <c r="CL34" s="596" t="s">
        <v>46</v>
      </c>
      <c r="CM34" s="581">
        <f t="shared" si="38"/>
        <v>0</v>
      </c>
      <c r="CN34" s="762" t="s">
        <v>567</v>
      </c>
      <c r="CP34" s="90" t="s">
        <v>486</v>
      </c>
      <c r="CQ34" s="121">
        <v>9.3000000000000007</v>
      </c>
      <c r="CR34" s="307" t="s">
        <v>50</v>
      </c>
      <c r="CS34" s="641">
        <v>9.3000000000000007</v>
      </c>
      <c r="CT34" s="551" t="s">
        <v>50</v>
      </c>
      <c r="CU34" s="645">
        <f t="shared" si="43"/>
        <v>1.2903225806451613</v>
      </c>
      <c r="CV34" s="645">
        <f t="shared" si="43"/>
        <v>1.2903225806451613</v>
      </c>
      <c r="CW34" s="633" t="s">
        <v>46</v>
      </c>
      <c r="CX34" s="606"/>
      <c r="CY34" s="589"/>
      <c r="CZ34" s="606"/>
      <c r="DA34" s="609"/>
      <c r="DB34" s="562"/>
      <c r="DC34" s="562"/>
      <c r="DD34" s="562"/>
      <c r="DE34" s="562"/>
      <c r="DF34" s="562"/>
      <c r="DG34" s="562"/>
      <c r="DH34" s="562"/>
      <c r="DI34" s="562"/>
      <c r="DJ34" s="562"/>
      <c r="DK34" s="562"/>
      <c r="DL34" s="562"/>
      <c r="DM34" s="562"/>
      <c r="DN34" s="562"/>
      <c r="DO34" s="562"/>
      <c r="DP34" s="562"/>
      <c r="DQ34" s="562"/>
      <c r="DR34" s="562"/>
      <c r="DS34" s="562"/>
      <c r="DT34" s="562"/>
      <c r="DU34" s="562"/>
      <c r="DV34" s="562"/>
      <c r="DW34" s="562"/>
      <c r="DX34" s="562"/>
      <c r="DY34" s="562"/>
      <c r="DZ34" s="562"/>
      <c r="EA34" s="562"/>
      <c r="EB34" s="562"/>
      <c r="EC34" s="562"/>
      <c r="ED34" s="562"/>
      <c r="EE34" s="562"/>
      <c r="EF34" s="562"/>
      <c r="EG34" s="562"/>
      <c r="EH34" s="562"/>
      <c r="EI34" s="562"/>
      <c r="EJ34" s="562"/>
      <c r="EK34" s="562"/>
      <c r="EL34" s="562"/>
    </row>
    <row r="35" spans="2:142" s="78" customFormat="1" ht="15" customHeight="1" x14ac:dyDescent="0.25">
      <c r="B35" s="77"/>
      <c r="E35" s="77"/>
      <c r="H35" s="77"/>
      <c r="Q35" s="1057"/>
      <c r="R35" s="91">
        <v>600</v>
      </c>
      <c r="S35" s="98"/>
      <c r="T35" s="89">
        <v>33</v>
      </c>
      <c r="U35" s="79"/>
      <c r="V35" s="79"/>
      <c r="W35" s="79"/>
      <c r="Y35" s="90">
        <v>33</v>
      </c>
      <c r="Z35" s="472" t="str">
        <f>IF(Inventory!$C42="","",VLOOKUP(Inventory!$C42,$B$3:$C$5,2,FALSE))</f>
        <v/>
      </c>
      <c r="AA35" s="472" t="str">
        <f>IF($Z35="","",IF(AND($Z35="b",Inventory!$G42=""),"",IF(AND($Z35="b",Inventory!$G42&lt;&gt;""),VLOOKUP(Inventory!$G42,$E$3:$F$10,2,FALSE),IF(AND($Z35="a",Inventory!$Z42=""),"",IF(AND($Z35="a",Inventory!$Z42&lt;&gt;""),VLOOKUP(Inventory!$Z42,$E$3:$F$10,2,FALSE),IF(AND($Z35="c",Inventory!$Z42=""),"",IF(AND($Z35="c",Inventory!$Z42&lt;&gt;""),VLOOKUP(Inventory!$Z42,$E$3:$F$10,2,FALSE),"")))))))</f>
        <v/>
      </c>
      <c r="AB35" s="472" t="str">
        <f>IF($Z35="","a",IF(AND($Z35="b",Inventory!$J42=""),"a",IF(AND($Z35="b",Inventory!$J42&lt;&gt;""),VLOOKUP(Inventory!$J42,$H$4:$I$6,2,FALSE),IF(AND($Z35="a",Inventory!$AA42=""),"a",IF(AND($Z35="a",Inventory!$AA42&lt;&gt;""),VLOOKUP(Inventory!$AA42,$H$4:$I$6,2,FALSE),IF(AND($Z35="c",Inventory!$AA42=""),"a",IF(AND($Z35="c",Inventory!$AA42&lt;&gt;""),VLOOKUP(Inventory!$AA42,$H$4:$I$6,2,FALSE),"a")))))))</f>
        <v>a</v>
      </c>
      <c r="AC35" s="506" t="str">
        <f t="shared" si="11"/>
        <v>a</v>
      </c>
      <c r="AD35" s="473" t="str">
        <f>IF($Z35="","a",IF(AND($Z35="b",Inventory!$L42=""),"a",IF(AND($Z35="b",Inventory!$L42&lt;&gt;""),VLOOKUP(Inventory!$L42,$N$4:$O$5,2,FALSE),IF(AND($Z35="a",Inventory!$AC42=""),"a",IF(AND($Z35="a",Inventory!$AC42&lt;&gt;""),VLOOKUP(Inventory!$AC42,$N$4:$O$5,2,FALSE),IF(AND($Z35="c",Inventory!$AC42=""),"a",IF(AND($Z35="c",Inventory!$AC42&lt;&gt;""),VLOOKUP(Inventory!$AC42,$N$4:$O$5,2,FALSE),"a")))))))</f>
        <v>a</v>
      </c>
      <c r="AE35" s="474">
        <f>IF(OR(Inventory!C42="New Construction",Inventory!C42="Replace-on-Burnout"),Inventory!AF42,IF(Inventory!C42="Early Retirement",MIN(Inventory!AE42,Inventory!AF42),0))</f>
        <v>0</v>
      </c>
      <c r="AF35" s="475" t="str">
        <f t="shared" si="12"/>
        <v/>
      </c>
      <c r="AG35" s="475" t="str">
        <f t="shared" si="0"/>
        <v/>
      </c>
      <c r="AH35" s="475" t="str">
        <f t="shared" si="1"/>
        <v/>
      </c>
      <c r="AI35" s="475" t="str">
        <f t="shared" si="2"/>
        <v/>
      </c>
      <c r="AJ35" s="475" t="str">
        <f t="shared" si="3"/>
        <v/>
      </c>
      <c r="AK35" s="475" t="str">
        <f t="shared" si="13"/>
        <v/>
      </c>
      <c r="AL35" s="475" t="str">
        <f t="shared" si="14"/>
        <v/>
      </c>
      <c r="AM35" s="475" t="str">
        <f t="shared" si="15"/>
        <v/>
      </c>
      <c r="AN35" s="475" t="str">
        <f t="shared" si="16"/>
        <v/>
      </c>
      <c r="AO35" s="475" t="str">
        <f t="shared" si="17"/>
        <v/>
      </c>
      <c r="AP35" s="475" t="str">
        <f t="shared" si="18"/>
        <v/>
      </c>
      <c r="AQ35" s="475" t="str">
        <f t="shared" si="19"/>
        <v/>
      </c>
      <c r="AR35" s="475" t="str">
        <f t="shared" si="20"/>
        <v/>
      </c>
      <c r="AS35" s="475" t="str">
        <f t="shared" si="21"/>
        <v/>
      </c>
      <c r="AT35" s="475" t="str">
        <f t="shared" si="22"/>
        <v/>
      </c>
      <c r="AU35" s="475" t="str">
        <f t="shared" si="23"/>
        <v/>
      </c>
      <c r="AV35" s="475" t="str">
        <f t="shared" si="4"/>
        <v/>
      </c>
      <c r="AW35" s="473">
        <f t="shared" si="5"/>
        <v>0</v>
      </c>
      <c r="AX35" s="473" t="str">
        <f>IF(AND($Z35="b",OR($AA35="a",$AA35="b"),Inventory!$I42="",$AE35&lt;(65000/12000)),"x",IF(AND($Z35="b",OR($AA35="a",$AA35="b"),Inventory!$I42&lt;&gt;"",$AE35&lt;(65000/12000)),VLOOKUP(Inventory!$I42,$V$4:$W$5,2,FALSE),"x"))</f>
        <v>x</v>
      </c>
      <c r="AY35" s="476" t="str">
        <f t="shared" si="24"/>
        <v>aaa0</v>
      </c>
      <c r="AZ35" s="477" t="str">
        <f t="shared" si="25"/>
        <v>No</v>
      </c>
      <c r="BA35" s="759" t="str">
        <f t="shared" si="26"/>
        <v>No</v>
      </c>
      <c r="BB35" s="477">
        <f>IF($Z35="c",Inventory!$AB42,Inventory!$K42)</f>
        <v>0</v>
      </c>
      <c r="BC35" s="478">
        <f>IF(AND($Z35="b",Inventory!$N42="Btu/hr"),Inventory!$M42,IF(AND($Z35="b",Inventory!$N42="Tons"),Inventory!$M42*12000,IF(AND($Z35&lt;&gt;"b",Inventory!$AK42="Btu/hr"),Inventory!$AD42,IF(AND($Z35&lt;&gt;"b",Inventory!$AK42="Tons"),Inventory!$AD42*12000,0))))</f>
        <v>0</v>
      </c>
      <c r="BD35" s="478">
        <f t="shared" si="27"/>
        <v>0</v>
      </c>
      <c r="BE35" s="479">
        <f t="shared" si="28"/>
        <v>0</v>
      </c>
      <c r="BF35" s="477" t="s">
        <v>50</v>
      </c>
      <c r="BG35" s="479">
        <f t="shared" si="6"/>
        <v>0</v>
      </c>
      <c r="BH35" s="477" t="s">
        <v>46</v>
      </c>
      <c r="BI35" s="760">
        <f>IF(AND($Z35="b",Inventory!$P42="Btu/hr"),Inventory!$O42,IF(AND($Z35="b",Inventory!$P42="Tons"),Inventory!$O42*12000,IF(AND($Z35&lt;&gt;"b",Inventory!$AM42="Btu/hr"),Inventory!$AL42,IF(AND($Z35&lt;&gt;"b",Inventory!$AM42="Tons"),Inventory!$AL42*12000,0))))</f>
        <v>0</v>
      </c>
      <c r="BJ35" s="760">
        <f t="shared" si="29"/>
        <v>0</v>
      </c>
      <c r="BK35" s="598">
        <f t="shared" si="30"/>
        <v>0</v>
      </c>
      <c r="BL35" s="759" t="s">
        <v>567</v>
      </c>
      <c r="BM35" s="477" t="str">
        <f t="shared" si="7"/>
        <v>No</v>
      </c>
      <c r="BN35" s="477" t="str">
        <f>IF(OR(Inventory!$H42="",$BM35="No"),"-",Inventory!$H42)</f>
        <v>-</v>
      </c>
      <c r="BO35" s="477" t="str">
        <f>IFERROR(VLOOKUP(BN35,'Early Retirement'!$B$6:$C$33,2,FALSE),"-")</f>
        <v>-</v>
      </c>
      <c r="BP35" s="477" t="str">
        <f>IF(Inventory!$J42="Centrifugal","Yes","No")</f>
        <v>No</v>
      </c>
      <c r="BQ35" s="477">
        <f t="shared" si="31"/>
        <v>0</v>
      </c>
      <c r="BR35" s="477" t="str">
        <f t="shared" si="32"/>
        <v>-</v>
      </c>
      <c r="BS35" s="479">
        <f>IFERROR(INDEX('Early Retirement'!$C$4:$AC$33,$BO35,$BR35),0)</f>
        <v>0</v>
      </c>
      <c r="BT35" s="477">
        <f>IFERROR(HLOOKUP($BR35,'Early Retirement'!$D$4:$AC$5,2,FALSE),0)</f>
        <v>0</v>
      </c>
      <c r="BU35" s="761">
        <f>IFERROR(INDEX('Early Retirement'!$AE$4:$BE$33,$BO35,$BR35),0)</f>
        <v>0</v>
      </c>
      <c r="BV35" s="759">
        <f>IFERROR(HLOOKUP($BR35,'Early Retirement'!$AF$4:$BE$5,2,FALSE),0)</f>
        <v>0</v>
      </c>
      <c r="BW35" s="479">
        <f t="shared" si="41"/>
        <v>0</v>
      </c>
      <c r="BX35" s="761">
        <f t="shared" si="33"/>
        <v>0</v>
      </c>
      <c r="BY35" s="477" t="s">
        <v>46</v>
      </c>
      <c r="BZ35" s="598">
        <f>IFERROR(INDEX('Early Retirement'!$BG$4:$CG$33,$BO35,$BR35),0)</f>
        <v>0</v>
      </c>
      <c r="CA35" s="759">
        <f>IFERROR(HLOOKUP($BR35,'Early Retirement'!$BH$4:$CH$5,2,FALSE),0)</f>
        <v>0</v>
      </c>
      <c r="CB35" s="598">
        <f t="shared" si="34"/>
        <v>0</v>
      </c>
      <c r="CC35" s="759" t="s">
        <v>567</v>
      </c>
      <c r="CD35" s="477" t="str">
        <f t="shared" si="8"/>
        <v>Yes</v>
      </c>
      <c r="CE35" s="479">
        <f t="shared" si="9"/>
        <v>0</v>
      </c>
      <c r="CF35" s="761">
        <f t="shared" si="10"/>
        <v>0</v>
      </c>
      <c r="CG35" s="759" t="s">
        <v>46</v>
      </c>
      <c r="CH35" s="598">
        <f t="shared" si="35"/>
        <v>0</v>
      </c>
      <c r="CI35" s="759" t="s">
        <v>567</v>
      </c>
      <c r="CJ35" s="480">
        <f t="shared" si="36"/>
        <v>0</v>
      </c>
      <c r="CK35" s="583">
        <f t="shared" si="37"/>
        <v>0</v>
      </c>
      <c r="CL35" s="596" t="s">
        <v>46</v>
      </c>
      <c r="CM35" s="581">
        <f t="shared" si="38"/>
        <v>0</v>
      </c>
      <c r="CN35" s="762" t="s">
        <v>567</v>
      </c>
      <c r="CP35" s="90" t="s">
        <v>487</v>
      </c>
      <c r="CQ35" s="121">
        <v>9.3000000000000007</v>
      </c>
      <c r="CR35" s="307" t="s">
        <v>50</v>
      </c>
      <c r="CS35" s="641">
        <v>9.3000000000000007</v>
      </c>
      <c r="CT35" s="551" t="s">
        <v>50</v>
      </c>
      <c r="CU35" s="645">
        <f t="shared" si="43"/>
        <v>1.2903225806451613</v>
      </c>
      <c r="CV35" s="645">
        <f t="shared" si="43"/>
        <v>1.2903225806451613</v>
      </c>
      <c r="CW35" s="633" t="s">
        <v>46</v>
      </c>
      <c r="CX35" s="606"/>
      <c r="CY35" s="589"/>
      <c r="CZ35" s="606"/>
      <c r="DA35" s="609"/>
      <c r="DB35" s="562"/>
      <c r="DC35" s="562"/>
      <c r="DD35" s="562"/>
      <c r="DE35" s="562"/>
      <c r="DF35" s="562"/>
      <c r="DG35" s="562"/>
      <c r="DH35" s="562"/>
      <c r="DI35" s="562"/>
      <c r="DJ35" s="562"/>
      <c r="DK35" s="562"/>
      <c r="DL35" s="562"/>
      <c r="DM35" s="562"/>
      <c r="DN35" s="562"/>
      <c r="DO35" s="562"/>
      <c r="DP35" s="562"/>
      <c r="DQ35" s="562"/>
      <c r="DR35" s="562"/>
      <c r="DS35" s="562"/>
      <c r="DT35" s="562"/>
      <c r="DU35" s="562"/>
      <c r="DV35" s="562"/>
      <c r="DW35" s="562"/>
      <c r="DX35" s="562"/>
      <c r="DY35" s="562"/>
      <c r="DZ35" s="562"/>
      <c r="EA35" s="562"/>
      <c r="EB35" s="562"/>
      <c r="EC35" s="562"/>
      <c r="ED35" s="562"/>
      <c r="EE35" s="562"/>
      <c r="EF35" s="562"/>
      <c r="EG35" s="562"/>
      <c r="EH35" s="562"/>
      <c r="EI35" s="562"/>
      <c r="EJ35" s="562"/>
      <c r="EK35" s="562"/>
      <c r="EL35" s="562"/>
    </row>
    <row r="36" spans="2:142" s="78" customFormat="1" ht="15" customHeight="1" x14ac:dyDescent="0.25">
      <c r="B36" s="77"/>
      <c r="E36" s="77"/>
      <c r="H36" s="77"/>
      <c r="Q36" s="1055" t="s">
        <v>83</v>
      </c>
      <c r="R36" s="106">
        <v>0</v>
      </c>
      <c r="S36" s="106">
        <v>75</v>
      </c>
      <c r="T36" s="89">
        <v>34</v>
      </c>
      <c r="U36" s="79"/>
      <c r="V36" s="79"/>
      <c r="W36" s="79"/>
      <c r="Y36" s="90">
        <v>34</v>
      </c>
      <c r="Z36" s="472" t="str">
        <f>IF(Inventory!$C43="","",VLOOKUP(Inventory!$C43,$B$3:$C$5,2,FALSE))</f>
        <v/>
      </c>
      <c r="AA36" s="472" t="str">
        <f>IF($Z36="","",IF(AND($Z36="b",Inventory!$G43=""),"",IF(AND($Z36="b",Inventory!$G43&lt;&gt;""),VLOOKUP(Inventory!$G43,$E$3:$F$10,2,FALSE),IF(AND($Z36="a",Inventory!$Z43=""),"",IF(AND($Z36="a",Inventory!$Z43&lt;&gt;""),VLOOKUP(Inventory!$Z43,$E$3:$F$10,2,FALSE),IF(AND($Z36="c",Inventory!$Z43=""),"",IF(AND($Z36="c",Inventory!$Z43&lt;&gt;""),VLOOKUP(Inventory!$Z43,$E$3:$F$10,2,FALSE),"")))))))</f>
        <v/>
      </c>
      <c r="AB36" s="472" t="str">
        <f>IF($Z36="","a",IF(AND($Z36="b",Inventory!$J43=""),"a",IF(AND($Z36="b",Inventory!$J43&lt;&gt;""),VLOOKUP(Inventory!$J43,$H$4:$I$6,2,FALSE),IF(AND($Z36="a",Inventory!$AA43=""),"a",IF(AND($Z36="a",Inventory!$AA43&lt;&gt;""),VLOOKUP(Inventory!$AA43,$H$4:$I$6,2,FALSE),IF(AND($Z36="c",Inventory!$AA43=""),"a",IF(AND($Z36="c",Inventory!$AA43&lt;&gt;""),VLOOKUP(Inventory!$AA43,$H$4:$I$6,2,FALSE),"a")))))))</f>
        <v>a</v>
      </c>
      <c r="AC36" s="506" t="str">
        <f t="shared" si="11"/>
        <v>a</v>
      </c>
      <c r="AD36" s="473" t="str">
        <f>IF($Z36="","a",IF(AND($Z36="b",Inventory!$L43=""),"a",IF(AND($Z36="b",Inventory!$L43&lt;&gt;""),VLOOKUP(Inventory!$L43,$N$4:$O$5,2,FALSE),IF(AND($Z36="a",Inventory!$AC43=""),"a",IF(AND($Z36="a",Inventory!$AC43&lt;&gt;""),VLOOKUP(Inventory!$AC43,$N$4:$O$5,2,FALSE),IF(AND($Z36="c",Inventory!$AC43=""),"a",IF(AND($Z36="c",Inventory!$AC43&lt;&gt;""),VLOOKUP(Inventory!$AC43,$N$4:$O$5,2,FALSE),"a")))))))</f>
        <v>a</v>
      </c>
      <c r="AE36" s="474">
        <f>IF(OR(Inventory!C43="New Construction",Inventory!C43="Replace-on-Burnout"),Inventory!AF43,IF(Inventory!C43="Early Retirement",MIN(Inventory!AE43,Inventory!AF43),0))</f>
        <v>0</v>
      </c>
      <c r="AF36" s="475" t="str">
        <f t="shared" si="12"/>
        <v/>
      </c>
      <c r="AG36" s="475" t="str">
        <f t="shared" si="0"/>
        <v/>
      </c>
      <c r="AH36" s="475" t="str">
        <f t="shared" si="1"/>
        <v/>
      </c>
      <c r="AI36" s="475" t="str">
        <f t="shared" si="2"/>
        <v/>
      </c>
      <c r="AJ36" s="475" t="str">
        <f t="shared" si="3"/>
        <v/>
      </c>
      <c r="AK36" s="475" t="str">
        <f t="shared" si="13"/>
        <v/>
      </c>
      <c r="AL36" s="475" t="str">
        <f t="shared" si="14"/>
        <v/>
      </c>
      <c r="AM36" s="475" t="str">
        <f t="shared" si="15"/>
        <v/>
      </c>
      <c r="AN36" s="475" t="str">
        <f t="shared" si="16"/>
        <v/>
      </c>
      <c r="AO36" s="475" t="str">
        <f t="shared" si="17"/>
        <v/>
      </c>
      <c r="AP36" s="475" t="str">
        <f t="shared" si="18"/>
        <v/>
      </c>
      <c r="AQ36" s="475" t="str">
        <f t="shared" si="19"/>
        <v/>
      </c>
      <c r="AR36" s="475" t="str">
        <f t="shared" si="20"/>
        <v/>
      </c>
      <c r="AS36" s="475" t="str">
        <f t="shared" si="21"/>
        <v/>
      </c>
      <c r="AT36" s="475" t="str">
        <f t="shared" si="22"/>
        <v/>
      </c>
      <c r="AU36" s="475" t="str">
        <f t="shared" si="23"/>
        <v/>
      </c>
      <c r="AV36" s="475" t="str">
        <f t="shared" si="4"/>
        <v/>
      </c>
      <c r="AW36" s="473">
        <f t="shared" si="5"/>
        <v>0</v>
      </c>
      <c r="AX36" s="473" t="str">
        <f>IF(AND($Z36="b",OR($AA36="a",$AA36="b"),Inventory!$I43="",$AE36&lt;(65000/12000)),"x",IF(AND($Z36="b",OR($AA36="a",$AA36="b"),Inventory!$I43&lt;&gt;"",$AE36&lt;(65000/12000)),VLOOKUP(Inventory!$I43,$V$4:$W$5,2,FALSE),"x"))</f>
        <v>x</v>
      </c>
      <c r="AY36" s="476" t="str">
        <f t="shared" si="24"/>
        <v>aaa0</v>
      </c>
      <c r="AZ36" s="477" t="str">
        <f t="shared" si="25"/>
        <v>No</v>
      </c>
      <c r="BA36" s="759" t="str">
        <f t="shared" si="26"/>
        <v>No</v>
      </c>
      <c r="BB36" s="477">
        <f>IF($Z36="c",Inventory!$AB43,Inventory!$K43)</f>
        <v>0</v>
      </c>
      <c r="BC36" s="478">
        <f>IF(AND($Z36="b",Inventory!$N43="Btu/hr"),Inventory!$M43,IF(AND($Z36="b",Inventory!$N43="Tons"),Inventory!$M43*12000,IF(AND($Z36&lt;&gt;"b",Inventory!$AK43="Btu/hr"),Inventory!$AD43,IF(AND($Z36&lt;&gt;"b",Inventory!$AK43="Tons"),Inventory!$AD43*12000,0))))</f>
        <v>0</v>
      </c>
      <c r="BD36" s="478">
        <f t="shared" si="27"/>
        <v>0</v>
      </c>
      <c r="BE36" s="479">
        <f t="shared" si="28"/>
        <v>0</v>
      </c>
      <c r="BF36" s="477" t="s">
        <v>50</v>
      </c>
      <c r="BG36" s="479">
        <f t="shared" si="6"/>
        <v>0</v>
      </c>
      <c r="BH36" s="477" t="s">
        <v>46</v>
      </c>
      <c r="BI36" s="760">
        <f>IF(AND($Z36="b",Inventory!$P43="Btu/hr"),Inventory!$O43,IF(AND($Z36="b",Inventory!$P43="Tons"),Inventory!$O43*12000,IF(AND($Z36&lt;&gt;"b",Inventory!$AM43="Btu/hr"),Inventory!$AL43,IF(AND($Z36&lt;&gt;"b",Inventory!$AM43="Tons"),Inventory!$AL43*12000,0))))</f>
        <v>0</v>
      </c>
      <c r="BJ36" s="760">
        <f t="shared" si="29"/>
        <v>0</v>
      </c>
      <c r="BK36" s="598">
        <f t="shared" si="30"/>
        <v>0</v>
      </c>
      <c r="BL36" s="759" t="s">
        <v>567</v>
      </c>
      <c r="BM36" s="477" t="str">
        <f t="shared" si="7"/>
        <v>No</v>
      </c>
      <c r="BN36" s="477" t="str">
        <f>IF(OR(Inventory!$H43="",$BM36="No"),"-",Inventory!$H43)</f>
        <v>-</v>
      </c>
      <c r="BO36" s="477" t="str">
        <f>IFERROR(VLOOKUP(BN36,'Early Retirement'!$B$6:$C$33,2,FALSE),"-")</f>
        <v>-</v>
      </c>
      <c r="BP36" s="477" t="str">
        <f>IF(Inventory!$J43="Centrifugal","Yes","No")</f>
        <v>No</v>
      </c>
      <c r="BQ36" s="477">
        <f t="shared" si="31"/>
        <v>0</v>
      </c>
      <c r="BR36" s="477" t="str">
        <f t="shared" si="32"/>
        <v>-</v>
      </c>
      <c r="BS36" s="479">
        <f>IFERROR(INDEX('Early Retirement'!$C$4:$AC$33,$BO36,$BR36),0)</f>
        <v>0</v>
      </c>
      <c r="BT36" s="477">
        <f>IFERROR(HLOOKUP($BR36,'Early Retirement'!$D$4:$AC$5,2,FALSE),0)</f>
        <v>0</v>
      </c>
      <c r="BU36" s="761">
        <f>IFERROR(INDEX('Early Retirement'!$AE$4:$BE$33,$BO36,$BR36),0)</f>
        <v>0</v>
      </c>
      <c r="BV36" s="759">
        <f>IFERROR(HLOOKUP($BR36,'Early Retirement'!$AF$4:$BE$5,2,FALSE),0)</f>
        <v>0</v>
      </c>
      <c r="BW36" s="479">
        <f t="shared" si="41"/>
        <v>0</v>
      </c>
      <c r="BX36" s="761">
        <f t="shared" si="33"/>
        <v>0</v>
      </c>
      <c r="BY36" s="477" t="s">
        <v>46</v>
      </c>
      <c r="BZ36" s="598">
        <f>IFERROR(INDEX('Early Retirement'!$BG$4:$CG$33,$BO36,$BR36),0)</f>
        <v>0</v>
      </c>
      <c r="CA36" s="759">
        <f>IFERROR(HLOOKUP($BR36,'Early Retirement'!$BH$4:$CH$5,2,FALSE),0)</f>
        <v>0</v>
      </c>
      <c r="CB36" s="598">
        <f t="shared" si="34"/>
        <v>0</v>
      </c>
      <c r="CC36" s="759" t="s">
        <v>567</v>
      </c>
      <c r="CD36" s="477" t="str">
        <f t="shared" si="8"/>
        <v>Yes</v>
      </c>
      <c r="CE36" s="479">
        <f t="shared" si="9"/>
        <v>0</v>
      </c>
      <c r="CF36" s="761">
        <f t="shared" si="10"/>
        <v>0</v>
      </c>
      <c r="CG36" s="759" t="s">
        <v>46</v>
      </c>
      <c r="CH36" s="598">
        <f t="shared" si="35"/>
        <v>0</v>
      </c>
      <c r="CI36" s="759" t="s">
        <v>567</v>
      </c>
      <c r="CJ36" s="480">
        <f t="shared" si="36"/>
        <v>0</v>
      </c>
      <c r="CK36" s="583">
        <f t="shared" si="37"/>
        <v>0</v>
      </c>
      <c r="CL36" s="596" t="s">
        <v>46</v>
      </c>
      <c r="CM36" s="581">
        <f t="shared" si="38"/>
        <v>0</v>
      </c>
      <c r="CN36" s="762" t="s">
        <v>567</v>
      </c>
      <c r="CP36" s="90" t="s">
        <v>488</v>
      </c>
      <c r="CQ36" s="121">
        <v>8.6999999999999993</v>
      </c>
      <c r="CR36" s="307" t="s">
        <v>50</v>
      </c>
      <c r="CS36" s="641">
        <v>8.6999999999999993</v>
      </c>
      <c r="CT36" s="551" t="s">
        <v>50</v>
      </c>
      <c r="CU36" s="645">
        <f t="shared" si="43"/>
        <v>1.3793103448275863</v>
      </c>
      <c r="CV36" s="645">
        <f t="shared" si="43"/>
        <v>1.3793103448275863</v>
      </c>
      <c r="CW36" s="633" t="s">
        <v>46</v>
      </c>
      <c r="CX36" s="606"/>
      <c r="CY36" s="589"/>
      <c r="CZ36" s="606"/>
      <c r="DA36" s="609"/>
      <c r="DB36" s="562"/>
      <c r="DC36" s="562"/>
      <c r="DD36" s="562"/>
      <c r="DE36" s="562"/>
      <c r="DF36" s="562"/>
      <c r="DG36" s="562"/>
      <c r="DH36" s="562"/>
      <c r="DI36" s="562"/>
      <c r="DJ36" s="562"/>
      <c r="DK36" s="562"/>
      <c r="DL36" s="562"/>
      <c r="DM36" s="562"/>
      <c r="DN36" s="562"/>
      <c r="DO36" s="562"/>
      <c r="DP36" s="562"/>
      <c r="DQ36" s="562"/>
      <c r="DR36" s="562"/>
      <c r="DS36" s="562"/>
      <c r="DT36" s="562"/>
      <c r="DU36" s="562"/>
      <c r="DV36" s="562"/>
      <c r="DW36" s="562"/>
      <c r="DX36" s="562"/>
      <c r="DY36" s="562"/>
      <c r="DZ36" s="562"/>
      <c r="EA36" s="562"/>
      <c r="EB36" s="562"/>
      <c r="EC36" s="562"/>
      <c r="ED36" s="562"/>
      <c r="EE36" s="562"/>
      <c r="EF36" s="562"/>
      <c r="EG36" s="562"/>
      <c r="EH36" s="562"/>
      <c r="EI36" s="562"/>
      <c r="EJ36" s="562"/>
      <c r="EK36" s="562"/>
      <c r="EL36" s="562"/>
    </row>
    <row r="37" spans="2:142" s="78" customFormat="1" ht="15" customHeight="1" x14ac:dyDescent="0.25">
      <c r="B37" s="77"/>
      <c r="E37" s="77"/>
      <c r="H37" s="77"/>
      <c r="Q37" s="1056"/>
      <c r="R37" s="91">
        <v>75</v>
      </c>
      <c r="S37" s="91">
        <v>150</v>
      </c>
      <c r="T37" s="89">
        <v>35</v>
      </c>
      <c r="U37" s="79"/>
      <c r="V37" s="79"/>
      <c r="W37" s="79"/>
      <c r="Y37" s="90">
        <v>35</v>
      </c>
      <c r="Z37" s="472" t="str">
        <f>IF(Inventory!$C44="","",VLOOKUP(Inventory!$C44,$B$3:$C$5,2,FALSE))</f>
        <v/>
      </c>
      <c r="AA37" s="472" t="str">
        <f>IF($Z37="","",IF(AND($Z37="b",Inventory!$G44=""),"",IF(AND($Z37="b",Inventory!$G44&lt;&gt;""),VLOOKUP(Inventory!$G44,$E$3:$F$10,2,FALSE),IF(AND($Z37="a",Inventory!$Z44=""),"",IF(AND($Z37="a",Inventory!$Z44&lt;&gt;""),VLOOKUP(Inventory!$Z44,$E$3:$F$10,2,FALSE),IF(AND($Z37="c",Inventory!$Z44=""),"",IF(AND($Z37="c",Inventory!$Z44&lt;&gt;""),VLOOKUP(Inventory!$Z44,$E$3:$F$10,2,FALSE),"")))))))</f>
        <v/>
      </c>
      <c r="AB37" s="472" t="str">
        <f>IF($Z37="","a",IF(AND($Z37="b",Inventory!$J44=""),"a",IF(AND($Z37="b",Inventory!$J44&lt;&gt;""),VLOOKUP(Inventory!$J44,$H$4:$I$6,2,FALSE),IF(AND($Z37="a",Inventory!$AA44=""),"a",IF(AND($Z37="a",Inventory!$AA44&lt;&gt;""),VLOOKUP(Inventory!$AA44,$H$4:$I$6,2,FALSE),IF(AND($Z37="c",Inventory!$AA44=""),"a",IF(AND($Z37="c",Inventory!$AA44&lt;&gt;""),VLOOKUP(Inventory!$AA44,$H$4:$I$6,2,FALSE),"a")))))))</f>
        <v>a</v>
      </c>
      <c r="AC37" s="506" t="str">
        <f t="shared" si="11"/>
        <v>a</v>
      </c>
      <c r="AD37" s="473" t="str">
        <f>IF($Z37="","a",IF(AND($Z37="b",Inventory!$L44=""),"a",IF(AND($Z37="b",Inventory!$L44&lt;&gt;""),VLOOKUP(Inventory!$L44,$N$4:$O$5,2,FALSE),IF(AND($Z37="a",Inventory!$AC44=""),"a",IF(AND($Z37="a",Inventory!$AC44&lt;&gt;""),VLOOKUP(Inventory!$AC44,$N$4:$O$5,2,FALSE),IF(AND($Z37="c",Inventory!$AC44=""),"a",IF(AND($Z37="c",Inventory!$AC44&lt;&gt;""),VLOOKUP(Inventory!$AC44,$N$4:$O$5,2,FALSE),"a")))))))</f>
        <v>a</v>
      </c>
      <c r="AE37" s="474">
        <f>IF(OR(Inventory!C44="New Construction",Inventory!C44="Replace-on-Burnout"),Inventory!AF44,IF(Inventory!C44="Early Retirement",MIN(Inventory!AE44,Inventory!AF44),0))</f>
        <v>0</v>
      </c>
      <c r="AF37" s="475" t="str">
        <f t="shared" si="12"/>
        <v/>
      </c>
      <c r="AG37" s="475" t="str">
        <f t="shared" si="0"/>
        <v/>
      </c>
      <c r="AH37" s="475" t="str">
        <f t="shared" si="1"/>
        <v/>
      </c>
      <c r="AI37" s="475" t="str">
        <f t="shared" si="2"/>
        <v/>
      </c>
      <c r="AJ37" s="475" t="str">
        <f t="shared" si="3"/>
        <v/>
      </c>
      <c r="AK37" s="475" t="str">
        <f t="shared" si="13"/>
        <v/>
      </c>
      <c r="AL37" s="475" t="str">
        <f t="shared" si="14"/>
        <v/>
      </c>
      <c r="AM37" s="475" t="str">
        <f t="shared" si="15"/>
        <v/>
      </c>
      <c r="AN37" s="475" t="str">
        <f t="shared" si="16"/>
        <v/>
      </c>
      <c r="AO37" s="475" t="str">
        <f t="shared" si="17"/>
        <v/>
      </c>
      <c r="AP37" s="475" t="str">
        <f t="shared" si="18"/>
        <v/>
      </c>
      <c r="AQ37" s="475" t="str">
        <f t="shared" si="19"/>
        <v/>
      </c>
      <c r="AR37" s="475" t="str">
        <f t="shared" si="20"/>
        <v/>
      </c>
      <c r="AS37" s="475" t="str">
        <f t="shared" si="21"/>
        <v/>
      </c>
      <c r="AT37" s="475" t="str">
        <f t="shared" si="22"/>
        <v/>
      </c>
      <c r="AU37" s="475" t="str">
        <f t="shared" si="23"/>
        <v/>
      </c>
      <c r="AV37" s="475" t="str">
        <f t="shared" si="4"/>
        <v/>
      </c>
      <c r="AW37" s="473">
        <f t="shared" si="5"/>
        <v>0</v>
      </c>
      <c r="AX37" s="473" t="str">
        <f>IF(AND($Z37="b",OR($AA37="a",$AA37="b"),Inventory!$I44="",$AE37&lt;(65000/12000)),"x",IF(AND($Z37="b",OR($AA37="a",$AA37="b"),Inventory!$I44&lt;&gt;"",$AE37&lt;(65000/12000)),VLOOKUP(Inventory!$I44,$V$4:$W$5,2,FALSE),"x"))</f>
        <v>x</v>
      </c>
      <c r="AY37" s="476" t="str">
        <f t="shared" si="24"/>
        <v>aaa0</v>
      </c>
      <c r="AZ37" s="477" t="str">
        <f t="shared" si="25"/>
        <v>No</v>
      </c>
      <c r="BA37" s="759" t="str">
        <f t="shared" si="26"/>
        <v>No</v>
      </c>
      <c r="BB37" s="477">
        <f>IF($Z37="c",Inventory!$AB44,Inventory!$K44)</f>
        <v>0</v>
      </c>
      <c r="BC37" s="478">
        <f>IF(AND($Z37="b",Inventory!$N44="Btu/hr"),Inventory!$M44,IF(AND($Z37="b",Inventory!$N44="Tons"),Inventory!$M44*12000,IF(AND($Z37&lt;&gt;"b",Inventory!$AK44="Btu/hr"),Inventory!$AD44,IF(AND($Z37&lt;&gt;"b",Inventory!$AK44="Tons"),Inventory!$AD44*12000,0))))</f>
        <v>0</v>
      </c>
      <c r="BD37" s="478">
        <f t="shared" si="27"/>
        <v>0</v>
      </c>
      <c r="BE37" s="479">
        <f t="shared" si="28"/>
        <v>0</v>
      </c>
      <c r="BF37" s="477" t="s">
        <v>50</v>
      </c>
      <c r="BG37" s="479">
        <f t="shared" si="6"/>
        <v>0</v>
      </c>
      <c r="BH37" s="477" t="s">
        <v>46</v>
      </c>
      <c r="BI37" s="760">
        <f>IF(AND($Z37="b",Inventory!$P44="Btu/hr"),Inventory!$O44,IF(AND($Z37="b",Inventory!$P44="Tons"),Inventory!$O44*12000,IF(AND($Z37&lt;&gt;"b",Inventory!$AM44="Btu/hr"),Inventory!$AL44,IF(AND($Z37&lt;&gt;"b",Inventory!$AM44="Tons"),Inventory!$AL44*12000,0))))</f>
        <v>0</v>
      </c>
      <c r="BJ37" s="760">
        <f t="shared" si="29"/>
        <v>0</v>
      </c>
      <c r="BK37" s="598">
        <f t="shared" si="30"/>
        <v>0</v>
      </c>
      <c r="BL37" s="759" t="s">
        <v>567</v>
      </c>
      <c r="BM37" s="477" t="str">
        <f t="shared" si="7"/>
        <v>No</v>
      </c>
      <c r="BN37" s="477" t="str">
        <f>IF(OR(Inventory!$H44="",$BM37="No"),"-",Inventory!$H44)</f>
        <v>-</v>
      </c>
      <c r="BO37" s="477" t="str">
        <f>IFERROR(VLOOKUP(BN37,'Early Retirement'!$B$6:$C$33,2,FALSE),"-")</f>
        <v>-</v>
      </c>
      <c r="BP37" s="477" t="str">
        <f>IF(Inventory!$J44="Centrifugal","Yes","No")</f>
        <v>No</v>
      </c>
      <c r="BQ37" s="477">
        <f t="shared" si="31"/>
        <v>0</v>
      </c>
      <c r="BR37" s="477" t="str">
        <f t="shared" si="32"/>
        <v>-</v>
      </c>
      <c r="BS37" s="479">
        <f>IFERROR(INDEX('Early Retirement'!$C$4:$AC$33,$BO37,$BR37),0)</f>
        <v>0</v>
      </c>
      <c r="BT37" s="477">
        <f>IFERROR(HLOOKUP($BR37,'Early Retirement'!$D$4:$AC$5,2,FALSE),0)</f>
        <v>0</v>
      </c>
      <c r="BU37" s="761">
        <f>IFERROR(INDEX('Early Retirement'!$AE$4:$BE$33,$BO37,$BR37),0)</f>
        <v>0</v>
      </c>
      <c r="BV37" s="759">
        <f>IFERROR(HLOOKUP($BR37,'Early Retirement'!$AF$4:$BE$5,2,FALSE),0)</f>
        <v>0</v>
      </c>
      <c r="BW37" s="479">
        <f t="shared" si="41"/>
        <v>0</v>
      </c>
      <c r="BX37" s="761">
        <f t="shared" si="33"/>
        <v>0</v>
      </c>
      <c r="BY37" s="477" t="s">
        <v>46</v>
      </c>
      <c r="BZ37" s="598">
        <f>IFERROR(INDEX('Early Retirement'!$BG$4:$CG$33,$BO37,$BR37),0)</f>
        <v>0</v>
      </c>
      <c r="CA37" s="759">
        <f>IFERROR(HLOOKUP($BR37,'Early Retirement'!$BH$4:$CH$5,2,FALSE),0)</f>
        <v>0</v>
      </c>
      <c r="CB37" s="598">
        <f t="shared" si="34"/>
        <v>0</v>
      </c>
      <c r="CC37" s="759" t="s">
        <v>567</v>
      </c>
      <c r="CD37" s="477" t="str">
        <f t="shared" si="8"/>
        <v>Yes</v>
      </c>
      <c r="CE37" s="479">
        <f t="shared" si="9"/>
        <v>0</v>
      </c>
      <c r="CF37" s="761">
        <f t="shared" si="10"/>
        <v>0</v>
      </c>
      <c r="CG37" s="759" t="s">
        <v>46</v>
      </c>
      <c r="CH37" s="598">
        <f t="shared" si="35"/>
        <v>0</v>
      </c>
      <c r="CI37" s="759" t="s">
        <v>567</v>
      </c>
      <c r="CJ37" s="480">
        <f t="shared" si="36"/>
        <v>0</v>
      </c>
      <c r="CK37" s="583">
        <f t="shared" si="37"/>
        <v>0</v>
      </c>
      <c r="CL37" s="596" t="s">
        <v>46</v>
      </c>
      <c r="CM37" s="581">
        <f t="shared" si="38"/>
        <v>0</v>
      </c>
      <c r="CN37" s="762" t="s">
        <v>567</v>
      </c>
      <c r="CP37" s="90" t="s">
        <v>118</v>
      </c>
      <c r="CQ37" s="123">
        <v>11</v>
      </c>
      <c r="CR37" s="307" t="s">
        <v>50</v>
      </c>
      <c r="CS37" s="643">
        <v>11</v>
      </c>
      <c r="CT37" s="551" t="s">
        <v>50</v>
      </c>
      <c r="CU37" s="647">
        <f t="shared" si="43"/>
        <v>1.0909090909090908</v>
      </c>
      <c r="CV37" s="647">
        <f t="shared" si="43"/>
        <v>1.0909090909090908</v>
      </c>
      <c r="CW37" s="633" t="s">
        <v>46</v>
      </c>
      <c r="CX37" s="601"/>
      <c r="CY37" s="589"/>
      <c r="CZ37" s="601"/>
      <c r="DA37" s="609"/>
      <c r="DB37" s="562"/>
      <c r="DC37" s="562"/>
      <c r="DD37" s="562"/>
      <c r="DE37" s="562"/>
      <c r="DF37" s="562"/>
      <c r="DG37" s="562"/>
      <c r="DH37" s="562"/>
      <c r="DI37" s="562"/>
      <c r="DJ37" s="562"/>
      <c r="DK37" s="562"/>
      <c r="DL37" s="562"/>
      <c r="DM37" s="562"/>
      <c r="DN37" s="562"/>
      <c r="DO37" s="562"/>
      <c r="DP37" s="562"/>
      <c r="DQ37" s="562"/>
      <c r="DR37" s="562"/>
      <c r="DS37" s="562"/>
      <c r="DT37" s="562"/>
      <c r="DU37" s="562"/>
      <c r="DV37" s="562"/>
      <c r="DW37" s="562"/>
      <c r="DX37" s="562"/>
      <c r="DY37" s="562"/>
      <c r="DZ37" s="562"/>
      <c r="EA37" s="562"/>
      <c r="EB37" s="562"/>
      <c r="EC37" s="562"/>
      <c r="ED37" s="562"/>
      <c r="EE37" s="562"/>
      <c r="EF37" s="562"/>
      <c r="EG37" s="562"/>
      <c r="EH37" s="562"/>
      <c r="EI37" s="562"/>
      <c r="EJ37" s="562"/>
      <c r="EK37" s="562"/>
      <c r="EL37" s="562"/>
    </row>
    <row r="38" spans="2:142" s="78" customFormat="1" ht="15" customHeight="1" x14ac:dyDescent="0.25">
      <c r="B38" s="77"/>
      <c r="E38" s="77"/>
      <c r="H38" s="77"/>
      <c r="Q38" s="1056"/>
      <c r="R38" s="91">
        <v>150</v>
      </c>
      <c r="S38" s="91">
        <v>300</v>
      </c>
      <c r="T38" s="89">
        <v>36</v>
      </c>
      <c r="U38" s="79"/>
      <c r="V38" s="79"/>
      <c r="W38" s="79"/>
      <c r="Y38" s="90">
        <v>36</v>
      </c>
      <c r="Z38" s="472" t="str">
        <f>IF(Inventory!$C45="","",VLOOKUP(Inventory!$C45,$B$3:$C$5,2,FALSE))</f>
        <v/>
      </c>
      <c r="AA38" s="472" t="str">
        <f>IF($Z38="","",IF(AND($Z38="b",Inventory!$G45=""),"",IF(AND($Z38="b",Inventory!$G45&lt;&gt;""),VLOOKUP(Inventory!$G45,$E$3:$F$10,2,FALSE),IF(AND($Z38="a",Inventory!$Z45=""),"",IF(AND($Z38="a",Inventory!$Z45&lt;&gt;""),VLOOKUP(Inventory!$Z45,$E$3:$F$10,2,FALSE),IF(AND($Z38="c",Inventory!$Z45=""),"",IF(AND($Z38="c",Inventory!$Z45&lt;&gt;""),VLOOKUP(Inventory!$Z45,$E$3:$F$10,2,FALSE),"")))))))</f>
        <v/>
      </c>
      <c r="AB38" s="472" t="str">
        <f>IF($Z38="","a",IF(AND($Z38="b",Inventory!$J45=""),"a",IF(AND($Z38="b",Inventory!$J45&lt;&gt;""),VLOOKUP(Inventory!$J45,$H$4:$I$6,2,FALSE),IF(AND($Z38="a",Inventory!$AA45=""),"a",IF(AND($Z38="a",Inventory!$AA45&lt;&gt;""),VLOOKUP(Inventory!$AA45,$H$4:$I$6,2,FALSE),IF(AND($Z38="c",Inventory!$AA45=""),"a",IF(AND($Z38="c",Inventory!$AA45&lt;&gt;""),VLOOKUP(Inventory!$AA45,$H$4:$I$6,2,FALSE),"a")))))))</f>
        <v>a</v>
      </c>
      <c r="AC38" s="506" t="str">
        <f t="shared" si="11"/>
        <v>a</v>
      </c>
      <c r="AD38" s="473" t="str">
        <f>IF($Z38="","a",IF(AND($Z38="b",Inventory!$L45=""),"a",IF(AND($Z38="b",Inventory!$L45&lt;&gt;""),VLOOKUP(Inventory!$L45,$N$4:$O$5,2,FALSE),IF(AND($Z38="a",Inventory!$AC45=""),"a",IF(AND($Z38="a",Inventory!$AC45&lt;&gt;""),VLOOKUP(Inventory!$AC45,$N$4:$O$5,2,FALSE),IF(AND($Z38="c",Inventory!$AC45=""),"a",IF(AND($Z38="c",Inventory!$AC45&lt;&gt;""),VLOOKUP(Inventory!$AC45,$N$4:$O$5,2,FALSE),"a")))))))</f>
        <v>a</v>
      </c>
      <c r="AE38" s="474">
        <f>IF(OR(Inventory!C45="New Construction",Inventory!C45="Replace-on-Burnout"),Inventory!AF45,IF(Inventory!C45="Early Retirement",MIN(Inventory!AE45,Inventory!AF45),0))</f>
        <v>0</v>
      </c>
      <c r="AF38" s="475" t="str">
        <f t="shared" si="12"/>
        <v/>
      </c>
      <c r="AG38" s="475" t="str">
        <f t="shared" si="0"/>
        <v/>
      </c>
      <c r="AH38" s="475" t="str">
        <f t="shared" si="1"/>
        <v/>
      </c>
      <c r="AI38" s="475" t="str">
        <f t="shared" si="2"/>
        <v/>
      </c>
      <c r="AJ38" s="475" t="str">
        <f t="shared" si="3"/>
        <v/>
      </c>
      <c r="AK38" s="475" t="str">
        <f t="shared" si="13"/>
        <v/>
      </c>
      <c r="AL38" s="475" t="str">
        <f t="shared" si="14"/>
        <v/>
      </c>
      <c r="AM38" s="475" t="str">
        <f t="shared" si="15"/>
        <v/>
      </c>
      <c r="AN38" s="475" t="str">
        <f t="shared" si="16"/>
        <v/>
      </c>
      <c r="AO38" s="475" t="str">
        <f t="shared" si="17"/>
        <v/>
      </c>
      <c r="AP38" s="475" t="str">
        <f t="shared" si="18"/>
        <v/>
      </c>
      <c r="AQ38" s="475" t="str">
        <f t="shared" si="19"/>
        <v/>
      </c>
      <c r="AR38" s="475" t="str">
        <f t="shared" si="20"/>
        <v/>
      </c>
      <c r="AS38" s="475" t="str">
        <f t="shared" si="21"/>
        <v/>
      </c>
      <c r="AT38" s="475" t="str">
        <f t="shared" si="22"/>
        <v/>
      </c>
      <c r="AU38" s="475" t="str">
        <f t="shared" si="23"/>
        <v/>
      </c>
      <c r="AV38" s="475" t="str">
        <f t="shared" si="4"/>
        <v/>
      </c>
      <c r="AW38" s="473">
        <f t="shared" si="5"/>
        <v>0</v>
      </c>
      <c r="AX38" s="473" t="str">
        <f>IF(AND($Z38="b",OR($AA38="a",$AA38="b"),Inventory!$I45="",$AE38&lt;(65000/12000)),"x",IF(AND($Z38="b",OR($AA38="a",$AA38="b"),Inventory!$I45&lt;&gt;"",$AE38&lt;(65000/12000)),VLOOKUP(Inventory!$I45,$V$4:$W$5,2,FALSE),"x"))</f>
        <v>x</v>
      </c>
      <c r="AY38" s="476" t="str">
        <f t="shared" si="24"/>
        <v>aaa0</v>
      </c>
      <c r="AZ38" s="477" t="str">
        <f t="shared" si="25"/>
        <v>No</v>
      </c>
      <c r="BA38" s="759" t="str">
        <f t="shared" si="26"/>
        <v>No</v>
      </c>
      <c r="BB38" s="477">
        <f>IF($Z38="c",Inventory!$AB45,Inventory!$K45)</f>
        <v>0</v>
      </c>
      <c r="BC38" s="478">
        <f>IF(AND($Z38="b",Inventory!$N45="Btu/hr"),Inventory!$M45,IF(AND($Z38="b",Inventory!$N45="Tons"),Inventory!$M45*12000,IF(AND($Z38&lt;&gt;"b",Inventory!$AK45="Btu/hr"),Inventory!$AD45,IF(AND($Z38&lt;&gt;"b",Inventory!$AK45="Tons"),Inventory!$AD45*12000,0))))</f>
        <v>0</v>
      </c>
      <c r="BD38" s="478">
        <f t="shared" si="27"/>
        <v>0</v>
      </c>
      <c r="BE38" s="479">
        <f t="shared" si="28"/>
        <v>0</v>
      </c>
      <c r="BF38" s="477" t="s">
        <v>50</v>
      </c>
      <c r="BG38" s="479">
        <f t="shared" si="6"/>
        <v>0</v>
      </c>
      <c r="BH38" s="477" t="s">
        <v>46</v>
      </c>
      <c r="BI38" s="760">
        <f>IF(AND($Z38="b",Inventory!$P45="Btu/hr"),Inventory!$O45,IF(AND($Z38="b",Inventory!$P45="Tons"),Inventory!$O45*12000,IF(AND($Z38&lt;&gt;"b",Inventory!$AM45="Btu/hr"),Inventory!$AL45,IF(AND($Z38&lt;&gt;"b",Inventory!$AM45="Tons"),Inventory!$AL45*12000,0))))</f>
        <v>0</v>
      </c>
      <c r="BJ38" s="760">
        <f t="shared" si="29"/>
        <v>0</v>
      </c>
      <c r="BK38" s="598">
        <f t="shared" si="30"/>
        <v>0</v>
      </c>
      <c r="BL38" s="759" t="s">
        <v>567</v>
      </c>
      <c r="BM38" s="477" t="str">
        <f t="shared" si="7"/>
        <v>No</v>
      </c>
      <c r="BN38" s="477" t="str">
        <f>IF(OR(Inventory!$H45="",$BM38="No"),"-",Inventory!$H45)</f>
        <v>-</v>
      </c>
      <c r="BO38" s="477" t="str">
        <f>IFERROR(VLOOKUP(BN38,'Early Retirement'!$B$6:$C$33,2,FALSE),"-")</f>
        <v>-</v>
      </c>
      <c r="BP38" s="477" t="str">
        <f>IF(Inventory!$J45="Centrifugal","Yes","No")</f>
        <v>No</v>
      </c>
      <c r="BQ38" s="477">
        <f t="shared" si="31"/>
        <v>0</v>
      </c>
      <c r="BR38" s="477" t="str">
        <f t="shared" si="32"/>
        <v>-</v>
      </c>
      <c r="BS38" s="479">
        <f>IFERROR(INDEX('Early Retirement'!$C$4:$AC$33,$BO38,$BR38),0)</f>
        <v>0</v>
      </c>
      <c r="BT38" s="477">
        <f>IFERROR(HLOOKUP($BR38,'Early Retirement'!$D$4:$AC$5,2,FALSE),0)</f>
        <v>0</v>
      </c>
      <c r="BU38" s="761">
        <f>IFERROR(INDEX('Early Retirement'!$AE$4:$BE$33,$BO38,$BR38),0)</f>
        <v>0</v>
      </c>
      <c r="BV38" s="759">
        <f>IFERROR(HLOOKUP($BR38,'Early Retirement'!$AF$4:$BE$5,2,FALSE),0)</f>
        <v>0</v>
      </c>
      <c r="BW38" s="479">
        <f t="shared" si="41"/>
        <v>0</v>
      </c>
      <c r="BX38" s="761">
        <f t="shared" si="33"/>
        <v>0</v>
      </c>
      <c r="BY38" s="477" t="s">
        <v>46</v>
      </c>
      <c r="BZ38" s="598">
        <f>IFERROR(INDEX('Early Retirement'!$BG$4:$CG$33,$BO38,$BR38),0)</f>
        <v>0</v>
      </c>
      <c r="CA38" s="759">
        <f>IFERROR(HLOOKUP($BR38,'Early Retirement'!$BH$4:$CH$5,2,FALSE),0)</f>
        <v>0</v>
      </c>
      <c r="CB38" s="598">
        <f t="shared" si="34"/>
        <v>0</v>
      </c>
      <c r="CC38" s="759" t="s">
        <v>567</v>
      </c>
      <c r="CD38" s="477" t="str">
        <f t="shared" si="8"/>
        <v>Yes</v>
      </c>
      <c r="CE38" s="479">
        <f t="shared" si="9"/>
        <v>0</v>
      </c>
      <c r="CF38" s="761">
        <f t="shared" si="10"/>
        <v>0</v>
      </c>
      <c r="CG38" s="759" t="s">
        <v>46</v>
      </c>
      <c r="CH38" s="598">
        <f t="shared" si="35"/>
        <v>0</v>
      </c>
      <c r="CI38" s="759" t="s">
        <v>567</v>
      </c>
      <c r="CJ38" s="480">
        <f t="shared" si="36"/>
        <v>0</v>
      </c>
      <c r="CK38" s="583">
        <f t="shared" si="37"/>
        <v>0</v>
      </c>
      <c r="CL38" s="596" t="s">
        <v>46</v>
      </c>
      <c r="CM38" s="581">
        <f t="shared" si="38"/>
        <v>0</v>
      </c>
      <c r="CN38" s="762" t="s">
        <v>567</v>
      </c>
      <c r="CP38" s="90" t="s">
        <v>119</v>
      </c>
      <c r="CQ38" s="121">
        <v>10.9</v>
      </c>
      <c r="CR38" s="307" t="s">
        <v>50</v>
      </c>
      <c r="CS38" s="641">
        <v>10.9</v>
      </c>
      <c r="CT38" s="551" t="s">
        <v>50</v>
      </c>
      <c r="CU38" s="645">
        <f t="shared" si="43"/>
        <v>1.1009174311926606</v>
      </c>
      <c r="CV38" s="645">
        <f t="shared" si="43"/>
        <v>1.1009174311926606</v>
      </c>
      <c r="CW38" s="633" t="s">
        <v>46</v>
      </c>
      <c r="CX38" s="606"/>
      <c r="CY38" s="589"/>
      <c r="CZ38" s="606"/>
      <c r="DA38" s="609"/>
      <c r="DB38" s="562"/>
      <c r="DC38" s="562"/>
      <c r="DD38" s="562"/>
      <c r="DE38" s="562"/>
      <c r="DF38" s="562"/>
      <c r="DG38" s="562"/>
      <c r="DH38" s="562"/>
      <c r="DI38" s="562"/>
      <c r="DJ38" s="562"/>
      <c r="DK38" s="562"/>
      <c r="DL38" s="562"/>
      <c r="DM38" s="562"/>
      <c r="DN38" s="562"/>
      <c r="DO38" s="562"/>
      <c r="DP38" s="562"/>
      <c r="DQ38" s="562"/>
      <c r="DR38" s="562"/>
      <c r="DS38" s="562"/>
      <c r="DT38" s="562"/>
      <c r="DU38" s="562"/>
      <c r="DV38" s="562"/>
      <c r="DW38" s="562"/>
      <c r="DX38" s="562"/>
      <c r="DY38" s="562"/>
      <c r="DZ38" s="562"/>
      <c r="EA38" s="562"/>
      <c r="EB38" s="562"/>
      <c r="EC38" s="562"/>
      <c r="ED38" s="562"/>
      <c r="EE38" s="562"/>
      <c r="EF38" s="562"/>
      <c r="EG38" s="562"/>
      <c r="EH38" s="562"/>
      <c r="EI38" s="562"/>
      <c r="EJ38" s="562"/>
      <c r="EK38" s="562"/>
      <c r="EL38" s="562"/>
    </row>
    <row r="39" spans="2:142" s="78" customFormat="1" ht="15" customHeight="1" x14ac:dyDescent="0.25">
      <c r="B39" s="77"/>
      <c r="E39" s="77"/>
      <c r="H39" s="77"/>
      <c r="Q39" s="1056"/>
      <c r="R39" s="91">
        <v>300</v>
      </c>
      <c r="S39" s="91">
        <v>600</v>
      </c>
      <c r="T39" s="89">
        <v>37</v>
      </c>
      <c r="U39" s="79"/>
      <c r="V39" s="79"/>
      <c r="W39" s="79"/>
      <c r="Y39" s="90">
        <v>37</v>
      </c>
      <c r="Z39" s="472" t="str">
        <f>IF(Inventory!$C46="","",VLOOKUP(Inventory!$C46,$B$3:$C$5,2,FALSE))</f>
        <v/>
      </c>
      <c r="AA39" s="472" t="str">
        <f>IF($Z39="","",IF(AND($Z39="b",Inventory!$G46=""),"",IF(AND($Z39="b",Inventory!$G46&lt;&gt;""),VLOOKUP(Inventory!$G46,$E$3:$F$10,2,FALSE),IF(AND($Z39="a",Inventory!$Z46=""),"",IF(AND($Z39="a",Inventory!$Z46&lt;&gt;""),VLOOKUP(Inventory!$Z46,$E$3:$F$10,2,FALSE),IF(AND($Z39="c",Inventory!$Z46=""),"",IF(AND($Z39="c",Inventory!$Z46&lt;&gt;""),VLOOKUP(Inventory!$Z46,$E$3:$F$10,2,FALSE),"")))))))</f>
        <v/>
      </c>
      <c r="AB39" s="472" t="str">
        <f>IF($Z39="","a",IF(AND($Z39="b",Inventory!$J46=""),"a",IF(AND($Z39="b",Inventory!$J46&lt;&gt;""),VLOOKUP(Inventory!$J46,$H$4:$I$6,2,FALSE),IF(AND($Z39="a",Inventory!$AA46=""),"a",IF(AND($Z39="a",Inventory!$AA46&lt;&gt;""),VLOOKUP(Inventory!$AA46,$H$4:$I$6,2,FALSE),IF(AND($Z39="c",Inventory!$AA46=""),"a",IF(AND($Z39="c",Inventory!$AA46&lt;&gt;""),VLOOKUP(Inventory!$AA46,$H$4:$I$6,2,FALSE),"a")))))))</f>
        <v>a</v>
      </c>
      <c r="AC39" s="506" t="str">
        <f t="shared" si="11"/>
        <v>a</v>
      </c>
      <c r="AD39" s="473" t="str">
        <f>IF($Z39="","a",IF(AND($Z39="b",Inventory!$L46=""),"a",IF(AND($Z39="b",Inventory!$L46&lt;&gt;""),VLOOKUP(Inventory!$L46,$N$4:$O$5,2,FALSE),IF(AND($Z39="a",Inventory!$AC46=""),"a",IF(AND($Z39="a",Inventory!$AC46&lt;&gt;""),VLOOKUP(Inventory!$AC46,$N$4:$O$5,2,FALSE),IF(AND($Z39="c",Inventory!$AC46=""),"a",IF(AND($Z39="c",Inventory!$AC46&lt;&gt;""),VLOOKUP(Inventory!$AC46,$N$4:$O$5,2,FALSE),"a")))))))</f>
        <v>a</v>
      </c>
      <c r="AE39" s="474">
        <f>IF(OR(Inventory!C46="New Construction",Inventory!C46="Replace-on-Burnout"),Inventory!AF46,IF(Inventory!C46="Early Retirement",MIN(Inventory!AE46,Inventory!AF46),0))</f>
        <v>0</v>
      </c>
      <c r="AF39" s="475" t="str">
        <f t="shared" si="12"/>
        <v/>
      </c>
      <c r="AG39" s="475" t="str">
        <f t="shared" si="0"/>
        <v/>
      </c>
      <c r="AH39" s="475" t="str">
        <f t="shared" si="1"/>
        <v/>
      </c>
      <c r="AI39" s="475" t="str">
        <f t="shared" si="2"/>
        <v/>
      </c>
      <c r="AJ39" s="475" t="str">
        <f t="shared" si="3"/>
        <v/>
      </c>
      <c r="AK39" s="475" t="str">
        <f t="shared" si="13"/>
        <v/>
      </c>
      <c r="AL39" s="475" t="str">
        <f t="shared" si="14"/>
        <v/>
      </c>
      <c r="AM39" s="475" t="str">
        <f t="shared" si="15"/>
        <v/>
      </c>
      <c r="AN39" s="475" t="str">
        <f t="shared" si="16"/>
        <v/>
      </c>
      <c r="AO39" s="475" t="str">
        <f t="shared" si="17"/>
        <v/>
      </c>
      <c r="AP39" s="475" t="str">
        <f t="shared" si="18"/>
        <v/>
      </c>
      <c r="AQ39" s="475" t="str">
        <f t="shared" si="19"/>
        <v/>
      </c>
      <c r="AR39" s="475" t="str">
        <f t="shared" si="20"/>
        <v/>
      </c>
      <c r="AS39" s="475" t="str">
        <f t="shared" si="21"/>
        <v/>
      </c>
      <c r="AT39" s="475" t="str">
        <f t="shared" si="22"/>
        <v/>
      </c>
      <c r="AU39" s="475" t="str">
        <f t="shared" si="23"/>
        <v/>
      </c>
      <c r="AV39" s="475" t="str">
        <f t="shared" si="4"/>
        <v/>
      </c>
      <c r="AW39" s="473">
        <f t="shared" si="5"/>
        <v>0</v>
      </c>
      <c r="AX39" s="473" t="str">
        <f>IF(AND($Z39="b",OR($AA39="a",$AA39="b"),Inventory!$I46="",$AE39&lt;(65000/12000)),"x",IF(AND($Z39="b",OR($AA39="a",$AA39="b"),Inventory!$I46&lt;&gt;"",$AE39&lt;(65000/12000)),VLOOKUP(Inventory!$I46,$V$4:$W$5,2,FALSE),"x"))</f>
        <v>x</v>
      </c>
      <c r="AY39" s="476" t="str">
        <f t="shared" si="24"/>
        <v>aaa0</v>
      </c>
      <c r="AZ39" s="477" t="str">
        <f t="shared" si="25"/>
        <v>No</v>
      </c>
      <c r="BA39" s="759" t="str">
        <f t="shared" si="26"/>
        <v>No</v>
      </c>
      <c r="BB39" s="477">
        <f>IF($Z39="c",Inventory!$AB46,Inventory!$K46)</f>
        <v>0</v>
      </c>
      <c r="BC39" s="478">
        <f>IF(AND($Z39="b",Inventory!$N46="Btu/hr"),Inventory!$M46,IF(AND($Z39="b",Inventory!$N46="Tons"),Inventory!$M46*12000,IF(AND($Z39&lt;&gt;"b",Inventory!$AK46="Btu/hr"),Inventory!$AD46,IF(AND($Z39&lt;&gt;"b",Inventory!$AK46="Tons"),Inventory!$AD46*12000,0))))</f>
        <v>0</v>
      </c>
      <c r="BD39" s="478">
        <f t="shared" si="27"/>
        <v>0</v>
      </c>
      <c r="BE39" s="479">
        <f t="shared" si="28"/>
        <v>0</v>
      </c>
      <c r="BF39" s="477" t="s">
        <v>50</v>
      </c>
      <c r="BG39" s="479">
        <f t="shared" si="6"/>
        <v>0</v>
      </c>
      <c r="BH39" s="477" t="s">
        <v>46</v>
      </c>
      <c r="BI39" s="760">
        <f>IF(AND($Z39="b",Inventory!$P46="Btu/hr"),Inventory!$O46,IF(AND($Z39="b",Inventory!$P46="Tons"),Inventory!$O46*12000,IF(AND($Z39&lt;&gt;"b",Inventory!$AM46="Btu/hr"),Inventory!$AL46,IF(AND($Z39&lt;&gt;"b",Inventory!$AM46="Tons"),Inventory!$AL46*12000,0))))</f>
        <v>0</v>
      </c>
      <c r="BJ39" s="760">
        <f t="shared" si="29"/>
        <v>0</v>
      </c>
      <c r="BK39" s="598">
        <f t="shared" si="30"/>
        <v>0</v>
      </c>
      <c r="BL39" s="759" t="s">
        <v>567</v>
      </c>
      <c r="BM39" s="477" t="str">
        <f t="shared" si="7"/>
        <v>No</v>
      </c>
      <c r="BN39" s="477" t="str">
        <f>IF(OR(Inventory!$H46="",$BM39="No"),"-",Inventory!$H46)</f>
        <v>-</v>
      </c>
      <c r="BO39" s="477" t="str">
        <f>IFERROR(VLOOKUP(BN39,'Early Retirement'!$B$6:$C$33,2,FALSE),"-")</f>
        <v>-</v>
      </c>
      <c r="BP39" s="477" t="str">
        <f>IF(Inventory!$J46="Centrifugal","Yes","No")</f>
        <v>No</v>
      </c>
      <c r="BQ39" s="477">
        <f t="shared" si="31"/>
        <v>0</v>
      </c>
      <c r="BR39" s="477" t="str">
        <f t="shared" si="32"/>
        <v>-</v>
      </c>
      <c r="BS39" s="479">
        <f>IFERROR(INDEX('Early Retirement'!$C$4:$AC$33,$BO39,$BR39),0)</f>
        <v>0</v>
      </c>
      <c r="BT39" s="477">
        <f>IFERROR(HLOOKUP($BR39,'Early Retirement'!$D$4:$AC$5,2,FALSE),0)</f>
        <v>0</v>
      </c>
      <c r="BU39" s="761">
        <f>IFERROR(INDEX('Early Retirement'!$AE$4:$BE$33,$BO39,$BR39),0)</f>
        <v>0</v>
      </c>
      <c r="BV39" s="759">
        <f>IFERROR(HLOOKUP($BR39,'Early Retirement'!$AF$4:$BE$5,2,FALSE),0)</f>
        <v>0</v>
      </c>
      <c r="BW39" s="479">
        <f t="shared" si="41"/>
        <v>0</v>
      </c>
      <c r="BX39" s="761">
        <f t="shared" si="33"/>
        <v>0</v>
      </c>
      <c r="BY39" s="477" t="s">
        <v>46</v>
      </c>
      <c r="BZ39" s="598">
        <f>IFERROR(INDEX('Early Retirement'!$BG$4:$CG$33,$BO39,$BR39),0)</f>
        <v>0</v>
      </c>
      <c r="CA39" s="759">
        <f>IFERROR(HLOOKUP($BR39,'Early Retirement'!$BH$4:$CH$5,2,FALSE),0)</f>
        <v>0</v>
      </c>
      <c r="CB39" s="598">
        <f t="shared" si="34"/>
        <v>0</v>
      </c>
      <c r="CC39" s="759" t="s">
        <v>567</v>
      </c>
      <c r="CD39" s="477" t="str">
        <f t="shared" si="8"/>
        <v>Yes</v>
      </c>
      <c r="CE39" s="479">
        <f t="shared" si="9"/>
        <v>0</v>
      </c>
      <c r="CF39" s="761">
        <f t="shared" si="10"/>
        <v>0</v>
      </c>
      <c r="CG39" s="759" t="s">
        <v>46</v>
      </c>
      <c r="CH39" s="598">
        <f t="shared" si="35"/>
        <v>0</v>
      </c>
      <c r="CI39" s="759" t="s">
        <v>567</v>
      </c>
      <c r="CJ39" s="480">
        <f t="shared" si="36"/>
        <v>0</v>
      </c>
      <c r="CK39" s="583">
        <f t="shared" si="37"/>
        <v>0</v>
      </c>
      <c r="CL39" s="596" t="s">
        <v>46</v>
      </c>
      <c r="CM39" s="581">
        <f t="shared" si="38"/>
        <v>0</v>
      </c>
      <c r="CN39" s="762" t="s">
        <v>567</v>
      </c>
      <c r="CP39" s="90" t="s">
        <v>120</v>
      </c>
      <c r="CQ39" s="121">
        <v>10.7</v>
      </c>
      <c r="CR39" s="307" t="s">
        <v>50</v>
      </c>
      <c r="CS39" s="641">
        <v>10.7</v>
      </c>
      <c r="CT39" s="551" t="s">
        <v>50</v>
      </c>
      <c r="CU39" s="645">
        <f t="shared" si="43"/>
        <v>1.1214953271028039</v>
      </c>
      <c r="CV39" s="645">
        <f t="shared" si="43"/>
        <v>1.1214953271028039</v>
      </c>
      <c r="CW39" s="633" t="s">
        <v>46</v>
      </c>
      <c r="CX39" s="606"/>
      <c r="CY39" s="589"/>
      <c r="CZ39" s="606"/>
      <c r="DA39" s="609"/>
      <c r="DB39" s="562"/>
      <c r="DC39" s="562"/>
      <c r="DD39" s="562"/>
      <c r="DE39" s="562"/>
      <c r="DF39" s="562"/>
      <c r="DG39" s="562"/>
      <c r="DH39" s="562"/>
      <c r="DI39" s="562"/>
      <c r="DJ39" s="562"/>
      <c r="DK39" s="562"/>
      <c r="DL39" s="562"/>
      <c r="DM39" s="562"/>
      <c r="DN39" s="562"/>
      <c r="DO39" s="562"/>
      <c r="DP39" s="562"/>
      <c r="DQ39" s="562"/>
      <c r="DR39" s="562"/>
      <c r="DS39" s="562"/>
      <c r="DT39" s="562"/>
      <c r="DU39" s="562"/>
      <c r="DV39" s="562"/>
      <c r="DW39" s="562"/>
      <c r="DX39" s="562"/>
      <c r="DY39" s="562"/>
      <c r="DZ39" s="562"/>
      <c r="EA39" s="562"/>
      <c r="EB39" s="562"/>
      <c r="EC39" s="562"/>
      <c r="ED39" s="562"/>
      <c r="EE39" s="562"/>
      <c r="EF39" s="562"/>
      <c r="EG39" s="562"/>
      <c r="EH39" s="562"/>
      <c r="EI39" s="562"/>
      <c r="EJ39" s="562"/>
      <c r="EK39" s="562"/>
      <c r="EL39" s="562"/>
    </row>
    <row r="40" spans="2:142" s="78" customFormat="1" ht="15" customHeight="1" x14ac:dyDescent="0.25">
      <c r="B40" s="77"/>
      <c r="E40" s="77"/>
      <c r="H40" s="77"/>
      <c r="Q40" s="1057"/>
      <c r="R40" s="91">
        <v>600</v>
      </c>
      <c r="S40" s="98"/>
      <c r="T40" s="89">
        <v>38</v>
      </c>
      <c r="U40" s="79"/>
      <c r="V40" s="79"/>
      <c r="W40" s="79"/>
      <c r="Y40" s="90">
        <v>38</v>
      </c>
      <c r="Z40" s="472" t="str">
        <f>IF(Inventory!$C47="","",VLOOKUP(Inventory!$C47,$B$3:$C$5,2,FALSE))</f>
        <v/>
      </c>
      <c r="AA40" s="472" t="str">
        <f>IF($Z40="","",IF(AND($Z40="b",Inventory!$G47=""),"",IF(AND($Z40="b",Inventory!$G47&lt;&gt;""),VLOOKUP(Inventory!$G47,$E$3:$F$10,2,FALSE),IF(AND($Z40="a",Inventory!$Z47=""),"",IF(AND($Z40="a",Inventory!$Z47&lt;&gt;""),VLOOKUP(Inventory!$Z47,$E$3:$F$10,2,FALSE),IF(AND($Z40="c",Inventory!$Z47=""),"",IF(AND($Z40="c",Inventory!$Z47&lt;&gt;""),VLOOKUP(Inventory!$Z47,$E$3:$F$10,2,FALSE),"")))))))</f>
        <v/>
      </c>
      <c r="AB40" s="472" t="str">
        <f>IF($Z40="","a",IF(AND($Z40="b",Inventory!$J47=""),"a",IF(AND($Z40="b",Inventory!$J47&lt;&gt;""),VLOOKUP(Inventory!$J47,$H$4:$I$6,2,FALSE),IF(AND($Z40="a",Inventory!$AA47=""),"a",IF(AND($Z40="a",Inventory!$AA47&lt;&gt;""),VLOOKUP(Inventory!$AA47,$H$4:$I$6,2,FALSE),IF(AND($Z40="c",Inventory!$AA47=""),"a",IF(AND($Z40="c",Inventory!$AA47&lt;&gt;""),VLOOKUP(Inventory!$AA47,$H$4:$I$6,2,FALSE),"a")))))))</f>
        <v>a</v>
      </c>
      <c r="AC40" s="506" t="str">
        <f t="shared" si="11"/>
        <v>a</v>
      </c>
      <c r="AD40" s="473" t="str">
        <f>IF($Z40="","a",IF(AND($Z40="b",Inventory!$L47=""),"a",IF(AND($Z40="b",Inventory!$L47&lt;&gt;""),VLOOKUP(Inventory!$L47,$N$4:$O$5,2,FALSE),IF(AND($Z40="a",Inventory!$AC47=""),"a",IF(AND($Z40="a",Inventory!$AC47&lt;&gt;""),VLOOKUP(Inventory!$AC47,$N$4:$O$5,2,FALSE),IF(AND($Z40="c",Inventory!$AC47=""),"a",IF(AND($Z40="c",Inventory!$AC47&lt;&gt;""),VLOOKUP(Inventory!$AC47,$N$4:$O$5,2,FALSE),"a")))))))</f>
        <v>a</v>
      </c>
      <c r="AE40" s="474">
        <f>IF(OR(Inventory!C47="New Construction",Inventory!C47="Replace-on-Burnout"),Inventory!AF47,IF(Inventory!C47="Early Retirement",MIN(Inventory!AE47,Inventory!AF47),0))</f>
        <v>0</v>
      </c>
      <c r="AF40" s="475" t="str">
        <f t="shared" si="12"/>
        <v/>
      </c>
      <c r="AG40" s="475" t="str">
        <f t="shared" si="0"/>
        <v/>
      </c>
      <c r="AH40" s="475" t="str">
        <f t="shared" si="1"/>
        <v/>
      </c>
      <c r="AI40" s="475" t="str">
        <f t="shared" si="2"/>
        <v/>
      </c>
      <c r="AJ40" s="475" t="str">
        <f t="shared" si="3"/>
        <v/>
      </c>
      <c r="AK40" s="475" t="str">
        <f t="shared" si="13"/>
        <v/>
      </c>
      <c r="AL40" s="475" t="str">
        <f t="shared" si="14"/>
        <v/>
      </c>
      <c r="AM40" s="475" t="str">
        <f t="shared" si="15"/>
        <v/>
      </c>
      <c r="AN40" s="475" t="str">
        <f t="shared" si="16"/>
        <v/>
      </c>
      <c r="AO40" s="475" t="str">
        <f t="shared" si="17"/>
        <v/>
      </c>
      <c r="AP40" s="475" t="str">
        <f t="shared" si="18"/>
        <v/>
      </c>
      <c r="AQ40" s="475" t="str">
        <f t="shared" si="19"/>
        <v/>
      </c>
      <c r="AR40" s="475" t="str">
        <f t="shared" si="20"/>
        <v/>
      </c>
      <c r="AS40" s="475" t="str">
        <f t="shared" si="21"/>
        <v/>
      </c>
      <c r="AT40" s="475" t="str">
        <f t="shared" si="22"/>
        <v/>
      </c>
      <c r="AU40" s="475" t="str">
        <f t="shared" si="23"/>
        <v/>
      </c>
      <c r="AV40" s="475" t="str">
        <f t="shared" si="4"/>
        <v/>
      </c>
      <c r="AW40" s="473">
        <f t="shared" si="5"/>
        <v>0</v>
      </c>
      <c r="AX40" s="473" t="str">
        <f>IF(AND($Z40="b",OR($AA40="a",$AA40="b"),Inventory!$I47="",$AE40&lt;(65000/12000)),"x",IF(AND($Z40="b",OR($AA40="a",$AA40="b"),Inventory!$I47&lt;&gt;"",$AE40&lt;(65000/12000)),VLOOKUP(Inventory!$I47,$V$4:$W$5,2,FALSE),"x"))</f>
        <v>x</v>
      </c>
      <c r="AY40" s="476" t="str">
        <f t="shared" si="24"/>
        <v>aaa0</v>
      </c>
      <c r="AZ40" s="477" t="str">
        <f t="shared" si="25"/>
        <v>No</v>
      </c>
      <c r="BA40" s="759" t="str">
        <f t="shared" si="26"/>
        <v>No</v>
      </c>
      <c r="BB40" s="477">
        <f>IF($Z40="c",Inventory!$AB47,Inventory!$K47)</f>
        <v>0</v>
      </c>
      <c r="BC40" s="478">
        <f>IF(AND($Z40="b",Inventory!$N47="Btu/hr"),Inventory!$M47,IF(AND($Z40="b",Inventory!$N47="Tons"),Inventory!$M47*12000,IF(AND($Z40&lt;&gt;"b",Inventory!$AK47="Btu/hr"),Inventory!$AD47,IF(AND($Z40&lt;&gt;"b",Inventory!$AK47="Tons"),Inventory!$AD47*12000,0))))</f>
        <v>0</v>
      </c>
      <c r="BD40" s="478">
        <f t="shared" si="27"/>
        <v>0</v>
      </c>
      <c r="BE40" s="479">
        <f t="shared" si="28"/>
        <v>0</v>
      </c>
      <c r="BF40" s="477" t="s">
        <v>50</v>
      </c>
      <c r="BG40" s="479">
        <f t="shared" si="6"/>
        <v>0</v>
      </c>
      <c r="BH40" s="477" t="s">
        <v>46</v>
      </c>
      <c r="BI40" s="760">
        <f>IF(AND($Z40="b",Inventory!$P47="Btu/hr"),Inventory!$O47,IF(AND($Z40="b",Inventory!$P47="Tons"),Inventory!$O47*12000,IF(AND($Z40&lt;&gt;"b",Inventory!$AM47="Btu/hr"),Inventory!$AL47,IF(AND($Z40&lt;&gt;"b",Inventory!$AM47="Tons"),Inventory!$AL47*12000,0))))</f>
        <v>0</v>
      </c>
      <c r="BJ40" s="760">
        <f t="shared" si="29"/>
        <v>0</v>
      </c>
      <c r="BK40" s="598">
        <f t="shared" si="30"/>
        <v>0</v>
      </c>
      <c r="BL40" s="759" t="s">
        <v>567</v>
      </c>
      <c r="BM40" s="477" t="str">
        <f t="shared" si="7"/>
        <v>No</v>
      </c>
      <c r="BN40" s="477" t="str">
        <f>IF(OR(Inventory!$H47="",$BM40="No"),"-",Inventory!$H47)</f>
        <v>-</v>
      </c>
      <c r="BO40" s="477" t="str">
        <f>IFERROR(VLOOKUP(BN40,'Early Retirement'!$B$6:$C$33,2,FALSE),"-")</f>
        <v>-</v>
      </c>
      <c r="BP40" s="477" t="str">
        <f>IF(Inventory!$J47="Centrifugal","Yes","No")</f>
        <v>No</v>
      </c>
      <c r="BQ40" s="477">
        <f t="shared" si="31"/>
        <v>0</v>
      </c>
      <c r="BR40" s="477" t="str">
        <f t="shared" si="32"/>
        <v>-</v>
      </c>
      <c r="BS40" s="479">
        <f>IFERROR(INDEX('Early Retirement'!$C$4:$AC$33,$BO40,$BR40),0)</f>
        <v>0</v>
      </c>
      <c r="BT40" s="477">
        <f>IFERROR(HLOOKUP($BR40,'Early Retirement'!$D$4:$AC$5,2,FALSE),0)</f>
        <v>0</v>
      </c>
      <c r="BU40" s="761">
        <f>IFERROR(INDEX('Early Retirement'!$AE$4:$BE$33,$BO40,$BR40),0)</f>
        <v>0</v>
      </c>
      <c r="BV40" s="759">
        <f>IFERROR(HLOOKUP($BR40,'Early Retirement'!$AF$4:$BE$5,2,FALSE),0)</f>
        <v>0</v>
      </c>
      <c r="BW40" s="479">
        <f t="shared" si="41"/>
        <v>0</v>
      </c>
      <c r="BX40" s="761">
        <f t="shared" si="33"/>
        <v>0</v>
      </c>
      <c r="BY40" s="477" t="s">
        <v>46</v>
      </c>
      <c r="BZ40" s="598">
        <f>IFERROR(INDEX('Early Retirement'!$BG$4:$CG$33,$BO40,$BR40),0)</f>
        <v>0</v>
      </c>
      <c r="CA40" s="759">
        <f>IFERROR(HLOOKUP($BR40,'Early Retirement'!$BH$4:$CH$5,2,FALSE),0)</f>
        <v>0</v>
      </c>
      <c r="CB40" s="598">
        <f t="shared" si="34"/>
        <v>0</v>
      </c>
      <c r="CC40" s="759" t="s">
        <v>567</v>
      </c>
      <c r="CD40" s="477" t="str">
        <f t="shared" si="8"/>
        <v>Yes</v>
      </c>
      <c r="CE40" s="479">
        <f t="shared" si="9"/>
        <v>0</v>
      </c>
      <c r="CF40" s="761">
        <f t="shared" si="10"/>
        <v>0</v>
      </c>
      <c r="CG40" s="759" t="s">
        <v>46</v>
      </c>
      <c r="CH40" s="598">
        <f t="shared" si="35"/>
        <v>0</v>
      </c>
      <c r="CI40" s="759" t="s">
        <v>567</v>
      </c>
      <c r="CJ40" s="480">
        <f t="shared" si="36"/>
        <v>0</v>
      </c>
      <c r="CK40" s="583">
        <f t="shared" si="37"/>
        <v>0</v>
      </c>
      <c r="CL40" s="596" t="s">
        <v>46</v>
      </c>
      <c r="CM40" s="581">
        <f t="shared" si="38"/>
        <v>0</v>
      </c>
      <c r="CN40" s="762" t="s">
        <v>567</v>
      </c>
      <c r="CP40" s="90" t="s">
        <v>124</v>
      </c>
      <c r="CQ40" s="121">
        <v>9.4</v>
      </c>
      <c r="CR40" s="307" t="s">
        <v>50</v>
      </c>
      <c r="CS40" s="641">
        <v>9.4</v>
      </c>
      <c r="CT40" s="551" t="s">
        <v>50</v>
      </c>
      <c r="CU40" s="645">
        <f t="shared" si="43"/>
        <v>1.2765957446808509</v>
      </c>
      <c r="CV40" s="645">
        <f t="shared" si="43"/>
        <v>1.2765957446808509</v>
      </c>
      <c r="CW40" s="633" t="s">
        <v>46</v>
      </c>
      <c r="CX40" s="606"/>
      <c r="CY40" s="589"/>
      <c r="CZ40" s="606"/>
      <c r="DA40" s="609"/>
      <c r="DB40" s="562"/>
      <c r="DC40" s="562"/>
      <c r="DD40" s="562"/>
      <c r="DE40" s="562"/>
      <c r="DF40" s="562"/>
      <c r="DG40" s="562"/>
      <c r="DH40" s="562"/>
      <c r="DI40" s="562"/>
      <c r="DJ40" s="562"/>
      <c r="DK40" s="562"/>
      <c r="DL40" s="562"/>
      <c r="DM40" s="562"/>
      <c r="DN40" s="562"/>
      <c r="DO40" s="562"/>
      <c r="DP40" s="562"/>
      <c r="DQ40" s="562"/>
      <c r="DR40" s="562"/>
      <c r="DS40" s="562"/>
      <c r="DT40" s="562"/>
      <c r="DU40" s="562"/>
      <c r="DV40" s="562"/>
      <c r="DW40" s="562"/>
      <c r="DX40" s="562"/>
      <c r="DY40" s="562"/>
      <c r="DZ40" s="562"/>
      <c r="EA40" s="562"/>
      <c r="EB40" s="562"/>
      <c r="EC40" s="562"/>
      <c r="ED40" s="562"/>
      <c r="EE40" s="562"/>
      <c r="EF40" s="562"/>
      <c r="EG40" s="562"/>
      <c r="EH40" s="562"/>
      <c r="EI40" s="562"/>
      <c r="EJ40" s="562"/>
      <c r="EK40" s="562"/>
      <c r="EL40" s="562"/>
    </row>
    <row r="41" spans="2:142" s="78" customFormat="1" ht="15" customHeight="1" x14ac:dyDescent="0.25">
      <c r="B41" s="77"/>
      <c r="E41" s="77"/>
      <c r="H41" s="77"/>
      <c r="Q41" s="1055" t="s">
        <v>84</v>
      </c>
      <c r="R41" s="91">
        <v>0</v>
      </c>
      <c r="S41" s="91">
        <v>75</v>
      </c>
      <c r="T41" s="89">
        <v>39</v>
      </c>
      <c r="U41" s="79"/>
      <c r="V41" s="79"/>
      <c r="W41" s="79"/>
      <c r="Y41" s="90">
        <v>39</v>
      </c>
      <c r="Z41" s="472" t="str">
        <f>IF(Inventory!$C48="","",VLOOKUP(Inventory!$C48,$B$3:$C$5,2,FALSE))</f>
        <v/>
      </c>
      <c r="AA41" s="472" t="str">
        <f>IF($Z41="","",IF(AND($Z41="b",Inventory!$G48=""),"",IF(AND($Z41="b",Inventory!$G48&lt;&gt;""),VLOOKUP(Inventory!$G48,$E$3:$F$10,2,FALSE),IF(AND($Z41="a",Inventory!$Z48=""),"",IF(AND($Z41="a",Inventory!$Z48&lt;&gt;""),VLOOKUP(Inventory!$Z48,$E$3:$F$10,2,FALSE),IF(AND($Z41="c",Inventory!$Z48=""),"",IF(AND($Z41="c",Inventory!$Z48&lt;&gt;""),VLOOKUP(Inventory!$Z48,$E$3:$F$10,2,FALSE),"")))))))</f>
        <v/>
      </c>
      <c r="AB41" s="472" t="str">
        <f>IF($Z41="","a",IF(AND($Z41="b",Inventory!$J48=""),"a",IF(AND($Z41="b",Inventory!$J48&lt;&gt;""),VLOOKUP(Inventory!$J48,$H$4:$I$6,2,FALSE),IF(AND($Z41="a",Inventory!$AA48=""),"a",IF(AND($Z41="a",Inventory!$AA48&lt;&gt;""),VLOOKUP(Inventory!$AA48,$H$4:$I$6,2,FALSE),IF(AND($Z41="c",Inventory!$AA48=""),"a",IF(AND($Z41="c",Inventory!$AA48&lt;&gt;""),VLOOKUP(Inventory!$AA48,$H$4:$I$6,2,FALSE),"a")))))))</f>
        <v>a</v>
      </c>
      <c r="AC41" s="506" t="str">
        <f t="shared" si="11"/>
        <v>a</v>
      </c>
      <c r="AD41" s="473" t="str">
        <f>IF($Z41="","a",IF(AND($Z41="b",Inventory!$L48=""),"a",IF(AND($Z41="b",Inventory!$L48&lt;&gt;""),VLOOKUP(Inventory!$L48,$N$4:$O$5,2,FALSE),IF(AND($Z41="a",Inventory!$AC48=""),"a",IF(AND($Z41="a",Inventory!$AC48&lt;&gt;""),VLOOKUP(Inventory!$AC48,$N$4:$O$5,2,FALSE),IF(AND($Z41="c",Inventory!$AC48=""),"a",IF(AND($Z41="c",Inventory!$AC48&lt;&gt;""),VLOOKUP(Inventory!$AC48,$N$4:$O$5,2,FALSE),"a")))))))</f>
        <v>a</v>
      </c>
      <c r="AE41" s="474">
        <f>IF(OR(Inventory!C48="New Construction",Inventory!C48="Replace-on-Burnout"),Inventory!AF48,IF(Inventory!C48="Early Retirement",MIN(Inventory!AE48,Inventory!AF48),0))</f>
        <v>0</v>
      </c>
      <c r="AF41" s="475" t="str">
        <f t="shared" si="12"/>
        <v/>
      </c>
      <c r="AG41" s="475" t="str">
        <f t="shared" si="0"/>
        <v/>
      </c>
      <c r="AH41" s="475" t="str">
        <f t="shared" si="1"/>
        <v/>
      </c>
      <c r="AI41" s="475" t="str">
        <f t="shared" si="2"/>
        <v/>
      </c>
      <c r="AJ41" s="475" t="str">
        <f t="shared" si="3"/>
        <v/>
      </c>
      <c r="AK41" s="475" t="str">
        <f t="shared" si="13"/>
        <v/>
      </c>
      <c r="AL41" s="475" t="str">
        <f t="shared" si="14"/>
        <v/>
      </c>
      <c r="AM41" s="475" t="str">
        <f t="shared" si="15"/>
        <v/>
      </c>
      <c r="AN41" s="475" t="str">
        <f t="shared" si="16"/>
        <v/>
      </c>
      <c r="AO41" s="475" t="str">
        <f t="shared" si="17"/>
        <v/>
      </c>
      <c r="AP41" s="475" t="str">
        <f t="shared" si="18"/>
        <v/>
      </c>
      <c r="AQ41" s="475" t="str">
        <f t="shared" si="19"/>
        <v/>
      </c>
      <c r="AR41" s="475" t="str">
        <f t="shared" si="20"/>
        <v/>
      </c>
      <c r="AS41" s="475" t="str">
        <f t="shared" si="21"/>
        <v/>
      </c>
      <c r="AT41" s="475" t="str">
        <f t="shared" si="22"/>
        <v/>
      </c>
      <c r="AU41" s="475" t="str">
        <f t="shared" si="23"/>
        <v/>
      </c>
      <c r="AV41" s="475" t="str">
        <f t="shared" si="4"/>
        <v/>
      </c>
      <c r="AW41" s="473">
        <f t="shared" si="5"/>
        <v>0</v>
      </c>
      <c r="AX41" s="473" t="str">
        <f>IF(AND($Z41="b",OR($AA41="a",$AA41="b"),Inventory!$I48="",$AE41&lt;(65000/12000)),"x",IF(AND($Z41="b",OR($AA41="a",$AA41="b"),Inventory!$I48&lt;&gt;"",$AE41&lt;(65000/12000)),VLOOKUP(Inventory!$I48,$V$4:$W$5,2,FALSE),"x"))</f>
        <v>x</v>
      </c>
      <c r="AY41" s="476" t="str">
        <f t="shared" si="24"/>
        <v>aaa0</v>
      </c>
      <c r="AZ41" s="477" t="str">
        <f t="shared" si="25"/>
        <v>No</v>
      </c>
      <c r="BA41" s="759" t="str">
        <f t="shared" si="26"/>
        <v>No</v>
      </c>
      <c r="BB41" s="477">
        <f>IF($Z41="c",Inventory!$AB48,Inventory!$K48)</f>
        <v>0</v>
      </c>
      <c r="BC41" s="478">
        <f>IF(AND($Z41="b",Inventory!$N48="Btu/hr"),Inventory!$M48,IF(AND($Z41="b",Inventory!$N48="Tons"),Inventory!$M48*12000,IF(AND($Z41&lt;&gt;"b",Inventory!$AK48="Btu/hr"),Inventory!$AD48,IF(AND($Z41&lt;&gt;"b",Inventory!$AK48="Tons"),Inventory!$AD48*12000,0))))</f>
        <v>0</v>
      </c>
      <c r="BD41" s="478">
        <f t="shared" si="27"/>
        <v>0</v>
      </c>
      <c r="BE41" s="479">
        <f t="shared" si="28"/>
        <v>0</v>
      </c>
      <c r="BF41" s="477" t="s">
        <v>50</v>
      </c>
      <c r="BG41" s="479">
        <f t="shared" si="6"/>
        <v>0</v>
      </c>
      <c r="BH41" s="477" t="s">
        <v>46</v>
      </c>
      <c r="BI41" s="760">
        <f>IF(AND($Z41="b",Inventory!$P48="Btu/hr"),Inventory!$O48,IF(AND($Z41="b",Inventory!$P48="Tons"),Inventory!$O48*12000,IF(AND($Z41&lt;&gt;"b",Inventory!$AM48="Btu/hr"),Inventory!$AL48,IF(AND($Z41&lt;&gt;"b",Inventory!$AM48="Tons"),Inventory!$AL48*12000,0))))</f>
        <v>0</v>
      </c>
      <c r="BJ41" s="760">
        <f t="shared" si="29"/>
        <v>0</v>
      </c>
      <c r="BK41" s="598">
        <f t="shared" si="30"/>
        <v>0</v>
      </c>
      <c r="BL41" s="759" t="s">
        <v>567</v>
      </c>
      <c r="BM41" s="477" t="str">
        <f t="shared" si="7"/>
        <v>No</v>
      </c>
      <c r="BN41" s="477" t="str">
        <f>IF(OR(Inventory!$H48="",$BM41="No"),"-",Inventory!$H48)</f>
        <v>-</v>
      </c>
      <c r="BO41" s="477" t="str">
        <f>IFERROR(VLOOKUP(BN41,'Early Retirement'!$B$6:$C$33,2,FALSE),"-")</f>
        <v>-</v>
      </c>
      <c r="BP41" s="477" t="str">
        <f>IF(Inventory!$J48="Centrifugal","Yes","No")</f>
        <v>No</v>
      </c>
      <c r="BQ41" s="477">
        <f t="shared" si="31"/>
        <v>0</v>
      </c>
      <c r="BR41" s="477" t="str">
        <f t="shared" si="32"/>
        <v>-</v>
      </c>
      <c r="BS41" s="479">
        <f>IFERROR(INDEX('Early Retirement'!$C$4:$AC$33,$BO41,$BR41),0)</f>
        <v>0</v>
      </c>
      <c r="BT41" s="477">
        <f>IFERROR(HLOOKUP($BR41,'Early Retirement'!$D$4:$AC$5,2,FALSE),0)</f>
        <v>0</v>
      </c>
      <c r="BU41" s="761">
        <f>IFERROR(INDEX('Early Retirement'!$AE$4:$BE$33,$BO41,$BR41),0)</f>
        <v>0</v>
      </c>
      <c r="BV41" s="759">
        <f>IFERROR(HLOOKUP($BR41,'Early Retirement'!$AF$4:$BE$5,2,FALSE),0)</f>
        <v>0</v>
      </c>
      <c r="BW41" s="479">
        <f t="shared" si="41"/>
        <v>0</v>
      </c>
      <c r="BX41" s="761">
        <f t="shared" si="33"/>
        <v>0</v>
      </c>
      <c r="BY41" s="477" t="s">
        <v>46</v>
      </c>
      <c r="BZ41" s="598">
        <f>IFERROR(INDEX('Early Retirement'!$BG$4:$CG$33,$BO41,$BR41),0)</f>
        <v>0</v>
      </c>
      <c r="CA41" s="759">
        <f>IFERROR(HLOOKUP($BR41,'Early Retirement'!$BH$4:$CH$5,2,FALSE),0)</f>
        <v>0</v>
      </c>
      <c r="CB41" s="598">
        <f t="shared" si="34"/>
        <v>0</v>
      </c>
      <c r="CC41" s="759" t="s">
        <v>567</v>
      </c>
      <c r="CD41" s="477" t="str">
        <f t="shared" si="8"/>
        <v>Yes</v>
      </c>
      <c r="CE41" s="479">
        <f t="shared" si="9"/>
        <v>0</v>
      </c>
      <c r="CF41" s="761">
        <f t="shared" si="10"/>
        <v>0</v>
      </c>
      <c r="CG41" s="759" t="s">
        <v>46</v>
      </c>
      <c r="CH41" s="598">
        <f t="shared" si="35"/>
        <v>0</v>
      </c>
      <c r="CI41" s="759" t="s">
        <v>567</v>
      </c>
      <c r="CJ41" s="480">
        <f t="shared" si="36"/>
        <v>0</v>
      </c>
      <c r="CK41" s="583">
        <f t="shared" si="37"/>
        <v>0</v>
      </c>
      <c r="CL41" s="596" t="s">
        <v>46</v>
      </c>
      <c r="CM41" s="581">
        <f t="shared" si="38"/>
        <v>0</v>
      </c>
      <c r="CN41" s="762" t="s">
        <v>567</v>
      </c>
      <c r="CP41" s="90" t="s">
        <v>162</v>
      </c>
      <c r="CQ41" s="121">
        <v>9</v>
      </c>
      <c r="CR41" s="307" t="s">
        <v>50</v>
      </c>
      <c r="CS41" s="641">
        <v>9</v>
      </c>
      <c r="CT41" s="551" t="s">
        <v>50</v>
      </c>
      <c r="CU41" s="645">
        <f t="shared" si="43"/>
        <v>1.3333333333333333</v>
      </c>
      <c r="CV41" s="645">
        <f t="shared" si="43"/>
        <v>1.3333333333333333</v>
      </c>
      <c r="CW41" s="633" t="s">
        <v>46</v>
      </c>
      <c r="CX41" s="606"/>
      <c r="CY41" s="589"/>
      <c r="CZ41" s="606"/>
      <c r="DA41" s="609"/>
      <c r="DB41" s="562"/>
      <c r="DC41" s="562"/>
      <c r="DD41" s="562"/>
      <c r="DE41" s="562"/>
      <c r="DF41" s="562"/>
      <c r="DG41" s="562"/>
      <c r="DH41" s="562"/>
      <c r="DI41" s="562"/>
      <c r="DJ41" s="562"/>
      <c r="DK41" s="562"/>
      <c r="DL41" s="562"/>
      <c r="DM41" s="562"/>
      <c r="DN41" s="562"/>
      <c r="DO41" s="562"/>
      <c r="DP41" s="562"/>
      <c r="DQ41" s="562"/>
      <c r="DR41" s="562"/>
      <c r="DS41" s="562"/>
      <c r="DT41" s="562"/>
      <c r="DU41" s="562"/>
      <c r="DV41" s="562"/>
      <c r="DW41" s="562"/>
      <c r="DX41" s="562"/>
      <c r="DY41" s="562"/>
      <c r="DZ41" s="562"/>
      <c r="EA41" s="562"/>
      <c r="EB41" s="562"/>
      <c r="EC41" s="562"/>
      <c r="ED41" s="562"/>
      <c r="EE41" s="562"/>
      <c r="EF41" s="562"/>
      <c r="EG41" s="562"/>
      <c r="EH41" s="562"/>
      <c r="EI41" s="562"/>
      <c r="EJ41" s="562"/>
      <c r="EK41" s="562"/>
      <c r="EL41" s="562"/>
    </row>
    <row r="42" spans="2:142" s="78" customFormat="1" ht="15" customHeight="1" x14ac:dyDescent="0.25">
      <c r="B42" s="77"/>
      <c r="E42" s="77"/>
      <c r="H42" s="77"/>
      <c r="Q42" s="1056"/>
      <c r="R42" s="91">
        <v>75</v>
      </c>
      <c r="S42" s="91">
        <v>150</v>
      </c>
      <c r="T42" s="89">
        <v>40</v>
      </c>
      <c r="U42" s="79"/>
      <c r="V42" s="79"/>
      <c r="W42" s="79"/>
      <c r="Y42" s="90">
        <v>40</v>
      </c>
      <c r="Z42" s="472" t="str">
        <f>IF(Inventory!$C49="","",VLOOKUP(Inventory!$C49,$B$3:$C$5,2,FALSE))</f>
        <v/>
      </c>
      <c r="AA42" s="472" t="str">
        <f>IF($Z42="","",IF(AND($Z42="b",Inventory!$G49=""),"",IF(AND($Z42="b",Inventory!$G49&lt;&gt;""),VLOOKUP(Inventory!$G49,$E$3:$F$10,2,FALSE),IF(AND($Z42="a",Inventory!$Z49=""),"",IF(AND($Z42="a",Inventory!$Z49&lt;&gt;""),VLOOKUP(Inventory!$Z49,$E$3:$F$10,2,FALSE),IF(AND($Z42="c",Inventory!$Z49=""),"",IF(AND($Z42="c",Inventory!$Z49&lt;&gt;""),VLOOKUP(Inventory!$Z49,$E$3:$F$10,2,FALSE),"")))))))</f>
        <v/>
      </c>
      <c r="AB42" s="472" t="str">
        <f>IF($Z42="","a",IF(AND($Z42="b",Inventory!$J49=""),"a",IF(AND($Z42="b",Inventory!$J49&lt;&gt;""),VLOOKUP(Inventory!$J49,$H$4:$I$6,2,FALSE),IF(AND($Z42="a",Inventory!$AA49=""),"a",IF(AND($Z42="a",Inventory!$AA49&lt;&gt;""),VLOOKUP(Inventory!$AA49,$H$4:$I$6,2,FALSE),IF(AND($Z42="c",Inventory!$AA49=""),"a",IF(AND($Z42="c",Inventory!$AA49&lt;&gt;""),VLOOKUP(Inventory!$AA49,$H$4:$I$6,2,FALSE),"a")))))))</f>
        <v>a</v>
      </c>
      <c r="AC42" s="506" t="str">
        <f t="shared" si="11"/>
        <v>a</v>
      </c>
      <c r="AD42" s="473" t="str">
        <f>IF($Z42="","a",IF(AND($Z42="b",Inventory!$L49=""),"a",IF(AND($Z42="b",Inventory!$L49&lt;&gt;""),VLOOKUP(Inventory!$L49,$N$4:$O$5,2,FALSE),IF(AND($Z42="a",Inventory!$AC49=""),"a",IF(AND($Z42="a",Inventory!$AC49&lt;&gt;""),VLOOKUP(Inventory!$AC49,$N$4:$O$5,2,FALSE),IF(AND($Z42="c",Inventory!$AC49=""),"a",IF(AND($Z42="c",Inventory!$AC49&lt;&gt;""),VLOOKUP(Inventory!$AC49,$N$4:$O$5,2,FALSE),"a")))))))</f>
        <v>a</v>
      </c>
      <c r="AE42" s="474">
        <f>IF(OR(Inventory!C49="New Construction",Inventory!C49="Replace-on-Burnout"),Inventory!AF49,IF(Inventory!C49="Early Retirement",MIN(Inventory!AE49,Inventory!AF49),0))</f>
        <v>0</v>
      </c>
      <c r="AF42" s="475" t="str">
        <f t="shared" si="12"/>
        <v/>
      </c>
      <c r="AG42" s="475" t="str">
        <f t="shared" si="0"/>
        <v/>
      </c>
      <c r="AH42" s="475" t="str">
        <f t="shared" si="1"/>
        <v/>
      </c>
      <c r="AI42" s="475" t="str">
        <f t="shared" si="2"/>
        <v/>
      </c>
      <c r="AJ42" s="475" t="str">
        <f t="shared" si="3"/>
        <v/>
      </c>
      <c r="AK42" s="475" t="str">
        <f t="shared" si="13"/>
        <v/>
      </c>
      <c r="AL42" s="475" t="str">
        <f t="shared" si="14"/>
        <v/>
      </c>
      <c r="AM42" s="475" t="str">
        <f t="shared" si="15"/>
        <v/>
      </c>
      <c r="AN42" s="475" t="str">
        <f t="shared" si="16"/>
        <v/>
      </c>
      <c r="AO42" s="475" t="str">
        <f t="shared" si="17"/>
        <v/>
      </c>
      <c r="AP42" s="475" t="str">
        <f t="shared" si="18"/>
        <v/>
      </c>
      <c r="AQ42" s="475" t="str">
        <f t="shared" si="19"/>
        <v/>
      </c>
      <c r="AR42" s="475" t="str">
        <f t="shared" si="20"/>
        <v/>
      </c>
      <c r="AS42" s="475" t="str">
        <f t="shared" si="21"/>
        <v/>
      </c>
      <c r="AT42" s="475" t="str">
        <f t="shared" si="22"/>
        <v/>
      </c>
      <c r="AU42" s="475" t="str">
        <f t="shared" si="23"/>
        <v/>
      </c>
      <c r="AV42" s="475" t="str">
        <f t="shared" si="4"/>
        <v/>
      </c>
      <c r="AW42" s="473">
        <f t="shared" si="5"/>
        <v>0</v>
      </c>
      <c r="AX42" s="473" t="str">
        <f>IF(AND($Z42="b",OR($AA42="a",$AA42="b"),Inventory!$I49="",$AE42&lt;(65000/12000)),"x",IF(AND($Z42="b",OR($AA42="a",$AA42="b"),Inventory!$I49&lt;&gt;"",$AE42&lt;(65000/12000)),VLOOKUP(Inventory!$I49,$V$4:$W$5,2,FALSE),"x"))</f>
        <v>x</v>
      </c>
      <c r="AY42" s="476" t="str">
        <f t="shared" si="24"/>
        <v>aaa0</v>
      </c>
      <c r="AZ42" s="477" t="str">
        <f t="shared" si="25"/>
        <v>No</v>
      </c>
      <c r="BA42" s="759" t="str">
        <f t="shared" si="26"/>
        <v>No</v>
      </c>
      <c r="BB42" s="477">
        <f>IF($Z42="c",Inventory!$AB49,Inventory!$K49)</f>
        <v>0</v>
      </c>
      <c r="BC42" s="478">
        <f>IF(AND($Z42="b",Inventory!$N49="Btu/hr"),Inventory!$M49,IF(AND($Z42="b",Inventory!$N49="Tons"),Inventory!$M49*12000,IF(AND($Z42&lt;&gt;"b",Inventory!$AK49="Btu/hr"),Inventory!$AD49,IF(AND($Z42&lt;&gt;"b",Inventory!$AK49="Tons"),Inventory!$AD49*12000,0))))</f>
        <v>0</v>
      </c>
      <c r="BD42" s="478">
        <f t="shared" si="27"/>
        <v>0</v>
      </c>
      <c r="BE42" s="479">
        <f t="shared" si="28"/>
        <v>0</v>
      </c>
      <c r="BF42" s="477" t="s">
        <v>50</v>
      </c>
      <c r="BG42" s="479">
        <f t="shared" si="6"/>
        <v>0</v>
      </c>
      <c r="BH42" s="477" t="s">
        <v>46</v>
      </c>
      <c r="BI42" s="760">
        <f>IF(AND($Z42="b",Inventory!$P49="Btu/hr"),Inventory!$O49,IF(AND($Z42="b",Inventory!$P49="Tons"),Inventory!$O49*12000,IF(AND($Z42&lt;&gt;"b",Inventory!$AM49="Btu/hr"),Inventory!$AL49,IF(AND($Z42&lt;&gt;"b",Inventory!$AM49="Tons"),Inventory!$AL49*12000,0))))</f>
        <v>0</v>
      </c>
      <c r="BJ42" s="760">
        <f t="shared" si="29"/>
        <v>0</v>
      </c>
      <c r="BK42" s="598">
        <f t="shared" si="30"/>
        <v>0</v>
      </c>
      <c r="BL42" s="759" t="s">
        <v>567</v>
      </c>
      <c r="BM42" s="477" t="str">
        <f t="shared" si="7"/>
        <v>No</v>
      </c>
      <c r="BN42" s="477" t="str">
        <f>IF(OR(Inventory!$H49="",$BM42="No"),"-",Inventory!$H49)</f>
        <v>-</v>
      </c>
      <c r="BO42" s="477" t="str">
        <f>IFERROR(VLOOKUP(BN42,'Early Retirement'!$B$6:$C$33,2,FALSE),"-")</f>
        <v>-</v>
      </c>
      <c r="BP42" s="477" t="str">
        <f>IF(Inventory!$J49="Centrifugal","Yes","No")</f>
        <v>No</v>
      </c>
      <c r="BQ42" s="477">
        <f t="shared" si="31"/>
        <v>0</v>
      </c>
      <c r="BR42" s="477" t="str">
        <f t="shared" si="32"/>
        <v>-</v>
      </c>
      <c r="BS42" s="479">
        <f>IFERROR(INDEX('Early Retirement'!$C$4:$AC$33,$BO42,$BR42),0)</f>
        <v>0</v>
      </c>
      <c r="BT42" s="477">
        <f>IFERROR(HLOOKUP($BR42,'Early Retirement'!$D$4:$AC$5,2,FALSE),0)</f>
        <v>0</v>
      </c>
      <c r="BU42" s="761">
        <f>IFERROR(INDEX('Early Retirement'!$AE$4:$BE$33,$BO42,$BR42),0)</f>
        <v>0</v>
      </c>
      <c r="BV42" s="759">
        <f>IFERROR(HLOOKUP($BR42,'Early Retirement'!$AF$4:$BE$5,2,FALSE),0)</f>
        <v>0</v>
      </c>
      <c r="BW42" s="479">
        <f t="shared" si="41"/>
        <v>0</v>
      </c>
      <c r="BX42" s="761">
        <f t="shared" si="33"/>
        <v>0</v>
      </c>
      <c r="BY42" s="477" t="s">
        <v>46</v>
      </c>
      <c r="BZ42" s="598">
        <f>IFERROR(INDEX('Early Retirement'!$BG$4:$CG$33,$BO42,$BR42),0)</f>
        <v>0</v>
      </c>
      <c r="CA42" s="759">
        <f>IFERROR(HLOOKUP($BR42,'Early Retirement'!$BH$4:$CH$5,2,FALSE),0)</f>
        <v>0</v>
      </c>
      <c r="CB42" s="598">
        <f t="shared" si="34"/>
        <v>0</v>
      </c>
      <c r="CC42" s="759" t="s">
        <v>567</v>
      </c>
      <c r="CD42" s="477" t="str">
        <f t="shared" si="8"/>
        <v>Yes</v>
      </c>
      <c r="CE42" s="479">
        <f t="shared" si="9"/>
        <v>0</v>
      </c>
      <c r="CF42" s="761">
        <f t="shared" si="10"/>
        <v>0</v>
      </c>
      <c r="CG42" s="759" t="s">
        <v>46</v>
      </c>
      <c r="CH42" s="598">
        <f t="shared" si="35"/>
        <v>0</v>
      </c>
      <c r="CI42" s="759" t="s">
        <v>567</v>
      </c>
      <c r="CJ42" s="480">
        <f t="shared" si="36"/>
        <v>0</v>
      </c>
      <c r="CK42" s="583">
        <f t="shared" si="37"/>
        <v>0</v>
      </c>
      <c r="CL42" s="596" t="s">
        <v>46</v>
      </c>
      <c r="CM42" s="581">
        <f t="shared" si="38"/>
        <v>0</v>
      </c>
      <c r="CN42" s="762" t="s">
        <v>567</v>
      </c>
      <c r="CP42" s="90" t="s">
        <v>125</v>
      </c>
      <c r="CQ42" s="121">
        <v>10</v>
      </c>
      <c r="CR42" s="307" t="s">
        <v>50</v>
      </c>
      <c r="CS42" s="641">
        <v>10</v>
      </c>
      <c r="CT42" s="551" t="s">
        <v>50</v>
      </c>
      <c r="CU42" s="645">
        <f t="shared" si="43"/>
        <v>1.2</v>
      </c>
      <c r="CV42" s="645">
        <f t="shared" si="43"/>
        <v>1.2</v>
      </c>
      <c r="CW42" s="633" t="s">
        <v>46</v>
      </c>
      <c r="CX42" s="606"/>
      <c r="CY42" s="589"/>
      <c r="CZ42" s="606"/>
      <c r="DA42" s="609"/>
      <c r="DB42" s="562"/>
      <c r="DC42" s="562"/>
      <c r="DD42" s="562"/>
      <c r="DE42" s="562"/>
      <c r="DF42" s="562"/>
      <c r="DG42" s="562"/>
      <c r="DH42" s="562"/>
      <c r="DI42" s="562"/>
      <c r="DJ42" s="562"/>
      <c r="DK42" s="562"/>
      <c r="DL42" s="562"/>
      <c r="DM42" s="562"/>
      <c r="DN42" s="562"/>
      <c r="DO42" s="562"/>
      <c r="DP42" s="562"/>
      <c r="DQ42" s="562"/>
      <c r="DR42" s="562"/>
      <c r="DS42" s="562"/>
      <c r="DT42" s="562"/>
      <c r="DU42" s="562"/>
      <c r="DV42" s="562"/>
      <c r="DW42" s="562"/>
      <c r="DX42" s="562"/>
      <c r="DY42" s="562"/>
      <c r="DZ42" s="562"/>
      <c r="EA42" s="562"/>
      <c r="EB42" s="562"/>
      <c r="EC42" s="562"/>
      <c r="ED42" s="562"/>
      <c r="EE42" s="562"/>
      <c r="EF42" s="562"/>
      <c r="EG42" s="562"/>
      <c r="EH42" s="562"/>
      <c r="EI42" s="562"/>
      <c r="EJ42" s="562"/>
      <c r="EK42" s="562"/>
      <c r="EL42" s="562"/>
    </row>
    <row r="43" spans="2:142" s="78" customFormat="1" ht="15" customHeight="1" x14ac:dyDescent="0.25">
      <c r="B43" s="77"/>
      <c r="E43" s="77"/>
      <c r="H43" s="77"/>
      <c r="Q43" s="1056"/>
      <c r="R43" s="91">
        <v>150</v>
      </c>
      <c r="S43" s="91">
        <v>300</v>
      </c>
      <c r="T43" s="89">
        <v>41</v>
      </c>
      <c r="U43" s="79"/>
      <c r="V43" s="79"/>
      <c r="W43" s="79"/>
      <c r="Y43" s="90">
        <v>41</v>
      </c>
      <c r="Z43" s="472" t="str">
        <f>IF(Inventory!$C50="","",VLOOKUP(Inventory!$C50,$B$3:$C$5,2,FALSE))</f>
        <v/>
      </c>
      <c r="AA43" s="472" t="str">
        <f>IF($Z43="","",IF(AND($Z43="b",Inventory!$G50=""),"",IF(AND($Z43="b",Inventory!$G50&lt;&gt;""),VLOOKUP(Inventory!$G50,$E$3:$F$10,2,FALSE),IF(AND($Z43="a",Inventory!$Z50=""),"",IF(AND($Z43="a",Inventory!$Z50&lt;&gt;""),VLOOKUP(Inventory!$Z50,$E$3:$F$10,2,FALSE),IF(AND($Z43="c",Inventory!$Z50=""),"",IF(AND($Z43="c",Inventory!$Z50&lt;&gt;""),VLOOKUP(Inventory!$Z50,$E$3:$F$10,2,FALSE),"")))))))</f>
        <v/>
      </c>
      <c r="AB43" s="472" t="str">
        <f>IF($Z43="","a",IF(AND($Z43="b",Inventory!$J50=""),"a",IF(AND($Z43="b",Inventory!$J50&lt;&gt;""),VLOOKUP(Inventory!$J50,$H$4:$I$6,2,FALSE),IF(AND($Z43="a",Inventory!$AA50=""),"a",IF(AND($Z43="a",Inventory!$AA50&lt;&gt;""),VLOOKUP(Inventory!$AA50,$H$4:$I$6,2,FALSE),IF(AND($Z43="c",Inventory!$AA50=""),"a",IF(AND($Z43="c",Inventory!$AA50&lt;&gt;""),VLOOKUP(Inventory!$AA50,$H$4:$I$6,2,FALSE),"a")))))))</f>
        <v>a</v>
      </c>
      <c r="AC43" s="506" t="str">
        <f t="shared" si="11"/>
        <v>a</v>
      </c>
      <c r="AD43" s="473" t="str">
        <f>IF($Z43="","a",IF(AND($Z43="b",Inventory!$L50=""),"a",IF(AND($Z43="b",Inventory!$L50&lt;&gt;""),VLOOKUP(Inventory!$L50,$N$4:$O$5,2,FALSE),IF(AND($Z43="a",Inventory!$AC50=""),"a",IF(AND($Z43="a",Inventory!$AC50&lt;&gt;""),VLOOKUP(Inventory!$AC50,$N$4:$O$5,2,FALSE),IF(AND($Z43="c",Inventory!$AC50=""),"a",IF(AND($Z43="c",Inventory!$AC50&lt;&gt;""),VLOOKUP(Inventory!$AC50,$N$4:$O$5,2,FALSE),"a")))))))</f>
        <v>a</v>
      </c>
      <c r="AE43" s="474">
        <f>IF(OR(Inventory!C50="New Construction",Inventory!C50="Replace-on-Burnout"),Inventory!AF50,IF(Inventory!C50="Early Retirement",MIN(Inventory!AE50,Inventory!AF50),0))</f>
        <v>0</v>
      </c>
      <c r="AF43" s="475" t="str">
        <f t="shared" si="12"/>
        <v/>
      </c>
      <c r="AG43" s="475" t="str">
        <f t="shared" si="0"/>
        <v/>
      </c>
      <c r="AH43" s="475" t="str">
        <f t="shared" si="1"/>
        <v/>
      </c>
      <c r="AI43" s="475" t="str">
        <f t="shared" si="2"/>
        <v/>
      </c>
      <c r="AJ43" s="475" t="str">
        <f t="shared" si="3"/>
        <v/>
      </c>
      <c r="AK43" s="475" t="str">
        <f t="shared" si="13"/>
        <v/>
      </c>
      <c r="AL43" s="475" t="str">
        <f t="shared" si="14"/>
        <v/>
      </c>
      <c r="AM43" s="475" t="str">
        <f t="shared" si="15"/>
        <v/>
      </c>
      <c r="AN43" s="475" t="str">
        <f t="shared" si="16"/>
        <v/>
      </c>
      <c r="AO43" s="475" t="str">
        <f t="shared" si="17"/>
        <v/>
      </c>
      <c r="AP43" s="475" t="str">
        <f t="shared" si="18"/>
        <v/>
      </c>
      <c r="AQ43" s="475" t="str">
        <f t="shared" si="19"/>
        <v/>
      </c>
      <c r="AR43" s="475" t="str">
        <f t="shared" si="20"/>
        <v/>
      </c>
      <c r="AS43" s="475" t="str">
        <f t="shared" si="21"/>
        <v/>
      </c>
      <c r="AT43" s="475" t="str">
        <f t="shared" si="22"/>
        <v/>
      </c>
      <c r="AU43" s="475" t="str">
        <f t="shared" si="23"/>
        <v/>
      </c>
      <c r="AV43" s="475" t="str">
        <f t="shared" si="4"/>
        <v/>
      </c>
      <c r="AW43" s="473">
        <f t="shared" si="5"/>
        <v>0</v>
      </c>
      <c r="AX43" s="473" t="str">
        <f>IF(AND($Z43="b",OR($AA43="a",$AA43="b"),Inventory!$I50="",$AE43&lt;(65000/12000)),"x",IF(AND($Z43="b",OR($AA43="a",$AA43="b"),Inventory!$I50&lt;&gt;"",$AE43&lt;(65000/12000)),VLOOKUP(Inventory!$I50,$V$4:$W$5,2,FALSE),"x"))</f>
        <v>x</v>
      </c>
      <c r="AY43" s="476" t="str">
        <f t="shared" si="24"/>
        <v>aaa0</v>
      </c>
      <c r="AZ43" s="477" t="str">
        <f t="shared" si="25"/>
        <v>No</v>
      </c>
      <c r="BA43" s="759" t="str">
        <f t="shared" si="26"/>
        <v>No</v>
      </c>
      <c r="BB43" s="477">
        <f>IF($Z43="c",Inventory!$AB50,Inventory!$K50)</f>
        <v>0</v>
      </c>
      <c r="BC43" s="478">
        <f>IF(AND($Z43="b",Inventory!$N50="Btu/hr"),Inventory!$M50,IF(AND($Z43="b",Inventory!$N50="Tons"),Inventory!$M50*12000,IF(AND($Z43&lt;&gt;"b",Inventory!$AK50="Btu/hr"),Inventory!$AD50,IF(AND($Z43&lt;&gt;"b",Inventory!$AK50="Tons"),Inventory!$AD50*12000,0))))</f>
        <v>0</v>
      </c>
      <c r="BD43" s="478">
        <f t="shared" si="27"/>
        <v>0</v>
      </c>
      <c r="BE43" s="479">
        <f t="shared" si="28"/>
        <v>0</v>
      </c>
      <c r="BF43" s="477" t="s">
        <v>50</v>
      </c>
      <c r="BG43" s="479">
        <f t="shared" si="6"/>
        <v>0</v>
      </c>
      <c r="BH43" s="477" t="s">
        <v>46</v>
      </c>
      <c r="BI43" s="760">
        <f>IF(AND($Z43="b",Inventory!$P50="Btu/hr"),Inventory!$O50,IF(AND($Z43="b",Inventory!$P50="Tons"),Inventory!$O50*12000,IF(AND($Z43&lt;&gt;"b",Inventory!$AM50="Btu/hr"),Inventory!$AL50,IF(AND($Z43&lt;&gt;"b",Inventory!$AM50="Tons"),Inventory!$AL50*12000,0))))</f>
        <v>0</v>
      </c>
      <c r="BJ43" s="760">
        <f t="shared" si="29"/>
        <v>0</v>
      </c>
      <c r="BK43" s="598">
        <f t="shared" si="30"/>
        <v>0</v>
      </c>
      <c r="BL43" s="759" t="s">
        <v>567</v>
      </c>
      <c r="BM43" s="477" t="str">
        <f t="shared" si="7"/>
        <v>No</v>
      </c>
      <c r="BN43" s="477" t="str">
        <f>IF(OR(Inventory!$H50="",$BM43="No"),"-",Inventory!$H50)</f>
        <v>-</v>
      </c>
      <c r="BO43" s="477" t="str">
        <f>IFERROR(VLOOKUP(BN43,'Early Retirement'!$B$6:$C$33,2,FALSE),"-")</f>
        <v>-</v>
      </c>
      <c r="BP43" s="477" t="str">
        <f>IF(Inventory!$J50="Centrifugal","Yes","No")</f>
        <v>No</v>
      </c>
      <c r="BQ43" s="477">
        <f t="shared" si="31"/>
        <v>0</v>
      </c>
      <c r="BR43" s="477" t="str">
        <f t="shared" si="32"/>
        <v>-</v>
      </c>
      <c r="BS43" s="479">
        <f>IFERROR(INDEX('Early Retirement'!$C$4:$AC$33,$BO43,$BR43),0)</f>
        <v>0</v>
      </c>
      <c r="BT43" s="477">
        <f>IFERROR(HLOOKUP($BR43,'Early Retirement'!$D$4:$AC$5,2,FALSE),0)</f>
        <v>0</v>
      </c>
      <c r="BU43" s="761">
        <f>IFERROR(INDEX('Early Retirement'!$AE$4:$BE$33,$BO43,$BR43),0)</f>
        <v>0</v>
      </c>
      <c r="BV43" s="759">
        <f>IFERROR(HLOOKUP($BR43,'Early Retirement'!$AF$4:$BE$5,2,FALSE),0)</f>
        <v>0</v>
      </c>
      <c r="BW43" s="479">
        <f t="shared" si="41"/>
        <v>0</v>
      </c>
      <c r="BX43" s="761">
        <f t="shared" si="33"/>
        <v>0</v>
      </c>
      <c r="BY43" s="477" t="s">
        <v>46</v>
      </c>
      <c r="BZ43" s="598">
        <f>IFERROR(INDEX('Early Retirement'!$BG$4:$CG$33,$BO43,$BR43),0)</f>
        <v>0</v>
      </c>
      <c r="CA43" s="759">
        <f>IFERROR(HLOOKUP($BR43,'Early Retirement'!$BH$4:$CH$5,2,FALSE),0)</f>
        <v>0</v>
      </c>
      <c r="CB43" s="598">
        <f t="shared" si="34"/>
        <v>0</v>
      </c>
      <c r="CC43" s="759" t="s">
        <v>567</v>
      </c>
      <c r="CD43" s="477" t="str">
        <f t="shared" si="8"/>
        <v>Yes</v>
      </c>
      <c r="CE43" s="479">
        <f t="shared" si="9"/>
        <v>0</v>
      </c>
      <c r="CF43" s="761">
        <f t="shared" si="10"/>
        <v>0</v>
      </c>
      <c r="CG43" s="759" t="s">
        <v>46</v>
      </c>
      <c r="CH43" s="598">
        <f t="shared" si="35"/>
        <v>0</v>
      </c>
      <c r="CI43" s="759" t="s">
        <v>567</v>
      </c>
      <c r="CJ43" s="480">
        <f t="shared" si="36"/>
        <v>0</v>
      </c>
      <c r="CK43" s="583">
        <f t="shared" si="37"/>
        <v>0</v>
      </c>
      <c r="CL43" s="596" t="s">
        <v>46</v>
      </c>
      <c r="CM43" s="581">
        <f t="shared" si="38"/>
        <v>0</v>
      </c>
      <c r="CN43" s="762" t="s">
        <v>567</v>
      </c>
      <c r="CP43" s="90" t="s">
        <v>126</v>
      </c>
      <c r="CQ43" s="121">
        <v>9.6</v>
      </c>
      <c r="CR43" s="307" t="s">
        <v>50</v>
      </c>
      <c r="CS43" s="641">
        <v>9.6</v>
      </c>
      <c r="CT43" s="551" t="s">
        <v>50</v>
      </c>
      <c r="CU43" s="645">
        <f t="shared" si="43"/>
        <v>1.25</v>
      </c>
      <c r="CV43" s="645">
        <f t="shared" si="43"/>
        <v>1.25</v>
      </c>
      <c r="CW43" s="633" t="s">
        <v>46</v>
      </c>
      <c r="CX43" s="606"/>
      <c r="CY43" s="589"/>
      <c r="CZ43" s="606"/>
      <c r="DA43" s="609"/>
      <c r="DB43" s="562"/>
      <c r="DC43" s="562"/>
      <c r="DD43" s="562"/>
      <c r="DE43" s="562"/>
      <c r="DF43" s="562"/>
      <c r="DG43" s="562"/>
      <c r="DH43" s="562"/>
      <c r="DI43" s="562"/>
      <c r="DJ43" s="562"/>
      <c r="DK43" s="562"/>
      <c r="DL43" s="562"/>
      <c r="DM43" s="562"/>
      <c r="DN43" s="562"/>
      <c r="DO43" s="562"/>
      <c r="DP43" s="562"/>
      <c r="DQ43" s="562"/>
      <c r="DR43" s="562"/>
      <c r="DS43" s="562"/>
      <c r="DT43" s="562"/>
      <c r="DU43" s="562"/>
      <c r="DV43" s="562"/>
      <c r="DW43" s="562"/>
      <c r="DX43" s="562"/>
      <c r="DY43" s="562"/>
      <c r="DZ43" s="562"/>
      <c r="EA43" s="562"/>
      <c r="EB43" s="562"/>
      <c r="EC43" s="562"/>
      <c r="ED43" s="562"/>
      <c r="EE43" s="562"/>
      <c r="EF43" s="562"/>
      <c r="EG43" s="562"/>
      <c r="EH43" s="562"/>
      <c r="EI43" s="562"/>
      <c r="EJ43" s="562"/>
      <c r="EK43" s="562"/>
      <c r="EL43" s="562"/>
    </row>
    <row r="44" spans="2:142" s="78" customFormat="1" ht="15" customHeight="1" x14ac:dyDescent="0.25">
      <c r="B44" s="77"/>
      <c r="E44" s="77"/>
      <c r="H44" s="77"/>
      <c r="Q44" s="1056"/>
      <c r="R44" s="91">
        <v>300</v>
      </c>
      <c r="S44" s="91">
        <v>600</v>
      </c>
      <c r="T44" s="89">
        <v>42</v>
      </c>
      <c r="U44" s="79"/>
      <c r="V44" s="79"/>
      <c r="W44" s="79"/>
      <c r="Y44" s="90">
        <v>42</v>
      </c>
      <c r="Z44" s="472" t="str">
        <f>IF(Inventory!$C51="","",VLOOKUP(Inventory!$C51,$B$3:$C$5,2,FALSE))</f>
        <v/>
      </c>
      <c r="AA44" s="472" t="str">
        <f>IF($Z44="","",IF(AND($Z44="b",Inventory!$G51=""),"",IF(AND($Z44="b",Inventory!$G51&lt;&gt;""),VLOOKUP(Inventory!$G51,$E$3:$F$10,2,FALSE),IF(AND($Z44="a",Inventory!$Z51=""),"",IF(AND($Z44="a",Inventory!$Z51&lt;&gt;""),VLOOKUP(Inventory!$Z51,$E$3:$F$10,2,FALSE),IF(AND($Z44="c",Inventory!$Z51=""),"",IF(AND($Z44="c",Inventory!$Z51&lt;&gt;""),VLOOKUP(Inventory!$Z51,$E$3:$F$10,2,FALSE),"")))))))</f>
        <v/>
      </c>
      <c r="AB44" s="472" t="str">
        <f>IF($Z44="","a",IF(AND($Z44="b",Inventory!$J51=""),"a",IF(AND($Z44="b",Inventory!$J51&lt;&gt;""),VLOOKUP(Inventory!$J51,$H$4:$I$6,2,FALSE),IF(AND($Z44="a",Inventory!$AA51=""),"a",IF(AND($Z44="a",Inventory!$AA51&lt;&gt;""),VLOOKUP(Inventory!$AA51,$H$4:$I$6,2,FALSE),IF(AND($Z44="c",Inventory!$AA51=""),"a",IF(AND($Z44="c",Inventory!$AA51&lt;&gt;""),VLOOKUP(Inventory!$AA51,$H$4:$I$6,2,FALSE),"a")))))))</f>
        <v>a</v>
      </c>
      <c r="AC44" s="506" t="str">
        <f t="shared" si="11"/>
        <v>a</v>
      </c>
      <c r="AD44" s="473" t="str">
        <f>IF($Z44="","a",IF(AND($Z44="b",Inventory!$L51=""),"a",IF(AND($Z44="b",Inventory!$L51&lt;&gt;""),VLOOKUP(Inventory!$L51,$N$4:$O$5,2,FALSE),IF(AND($Z44="a",Inventory!$AC51=""),"a",IF(AND($Z44="a",Inventory!$AC51&lt;&gt;""),VLOOKUP(Inventory!$AC51,$N$4:$O$5,2,FALSE),IF(AND($Z44="c",Inventory!$AC51=""),"a",IF(AND($Z44="c",Inventory!$AC51&lt;&gt;""),VLOOKUP(Inventory!$AC51,$N$4:$O$5,2,FALSE),"a")))))))</f>
        <v>a</v>
      </c>
      <c r="AE44" s="474">
        <f>IF(OR(Inventory!C51="New Construction",Inventory!C51="Replace-on-Burnout"),Inventory!AF51,IF(Inventory!C51="Early Retirement",MIN(Inventory!AE51,Inventory!AF51),0))</f>
        <v>0</v>
      </c>
      <c r="AF44" s="475" t="str">
        <f t="shared" si="12"/>
        <v/>
      </c>
      <c r="AG44" s="475" t="str">
        <f t="shared" si="0"/>
        <v/>
      </c>
      <c r="AH44" s="475" t="str">
        <f t="shared" si="1"/>
        <v/>
      </c>
      <c r="AI44" s="475" t="str">
        <f t="shared" si="2"/>
        <v/>
      </c>
      <c r="AJ44" s="475" t="str">
        <f t="shared" si="3"/>
        <v/>
      </c>
      <c r="AK44" s="475" t="str">
        <f t="shared" si="13"/>
        <v/>
      </c>
      <c r="AL44" s="475" t="str">
        <f t="shared" si="14"/>
        <v/>
      </c>
      <c r="AM44" s="475" t="str">
        <f t="shared" si="15"/>
        <v/>
      </c>
      <c r="AN44" s="475" t="str">
        <f t="shared" si="16"/>
        <v/>
      </c>
      <c r="AO44" s="475" t="str">
        <f t="shared" si="17"/>
        <v/>
      </c>
      <c r="AP44" s="475" t="str">
        <f t="shared" si="18"/>
        <v/>
      </c>
      <c r="AQ44" s="475" t="str">
        <f t="shared" si="19"/>
        <v/>
      </c>
      <c r="AR44" s="475" t="str">
        <f t="shared" si="20"/>
        <v/>
      </c>
      <c r="AS44" s="475" t="str">
        <f t="shared" si="21"/>
        <v/>
      </c>
      <c r="AT44" s="475" t="str">
        <f t="shared" si="22"/>
        <v/>
      </c>
      <c r="AU44" s="475" t="str">
        <f t="shared" si="23"/>
        <v/>
      </c>
      <c r="AV44" s="475" t="str">
        <f t="shared" si="4"/>
        <v/>
      </c>
      <c r="AW44" s="473">
        <f t="shared" si="5"/>
        <v>0</v>
      </c>
      <c r="AX44" s="473" t="str">
        <f>IF(AND($Z44="b",OR($AA44="a",$AA44="b"),Inventory!$I51="",$AE44&lt;(65000/12000)),"x",IF(AND($Z44="b",OR($AA44="a",$AA44="b"),Inventory!$I51&lt;&gt;"",$AE44&lt;(65000/12000)),VLOOKUP(Inventory!$I51,$V$4:$W$5,2,FALSE),"x"))</f>
        <v>x</v>
      </c>
      <c r="AY44" s="476" t="str">
        <f t="shared" si="24"/>
        <v>aaa0</v>
      </c>
      <c r="AZ44" s="477" t="str">
        <f t="shared" si="25"/>
        <v>No</v>
      </c>
      <c r="BA44" s="759" t="str">
        <f t="shared" si="26"/>
        <v>No</v>
      </c>
      <c r="BB44" s="477">
        <f>IF($Z44="c",Inventory!$AB51,Inventory!$K51)</f>
        <v>0</v>
      </c>
      <c r="BC44" s="478">
        <f>IF(AND($Z44="b",Inventory!$N51="Btu/hr"),Inventory!$M51,IF(AND($Z44="b",Inventory!$N51="Tons"),Inventory!$M51*12000,IF(AND($Z44&lt;&gt;"b",Inventory!$AK51="Btu/hr"),Inventory!$AD51,IF(AND($Z44&lt;&gt;"b",Inventory!$AK51="Tons"),Inventory!$AD51*12000,0))))</f>
        <v>0</v>
      </c>
      <c r="BD44" s="478">
        <f t="shared" si="27"/>
        <v>0</v>
      </c>
      <c r="BE44" s="479">
        <f t="shared" si="28"/>
        <v>0</v>
      </c>
      <c r="BF44" s="477" t="s">
        <v>50</v>
      </c>
      <c r="BG44" s="479">
        <f t="shared" si="6"/>
        <v>0</v>
      </c>
      <c r="BH44" s="477" t="s">
        <v>46</v>
      </c>
      <c r="BI44" s="760">
        <f>IF(AND($Z44="b",Inventory!$P51="Btu/hr"),Inventory!$O51,IF(AND($Z44="b",Inventory!$P51="Tons"),Inventory!$O51*12000,IF(AND($Z44&lt;&gt;"b",Inventory!$AM51="Btu/hr"),Inventory!$AL51,IF(AND($Z44&lt;&gt;"b",Inventory!$AM51="Tons"),Inventory!$AL51*12000,0))))</f>
        <v>0</v>
      </c>
      <c r="BJ44" s="760">
        <f t="shared" si="29"/>
        <v>0</v>
      </c>
      <c r="BK44" s="598">
        <f t="shared" si="30"/>
        <v>0</v>
      </c>
      <c r="BL44" s="759" t="s">
        <v>567</v>
      </c>
      <c r="BM44" s="477" t="str">
        <f t="shared" si="7"/>
        <v>No</v>
      </c>
      <c r="BN44" s="477" t="str">
        <f>IF(OR(Inventory!$H51="",$BM44="No"),"-",Inventory!$H51)</f>
        <v>-</v>
      </c>
      <c r="BO44" s="477" t="str">
        <f>IFERROR(VLOOKUP(BN44,'Early Retirement'!$B$6:$C$33,2,FALSE),"-")</f>
        <v>-</v>
      </c>
      <c r="BP44" s="477" t="str">
        <f>IF(Inventory!$J51="Centrifugal","Yes","No")</f>
        <v>No</v>
      </c>
      <c r="BQ44" s="477">
        <f t="shared" si="31"/>
        <v>0</v>
      </c>
      <c r="BR44" s="477" t="str">
        <f t="shared" si="32"/>
        <v>-</v>
      </c>
      <c r="BS44" s="479">
        <f>IFERROR(INDEX('Early Retirement'!$C$4:$AC$33,$BO44,$BR44),0)</f>
        <v>0</v>
      </c>
      <c r="BT44" s="477">
        <f>IFERROR(HLOOKUP($BR44,'Early Retirement'!$D$4:$AC$5,2,FALSE),0)</f>
        <v>0</v>
      </c>
      <c r="BU44" s="761">
        <f>IFERROR(INDEX('Early Retirement'!$AE$4:$BE$33,$BO44,$BR44),0)</f>
        <v>0</v>
      </c>
      <c r="BV44" s="759">
        <f>IFERROR(HLOOKUP($BR44,'Early Retirement'!$AF$4:$BE$5,2,FALSE),0)</f>
        <v>0</v>
      </c>
      <c r="BW44" s="479">
        <f t="shared" si="41"/>
        <v>0</v>
      </c>
      <c r="BX44" s="761">
        <f t="shared" si="33"/>
        <v>0</v>
      </c>
      <c r="BY44" s="477" t="s">
        <v>46</v>
      </c>
      <c r="BZ44" s="598">
        <f>IFERROR(INDEX('Early Retirement'!$BG$4:$CG$33,$BO44,$BR44),0)</f>
        <v>0</v>
      </c>
      <c r="CA44" s="759">
        <f>IFERROR(HLOOKUP($BR44,'Early Retirement'!$BH$4:$CH$5,2,FALSE),0)</f>
        <v>0</v>
      </c>
      <c r="CB44" s="598">
        <f t="shared" si="34"/>
        <v>0</v>
      </c>
      <c r="CC44" s="759" t="s">
        <v>567</v>
      </c>
      <c r="CD44" s="477" t="str">
        <f t="shared" si="8"/>
        <v>Yes</v>
      </c>
      <c r="CE44" s="479">
        <f t="shared" si="9"/>
        <v>0</v>
      </c>
      <c r="CF44" s="761">
        <f t="shared" si="10"/>
        <v>0</v>
      </c>
      <c r="CG44" s="759" t="s">
        <v>46</v>
      </c>
      <c r="CH44" s="598">
        <f t="shared" si="35"/>
        <v>0</v>
      </c>
      <c r="CI44" s="759" t="s">
        <v>567</v>
      </c>
      <c r="CJ44" s="480">
        <f t="shared" si="36"/>
        <v>0</v>
      </c>
      <c r="CK44" s="583">
        <f t="shared" si="37"/>
        <v>0</v>
      </c>
      <c r="CL44" s="596" t="s">
        <v>46</v>
      </c>
      <c r="CM44" s="581">
        <f t="shared" si="38"/>
        <v>0</v>
      </c>
      <c r="CN44" s="762" t="s">
        <v>567</v>
      </c>
      <c r="CP44" s="90" t="s">
        <v>163</v>
      </c>
      <c r="CQ44" s="121">
        <v>9.5</v>
      </c>
      <c r="CR44" s="307" t="s">
        <v>50</v>
      </c>
      <c r="CS44" s="641">
        <v>9.5</v>
      </c>
      <c r="CT44" s="551" t="s">
        <v>50</v>
      </c>
      <c r="CU44" s="645">
        <f t="shared" si="43"/>
        <v>1.263157894736842</v>
      </c>
      <c r="CV44" s="645">
        <f t="shared" si="43"/>
        <v>1.263157894736842</v>
      </c>
      <c r="CW44" s="633" t="s">
        <v>46</v>
      </c>
      <c r="CX44" s="606"/>
      <c r="CY44" s="589"/>
      <c r="CZ44" s="606"/>
      <c r="DA44" s="609"/>
      <c r="DB44" s="562"/>
      <c r="DC44" s="562"/>
      <c r="DD44" s="562"/>
      <c r="DE44" s="562"/>
      <c r="DF44" s="562"/>
      <c r="DG44" s="562"/>
      <c r="DH44" s="562"/>
      <c r="DI44" s="562"/>
      <c r="DJ44" s="562"/>
      <c r="DK44" s="562"/>
      <c r="DL44" s="562"/>
      <c r="DM44" s="562"/>
      <c r="DN44" s="562"/>
      <c r="DO44" s="562"/>
      <c r="DP44" s="562"/>
      <c r="DQ44" s="562"/>
      <c r="DR44" s="562"/>
      <c r="DS44" s="562"/>
      <c r="DT44" s="562"/>
      <c r="DU44" s="562"/>
      <c r="DV44" s="562"/>
      <c r="DW44" s="562"/>
      <c r="DX44" s="562"/>
      <c r="DY44" s="562"/>
      <c r="DZ44" s="562"/>
      <c r="EA44" s="562"/>
      <c r="EB44" s="562"/>
      <c r="EC44" s="562"/>
      <c r="ED44" s="562"/>
      <c r="EE44" s="562"/>
      <c r="EF44" s="562"/>
      <c r="EG44" s="562"/>
      <c r="EH44" s="562"/>
      <c r="EI44" s="562"/>
      <c r="EJ44" s="562"/>
      <c r="EK44" s="562"/>
      <c r="EL44" s="562"/>
    </row>
    <row r="45" spans="2:142" s="78" customFormat="1" ht="15" customHeight="1" thickBot="1" x14ac:dyDescent="0.3">
      <c r="B45" s="77"/>
      <c r="E45" s="77"/>
      <c r="H45" s="77"/>
      <c r="Q45" s="1058"/>
      <c r="R45" s="99">
        <v>600</v>
      </c>
      <c r="S45" s="100"/>
      <c r="T45" s="95">
        <v>43</v>
      </c>
      <c r="U45" s="79"/>
      <c r="V45" s="79"/>
      <c r="W45" s="79"/>
      <c r="Y45" s="90">
        <v>43</v>
      </c>
      <c r="Z45" s="472" t="str">
        <f>IF(Inventory!$C52="","",VLOOKUP(Inventory!$C52,$B$3:$C$5,2,FALSE))</f>
        <v/>
      </c>
      <c r="AA45" s="472" t="str">
        <f>IF($Z45="","",IF(AND($Z45="b",Inventory!$G52=""),"",IF(AND($Z45="b",Inventory!$G52&lt;&gt;""),VLOOKUP(Inventory!$G52,$E$3:$F$10,2,FALSE),IF(AND($Z45="a",Inventory!$Z52=""),"",IF(AND($Z45="a",Inventory!$Z52&lt;&gt;""),VLOOKUP(Inventory!$Z52,$E$3:$F$10,2,FALSE),IF(AND($Z45="c",Inventory!$Z52=""),"",IF(AND($Z45="c",Inventory!$Z52&lt;&gt;""),VLOOKUP(Inventory!$Z52,$E$3:$F$10,2,FALSE),"")))))))</f>
        <v/>
      </c>
      <c r="AB45" s="472" t="str">
        <f>IF($Z45="","a",IF(AND($Z45="b",Inventory!$J52=""),"a",IF(AND($Z45="b",Inventory!$J52&lt;&gt;""),VLOOKUP(Inventory!$J52,$H$4:$I$6,2,FALSE),IF(AND($Z45="a",Inventory!$AA52=""),"a",IF(AND($Z45="a",Inventory!$AA52&lt;&gt;""),VLOOKUP(Inventory!$AA52,$H$4:$I$6,2,FALSE),IF(AND($Z45="c",Inventory!$AA52=""),"a",IF(AND($Z45="c",Inventory!$AA52&lt;&gt;""),VLOOKUP(Inventory!$AA52,$H$4:$I$6,2,FALSE),"a")))))))</f>
        <v>a</v>
      </c>
      <c r="AC45" s="506" t="str">
        <f t="shared" si="11"/>
        <v>a</v>
      </c>
      <c r="AD45" s="473" t="str">
        <f>IF($Z45="","a",IF(AND($Z45="b",Inventory!$L52=""),"a",IF(AND($Z45="b",Inventory!$L52&lt;&gt;""),VLOOKUP(Inventory!$L52,$N$4:$O$5,2,FALSE),IF(AND($Z45="a",Inventory!$AC52=""),"a",IF(AND($Z45="a",Inventory!$AC52&lt;&gt;""),VLOOKUP(Inventory!$AC52,$N$4:$O$5,2,FALSE),IF(AND($Z45="c",Inventory!$AC52=""),"a",IF(AND($Z45="c",Inventory!$AC52&lt;&gt;""),VLOOKUP(Inventory!$AC52,$N$4:$O$5,2,FALSE),"a")))))))</f>
        <v>a</v>
      </c>
      <c r="AE45" s="474">
        <f>IF(OR(Inventory!C52="New Construction",Inventory!C52="Replace-on-Burnout"),Inventory!AF52,IF(Inventory!C52="Early Retirement",MIN(Inventory!AE52,Inventory!AF52),0))</f>
        <v>0</v>
      </c>
      <c r="AF45" s="475" t="str">
        <f t="shared" si="12"/>
        <v/>
      </c>
      <c r="AG45" s="475" t="str">
        <f t="shared" si="0"/>
        <v/>
      </c>
      <c r="AH45" s="475" t="str">
        <f t="shared" si="1"/>
        <v/>
      </c>
      <c r="AI45" s="475" t="str">
        <f t="shared" si="2"/>
        <v/>
      </c>
      <c r="AJ45" s="475" t="str">
        <f t="shared" si="3"/>
        <v/>
      </c>
      <c r="AK45" s="475" t="str">
        <f t="shared" si="13"/>
        <v/>
      </c>
      <c r="AL45" s="475" t="str">
        <f t="shared" si="14"/>
        <v/>
      </c>
      <c r="AM45" s="475" t="str">
        <f t="shared" si="15"/>
        <v/>
      </c>
      <c r="AN45" s="475" t="str">
        <f t="shared" si="16"/>
        <v/>
      </c>
      <c r="AO45" s="475" t="str">
        <f t="shared" si="17"/>
        <v/>
      </c>
      <c r="AP45" s="475" t="str">
        <f t="shared" si="18"/>
        <v/>
      </c>
      <c r="AQ45" s="475" t="str">
        <f t="shared" si="19"/>
        <v/>
      </c>
      <c r="AR45" s="475" t="str">
        <f t="shared" si="20"/>
        <v/>
      </c>
      <c r="AS45" s="475" t="str">
        <f t="shared" si="21"/>
        <v/>
      </c>
      <c r="AT45" s="475" t="str">
        <f t="shared" si="22"/>
        <v/>
      </c>
      <c r="AU45" s="475" t="str">
        <f t="shared" si="23"/>
        <v/>
      </c>
      <c r="AV45" s="475" t="str">
        <f t="shared" si="4"/>
        <v/>
      </c>
      <c r="AW45" s="473">
        <f t="shared" si="5"/>
        <v>0</v>
      </c>
      <c r="AX45" s="473" t="str">
        <f>IF(AND($Z45="b",OR($AA45="a",$AA45="b"),Inventory!$I52="",$AE45&lt;(65000/12000)),"x",IF(AND($Z45="b",OR($AA45="a",$AA45="b"),Inventory!$I52&lt;&gt;"",$AE45&lt;(65000/12000)),VLOOKUP(Inventory!$I52,$V$4:$W$5,2,FALSE),"x"))</f>
        <v>x</v>
      </c>
      <c r="AY45" s="476" t="str">
        <f t="shared" si="24"/>
        <v>aaa0</v>
      </c>
      <c r="AZ45" s="477" t="str">
        <f t="shared" si="25"/>
        <v>No</v>
      </c>
      <c r="BA45" s="759" t="str">
        <f t="shared" si="26"/>
        <v>No</v>
      </c>
      <c r="BB45" s="477">
        <f>IF($Z45="c",Inventory!$AB52,Inventory!$K52)</f>
        <v>0</v>
      </c>
      <c r="BC45" s="478">
        <f>IF(AND($Z45="b",Inventory!$N52="Btu/hr"),Inventory!$M52,IF(AND($Z45="b",Inventory!$N52="Tons"),Inventory!$M52*12000,IF(AND($Z45&lt;&gt;"b",Inventory!$AK52="Btu/hr"),Inventory!$AD52,IF(AND($Z45&lt;&gt;"b",Inventory!$AK52="Tons"),Inventory!$AD52*12000,0))))</f>
        <v>0</v>
      </c>
      <c r="BD45" s="478">
        <f t="shared" si="27"/>
        <v>0</v>
      </c>
      <c r="BE45" s="479">
        <f t="shared" si="28"/>
        <v>0</v>
      </c>
      <c r="BF45" s="477" t="s">
        <v>50</v>
      </c>
      <c r="BG45" s="479">
        <f t="shared" si="6"/>
        <v>0</v>
      </c>
      <c r="BH45" s="477" t="s">
        <v>46</v>
      </c>
      <c r="BI45" s="760">
        <f>IF(AND($Z45="b",Inventory!$P52="Btu/hr"),Inventory!$O52,IF(AND($Z45="b",Inventory!$P52="Tons"),Inventory!$O52*12000,IF(AND($Z45&lt;&gt;"b",Inventory!$AM52="Btu/hr"),Inventory!$AL52,IF(AND($Z45&lt;&gt;"b",Inventory!$AM52="Tons"),Inventory!$AL52*12000,0))))</f>
        <v>0</v>
      </c>
      <c r="BJ45" s="760">
        <f t="shared" si="29"/>
        <v>0</v>
      </c>
      <c r="BK45" s="598">
        <f t="shared" si="30"/>
        <v>0</v>
      </c>
      <c r="BL45" s="759" t="s">
        <v>567</v>
      </c>
      <c r="BM45" s="477" t="str">
        <f t="shared" si="7"/>
        <v>No</v>
      </c>
      <c r="BN45" s="477" t="str">
        <f>IF(OR(Inventory!$H52="",$BM45="No"),"-",Inventory!$H52)</f>
        <v>-</v>
      </c>
      <c r="BO45" s="477" t="str">
        <f>IFERROR(VLOOKUP(BN45,'Early Retirement'!$B$6:$C$33,2,FALSE),"-")</f>
        <v>-</v>
      </c>
      <c r="BP45" s="477" t="str">
        <f>IF(Inventory!$J52="Centrifugal","Yes","No")</f>
        <v>No</v>
      </c>
      <c r="BQ45" s="477">
        <f t="shared" si="31"/>
        <v>0</v>
      </c>
      <c r="BR45" s="477" t="str">
        <f t="shared" si="32"/>
        <v>-</v>
      </c>
      <c r="BS45" s="479">
        <f>IFERROR(INDEX('Early Retirement'!$C$4:$AC$33,$BO45,$BR45),0)</f>
        <v>0</v>
      </c>
      <c r="BT45" s="477">
        <f>IFERROR(HLOOKUP($BR45,'Early Retirement'!$D$4:$AC$5,2,FALSE),0)</f>
        <v>0</v>
      </c>
      <c r="BU45" s="761">
        <f>IFERROR(INDEX('Early Retirement'!$AE$4:$BE$33,$BO45,$BR45),0)</f>
        <v>0</v>
      </c>
      <c r="BV45" s="759">
        <f>IFERROR(HLOOKUP($BR45,'Early Retirement'!$AF$4:$BE$5,2,FALSE),0)</f>
        <v>0</v>
      </c>
      <c r="BW45" s="479">
        <f t="shared" si="41"/>
        <v>0</v>
      </c>
      <c r="BX45" s="761">
        <f t="shared" si="33"/>
        <v>0</v>
      </c>
      <c r="BY45" s="477" t="s">
        <v>46</v>
      </c>
      <c r="BZ45" s="598">
        <f>IFERROR(INDEX('Early Retirement'!$BG$4:$CG$33,$BO45,$BR45),0)</f>
        <v>0</v>
      </c>
      <c r="CA45" s="759">
        <f>IFERROR(HLOOKUP($BR45,'Early Retirement'!$BH$4:$CH$5,2,FALSE),0)</f>
        <v>0</v>
      </c>
      <c r="CB45" s="598">
        <f t="shared" si="34"/>
        <v>0</v>
      </c>
      <c r="CC45" s="759" t="s">
        <v>567</v>
      </c>
      <c r="CD45" s="477" t="str">
        <f t="shared" si="8"/>
        <v>Yes</v>
      </c>
      <c r="CE45" s="479">
        <f t="shared" si="9"/>
        <v>0</v>
      </c>
      <c r="CF45" s="761">
        <f t="shared" si="10"/>
        <v>0</v>
      </c>
      <c r="CG45" s="759" t="s">
        <v>46</v>
      </c>
      <c r="CH45" s="598">
        <f t="shared" si="35"/>
        <v>0</v>
      </c>
      <c r="CI45" s="759" t="s">
        <v>567</v>
      </c>
      <c r="CJ45" s="480">
        <f t="shared" si="36"/>
        <v>0</v>
      </c>
      <c r="CK45" s="583">
        <f t="shared" si="37"/>
        <v>0</v>
      </c>
      <c r="CL45" s="596" t="s">
        <v>46</v>
      </c>
      <c r="CM45" s="581">
        <f t="shared" si="38"/>
        <v>0</v>
      </c>
      <c r="CN45" s="762" t="s">
        <v>567</v>
      </c>
      <c r="CP45" s="90" t="s">
        <v>489</v>
      </c>
      <c r="CQ45" s="121">
        <v>9.3000000000000007</v>
      </c>
      <c r="CR45" s="307" t="s">
        <v>50</v>
      </c>
      <c r="CS45" s="641">
        <v>9.3000000000000007</v>
      </c>
      <c r="CT45" s="551" t="s">
        <v>50</v>
      </c>
      <c r="CU45" s="645">
        <f t="shared" ref="CU45:CV46" si="44">12/$CQ45</f>
        <v>1.2903225806451613</v>
      </c>
      <c r="CV45" s="645">
        <f t="shared" si="44"/>
        <v>1.2903225806451613</v>
      </c>
      <c r="CW45" s="633" t="s">
        <v>46</v>
      </c>
      <c r="CX45" s="606"/>
      <c r="CY45" s="589"/>
      <c r="CZ45" s="606"/>
      <c r="DA45" s="609"/>
      <c r="DB45" s="562"/>
      <c r="DC45" s="562"/>
      <c r="DD45" s="562"/>
      <c r="DE45" s="562"/>
      <c r="DF45" s="562"/>
      <c r="DG45" s="562"/>
      <c r="DH45" s="562"/>
      <c r="DI45" s="562"/>
      <c r="DJ45" s="562"/>
      <c r="DK45" s="562"/>
      <c r="DL45" s="562"/>
      <c r="DM45" s="562"/>
      <c r="DN45" s="562"/>
      <c r="DO45" s="562"/>
      <c r="DP45" s="562"/>
      <c r="DQ45" s="562"/>
      <c r="DR45" s="562"/>
      <c r="DS45" s="562"/>
      <c r="DT45" s="562"/>
      <c r="DU45" s="562"/>
      <c r="DV45" s="562"/>
      <c r="DW45" s="562"/>
      <c r="DX45" s="562"/>
      <c r="DY45" s="562"/>
      <c r="DZ45" s="562"/>
      <c r="EA45" s="562"/>
      <c r="EB45" s="562"/>
      <c r="EC45" s="562"/>
      <c r="ED45" s="562"/>
      <c r="EE45" s="562"/>
      <c r="EF45" s="562"/>
      <c r="EG45" s="562"/>
      <c r="EH45" s="562"/>
      <c r="EI45" s="562"/>
      <c r="EJ45" s="562"/>
      <c r="EK45" s="562"/>
      <c r="EL45" s="562"/>
    </row>
    <row r="46" spans="2:142" s="78" customFormat="1" ht="15" customHeight="1" x14ac:dyDescent="0.25">
      <c r="B46" s="77"/>
      <c r="E46" s="77"/>
      <c r="H46" s="77"/>
      <c r="U46" s="79"/>
      <c r="V46" s="79"/>
      <c r="W46" s="79"/>
      <c r="Y46" s="90">
        <v>44</v>
      </c>
      <c r="Z46" s="472" t="str">
        <f>IF(Inventory!$C53="","",VLOOKUP(Inventory!$C53,$B$3:$C$5,2,FALSE))</f>
        <v/>
      </c>
      <c r="AA46" s="472" t="str">
        <f>IF($Z46="","",IF(AND($Z46="b",Inventory!$G53=""),"",IF(AND($Z46="b",Inventory!$G53&lt;&gt;""),VLOOKUP(Inventory!$G53,$E$3:$F$10,2,FALSE),IF(AND($Z46="a",Inventory!$Z53=""),"",IF(AND($Z46="a",Inventory!$Z53&lt;&gt;""),VLOOKUP(Inventory!$Z53,$E$3:$F$10,2,FALSE),IF(AND($Z46="c",Inventory!$Z53=""),"",IF(AND($Z46="c",Inventory!$Z53&lt;&gt;""),VLOOKUP(Inventory!$Z53,$E$3:$F$10,2,FALSE),"")))))))</f>
        <v/>
      </c>
      <c r="AB46" s="472" t="str">
        <f>IF($Z46="","a",IF(AND($Z46="b",Inventory!$J53=""),"a",IF(AND($Z46="b",Inventory!$J53&lt;&gt;""),VLOOKUP(Inventory!$J53,$H$4:$I$6,2,FALSE),IF(AND($Z46="a",Inventory!$AA53=""),"a",IF(AND($Z46="a",Inventory!$AA53&lt;&gt;""),VLOOKUP(Inventory!$AA53,$H$4:$I$6,2,FALSE),IF(AND($Z46="c",Inventory!$AA53=""),"a",IF(AND($Z46="c",Inventory!$AA53&lt;&gt;""),VLOOKUP(Inventory!$AA53,$H$4:$I$6,2,FALSE),"a")))))))</f>
        <v>a</v>
      </c>
      <c r="AC46" s="506" t="str">
        <f t="shared" si="11"/>
        <v>a</v>
      </c>
      <c r="AD46" s="473" t="str">
        <f>IF($Z46="","a",IF(AND($Z46="b",Inventory!$L53=""),"a",IF(AND($Z46="b",Inventory!$L53&lt;&gt;""),VLOOKUP(Inventory!$L53,$N$4:$O$5,2,FALSE),IF(AND($Z46="a",Inventory!$AC53=""),"a",IF(AND($Z46="a",Inventory!$AC53&lt;&gt;""),VLOOKUP(Inventory!$AC53,$N$4:$O$5,2,FALSE),IF(AND($Z46="c",Inventory!$AC53=""),"a",IF(AND($Z46="c",Inventory!$AC53&lt;&gt;""),VLOOKUP(Inventory!$AC53,$N$4:$O$5,2,FALSE),"a")))))))</f>
        <v>a</v>
      </c>
      <c r="AE46" s="474">
        <f>IF(OR(Inventory!C53="New Construction",Inventory!C53="Replace-on-Burnout"),Inventory!AF53,IF(Inventory!C53="Early Retirement",MIN(Inventory!AE53,Inventory!AF53),0))</f>
        <v>0</v>
      </c>
      <c r="AF46" s="475" t="str">
        <f t="shared" si="12"/>
        <v/>
      </c>
      <c r="AG46" s="475" t="str">
        <f t="shared" si="0"/>
        <v/>
      </c>
      <c r="AH46" s="475" t="str">
        <f t="shared" si="1"/>
        <v/>
      </c>
      <c r="AI46" s="475" t="str">
        <f t="shared" si="2"/>
        <v/>
      </c>
      <c r="AJ46" s="475" t="str">
        <f t="shared" si="3"/>
        <v/>
      </c>
      <c r="AK46" s="475" t="str">
        <f t="shared" si="13"/>
        <v/>
      </c>
      <c r="AL46" s="475" t="str">
        <f t="shared" si="14"/>
        <v/>
      </c>
      <c r="AM46" s="475" t="str">
        <f t="shared" si="15"/>
        <v/>
      </c>
      <c r="AN46" s="475" t="str">
        <f t="shared" si="16"/>
        <v/>
      </c>
      <c r="AO46" s="475" t="str">
        <f t="shared" si="17"/>
        <v/>
      </c>
      <c r="AP46" s="475" t="str">
        <f t="shared" si="18"/>
        <v/>
      </c>
      <c r="AQ46" s="475" t="str">
        <f t="shared" si="19"/>
        <v/>
      </c>
      <c r="AR46" s="475" t="str">
        <f t="shared" si="20"/>
        <v/>
      </c>
      <c r="AS46" s="475" t="str">
        <f t="shared" si="21"/>
        <v/>
      </c>
      <c r="AT46" s="475" t="str">
        <f t="shared" si="22"/>
        <v/>
      </c>
      <c r="AU46" s="475" t="str">
        <f t="shared" si="23"/>
        <v/>
      </c>
      <c r="AV46" s="475" t="str">
        <f t="shared" si="4"/>
        <v/>
      </c>
      <c r="AW46" s="473">
        <f t="shared" si="5"/>
        <v>0</v>
      </c>
      <c r="AX46" s="473" t="str">
        <f>IF(AND($Z46="b",OR($AA46="a",$AA46="b"),Inventory!$I53="",$AE46&lt;(65000/12000)),"x",IF(AND($Z46="b",OR($AA46="a",$AA46="b"),Inventory!$I53&lt;&gt;"",$AE46&lt;(65000/12000)),VLOOKUP(Inventory!$I53,$V$4:$W$5,2,FALSE),"x"))</f>
        <v>x</v>
      </c>
      <c r="AY46" s="476" t="str">
        <f t="shared" si="24"/>
        <v>aaa0</v>
      </c>
      <c r="AZ46" s="477" t="str">
        <f t="shared" si="25"/>
        <v>No</v>
      </c>
      <c r="BA46" s="759" t="str">
        <f t="shared" si="26"/>
        <v>No</v>
      </c>
      <c r="BB46" s="477">
        <f>IF($Z46="c",Inventory!$AB53,Inventory!$K53)</f>
        <v>0</v>
      </c>
      <c r="BC46" s="478">
        <f>IF(AND($Z46="b",Inventory!$N53="Btu/hr"),Inventory!$M53,IF(AND($Z46="b",Inventory!$N53="Tons"),Inventory!$M53*12000,IF(AND($Z46&lt;&gt;"b",Inventory!$AK53="Btu/hr"),Inventory!$AD53,IF(AND($Z46&lt;&gt;"b",Inventory!$AK53="Tons"),Inventory!$AD53*12000,0))))</f>
        <v>0</v>
      </c>
      <c r="BD46" s="478">
        <f t="shared" si="27"/>
        <v>0</v>
      </c>
      <c r="BE46" s="479">
        <f t="shared" si="28"/>
        <v>0</v>
      </c>
      <c r="BF46" s="477" t="s">
        <v>50</v>
      </c>
      <c r="BG46" s="479">
        <f t="shared" si="6"/>
        <v>0</v>
      </c>
      <c r="BH46" s="477" t="s">
        <v>46</v>
      </c>
      <c r="BI46" s="760">
        <f>IF(AND($Z46="b",Inventory!$P53="Btu/hr"),Inventory!$O53,IF(AND($Z46="b",Inventory!$P53="Tons"),Inventory!$O53*12000,IF(AND($Z46&lt;&gt;"b",Inventory!$AM53="Btu/hr"),Inventory!$AL53,IF(AND($Z46&lt;&gt;"b",Inventory!$AM53="Tons"),Inventory!$AL53*12000,0))))</f>
        <v>0</v>
      </c>
      <c r="BJ46" s="760">
        <f t="shared" si="29"/>
        <v>0</v>
      </c>
      <c r="BK46" s="598">
        <f t="shared" si="30"/>
        <v>0</v>
      </c>
      <c r="BL46" s="759" t="s">
        <v>567</v>
      </c>
      <c r="BM46" s="477" t="str">
        <f t="shared" si="7"/>
        <v>No</v>
      </c>
      <c r="BN46" s="477" t="str">
        <f>IF(OR(Inventory!$H53="",$BM46="No"),"-",Inventory!$H53)</f>
        <v>-</v>
      </c>
      <c r="BO46" s="477" t="str">
        <f>IFERROR(VLOOKUP(BN46,'Early Retirement'!$B$6:$C$33,2,FALSE),"-")</f>
        <v>-</v>
      </c>
      <c r="BP46" s="477" t="str">
        <f>IF(Inventory!$J53="Centrifugal","Yes","No")</f>
        <v>No</v>
      </c>
      <c r="BQ46" s="477">
        <f t="shared" si="31"/>
        <v>0</v>
      </c>
      <c r="BR46" s="477" t="str">
        <f t="shared" si="32"/>
        <v>-</v>
      </c>
      <c r="BS46" s="479">
        <f>IFERROR(INDEX('Early Retirement'!$C$4:$AC$33,$BO46,$BR46),0)</f>
        <v>0</v>
      </c>
      <c r="BT46" s="477">
        <f>IFERROR(HLOOKUP($BR46,'Early Retirement'!$D$4:$AC$5,2,FALSE),0)</f>
        <v>0</v>
      </c>
      <c r="BU46" s="761">
        <f>IFERROR(INDEX('Early Retirement'!$AE$4:$BE$33,$BO46,$BR46),0)</f>
        <v>0</v>
      </c>
      <c r="BV46" s="759">
        <f>IFERROR(HLOOKUP($BR46,'Early Retirement'!$AF$4:$BE$5,2,FALSE),0)</f>
        <v>0</v>
      </c>
      <c r="BW46" s="479">
        <f t="shared" si="41"/>
        <v>0</v>
      </c>
      <c r="BX46" s="761">
        <f t="shared" si="33"/>
        <v>0</v>
      </c>
      <c r="BY46" s="477" t="s">
        <v>46</v>
      </c>
      <c r="BZ46" s="598">
        <f>IFERROR(INDEX('Early Retirement'!$BG$4:$CG$33,$BO46,$BR46),0)</f>
        <v>0</v>
      </c>
      <c r="CA46" s="759">
        <f>IFERROR(HLOOKUP($BR46,'Early Retirement'!$BH$4:$CH$5,2,FALSE),0)</f>
        <v>0</v>
      </c>
      <c r="CB46" s="598">
        <f t="shared" si="34"/>
        <v>0</v>
      </c>
      <c r="CC46" s="759" t="s">
        <v>567</v>
      </c>
      <c r="CD46" s="477" t="str">
        <f t="shared" si="8"/>
        <v>Yes</v>
      </c>
      <c r="CE46" s="479">
        <f t="shared" si="9"/>
        <v>0</v>
      </c>
      <c r="CF46" s="761">
        <f t="shared" si="10"/>
        <v>0</v>
      </c>
      <c r="CG46" s="759" t="s">
        <v>46</v>
      </c>
      <c r="CH46" s="598">
        <f t="shared" si="35"/>
        <v>0</v>
      </c>
      <c r="CI46" s="759" t="s">
        <v>567</v>
      </c>
      <c r="CJ46" s="480">
        <f t="shared" si="36"/>
        <v>0</v>
      </c>
      <c r="CK46" s="583">
        <f t="shared" si="37"/>
        <v>0</v>
      </c>
      <c r="CL46" s="596" t="s">
        <v>46</v>
      </c>
      <c r="CM46" s="581">
        <f t="shared" si="38"/>
        <v>0</v>
      </c>
      <c r="CN46" s="762" t="s">
        <v>567</v>
      </c>
      <c r="CP46" s="90" t="s">
        <v>490</v>
      </c>
      <c r="CQ46" s="121">
        <v>9.4</v>
      </c>
      <c r="CR46" s="307" t="s">
        <v>50</v>
      </c>
      <c r="CS46" s="641">
        <v>9.4</v>
      </c>
      <c r="CT46" s="551" t="s">
        <v>50</v>
      </c>
      <c r="CU46" s="645">
        <f t="shared" si="44"/>
        <v>1.2765957446808509</v>
      </c>
      <c r="CV46" s="645">
        <f t="shared" si="44"/>
        <v>1.2765957446808509</v>
      </c>
      <c r="CW46" s="633" t="s">
        <v>46</v>
      </c>
      <c r="CX46" s="606"/>
      <c r="CY46" s="589"/>
      <c r="CZ46" s="606"/>
      <c r="DA46" s="609"/>
      <c r="DB46" s="562"/>
      <c r="DC46" s="562"/>
      <c r="DD46" s="562"/>
      <c r="DE46" s="562"/>
      <c r="DF46" s="562"/>
      <c r="DG46" s="562"/>
      <c r="DH46" s="562"/>
      <c r="DI46" s="562"/>
      <c r="DJ46" s="562"/>
      <c r="DK46" s="562"/>
      <c r="DL46" s="562"/>
      <c r="DM46" s="562"/>
      <c r="DN46" s="562"/>
      <c r="DO46" s="562"/>
      <c r="DP46" s="562"/>
      <c r="DQ46" s="562"/>
      <c r="DR46" s="562"/>
      <c r="DS46" s="562"/>
      <c r="DT46" s="562"/>
      <c r="DU46" s="562"/>
      <c r="DV46" s="562"/>
      <c r="DW46" s="562"/>
      <c r="DX46" s="562"/>
      <c r="DY46" s="562"/>
      <c r="DZ46" s="562"/>
      <c r="EA46" s="562"/>
      <c r="EB46" s="562"/>
      <c r="EC46" s="562"/>
      <c r="ED46" s="562"/>
      <c r="EE46" s="562"/>
      <c r="EF46" s="562"/>
      <c r="EG46" s="562"/>
      <c r="EH46" s="562"/>
      <c r="EI46" s="562"/>
      <c r="EJ46" s="562"/>
      <c r="EK46" s="562"/>
      <c r="EL46" s="562"/>
    </row>
    <row r="47" spans="2:142" s="78" customFormat="1" ht="15" customHeight="1" x14ac:dyDescent="0.25">
      <c r="B47" s="77"/>
      <c r="E47" s="77"/>
      <c r="H47" s="77"/>
      <c r="U47" s="79"/>
      <c r="V47" s="79"/>
      <c r="W47" s="79"/>
      <c r="Y47" s="90">
        <v>45</v>
      </c>
      <c r="Z47" s="472" t="str">
        <f>IF(Inventory!$C54="","",VLOOKUP(Inventory!$C54,$B$3:$C$5,2,FALSE))</f>
        <v/>
      </c>
      <c r="AA47" s="472" t="str">
        <f>IF($Z47="","",IF(AND($Z47="b",Inventory!$G54=""),"",IF(AND($Z47="b",Inventory!$G54&lt;&gt;""),VLOOKUP(Inventory!$G54,$E$3:$F$10,2,FALSE),IF(AND($Z47="a",Inventory!$Z54=""),"",IF(AND($Z47="a",Inventory!$Z54&lt;&gt;""),VLOOKUP(Inventory!$Z54,$E$3:$F$10,2,FALSE),IF(AND($Z47="c",Inventory!$Z54=""),"",IF(AND($Z47="c",Inventory!$Z54&lt;&gt;""),VLOOKUP(Inventory!$Z54,$E$3:$F$10,2,FALSE),"")))))))</f>
        <v/>
      </c>
      <c r="AB47" s="472" t="str">
        <f>IF($Z47="","a",IF(AND($Z47="b",Inventory!$J54=""),"a",IF(AND($Z47="b",Inventory!$J54&lt;&gt;""),VLOOKUP(Inventory!$J54,$H$4:$I$6,2,FALSE),IF(AND($Z47="a",Inventory!$AA54=""),"a",IF(AND($Z47="a",Inventory!$AA54&lt;&gt;""),VLOOKUP(Inventory!$AA54,$H$4:$I$6,2,FALSE),IF(AND($Z47="c",Inventory!$AA54=""),"a",IF(AND($Z47="c",Inventory!$AA54&lt;&gt;""),VLOOKUP(Inventory!$AA54,$H$4:$I$6,2,FALSE),"a")))))))</f>
        <v>a</v>
      </c>
      <c r="AC47" s="506" t="str">
        <f t="shared" si="11"/>
        <v>a</v>
      </c>
      <c r="AD47" s="473" t="str">
        <f>IF($Z47="","a",IF(AND($Z47="b",Inventory!$L54=""),"a",IF(AND($Z47="b",Inventory!$L54&lt;&gt;""),VLOOKUP(Inventory!$L54,$N$4:$O$5,2,FALSE),IF(AND($Z47="a",Inventory!$AC54=""),"a",IF(AND($Z47="a",Inventory!$AC54&lt;&gt;""),VLOOKUP(Inventory!$AC54,$N$4:$O$5,2,FALSE),IF(AND($Z47="c",Inventory!$AC54=""),"a",IF(AND($Z47="c",Inventory!$AC54&lt;&gt;""),VLOOKUP(Inventory!$AC54,$N$4:$O$5,2,FALSE),"a")))))))</f>
        <v>a</v>
      </c>
      <c r="AE47" s="474">
        <f>IF(OR(Inventory!C54="New Construction",Inventory!C54="Replace-on-Burnout"),Inventory!AF54,IF(Inventory!C54="Early Retirement",MIN(Inventory!AE54,Inventory!AF54),0))</f>
        <v>0</v>
      </c>
      <c r="AF47" s="475" t="str">
        <f t="shared" si="12"/>
        <v/>
      </c>
      <c r="AG47" s="475" t="str">
        <f t="shared" si="0"/>
        <v/>
      </c>
      <c r="AH47" s="475" t="str">
        <f t="shared" si="1"/>
        <v/>
      </c>
      <c r="AI47" s="475" t="str">
        <f t="shared" si="2"/>
        <v/>
      </c>
      <c r="AJ47" s="475" t="str">
        <f t="shared" si="3"/>
        <v/>
      </c>
      <c r="AK47" s="475" t="str">
        <f t="shared" si="13"/>
        <v/>
      </c>
      <c r="AL47" s="475" t="str">
        <f t="shared" si="14"/>
        <v/>
      </c>
      <c r="AM47" s="475" t="str">
        <f t="shared" si="15"/>
        <v/>
      </c>
      <c r="AN47" s="475" t="str">
        <f t="shared" si="16"/>
        <v/>
      </c>
      <c r="AO47" s="475" t="str">
        <f t="shared" si="17"/>
        <v/>
      </c>
      <c r="AP47" s="475" t="str">
        <f t="shared" si="18"/>
        <v/>
      </c>
      <c r="AQ47" s="475" t="str">
        <f t="shared" si="19"/>
        <v/>
      </c>
      <c r="AR47" s="475" t="str">
        <f t="shared" si="20"/>
        <v/>
      </c>
      <c r="AS47" s="475" t="str">
        <f t="shared" si="21"/>
        <v/>
      </c>
      <c r="AT47" s="475" t="str">
        <f t="shared" si="22"/>
        <v/>
      </c>
      <c r="AU47" s="475" t="str">
        <f t="shared" si="23"/>
        <v/>
      </c>
      <c r="AV47" s="475" t="str">
        <f t="shared" si="4"/>
        <v/>
      </c>
      <c r="AW47" s="473">
        <f t="shared" si="5"/>
        <v>0</v>
      </c>
      <c r="AX47" s="473" t="str">
        <f>IF(AND($Z47="b",OR($AA47="a",$AA47="b"),Inventory!$I54="",$AE47&lt;(65000/12000)),"x",IF(AND($Z47="b",OR($AA47="a",$AA47="b"),Inventory!$I54&lt;&gt;"",$AE47&lt;(65000/12000)),VLOOKUP(Inventory!$I54,$V$4:$W$5,2,FALSE),"x"))</f>
        <v>x</v>
      </c>
      <c r="AY47" s="476" t="str">
        <f t="shared" si="24"/>
        <v>aaa0</v>
      </c>
      <c r="AZ47" s="477" t="str">
        <f t="shared" si="25"/>
        <v>No</v>
      </c>
      <c r="BA47" s="759" t="str">
        <f t="shared" si="26"/>
        <v>No</v>
      </c>
      <c r="BB47" s="477">
        <f>IF($Z47="c",Inventory!$AB54,Inventory!$K54)</f>
        <v>0</v>
      </c>
      <c r="BC47" s="478">
        <f>IF(AND($Z47="b",Inventory!$N54="Btu/hr"),Inventory!$M54,IF(AND($Z47="b",Inventory!$N54="Tons"),Inventory!$M54*12000,IF(AND($Z47&lt;&gt;"b",Inventory!$AK54="Btu/hr"),Inventory!$AD54,IF(AND($Z47&lt;&gt;"b",Inventory!$AK54="Tons"),Inventory!$AD54*12000,0))))</f>
        <v>0</v>
      </c>
      <c r="BD47" s="478">
        <f t="shared" si="27"/>
        <v>0</v>
      </c>
      <c r="BE47" s="479">
        <f t="shared" si="28"/>
        <v>0</v>
      </c>
      <c r="BF47" s="477" t="s">
        <v>50</v>
      </c>
      <c r="BG47" s="479">
        <f t="shared" si="6"/>
        <v>0</v>
      </c>
      <c r="BH47" s="477" t="s">
        <v>46</v>
      </c>
      <c r="BI47" s="760">
        <f>IF(AND($Z47="b",Inventory!$P54="Btu/hr"),Inventory!$O54,IF(AND($Z47="b",Inventory!$P54="Tons"),Inventory!$O54*12000,IF(AND($Z47&lt;&gt;"b",Inventory!$AM54="Btu/hr"),Inventory!$AL54,IF(AND($Z47&lt;&gt;"b",Inventory!$AM54="Tons"),Inventory!$AL54*12000,0))))</f>
        <v>0</v>
      </c>
      <c r="BJ47" s="760">
        <f t="shared" si="29"/>
        <v>0</v>
      </c>
      <c r="BK47" s="598">
        <f t="shared" si="30"/>
        <v>0</v>
      </c>
      <c r="BL47" s="759" t="s">
        <v>567</v>
      </c>
      <c r="BM47" s="477" t="str">
        <f t="shared" si="7"/>
        <v>No</v>
      </c>
      <c r="BN47" s="477" t="str">
        <f>IF(OR(Inventory!$H54="",$BM47="No"),"-",Inventory!$H54)</f>
        <v>-</v>
      </c>
      <c r="BO47" s="477" t="str">
        <f>IFERROR(VLOOKUP(BN47,'Early Retirement'!$B$6:$C$33,2,FALSE),"-")</f>
        <v>-</v>
      </c>
      <c r="BP47" s="477" t="str">
        <f>IF(Inventory!$J54="Centrifugal","Yes","No")</f>
        <v>No</v>
      </c>
      <c r="BQ47" s="477">
        <f t="shared" si="31"/>
        <v>0</v>
      </c>
      <c r="BR47" s="477" t="str">
        <f t="shared" si="32"/>
        <v>-</v>
      </c>
      <c r="BS47" s="479">
        <f>IFERROR(INDEX('Early Retirement'!$C$4:$AC$33,$BO47,$BR47),0)</f>
        <v>0</v>
      </c>
      <c r="BT47" s="477">
        <f>IFERROR(HLOOKUP($BR47,'Early Retirement'!$D$4:$AC$5,2,FALSE),0)</f>
        <v>0</v>
      </c>
      <c r="BU47" s="761">
        <f>IFERROR(INDEX('Early Retirement'!$AE$4:$BE$33,$BO47,$BR47),0)</f>
        <v>0</v>
      </c>
      <c r="BV47" s="759">
        <f>IFERROR(HLOOKUP($BR47,'Early Retirement'!$AF$4:$BE$5,2,FALSE),0)</f>
        <v>0</v>
      </c>
      <c r="BW47" s="479">
        <f t="shared" si="41"/>
        <v>0</v>
      </c>
      <c r="BX47" s="761">
        <f t="shared" si="33"/>
        <v>0</v>
      </c>
      <c r="BY47" s="477" t="s">
        <v>46</v>
      </c>
      <c r="BZ47" s="598">
        <f>IFERROR(INDEX('Early Retirement'!$BG$4:$CG$33,$BO47,$BR47),0)</f>
        <v>0</v>
      </c>
      <c r="CA47" s="759">
        <f>IFERROR(HLOOKUP($BR47,'Early Retirement'!$BH$4:$CH$5,2,FALSE),0)</f>
        <v>0</v>
      </c>
      <c r="CB47" s="598">
        <f t="shared" si="34"/>
        <v>0</v>
      </c>
      <c r="CC47" s="759" t="s">
        <v>567</v>
      </c>
      <c r="CD47" s="477" t="str">
        <f t="shared" si="8"/>
        <v>Yes</v>
      </c>
      <c r="CE47" s="479">
        <f t="shared" si="9"/>
        <v>0</v>
      </c>
      <c r="CF47" s="761">
        <f t="shared" si="10"/>
        <v>0</v>
      </c>
      <c r="CG47" s="759" t="s">
        <v>46</v>
      </c>
      <c r="CH47" s="598">
        <f t="shared" si="35"/>
        <v>0</v>
      </c>
      <c r="CI47" s="759" t="s">
        <v>567</v>
      </c>
      <c r="CJ47" s="480">
        <f t="shared" si="36"/>
        <v>0</v>
      </c>
      <c r="CK47" s="583">
        <f t="shared" si="37"/>
        <v>0</v>
      </c>
      <c r="CL47" s="596" t="s">
        <v>46</v>
      </c>
      <c r="CM47" s="581">
        <f t="shared" si="38"/>
        <v>0</v>
      </c>
      <c r="CN47" s="762" t="s">
        <v>567</v>
      </c>
      <c r="CP47" s="90" t="s">
        <v>491</v>
      </c>
      <c r="CQ47" s="121">
        <v>9.8000000000000007</v>
      </c>
      <c r="CR47" s="307" t="s">
        <v>50</v>
      </c>
      <c r="CS47" s="641">
        <v>9.8000000000000007</v>
      </c>
      <c r="CT47" s="551" t="s">
        <v>50</v>
      </c>
      <c r="CU47" s="645">
        <f t="shared" ref="CU47:CV58" si="45">12/$CQ47</f>
        <v>1.2244897959183672</v>
      </c>
      <c r="CV47" s="645">
        <f t="shared" si="45"/>
        <v>1.2244897959183672</v>
      </c>
      <c r="CW47" s="633" t="s">
        <v>46</v>
      </c>
      <c r="CX47" s="606"/>
      <c r="CY47" s="589"/>
      <c r="CZ47" s="606"/>
      <c r="DA47" s="609"/>
      <c r="DB47" s="562"/>
      <c r="DC47" s="562"/>
      <c r="DD47" s="562"/>
      <c r="DE47" s="562"/>
      <c r="DF47" s="562"/>
      <c r="DG47" s="562"/>
      <c r="DH47" s="562"/>
      <c r="DI47" s="562"/>
      <c r="DJ47" s="562"/>
      <c r="DK47" s="562"/>
      <c r="DL47" s="562"/>
      <c r="DM47" s="562"/>
      <c r="DN47" s="562"/>
      <c r="DO47" s="562"/>
      <c r="DP47" s="562"/>
      <c r="DQ47" s="562"/>
      <c r="DR47" s="562"/>
      <c r="DS47" s="562"/>
      <c r="DT47" s="562"/>
      <c r="DU47" s="562"/>
      <c r="DV47" s="562"/>
      <c r="DW47" s="562"/>
      <c r="DX47" s="562"/>
      <c r="DY47" s="562"/>
      <c r="DZ47" s="562"/>
      <c r="EA47" s="562"/>
      <c r="EB47" s="562"/>
      <c r="EC47" s="562"/>
      <c r="ED47" s="562"/>
      <c r="EE47" s="562"/>
      <c r="EF47" s="562"/>
      <c r="EG47" s="562"/>
      <c r="EH47" s="562"/>
      <c r="EI47" s="562"/>
      <c r="EJ47" s="562"/>
      <c r="EK47" s="562"/>
      <c r="EL47" s="562"/>
    </row>
    <row r="48" spans="2:142" s="78" customFormat="1" ht="15" customHeight="1" x14ac:dyDescent="0.25">
      <c r="B48" s="77"/>
      <c r="E48" s="77"/>
      <c r="H48" s="77"/>
      <c r="Q48" s="481"/>
      <c r="R48" s="482"/>
      <c r="S48" s="482"/>
      <c r="T48" s="79"/>
      <c r="U48" s="79"/>
      <c r="V48" s="79"/>
      <c r="W48" s="79"/>
      <c r="Y48" s="90">
        <v>46</v>
      </c>
      <c r="Z48" s="472" t="str">
        <f>IF(Inventory!$C55="","",VLOOKUP(Inventory!$C55,$B$3:$C$5,2,FALSE))</f>
        <v/>
      </c>
      <c r="AA48" s="472" t="str">
        <f>IF($Z48="","",IF(AND($Z48="b",Inventory!$G55=""),"",IF(AND($Z48="b",Inventory!$G55&lt;&gt;""),VLOOKUP(Inventory!$G55,$E$3:$F$10,2,FALSE),IF(AND($Z48="a",Inventory!$Z55=""),"",IF(AND($Z48="a",Inventory!$Z55&lt;&gt;""),VLOOKUP(Inventory!$Z55,$E$3:$F$10,2,FALSE),IF(AND($Z48="c",Inventory!$Z55=""),"",IF(AND($Z48="c",Inventory!$Z55&lt;&gt;""),VLOOKUP(Inventory!$Z55,$E$3:$F$10,2,FALSE),"")))))))</f>
        <v/>
      </c>
      <c r="AB48" s="472" t="str">
        <f>IF($Z48="","a",IF(AND($Z48="b",Inventory!$J55=""),"a",IF(AND($Z48="b",Inventory!$J55&lt;&gt;""),VLOOKUP(Inventory!$J55,$H$4:$I$6,2,FALSE),IF(AND($Z48="a",Inventory!$AA55=""),"a",IF(AND($Z48="a",Inventory!$AA55&lt;&gt;""),VLOOKUP(Inventory!$AA55,$H$4:$I$6,2,FALSE),IF(AND($Z48="c",Inventory!$AA55=""),"a",IF(AND($Z48="c",Inventory!$AA55&lt;&gt;""),VLOOKUP(Inventory!$AA55,$H$4:$I$6,2,FALSE),"a")))))))</f>
        <v>a</v>
      </c>
      <c r="AC48" s="506" t="str">
        <f t="shared" si="11"/>
        <v>a</v>
      </c>
      <c r="AD48" s="473" t="str">
        <f>IF($Z48="","a",IF(AND($Z48="b",Inventory!$L55=""),"a",IF(AND($Z48="b",Inventory!$L55&lt;&gt;""),VLOOKUP(Inventory!$L55,$N$4:$O$5,2,FALSE),IF(AND($Z48="a",Inventory!$AC55=""),"a",IF(AND($Z48="a",Inventory!$AC55&lt;&gt;""),VLOOKUP(Inventory!$AC55,$N$4:$O$5,2,FALSE),IF(AND($Z48="c",Inventory!$AC55=""),"a",IF(AND($Z48="c",Inventory!$AC55&lt;&gt;""),VLOOKUP(Inventory!$AC55,$N$4:$O$5,2,FALSE),"a")))))))</f>
        <v>a</v>
      </c>
      <c r="AE48" s="474">
        <f>IF(OR(Inventory!C55="New Construction",Inventory!C55="Replace-on-Burnout"),Inventory!AF55,IF(Inventory!C55="Early Retirement",MIN(Inventory!AE55,Inventory!AF55),0))</f>
        <v>0</v>
      </c>
      <c r="AF48" s="475" t="str">
        <f t="shared" si="12"/>
        <v/>
      </c>
      <c r="AG48" s="475" t="str">
        <f t="shared" si="0"/>
        <v/>
      </c>
      <c r="AH48" s="475" t="str">
        <f t="shared" si="1"/>
        <v/>
      </c>
      <c r="AI48" s="475" t="str">
        <f t="shared" si="2"/>
        <v/>
      </c>
      <c r="AJ48" s="475" t="str">
        <f t="shared" si="3"/>
        <v/>
      </c>
      <c r="AK48" s="475" t="str">
        <f t="shared" si="13"/>
        <v/>
      </c>
      <c r="AL48" s="475" t="str">
        <f t="shared" si="14"/>
        <v/>
      </c>
      <c r="AM48" s="475" t="str">
        <f t="shared" si="15"/>
        <v/>
      </c>
      <c r="AN48" s="475" t="str">
        <f t="shared" si="16"/>
        <v/>
      </c>
      <c r="AO48" s="475" t="str">
        <f t="shared" si="17"/>
        <v/>
      </c>
      <c r="AP48" s="475" t="str">
        <f t="shared" si="18"/>
        <v/>
      </c>
      <c r="AQ48" s="475" t="str">
        <f t="shared" si="19"/>
        <v/>
      </c>
      <c r="AR48" s="475" t="str">
        <f t="shared" si="20"/>
        <v/>
      </c>
      <c r="AS48" s="475" t="str">
        <f t="shared" si="21"/>
        <v/>
      </c>
      <c r="AT48" s="475" t="str">
        <f t="shared" si="22"/>
        <v/>
      </c>
      <c r="AU48" s="475" t="str">
        <f t="shared" si="23"/>
        <v/>
      </c>
      <c r="AV48" s="475" t="str">
        <f t="shared" si="4"/>
        <v/>
      </c>
      <c r="AW48" s="473">
        <f t="shared" si="5"/>
        <v>0</v>
      </c>
      <c r="AX48" s="473" t="str">
        <f>IF(AND($Z48="b",OR($AA48="a",$AA48="b"),Inventory!$I55="",$AE48&lt;(65000/12000)),"x",IF(AND($Z48="b",OR($AA48="a",$AA48="b"),Inventory!$I55&lt;&gt;"",$AE48&lt;(65000/12000)),VLOOKUP(Inventory!$I55,$V$4:$W$5,2,FALSE),"x"))</f>
        <v>x</v>
      </c>
      <c r="AY48" s="476" t="str">
        <f t="shared" si="24"/>
        <v>aaa0</v>
      </c>
      <c r="AZ48" s="477" t="str">
        <f t="shared" si="25"/>
        <v>No</v>
      </c>
      <c r="BA48" s="759" t="str">
        <f t="shared" si="26"/>
        <v>No</v>
      </c>
      <c r="BB48" s="477">
        <f>IF($Z48="c",Inventory!$AB55,Inventory!$K55)</f>
        <v>0</v>
      </c>
      <c r="BC48" s="478">
        <f>IF(AND($Z48="b",Inventory!$N55="Btu/hr"),Inventory!$M55,IF(AND($Z48="b",Inventory!$N55="Tons"),Inventory!$M55*12000,IF(AND($Z48&lt;&gt;"b",Inventory!$AK55="Btu/hr"),Inventory!$AD55,IF(AND($Z48&lt;&gt;"b",Inventory!$AK55="Tons"),Inventory!$AD55*12000,0))))</f>
        <v>0</v>
      </c>
      <c r="BD48" s="478">
        <f t="shared" si="27"/>
        <v>0</v>
      </c>
      <c r="BE48" s="479">
        <f t="shared" si="28"/>
        <v>0</v>
      </c>
      <c r="BF48" s="477" t="s">
        <v>50</v>
      </c>
      <c r="BG48" s="479">
        <f t="shared" si="6"/>
        <v>0</v>
      </c>
      <c r="BH48" s="477" t="s">
        <v>46</v>
      </c>
      <c r="BI48" s="760">
        <f>IF(AND($Z48="b",Inventory!$P55="Btu/hr"),Inventory!$O55,IF(AND($Z48="b",Inventory!$P55="Tons"),Inventory!$O55*12000,IF(AND($Z48&lt;&gt;"b",Inventory!$AM55="Btu/hr"),Inventory!$AL55,IF(AND($Z48&lt;&gt;"b",Inventory!$AM55="Tons"),Inventory!$AL55*12000,0))))</f>
        <v>0</v>
      </c>
      <c r="BJ48" s="760">
        <f t="shared" si="29"/>
        <v>0</v>
      </c>
      <c r="BK48" s="598">
        <f t="shared" si="30"/>
        <v>0</v>
      </c>
      <c r="BL48" s="759" t="s">
        <v>567</v>
      </c>
      <c r="BM48" s="477" t="str">
        <f t="shared" si="7"/>
        <v>No</v>
      </c>
      <c r="BN48" s="477" t="str">
        <f>IF(OR(Inventory!$H55="",$BM48="No"),"-",Inventory!$H55)</f>
        <v>-</v>
      </c>
      <c r="BO48" s="477" t="str">
        <f>IFERROR(VLOOKUP(BN48,'Early Retirement'!$B$6:$C$33,2,FALSE),"-")</f>
        <v>-</v>
      </c>
      <c r="BP48" s="477" t="str">
        <f>IF(Inventory!$J55="Centrifugal","Yes","No")</f>
        <v>No</v>
      </c>
      <c r="BQ48" s="477">
        <f t="shared" si="31"/>
        <v>0</v>
      </c>
      <c r="BR48" s="477" t="str">
        <f t="shared" si="32"/>
        <v>-</v>
      </c>
      <c r="BS48" s="479">
        <f>IFERROR(INDEX('Early Retirement'!$C$4:$AC$33,$BO48,$BR48),0)</f>
        <v>0</v>
      </c>
      <c r="BT48" s="477">
        <f>IFERROR(HLOOKUP($BR48,'Early Retirement'!$D$4:$AC$5,2,FALSE),0)</f>
        <v>0</v>
      </c>
      <c r="BU48" s="761">
        <f>IFERROR(INDEX('Early Retirement'!$AE$4:$BE$33,$BO48,$BR48),0)</f>
        <v>0</v>
      </c>
      <c r="BV48" s="759">
        <f>IFERROR(HLOOKUP($BR48,'Early Retirement'!$AF$4:$BE$5,2,FALSE),0)</f>
        <v>0</v>
      </c>
      <c r="BW48" s="479">
        <f t="shared" si="41"/>
        <v>0</v>
      </c>
      <c r="BX48" s="761">
        <f t="shared" si="33"/>
        <v>0</v>
      </c>
      <c r="BY48" s="477" t="s">
        <v>46</v>
      </c>
      <c r="BZ48" s="598">
        <f>IFERROR(INDEX('Early Retirement'!$BG$4:$CG$33,$BO48,$BR48),0)</f>
        <v>0</v>
      </c>
      <c r="CA48" s="759">
        <f>IFERROR(HLOOKUP($BR48,'Early Retirement'!$BH$4:$CH$5,2,FALSE),0)</f>
        <v>0</v>
      </c>
      <c r="CB48" s="598">
        <f t="shared" si="34"/>
        <v>0</v>
      </c>
      <c r="CC48" s="759" t="s">
        <v>567</v>
      </c>
      <c r="CD48" s="477" t="str">
        <f t="shared" si="8"/>
        <v>Yes</v>
      </c>
      <c r="CE48" s="479">
        <f t="shared" si="9"/>
        <v>0</v>
      </c>
      <c r="CF48" s="761">
        <f t="shared" si="10"/>
        <v>0</v>
      </c>
      <c r="CG48" s="759" t="s">
        <v>46</v>
      </c>
      <c r="CH48" s="598">
        <f t="shared" si="35"/>
        <v>0</v>
      </c>
      <c r="CI48" s="759" t="s">
        <v>567</v>
      </c>
      <c r="CJ48" s="480">
        <f t="shared" si="36"/>
        <v>0</v>
      </c>
      <c r="CK48" s="583">
        <f t="shared" si="37"/>
        <v>0</v>
      </c>
      <c r="CL48" s="596" t="s">
        <v>46</v>
      </c>
      <c r="CM48" s="581">
        <f t="shared" si="38"/>
        <v>0</v>
      </c>
      <c r="CN48" s="762" t="s">
        <v>567</v>
      </c>
      <c r="CP48" s="90" t="s">
        <v>492</v>
      </c>
      <c r="CQ48" s="121">
        <v>9.3000000000000007</v>
      </c>
      <c r="CR48" s="307" t="s">
        <v>50</v>
      </c>
      <c r="CS48" s="641">
        <v>9.3000000000000007</v>
      </c>
      <c r="CT48" s="551" t="s">
        <v>50</v>
      </c>
      <c r="CU48" s="645">
        <f t="shared" si="45"/>
        <v>1.2903225806451613</v>
      </c>
      <c r="CV48" s="645">
        <f t="shared" si="45"/>
        <v>1.2903225806451613</v>
      </c>
      <c r="CW48" s="633" t="s">
        <v>46</v>
      </c>
      <c r="CX48" s="606"/>
      <c r="CY48" s="589"/>
      <c r="CZ48" s="606"/>
      <c r="DA48" s="609"/>
      <c r="DB48" s="562"/>
      <c r="DC48" s="562"/>
      <c r="DD48" s="562"/>
      <c r="DE48" s="562"/>
      <c r="DF48" s="562"/>
      <c r="DG48" s="562"/>
      <c r="DH48" s="562"/>
      <c r="DI48" s="562"/>
      <c r="DJ48" s="562"/>
      <c r="DK48" s="562"/>
      <c r="DL48" s="562"/>
      <c r="DM48" s="562"/>
      <c r="DN48" s="562"/>
      <c r="DO48" s="562"/>
      <c r="DP48" s="562"/>
      <c r="DQ48" s="562"/>
      <c r="DR48" s="562"/>
      <c r="DS48" s="562"/>
      <c r="DT48" s="562"/>
      <c r="DU48" s="562"/>
      <c r="DV48" s="562"/>
      <c r="DW48" s="562"/>
      <c r="DX48" s="562"/>
      <c r="DY48" s="562"/>
      <c r="DZ48" s="562"/>
      <c r="EA48" s="562"/>
      <c r="EB48" s="562"/>
      <c r="EC48" s="562"/>
      <c r="ED48" s="562"/>
      <c r="EE48" s="562"/>
      <c r="EF48" s="562"/>
      <c r="EG48" s="562"/>
      <c r="EH48" s="562"/>
      <c r="EI48" s="562"/>
      <c r="EJ48" s="562"/>
      <c r="EK48" s="562"/>
      <c r="EL48" s="562"/>
    </row>
    <row r="49" spans="2:142" s="78" customFormat="1" ht="15" customHeight="1" x14ac:dyDescent="0.25">
      <c r="B49" s="77"/>
      <c r="E49" s="77"/>
      <c r="H49" s="77"/>
      <c r="Q49" s="481"/>
      <c r="R49" s="482"/>
      <c r="S49" s="482"/>
      <c r="T49" s="79"/>
      <c r="U49" s="79"/>
      <c r="V49" s="79"/>
      <c r="W49" s="79"/>
      <c r="Y49" s="90">
        <v>47</v>
      </c>
      <c r="Z49" s="472" t="str">
        <f>IF(Inventory!$C56="","",VLOOKUP(Inventory!$C56,$B$3:$C$5,2,FALSE))</f>
        <v/>
      </c>
      <c r="AA49" s="472" t="str">
        <f>IF($Z49="","",IF(AND($Z49="b",Inventory!$G56=""),"",IF(AND($Z49="b",Inventory!$G56&lt;&gt;""),VLOOKUP(Inventory!$G56,$E$3:$F$10,2,FALSE),IF(AND($Z49="a",Inventory!$Z56=""),"",IF(AND($Z49="a",Inventory!$Z56&lt;&gt;""),VLOOKUP(Inventory!$Z56,$E$3:$F$10,2,FALSE),IF(AND($Z49="c",Inventory!$Z56=""),"",IF(AND($Z49="c",Inventory!$Z56&lt;&gt;""),VLOOKUP(Inventory!$Z56,$E$3:$F$10,2,FALSE),"")))))))</f>
        <v/>
      </c>
      <c r="AB49" s="472" t="str">
        <f>IF($Z49="","a",IF(AND($Z49="b",Inventory!$J56=""),"a",IF(AND($Z49="b",Inventory!$J56&lt;&gt;""),VLOOKUP(Inventory!$J56,$H$4:$I$6,2,FALSE),IF(AND($Z49="a",Inventory!$AA56=""),"a",IF(AND($Z49="a",Inventory!$AA56&lt;&gt;""),VLOOKUP(Inventory!$AA56,$H$4:$I$6,2,FALSE),IF(AND($Z49="c",Inventory!$AA56=""),"a",IF(AND($Z49="c",Inventory!$AA56&lt;&gt;""),VLOOKUP(Inventory!$AA56,$H$4:$I$6,2,FALSE),"a")))))))</f>
        <v>a</v>
      </c>
      <c r="AC49" s="506" t="str">
        <f t="shared" si="11"/>
        <v>a</v>
      </c>
      <c r="AD49" s="473" t="str">
        <f>IF($Z49="","a",IF(AND($Z49="b",Inventory!$L56=""),"a",IF(AND($Z49="b",Inventory!$L56&lt;&gt;""),VLOOKUP(Inventory!$L56,$N$4:$O$5,2,FALSE),IF(AND($Z49="a",Inventory!$AC56=""),"a",IF(AND($Z49="a",Inventory!$AC56&lt;&gt;""),VLOOKUP(Inventory!$AC56,$N$4:$O$5,2,FALSE),IF(AND($Z49="c",Inventory!$AC56=""),"a",IF(AND($Z49="c",Inventory!$AC56&lt;&gt;""),VLOOKUP(Inventory!$AC56,$N$4:$O$5,2,FALSE),"a")))))))</f>
        <v>a</v>
      </c>
      <c r="AE49" s="474">
        <f>IF(OR(Inventory!C56="New Construction",Inventory!C56="Replace-on-Burnout"),Inventory!AF56,IF(Inventory!C56="Early Retirement",MIN(Inventory!AE56,Inventory!AF56),0))</f>
        <v>0</v>
      </c>
      <c r="AF49" s="475" t="str">
        <f t="shared" si="12"/>
        <v/>
      </c>
      <c r="AG49" s="475" t="str">
        <f t="shared" si="0"/>
        <v/>
      </c>
      <c r="AH49" s="475" t="str">
        <f t="shared" si="1"/>
        <v/>
      </c>
      <c r="AI49" s="475" t="str">
        <f t="shared" si="2"/>
        <v/>
      </c>
      <c r="AJ49" s="475" t="str">
        <f t="shared" si="3"/>
        <v/>
      </c>
      <c r="AK49" s="475" t="str">
        <f t="shared" si="13"/>
        <v/>
      </c>
      <c r="AL49" s="475" t="str">
        <f t="shared" si="14"/>
        <v/>
      </c>
      <c r="AM49" s="475" t="str">
        <f t="shared" si="15"/>
        <v/>
      </c>
      <c r="AN49" s="475" t="str">
        <f t="shared" si="16"/>
        <v/>
      </c>
      <c r="AO49" s="475" t="str">
        <f t="shared" si="17"/>
        <v/>
      </c>
      <c r="AP49" s="475" t="str">
        <f t="shared" si="18"/>
        <v/>
      </c>
      <c r="AQ49" s="475" t="str">
        <f t="shared" si="19"/>
        <v/>
      </c>
      <c r="AR49" s="475" t="str">
        <f t="shared" si="20"/>
        <v/>
      </c>
      <c r="AS49" s="475" t="str">
        <f t="shared" si="21"/>
        <v/>
      </c>
      <c r="AT49" s="475" t="str">
        <f t="shared" si="22"/>
        <v/>
      </c>
      <c r="AU49" s="475" t="str">
        <f t="shared" si="23"/>
        <v/>
      </c>
      <c r="AV49" s="475" t="str">
        <f t="shared" si="4"/>
        <v/>
      </c>
      <c r="AW49" s="473">
        <f t="shared" si="5"/>
        <v>0</v>
      </c>
      <c r="AX49" s="473" t="str">
        <f>IF(AND($Z49="b",OR($AA49="a",$AA49="b"),Inventory!$I56="",$AE49&lt;(65000/12000)),"x",IF(AND($Z49="b",OR($AA49="a",$AA49="b"),Inventory!$I56&lt;&gt;"",$AE49&lt;(65000/12000)),VLOOKUP(Inventory!$I56,$V$4:$W$5,2,FALSE),"x"))</f>
        <v>x</v>
      </c>
      <c r="AY49" s="476" t="str">
        <f t="shared" si="24"/>
        <v>aaa0</v>
      </c>
      <c r="AZ49" s="477" t="str">
        <f t="shared" si="25"/>
        <v>No</v>
      </c>
      <c r="BA49" s="759" t="str">
        <f t="shared" si="26"/>
        <v>No</v>
      </c>
      <c r="BB49" s="477">
        <f>IF($Z49="c",Inventory!$AB56,Inventory!$K56)</f>
        <v>0</v>
      </c>
      <c r="BC49" s="478">
        <f>IF(AND($Z49="b",Inventory!$N56="Btu/hr"),Inventory!$M56,IF(AND($Z49="b",Inventory!$N56="Tons"),Inventory!$M56*12000,IF(AND($Z49&lt;&gt;"b",Inventory!$AK56="Btu/hr"),Inventory!$AD56,IF(AND($Z49&lt;&gt;"b",Inventory!$AK56="Tons"),Inventory!$AD56*12000,0))))</f>
        <v>0</v>
      </c>
      <c r="BD49" s="478">
        <f t="shared" si="27"/>
        <v>0</v>
      </c>
      <c r="BE49" s="479">
        <f t="shared" si="28"/>
        <v>0</v>
      </c>
      <c r="BF49" s="477" t="s">
        <v>50</v>
      </c>
      <c r="BG49" s="479">
        <f t="shared" si="6"/>
        <v>0</v>
      </c>
      <c r="BH49" s="477" t="s">
        <v>46</v>
      </c>
      <c r="BI49" s="760">
        <f>IF(AND($Z49="b",Inventory!$P56="Btu/hr"),Inventory!$O56,IF(AND($Z49="b",Inventory!$P56="Tons"),Inventory!$O56*12000,IF(AND($Z49&lt;&gt;"b",Inventory!$AM56="Btu/hr"),Inventory!$AL56,IF(AND($Z49&lt;&gt;"b",Inventory!$AM56="Tons"),Inventory!$AL56*12000,0))))</f>
        <v>0</v>
      </c>
      <c r="BJ49" s="760">
        <f t="shared" si="29"/>
        <v>0</v>
      </c>
      <c r="BK49" s="598">
        <f t="shared" si="30"/>
        <v>0</v>
      </c>
      <c r="BL49" s="759" t="s">
        <v>567</v>
      </c>
      <c r="BM49" s="477" t="str">
        <f t="shared" si="7"/>
        <v>No</v>
      </c>
      <c r="BN49" s="477" t="str">
        <f>IF(OR(Inventory!$H56="",$BM49="No"),"-",Inventory!$H56)</f>
        <v>-</v>
      </c>
      <c r="BO49" s="477" t="str">
        <f>IFERROR(VLOOKUP(BN49,'Early Retirement'!$B$6:$C$33,2,FALSE),"-")</f>
        <v>-</v>
      </c>
      <c r="BP49" s="477" t="str">
        <f>IF(Inventory!$J56="Centrifugal","Yes","No")</f>
        <v>No</v>
      </c>
      <c r="BQ49" s="477">
        <f t="shared" si="31"/>
        <v>0</v>
      </c>
      <c r="BR49" s="477" t="str">
        <f t="shared" si="32"/>
        <v>-</v>
      </c>
      <c r="BS49" s="479">
        <f>IFERROR(INDEX('Early Retirement'!$C$4:$AC$33,$BO49,$BR49),0)</f>
        <v>0</v>
      </c>
      <c r="BT49" s="477">
        <f>IFERROR(HLOOKUP($BR49,'Early Retirement'!$D$4:$AC$5,2,FALSE),0)</f>
        <v>0</v>
      </c>
      <c r="BU49" s="761">
        <f>IFERROR(INDEX('Early Retirement'!$AE$4:$BE$33,$BO49,$BR49),0)</f>
        <v>0</v>
      </c>
      <c r="BV49" s="759">
        <f>IFERROR(HLOOKUP($BR49,'Early Retirement'!$AF$4:$BE$5,2,FALSE),0)</f>
        <v>0</v>
      </c>
      <c r="BW49" s="479">
        <f t="shared" si="41"/>
        <v>0</v>
      </c>
      <c r="BX49" s="761">
        <f t="shared" si="33"/>
        <v>0</v>
      </c>
      <c r="BY49" s="477" t="s">
        <v>46</v>
      </c>
      <c r="BZ49" s="598">
        <f>IFERROR(INDEX('Early Retirement'!$BG$4:$CG$33,$BO49,$BR49),0)</f>
        <v>0</v>
      </c>
      <c r="CA49" s="759">
        <f>IFERROR(HLOOKUP($BR49,'Early Retirement'!$BH$4:$CH$5,2,FALSE),0)</f>
        <v>0</v>
      </c>
      <c r="CB49" s="598">
        <f t="shared" si="34"/>
        <v>0</v>
      </c>
      <c r="CC49" s="759" t="s">
        <v>567</v>
      </c>
      <c r="CD49" s="477" t="str">
        <f t="shared" si="8"/>
        <v>Yes</v>
      </c>
      <c r="CE49" s="479">
        <f t="shared" si="9"/>
        <v>0</v>
      </c>
      <c r="CF49" s="761">
        <f t="shared" si="10"/>
        <v>0</v>
      </c>
      <c r="CG49" s="759" t="s">
        <v>46</v>
      </c>
      <c r="CH49" s="598">
        <f t="shared" si="35"/>
        <v>0</v>
      </c>
      <c r="CI49" s="759" t="s">
        <v>567</v>
      </c>
      <c r="CJ49" s="480">
        <f t="shared" si="36"/>
        <v>0</v>
      </c>
      <c r="CK49" s="583">
        <f t="shared" si="37"/>
        <v>0</v>
      </c>
      <c r="CL49" s="596" t="s">
        <v>46</v>
      </c>
      <c r="CM49" s="581">
        <f t="shared" si="38"/>
        <v>0</v>
      </c>
      <c r="CN49" s="762" t="s">
        <v>567</v>
      </c>
      <c r="CP49" s="90" t="s">
        <v>493</v>
      </c>
      <c r="CQ49" s="121">
        <v>9.3000000000000007</v>
      </c>
      <c r="CR49" s="307" t="s">
        <v>50</v>
      </c>
      <c r="CS49" s="641">
        <v>9.3000000000000007</v>
      </c>
      <c r="CT49" s="551" t="s">
        <v>50</v>
      </c>
      <c r="CU49" s="645">
        <f t="shared" si="45"/>
        <v>1.2903225806451613</v>
      </c>
      <c r="CV49" s="645">
        <f t="shared" si="45"/>
        <v>1.2903225806451613</v>
      </c>
      <c r="CW49" s="633" t="s">
        <v>46</v>
      </c>
      <c r="CX49" s="606"/>
      <c r="CY49" s="589"/>
      <c r="CZ49" s="606"/>
      <c r="DA49" s="609"/>
      <c r="DB49" s="562"/>
      <c r="DC49" s="562"/>
      <c r="DD49" s="562"/>
      <c r="DE49" s="562"/>
      <c r="DF49" s="562"/>
      <c r="DG49" s="562"/>
      <c r="DH49" s="562"/>
      <c r="DI49" s="562"/>
      <c r="DJ49" s="562"/>
      <c r="DK49" s="562"/>
      <c r="DL49" s="562"/>
      <c r="DM49" s="562"/>
      <c r="DN49" s="562"/>
      <c r="DO49" s="562"/>
      <c r="DP49" s="562"/>
      <c r="DQ49" s="562"/>
      <c r="DR49" s="562"/>
      <c r="DS49" s="562"/>
      <c r="DT49" s="562"/>
      <c r="DU49" s="562"/>
      <c r="DV49" s="562"/>
      <c r="DW49" s="562"/>
      <c r="DX49" s="562"/>
      <c r="DY49" s="562"/>
      <c r="DZ49" s="562"/>
      <c r="EA49" s="562"/>
      <c r="EB49" s="562"/>
      <c r="EC49" s="562"/>
      <c r="ED49" s="562"/>
      <c r="EE49" s="562"/>
      <c r="EF49" s="562"/>
      <c r="EG49" s="562"/>
      <c r="EH49" s="562"/>
      <c r="EI49" s="562"/>
      <c r="EJ49" s="562"/>
      <c r="EK49" s="562"/>
      <c r="EL49" s="562"/>
    </row>
    <row r="50" spans="2:142" s="78" customFormat="1" ht="15" customHeight="1" x14ac:dyDescent="0.25">
      <c r="B50" s="77"/>
      <c r="E50" s="77"/>
      <c r="H50" s="77"/>
      <c r="Q50" s="481"/>
      <c r="R50" s="482"/>
      <c r="S50" s="482"/>
      <c r="T50" s="79"/>
      <c r="U50" s="79"/>
      <c r="V50" s="79"/>
      <c r="W50" s="79"/>
      <c r="Y50" s="90">
        <v>48</v>
      </c>
      <c r="Z50" s="472" t="str">
        <f>IF(Inventory!$C57="","",VLOOKUP(Inventory!$C57,$B$3:$C$5,2,FALSE))</f>
        <v/>
      </c>
      <c r="AA50" s="472" t="str">
        <f>IF($Z50="","",IF(AND($Z50="b",Inventory!$G57=""),"",IF(AND($Z50="b",Inventory!$G57&lt;&gt;""),VLOOKUP(Inventory!$G57,$E$3:$F$10,2,FALSE),IF(AND($Z50="a",Inventory!$Z57=""),"",IF(AND($Z50="a",Inventory!$Z57&lt;&gt;""),VLOOKUP(Inventory!$Z57,$E$3:$F$10,2,FALSE),IF(AND($Z50="c",Inventory!$Z57=""),"",IF(AND($Z50="c",Inventory!$Z57&lt;&gt;""),VLOOKUP(Inventory!$Z57,$E$3:$F$10,2,FALSE),"")))))))</f>
        <v/>
      </c>
      <c r="AB50" s="472" t="str">
        <f>IF($Z50="","a",IF(AND($Z50="b",Inventory!$J57=""),"a",IF(AND($Z50="b",Inventory!$J57&lt;&gt;""),VLOOKUP(Inventory!$J57,$H$4:$I$6,2,FALSE),IF(AND($Z50="a",Inventory!$AA57=""),"a",IF(AND($Z50="a",Inventory!$AA57&lt;&gt;""),VLOOKUP(Inventory!$AA57,$H$4:$I$6,2,FALSE),IF(AND($Z50="c",Inventory!$AA57=""),"a",IF(AND($Z50="c",Inventory!$AA57&lt;&gt;""),VLOOKUP(Inventory!$AA57,$H$4:$I$6,2,FALSE),"a")))))))</f>
        <v>a</v>
      </c>
      <c r="AC50" s="506" t="str">
        <f t="shared" si="11"/>
        <v>a</v>
      </c>
      <c r="AD50" s="473" t="str">
        <f>IF($Z50="","a",IF(AND($Z50="b",Inventory!$L57=""),"a",IF(AND($Z50="b",Inventory!$L57&lt;&gt;""),VLOOKUP(Inventory!$L57,$N$4:$O$5,2,FALSE),IF(AND($Z50="a",Inventory!$AC57=""),"a",IF(AND($Z50="a",Inventory!$AC57&lt;&gt;""),VLOOKUP(Inventory!$AC57,$N$4:$O$5,2,FALSE),IF(AND($Z50="c",Inventory!$AC57=""),"a",IF(AND($Z50="c",Inventory!$AC57&lt;&gt;""),VLOOKUP(Inventory!$AC57,$N$4:$O$5,2,FALSE),"a")))))))</f>
        <v>a</v>
      </c>
      <c r="AE50" s="474">
        <f>IF(OR(Inventory!C57="New Construction",Inventory!C57="Replace-on-Burnout"),Inventory!AF57,IF(Inventory!C57="Early Retirement",MIN(Inventory!AE57,Inventory!AF57),0))</f>
        <v>0</v>
      </c>
      <c r="AF50" s="475" t="str">
        <f t="shared" si="12"/>
        <v/>
      </c>
      <c r="AG50" s="475" t="str">
        <f t="shared" si="0"/>
        <v/>
      </c>
      <c r="AH50" s="475" t="str">
        <f t="shared" si="1"/>
        <v/>
      </c>
      <c r="AI50" s="475" t="str">
        <f t="shared" si="2"/>
        <v/>
      </c>
      <c r="AJ50" s="475" t="str">
        <f t="shared" si="3"/>
        <v/>
      </c>
      <c r="AK50" s="475" t="str">
        <f t="shared" si="13"/>
        <v/>
      </c>
      <c r="AL50" s="475" t="str">
        <f t="shared" si="14"/>
        <v/>
      </c>
      <c r="AM50" s="475" t="str">
        <f t="shared" si="15"/>
        <v/>
      </c>
      <c r="AN50" s="475" t="str">
        <f t="shared" si="16"/>
        <v/>
      </c>
      <c r="AO50" s="475" t="str">
        <f t="shared" si="17"/>
        <v/>
      </c>
      <c r="AP50" s="475" t="str">
        <f t="shared" si="18"/>
        <v/>
      </c>
      <c r="AQ50" s="475" t="str">
        <f t="shared" si="19"/>
        <v/>
      </c>
      <c r="AR50" s="475" t="str">
        <f t="shared" si="20"/>
        <v/>
      </c>
      <c r="AS50" s="475" t="str">
        <f t="shared" si="21"/>
        <v/>
      </c>
      <c r="AT50" s="475" t="str">
        <f t="shared" si="22"/>
        <v/>
      </c>
      <c r="AU50" s="475" t="str">
        <f t="shared" si="23"/>
        <v/>
      </c>
      <c r="AV50" s="475" t="str">
        <f t="shared" si="4"/>
        <v/>
      </c>
      <c r="AW50" s="473">
        <f t="shared" si="5"/>
        <v>0</v>
      </c>
      <c r="AX50" s="473" t="str">
        <f>IF(AND($Z50="b",OR($AA50="a",$AA50="b"),Inventory!$I57="",$AE50&lt;(65000/12000)),"x",IF(AND($Z50="b",OR($AA50="a",$AA50="b"),Inventory!$I57&lt;&gt;"",$AE50&lt;(65000/12000)),VLOOKUP(Inventory!$I57,$V$4:$W$5,2,FALSE),"x"))</f>
        <v>x</v>
      </c>
      <c r="AY50" s="476" t="str">
        <f t="shared" si="24"/>
        <v>aaa0</v>
      </c>
      <c r="AZ50" s="477" t="str">
        <f t="shared" si="25"/>
        <v>No</v>
      </c>
      <c r="BA50" s="759" t="str">
        <f t="shared" si="26"/>
        <v>No</v>
      </c>
      <c r="BB50" s="477">
        <f>IF($Z50="c",Inventory!$AB57,Inventory!$K57)</f>
        <v>0</v>
      </c>
      <c r="BC50" s="478">
        <f>IF(AND($Z50="b",Inventory!$N57="Btu/hr"),Inventory!$M57,IF(AND($Z50="b",Inventory!$N57="Tons"),Inventory!$M57*12000,IF(AND($Z50&lt;&gt;"b",Inventory!$AK57="Btu/hr"),Inventory!$AD57,IF(AND($Z50&lt;&gt;"b",Inventory!$AK57="Tons"),Inventory!$AD57*12000,0))))</f>
        <v>0</v>
      </c>
      <c r="BD50" s="478">
        <f t="shared" si="27"/>
        <v>0</v>
      </c>
      <c r="BE50" s="479">
        <f t="shared" si="28"/>
        <v>0</v>
      </c>
      <c r="BF50" s="477" t="s">
        <v>50</v>
      </c>
      <c r="BG50" s="479">
        <f t="shared" si="6"/>
        <v>0</v>
      </c>
      <c r="BH50" s="477" t="s">
        <v>46</v>
      </c>
      <c r="BI50" s="760">
        <f>IF(AND($Z50="b",Inventory!$P57="Btu/hr"),Inventory!$O57,IF(AND($Z50="b",Inventory!$P57="Tons"),Inventory!$O57*12000,IF(AND($Z50&lt;&gt;"b",Inventory!$AM57="Btu/hr"),Inventory!$AL57,IF(AND($Z50&lt;&gt;"b",Inventory!$AM57="Tons"),Inventory!$AL57*12000,0))))</f>
        <v>0</v>
      </c>
      <c r="BJ50" s="760">
        <f t="shared" si="29"/>
        <v>0</v>
      </c>
      <c r="BK50" s="598">
        <f t="shared" si="30"/>
        <v>0</v>
      </c>
      <c r="BL50" s="759" t="s">
        <v>567</v>
      </c>
      <c r="BM50" s="477" t="str">
        <f t="shared" si="7"/>
        <v>No</v>
      </c>
      <c r="BN50" s="477" t="str">
        <f>IF(OR(Inventory!$H57="",$BM50="No"),"-",Inventory!$H57)</f>
        <v>-</v>
      </c>
      <c r="BO50" s="477" t="str">
        <f>IFERROR(VLOOKUP(BN50,'Early Retirement'!$B$6:$C$33,2,FALSE),"-")</f>
        <v>-</v>
      </c>
      <c r="BP50" s="477" t="str">
        <f>IF(Inventory!$J57="Centrifugal","Yes","No")</f>
        <v>No</v>
      </c>
      <c r="BQ50" s="477">
        <f t="shared" si="31"/>
        <v>0</v>
      </c>
      <c r="BR50" s="477" t="str">
        <f t="shared" si="32"/>
        <v>-</v>
      </c>
      <c r="BS50" s="479">
        <f>IFERROR(INDEX('Early Retirement'!$C$4:$AC$33,$BO50,$BR50),0)</f>
        <v>0</v>
      </c>
      <c r="BT50" s="477">
        <f>IFERROR(HLOOKUP($BR50,'Early Retirement'!$D$4:$AC$5,2,FALSE),0)</f>
        <v>0</v>
      </c>
      <c r="BU50" s="761">
        <f>IFERROR(INDEX('Early Retirement'!$AE$4:$BE$33,$BO50,$BR50),0)</f>
        <v>0</v>
      </c>
      <c r="BV50" s="759">
        <f>IFERROR(HLOOKUP($BR50,'Early Retirement'!$AF$4:$BE$5,2,FALSE),0)</f>
        <v>0</v>
      </c>
      <c r="BW50" s="479">
        <f t="shared" si="41"/>
        <v>0</v>
      </c>
      <c r="BX50" s="761">
        <f t="shared" si="33"/>
        <v>0</v>
      </c>
      <c r="BY50" s="477" t="s">
        <v>46</v>
      </c>
      <c r="BZ50" s="598">
        <f>IFERROR(INDEX('Early Retirement'!$BG$4:$CG$33,$BO50,$BR50),0)</f>
        <v>0</v>
      </c>
      <c r="CA50" s="759">
        <f>IFERROR(HLOOKUP($BR50,'Early Retirement'!$BH$4:$CH$5,2,FALSE),0)</f>
        <v>0</v>
      </c>
      <c r="CB50" s="598">
        <f t="shared" si="34"/>
        <v>0</v>
      </c>
      <c r="CC50" s="759" t="s">
        <v>567</v>
      </c>
      <c r="CD50" s="477" t="str">
        <f t="shared" si="8"/>
        <v>Yes</v>
      </c>
      <c r="CE50" s="479">
        <f t="shared" si="9"/>
        <v>0</v>
      </c>
      <c r="CF50" s="761">
        <f t="shared" si="10"/>
        <v>0</v>
      </c>
      <c r="CG50" s="759" t="s">
        <v>46</v>
      </c>
      <c r="CH50" s="598">
        <f t="shared" si="35"/>
        <v>0</v>
      </c>
      <c r="CI50" s="759" t="s">
        <v>567</v>
      </c>
      <c r="CJ50" s="480">
        <f t="shared" si="36"/>
        <v>0</v>
      </c>
      <c r="CK50" s="583">
        <f t="shared" si="37"/>
        <v>0</v>
      </c>
      <c r="CL50" s="596" t="s">
        <v>46</v>
      </c>
      <c r="CM50" s="581">
        <f t="shared" si="38"/>
        <v>0</v>
      </c>
      <c r="CN50" s="762" t="s">
        <v>567</v>
      </c>
      <c r="CP50" s="180" t="s">
        <v>494</v>
      </c>
      <c r="CQ50" s="181">
        <v>8.6999999999999993</v>
      </c>
      <c r="CR50" s="506" t="s">
        <v>50</v>
      </c>
      <c r="CS50" s="691">
        <v>8.6999999999999993</v>
      </c>
      <c r="CT50" s="565" t="s">
        <v>50</v>
      </c>
      <c r="CU50" s="692">
        <f t="shared" si="45"/>
        <v>1.3793103448275863</v>
      </c>
      <c r="CV50" s="692">
        <f t="shared" si="45"/>
        <v>1.3793103448275863</v>
      </c>
      <c r="CW50" s="635" t="s">
        <v>46</v>
      </c>
      <c r="CX50" s="613"/>
      <c r="CY50" s="586"/>
      <c r="CZ50" s="613"/>
      <c r="DA50" s="609"/>
      <c r="DB50" s="562"/>
      <c r="DC50" s="562"/>
      <c r="DD50" s="562"/>
      <c r="DE50" s="562"/>
      <c r="DF50" s="562"/>
      <c r="DG50" s="562"/>
      <c r="DH50" s="562"/>
      <c r="DI50" s="562"/>
      <c r="DJ50" s="562"/>
      <c r="DK50" s="562"/>
      <c r="DL50" s="562"/>
      <c r="DM50" s="562"/>
      <c r="DN50" s="562"/>
      <c r="DO50" s="562"/>
      <c r="DP50" s="562"/>
      <c r="DQ50" s="562"/>
      <c r="DR50" s="562"/>
      <c r="DS50" s="562"/>
      <c r="DT50" s="562"/>
      <c r="DU50" s="562"/>
      <c r="DV50" s="562"/>
      <c r="DW50" s="562"/>
      <c r="DX50" s="562"/>
      <c r="DY50" s="562"/>
      <c r="DZ50" s="562"/>
      <c r="EA50" s="562"/>
      <c r="EB50" s="562"/>
      <c r="EC50" s="562"/>
      <c r="ED50" s="562"/>
      <c r="EE50" s="562"/>
      <c r="EF50" s="562"/>
      <c r="EG50" s="562"/>
      <c r="EH50" s="562"/>
      <c r="EI50" s="562"/>
      <c r="EJ50" s="562"/>
      <c r="EK50" s="562"/>
      <c r="EL50" s="562"/>
    </row>
    <row r="51" spans="2:142" s="78" customFormat="1" ht="15" customHeight="1" x14ac:dyDescent="0.25">
      <c r="B51" s="77"/>
      <c r="E51" s="77"/>
      <c r="H51" s="77"/>
      <c r="Q51" s="481"/>
      <c r="R51" s="482"/>
      <c r="S51" s="482"/>
      <c r="T51" s="79"/>
      <c r="U51" s="79"/>
      <c r="V51" s="79"/>
      <c r="W51" s="79"/>
      <c r="Y51" s="90">
        <v>49</v>
      </c>
      <c r="Z51" s="472" t="str">
        <f>IF(Inventory!$C58="","",VLOOKUP(Inventory!$C58,$B$3:$C$5,2,FALSE))</f>
        <v/>
      </c>
      <c r="AA51" s="472" t="str">
        <f>IF($Z51="","",IF(AND($Z51="b",Inventory!$G58=""),"",IF(AND($Z51="b",Inventory!$G58&lt;&gt;""),VLOOKUP(Inventory!$G58,$E$3:$F$10,2,FALSE),IF(AND($Z51="a",Inventory!$Z58=""),"",IF(AND($Z51="a",Inventory!$Z58&lt;&gt;""),VLOOKUP(Inventory!$Z58,$E$3:$F$10,2,FALSE),IF(AND($Z51="c",Inventory!$Z58=""),"",IF(AND($Z51="c",Inventory!$Z58&lt;&gt;""),VLOOKUP(Inventory!$Z58,$E$3:$F$10,2,FALSE),"")))))))</f>
        <v/>
      </c>
      <c r="AB51" s="472" t="str">
        <f>IF($Z51="","a",IF(AND($Z51="b",Inventory!$J58=""),"a",IF(AND($Z51="b",Inventory!$J58&lt;&gt;""),VLOOKUP(Inventory!$J58,$H$4:$I$6,2,FALSE),IF(AND($Z51="a",Inventory!$AA58=""),"a",IF(AND($Z51="a",Inventory!$AA58&lt;&gt;""),VLOOKUP(Inventory!$AA58,$H$4:$I$6,2,FALSE),IF(AND($Z51="c",Inventory!$AA58=""),"a",IF(AND($Z51="c",Inventory!$AA58&lt;&gt;""),VLOOKUP(Inventory!$AA58,$H$4:$I$6,2,FALSE),"a")))))))</f>
        <v>a</v>
      </c>
      <c r="AC51" s="506" t="str">
        <f t="shared" si="11"/>
        <v>a</v>
      </c>
      <c r="AD51" s="473" t="str">
        <f>IF($Z51="","a",IF(AND($Z51="b",Inventory!$L58=""),"a",IF(AND($Z51="b",Inventory!$L58&lt;&gt;""),VLOOKUP(Inventory!$L58,$N$4:$O$5,2,FALSE),IF(AND($Z51="a",Inventory!$AC58=""),"a",IF(AND($Z51="a",Inventory!$AC58&lt;&gt;""),VLOOKUP(Inventory!$AC58,$N$4:$O$5,2,FALSE),IF(AND($Z51="c",Inventory!$AC58=""),"a",IF(AND($Z51="c",Inventory!$AC58&lt;&gt;""),VLOOKUP(Inventory!$AC58,$N$4:$O$5,2,FALSE),"a")))))))</f>
        <v>a</v>
      </c>
      <c r="AE51" s="474">
        <f>IF(OR(Inventory!C58="New Construction",Inventory!C58="Replace-on-Burnout"),Inventory!AF58,IF(Inventory!C58="Early Retirement",MIN(Inventory!AE58,Inventory!AF58),0))</f>
        <v>0</v>
      </c>
      <c r="AF51" s="475" t="str">
        <f t="shared" si="12"/>
        <v/>
      </c>
      <c r="AG51" s="475" t="str">
        <f t="shared" si="0"/>
        <v/>
      </c>
      <c r="AH51" s="475" t="str">
        <f t="shared" si="1"/>
        <v/>
      </c>
      <c r="AI51" s="475" t="str">
        <f t="shared" si="2"/>
        <v/>
      </c>
      <c r="AJ51" s="475" t="str">
        <f t="shared" si="3"/>
        <v/>
      </c>
      <c r="AK51" s="475" t="str">
        <f t="shared" si="13"/>
        <v/>
      </c>
      <c r="AL51" s="475" t="str">
        <f t="shared" si="14"/>
        <v/>
      </c>
      <c r="AM51" s="475" t="str">
        <f t="shared" si="15"/>
        <v/>
      </c>
      <c r="AN51" s="475" t="str">
        <f t="shared" si="16"/>
        <v/>
      </c>
      <c r="AO51" s="475" t="str">
        <f t="shared" si="17"/>
        <v/>
      </c>
      <c r="AP51" s="475" t="str">
        <f t="shared" si="18"/>
        <v/>
      </c>
      <c r="AQ51" s="475" t="str">
        <f t="shared" si="19"/>
        <v/>
      </c>
      <c r="AR51" s="475" t="str">
        <f t="shared" si="20"/>
        <v/>
      </c>
      <c r="AS51" s="475" t="str">
        <f t="shared" si="21"/>
        <v/>
      </c>
      <c r="AT51" s="475" t="str">
        <f t="shared" si="22"/>
        <v/>
      </c>
      <c r="AU51" s="475" t="str">
        <f t="shared" si="23"/>
        <v/>
      </c>
      <c r="AV51" s="475" t="str">
        <f t="shared" si="4"/>
        <v/>
      </c>
      <c r="AW51" s="473">
        <f t="shared" si="5"/>
        <v>0</v>
      </c>
      <c r="AX51" s="473" t="str">
        <f>IF(AND($Z51="b",OR($AA51="a",$AA51="b"),Inventory!$I58="",$AE51&lt;(65000/12000)),"x",IF(AND($Z51="b",OR($AA51="a",$AA51="b"),Inventory!$I58&lt;&gt;"",$AE51&lt;(65000/12000)),VLOOKUP(Inventory!$I58,$V$4:$W$5,2,FALSE),"x"))</f>
        <v>x</v>
      </c>
      <c r="AY51" s="476" t="str">
        <f t="shared" si="24"/>
        <v>aaa0</v>
      </c>
      <c r="AZ51" s="477" t="str">
        <f t="shared" si="25"/>
        <v>No</v>
      </c>
      <c r="BA51" s="759" t="str">
        <f t="shared" si="26"/>
        <v>No</v>
      </c>
      <c r="BB51" s="477">
        <f>IF($Z51="c",Inventory!$AB58,Inventory!$K58)</f>
        <v>0</v>
      </c>
      <c r="BC51" s="478">
        <f>IF(AND($Z51="b",Inventory!$N58="Btu/hr"),Inventory!$M58,IF(AND($Z51="b",Inventory!$N58="Tons"),Inventory!$M58*12000,IF(AND($Z51&lt;&gt;"b",Inventory!$AK58="Btu/hr"),Inventory!$AD58,IF(AND($Z51&lt;&gt;"b",Inventory!$AK58="Tons"),Inventory!$AD58*12000,0))))</f>
        <v>0</v>
      </c>
      <c r="BD51" s="478">
        <f t="shared" si="27"/>
        <v>0</v>
      </c>
      <c r="BE51" s="479">
        <f t="shared" si="28"/>
        <v>0</v>
      </c>
      <c r="BF51" s="477" t="s">
        <v>50</v>
      </c>
      <c r="BG51" s="479">
        <f t="shared" si="6"/>
        <v>0</v>
      </c>
      <c r="BH51" s="477" t="s">
        <v>46</v>
      </c>
      <c r="BI51" s="760">
        <f>IF(AND($Z51="b",Inventory!$P58="Btu/hr"),Inventory!$O58,IF(AND($Z51="b",Inventory!$P58="Tons"),Inventory!$O58*12000,IF(AND($Z51&lt;&gt;"b",Inventory!$AM58="Btu/hr"),Inventory!$AL58,IF(AND($Z51&lt;&gt;"b",Inventory!$AM58="Tons"),Inventory!$AL58*12000,0))))</f>
        <v>0</v>
      </c>
      <c r="BJ51" s="760">
        <f t="shared" si="29"/>
        <v>0</v>
      </c>
      <c r="BK51" s="598">
        <f t="shared" si="30"/>
        <v>0</v>
      </c>
      <c r="BL51" s="759" t="s">
        <v>567</v>
      </c>
      <c r="BM51" s="477" t="str">
        <f t="shared" si="7"/>
        <v>No</v>
      </c>
      <c r="BN51" s="477" t="str">
        <f>IF(OR(Inventory!$H58="",$BM51="No"),"-",Inventory!$H58)</f>
        <v>-</v>
      </c>
      <c r="BO51" s="477" t="str">
        <f>IFERROR(VLOOKUP(BN51,'Early Retirement'!$B$6:$C$33,2,FALSE),"-")</f>
        <v>-</v>
      </c>
      <c r="BP51" s="477" t="str">
        <f>IF(Inventory!$J58="Centrifugal","Yes","No")</f>
        <v>No</v>
      </c>
      <c r="BQ51" s="477">
        <f t="shared" si="31"/>
        <v>0</v>
      </c>
      <c r="BR51" s="477" t="str">
        <f t="shared" si="32"/>
        <v>-</v>
      </c>
      <c r="BS51" s="479">
        <f>IFERROR(INDEX('Early Retirement'!$C$4:$AC$33,$BO51,$BR51),0)</f>
        <v>0</v>
      </c>
      <c r="BT51" s="477">
        <f>IFERROR(HLOOKUP($BR51,'Early Retirement'!$D$4:$AC$5,2,FALSE),0)</f>
        <v>0</v>
      </c>
      <c r="BU51" s="761">
        <f>IFERROR(INDEX('Early Retirement'!$AE$4:$BE$33,$BO51,$BR51),0)</f>
        <v>0</v>
      </c>
      <c r="BV51" s="759">
        <f>IFERROR(HLOOKUP($BR51,'Early Retirement'!$AF$4:$BE$5,2,FALSE),0)</f>
        <v>0</v>
      </c>
      <c r="BW51" s="479">
        <f t="shared" si="41"/>
        <v>0</v>
      </c>
      <c r="BX51" s="761">
        <f t="shared" si="33"/>
        <v>0</v>
      </c>
      <c r="BY51" s="477" t="s">
        <v>46</v>
      </c>
      <c r="BZ51" s="598">
        <f>IFERROR(INDEX('Early Retirement'!$BG$4:$CG$33,$BO51,$BR51),0)</f>
        <v>0</v>
      </c>
      <c r="CA51" s="759">
        <f>IFERROR(HLOOKUP($BR51,'Early Retirement'!$BH$4:$CH$5,2,FALSE),0)</f>
        <v>0</v>
      </c>
      <c r="CB51" s="598">
        <f t="shared" si="34"/>
        <v>0</v>
      </c>
      <c r="CC51" s="759" t="s">
        <v>567</v>
      </c>
      <c r="CD51" s="477" t="str">
        <f t="shared" si="8"/>
        <v>Yes</v>
      </c>
      <c r="CE51" s="479">
        <f t="shared" si="9"/>
        <v>0</v>
      </c>
      <c r="CF51" s="761">
        <f t="shared" si="10"/>
        <v>0</v>
      </c>
      <c r="CG51" s="759" t="s">
        <v>46</v>
      </c>
      <c r="CH51" s="598">
        <f t="shared" si="35"/>
        <v>0</v>
      </c>
      <c r="CI51" s="759" t="s">
        <v>567</v>
      </c>
      <c r="CJ51" s="480">
        <f t="shared" si="36"/>
        <v>0</v>
      </c>
      <c r="CK51" s="583">
        <f t="shared" si="37"/>
        <v>0</v>
      </c>
      <c r="CL51" s="596" t="s">
        <v>46</v>
      </c>
      <c r="CM51" s="581">
        <f t="shared" si="38"/>
        <v>0</v>
      </c>
      <c r="CN51" s="762" t="s">
        <v>567</v>
      </c>
      <c r="CP51" s="90" t="s">
        <v>229</v>
      </c>
      <c r="CQ51" s="121">
        <v>11</v>
      </c>
      <c r="CR51" s="307" t="s">
        <v>50</v>
      </c>
      <c r="CS51" s="641">
        <v>11</v>
      </c>
      <c r="CT51" s="551" t="s">
        <v>50</v>
      </c>
      <c r="CU51" s="645">
        <f t="shared" si="45"/>
        <v>1.0909090909090908</v>
      </c>
      <c r="CV51" s="645">
        <f t="shared" si="45"/>
        <v>1.0909090909090908</v>
      </c>
      <c r="CW51" s="633" t="s">
        <v>46</v>
      </c>
      <c r="CX51" s="606"/>
      <c r="CY51" s="589"/>
      <c r="CZ51" s="606"/>
      <c r="DA51" s="609"/>
      <c r="DB51" s="562"/>
      <c r="DC51" s="562"/>
      <c r="DD51" s="562"/>
      <c r="DE51" s="562"/>
      <c r="DF51" s="562"/>
      <c r="DG51" s="562"/>
      <c r="DH51" s="562"/>
      <c r="DI51" s="562"/>
      <c r="DJ51" s="562"/>
      <c r="DK51" s="562"/>
      <c r="DL51" s="562"/>
      <c r="DM51" s="562"/>
      <c r="DN51" s="562"/>
      <c r="DO51" s="562"/>
      <c r="DP51" s="562"/>
      <c r="DQ51" s="562"/>
      <c r="DR51" s="562"/>
      <c r="DS51" s="562"/>
      <c r="DT51" s="562"/>
      <c r="DU51" s="562"/>
      <c r="DV51" s="562"/>
      <c r="DW51" s="562"/>
      <c r="DX51" s="562"/>
      <c r="DY51" s="562"/>
      <c r="DZ51" s="562"/>
      <c r="EA51" s="562"/>
      <c r="EB51" s="562"/>
      <c r="EC51" s="562"/>
      <c r="ED51" s="562"/>
      <c r="EE51" s="562"/>
      <c r="EF51" s="562"/>
      <c r="EG51" s="562"/>
      <c r="EH51" s="562"/>
      <c r="EI51" s="562"/>
      <c r="EJ51" s="562"/>
      <c r="EK51" s="562"/>
      <c r="EL51" s="562"/>
    </row>
    <row r="52" spans="2:142" s="78" customFormat="1" ht="15" customHeight="1" x14ac:dyDescent="0.25">
      <c r="B52" s="77"/>
      <c r="E52" s="77"/>
      <c r="H52" s="77"/>
      <c r="Q52" s="79"/>
      <c r="R52" s="79"/>
      <c r="S52" s="79"/>
      <c r="T52" s="79"/>
      <c r="U52" s="79"/>
      <c r="V52" s="79"/>
      <c r="W52" s="79"/>
      <c r="Y52" s="90">
        <v>50</v>
      </c>
      <c r="Z52" s="559" t="str">
        <f>IF(Inventory!$C59="","",VLOOKUP(Inventory!$C59,$B$3:$C$5,2,FALSE))</f>
        <v/>
      </c>
      <c r="AA52" s="559" t="str">
        <f>IF($Z52="","",IF(AND($Z52="b",Inventory!$G59=""),"",IF(AND($Z52="b",Inventory!$G59&lt;&gt;""),VLOOKUP(Inventory!$G59,$E$3:$F$10,2,FALSE),IF(AND($Z52="a",Inventory!$Z59=""),"",IF(AND($Z52="a",Inventory!$Z59&lt;&gt;""),VLOOKUP(Inventory!$Z59,$E$3:$F$10,2,FALSE),IF(AND($Z52="c",Inventory!$Z59=""),"",IF(AND($Z52="c",Inventory!$Z59&lt;&gt;""),VLOOKUP(Inventory!$Z59,$E$3:$F$10,2,FALSE),"")))))))</f>
        <v/>
      </c>
      <c r="AB52" s="559" t="str">
        <f>IF($Z52="","a",IF(AND($Z52="b",Inventory!$J59=""),"a",IF(AND($Z52="b",Inventory!$J59&lt;&gt;""),VLOOKUP(Inventory!$J59,$H$4:$I$6,2,FALSE),IF(AND($Z52="a",Inventory!$AA59=""),"a",IF(AND($Z52="a",Inventory!$AA59&lt;&gt;""),VLOOKUP(Inventory!$AA59,$H$4:$I$6,2,FALSE),IF(AND($Z52="c",Inventory!$AA59=""),"a",IF(AND($Z52="c",Inventory!$AA59&lt;&gt;""),VLOOKUP(Inventory!$AA59,$H$4:$I$6,2,FALSE),"a")))))))</f>
        <v>a</v>
      </c>
      <c r="AC52" s="559" t="str">
        <f t="shared" si="11"/>
        <v>a</v>
      </c>
      <c r="AD52" s="473" t="str">
        <f>IF($Z52="","a",IF(AND($Z52="b",Inventory!$L59=""),"a",IF(AND($Z52="b",Inventory!$L59&lt;&gt;""),VLOOKUP(Inventory!$L59,$N$4:$O$5,2,FALSE),IF(AND($Z52="a",Inventory!$AC59=""),"a",IF(AND($Z52="a",Inventory!$AC59&lt;&gt;""),VLOOKUP(Inventory!$AC59,$N$4:$O$5,2,FALSE),IF(AND($Z52="c",Inventory!$AC59=""),"a",IF(AND($Z52="c",Inventory!$AC59&lt;&gt;""),VLOOKUP(Inventory!$AC59,$N$4:$O$5,2,FALSE),"a")))))))</f>
        <v>a</v>
      </c>
      <c r="AE52" s="474">
        <f>IF(OR(Inventory!C59="New Construction",Inventory!C59="Replace-on-Burnout"),Inventory!AF59,IF(Inventory!C59="Early Retirement",MIN(Inventory!AE59,Inventory!AF59),0))</f>
        <v>0</v>
      </c>
      <c r="AF52" s="475" t="str">
        <f t="shared" si="12"/>
        <v/>
      </c>
      <c r="AG52" s="475" t="str">
        <f t="shared" si="0"/>
        <v/>
      </c>
      <c r="AH52" s="475" t="str">
        <f t="shared" si="1"/>
        <v/>
      </c>
      <c r="AI52" s="475" t="str">
        <f t="shared" si="2"/>
        <v/>
      </c>
      <c r="AJ52" s="475" t="str">
        <f t="shared" si="3"/>
        <v/>
      </c>
      <c r="AK52" s="475" t="str">
        <f t="shared" si="13"/>
        <v/>
      </c>
      <c r="AL52" s="475" t="str">
        <f t="shared" si="14"/>
        <v/>
      </c>
      <c r="AM52" s="475" t="str">
        <f t="shared" si="15"/>
        <v/>
      </c>
      <c r="AN52" s="475" t="str">
        <f t="shared" si="16"/>
        <v/>
      </c>
      <c r="AO52" s="475" t="str">
        <f t="shared" si="17"/>
        <v/>
      </c>
      <c r="AP52" s="475" t="str">
        <f t="shared" si="18"/>
        <v/>
      </c>
      <c r="AQ52" s="475" t="str">
        <f t="shared" si="19"/>
        <v/>
      </c>
      <c r="AR52" s="475" t="str">
        <f t="shared" si="20"/>
        <v/>
      </c>
      <c r="AS52" s="475" t="str">
        <f t="shared" si="21"/>
        <v/>
      </c>
      <c r="AT52" s="475" t="str">
        <f t="shared" si="22"/>
        <v/>
      </c>
      <c r="AU52" s="475" t="str">
        <f t="shared" si="23"/>
        <v/>
      </c>
      <c r="AV52" s="475" t="str">
        <f t="shared" si="4"/>
        <v/>
      </c>
      <c r="AW52" s="473">
        <f t="shared" si="5"/>
        <v>0</v>
      </c>
      <c r="AX52" s="473" t="str">
        <f>IF(AND($Z52="b",OR($AA52="a",$AA52="b"),Inventory!$I59="",$AE52&lt;(65000/12000)),"x",IF(AND($Z52="b",OR($AA52="a",$AA52="b"),Inventory!$I59&lt;&gt;"",$AE52&lt;(65000/12000)),VLOOKUP(Inventory!$I59,$V$4:$W$5,2,FALSE),"x"))</f>
        <v>x</v>
      </c>
      <c r="AY52" s="476" t="str">
        <f t="shared" si="24"/>
        <v>aaa0</v>
      </c>
      <c r="AZ52" s="477" t="str">
        <f t="shared" si="25"/>
        <v>No</v>
      </c>
      <c r="BA52" s="759" t="str">
        <f t="shared" si="26"/>
        <v>No</v>
      </c>
      <c r="BB52" s="477">
        <f>IF($Z52="c",Inventory!$AB59,Inventory!$K59)</f>
        <v>0</v>
      </c>
      <c r="BC52" s="478">
        <f>IF(AND($Z52="b",Inventory!$N59="Btu/hr"),Inventory!$M59,IF(AND($Z52="b",Inventory!$N59="Tons"),Inventory!$M59*12000,IF(AND($Z52&lt;&gt;"b",Inventory!$AK59="Btu/hr"),Inventory!$AD59,IF(AND($Z52&lt;&gt;"b",Inventory!$AK59="Tons"),Inventory!$AD59*12000,0))))</f>
        <v>0</v>
      </c>
      <c r="BD52" s="478">
        <f t="shared" ref="BD52:BD115" si="46">IF(BC52=0,0,IF($BC52&lt;7000,7000,IF($BC52&gt;15000,15000,$BC52)))</f>
        <v>0</v>
      </c>
      <c r="BE52" s="479">
        <f t="shared" si="28"/>
        <v>0</v>
      </c>
      <c r="BF52" s="477" t="s">
        <v>50</v>
      </c>
      <c r="BG52" s="479">
        <f t="shared" si="6"/>
        <v>0</v>
      </c>
      <c r="BH52" s="477" t="s">
        <v>46</v>
      </c>
      <c r="BI52" s="760">
        <f>IF(AND($Z52="b",Inventory!$P59="Btu/hr"),Inventory!$O59,IF(AND($Z52="b",Inventory!$P59="Tons"),Inventory!$O59*12000,IF(AND($Z52&lt;&gt;"b",Inventory!$AM59="Btu/hr"),Inventory!$AL59,IF(AND($Z52&lt;&gt;"b",Inventory!$AM59="Tons"),Inventory!$AL59*12000,0))))</f>
        <v>0</v>
      </c>
      <c r="BJ52" s="760">
        <f t="shared" ref="BJ52:BJ115" si="47">IF(BI52=0,0,IF($BI52&lt;7000,7000,IF($BI52&gt;15000,15000,$BI52)))</f>
        <v>0</v>
      </c>
      <c r="BK52" s="598">
        <f t="shared" si="30"/>
        <v>0</v>
      </c>
      <c r="BL52" s="759" t="s">
        <v>567</v>
      </c>
      <c r="BM52" s="477" t="str">
        <f t="shared" si="7"/>
        <v>No</v>
      </c>
      <c r="BN52" s="477" t="str">
        <f>IF(OR(Inventory!$H59="",$BM52="No"),"-",Inventory!$H59)</f>
        <v>-</v>
      </c>
      <c r="BO52" s="477" t="str">
        <f>IFERROR(VLOOKUP(BN52,'Early Retirement'!$B$6:$C$33,2,FALSE),"-")</f>
        <v>-</v>
      </c>
      <c r="BP52" s="477" t="str">
        <f>IF(Inventory!$J59="Centrifugal","Yes","No")</f>
        <v>No</v>
      </c>
      <c r="BQ52" s="477">
        <f t="shared" si="31"/>
        <v>0</v>
      </c>
      <c r="BR52" s="477" t="str">
        <f t="shared" si="32"/>
        <v>-</v>
      </c>
      <c r="BS52" s="479">
        <f>IFERROR(INDEX('Early Retirement'!$C$4:$AC$33,$BO52,$BR52),0)</f>
        <v>0</v>
      </c>
      <c r="BT52" s="477">
        <f>IFERROR(HLOOKUP($BR52,'Early Retirement'!$D$4:$AC$5,2,FALSE),0)</f>
        <v>0</v>
      </c>
      <c r="BU52" s="761">
        <f>IFERROR(INDEX('Early Retirement'!$AE$4:$BE$33,$BO52,$BR52),0)</f>
        <v>0</v>
      </c>
      <c r="BV52" s="759">
        <f>IFERROR(HLOOKUP($BR52,'Early Retirement'!$AF$4:$BE$5,2,FALSE),0)</f>
        <v>0</v>
      </c>
      <c r="BW52" s="479">
        <f t="shared" si="41"/>
        <v>0</v>
      </c>
      <c r="BX52" s="761">
        <f t="shared" si="33"/>
        <v>0</v>
      </c>
      <c r="BY52" s="477" t="s">
        <v>46</v>
      </c>
      <c r="BZ52" s="598">
        <f>IFERROR(INDEX('Early Retirement'!$BG$4:$CG$33,$BO52,$BR52),0)</f>
        <v>0</v>
      </c>
      <c r="CA52" s="759">
        <f>IFERROR(HLOOKUP($BR52,'Early Retirement'!$BH$4:$CH$5,2,FALSE),0)</f>
        <v>0</v>
      </c>
      <c r="CB52" s="598">
        <f t="shared" si="34"/>
        <v>0</v>
      </c>
      <c r="CC52" s="759" t="s">
        <v>567</v>
      </c>
      <c r="CD52" s="477" t="str">
        <f t="shared" si="8"/>
        <v>Yes</v>
      </c>
      <c r="CE52" s="479">
        <f t="shared" si="9"/>
        <v>0</v>
      </c>
      <c r="CF52" s="761">
        <f t="shared" si="10"/>
        <v>0</v>
      </c>
      <c r="CG52" s="759" t="s">
        <v>46</v>
      </c>
      <c r="CH52" s="598">
        <f t="shared" si="35"/>
        <v>0</v>
      </c>
      <c r="CI52" s="759" t="s">
        <v>567</v>
      </c>
      <c r="CJ52" s="480">
        <f t="shared" si="36"/>
        <v>0</v>
      </c>
      <c r="CK52" s="583">
        <f t="shared" si="37"/>
        <v>0</v>
      </c>
      <c r="CL52" s="596" t="s">
        <v>46</v>
      </c>
      <c r="CM52" s="581">
        <f t="shared" si="38"/>
        <v>0</v>
      </c>
      <c r="CN52" s="762" t="s">
        <v>567</v>
      </c>
      <c r="CP52" s="90" t="s">
        <v>230</v>
      </c>
      <c r="CQ52" s="121">
        <v>10.9</v>
      </c>
      <c r="CR52" s="307" t="s">
        <v>50</v>
      </c>
      <c r="CS52" s="641">
        <v>10.9</v>
      </c>
      <c r="CT52" s="551" t="s">
        <v>50</v>
      </c>
      <c r="CU52" s="645">
        <f t="shared" si="45"/>
        <v>1.1009174311926606</v>
      </c>
      <c r="CV52" s="645">
        <f t="shared" si="45"/>
        <v>1.1009174311926606</v>
      </c>
      <c r="CW52" s="633" t="s">
        <v>46</v>
      </c>
      <c r="CX52" s="606"/>
      <c r="CY52" s="589"/>
      <c r="CZ52" s="606"/>
      <c r="DA52" s="609"/>
      <c r="DB52" s="562"/>
      <c r="DC52" s="562"/>
      <c r="DD52" s="562"/>
      <c r="DE52" s="562"/>
      <c r="DF52" s="562"/>
      <c r="DG52" s="562"/>
      <c r="DH52" s="562"/>
      <c r="DI52" s="562"/>
      <c r="DJ52" s="562"/>
      <c r="DK52" s="562"/>
      <c r="DL52" s="562"/>
      <c r="DM52" s="562"/>
      <c r="DN52" s="562"/>
      <c r="DO52" s="562"/>
      <c r="DP52" s="562"/>
      <c r="DQ52" s="562"/>
      <c r="DR52" s="562"/>
      <c r="DS52" s="562"/>
      <c r="DT52" s="562"/>
      <c r="DU52" s="562"/>
      <c r="DV52" s="562"/>
      <c r="DW52" s="562"/>
      <c r="DX52" s="562"/>
      <c r="DY52" s="562"/>
      <c r="DZ52" s="562"/>
      <c r="EA52" s="562"/>
      <c r="EB52" s="562"/>
      <c r="EC52" s="562"/>
      <c r="ED52" s="562"/>
      <c r="EE52" s="562"/>
      <c r="EF52" s="562"/>
      <c r="EG52" s="562"/>
      <c r="EH52" s="562"/>
      <c r="EI52" s="562"/>
      <c r="EJ52" s="562"/>
      <c r="EK52" s="562"/>
      <c r="EL52" s="562"/>
    </row>
    <row r="53" spans="2:142" s="78" customFormat="1" ht="15" customHeight="1" x14ac:dyDescent="0.25">
      <c r="B53" s="77"/>
      <c r="E53" s="77"/>
      <c r="H53" s="77"/>
      <c r="U53" s="79"/>
      <c r="V53" s="79"/>
      <c r="W53" s="79"/>
      <c r="Y53" s="90">
        <v>51</v>
      </c>
      <c r="Z53" s="559" t="str">
        <f>IF(Inventory!$C60="","",VLOOKUP(Inventory!$C60,$B$3:$C$5,2,FALSE))</f>
        <v/>
      </c>
      <c r="AA53" s="559" t="str">
        <f>IF($Z53="","",IF(AND($Z53="b",Inventory!$G60=""),"",IF(AND($Z53="b",Inventory!$G60&lt;&gt;""),VLOOKUP(Inventory!$G60,$E$3:$F$10,2,FALSE),IF(AND($Z53="a",Inventory!$Z60=""),"",IF(AND($Z53="a",Inventory!$Z60&lt;&gt;""),VLOOKUP(Inventory!$Z60,$E$3:$F$10,2,FALSE),IF(AND($Z53="c",Inventory!$Z60=""),"",IF(AND($Z53="c",Inventory!$Z60&lt;&gt;""),VLOOKUP(Inventory!$Z60,$E$3:$F$10,2,FALSE),"")))))))</f>
        <v/>
      </c>
      <c r="AB53" s="559" t="str">
        <f>IF($Z53="","a",IF(AND($Z53="b",Inventory!$J60=""),"a",IF(AND($Z53="b",Inventory!$J60&lt;&gt;""),VLOOKUP(Inventory!$J60,$H$4:$I$6,2,FALSE),IF(AND($Z53="a",Inventory!$AA60=""),"a",IF(AND($Z53="a",Inventory!$AA60&lt;&gt;""),VLOOKUP(Inventory!$AA60,$H$4:$I$6,2,FALSE),IF(AND($Z53="c",Inventory!$AA60=""),"a",IF(AND($Z53="c",Inventory!$AA60&lt;&gt;""),VLOOKUP(Inventory!$AA60,$H$4:$I$6,2,FALSE),"a")))))))</f>
        <v>a</v>
      </c>
      <c r="AC53" s="559" t="str">
        <f t="shared" si="11"/>
        <v>a</v>
      </c>
      <c r="AD53" s="473" t="str">
        <f>IF($Z53="","a",IF(AND($Z53="b",Inventory!$L60=""),"a",IF(AND($Z53="b",Inventory!$L60&lt;&gt;""),VLOOKUP(Inventory!$L60,$N$4:$O$5,2,FALSE),IF(AND($Z53="a",Inventory!$AC60=""),"a",IF(AND($Z53="a",Inventory!$AC60&lt;&gt;""),VLOOKUP(Inventory!$AC60,$N$4:$O$5,2,FALSE),IF(AND($Z53="c",Inventory!$AC60=""),"a",IF(AND($Z53="c",Inventory!$AC60&lt;&gt;""),VLOOKUP(Inventory!$AC60,$N$4:$O$5,2,FALSE),"a")))))))</f>
        <v>a</v>
      </c>
      <c r="AE53" s="474">
        <f>IF(OR(Inventory!C60="New Construction",Inventory!C60="Replace-on-Burnout"),Inventory!AF60,IF(Inventory!C60="Early Retirement",MIN(Inventory!AE60,Inventory!AF60),0))</f>
        <v>0</v>
      </c>
      <c r="AF53" s="475" t="str">
        <f t="shared" si="12"/>
        <v/>
      </c>
      <c r="AG53" s="475" t="str">
        <f t="shared" si="0"/>
        <v/>
      </c>
      <c r="AH53" s="475" t="str">
        <f t="shared" si="1"/>
        <v/>
      </c>
      <c r="AI53" s="475" t="str">
        <f t="shared" si="2"/>
        <v/>
      </c>
      <c r="AJ53" s="475" t="str">
        <f t="shared" si="3"/>
        <v/>
      </c>
      <c r="AK53" s="475" t="str">
        <f t="shared" si="13"/>
        <v/>
      </c>
      <c r="AL53" s="475" t="str">
        <f t="shared" si="14"/>
        <v/>
      </c>
      <c r="AM53" s="475" t="str">
        <f t="shared" si="15"/>
        <v/>
      </c>
      <c r="AN53" s="475" t="str">
        <f t="shared" si="16"/>
        <v/>
      </c>
      <c r="AO53" s="475" t="str">
        <f t="shared" si="17"/>
        <v/>
      </c>
      <c r="AP53" s="475" t="str">
        <f t="shared" si="18"/>
        <v/>
      </c>
      <c r="AQ53" s="475" t="str">
        <f t="shared" si="19"/>
        <v/>
      </c>
      <c r="AR53" s="475" t="str">
        <f t="shared" si="20"/>
        <v/>
      </c>
      <c r="AS53" s="475" t="str">
        <f t="shared" si="21"/>
        <v/>
      </c>
      <c r="AT53" s="475" t="str">
        <f t="shared" si="22"/>
        <v/>
      </c>
      <c r="AU53" s="475" t="str">
        <f t="shared" si="23"/>
        <v/>
      </c>
      <c r="AV53" s="475" t="str">
        <f t="shared" si="4"/>
        <v/>
      </c>
      <c r="AW53" s="473">
        <f t="shared" si="5"/>
        <v>0</v>
      </c>
      <c r="AX53" s="473" t="str">
        <f>IF(AND($Z53="b",OR($AA53="a",$AA53="b"),Inventory!$I60="",$AE53&lt;(65000/12000)),"x",IF(AND($Z53="b",OR($AA53="a",$AA53="b"),Inventory!$I60&lt;&gt;"",$AE53&lt;(65000/12000)),VLOOKUP(Inventory!$I60,$V$4:$W$5,2,FALSE),"x"))</f>
        <v>x</v>
      </c>
      <c r="AY53" s="476" t="str">
        <f t="shared" si="24"/>
        <v>aaa0</v>
      </c>
      <c r="AZ53" s="477" t="str">
        <f t="shared" si="25"/>
        <v>No</v>
      </c>
      <c r="BA53" s="759" t="str">
        <f t="shared" si="26"/>
        <v>No</v>
      </c>
      <c r="BB53" s="477">
        <f>IF($Z53="c",Inventory!$AB60,Inventory!$K60)</f>
        <v>0</v>
      </c>
      <c r="BC53" s="478">
        <f>IF(AND($Z53="b",Inventory!$N60="Btu/hr"),Inventory!$M60,IF(AND($Z53="b",Inventory!$N60="Tons"),Inventory!$M60*12000,IF(AND($Z53&lt;&gt;"b",Inventory!$AK60="Btu/hr"),Inventory!$AD60,IF(AND($Z53&lt;&gt;"b",Inventory!$AK60="Tons"),Inventory!$AD60*12000,0))))</f>
        <v>0</v>
      </c>
      <c r="BD53" s="478">
        <f t="shared" si="46"/>
        <v>0</v>
      </c>
      <c r="BE53" s="479">
        <f t="shared" si="28"/>
        <v>0</v>
      </c>
      <c r="BF53" s="477" t="s">
        <v>50</v>
      </c>
      <c r="BG53" s="479">
        <f t="shared" si="6"/>
        <v>0</v>
      </c>
      <c r="BH53" s="477" t="s">
        <v>46</v>
      </c>
      <c r="BI53" s="760">
        <f>IF(AND($Z53="b",Inventory!$P60="Btu/hr"),Inventory!$O60,IF(AND($Z53="b",Inventory!$P60="Tons"),Inventory!$O60*12000,IF(AND($Z53&lt;&gt;"b",Inventory!$AM60="Btu/hr"),Inventory!$AL60,IF(AND($Z53&lt;&gt;"b",Inventory!$AM60="Tons"),Inventory!$AL60*12000,0))))</f>
        <v>0</v>
      </c>
      <c r="BJ53" s="760">
        <f t="shared" si="47"/>
        <v>0</v>
      </c>
      <c r="BK53" s="598">
        <f t="shared" si="30"/>
        <v>0</v>
      </c>
      <c r="BL53" s="759" t="s">
        <v>567</v>
      </c>
      <c r="BM53" s="477" t="str">
        <f t="shared" si="7"/>
        <v>No</v>
      </c>
      <c r="BN53" s="477" t="str">
        <f>IF(OR(Inventory!$H60="",$BM53="No"),"-",Inventory!$H60)</f>
        <v>-</v>
      </c>
      <c r="BO53" s="477" t="str">
        <f>IFERROR(VLOOKUP(BN53,'Early Retirement'!$B$6:$C$33,2,FALSE),"-")</f>
        <v>-</v>
      </c>
      <c r="BP53" s="477" t="str">
        <f>IF(Inventory!$J60="Centrifugal","Yes","No")</f>
        <v>No</v>
      </c>
      <c r="BQ53" s="477">
        <f t="shared" si="31"/>
        <v>0</v>
      </c>
      <c r="BR53" s="477" t="str">
        <f t="shared" si="32"/>
        <v>-</v>
      </c>
      <c r="BS53" s="479">
        <f>IFERROR(INDEX('Early Retirement'!$C$4:$AC$33,$BO53,$BR53),0)</f>
        <v>0</v>
      </c>
      <c r="BT53" s="477">
        <f>IFERROR(HLOOKUP($BR53,'Early Retirement'!$D$4:$AC$5,2,FALSE),0)</f>
        <v>0</v>
      </c>
      <c r="BU53" s="761">
        <f>IFERROR(INDEX('Early Retirement'!$AE$4:$BE$33,$BO53,$BR53),0)</f>
        <v>0</v>
      </c>
      <c r="BV53" s="759">
        <f>IFERROR(HLOOKUP($BR53,'Early Retirement'!$AF$4:$BE$5,2,FALSE),0)</f>
        <v>0</v>
      </c>
      <c r="BW53" s="479">
        <f t="shared" si="41"/>
        <v>0</v>
      </c>
      <c r="BX53" s="761">
        <f t="shared" si="33"/>
        <v>0</v>
      </c>
      <c r="BY53" s="477" t="s">
        <v>46</v>
      </c>
      <c r="BZ53" s="598">
        <f>IFERROR(INDEX('Early Retirement'!$BG$4:$CG$33,$BO53,$BR53),0)</f>
        <v>0</v>
      </c>
      <c r="CA53" s="759">
        <f>IFERROR(HLOOKUP($BR53,'Early Retirement'!$BH$4:$CH$5,2,FALSE),0)</f>
        <v>0</v>
      </c>
      <c r="CB53" s="598">
        <f t="shared" si="34"/>
        <v>0</v>
      </c>
      <c r="CC53" s="759" t="s">
        <v>567</v>
      </c>
      <c r="CD53" s="477" t="str">
        <f t="shared" si="8"/>
        <v>Yes</v>
      </c>
      <c r="CE53" s="479">
        <f t="shared" si="9"/>
        <v>0</v>
      </c>
      <c r="CF53" s="761">
        <f t="shared" si="10"/>
        <v>0</v>
      </c>
      <c r="CG53" s="759" t="s">
        <v>46</v>
      </c>
      <c r="CH53" s="598">
        <f t="shared" si="35"/>
        <v>0</v>
      </c>
      <c r="CI53" s="759" t="s">
        <v>567</v>
      </c>
      <c r="CJ53" s="480">
        <f t="shared" si="36"/>
        <v>0</v>
      </c>
      <c r="CK53" s="583">
        <f t="shared" si="37"/>
        <v>0</v>
      </c>
      <c r="CL53" s="596" t="s">
        <v>46</v>
      </c>
      <c r="CM53" s="581">
        <f t="shared" si="38"/>
        <v>0</v>
      </c>
      <c r="CN53" s="762" t="s">
        <v>567</v>
      </c>
      <c r="CP53" s="90" t="s">
        <v>231</v>
      </c>
      <c r="CQ53" s="121">
        <v>10.7</v>
      </c>
      <c r="CR53" s="307" t="s">
        <v>50</v>
      </c>
      <c r="CS53" s="641">
        <v>10.7</v>
      </c>
      <c r="CT53" s="551" t="s">
        <v>50</v>
      </c>
      <c r="CU53" s="645">
        <f t="shared" si="45"/>
        <v>1.1214953271028039</v>
      </c>
      <c r="CV53" s="645">
        <f t="shared" si="45"/>
        <v>1.1214953271028039</v>
      </c>
      <c r="CW53" s="633" t="s">
        <v>46</v>
      </c>
      <c r="CX53" s="606"/>
      <c r="CY53" s="589"/>
      <c r="CZ53" s="606"/>
      <c r="DA53" s="609"/>
      <c r="DB53" s="562"/>
      <c r="DC53" s="562"/>
      <c r="DD53" s="562"/>
      <c r="DE53" s="562"/>
      <c r="DF53" s="562"/>
      <c r="DG53" s="562"/>
      <c r="DH53" s="562"/>
      <c r="DI53" s="562"/>
      <c r="DJ53" s="562"/>
      <c r="DK53" s="562"/>
      <c r="DL53" s="562"/>
      <c r="DM53" s="562"/>
      <c r="DN53" s="562"/>
      <c r="DO53" s="562"/>
      <c r="DP53" s="562"/>
      <c r="DQ53" s="562"/>
      <c r="DR53" s="562"/>
      <c r="DS53" s="562"/>
      <c r="DT53" s="562"/>
      <c r="DU53" s="562"/>
      <c r="DV53" s="562"/>
      <c r="DW53" s="562"/>
      <c r="DX53" s="562"/>
      <c r="DY53" s="562"/>
      <c r="DZ53" s="562"/>
      <c r="EA53" s="562"/>
      <c r="EB53" s="562"/>
      <c r="EC53" s="562"/>
      <c r="ED53" s="562"/>
      <c r="EE53" s="562"/>
      <c r="EF53" s="562"/>
      <c r="EG53" s="562"/>
      <c r="EH53" s="562"/>
      <c r="EI53" s="562"/>
      <c r="EJ53" s="562"/>
      <c r="EK53" s="562"/>
      <c r="EL53" s="562"/>
    </row>
    <row r="54" spans="2:142" s="78" customFormat="1" ht="15" customHeight="1" x14ac:dyDescent="0.25">
      <c r="B54" s="77"/>
      <c r="E54" s="77"/>
      <c r="H54" s="77"/>
      <c r="U54" s="79"/>
      <c r="V54" s="79"/>
      <c r="W54" s="79"/>
      <c r="Y54" s="90">
        <v>52</v>
      </c>
      <c r="Z54" s="559" t="str">
        <f>IF(Inventory!$C61="","",VLOOKUP(Inventory!$C61,$B$3:$C$5,2,FALSE))</f>
        <v/>
      </c>
      <c r="AA54" s="559" t="str">
        <f>IF($Z54="","",IF(AND($Z54="b",Inventory!$G61=""),"",IF(AND($Z54="b",Inventory!$G61&lt;&gt;""),VLOOKUP(Inventory!$G61,$E$3:$F$10,2,FALSE),IF(AND($Z54="a",Inventory!$Z61=""),"",IF(AND($Z54="a",Inventory!$Z61&lt;&gt;""),VLOOKUP(Inventory!$Z61,$E$3:$F$10,2,FALSE),IF(AND($Z54="c",Inventory!$Z61=""),"",IF(AND($Z54="c",Inventory!$Z61&lt;&gt;""),VLOOKUP(Inventory!$Z61,$E$3:$F$10,2,FALSE),"")))))))</f>
        <v/>
      </c>
      <c r="AB54" s="559" t="str">
        <f>IF($Z54="","a",IF(AND($Z54="b",Inventory!$J61=""),"a",IF(AND($Z54="b",Inventory!$J61&lt;&gt;""),VLOOKUP(Inventory!$J61,$H$4:$I$6,2,FALSE),IF(AND($Z54="a",Inventory!$AA61=""),"a",IF(AND($Z54="a",Inventory!$AA61&lt;&gt;""),VLOOKUP(Inventory!$AA61,$H$4:$I$6,2,FALSE),IF(AND($Z54="c",Inventory!$AA61=""),"a",IF(AND($Z54="c",Inventory!$AA61&lt;&gt;""),VLOOKUP(Inventory!$AA61,$H$4:$I$6,2,FALSE),"a")))))))</f>
        <v>a</v>
      </c>
      <c r="AC54" s="559" t="str">
        <f t="shared" si="11"/>
        <v>a</v>
      </c>
      <c r="AD54" s="473" t="str">
        <f>IF($Z54="","a",IF(AND($Z54="b",Inventory!$L61=""),"a",IF(AND($Z54="b",Inventory!$L61&lt;&gt;""),VLOOKUP(Inventory!$L61,$N$4:$O$5,2,FALSE),IF(AND($Z54="a",Inventory!$AC61=""),"a",IF(AND($Z54="a",Inventory!$AC61&lt;&gt;""),VLOOKUP(Inventory!$AC61,$N$4:$O$5,2,FALSE),IF(AND($Z54="c",Inventory!$AC61=""),"a",IF(AND($Z54="c",Inventory!$AC61&lt;&gt;""),VLOOKUP(Inventory!$AC61,$N$4:$O$5,2,FALSE),"a")))))))</f>
        <v>a</v>
      </c>
      <c r="AE54" s="474">
        <f>IF(OR(Inventory!C61="New Construction",Inventory!C61="Replace-on-Burnout"),Inventory!AF61,IF(Inventory!C61="Early Retirement",MIN(Inventory!AE61,Inventory!AF61),0))</f>
        <v>0</v>
      </c>
      <c r="AF54" s="475" t="str">
        <f t="shared" si="12"/>
        <v/>
      </c>
      <c r="AG54" s="475" t="str">
        <f t="shared" si="0"/>
        <v/>
      </c>
      <c r="AH54" s="475" t="str">
        <f t="shared" si="1"/>
        <v/>
      </c>
      <c r="AI54" s="475" t="str">
        <f t="shared" si="2"/>
        <v/>
      </c>
      <c r="AJ54" s="475" t="str">
        <f t="shared" si="3"/>
        <v/>
      </c>
      <c r="AK54" s="475" t="str">
        <f t="shared" si="13"/>
        <v/>
      </c>
      <c r="AL54" s="475" t="str">
        <f t="shared" si="14"/>
        <v/>
      </c>
      <c r="AM54" s="475" t="str">
        <f t="shared" si="15"/>
        <v/>
      </c>
      <c r="AN54" s="475" t="str">
        <f t="shared" si="16"/>
        <v/>
      </c>
      <c r="AO54" s="475" t="str">
        <f t="shared" si="17"/>
        <v/>
      </c>
      <c r="AP54" s="475" t="str">
        <f t="shared" si="18"/>
        <v/>
      </c>
      <c r="AQ54" s="475" t="str">
        <f t="shared" si="19"/>
        <v/>
      </c>
      <c r="AR54" s="475" t="str">
        <f t="shared" si="20"/>
        <v/>
      </c>
      <c r="AS54" s="475" t="str">
        <f t="shared" si="21"/>
        <v/>
      </c>
      <c r="AT54" s="475" t="str">
        <f t="shared" si="22"/>
        <v/>
      </c>
      <c r="AU54" s="475" t="str">
        <f t="shared" si="23"/>
        <v/>
      </c>
      <c r="AV54" s="475" t="str">
        <f t="shared" si="4"/>
        <v/>
      </c>
      <c r="AW54" s="473">
        <f t="shared" si="5"/>
        <v>0</v>
      </c>
      <c r="AX54" s="473" t="str">
        <f>IF(AND($Z54="b",OR($AA54="a",$AA54="b"),Inventory!$I61="",$AE54&lt;(65000/12000)),"x",IF(AND($Z54="b",OR($AA54="a",$AA54="b"),Inventory!$I61&lt;&gt;"",$AE54&lt;(65000/12000)),VLOOKUP(Inventory!$I61,$V$4:$W$5,2,FALSE),"x"))</f>
        <v>x</v>
      </c>
      <c r="AY54" s="476" t="str">
        <f t="shared" si="24"/>
        <v>aaa0</v>
      </c>
      <c r="AZ54" s="477" t="str">
        <f t="shared" si="25"/>
        <v>No</v>
      </c>
      <c r="BA54" s="759" t="str">
        <f t="shared" si="26"/>
        <v>No</v>
      </c>
      <c r="BB54" s="477">
        <f>IF($Z54="c",Inventory!$AB61,Inventory!$K61)</f>
        <v>0</v>
      </c>
      <c r="BC54" s="478">
        <f>IF(AND($Z54="b",Inventory!$N61="Btu/hr"),Inventory!$M61,IF(AND($Z54="b",Inventory!$N61="Tons"),Inventory!$M61*12000,IF(AND($Z54&lt;&gt;"b",Inventory!$AK61="Btu/hr"),Inventory!$AD61,IF(AND($Z54&lt;&gt;"b",Inventory!$AK61="Tons"),Inventory!$AD61*12000,0))))</f>
        <v>0</v>
      </c>
      <c r="BD54" s="478">
        <f t="shared" si="46"/>
        <v>0</v>
      </c>
      <c r="BE54" s="479">
        <f t="shared" si="28"/>
        <v>0</v>
      </c>
      <c r="BF54" s="477" t="s">
        <v>50</v>
      </c>
      <c r="BG54" s="479">
        <f t="shared" si="6"/>
        <v>0</v>
      </c>
      <c r="BH54" s="477" t="s">
        <v>46</v>
      </c>
      <c r="BI54" s="760">
        <f>IF(AND($Z54="b",Inventory!$P61="Btu/hr"),Inventory!$O61,IF(AND($Z54="b",Inventory!$P61="Tons"),Inventory!$O61*12000,IF(AND($Z54&lt;&gt;"b",Inventory!$AM61="Btu/hr"),Inventory!$AL61,IF(AND($Z54&lt;&gt;"b",Inventory!$AM61="Tons"),Inventory!$AL61*12000,0))))</f>
        <v>0</v>
      </c>
      <c r="BJ54" s="760">
        <f t="shared" si="47"/>
        <v>0</v>
      </c>
      <c r="BK54" s="598">
        <f t="shared" si="30"/>
        <v>0</v>
      </c>
      <c r="BL54" s="759" t="s">
        <v>567</v>
      </c>
      <c r="BM54" s="477" t="str">
        <f t="shared" si="7"/>
        <v>No</v>
      </c>
      <c r="BN54" s="477" t="str">
        <f>IF(OR(Inventory!$H61="",$BM54="No"),"-",Inventory!$H61)</f>
        <v>-</v>
      </c>
      <c r="BO54" s="477" t="str">
        <f>IFERROR(VLOOKUP(BN54,'Early Retirement'!$B$6:$C$33,2,FALSE),"-")</f>
        <v>-</v>
      </c>
      <c r="BP54" s="477" t="str">
        <f>IF(Inventory!$J61="Centrifugal","Yes","No")</f>
        <v>No</v>
      </c>
      <c r="BQ54" s="477">
        <f t="shared" si="31"/>
        <v>0</v>
      </c>
      <c r="BR54" s="477" t="str">
        <f t="shared" si="32"/>
        <v>-</v>
      </c>
      <c r="BS54" s="479">
        <f>IFERROR(INDEX('Early Retirement'!$C$4:$AC$33,$BO54,$BR54),0)</f>
        <v>0</v>
      </c>
      <c r="BT54" s="477">
        <f>IFERROR(HLOOKUP($BR54,'Early Retirement'!$D$4:$AC$5,2,FALSE),0)</f>
        <v>0</v>
      </c>
      <c r="BU54" s="761">
        <f>IFERROR(INDEX('Early Retirement'!$AE$4:$BE$33,$BO54,$BR54),0)</f>
        <v>0</v>
      </c>
      <c r="BV54" s="759">
        <f>IFERROR(HLOOKUP($BR54,'Early Retirement'!$AF$4:$BE$5,2,FALSE),0)</f>
        <v>0</v>
      </c>
      <c r="BW54" s="479">
        <f t="shared" si="41"/>
        <v>0</v>
      </c>
      <c r="BX54" s="761">
        <f t="shared" si="33"/>
        <v>0</v>
      </c>
      <c r="BY54" s="477" t="s">
        <v>46</v>
      </c>
      <c r="BZ54" s="598">
        <f>IFERROR(INDEX('Early Retirement'!$BG$4:$CG$33,$BO54,$BR54),0)</f>
        <v>0</v>
      </c>
      <c r="CA54" s="759">
        <f>IFERROR(HLOOKUP($BR54,'Early Retirement'!$BH$4:$CH$5,2,FALSE),0)</f>
        <v>0</v>
      </c>
      <c r="CB54" s="598">
        <f t="shared" si="34"/>
        <v>0</v>
      </c>
      <c r="CC54" s="759" t="s">
        <v>567</v>
      </c>
      <c r="CD54" s="477" t="str">
        <f t="shared" si="8"/>
        <v>Yes</v>
      </c>
      <c r="CE54" s="479">
        <f t="shared" si="9"/>
        <v>0</v>
      </c>
      <c r="CF54" s="761">
        <f t="shared" si="10"/>
        <v>0</v>
      </c>
      <c r="CG54" s="759" t="s">
        <v>46</v>
      </c>
      <c r="CH54" s="598">
        <f t="shared" si="35"/>
        <v>0</v>
      </c>
      <c r="CI54" s="759" t="s">
        <v>567</v>
      </c>
      <c r="CJ54" s="480">
        <f t="shared" si="36"/>
        <v>0</v>
      </c>
      <c r="CK54" s="583">
        <f t="shared" si="37"/>
        <v>0</v>
      </c>
      <c r="CL54" s="596" t="s">
        <v>46</v>
      </c>
      <c r="CM54" s="581">
        <f t="shared" si="38"/>
        <v>0</v>
      </c>
      <c r="CN54" s="762" t="s">
        <v>567</v>
      </c>
      <c r="CP54" s="90" t="s">
        <v>232</v>
      </c>
      <c r="CQ54" s="121">
        <v>9.4</v>
      </c>
      <c r="CR54" s="307" t="s">
        <v>50</v>
      </c>
      <c r="CS54" s="641">
        <v>9.4</v>
      </c>
      <c r="CT54" s="551" t="s">
        <v>50</v>
      </c>
      <c r="CU54" s="645">
        <f t="shared" si="45"/>
        <v>1.2765957446808509</v>
      </c>
      <c r="CV54" s="645">
        <f t="shared" si="45"/>
        <v>1.2765957446808509</v>
      </c>
      <c r="CW54" s="633" t="s">
        <v>46</v>
      </c>
      <c r="CX54" s="606"/>
      <c r="CY54" s="589"/>
      <c r="CZ54" s="606"/>
      <c r="DA54" s="609"/>
      <c r="DB54" s="562"/>
      <c r="DC54" s="562"/>
      <c r="DD54" s="562"/>
      <c r="DE54" s="562"/>
      <c r="DF54" s="562"/>
      <c r="DG54" s="562"/>
      <c r="DH54" s="562"/>
      <c r="DI54" s="562"/>
      <c r="DJ54" s="562"/>
      <c r="DK54" s="562"/>
      <c r="DL54" s="562"/>
      <c r="DM54" s="562"/>
      <c r="DN54" s="562"/>
      <c r="DO54" s="562"/>
      <c r="DP54" s="562"/>
      <c r="DQ54" s="562"/>
      <c r="DR54" s="562"/>
      <c r="DS54" s="562"/>
      <c r="DT54" s="562"/>
      <c r="DU54" s="562"/>
      <c r="DV54" s="562"/>
      <c r="DW54" s="562"/>
      <c r="DX54" s="562"/>
      <c r="DY54" s="562"/>
      <c r="DZ54" s="562"/>
      <c r="EA54" s="562"/>
      <c r="EB54" s="562"/>
      <c r="EC54" s="562"/>
      <c r="ED54" s="562"/>
      <c r="EE54" s="562"/>
      <c r="EF54" s="562"/>
      <c r="EG54" s="562"/>
      <c r="EH54" s="562"/>
      <c r="EI54" s="562"/>
      <c r="EJ54" s="562"/>
      <c r="EK54" s="562"/>
      <c r="EL54" s="562"/>
    </row>
    <row r="55" spans="2:142" s="78" customFormat="1" ht="15" customHeight="1" x14ac:dyDescent="0.25">
      <c r="B55" s="77"/>
      <c r="E55" s="77"/>
      <c r="H55" s="77"/>
      <c r="U55" s="79"/>
      <c r="V55" s="79"/>
      <c r="W55" s="79"/>
      <c r="Y55" s="90">
        <v>53</v>
      </c>
      <c r="Z55" s="559" t="str">
        <f>IF(Inventory!$C62="","",VLOOKUP(Inventory!$C62,$B$3:$C$5,2,FALSE))</f>
        <v/>
      </c>
      <c r="AA55" s="559" t="str">
        <f>IF($Z55="","",IF(AND($Z55="b",Inventory!$G62=""),"",IF(AND($Z55="b",Inventory!$G62&lt;&gt;""),VLOOKUP(Inventory!$G62,$E$3:$F$10,2,FALSE),IF(AND($Z55="a",Inventory!$Z62=""),"",IF(AND($Z55="a",Inventory!$Z62&lt;&gt;""),VLOOKUP(Inventory!$Z62,$E$3:$F$10,2,FALSE),IF(AND($Z55="c",Inventory!$Z62=""),"",IF(AND($Z55="c",Inventory!$Z62&lt;&gt;""),VLOOKUP(Inventory!$Z62,$E$3:$F$10,2,FALSE),"")))))))</f>
        <v/>
      </c>
      <c r="AB55" s="559" t="str">
        <f>IF($Z55="","a",IF(AND($Z55="b",Inventory!$J62=""),"a",IF(AND($Z55="b",Inventory!$J62&lt;&gt;""),VLOOKUP(Inventory!$J62,$H$4:$I$6,2,FALSE),IF(AND($Z55="a",Inventory!$AA62=""),"a",IF(AND($Z55="a",Inventory!$AA62&lt;&gt;""),VLOOKUP(Inventory!$AA62,$H$4:$I$6,2,FALSE),IF(AND($Z55="c",Inventory!$AA62=""),"a",IF(AND($Z55="c",Inventory!$AA62&lt;&gt;""),VLOOKUP(Inventory!$AA62,$H$4:$I$6,2,FALSE),"a")))))))</f>
        <v>a</v>
      </c>
      <c r="AC55" s="559" t="str">
        <f t="shared" si="11"/>
        <v>a</v>
      </c>
      <c r="AD55" s="473" t="str">
        <f>IF($Z55="","a",IF(AND($Z55="b",Inventory!$L62=""),"a",IF(AND($Z55="b",Inventory!$L62&lt;&gt;""),VLOOKUP(Inventory!$L62,$N$4:$O$5,2,FALSE),IF(AND($Z55="a",Inventory!$AC62=""),"a",IF(AND($Z55="a",Inventory!$AC62&lt;&gt;""),VLOOKUP(Inventory!$AC62,$N$4:$O$5,2,FALSE),IF(AND($Z55="c",Inventory!$AC62=""),"a",IF(AND($Z55="c",Inventory!$AC62&lt;&gt;""),VLOOKUP(Inventory!$AC62,$N$4:$O$5,2,FALSE),"a")))))))</f>
        <v>a</v>
      </c>
      <c r="AE55" s="474">
        <f>IF(OR(Inventory!C62="New Construction",Inventory!C62="Replace-on-Burnout"),Inventory!AF62,IF(Inventory!C62="Early Retirement",MIN(Inventory!AE62,Inventory!AF62),0))</f>
        <v>0</v>
      </c>
      <c r="AF55" s="475" t="str">
        <f t="shared" si="12"/>
        <v/>
      </c>
      <c r="AG55" s="475" t="str">
        <f t="shared" si="0"/>
        <v/>
      </c>
      <c r="AH55" s="475" t="str">
        <f t="shared" si="1"/>
        <v/>
      </c>
      <c r="AI55" s="475" t="str">
        <f t="shared" si="2"/>
        <v/>
      </c>
      <c r="AJ55" s="475" t="str">
        <f t="shared" si="3"/>
        <v/>
      </c>
      <c r="AK55" s="475" t="str">
        <f t="shared" si="13"/>
        <v/>
      </c>
      <c r="AL55" s="475" t="str">
        <f t="shared" si="14"/>
        <v/>
      </c>
      <c r="AM55" s="475" t="str">
        <f t="shared" si="15"/>
        <v/>
      </c>
      <c r="AN55" s="475" t="str">
        <f t="shared" si="16"/>
        <v/>
      </c>
      <c r="AO55" s="475" t="str">
        <f t="shared" si="17"/>
        <v/>
      </c>
      <c r="AP55" s="475" t="str">
        <f t="shared" si="18"/>
        <v/>
      </c>
      <c r="AQ55" s="475" t="str">
        <f t="shared" si="19"/>
        <v/>
      </c>
      <c r="AR55" s="475" t="str">
        <f t="shared" si="20"/>
        <v/>
      </c>
      <c r="AS55" s="475" t="str">
        <f t="shared" si="21"/>
        <v/>
      </c>
      <c r="AT55" s="475" t="str">
        <f t="shared" si="22"/>
        <v/>
      </c>
      <c r="AU55" s="475" t="str">
        <f t="shared" si="23"/>
        <v/>
      </c>
      <c r="AV55" s="475" t="str">
        <f t="shared" si="4"/>
        <v/>
      </c>
      <c r="AW55" s="473">
        <f t="shared" si="5"/>
        <v>0</v>
      </c>
      <c r="AX55" s="473" t="str">
        <f>IF(AND($Z55="b",OR($AA55="a",$AA55="b"),Inventory!$I62="",$AE55&lt;(65000/12000)),"x",IF(AND($Z55="b",OR($AA55="a",$AA55="b"),Inventory!$I62&lt;&gt;"",$AE55&lt;(65000/12000)),VLOOKUP(Inventory!$I62,$V$4:$W$5,2,FALSE),"x"))</f>
        <v>x</v>
      </c>
      <c r="AY55" s="476" t="str">
        <f t="shared" si="24"/>
        <v>aaa0</v>
      </c>
      <c r="AZ55" s="477" t="str">
        <f t="shared" si="25"/>
        <v>No</v>
      </c>
      <c r="BA55" s="759" t="str">
        <f t="shared" si="26"/>
        <v>No</v>
      </c>
      <c r="BB55" s="477">
        <f>IF($Z55="c",Inventory!$AB62,Inventory!$K62)</f>
        <v>0</v>
      </c>
      <c r="BC55" s="478">
        <f>IF(AND($Z55="b",Inventory!$N62="Btu/hr"),Inventory!$M62,IF(AND($Z55="b",Inventory!$N62="Tons"),Inventory!$M62*12000,IF(AND($Z55&lt;&gt;"b",Inventory!$AK62="Btu/hr"),Inventory!$AD62,IF(AND($Z55&lt;&gt;"b",Inventory!$AK62="Tons"),Inventory!$AD62*12000,0))))</f>
        <v>0</v>
      </c>
      <c r="BD55" s="478">
        <f t="shared" si="46"/>
        <v>0</v>
      </c>
      <c r="BE55" s="479">
        <f t="shared" si="28"/>
        <v>0</v>
      </c>
      <c r="BF55" s="477" t="s">
        <v>50</v>
      </c>
      <c r="BG55" s="479">
        <f t="shared" si="6"/>
        <v>0</v>
      </c>
      <c r="BH55" s="477" t="s">
        <v>46</v>
      </c>
      <c r="BI55" s="760">
        <f>IF(AND($Z55="b",Inventory!$P62="Btu/hr"),Inventory!$O62,IF(AND($Z55="b",Inventory!$P62="Tons"),Inventory!$O62*12000,IF(AND($Z55&lt;&gt;"b",Inventory!$AM62="Btu/hr"),Inventory!$AL62,IF(AND($Z55&lt;&gt;"b",Inventory!$AM62="Tons"),Inventory!$AL62*12000,0))))</f>
        <v>0</v>
      </c>
      <c r="BJ55" s="760">
        <f t="shared" si="47"/>
        <v>0</v>
      </c>
      <c r="BK55" s="598">
        <f t="shared" si="30"/>
        <v>0</v>
      </c>
      <c r="BL55" s="759" t="s">
        <v>567</v>
      </c>
      <c r="BM55" s="477" t="str">
        <f t="shared" si="7"/>
        <v>No</v>
      </c>
      <c r="BN55" s="477" t="str">
        <f>IF(OR(Inventory!$H62="",$BM55="No"),"-",Inventory!$H62)</f>
        <v>-</v>
      </c>
      <c r="BO55" s="477" t="str">
        <f>IFERROR(VLOOKUP(BN55,'Early Retirement'!$B$6:$C$33,2,FALSE),"-")</f>
        <v>-</v>
      </c>
      <c r="BP55" s="477" t="str">
        <f>IF(Inventory!$J62="Centrifugal","Yes","No")</f>
        <v>No</v>
      </c>
      <c r="BQ55" s="477">
        <f t="shared" si="31"/>
        <v>0</v>
      </c>
      <c r="BR55" s="477" t="str">
        <f t="shared" si="32"/>
        <v>-</v>
      </c>
      <c r="BS55" s="479">
        <f>IFERROR(INDEX('Early Retirement'!$C$4:$AC$33,$BO55,$BR55),0)</f>
        <v>0</v>
      </c>
      <c r="BT55" s="477">
        <f>IFERROR(HLOOKUP($BR55,'Early Retirement'!$D$4:$AC$5,2,FALSE),0)</f>
        <v>0</v>
      </c>
      <c r="BU55" s="761">
        <f>IFERROR(INDEX('Early Retirement'!$AE$4:$BE$33,$BO55,$BR55),0)</f>
        <v>0</v>
      </c>
      <c r="BV55" s="759">
        <f>IFERROR(HLOOKUP($BR55,'Early Retirement'!$AF$4:$BE$5,2,FALSE),0)</f>
        <v>0</v>
      </c>
      <c r="BW55" s="479">
        <f t="shared" si="41"/>
        <v>0</v>
      </c>
      <c r="BX55" s="761">
        <f t="shared" si="33"/>
        <v>0</v>
      </c>
      <c r="BY55" s="477" t="s">
        <v>46</v>
      </c>
      <c r="BZ55" s="598">
        <f>IFERROR(INDEX('Early Retirement'!$BG$4:$CG$33,$BO55,$BR55),0)</f>
        <v>0</v>
      </c>
      <c r="CA55" s="759">
        <f>IFERROR(HLOOKUP($BR55,'Early Retirement'!$BH$4:$CH$5,2,FALSE),0)</f>
        <v>0</v>
      </c>
      <c r="CB55" s="598">
        <f t="shared" si="34"/>
        <v>0</v>
      </c>
      <c r="CC55" s="759" t="s">
        <v>567</v>
      </c>
      <c r="CD55" s="477" t="str">
        <f t="shared" si="8"/>
        <v>Yes</v>
      </c>
      <c r="CE55" s="479">
        <f t="shared" si="9"/>
        <v>0</v>
      </c>
      <c r="CF55" s="761">
        <f t="shared" si="10"/>
        <v>0</v>
      </c>
      <c r="CG55" s="759" t="s">
        <v>46</v>
      </c>
      <c r="CH55" s="598">
        <f t="shared" si="35"/>
        <v>0</v>
      </c>
      <c r="CI55" s="759" t="s">
        <v>567</v>
      </c>
      <c r="CJ55" s="480">
        <f t="shared" si="36"/>
        <v>0</v>
      </c>
      <c r="CK55" s="583">
        <f t="shared" si="37"/>
        <v>0</v>
      </c>
      <c r="CL55" s="596" t="s">
        <v>46</v>
      </c>
      <c r="CM55" s="581">
        <f t="shared" si="38"/>
        <v>0</v>
      </c>
      <c r="CN55" s="762" t="s">
        <v>567</v>
      </c>
      <c r="CP55" s="90" t="s">
        <v>233</v>
      </c>
      <c r="CQ55" s="121">
        <v>9</v>
      </c>
      <c r="CR55" s="307" t="s">
        <v>50</v>
      </c>
      <c r="CS55" s="641">
        <v>9</v>
      </c>
      <c r="CT55" s="551" t="s">
        <v>50</v>
      </c>
      <c r="CU55" s="645">
        <f t="shared" si="45"/>
        <v>1.3333333333333333</v>
      </c>
      <c r="CV55" s="645">
        <f t="shared" si="45"/>
        <v>1.3333333333333333</v>
      </c>
      <c r="CW55" s="633" t="s">
        <v>46</v>
      </c>
      <c r="CX55" s="606"/>
      <c r="CY55" s="589"/>
      <c r="CZ55" s="606"/>
      <c r="DA55" s="609"/>
      <c r="DB55" s="562"/>
      <c r="DC55" s="562"/>
      <c r="DD55" s="562"/>
      <c r="DE55" s="562"/>
      <c r="DF55" s="562"/>
      <c r="DG55" s="562"/>
      <c r="DH55" s="562"/>
      <c r="DI55" s="562"/>
      <c r="DJ55" s="562"/>
      <c r="DK55" s="562"/>
      <c r="DL55" s="562"/>
      <c r="DM55" s="562"/>
      <c r="DN55" s="562"/>
      <c r="DO55" s="562"/>
      <c r="DP55" s="562"/>
      <c r="DQ55" s="562"/>
      <c r="DR55" s="562"/>
      <c r="DS55" s="562"/>
      <c r="DT55" s="562"/>
      <c r="DU55" s="562"/>
      <c r="DV55" s="562"/>
      <c r="DW55" s="562"/>
      <c r="DX55" s="562"/>
      <c r="DY55" s="562"/>
      <c r="DZ55" s="562"/>
      <c r="EA55" s="562"/>
      <c r="EB55" s="562"/>
      <c r="EC55" s="562"/>
      <c r="ED55" s="562"/>
      <c r="EE55" s="562"/>
      <c r="EF55" s="562"/>
      <c r="EG55" s="562"/>
      <c r="EH55" s="562"/>
      <c r="EI55" s="562"/>
      <c r="EJ55" s="562"/>
      <c r="EK55" s="562"/>
      <c r="EL55" s="562"/>
    </row>
    <row r="56" spans="2:142" s="78" customFormat="1" ht="15" customHeight="1" x14ac:dyDescent="0.25">
      <c r="B56" s="77"/>
      <c r="E56" s="77"/>
      <c r="H56" s="77"/>
      <c r="U56" s="79"/>
      <c r="V56" s="79"/>
      <c r="W56" s="79"/>
      <c r="Y56" s="90">
        <v>54</v>
      </c>
      <c r="Z56" s="559" t="str">
        <f>IF(Inventory!$C63="","",VLOOKUP(Inventory!$C63,$B$3:$C$5,2,FALSE))</f>
        <v/>
      </c>
      <c r="AA56" s="559" t="str">
        <f>IF($Z56="","",IF(AND($Z56="b",Inventory!$G63=""),"",IF(AND($Z56="b",Inventory!$G63&lt;&gt;""),VLOOKUP(Inventory!$G63,$E$3:$F$10,2,FALSE),IF(AND($Z56="a",Inventory!$Z63=""),"",IF(AND($Z56="a",Inventory!$Z63&lt;&gt;""),VLOOKUP(Inventory!$Z63,$E$3:$F$10,2,FALSE),IF(AND($Z56="c",Inventory!$Z63=""),"",IF(AND($Z56="c",Inventory!$Z63&lt;&gt;""),VLOOKUP(Inventory!$Z63,$E$3:$F$10,2,FALSE),"")))))))</f>
        <v/>
      </c>
      <c r="AB56" s="559" t="str">
        <f>IF($Z56="","a",IF(AND($Z56="b",Inventory!$J63=""),"a",IF(AND($Z56="b",Inventory!$J63&lt;&gt;""),VLOOKUP(Inventory!$J63,$H$4:$I$6,2,FALSE),IF(AND($Z56="a",Inventory!$AA63=""),"a",IF(AND($Z56="a",Inventory!$AA63&lt;&gt;""),VLOOKUP(Inventory!$AA63,$H$4:$I$6,2,FALSE),IF(AND($Z56="c",Inventory!$AA63=""),"a",IF(AND($Z56="c",Inventory!$AA63&lt;&gt;""),VLOOKUP(Inventory!$AA63,$H$4:$I$6,2,FALSE),"a")))))))</f>
        <v>a</v>
      </c>
      <c r="AC56" s="559" t="str">
        <f t="shared" si="11"/>
        <v>a</v>
      </c>
      <c r="AD56" s="473" t="str">
        <f>IF($Z56="","a",IF(AND($Z56="b",Inventory!$L63=""),"a",IF(AND($Z56="b",Inventory!$L63&lt;&gt;""),VLOOKUP(Inventory!$L63,$N$4:$O$5,2,FALSE),IF(AND($Z56="a",Inventory!$AC63=""),"a",IF(AND($Z56="a",Inventory!$AC63&lt;&gt;""),VLOOKUP(Inventory!$AC63,$N$4:$O$5,2,FALSE),IF(AND($Z56="c",Inventory!$AC63=""),"a",IF(AND($Z56="c",Inventory!$AC63&lt;&gt;""),VLOOKUP(Inventory!$AC63,$N$4:$O$5,2,FALSE),"a")))))))</f>
        <v>a</v>
      </c>
      <c r="AE56" s="474">
        <f>IF(OR(Inventory!C63="New Construction",Inventory!C63="Replace-on-Burnout"),Inventory!AF63,IF(Inventory!C63="Early Retirement",MIN(Inventory!AE63,Inventory!AF63),0))</f>
        <v>0</v>
      </c>
      <c r="AF56" s="475" t="str">
        <f t="shared" si="12"/>
        <v/>
      </c>
      <c r="AG56" s="475" t="str">
        <f t="shared" si="0"/>
        <v/>
      </c>
      <c r="AH56" s="475" t="str">
        <f t="shared" si="1"/>
        <v/>
      </c>
      <c r="AI56" s="475" t="str">
        <f t="shared" si="2"/>
        <v/>
      </c>
      <c r="AJ56" s="475" t="str">
        <f t="shared" si="3"/>
        <v/>
      </c>
      <c r="AK56" s="475" t="str">
        <f t="shared" si="13"/>
        <v/>
      </c>
      <c r="AL56" s="475" t="str">
        <f t="shared" si="14"/>
        <v/>
      </c>
      <c r="AM56" s="475" t="str">
        <f t="shared" si="15"/>
        <v/>
      </c>
      <c r="AN56" s="475" t="str">
        <f t="shared" si="16"/>
        <v/>
      </c>
      <c r="AO56" s="475" t="str">
        <f t="shared" si="17"/>
        <v/>
      </c>
      <c r="AP56" s="475" t="str">
        <f t="shared" si="18"/>
        <v/>
      </c>
      <c r="AQ56" s="475" t="str">
        <f t="shared" si="19"/>
        <v/>
      </c>
      <c r="AR56" s="475" t="str">
        <f t="shared" si="20"/>
        <v/>
      </c>
      <c r="AS56" s="475" t="str">
        <f t="shared" si="21"/>
        <v/>
      </c>
      <c r="AT56" s="475" t="str">
        <f t="shared" si="22"/>
        <v/>
      </c>
      <c r="AU56" s="475" t="str">
        <f t="shared" si="23"/>
        <v/>
      </c>
      <c r="AV56" s="475" t="str">
        <f t="shared" si="4"/>
        <v/>
      </c>
      <c r="AW56" s="473">
        <f t="shared" si="5"/>
        <v>0</v>
      </c>
      <c r="AX56" s="473" t="str">
        <f>IF(AND($Z56="b",OR($AA56="a",$AA56="b"),Inventory!$I63="",$AE56&lt;(65000/12000)),"x",IF(AND($Z56="b",OR($AA56="a",$AA56="b"),Inventory!$I63&lt;&gt;"",$AE56&lt;(65000/12000)),VLOOKUP(Inventory!$I63,$V$4:$W$5,2,FALSE),"x"))</f>
        <v>x</v>
      </c>
      <c r="AY56" s="476" t="str">
        <f t="shared" si="24"/>
        <v>aaa0</v>
      </c>
      <c r="AZ56" s="477" t="str">
        <f t="shared" si="25"/>
        <v>No</v>
      </c>
      <c r="BA56" s="759" t="str">
        <f t="shared" si="26"/>
        <v>No</v>
      </c>
      <c r="BB56" s="477">
        <f>IF($Z56="c",Inventory!$AB63,Inventory!$K63)</f>
        <v>0</v>
      </c>
      <c r="BC56" s="478">
        <f>IF(AND($Z56="b",Inventory!$N63="Btu/hr"),Inventory!$M63,IF(AND($Z56="b",Inventory!$N63="Tons"),Inventory!$M63*12000,IF(AND($Z56&lt;&gt;"b",Inventory!$AK63="Btu/hr"),Inventory!$AD63,IF(AND($Z56&lt;&gt;"b",Inventory!$AK63="Tons"),Inventory!$AD63*12000,0))))</f>
        <v>0</v>
      </c>
      <c r="BD56" s="478">
        <f t="shared" si="46"/>
        <v>0</v>
      </c>
      <c r="BE56" s="479">
        <f t="shared" si="28"/>
        <v>0</v>
      </c>
      <c r="BF56" s="477" t="s">
        <v>50</v>
      </c>
      <c r="BG56" s="479">
        <f t="shared" si="6"/>
        <v>0</v>
      </c>
      <c r="BH56" s="477" t="s">
        <v>46</v>
      </c>
      <c r="BI56" s="760">
        <f>IF(AND($Z56="b",Inventory!$P63="Btu/hr"),Inventory!$O63,IF(AND($Z56="b",Inventory!$P63="Tons"),Inventory!$O63*12000,IF(AND($Z56&lt;&gt;"b",Inventory!$AM63="Btu/hr"),Inventory!$AL63,IF(AND($Z56&lt;&gt;"b",Inventory!$AM63="Tons"),Inventory!$AL63*12000,0))))</f>
        <v>0</v>
      </c>
      <c r="BJ56" s="760">
        <f t="shared" si="47"/>
        <v>0</v>
      </c>
      <c r="BK56" s="598">
        <f t="shared" si="30"/>
        <v>0</v>
      </c>
      <c r="BL56" s="759" t="s">
        <v>567</v>
      </c>
      <c r="BM56" s="477" t="str">
        <f t="shared" si="7"/>
        <v>No</v>
      </c>
      <c r="BN56" s="477" t="str">
        <f>IF(OR(Inventory!$H63="",$BM56="No"),"-",Inventory!$H63)</f>
        <v>-</v>
      </c>
      <c r="BO56" s="477" t="str">
        <f>IFERROR(VLOOKUP(BN56,'Early Retirement'!$B$6:$C$33,2,FALSE),"-")</f>
        <v>-</v>
      </c>
      <c r="BP56" s="477" t="str">
        <f>IF(Inventory!$J63="Centrifugal","Yes","No")</f>
        <v>No</v>
      </c>
      <c r="BQ56" s="477">
        <f t="shared" si="31"/>
        <v>0</v>
      </c>
      <c r="BR56" s="477" t="str">
        <f t="shared" si="32"/>
        <v>-</v>
      </c>
      <c r="BS56" s="479">
        <f>IFERROR(INDEX('Early Retirement'!$C$4:$AC$33,$BO56,$BR56),0)</f>
        <v>0</v>
      </c>
      <c r="BT56" s="477">
        <f>IFERROR(HLOOKUP($BR56,'Early Retirement'!$D$4:$AC$5,2,FALSE),0)</f>
        <v>0</v>
      </c>
      <c r="BU56" s="761">
        <f>IFERROR(INDEX('Early Retirement'!$AE$4:$BE$33,$BO56,$BR56),0)</f>
        <v>0</v>
      </c>
      <c r="BV56" s="759">
        <f>IFERROR(HLOOKUP($BR56,'Early Retirement'!$AF$4:$BE$5,2,FALSE),0)</f>
        <v>0</v>
      </c>
      <c r="BW56" s="479">
        <f t="shared" si="41"/>
        <v>0</v>
      </c>
      <c r="BX56" s="761">
        <f t="shared" si="33"/>
        <v>0</v>
      </c>
      <c r="BY56" s="477" t="s">
        <v>46</v>
      </c>
      <c r="BZ56" s="598">
        <f>IFERROR(INDEX('Early Retirement'!$BG$4:$CG$33,$BO56,$BR56),0)</f>
        <v>0</v>
      </c>
      <c r="CA56" s="759">
        <f>IFERROR(HLOOKUP($BR56,'Early Retirement'!$BH$4:$CH$5,2,FALSE),0)</f>
        <v>0</v>
      </c>
      <c r="CB56" s="598">
        <f t="shared" si="34"/>
        <v>0</v>
      </c>
      <c r="CC56" s="759" t="s">
        <v>567</v>
      </c>
      <c r="CD56" s="477" t="str">
        <f t="shared" si="8"/>
        <v>Yes</v>
      </c>
      <c r="CE56" s="479">
        <f t="shared" si="9"/>
        <v>0</v>
      </c>
      <c r="CF56" s="761">
        <f t="shared" si="10"/>
        <v>0</v>
      </c>
      <c r="CG56" s="759" t="s">
        <v>46</v>
      </c>
      <c r="CH56" s="598">
        <f t="shared" si="35"/>
        <v>0</v>
      </c>
      <c r="CI56" s="759" t="s">
        <v>567</v>
      </c>
      <c r="CJ56" s="480">
        <f t="shared" si="36"/>
        <v>0</v>
      </c>
      <c r="CK56" s="583">
        <f t="shared" si="37"/>
        <v>0</v>
      </c>
      <c r="CL56" s="596" t="s">
        <v>46</v>
      </c>
      <c r="CM56" s="581">
        <f t="shared" si="38"/>
        <v>0</v>
      </c>
      <c r="CN56" s="762" t="s">
        <v>567</v>
      </c>
      <c r="CP56" s="90" t="s">
        <v>234</v>
      </c>
      <c r="CQ56" s="121">
        <v>10</v>
      </c>
      <c r="CR56" s="307" t="s">
        <v>50</v>
      </c>
      <c r="CS56" s="641">
        <v>10</v>
      </c>
      <c r="CT56" s="551" t="s">
        <v>50</v>
      </c>
      <c r="CU56" s="645">
        <f t="shared" si="45"/>
        <v>1.2</v>
      </c>
      <c r="CV56" s="645">
        <f t="shared" si="45"/>
        <v>1.2</v>
      </c>
      <c r="CW56" s="633" t="s">
        <v>46</v>
      </c>
      <c r="CX56" s="606"/>
      <c r="CY56" s="589"/>
      <c r="CZ56" s="606"/>
      <c r="DA56" s="609"/>
      <c r="DB56" s="562"/>
      <c r="DC56" s="562"/>
      <c r="DD56" s="562"/>
      <c r="DE56" s="562"/>
      <c r="DF56" s="562"/>
      <c r="DG56" s="562"/>
      <c r="DH56" s="562"/>
      <c r="DI56" s="562"/>
      <c r="DJ56" s="562"/>
      <c r="DK56" s="562"/>
      <c r="DL56" s="562"/>
      <c r="DM56" s="562"/>
      <c r="DN56" s="562"/>
      <c r="DO56" s="562"/>
      <c r="DP56" s="562"/>
      <c r="DQ56" s="562"/>
      <c r="DR56" s="562"/>
      <c r="DS56" s="562"/>
      <c r="DT56" s="562"/>
      <c r="DU56" s="562"/>
      <c r="DV56" s="562"/>
      <c r="DW56" s="562"/>
      <c r="DX56" s="562"/>
      <c r="DY56" s="562"/>
      <c r="DZ56" s="562"/>
      <c r="EA56" s="562"/>
      <c r="EB56" s="562"/>
      <c r="EC56" s="562"/>
      <c r="ED56" s="562"/>
      <c r="EE56" s="562"/>
      <c r="EF56" s="562"/>
      <c r="EG56" s="562"/>
      <c r="EH56" s="562"/>
      <c r="EI56" s="562"/>
      <c r="EJ56" s="562"/>
      <c r="EK56" s="562"/>
      <c r="EL56" s="562"/>
    </row>
    <row r="57" spans="2:142" s="78" customFormat="1" ht="15" customHeight="1" x14ac:dyDescent="0.25">
      <c r="B57" s="77"/>
      <c r="E57" s="77"/>
      <c r="H57" s="77"/>
      <c r="U57" s="79"/>
      <c r="V57" s="79"/>
      <c r="W57" s="79"/>
      <c r="Y57" s="90">
        <v>55</v>
      </c>
      <c r="Z57" s="559" t="str">
        <f>IF(Inventory!$C64="","",VLOOKUP(Inventory!$C64,$B$3:$C$5,2,FALSE))</f>
        <v/>
      </c>
      <c r="AA57" s="559" t="str">
        <f>IF($Z57="","",IF(AND($Z57="b",Inventory!$G64=""),"",IF(AND($Z57="b",Inventory!$G64&lt;&gt;""),VLOOKUP(Inventory!$G64,$E$3:$F$10,2,FALSE),IF(AND($Z57="a",Inventory!$Z64=""),"",IF(AND($Z57="a",Inventory!$Z64&lt;&gt;""),VLOOKUP(Inventory!$Z64,$E$3:$F$10,2,FALSE),IF(AND($Z57="c",Inventory!$Z64=""),"",IF(AND($Z57="c",Inventory!$Z64&lt;&gt;""),VLOOKUP(Inventory!$Z64,$E$3:$F$10,2,FALSE),"")))))))</f>
        <v/>
      </c>
      <c r="AB57" s="559" t="str">
        <f>IF($Z57="","a",IF(AND($Z57="b",Inventory!$J64=""),"a",IF(AND($Z57="b",Inventory!$J64&lt;&gt;""),VLOOKUP(Inventory!$J64,$H$4:$I$6,2,FALSE),IF(AND($Z57="a",Inventory!$AA64=""),"a",IF(AND($Z57="a",Inventory!$AA64&lt;&gt;""),VLOOKUP(Inventory!$AA64,$H$4:$I$6,2,FALSE),IF(AND($Z57="c",Inventory!$AA64=""),"a",IF(AND($Z57="c",Inventory!$AA64&lt;&gt;""),VLOOKUP(Inventory!$AA64,$H$4:$I$6,2,FALSE),"a")))))))</f>
        <v>a</v>
      </c>
      <c r="AC57" s="559" t="str">
        <f t="shared" si="11"/>
        <v>a</v>
      </c>
      <c r="AD57" s="473" t="str">
        <f>IF($Z57="","a",IF(AND($Z57="b",Inventory!$L64=""),"a",IF(AND($Z57="b",Inventory!$L64&lt;&gt;""),VLOOKUP(Inventory!$L64,$N$4:$O$5,2,FALSE),IF(AND($Z57="a",Inventory!$AC64=""),"a",IF(AND($Z57="a",Inventory!$AC64&lt;&gt;""),VLOOKUP(Inventory!$AC64,$N$4:$O$5,2,FALSE),IF(AND($Z57="c",Inventory!$AC64=""),"a",IF(AND($Z57="c",Inventory!$AC64&lt;&gt;""),VLOOKUP(Inventory!$AC64,$N$4:$O$5,2,FALSE),"a")))))))</f>
        <v>a</v>
      </c>
      <c r="AE57" s="474">
        <f>IF(OR(Inventory!C64="New Construction",Inventory!C64="Replace-on-Burnout"),Inventory!AF64,IF(Inventory!C64="Early Retirement",MIN(Inventory!AE64,Inventory!AF64),0))</f>
        <v>0</v>
      </c>
      <c r="AF57" s="475" t="str">
        <f t="shared" si="12"/>
        <v/>
      </c>
      <c r="AG57" s="475" t="str">
        <f t="shared" si="0"/>
        <v/>
      </c>
      <c r="AH57" s="475" t="str">
        <f t="shared" si="1"/>
        <v/>
      </c>
      <c r="AI57" s="475" t="str">
        <f t="shared" si="2"/>
        <v/>
      </c>
      <c r="AJ57" s="475" t="str">
        <f t="shared" si="3"/>
        <v/>
      </c>
      <c r="AK57" s="475" t="str">
        <f t="shared" si="13"/>
        <v/>
      </c>
      <c r="AL57" s="475" t="str">
        <f t="shared" si="14"/>
        <v/>
      </c>
      <c r="AM57" s="475" t="str">
        <f t="shared" si="15"/>
        <v/>
      </c>
      <c r="AN57" s="475" t="str">
        <f t="shared" si="16"/>
        <v/>
      </c>
      <c r="AO57" s="475" t="str">
        <f t="shared" si="17"/>
        <v/>
      </c>
      <c r="AP57" s="475" t="str">
        <f t="shared" si="18"/>
        <v/>
      </c>
      <c r="AQ57" s="475" t="str">
        <f t="shared" si="19"/>
        <v/>
      </c>
      <c r="AR57" s="475" t="str">
        <f t="shared" si="20"/>
        <v/>
      </c>
      <c r="AS57" s="475" t="str">
        <f t="shared" si="21"/>
        <v/>
      </c>
      <c r="AT57" s="475" t="str">
        <f t="shared" si="22"/>
        <v/>
      </c>
      <c r="AU57" s="475" t="str">
        <f t="shared" si="23"/>
        <v/>
      </c>
      <c r="AV57" s="475" t="str">
        <f t="shared" si="4"/>
        <v/>
      </c>
      <c r="AW57" s="473">
        <f t="shared" si="5"/>
        <v>0</v>
      </c>
      <c r="AX57" s="473" t="str">
        <f>IF(AND($Z57="b",OR($AA57="a",$AA57="b"),Inventory!$I64="",$AE57&lt;(65000/12000)),"x",IF(AND($Z57="b",OR($AA57="a",$AA57="b"),Inventory!$I64&lt;&gt;"",$AE57&lt;(65000/12000)),VLOOKUP(Inventory!$I64,$V$4:$W$5,2,FALSE),"x"))</f>
        <v>x</v>
      </c>
      <c r="AY57" s="476" t="str">
        <f t="shared" si="24"/>
        <v>aaa0</v>
      </c>
      <c r="AZ57" s="477" t="str">
        <f t="shared" si="25"/>
        <v>No</v>
      </c>
      <c r="BA57" s="759" t="str">
        <f t="shared" si="26"/>
        <v>No</v>
      </c>
      <c r="BB57" s="477">
        <f>IF($Z57="c",Inventory!$AB64,Inventory!$K64)</f>
        <v>0</v>
      </c>
      <c r="BC57" s="478">
        <f>IF(AND($Z57="b",Inventory!$N64="Btu/hr"),Inventory!$M64,IF(AND($Z57="b",Inventory!$N64="Tons"),Inventory!$M64*12000,IF(AND($Z57&lt;&gt;"b",Inventory!$AK64="Btu/hr"),Inventory!$AD64,IF(AND($Z57&lt;&gt;"b",Inventory!$AK64="Tons"),Inventory!$AD64*12000,0))))</f>
        <v>0</v>
      </c>
      <c r="BD57" s="478">
        <f t="shared" si="46"/>
        <v>0</v>
      </c>
      <c r="BE57" s="479">
        <f t="shared" si="28"/>
        <v>0</v>
      </c>
      <c r="BF57" s="477" t="s">
        <v>50</v>
      </c>
      <c r="BG57" s="479">
        <f t="shared" si="6"/>
        <v>0</v>
      </c>
      <c r="BH57" s="477" t="s">
        <v>46</v>
      </c>
      <c r="BI57" s="760">
        <f>IF(AND($Z57="b",Inventory!$P64="Btu/hr"),Inventory!$O64,IF(AND($Z57="b",Inventory!$P64="Tons"),Inventory!$O64*12000,IF(AND($Z57&lt;&gt;"b",Inventory!$AM64="Btu/hr"),Inventory!$AL64,IF(AND($Z57&lt;&gt;"b",Inventory!$AM64="Tons"),Inventory!$AL64*12000,0))))</f>
        <v>0</v>
      </c>
      <c r="BJ57" s="760">
        <f t="shared" si="47"/>
        <v>0</v>
      </c>
      <c r="BK57" s="598">
        <f t="shared" si="30"/>
        <v>0</v>
      </c>
      <c r="BL57" s="759" t="s">
        <v>567</v>
      </c>
      <c r="BM57" s="477" t="str">
        <f t="shared" si="7"/>
        <v>No</v>
      </c>
      <c r="BN57" s="477" t="str">
        <f>IF(OR(Inventory!$H64="",$BM57="No"),"-",Inventory!$H64)</f>
        <v>-</v>
      </c>
      <c r="BO57" s="477" t="str">
        <f>IFERROR(VLOOKUP(BN57,'Early Retirement'!$B$6:$C$33,2,FALSE),"-")</f>
        <v>-</v>
      </c>
      <c r="BP57" s="477" t="str">
        <f>IF(Inventory!$J64="Centrifugal","Yes","No")</f>
        <v>No</v>
      </c>
      <c r="BQ57" s="477">
        <f t="shared" si="31"/>
        <v>0</v>
      </c>
      <c r="BR57" s="477" t="str">
        <f t="shared" si="32"/>
        <v>-</v>
      </c>
      <c r="BS57" s="479">
        <f>IFERROR(INDEX('Early Retirement'!$C$4:$AC$33,$BO57,$BR57),0)</f>
        <v>0</v>
      </c>
      <c r="BT57" s="477">
        <f>IFERROR(HLOOKUP($BR57,'Early Retirement'!$D$4:$AC$5,2,FALSE),0)</f>
        <v>0</v>
      </c>
      <c r="BU57" s="761">
        <f>IFERROR(INDEX('Early Retirement'!$AE$4:$BE$33,$BO57,$BR57),0)</f>
        <v>0</v>
      </c>
      <c r="BV57" s="759">
        <f>IFERROR(HLOOKUP($BR57,'Early Retirement'!$AF$4:$BE$5,2,FALSE),0)</f>
        <v>0</v>
      </c>
      <c r="BW57" s="479">
        <f t="shared" si="41"/>
        <v>0</v>
      </c>
      <c r="BX57" s="761">
        <f t="shared" si="33"/>
        <v>0</v>
      </c>
      <c r="BY57" s="477" t="s">
        <v>46</v>
      </c>
      <c r="BZ57" s="598">
        <f>IFERROR(INDEX('Early Retirement'!$BG$4:$CG$33,$BO57,$BR57),0)</f>
        <v>0</v>
      </c>
      <c r="CA57" s="759">
        <f>IFERROR(HLOOKUP($BR57,'Early Retirement'!$BH$4:$CH$5,2,FALSE),0)</f>
        <v>0</v>
      </c>
      <c r="CB57" s="598">
        <f t="shared" si="34"/>
        <v>0</v>
      </c>
      <c r="CC57" s="759" t="s">
        <v>567</v>
      </c>
      <c r="CD57" s="477" t="str">
        <f t="shared" si="8"/>
        <v>Yes</v>
      </c>
      <c r="CE57" s="479">
        <f t="shared" si="9"/>
        <v>0</v>
      </c>
      <c r="CF57" s="761">
        <f t="shared" si="10"/>
        <v>0</v>
      </c>
      <c r="CG57" s="759" t="s">
        <v>46</v>
      </c>
      <c r="CH57" s="598">
        <f t="shared" si="35"/>
        <v>0</v>
      </c>
      <c r="CI57" s="759" t="s">
        <v>567</v>
      </c>
      <c r="CJ57" s="480">
        <f t="shared" si="36"/>
        <v>0</v>
      </c>
      <c r="CK57" s="583">
        <f t="shared" si="37"/>
        <v>0</v>
      </c>
      <c r="CL57" s="596" t="s">
        <v>46</v>
      </c>
      <c r="CM57" s="581">
        <f t="shared" si="38"/>
        <v>0</v>
      </c>
      <c r="CN57" s="762" t="s">
        <v>567</v>
      </c>
      <c r="CP57" s="90" t="s">
        <v>235</v>
      </c>
      <c r="CQ57" s="121">
        <v>9.6</v>
      </c>
      <c r="CR57" s="307" t="s">
        <v>50</v>
      </c>
      <c r="CS57" s="641">
        <v>9.6</v>
      </c>
      <c r="CT57" s="551" t="s">
        <v>50</v>
      </c>
      <c r="CU57" s="645">
        <f t="shared" si="45"/>
        <v>1.25</v>
      </c>
      <c r="CV57" s="645">
        <f t="shared" si="45"/>
        <v>1.25</v>
      </c>
      <c r="CW57" s="633" t="s">
        <v>46</v>
      </c>
      <c r="CX57" s="606"/>
      <c r="CY57" s="589"/>
      <c r="CZ57" s="606"/>
      <c r="DA57" s="609"/>
      <c r="DB57" s="562"/>
      <c r="DC57" s="562"/>
      <c r="DD57" s="562"/>
      <c r="DE57" s="562"/>
      <c r="DF57" s="562"/>
      <c r="DG57" s="562"/>
      <c r="DH57" s="562"/>
      <c r="DI57" s="562"/>
      <c r="DJ57" s="562"/>
      <c r="DK57" s="562"/>
      <c r="DL57" s="562"/>
      <c r="DM57" s="562"/>
      <c r="DN57" s="562"/>
      <c r="DO57" s="562"/>
      <c r="DP57" s="562"/>
      <c r="DQ57" s="562"/>
      <c r="DR57" s="562"/>
      <c r="DS57" s="562"/>
      <c r="DT57" s="562"/>
      <c r="DU57" s="562"/>
      <c r="DV57" s="562"/>
      <c r="DW57" s="562"/>
      <c r="DX57" s="562"/>
      <c r="DY57" s="562"/>
      <c r="DZ57" s="562"/>
      <c r="EA57" s="562"/>
      <c r="EB57" s="562"/>
      <c r="EC57" s="562"/>
      <c r="ED57" s="562"/>
      <c r="EE57" s="562"/>
      <c r="EF57" s="562"/>
      <c r="EG57" s="562"/>
      <c r="EH57" s="562"/>
      <c r="EI57" s="562"/>
      <c r="EJ57" s="562"/>
      <c r="EK57" s="562"/>
      <c r="EL57" s="562"/>
    </row>
    <row r="58" spans="2:142" s="78" customFormat="1" ht="15" customHeight="1" x14ac:dyDescent="0.25">
      <c r="B58" s="77"/>
      <c r="E58" s="77"/>
      <c r="H58" s="77"/>
      <c r="U58" s="79"/>
      <c r="V58" s="79"/>
      <c r="W58" s="79"/>
      <c r="Y58" s="90">
        <v>56</v>
      </c>
      <c r="Z58" s="559" t="str">
        <f>IF(Inventory!$C65="","",VLOOKUP(Inventory!$C65,$B$3:$C$5,2,FALSE))</f>
        <v/>
      </c>
      <c r="AA58" s="559" t="str">
        <f>IF($Z58="","",IF(AND($Z58="b",Inventory!$G65=""),"",IF(AND($Z58="b",Inventory!$G65&lt;&gt;""),VLOOKUP(Inventory!$G65,$E$3:$F$10,2,FALSE),IF(AND($Z58="a",Inventory!$Z65=""),"",IF(AND($Z58="a",Inventory!$Z65&lt;&gt;""),VLOOKUP(Inventory!$Z65,$E$3:$F$10,2,FALSE),IF(AND($Z58="c",Inventory!$Z65=""),"",IF(AND($Z58="c",Inventory!$Z65&lt;&gt;""),VLOOKUP(Inventory!$Z65,$E$3:$F$10,2,FALSE),"")))))))</f>
        <v/>
      </c>
      <c r="AB58" s="559" t="str">
        <f>IF($Z58="","a",IF(AND($Z58="b",Inventory!$J65=""),"a",IF(AND($Z58="b",Inventory!$J65&lt;&gt;""),VLOOKUP(Inventory!$J65,$H$4:$I$6,2,FALSE),IF(AND($Z58="a",Inventory!$AA65=""),"a",IF(AND($Z58="a",Inventory!$AA65&lt;&gt;""),VLOOKUP(Inventory!$AA65,$H$4:$I$6,2,FALSE),IF(AND($Z58="c",Inventory!$AA65=""),"a",IF(AND($Z58="c",Inventory!$AA65&lt;&gt;""),VLOOKUP(Inventory!$AA65,$H$4:$I$6,2,FALSE),"a")))))))</f>
        <v>a</v>
      </c>
      <c r="AC58" s="559" t="str">
        <f t="shared" si="11"/>
        <v>a</v>
      </c>
      <c r="AD58" s="473" t="str">
        <f>IF($Z58="","a",IF(AND($Z58="b",Inventory!$L65=""),"a",IF(AND($Z58="b",Inventory!$L65&lt;&gt;""),VLOOKUP(Inventory!$L65,$N$4:$O$5,2,FALSE),IF(AND($Z58="a",Inventory!$AC65=""),"a",IF(AND($Z58="a",Inventory!$AC65&lt;&gt;""),VLOOKUP(Inventory!$AC65,$N$4:$O$5,2,FALSE),IF(AND($Z58="c",Inventory!$AC65=""),"a",IF(AND($Z58="c",Inventory!$AC65&lt;&gt;""),VLOOKUP(Inventory!$AC65,$N$4:$O$5,2,FALSE),"a")))))))</f>
        <v>a</v>
      </c>
      <c r="AE58" s="474">
        <f>IF(OR(Inventory!C65="New Construction",Inventory!C65="Replace-on-Burnout"),Inventory!AF65,IF(Inventory!C65="Early Retirement",MIN(Inventory!AE65,Inventory!AF65),0))</f>
        <v>0</v>
      </c>
      <c r="AF58" s="475" t="str">
        <f t="shared" si="12"/>
        <v/>
      </c>
      <c r="AG58" s="475" t="str">
        <f t="shared" si="0"/>
        <v/>
      </c>
      <c r="AH58" s="475" t="str">
        <f t="shared" si="1"/>
        <v/>
      </c>
      <c r="AI58" s="475" t="str">
        <f t="shared" si="2"/>
        <v/>
      </c>
      <c r="AJ58" s="475" t="str">
        <f t="shared" si="3"/>
        <v/>
      </c>
      <c r="AK58" s="475" t="str">
        <f t="shared" si="13"/>
        <v/>
      </c>
      <c r="AL58" s="475" t="str">
        <f t="shared" si="14"/>
        <v/>
      </c>
      <c r="AM58" s="475" t="str">
        <f t="shared" si="15"/>
        <v/>
      </c>
      <c r="AN58" s="475" t="str">
        <f t="shared" si="16"/>
        <v/>
      </c>
      <c r="AO58" s="475" t="str">
        <f t="shared" si="17"/>
        <v/>
      </c>
      <c r="AP58" s="475" t="str">
        <f t="shared" si="18"/>
        <v/>
      </c>
      <c r="AQ58" s="475" t="str">
        <f t="shared" si="19"/>
        <v/>
      </c>
      <c r="AR58" s="475" t="str">
        <f t="shared" si="20"/>
        <v/>
      </c>
      <c r="AS58" s="475" t="str">
        <f t="shared" si="21"/>
        <v/>
      </c>
      <c r="AT58" s="475" t="str">
        <f t="shared" si="22"/>
        <v/>
      </c>
      <c r="AU58" s="475" t="str">
        <f t="shared" si="23"/>
        <v/>
      </c>
      <c r="AV58" s="475" t="str">
        <f t="shared" si="4"/>
        <v/>
      </c>
      <c r="AW58" s="473">
        <f t="shared" si="5"/>
        <v>0</v>
      </c>
      <c r="AX58" s="473" t="str">
        <f>IF(AND($Z58="b",OR($AA58="a",$AA58="b"),Inventory!$I65="",$AE58&lt;(65000/12000)),"x",IF(AND($Z58="b",OR($AA58="a",$AA58="b"),Inventory!$I65&lt;&gt;"",$AE58&lt;(65000/12000)),VLOOKUP(Inventory!$I65,$V$4:$W$5,2,FALSE),"x"))</f>
        <v>x</v>
      </c>
      <c r="AY58" s="476" t="str">
        <f t="shared" si="24"/>
        <v>aaa0</v>
      </c>
      <c r="AZ58" s="477" t="str">
        <f t="shared" si="25"/>
        <v>No</v>
      </c>
      <c r="BA58" s="759" t="str">
        <f t="shared" si="26"/>
        <v>No</v>
      </c>
      <c r="BB58" s="477">
        <f>IF($Z58="c",Inventory!$AB65,Inventory!$K65)</f>
        <v>0</v>
      </c>
      <c r="BC58" s="478">
        <f>IF(AND($Z58="b",Inventory!$N65="Btu/hr"),Inventory!$M65,IF(AND($Z58="b",Inventory!$N65="Tons"),Inventory!$M65*12000,IF(AND($Z58&lt;&gt;"b",Inventory!$AK65="Btu/hr"),Inventory!$AD65,IF(AND($Z58&lt;&gt;"b",Inventory!$AK65="Tons"),Inventory!$AD65*12000,0))))</f>
        <v>0</v>
      </c>
      <c r="BD58" s="478">
        <f t="shared" si="46"/>
        <v>0</v>
      </c>
      <c r="BE58" s="479">
        <f t="shared" si="28"/>
        <v>0</v>
      </c>
      <c r="BF58" s="477" t="s">
        <v>50</v>
      </c>
      <c r="BG58" s="479">
        <f t="shared" si="6"/>
        <v>0</v>
      </c>
      <c r="BH58" s="477" t="s">
        <v>46</v>
      </c>
      <c r="BI58" s="760">
        <f>IF(AND($Z58="b",Inventory!$P65="Btu/hr"),Inventory!$O65,IF(AND($Z58="b",Inventory!$P65="Tons"),Inventory!$O65*12000,IF(AND($Z58&lt;&gt;"b",Inventory!$AM65="Btu/hr"),Inventory!$AL65,IF(AND($Z58&lt;&gt;"b",Inventory!$AM65="Tons"),Inventory!$AL65*12000,0))))</f>
        <v>0</v>
      </c>
      <c r="BJ58" s="760">
        <f t="shared" si="47"/>
        <v>0</v>
      </c>
      <c r="BK58" s="598">
        <f t="shared" si="30"/>
        <v>0</v>
      </c>
      <c r="BL58" s="759" t="s">
        <v>567</v>
      </c>
      <c r="BM58" s="477" t="str">
        <f t="shared" si="7"/>
        <v>No</v>
      </c>
      <c r="BN58" s="477" t="str">
        <f>IF(OR(Inventory!$H65="",$BM58="No"),"-",Inventory!$H65)</f>
        <v>-</v>
      </c>
      <c r="BO58" s="477" t="str">
        <f>IFERROR(VLOOKUP(BN58,'Early Retirement'!$B$6:$C$33,2,FALSE),"-")</f>
        <v>-</v>
      </c>
      <c r="BP58" s="477" t="str">
        <f>IF(Inventory!$J65="Centrifugal","Yes","No")</f>
        <v>No</v>
      </c>
      <c r="BQ58" s="477">
        <f t="shared" si="31"/>
        <v>0</v>
      </c>
      <c r="BR58" s="477" t="str">
        <f t="shared" si="32"/>
        <v>-</v>
      </c>
      <c r="BS58" s="479">
        <f>IFERROR(INDEX('Early Retirement'!$C$4:$AC$33,$BO58,$BR58),0)</f>
        <v>0</v>
      </c>
      <c r="BT58" s="477">
        <f>IFERROR(HLOOKUP($BR58,'Early Retirement'!$D$4:$AC$5,2,FALSE),0)</f>
        <v>0</v>
      </c>
      <c r="BU58" s="761">
        <f>IFERROR(INDEX('Early Retirement'!$AE$4:$BE$33,$BO58,$BR58),0)</f>
        <v>0</v>
      </c>
      <c r="BV58" s="759">
        <f>IFERROR(HLOOKUP($BR58,'Early Retirement'!$AF$4:$BE$5,2,FALSE),0)</f>
        <v>0</v>
      </c>
      <c r="BW58" s="479">
        <f t="shared" si="41"/>
        <v>0</v>
      </c>
      <c r="BX58" s="761">
        <f t="shared" si="33"/>
        <v>0</v>
      </c>
      <c r="BY58" s="477" t="s">
        <v>46</v>
      </c>
      <c r="BZ58" s="598">
        <f>IFERROR(INDEX('Early Retirement'!$BG$4:$CG$33,$BO58,$BR58),0)</f>
        <v>0</v>
      </c>
      <c r="CA58" s="759">
        <f>IFERROR(HLOOKUP($BR58,'Early Retirement'!$BH$4:$CH$5,2,FALSE),0)</f>
        <v>0</v>
      </c>
      <c r="CB58" s="598">
        <f t="shared" si="34"/>
        <v>0</v>
      </c>
      <c r="CC58" s="759" t="s">
        <v>567</v>
      </c>
      <c r="CD58" s="477" t="str">
        <f t="shared" si="8"/>
        <v>Yes</v>
      </c>
      <c r="CE58" s="479">
        <f t="shared" si="9"/>
        <v>0</v>
      </c>
      <c r="CF58" s="761">
        <f t="shared" si="10"/>
        <v>0</v>
      </c>
      <c r="CG58" s="759" t="s">
        <v>46</v>
      </c>
      <c r="CH58" s="598">
        <f t="shared" si="35"/>
        <v>0</v>
      </c>
      <c r="CI58" s="759" t="s">
        <v>567</v>
      </c>
      <c r="CJ58" s="480">
        <f t="shared" si="36"/>
        <v>0</v>
      </c>
      <c r="CK58" s="583">
        <f t="shared" si="37"/>
        <v>0</v>
      </c>
      <c r="CL58" s="596" t="s">
        <v>46</v>
      </c>
      <c r="CM58" s="581">
        <f t="shared" si="38"/>
        <v>0</v>
      </c>
      <c r="CN58" s="762" t="s">
        <v>567</v>
      </c>
      <c r="CP58" s="90" t="s">
        <v>236</v>
      </c>
      <c r="CQ58" s="121">
        <v>9.5</v>
      </c>
      <c r="CR58" s="307" t="s">
        <v>50</v>
      </c>
      <c r="CS58" s="641">
        <v>9.5</v>
      </c>
      <c r="CT58" s="551" t="s">
        <v>50</v>
      </c>
      <c r="CU58" s="645">
        <f t="shared" si="45"/>
        <v>1.263157894736842</v>
      </c>
      <c r="CV58" s="645">
        <f t="shared" si="45"/>
        <v>1.263157894736842</v>
      </c>
      <c r="CW58" s="633" t="s">
        <v>46</v>
      </c>
      <c r="CX58" s="606"/>
      <c r="CY58" s="589"/>
      <c r="CZ58" s="606"/>
      <c r="DA58" s="609"/>
      <c r="DB58" s="562"/>
      <c r="DC58" s="562"/>
      <c r="DD58" s="562"/>
      <c r="DE58" s="562"/>
      <c r="DF58" s="562"/>
      <c r="DG58" s="562"/>
      <c r="DH58" s="562"/>
      <c r="DI58" s="562"/>
      <c r="DJ58" s="562"/>
      <c r="DK58" s="562"/>
      <c r="DL58" s="562"/>
      <c r="DM58" s="562"/>
      <c r="DN58" s="562"/>
      <c r="DO58" s="562"/>
      <c r="DP58" s="562"/>
      <c r="DQ58" s="562"/>
      <c r="DR58" s="562"/>
      <c r="DS58" s="562"/>
      <c r="DT58" s="562"/>
      <c r="DU58" s="562"/>
      <c r="DV58" s="562"/>
      <c r="DW58" s="562"/>
      <c r="DX58" s="562"/>
      <c r="DY58" s="562"/>
      <c r="DZ58" s="562"/>
      <c r="EA58" s="562"/>
      <c r="EB58" s="562"/>
      <c r="EC58" s="562"/>
      <c r="ED58" s="562"/>
      <c r="EE58" s="562"/>
      <c r="EF58" s="562"/>
      <c r="EG58" s="562"/>
      <c r="EH58" s="562"/>
      <c r="EI58" s="562"/>
      <c r="EJ58" s="562"/>
      <c r="EK58" s="562"/>
      <c r="EL58" s="562"/>
    </row>
    <row r="59" spans="2:142" s="78" customFormat="1" ht="15" customHeight="1" x14ac:dyDescent="0.25">
      <c r="B59" s="77"/>
      <c r="E59" s="77"/>
      <c r="H59" s="77"/>
      <c r="U59" s="79"/>
      <c r="V59" s="79"/>
      <c r="W59" s="79"/>
      <c r="Y59" s="90">
        <v>57</v>
      </c>
      <c r="Z59" s="559" t="str">
        <f>IF(Inventory!$C66="","",VLOOKUP(Inventory!$C66,$B$3:$C$5,2,FALSE))</f>
        <v/>
      </c>
      <c r="AA59" s="559" t="str">
        <f>IF($Z59="","",IF(AND($Z59="b",Inventory!$G66=""),"",IF(AND($Z59="b",Inventory!$G66&lt;&gt;""),VLOOKUP(Inventory!$G66,$E$3:$F$10,2,FALSE),IF(AND($Z59="a",Inventory!$Z66=""),"",IF(AND($Z59="a",Inventory!$Z66&lt;&gt;""),VLOOKUP(Inventory!$Z66,$E$3:$F$10,2,FALSE),IF(AND($Z59="c",Inventory!$Z66=""),"",IF(AND($Z59="c",Inventory!$Z66&lt;&gt;""),VLOOKUP(Inventory!$Z66,$E$3:$F$10,2,FALSE),"")))))))</f>
        <v/>
      </c>
      <c r="AB59" s="559" t="str">
        <f>IF($Z59="","a",IF(AND($Z59="b",Inventory!$J66=""),"a",IF(AND($Z59="b",Inventory!$J66&lt;&gt;""),VLOOKUP(Inventory!$J66,$H$4:$I$6,2,FALSE),IF(AND($Z59="a",Inventory!$AA66=""),"a",IF(AND($Z59="a",Inventory!$AA66&lt;&gt;""),VLOOKUP(Inventory!$AA66,$H$4:$I$6,2,FALSE),IF(AND($Z59="c",Inventory!$AA66=""),"a",IF(AND($Z59="c",Inventory!$AA66&lt;&gt;""),VLOOKUP(Inventory!$AA66,$H$4:$I$6,2,FALSE),"a")))))))</f>
        <v>a</v>
      </c>
      <c r="AC59" s="559" t="str">
        <f t="shared" si="11"/>
        <v>a</v>
      </c>
      <c r="AD59" s="473" t="str">
        <f>IF($Z59="","a",IF(AND($Z59="b",Inventory!$L66=""),"a",IF(AND($Z59="b",Inventory!$L66&lt;&gt;""),VLOOKUP(Inventory!$L66,$N$4:$O$5,2,FALSE),IF(AND($Z59="a",Inventory!$AC66=""),"a",IF(AND($Z59="a",Inventory!$AC66&lt;&gt;""),VLOOKUP(Inventory!$AC66,$N$4:$O$5,2,FALSE),IF(AND($Z59="c",Inventory!$AC66=""),"a",IF(AND($Z59="c",Inventory!$AC66&lt;&gt;""),VLOOKUP(Inventory!$AC66,$N$4:$O$5,2,FALSE),"a")))))))</f>
        <v>a</v>
      </c>
      <c r="AE59" s="474">
        <f>IF(OR(Inventory!C66="New Construction",Inventory!C66="Replace-on-Burnout"),Inventory!AF66,IF(Inventory!C66="Early Retirement",MIN(Inventory!AE66,Inventory!AF66),0))</f>
        <v>0</v>
      </c>
      <c r="AF59" s="475" t="str">
        <f t="shared" si="12"/>
        <v/>
      </c>
      <c r="AG59" s="475" t="str">
        <f t="shared" si="0"/>
        <v/>
      </c>
      <c r="AH59" s="475" t="str">
        <f t="shared" si="1"/>
        <v/>
      </c>
      <c r="AI59" s="475" t="str">
        <f t="shared" si="2"/>
        <v/>
      </c>
      <c r="AJ59" s="475" t="str">
        <f t="shared" si="3"/>
        <v/>
      </c>
      <c r="AK59" s="475" t="str">
        <f t="shared" si="13"/>
        <v/>
      </c>
      <c r="AL59" s="475" t="str">
        <f t="shared" si="14"/>
        <v/>
      </c>
      <c r="AM59" s="475" t="str">
        <f t="shared" si="15"/>
        <v/>
      </c>
      <c r="AN59" s="475" t="str">
        <f t="shared" si="16"/>
        <v/>
      </c>
      <c r="AO59" s="475" t="str">
        <f t="shared" si="17"/>
        <v/>
      </c>
      <c r="AP59" s="475" t="str">
        <f t="shared" si="18"/>
        <v/>
      </c>
      <c r="AQ59" s="475" t="str">
        <f t="shared" si="19"/>
        <v/>
      </c>
      <c r="AR59" s="475" t="str">
        <f t="shared" si="20"/>
        <v/>
      </c>
      <c r="AS59" s="475" t="str">
        <f t="shared" si="21"/>
        <v/>
      </c>
      <c r="AT59" s="475" t="str">
        <f t="shared" si="22"/>
        <v/>
      </c>
      <c r="AU59" s="475" t="str">
        <f t="shared" si="23"/>
        <v/>
      </c>
      <c r="AV59" s="475" t="str">
        <f t="shared" si="4"/>
        <v/>
      </c>
      <c r="AW59" s="473">
        <f t="shared" si="5"/>
        <v>0</v>
      </c>
      <c r="AX59" s="473" t="str">
        <f>IF(AND($Z59="b",OR($AA59="a",$AA59="b"),Inventory!$I66="",$AE59&lt;(65000/12000)),"x",IF(AND($Z59="b",OR($AA59="a",$AA59="b"),Inventory!$I66&lt;&gt;"",$AE59&lt;(65000/12000)),VLOOKUP(Inventory!$I66,$V$4:$W$5,2,FALSE),"x"))</f>
        <v>x</v>
      </c>
      <c r="AY59" s="476" t="str">
        <f t="shared" si="24"/>
        <v>aaa0</v>
      </c>
      <c r="AZ59" s="477" t="str">
        <f t="shared" si="25"/>
        <v>No</v>
      </c>
      <c r="BA59" s="759" t="str">
        <f t="shared" si="26"/>
        <v>No</v>
      </c>
      <c r="BB59" s="477">
        <f>IF($Z59="c",Inventory!$AB66,Inventory!$K66)</f>
        <v>0</v>
      </c>
      <c r="BC59" s="478">
        <f>IF(AND($Z59="b",Inventory!$N66="Btu/hr"),Inventory!$M66,IF(AND($Z59="b",Inventory!$N66="Tons"),Inventory!$M66*12000,IF(AND($Z59&lt;&gt;"b",Inventory!$AK66="Btu/hr"),Inventory!$AD66,IF(AND($Z59&lt;&gt;"b",Inventory!$AK66="Tons"),Inventory!$AD66*12000,0))))</f>
        <v>0</v>
      </c>
      <c r="BD59" s="478">
        <f t="shared" si="46"/>
        <v>0</v>
      </c>
      <c r="BE59" s="479">
        <f t="shared" si="28"/>
        <v>0</v>
      </c>
      <c r="BF59" s="477" t="s">
        <v>50</v>
      </c>
      <c r="BG59" s="479">
        <f t="shared" si="6"/>
        <v>0</v>
      </c>
      <c r="BH59" s="477" t="s">
        <v>46</v>
      </c>
      <c r="BI59" s="760">
        <f>IF(AND($Z59="b",Inventory!$P66="Btu/hr"),Inventory!$O66,IF(AND($Z59="b",Inventory!$P66="Tons"),Inventory!$O66*12000,IF(AND($Z59&lt;&gt;"b",Inventory!$AM66="Btu/hr"),Inventory!$AL66,IF(AND($Z59&lt;&gt;"b",Inventory!$AM66="Tons"),Inventory!$AL66*12000,0))))</f>
        <v>0</v>
      </c>
      <c r="BJ59" s="760">
        <f t="shared" si="47"/>
        <v>0</v>
      </c>
      <c r="BK59" s="598">
        <f t="shared" si="30"/>
        <v>0</v>
      </c>
      <c r="BL59" s="759" t="s">
        <v>567</v>
      </c>
      <c r="BM59" s="477" t="str">
        <f t="shared" si="7"/>
        <v>No</v>
      </c>
      <c r="BN59" s="477" t="str">
        <f>IF(OR(Inventory!$H66="",$BM59="No"),"-",Inventory!$H66)</f>
        <v>-</v>
      </c>
      <c r="BO59" s="477" t="str">
        <f>IFERROR(VLOOKUP(BN59,'Early Retirement'!$B$6:$C$33,2,FALSE),"-")</f>
        <v>-</v>
      </c>
      <c r="BP59" s="477" t="str">
        <f>IF(Inventory!$J66="Centrifugal","Yes","No")</f>
        <v>No</v>
      </c>
      <c r="BQ59" s="477">
        <f t="shared" si="31"/>
        <v>0</v>
      </c>
      <c r="BR59" s="477" t="str">
        <f t="shared" si="32"/>
        <v>-</v>
      </c>
      <c r="BS59" s="479">
        <f>IFERROR(INDEX('Early Retirement'!$C$4:$AC$33,$BO59,$BR59),0)</f>
        <v>0</v>
      </c>
      <c r="BT59" s="477">
        <f>IFERROR(HLOOKUP($BR59,'Early Retirement'!$D$4:$AC$5,2,FALSE),0)</f>
        <v>0</v>
      </c>
      <c r="BU59" s="761">
        <f>IFERROR(INDEX('Early Retirement'!$AE$4:$BE$33,$BO59,$BR59),0)</f>
        <v>0</v>
      </c>
      <c r="BV59" s="759">
        <f>IFERROR(HLOOKUP($BR59,'Early Retirement'!$AF$4:$BE$5,2,FALSE),0)</f>
        <v>0</v>
      </c>
      <c r="BW59" s="479">
        <f t="shared" si="41"/>
        <v>0</v>
      </c>
      <c r="BX59" s="761">
        <f t="shared" si="33"/>
        <v>0</v>
      </c>
      <c r="BY59" s="477" t="s">
        <v>46</v>
      </c>
      <c r="BZ59" s="598">
        <f>IFERROR(INDEX('Early Retirement'!$BG$4:$CG$33,$BO59,$BR59),0)</f>
        <v>0</v>
      </c>
      <c r="CA59" s="759">
        <f>IFERROR(HLOOKUP($BR59,'Early Retirement'!$BH$4:$CH$5,2,FALSE),0)</f>
        <v>0</v>
      </c>
      <c r="CB59" s="598">
        <f t="shared" si="34"/>
        <v>0</v>
      </c>
      <c r="CC59" s="759" t="s">
        <v>567</v>
      </c>
      <c r="CD59" s="477" t="str">
        <f t="shared" si="8"/>
        <v>Yes</v>
      </c>
      <c r="CE59" s="479">
        <f t="shared" si="9"/>
        <v>0</v>
      </c>
      <c r="CF59" s="761">
        <f t="shared" si="10"/>
        <v>0</v>
      </c>
      <c r="CG59" s="759" t="s">
        <v>46</v>
      </c>
      <c r="CH59" s="598">
        <f t="shared" si="35"/>
        <v>0</v>
      </c>
      <c r="CI59" s="759" t="s">
        <v>567</v>
      </c>
      <c r="CJ59" s="480">
        <f t="shared" si="36"/>
        <v>0</v>
      </c>
      <c r="CK59" s="583">
        <f t="shared" si="37"/>
        <v>0</v>
      </c>
      <c r="CL59" s="596" t="s">
        <v>46</v>
      </c>
      <c r="CM59" s="581">
        <f t="shared" si="38"/>
        <v>0</v>
      </c>
      <c r="CN59" s="762" t="s">
        <v>567</v>
      </c>
      <c r="CP59" s="90" t="s">
        <v>495</v>
      </c>
      <c r="CQ59" s="121">
        <v>9.3000000000000007</v>
      </c>
      <c r="CR59" s="307" t="s">
        <v>50</v>
      </c>
      <c r="CS59" s="641">
        <v>9.3000000000000007</v>
      </c>
      <c r="CT59" s="551" t="s">
        <v>50</v>
      </c>
      <c r="CU59" s="645">
        <f t="shared" ref="CU59:CV60" si="48">12/$CQ59</f>
        <v>1.2903225806451613</v>
      </c>
      <c r="CV59" s="645">
        <f t="shared" si="48"/>
        <v>1.2903225806451613</v>
      </c>
      <c r="CW59" s="633" t="s">
        <v>46</v>
      </c>
      <c r="CX59" s="606"/>
      <c r="CY59" s="589"/>
      <c r="CZ59" s="606"/>
      <c r="DA59" s="609"/>
      <c r="DB59" s="562"/>
      <c r="DC59" s="562"/>
      <c r="DD59" s="562"/>
      <c r="DE59" s="562"/>
      <c r="DF59" s="562"/>
      <c r="DG59" s="562"/>
      <c r="DH59" s="562"/>
      <c r="DI59" s="562"/>
      <c r="DJ59" s="562"/>
      <c r="DK59" s="562"/>
      <c r="DL59" s="562"/>
      <c r="DM59" s="562"/>
      <c r="DN59" s="562"/>
      <c r="DO59" s="562"/>
      <c r="DP59" s="562"/>
      <c r="DQ59" s="562"/>
      <c r="DR59" s="562"/>
      <c r="DS59" s="562"/>
      <c r="DT59" s="562"/>
      <c r="DU59" s="562"/>
      <c r="DV59" s="562"/>
      <c r="DW59" s="562"/>
      <c r="DX59" s="562"/>
      <c r="DY59" s="562"/>
      <c r="DZ59" s="562"/>
      <c r="EA59" s="562"/>
      <c r="EB59" s="562"/>
      <c r="EC59" s="562"/>
      <c r="ED59" s="562"/>
      <c r="EE59" s="562"/>
      <c r="EF59" s="562"/>
      <c r="EG59" s="562"/>
      <c r="EH59" s="562"/>
      <c r="EI59" s="562"/>
      <c r="EJ59" s="562"/>
      <c r="EK59" s="562"/>
      <c r="EL59" s="562"/>
    </row>
    <row r="60" spans="2:142" s="78" customFormat="1" ht="15" customHeight="1" x14ac:dyDescent="0.25">
      <c r="B60" s="77"/>
      <c r="E60" s="77"/>
      <c r="H60" s="77"/>
      <c r="U60" s="79"/>
      <c r="V60" s="79"/>
      <c r="W60" s="79"/>
      <c r="Y60" s="90">
        <v>58</v>
      </c>
      <c r="Z60" s="559" t="str">
        <f>IF(Inventory!$C67="","",VLOOKUP(Inventory!$C67,$B$3:$C$5,2,FALSE))</f>
        <v/>
      </c>
      <c r="AA60" s="559" t="str">
        <f>IF($Z60="","",IF(AND($Z60="b",Inventory!$G67=""),"",IF(AND($Z60="b",Inventory!$G67&lt;&gt;""),VLOOKUP(Inventory!$G67,$E$3:$F$10,2,FALSE),IF(AND($Z60="a",Inventory!$Z67=""),"",IF(AND($Z60="a",Inventory!$Z67&lt;&gt;""),VLOOKUP(Inventory!$Z67,$E$3:$F$10,2,FALSE),IF(AND($Z60="c",Inventory!$Z67=""),"",IF(AND($Z60="c",Inventory!$Z67&lt;&gt;""),VLOOKUP(Inventory!$Z67,$E$3:$F$10,2,FALSE),"")))))))</f>
        <v/>
      </c>
      <c r="AB60" s="559" t="str">
        <f>IF($Z60="","a",IF(AND($Z60="b",Inventory!$J67=""),"a",IF(AND($Z60="b",Inventory!$J67&lt;&gt;""),VLOOKUP(Inventory!$J67,$H$4:$I$6,2,FALSE),IF(AND($Z60="a",Inventory!$AA67=""),"a",IF(AND($Z60="a",Inventory!$AA67&lt;&gt;""),VLOOKUP(Inventory!$AA67,$H$4:$I$6,2,FALSE),IF(AND($Z60="c",Inventory!$AA67=""),"a",IF(AND($Z60="c",Inventory!$AA67&lt;&gt;""),VLOOKUP(Inventory!$AA67,$H$4:$I$6,2,FALSE),"a")))))))</f>
        <v>a</v>
      </c>
      <c r="AC60" s="559" t="str">
        <f t="shared" si="11"/>
        <v>a</v>
      </c>
      <c r="AD60" s="473" t="str">
        <f>IF($Z60="","a",IF(AND($Z60="b",Inventory!$L67=""),"a",IF(AND($Z60="b",Inventory!$L67&lt;&gt;""),VLOOKUP(Inventory!$L67,$N$4:$O$5,2,FALSE),IF(AND($Z60="a",Inventory!$AC67=""),"a",IF(AND($Z60="a",Inventory!$AC67&lt;&gt;""),VLOOKUP(Inventory!$AC67,$N$4:$O$5,2,FALSE),IF(AND($Z60="c",Inventory!$AC67=""),"a",IF(AND($Z60="c",Inventory!$AC67&lt;&gt;""),VLOOKUP(Inventory!$AC67,$N$4:$O$5,2,FALSE),"a")))))))</f>
        <v>a</v>
      </c>
      <c r="AE60" s="474">
        <f>IF(OR(Inventory!C67="New Construction",Inventory!C67="Replace-on-Burnout"),Inventory!AF67,IF(Inventory!C67="Early Retirement",MIN(Inventory!AE67,Inventory!AF67),0))</f>
        <v>0</v>
      </c>
      <c r="AF60" s="475" t="str">
        <f t="shared" si="12"/>
        <v/>
      </c>
      <c r="AG60" s="475" t="str">
        <f t="shared" si="0"/>
        <v/>
      </c>
      <c r="AH60" s="475" t="str">
        <f t="shared" si="1"/>
        <v/>
      </c>
      <c r="AI60" s="475" t="str">
        <f t="shared" si="2"/>
        <v/>
      </c>
      <c r="AJ60" s="475" t="str">
        <f t="shared" si="3"/>
        <v/>
      </c>
      <c r="AK60" s="475" t="str">
        <f t="shared" si="13"/>
        <v/>
      </c>
      <c r="AL60" s="475" t="str">
        <f t="shared" si="14"/>
        <v/>
      </c>
      <c r="AM60" s="475" t="str">
        <f t="shared" si="15"/>
        <v/>
      </c>
      <c r="AN60" s="475" t="str">
        <f t="shared" si="16"/>
        <v/>
      </c>
      <c r="AO60" s="475" t="str">
        <f t="shared" si="17"/>
        <v/>
      </c>
      <c r="AP60" s="475" t="str">
        <f t="shared" si="18"/>
        <v/>
      </c>
      <c r="AQ60" s="475" t="str">
        <f t="shared" si="19"/>
        <v/>
      </c>
      <c r="AR60" s="475" t="str">
        <f t="shared" si="20"/>
        <v/>
      </c>
      <c r="AS60" s="475" t="str">
        <f t="shared" si="21"/>
        <v/>
      </c>
      <c r="AT60" s="475" t="str">
        <f t="shared" si="22"/>
        <v/>
      </c>
      <c r="AU60" s="475" t="str">
        <f t="shared" si="23"/>
        <v/>
      </c>
      <c r="AV60" s="475" t="str">
        <f t="shared" si="4"/>
        <v/>
      </c>
      <c r="AW60" s="473">
        <f t="shared" si="5"/>
        <v>0</v>
      </c>
      <c r="AX60" s="473" t="str">
        <f>IF(AND($Z60="b",OR($AA60="a",$AA60="b"),Inventory!$I67="",$AE60&lt;(65000/12000)),"x",IF(AND($Z60="b",OR($AA60="a",$AA60="b"),Inventory!$I67&lt;&gt;"",$AE60&lt;(65000/12000)),VLOOKUP(Inventory!$I67,$V$4:$W$5,2,FALSE),"x"))</f>
        <v>x</v>
      </c>
      <c r="AY60" s="476" t="str">
        <f t="shared" si="24"/>
        <v>aaa0</v>
      </c>
      <c r="AZ60" s="477" t="str">
        <f t="shared" si="25"/>
        <v>No</v>
      </c>
      <c r="BA60" s="759" t="str">
        <f t="shared" si="26"/>
        <v>No</v>
      </c>
      <c r="BB60" s="477">
        <f>IF($Z60="c",Inventory!$AB67,Inventory!$K67)</f>
        <v>0</v>
      </c>
      <c r="BC60" s="478">
        <f>IF(AND($Z60="b",Inventory!$N67="Btu/hr"),Inventory!$M67,IF(AND($Z60="b",Inventory!$N67="Tons"),Inventory!$M67*12000,IF(AND($Z60&lt;&gt;"b",Inventory!$AK67="Btu/hr"),Inventory!$AD67,IF(AND($Z60&lt;&gt;"b",Inventory!$AK67="Tons"),Inventory!$AD67*12000,0))))</f>
        <v>0</v>
      </c>
      <c r="BD60" s="478">
        <f t="shared" si="46"/>
        <v>0</v>
      </c>
      <c r="BE60" s="479">
        <f t="shared" si="28"/>
        <v>0</v>
      </c>
      <c r="BF60" s="477" t="s">
        <v>50</v>
      </c>
      <c r="BG60" s="479">
        <f t="shared" si="6"/>
        <v>0</v>
      </c>
      <c r="BH60" s="477" t="s">
        <v>46</v>
      </c>
      <c r="BI60" s="760">
        <f>IF(AND($Z60="b",Inventory!$P67="Btu/hr"),Inventory!$O67,IF(AND($Z60="b",Inventory!$P67="Tons"),Inventory!$O67*12000,IF(AND($Z60&lt;&gt;"b",Inventory!$AM67="Btu/hr"),Inventory!$AL67,IF(AND($Z60&lt;&gt;"b",Inventory!$AM67="Tons"),Inventory!$AL67*12000,0))))</f>
        <v>0</v>
      </c>
      <c r="BJ60" s="760">
        <f t="shared" si="47"/>
        <v>0</v>
      </c>
      <c r="BK60" s="598">
        <f t="shared" si="30"/>
        <v>0</v>
      </c>
      <c r="BL60" s="759" t="s">
        <v>567</v>
      </c>
      <c r="BM60" s="477" t="str">
        <f t="shared" si="7"/>
        <v>No</v>
      </c>
      <c r="BN60" s="477" t="str">
        <f>IF(OR(Inventory!$H67="",$BM60="No"),"-",Inventory!$H67)</f>
        <v>-</v>
      </c>
      <c r="BO60" s="477" t="str">
        <f>IFERROR(VLOOKUP(BN60,'Early Retirement'!$B$6:$C$33,2,FALSE),"-")</f>
        <v>-</v>
      </c>
      <c r="BP60" s="477" t="str">
        <f>IF(Inventory!$J67="Centrifugal","Yes","No")</f>
        <v>No</v>
      </c>
      <c r="BQ60" s="477">
        <f t="shared" si="31"/>
        <v>0</v>
      </c>
      <c r="BR60" s="477" t="str">
        <f t="shared" si="32"/>
        <v>-</v>
      </c>
      <c r="BS60" s="479">
        <f>IFERROR(INDEX('Early Retirement'!$C$4:$AC$33,$BO60,$BR60),0)</f>
        <v>0</v>
      </c>
      <c r="BT60" s="477">
        <f>IFERROR(HLOOKUP($BR60,'Early Retirement'!$D$4:$AC$5,2,FALSE),0)</f>
        <v>0</v>
      </c>
      <c r="BU60" s="761">
        <f>IFERROR(INDEX('Early Retirement'!$AE$4:$BE$33,$BO60,$BR60),0)</f>
        <v>0</v>
      </c>
      <c r="BV60" s="759">
        <f>IFERROR(HLOOKUP($BR60,'Early Retirement'!$AF$4:$BE$5,2,FALSE),0)</f>
        <v>0</v>
      </c>
      <c r="BW60" s="479">
        <f t="shared" si="41"/>
        <v>0</v>
      </c>
      <c r="BX60" s="761">
        <f t="shared" si="33"/>
        <v>0</v>
      </c>
      <c r="BY60" s="477" t="s">
        <v>46</v>
      </c>
      <c r="BZ60" s="598">
        <f>IFERROR(INDEX('Early Retirement'!$BG$4:$CG$33,$BO60,$BR60),0)</f>
        <v>0</v>
      </c>
      <c r="CA60" s="759">
        <f>IFERROR(HLOOKUP($BR60,'Early Retirement'!$BH$4:$CH$5,2,FALSE),0)</f>
        <v>0</v>
      </c>
      <c r="CB60" s="598">
        <f t="shared" si="34"/>
        <v>0</v>
      </c>
      <c r="CC60" s="759" t="s">
        <v>567</v>
      </c>
      <c r="CD60" s="477" t="str">
        <f t="shared" si="8"/>
        <v>Yes</v>
      </c>
      <c r="CE60" s="479">
        <f t="shared" si="9"/>
        <v>0</v>
      </c>
      <c r="CF60" s="761">
        <f t="shared" si="10"/>
        <v>0</v>
      </c>
      <c r="CG60" s="759" t="s">
        <v>46</v>
      </c>
      <c r="CH60" s="598">
        <f t="shared" si="35"/>
        <v>0</v>
      </c>
      <c r="CI60" s="759" t="s">
        <v>567</v>
      </c>
      <c r="CJ60" s="480">
        <f t="shared" si="36"/>
        <v>0</v>
      </c>
      <c r="CK60" s="583">
        <f t="shared" si="37"/>
        <v>0</v>
      </c>
      <c r="CL60" s="596" t="s">
        <v>46</v>
      </c>
      <c r="CM60" s="581">
        <f t="shared" si="38"/>
        <v>0</v>
      </c>
      <c r="CN60" s="762" t="s">
        <v>567</v>
      </c>
      <c r="CP60" s="90" t="s">
        <v>496</v>
      </c>
      <c r="CQ60" s="121">
        <v>9.4</v>
      </c>
      <c r="CR60" s="307" t="s">
        <v>50</v>
      </c>
      <c r="CS60" s="641">
        <v>9.4</v>
      </c>
      <c r="CT60" s="551" t="s">
        <v>50</v>
      </c>
      <c r="CU60" s="645">
        <f t="shared" si="48"/>
        <v>1.2765957446808509</v>
      </c>
      <c r="CV60" s="645">
        <f t="shared" si="48"/>
        <v>1.2765957446808509</v>
      </c>
      <c r="CW60" s="633" t="s">
        <v>46</v>
      </c>
      <c r="CX60" s="606"/>
      <c r="CY60" s="589"/>
      <c r="CZ60" s="606"/>
      <c r="DA60" s="609"/>
      <c r="DB60" s="562"/>
      <c r="DC60" s="562"/>
      <c r="DD60" s="562"/>
      <c r="DE60" s="562"/>
      <c r="DF60" s="562"/>
      <c r="DG60" s="562"/>
      <c r="DH60" s="562"/>
      <c r="DI60" s="562"/>
      <c r="DJ60" s="562"/>
      <c r="DK60" s="562"/>
      <c r="DL60" s="562"/>
      <c r="DM60" s="562"/>
      <c r="DN60" s="562"/>
      <c r="DO60" s="562"/>
      <c r="DP60" s="562"/>
      <c r="DQ60" s="562"/>
      <c r="DR60" s="562"/>
      <c r="DS60" s="562"/>
      <c r="DT60" s="562"/>
      <c r="DU60" s="562"/>
      <c r="DV60" s="562"/>
      <c r="DW60" s="562"/>
      <c r="DX60" s="562"/>
      <c r="DY60" s="562"/>
      <c r="DZ60" s="562"/>
      <c r="EA60" s="562"/>
      <c r="EB60" s="562"/>
      <c r="EC60" s="562"/>
      <c r="ED60" s="562"/>
      <c r="EE60" s="562"/>
      <c r="EF60" s="562"/>
      <c r="EG60" s="562"/>
      <c r="EH60" s="562"/>
      <c r="EI60" s="562"/>
      <c r="EJ60" s="562"/>
      <c r="EK60" s="562"/>
      <c r="EL60" s="562"/>
    </row>
    <row r="61" spans="2:142" s="78" customFormat="1" ht="15" customHeight="1" x14ac:dyDescent="0.25">
      <c r="B61" s="77"/>
      <c r="E61" s="77"/>
      <c r="H61" s="77"/>
      <c r="U61" s="79"/>
      <c r="V61" s="79"/>
      <c r="W61" s="79"/>
      <c r="Y61" s="90">
        <v>59</v>
      </c>
      <c r="Z61" s="559" t="str">
        <f>IF(Inventory!$C68="","",VLOOKUP(Inventory!$C68,$B$3:$C$5,2,FALSE))</f>
        <v/>
      </c>
      <c r="AA61" s="559" t="str">
        <f>IF($Z61="","",IF(AND($Z61="b",Inventory!$G68=""),"",IF(AND($Z61="b",Inventory!$G68&lt;&gt;""),VLOOKUP(Inventory!$G68,$E$3:$F$10,2,FALSE),IF(AND($Z61="a",Inventory!$Z68=""),"",IF(AND($Z61="a",Inventory!$Z68&lt;&gt;""),VLOOKUP(Inventory!$Z68,$E$3:$F$10,2,FALSE),IF(AND($Z61="c",Inventory!$Z68=""),"",IF(AND($Z61="c",Inventory!$Z68&lt;&gt;""),VLOOKUP(Inventory!$Z68,$E$3:$F$10,2,FALSE),"")))))))</f>
        <v/>
      </c>
      <c r="AB61" s="559" t="str">
        <f>IF($Z61="","a",IF(AND($Z61="b",Inventory!$J68=""),"a",IF(AND($Z61="b",Inventory!$J68&lt;&gt;""),VLOOKUP(Inventory!$J68,$H$4:$I$6,2,FALSE),IF(AND($Z61="a",Inventory!$AA68=""),"a",IF(AND($Z61="a",Inventory!$AA68&lt;&gt;""),VLOOKUP(Inventory!$AA68,$H$4:$I$6,2,FALSE),IF(AND($Z61="c",Inventory!$AA68=""),"a",IF(AND($Z61="c",Inventory!$AA68&lt;&gt;""),VLOOKUP(Inventory!$AA68,$H$4:$I$6,2,FALSE),"a")))))))</f>
        <v>a</v>
      </c>
      <c r="AC61" s="559" t="str">
        <f t="shared" si="11"/>
        <v>a</v>
      </c>
      <c r="AD61" s="473" t="str">
        <f>IF($Z61="","a",IF(AND($Z61="b",Inventory!$L68=""),"a",IF(AND($Z61="b",Inventory!$L68&lt;&gt;""),VLOOKUP(Inventory!$L68,$N$4:$O$5,2,FALSE),IF(AND($Z61="a",Inventory!$AC68=""),"a",IF(AND($Z61="a",Inventory!$AC68&lt;&gt;""),VLOOKUP(Inventory!$AC68,$N$4:$O$5,2,FALSE),IF(AND($Z61="c",Inventory!$AC68=""),"a",IF(AND($Z61="c",Inventory!$AC68&lt;&gt;""),VLOOKUP(Inventory!$AC68,$N$4:$O$5,2,FALSE),"a")))))))</f>
        <v>a</v>
      </c>
      <c r="AE61" s="474">
        <f>IF(OR(Inventory!C68="New Construction",Inventory!C68="Replace-on-Burnout"),Inventory!AF68,IF(Inventory!C68="Early Retirement",MIN(Inventory!AE68,Inventory!AF68),0))</f>
        <v>0</v>
      </c>
      <c r="AF61" s="475" t="str">
        <f t="shared" si="12"/>
        <v/>
      </c>
      <c r="AG61" s="475" t="str">
        <f t="shared" si="0"/>
        <v/>
      </c>
      <c r="AH61" s="475" t="str">
        <f t="shared" si="1"/>
        <v/>
      </c>
      <c r="AI61" s="475" t="str">
        <f t="shared" si="2"/>
        <v/>
      </c>
      <c r="AJ61" s="475" t="str">
        <f t="shared" si="3"/>
        <v/>
      </c>
      <c r="AK61" s="475" t="str">
        <f t="shared" si="13"/>
        <v/>
      </c>
      <c r="AL61" s="475" t="str">
        <f t="shared" si="14"/>
        <v/>
      </c>
      <c r="AM61" s="475" t="str">
        <f t="shared" si="15"/>
        <v/>
      </c>
      <c r="AN61" s="475" t="str">
        <f t="shared" si="16"/>
        <v/>
      </c>
      <c r="AO61" s="475" t="str">
        <f t="shared" si="17"/>
        <v/>
      </c>
      <c r="AP61" s="475" t="str">
        <f t="shared" si="18"/>
        <v/>
      </c>
      <c r="AQ61" s="475" t="str">
        <f t="shared" si="19"/>
        <v/>
      </c>
      <c r="AR61" s="475" t="str">
        <f t="shared" si="20"/>
        <v/>
      </c>
      <c r="AS61" s="475" t="str">
        <f t="shared" si="21"/>
        <v/>
      </c>
      <c r="AT61" s="475" t="str">
        <f t="shared" si="22"/>
        <v/>
      </c>
      <c r="AU61" s="475" t="str">
        <f t="shared" si="23"/>
        <v/>
      </c>
      <c r="AV61" s="475" t="str">
        <f t="shared" si="4"/>
        <v/>
      </c>
      <c r="AW61" s="473">
        <f t="shared" si="5"/>
        <v>0</v>
      </c>
      <c r="AX61" s="473" t="str">
        <f>IF(AND($Z61="b",OR($AA61="a",$AA61="b"),Inventory!$I68="",$AE61&lt;(65000/12000)),"x",IF(AND($Z61="b",OR($AA61="a",$AA61="b"),Inventory!$I68&lt;&gt;"",$AE61&lt;(65000/12000)),VLOOKUP(Inventory!$I68,$V$4:$W$5,2,FALSE),"x"))</f>
        <v>x</v>
      </c>
      <c r="AY61" s="476" t="str">
        <f t="shared" si="24"/>
        <v>aaa0</v>
      </c>
      <c r="AZ61" s="477" t="str">
        <f t="shared" si="25"/>
        <v>No</v>
      </c>
      <c r="BA61" s="759" t="str">
        <f t="shared" si="26"/>
        <v>No</v>
      </c>
      <c r="BB61" s="477">
        <f>IF($Z61="c",Inventory!$AB68,Inventory!$K68)</f>
        <v>0</v>
      </c>
      <c r="BC61" s="478">
        <f>IF(AND($Z61="b",Inventory!$N68="Btu/hr"),Inventory!$M68,IF(AND($Z61="b",Inventory!$N68="Tons"),Inventory!$M68*12000,IF(AND($Z61&lt;&gt;"b",Inventory!$AK68="Btu/hr"),Inventory!$AD68,IF(AND($Z61&lt;&gt;"b",Inventory!$AK68="Tons"),Inventory!$AD68*12000,0))))</f>
        <v>0</v>
      </c>
      <c r="BD61" s="478">
        <f t="shared" si="46"/>
        <v>0</v>
      </c>
      <c r="BE61" s="479">
        <f t="shared" si="28"/>
        <v>0</v>
      </c>
      <c r="BF61" s="477" t="s">
        <v>50</v>
      </c>
      <c r="BG61" s="479">
        <f t="shared" si="6"/>
        <v>0</v>
      </c>
      <c r="BH61" s="477" t="s">
        <v>46</v>
      </c>
      <c r="BI61" s="760">
        <f>IF(AND($Z61="b",Inventory!$P68="Btu/hr"),Inventory!$O68,IF(AND($Z61="b",Inventory!$P68="Tons"),Inventory!$O68*12000,IF(AND($Z61&lt;&gt;"b",Inventory!$AM68="Btu/hr"),Inventory!$AL68,IF(AND($Z61&lt;&gt;"b",Inventory!$AM68="Tons"),Inventory!$AL68*12000,0))))</f>
        <v>0</v>
      </c>
      <c r="BJ61" s="760">
        <f t="shared" si="47"/>
        <v>0</v>
      </c>
      <c r="BK61" s="598">
        <f t="shared" si="30"/>
        <v>0</v>
      </c>
      <c r="BL61" s="759" t="s">
        <v>567</v>
      </c>
      <c r="BM61" s="477" t="str">
        <f t="shared" si="7"/>
        <v>No</v>
      </c>
      <c r="BN61" s="477" t="str">
        <f>IF(OR(Inventory!$H68="",$BM61="No"),"-",Inventory!$H68)</f>
        <v>-</v>
      </c>
      <c r="BO61" s="477" t="str">
        <f>IFERROR(VLOOKUP(BN61,'Early Retirement'!$B$6:$C$33,2,FALSE),"-")</f>
        <v>-</v>
      </c>
      <c r="BP61" s="477" t="str">
        <f>IF(Inventory!$J68="Centrifugal","Yes","No")</f>
        <v>No</v>
      </c>
      <c r="BQ61" s="477">
        <f t="shared" si="31"/>
        <v>0</v>
      </c>
      <c r="BR61" s="477" t="str">
        <f t="shared" si="32"/>
        <v>-</v>
      </c>
      <c r="BS61" s="479">
        <f>IFERROR(INDEX('Early Retirement'!$C$4:$AC$33,$BO61,$BR61),0)</f>
        <v>0</v>
      </c>
      <c r="BT61" s="477">
        <f>IFERROR(HLOOKUP($BR61,'Early Retirement'!$D$4:$AC$5,2,FALSE),0)</f>
        <v>0</v>
      </c>
      <c r="BU61" s="761">
        <f>IFERROR(INDEX('Early Retirement'!$AE$4:$BE$33,$BO61,$BR61),0)</f>
        <v>0</v>
      </c>
      <c r="BV61" s="759">
        <f>IFERROR(HLOOKUP($BR61,'Early Retirement'!$AF$4:$BE$5,2,FALSE),0)</f>
        <v>0</v>
      </c>
      <c r="BW61" s="479">
        <f t="shared" si="41"/>
        <v>0</v>
      </c>
      <c r="BX61" s="761">
        <f t="shared" si="33"/>
        <v>0</v>
      </c>
      <c r="BY61" s="477" t="s">
        <v>46</v>
      </c>
      <c r="BZ61" s="598">
        <f>IFERROR(INDEX('Early Retirement'!$BG$4:$CG$33,$BO61,$BR61),0)</f>
        <v>0</v>
      </c>
      <c r="CA61" s="759">
        <f>IFERROR(HLOOKUP($BR61,'Early Retirement'!$BH$4:$CH$5,2,FALSE),0)</f>
        <v>0</v>
      </c>
      <c r="CB61" s="598">
        <f t="shared" si="34"/>
        <v>0</v>
      </c>
      <c r="CC61" s="759" t="s">
        <v>567</v>
      </c>
      <c r="CD61" s="477" t="str">
        <f t="shared" si="8"/>
        <v>Yes</v>
      </c>
      <c r="CE61" s="479">
        <f t="shared" si="9"/>
        <v>0</v>
      </c>
      <c r="CF61" s="761">
        <f t="shared" si="10"/>
        <v>0</v>
      </c>
      <c r="CG61" s="759" t="s">
        <v>46</v>
      </c>
      <c r="CH61" s="598">
        <f t="shared" si="35"/>
        <v>0</v>
      </c>
      <c r="CI61" s="759" t="s">
        <v>567</v>
      </c>
      <c r="CJ61" s="480">
        <f t="shared" si="36"/>
        <v>0</v>
      </c>
      <c r="CK61" s="583">
        <f t="shared" si="37"/>
        <v>0</v>
      </c>
      <c r="CL61" s="596" t="s">
        <v>46</v>
      </c>
      <c r="CM61" s="581">
        <f t="shared" si="38"/>
        <v>0</v>
      </c>
      <c r="CN61" s="762" t="s">
        <v>567</v>
      </c>
      <c r="CP61" s="90" t="s">
        <v>497</v>
      </c>
      <c r="CQ61" s="121">
        <v>9.8000000000000007</v>
      </c>
      <c r="CR61" s="307" t="s">
        <v>50</v>
      </c>
      <c r="CS61" s="641">
        <v>9.8000000000000007</v>
      </c>
      <c r="CT61" s="551" t="s">
        <v>50</v>
      </c>
      <c r="CU61" s="645">
        <f t="shared" ref="CU61:CV72" si="49">12/$CQ61</f>
        <v>1.2244897959183672</v>
      </c>
      <c r="CV61" s="645">
        <f t="shared" si="49"/>
        <v>1.2244897959183672</v>
      </c>
      <c r="CW61" s="633" t="s">
        <v>46</v>
      </c>
      <c r="CX61" s="606"/>
      <c r="CY61" s="589"/>
      <c r="CZ61" s="606"/>
      <c r="DA61" s="609"/>
      <c r="DB61" s="562"/>
      <c r="DC61" s="562"/>
      <c r="DD61" s="562"/>
      <c r="DE61" s="562"/>
      <c r="DF61" s="562"/>
      <c r="DG61" s="562"/>
      <c r="DH61" s="562"/>
      <c r="DI61" s="562"/>
      <c r="DJ61" s="562"/>
      <c r="DK61" s="562"/>
      <c r="DL61" s="562"/>
      <c r="DM61" s="562"/>
      <c r="DN61" s="562"/>
      <c r="DO61" s="562"/>
      <c r="DP61" s="562"/>
      <c r="DQ61" s="562"/>
      <c r="DR61" s="562"/>
      <c r="DS61" s="562"/>
      <c r="DT61" s="562"/>
      <c r="DU61" s="562"/>
      <c r="DV61" s="562"/>
      <c r="DW61" s="562"/>
      <c r="DX61" s="562"/>
      <c r="DY61" s="562"/>
      <c r="DZ61" s="562"/>
      <c r="EA61" s="562"/>
      <c r="EB61" s="562"/>
      <c r="EC61" s="562"/>
      <c r="ED61" s="562"/>
      <c r="EE61" s="562"/>
      <c r="EF61" s="562"/>
      <c r="EG61" s="562"/>
      <c r="EH61" s="562"/>
      <c r="EI61" s="562"/>
      <c r="EJ61" s="562"/>
      <c r="EK61" s="562"/>
      <c r="EL61" s="562"/>
    </row>
    <row r="62" spans="2:142" s="78" customFormat="1" ht="15" customHeight="1" x14ac:dyDescent="0.25">
      <c r="B62" s="77"/>
      <c r="E62" s="77"/>
      <c r="H62" s="77"/>
      <c r="U62" s="79"/>
      <c r="V62" s="79"/>
      <c r="W62" s="79"/>
      <c r="Y62" s="90">
        <v>60</v>
      </c>
      <c r="Z62" s="559" t="str">
        <f>IF(Inventory!$C69="","",VLOOKUP(Inventory!$C69,$B$3:$C$5,2,FALSE))</f>
        <v/>
      </c>
      <c r="AA62" s="559" t="str">
        <f>IF($Z62="","",IF(AND($Z62="b",Inventory!$G69=""),"",IF(AND($Z62="b",Inventory!$G69&lt;&gt;""),VLOOKUP(Inventory!$G69,$E$3:$F$10,2,FALSE),IF(AND($Z62="a",Inventory!$Z69=""),"",IF(AND($Z62="a",Inventory!$Z69&lt;&gt;""),VLOOKUP(Inventory!$Z69,$E$3:$F$10,2,FALSE),IF(AND($Z62="c",Inventory!$Z69=""),"",IF(AND($Z62="c",Inventory!$Z69&lt;&gt;""),VLOOKUP(Inventory!$Z69,$E$3:$F$10,2,FALSE),"")))))))</f>
        <v/>
      </c>
      <c r="AB62" s="559" t="str">
        <f>IF($Z62="","a",IF(AND($Z62="b",Inventory!$J69=""),"a",IF(AND($Z62="b",Inventory!$J69&lt;&gt;""),VLOOKUP(Inventory!$J69,$H$4:$I$6,2,FALSE),IF(AND($Z62="a",Inventory!$AA69=""),"a",IF(AND($Z62="a",Inventory!$AA69&lt;&gt;""),VLOOKUP(Inventory!$AA69,$H$4:$I$6,2,FALSE),IF(AND($Z62="c",Inventory!$AA69=""),"a",IF(AND($Z62="c",Inventory!$AA69&lt;&gt;""),VLOOKUP(Inventory!$AA69,$H$4:$I$6,2,FALSE),"a")))))))</f>
        <v>a</v>
      </c>
      <c r="AC62" s="559" t="str">
        <f t="shared" si="11"/>
        <v>a</v>
      </c>
      <c r="AD62" s="473" t="str">
        <f>IF($Z62="","a",IF(AND($Z62="b",Inventory!$L69=""),"a",IF(AND($Z62="b",Inventory!$L69&lt;&gt;""),VLOOKUP(Inventory!$L69,$N$4:$O$5,2,FALSE),IF(AND($Z62="a",Inventory!$AC69=""),"a",IF(AND($Z62="a",Inventory!$AC69&lt;&gt;""),VLOOKUP(Inventory!$AC69,$N$4:$O$5,2,FALSE),IF(AND($Z62="c",Inventory!$AC69=""),"a",IF(AND($Z62="c",Inventory!$AC69&lt;&gt;""),VLOOKUP(Inventory!$AC69,$N$4:$O$5,2,FALSE),"a")))))))</f>
        <v>a</v>
      </c>
      <c r="AE62" s="474">
        <f>IF(OR(Inventory!C69="New Construction",Inventory!C69="Replace-on-Burnout"),Inventory!AF69,IF(Inventory!C69="Early Retirement",MIN(Inventory!AE69,Inventory!AF69),0))</f>
        <v>0</v>
      </c>
      <c r="AF62" s="475" t="str">
        <f t="shared" si="12"/>
        <v/>
      </c>
      <c r="AG62" s="475" t="str">
        <f t="shared" si="0"/>
        <v/>
      </c>
      <c r="AH62" s="475" t="str">
        <f t="shared" si="1"/>
        <v/>
      </c>
      <c r="AI62" s="475" t="str">
        <f t="shared" si="2"/>
        <v/>
      </c>
      <c r="AJ62" s="475" t="str">
        <f t="shared" si="3"/>
        <v/>
      </c>
      <c r="AK62" s="475" t="str">
        <f t="shared" si="13"/>
        <v/>
      </c>
      <c r="AL62" s="475" t="str">
        <f t="shared" si="14"/>
        <v/>
      </c>
      <c r="AM62" s="475" t="str">
        <f t="shared" si="15"/>
        <v/>
      </c>
      <c r="AN62" s="475" t="str">
        <f t="shared" si="16"/>
        <v/>
      </c>
      <c r="AO62" s="475" t="str">
        <f t="shared" si="17"/>
        <v/>
      </c>
      <c r="AP62" s="475" t="str">
        <f t="shared" si="18"/>
        <v/>
      </c>
      <c r="AQ62" s="475" t="str">
        <f t="shared" si="19"/>
        <v/>
      </c>
      <c r="AR62" s="475" t="str">
        <f t="shared" si="20"/>
        <v/>
      </c>
      <c r="AS62" s="475" t="str">
        <f t="shared" si="21"/>
        <v/>
      </c>
      <c r="AT62" s="475" t="str">
        <f t="shared" si="22"/>
        <v/>
      </c>
      <c r="AU62" s="475" t="str">
        <f t="shared" si="23"/>
        <v/>
      </c>
      <c r="AV62" s="475" t="str">
        <f t="shared" si="4"/>
        <v/>
      </c>
      <c r="AW62" s="473">
        <f t="shared" si="5"/>
        <v>0</v>
      </c>
      <c r="AX62" s="473" t="str">
        <f>IF(AND($Z62="b",OR($AA62="a",$AA62="b"),Inventory!$I69="",$AE62&lt;(65000/12000)),"x",IF(AND($Z62="b",OR($AA62="a",$AA62="b"),Inventory!$I69&lt;&gt;"",$AE62&lt;(65000/12000)),VLOOKUP(Inventory!$I69,$V$4:$W$5,2,FALSE),"x"))</f>
        <v>x</v>
      </c>
      <c r="AY62" s="476" t="str">
        <f t="shared" si="24"/>
        <v>aaa0</v>
      </c>
      <c r="AZ62" s="477" t="str">
        <f t="shared" si="25"/>
        <v>No</v>
      </c>
      <c r="BA62" s="759" t="str">
        <f t="shared" si="26"/>
        <v>No</v>
      </c>
      <c r="BB62" s="477">
        <f>IF($Z62="c",Inventory!$AB69,Inventory!$K69)</f>
        <v>0</v>
      </c>
      <c r="BC62" s="478">
        <f>IF(AND($Z62="b",Inventory!$N69="Btu/hr"),Inventory!$M69,IF(AND($Z62="b",Inventory!$N69="Tons"),Inventory!$M69*12000,IF(AND($Z62&lt;&gt;"b",Inventory!$AK69="Btu/hr"),Inventory!$AD69,IF(AND($Z62&lt;&gt;"b",Inventory!$AK69="Tons"),Inventory!$AD69*12000,0))))</f>
        <v>0</v>
      </c>
      <c r="BD62" s="478">
        <f t="shared" si="46"/>
        <v>0</v>
      </c>
      <c r="BE62" s="479">
        <f t="shared" si="28"/>
        <v>0</v>
      </c>
      <c r="BF62" s="477" t="s">
        <v>50</v>
      </c>
      <c r="BG62" s="479">
        <f t="shared" si="6"/>
        <v>0</v>
      </c>
      <c r="BH62" s="477" t="s">
        <v>46</v>
      </c>
      <c r="BI62" s="760">
        <f>IF(AND($Z62="b",Inventory!$P69="Btu/hr"),Inventory!$O69,IF(AND($Z62="b",Inventory!$P69="Tons"),Inventory!$O69*12000,IF(AND($Z62&lt;&gt;"b",Inventory!$AM69="Btu/hr"),Inventory!$AL69,IF(AND($Z62&lt;&gt;"b",Inventory!$AM69="Tons"),Inventory!$AL69*12000,0))))</f>
        <v>0</v>
      </c>
      <c r="BJ62" s="760">
        <f t="shared" si="47"/>
        <v>0</v>
      </c>
      <c r="BK62" s="598">
        <f t="shared" si="30"/>
        <v>0</v>
      </c>
      <c r="BL62" s="759" t="s">
        <v>567</v>
      </c>
      <c r="BM62" s="477" t="str">
        <f t="shared" si="7"/>
        <v>No</v>
      </c>
      <c r="BN62" s="477" t="str">
        <f>IF(OR(Inventory!$H69="",$BM62="No"),"-",Inventory!$H69)</f>
        <v>-</v>
      </c>
      <c r="BO62" s="477" t="str">
        <f>IFERROR(VLOOKUP(BN62,'Early Retirement'!$B$6:$C$33,2,FALSE),"-")</f>
        <v>-</v>
      </c>
      <c r="BP62" s="477" t="str">
        <f>IF(Inventory!$J69="Centrifugal","Yes","No")</f>
        <v>No</v>
      </c>
      <c r="BQ62" s="477">
        <f t="shared" si="31"/>
        <v>0</v>
      </c>
      <c r="BR62" s="477" t="str">
        <f t="shared" si="32"/>
        <v>-</v>
      </c>
      <c r="BS62" s="479">
        <f>IFERROR(INDEX('Early Retirement'!$C$4:$AC$33,$BO62,$BR62),0)</f>
        <v>0</v>
      </c>
      <c r="BT62" s="477">
        <f>IFERROR(HLOOKUP($BR62,'Early Retirement'!$D$4:$AC$5,2,FALSE),0)</f>
        <v>0</v>
      </c>
      <c r="BU62" s="761">
        <f>IFERROR(INDEX('Early Retirement'!$AE$4:$BE$33,$BO62,$BR62),0)</f>
        <v>0</v>
      </c>
      <c r="BV62" s="759">
        <f>IFERROR(HLOOKUP($BR62,'Early Retirement'!$AF$4:$BE$5,2,FALSE),0)</f>
        <v>0</v>
      </c>
      <c r="BW62" s="479">
        <f t="shared" si="41"/>
        <v>0</v>
      </c>
      <c r="BX62" s="761">
        <f t="shared" si="33"/>
        <v>0</v>
      </c>
      <c r="BY62" s="477" t="s">
        <v>46</v>
      </c>
      <c r="BZ62" s="598">
        <f>IFERROR(INDEX('Early Retirement'!$BG$4:$CG$33,$BO62,$BR62),0)</f>
        <v>0</v>
      </c>
      <c r="CA62" s="759">
        <f>IFERROR(HLOOKUP($BR62,'Early Retirement'!$BH$4:$CH$5,2,FALSE),0)</f>
        <v>0</v>
      </c>
      <c r="CB62" s="598">
        <f t="shared" si="34"/>
        <v>0</v>
      </c>
      <c r="CC62" s="759" t="s">
        <v>567</v>
      </c>
      <c r="CD62" s="477" t="str">
        <f t="shared" si="8"/>
        <v>Yes</v>
      </c>
      <c r="CE62" s="479">
        <f t="shared" si="9"/>
        <v>0</v>
      </c>
      <c r="CF62" s="761">
        <f t="shared" si="10"/>
        <v>0</v>
      </c>
      <c r="CG62" s="759" t="s">
        <v>46</v>
      </c>
      <c r="CH62" s="598">
        <f t="shared" si="35"/>
        <v>0</v>
      </c>
      <c r="CI62" s="759" t="s">
        <v>567</v>
      </c>
      <c r="CJ62" s="480">
        <f t="shared" si="36"/>
        <v>0</v>
      </c>
      <c r="CK62" s="583">
        <f t="shared" si="37"/>
        <v>0</v>
      </c>
      <c r="CL62" s="596" t="s">
        <v>46</v>
      </c>
      <c r="CM62" s="581">
        <f t="shared" si="38"/>
        <v>0</v>
      </c>
      <c r="CN62" s="762" t="s">
        <v>567</v>
      </c>
      <c r="CP62" s="90" t="s">
        <v>498</v>
      </c>
      <c r="CQ62" s="121">
        <v>9.3000000000000007</v>
      </c>
      <c r="CR62" s="307" t="s">
        <v>50</v>
      </c>
      <c r="CS62" s="641">
        <v>9.3000000000000007</v>
      </c>
      <c r="CT62" s="551" t="s">
        <v>50</v>
      </c>
      <c r="CU62" s="645">
        <f t="shared" si="49"/>
        <v>1.2903225806451613</v>
      </c>
      <c r="CV62" s="645">
        <f t="shared" si="49"/>
        <v>1.2903225806451613</v>
      </c>
      <c r="CW62" s="633" t="s">
        <v>46</v>
      </c>
      <c r="CX62" s="606"/>
      <c r="CY62" s="589"/>
      <c r="CZ62" s="606"/>
      <c r="DA62" s="609"/>
      <c r="DB62" s="562"/>
      <c r="DC62" s="562"/>
      <c r="DD62" s="562"/>
      <c r="DE62" s="562"/>
      <c r="DF62" s="562"/>
      <c r="DG62" s="562"/>
      <c r="DH62" s="562"/>
      <c r="DI62" s="562"/>
      <c r="DJ62" s="562"/>
      <c r="DK62" s="562"/>
      <c r="DL62" s="562"/>
      <c r="DM62" s="562"/>
      <c r="DN62" s="562"/>
      <c r="DO62" s="562"/>
      <c r="DP62" s="562"/>
      <c r="DQ62" s="562"/>
      <c r="DR62" s="562"/>
      <c r="DS62" s="562"/>
      <c r="DT62" s="562"/>
      <c r="DU62" s="562"/>
      <c r="DV62" s="562"/>
      <c r="DW62" s="562"/>
      <c r="DX62" s="562"/>
      <c r="DY62" s="562"/>
      <c r="DZ62" s="562"/>
      <c r="EA62" s="562"/>
      <c r="EB62" s="562"/>
      <c r="EC62" s="562"/>
      <c r="ED62" s="562"/>
      <c r="EE62" s="562"/>
      <c r="EF62" s="562"/>
      <c r="EG62" s="562"/>
      <c r="EH62" s="562"/>
      <c r="EI62" s="562"/>
      <c r="EJ62" s="562"/>
      <c r="EK62" s="562"/>
      <c r="EL62" s="562"/>
    </row>
    <row r="63" spans="2:142" s="78" customFormat="1" ht="15" customHeight="1" x14ac:dyDescent="0.25">
      <c r="B63" s="77"/>
      <c r="E63" s="77"/>
      <c r="H63" s="77"/>
      <c r="U63" s="79"/>
      <c r="V63" s="79"/>
      <c r="W63" s="79"/>
      <c r="Y63" s="90">
        <v>61</v>
      </c>
      <c r="Z63" s="559" t="str">
        <f>IF(Inventory!$C70="","",VLOOKUP(Inventory!$C70,$B$3:$C$5,2,FALSE))</f>
        <v/>
      </c>
      <c r="AA63" s="559" t="str">
        <f>IF($Z63="","",IF(AND($Z63="b",Inventory!$G70=""),"",IF(AND($Z63="b",Inventory!$G70&lt;&gt;""),VLOOKUP(Inventory!$G70,$E$3:$F$10,2,FALSE),IF(AND($Z63="a",Inventory!$Z70=""),"",IF(AND($Z63="a",Inventory!$Z70&lt;&gt;""),VLOOKUP(Inventory!$Z70,$E$3:$F$10,2,FALSE),IF(AND($Z63="c",Inventory!$Z70=""),"",IF(AND($Z63="c",Inventory!$Z70&lt;&gt;""),VLOOKUP(Inventory!$Z70,$E$3:$F$10,2,FALSE),"")))))))</f>
        <v/>
      </c>
      <c r="AB63" s="559" t="str">
        <f>IF($Z63="","a",IF(AND($Z63="b",Inventory!$J70=""),"a",IF(AND($Z63="b",Inventory!$J70&lt;&gt;""),VLOOKUP(Inventory!$J70,$H$4:$I$6,2,FALSE),IF(AND($Z63="a",Inventory!$AA70=""),"a",IF(AND($Z63="a",Inventory!$AA70&lt;&gt;""),VLOOKUP(Inventory!$AA70,$H$4:$I$6,2,FALSE),IF(AND($Z63="c",Inventory!$AA70=""),"a",IF(AND($Z63="c",Inventory!$AA70&lt;&gt;""),VLOOKUP(Inventory!$AA70,$H$4:$I$6,2,FALSE),"a")))))))</f>
        <v>a</v>
      </c>
      <c r="AC63" s="559" t="str">
        <f t="shared" si="11"/>
        <v>a</v>
      </c>
      <c r="AD63" s="473" t="str">
        <f>IF($Z63="","a",IF(AND($Z63="b",Inventory!$L70=""),"a",IF(AND($Z63="b",Inventory!$L70&lt;&gt;""),VLOOKUP(Inventory!$L70,$N$4:$O$5,2,FALSE),IF(AND($Z63="a",Inventory!$AC70=""),"a",IF(AND($Z63="a",Inventory!$AC70&lt;&gt;""),VLOOKUP(Inventory!$AC70,$N$4:$O$5,2,FALSE),IF(AND($Z63="c",Inventory!$AC70=""),"a",IF(AND($Z63="c",Inventory!$AC70&lt;&gt;""),VLOOKUP(Inventory!$AC70,$N$4:$O$5,2,FALSE),"a")))))))</f>
        <v>a</v>
      </c>
      <c r="AE63" s="474">
        <f>IF(OR(Inventory!C70="New Construction",Inventory!C70="Replace-on-Burnout"),Inventory!AF70,IF(Inventory!C70="Early Retirement",MIN(Inventory!AE70,Inventory!AF70),0))</f>
        <v>0</v>
      </c>
      <c r="AF63" s="475" t="str">
        <f t="shared" si="12"/>
        <v/>
      </c>
      <c r="AG63" s="475" t="str">
        <f t="shared" si="0"/>
        <v/>
      </c>
      <c r="AH63" s="475" t="str">
        <f t="shared" si="1"/>
        <v/>
      </c>
      <c r="AI63" s="475" t="str">
        <f t="shared" si="2"/>
        <v/>
      </c>
      <c r="AJ63" s="475" t="str">
        <f t="shared" si="3"/>
        <v/>
      </c>
      <c r="AK63" s="475" t="str">
        <f t="shared" si="13"/>
        <v/>
      </c>
      <c r="AL63" s="475" t="str">
        <f t="shared" si="14"/>
        <v/>
      </c>
      <c r="AM63" s="475" t="str">
        <f t="shared" si="15"/>
        <v/>
      </c>
      <c r="AN63" s="475" t="str">
        <f t="shared" si="16"/>
        <v/>
      </c>
      <c r="AO63" s="475" t="str">
        <f t="shared" si="17"/>
        <v/>
      </c>
      <c r="AP63" s="475" t="str">
        <f t="shared" si="18"/>
        <v/>
      </c>
      <c r="AQ63" s="475" t="str">
        <f t="shared" si="19"/>
        <v/>
      </c>
      <c r="AR63" s="475" t="str">
        <f t="shared" si="20"/>
        <v/>
      </c>
      <c r="AS63" s="475" t="str">
        <f t="shared" si="21"/>
        <v/>
      </c>
      <c r="AT63" s="475" t="str">
        <f t="shared" si="22"/>
        <v/>
      </c>
      <c r="AU63" s="475" t="str">
        <f t="shared" si="23"/>
        <v/>
      </c>
      <c r="AV63" s="475" t="str">
        <f t="shared" si="4"/>
        <v/>
      </c>
      <c r="AW63" s="473">
        <f t="shared" si="5"/>
        <v>0</v>
      </c>
      <c r="AX63" s="473" t="str">
        <f>IF(AND($Z63="b",OR($AA63="a",$AA63="b"),Inventory!$I70="",$AE63&lt;(65000/12000)),"x",IF(AND($Z63="b",OR($AA63="a",$AA63="b"),Inventory!$I70&lt;&gt;"",$AE63&lt;(65000/12000)),VLOOKUP(Inventory!$I70,$V$4:$W$5,2,FALSE),"x"))</f>
        <v>x</v>
      </c>
      <c r="AY63" s="476" t="str">
        <f t="shared" si="24"/>
        <v>aaa0</v>
      </c>
      <c r="AZ63" s="477" t="str">
        <f t="shared" si="25"/>
        <v>No</v>
      </c>
      <c r="BA63" s="759" t="str">
        <f t="shared" si="26"/>
        <v>No</v>
      </c>
      <c r="BB63" s="477">
        <f>IF($Z63="c",Inventory!$AB70,Inventory!$K70)</f>
        <v>0</v>
      </c>
      <c r="BC63" s="478">
        <f>IF(AND($Z63="b",Inventory!$N70="Btu/hr"),Inventory!$M70,IF(AND($Z63="b",Inventory!$N70="Tons"),Inventory!$M70*12000,IF(AND($Z63&lt;&gt;"b",Inventory!$AK70="Btu/hr"),Inventory!$AD70,IF(AND($Z63&lt;&gt;"b",Inventory!$AK70="Tons"),Inventory!$AD70*12000,0))))</f>
        <v>0</v>
      </c>
      <c r="BD63" s="478">
        <f t="shared" si="46"/>
        <v>0</v>
      </c>
      <c r="BE63" s="479">
        <f t="shared" si="28"/>
        <v>0</v>
      </c>
      <c r="BF63" s="477" t="s">
        <v>50</v>
      </c>
      <c r="BG63" s="479">
        <f t="shared" si="6"/>
        <v>0</v>
      </c>
      <c r="BH63" s="477" t="s">
        <v>46</v>
      </c>
      <c r="BI63" s="760">
        <f>IF(AND($Z63="b",Inventory!$P70="Btu/hr"),Inventory!$O70,IF(AND($Z63="b",Inventory!$P70="Tons"),Inventory!$O70*12000,IF(AND($Z63&lt;&gt;"b",Inventory!$AM70="Btu/hr"),Inventory!$AL70,IF(AND($Z63&lt;&gt;"b",Inventory!$AM70="Tons"),Inventory!$AL70*12000,0))))</f>
        <v>0</v>
      </c>
      <c r="BJ63" s="760">
        <f t="shared" si="47"/>
        <v>0</v>
      </c>
      <c r="BK63" s="598">
        <f t="shared" si="30"/>
        <v>0</v>
      </c>
      <c r="BL63" s="759" t="s">
        <v>567</v>
      </c>
      <c r="BM63" s="477" t="str">
        <f t="shared" si="7"/>
        <v>No</v>
      </c>
      <c r="BN63" s="477" t="str">
        <f>IF(OR(Inventory!$H70="",$BM63="No"),"-",Inventory!$H70)</f>
        <v>-</v>
      </c>
      <c r="BO63" s="477" t="str">
        <f>IFERROR(VLOOKUP(BN63,'Early Retirement'!$B$6:$C$33,2,FALSE),"-")</f>
        <v>-</v>
      </c>
      <c r="BP63" s="477" t="str">
        <f>IF(Inventory!$J70="Centrifugal","Yes","No")</f>
        <v>No</v>
      </c>
      <c r="BQ63" s="477">
        <f t="shared" si="31"/>
        <v>0</v>
      </c>
      <c r="BR63" s="477" t="str">
        <f t="shared" si="32"/>
        <v>-</v>
      </c>
      <c r="BS63" s="479">
        <f>IFERROR(INDEX('Early Retirement'!$C$4:$AC$33,$BO63,$BR63),0)</f>
        <v>0</v>
      </c>
      <c r="BT63" s="477">
        <f>IFERROR(HLOOKUP($BR63,'Early Retirement'!$D$4:$AC$5,2,FALSE),0)</f>
        <v>0</v>
      </c>
      <c r="BU63" s="761">
        <f>IFERROR(INDEX('Early Retirement'!$AE$4:$BE$33,$BO63,$BR63),0)</f>
        <v>0</v>
      </c>
      <c r="BV63" s="759">
        <f>IFERROR(HLOOKUP($BR63,'Early Retirement'!$AF$4:$BE$5,2,FALSE),0)</f>
        <v>0</v>
      </c>
      <c r="BW63" s="479">
        <f t="shared" si="41"/>
        <v>0</v>
      </c>
      <c r="BX63" s="761">
        <f t="shared" si="33"/>
        <v>0</v>
      </c>
      <c r="BY63" s="477" t="s">
        <v>46</v>
      </c>
      <c r="BZ63" s="598">
        <f>IFERROR(INDEX('Early Retirement'!$BG$4:$CG$33,$BO63,$BR63),0)</f>
        <v>0</v>
      </c>
      <c r="CA63" s="759">
        <f>IFERROR(HLOOKUP($BR63,'Early Retirement'!$BH$4:$CH$5,2,FALSE),0)</f>
        <v>0</v>
      </c>
      <c r="CB63" s="598">
        <f t="shared" si="34"/>
        <v>0</v>
      </c>
      <c r="CC63" s="759" t="s">
        <v>567</v>
      </c>
      <c r="CD63" s="477" t="str">
        <f t="shared" si="8"/>
        <v>Yes</v>
      </c>
      <c r="CE63" s="479">
        <f t="shared" si="9"/>
        <v>0</v>
      </c>
      <c r="CF63" s="761">
        <f t="shared" si="10"/>
        <v>0</v>
      </c>
      <c r="CG63" s="759" t="s">
        <v>46</v>
      </c>
      <c r="CH63" s="598">
        <f t="shared" si="35"/>
        <v>0</v>
      </c>
      <c r="CI63" s="759" t="s">
        <v>567</v>
      </c>
      <c r="CJ63" s="480">
        <f t="shared" si="36"/>
        <v>0</v>
      </c>
      <c r="CK63" s="583">
        <f t="shared" si="37"/>
        <v>0</v>
      </c>
      <c r="CL63" s="596" t="s">
        <v>46</v>
      </c>
      <c r="CM63" s="581">
        <f t="shared" si="38"/>
        <v>0</v>
      </c>
      <c r="CN63" s="762" t="s">
        <v>567</v>
      </c>
      <c r="CP63" s="90" t="s">
        <v>499</v>
      </c>
      <c r="CQ63" s="121">
        <v>9.3000000000000007</v>
      </c>
      <c r="CR63" s="307" t="s">
        <v>50</v>
      </c>
      <c r="CS63" s="641">
        <v>9.3000000000000007</v>
      </c>
      <c r="CT63" s="551" t="s">
        <v>50</v>
      </c>
      <c r="CU63" s="645">
        <f t="shared" si="49"/>
        <v>1.2903225806451613</v>
      </c>
      <c r="CV63" s="645">
        <f t="shared" si="49"/>
        <v>1.2903225806451613</v>
      </c>
      <c r="CW63" s="633" t="s">
        <v>46</v>
      </c>
      <c r="CX63" s="606"/>
      <c r="CY63" s="589"/>
      <c r="CZ63" s="606"/>
      <c r="DA63" s="609"/>
      <c r="DB63" s="562"/>
      <c r="DC63" s="562"/>
      <c r="DD63" s="562"/>
      <c r="DE63" s="562"/>
      <c r="DF63" s="562"/>
      <c r="DG63" s="562"/>
      <c r="DH63" s="562"/>
      <c r="DI63" s="562"/>
      <c r="DJ63" s="562"/>
      <c r="DK63" s="562"/>
      <c r="DL63" s="562"/>
      <c r="DM63" s="562"/>
      <c r="DN63" s="562"/>
      <c r="DO63" s="562"/>
      <c r="DP63" s="562"/>
      <c r="DQ63" s="562"/>
      <c r="DR63" s="562"/>
      <c r="DS63" s="562"/>
      <c r="DT63" s="562"/>
      <c r="DU63" s="562"/>
      <c r="DV63" s="562"/>
      <c r="DW63" s="562"/>
      <c r="DX63" s="562"/>
      <c r="DY63" s="562"/>
      <c r="DZ63" s="562"/>
      <c r="EA63" s="562"/>
      <c r="EB63" s="562"/>
      <c r="EC63" s="562"/>
      <c r="ED63" s="562"/>
      <c r="EE63" s="562"/>
      <c r="EF63" s="562"/>
      <c r="EG63" s="562"/>
      <c r="EH63" s="562"/>
      <c r="EI63" s="562"/>
      <c r="EJ63" s="562"/>
      <c r="EK63" s="562"/>
      <c r="EL63" s="562"/>
    </row>
    <row r="64" spans="2:142" s="78" customFormat="1" ht="15" customHeight="1" x14ac:dyDescent="0.25">
      <c r="B64" s="77"/>
      <c r="E64" s="77"/>
      <c r="H64" s="77"/>
      <c r="U64" s="79"/>
      <c r="V64" s="79"/>
      <c r="W64" s="79"/>
      <c r="Y64" s="90">
        <v>62</v>
      </c>
      <c r="Z64" s="559" t="str">
        <f>IF(Inventory!$C71="","",VLOOKUP(Inventory!$C71,$B$3:$C$5,2,FALSE))</f>
        <v/>
      </c>
      <c r="AA64" s="559" t="str">
        <f>IF($Z64="","",IF(AND($Z64="b",Inventory!$G71=""),"",IF(AND($Z64="b",Inventory!$G71&lt;&gt;""),VLOOKUP(Inventory!$G71,$E$3:$F$10,2,FALSE),IF(AND($Z64="a",Inventory!$Z71=""),"",IF(AND($Z64="a",Inventory!$Z71&lt;&gt;""),VLOOKUP(Inventory!$Z71,$E$3:$F$10,2,FALSE),IF(AND($Z64="c",Inventory!$Z71=""),"",IF(AND($Z64="c",Inventory!$Z71&lt;&gt;""),VLOOKUP(Inventory!$Z71,$E$3:$F$10,2,FALSE),"")))))))</f>
        <v/>
      </c>
      <c r="AB64" s="559" t="str">
        <f>IF($Z64="","a",IF(AND($Z64="b",Inventory!$J71=""),"a",IF(AND($Z64="b",Inventory!$J71&lt;&gt;""),VLOOKUP(Inventory!$J71,$H$4:$I$6,2,FALSE),IF(AND($Z64="a",Inventory!$AA71=""),"a",IF(AND($Z64="a",Inventory!$AA71&lt;&gt;""),VLOOKUP(Inventory!$AA71,$H$4:$I$6,2,FALSE),IF(AND($Z64="c",Inventory!$AA71=""),"a",IF(AND($Z64="c",Inventory!$AA71&lt;&gt;""),VLOOKUP(Inventory!$AA71,$H$4:$I$6,2,FALSE),"a")))))))</f>
        <v>a</v>
      </c>
      <c r="AC64" s="559" t="str">
        <f t="shared" si="11"/>
        <v>a</v>
      </c>
      <c r="AD64" s="473" t="str">
        <f>IF($Z64="","a",IF(AND($Z64="b",Inventory!$L71=""),"a",IF(AND($Z64="b",Inventory!$L71&lt;&gt;""),VLOOKUP(Inventory!$L71,$N$4:$O$5,2,FALSE),IF(AND($Z64="a",Inventory!$AC71=""),"a",IF(AND($Z64="a",Inventory!$AC71&lt;&gt;""),VLOOKUP(Inventory!$AC71,$N$4:$O$5,2,FALSE),IF(AND($Z64="c",Inventory!$AC71=""),"a",IF(AND($Z64="c",Inventory!$AC71&lt;&gt;""),VLOOKUP(Inventory!$AC71,$N$4:$O$5,2,FALSE),"a")))))))</f>
        <v>a</v>
      </c>
      <c r="AE64" s="474">
        <f>IF(OR(Inventory!C71="New Construction",Inventory!C71="Replace-on-Burnout"),Inventory!AF71,IF(Inventory!C71="Early Retirement",MIN(Inventory!AE71,Inventory!AF71),0))</f>
        <v>0</v>
      </c>
      <c r="AF64" s="475" t="str">
        <f t="shared" si="12"/>
        <v/>
      </c>
      <c r="AG64" s="475" t="str">
        <f t="shared" si="0"/>
        <v/>
      </c>
      <c r="AH64" s="475" t="str">
        <f t="shared" si="1"/>
        <v/>
      </c>
      <c r="AI64" s="475" t="str">
        <f t="shared" si="2"/>
        <v/>
      </c>
      <c r="AJ64" s="475" t="str">
        <f t="shared" si="3"/>
        <v/>
      </c>
      <c r="AK64" s="475" t="str">
        <f t="shared" si="13"/>
        <v/>
      </c>
      <c r="AL64" s="475" t="str">
        <f t="shared" si="14"/>
        <v/>
      </c>
      <c r="AM64" s="475" t="str">
        <f t="shared" si="15"/>
        <v/>
      </c>
      <c r="AN64" s="475" t="str">
        <f t="shared" si="16"/>
        <v/>
      </c>
      <c r="AO64" s="475" t="str">
        <f t="shared" si="17"/>
        <v/>
      </c>
      <c r="AP64" s="475" t="str">
        <f t="shared" si="18"/>
        <v/>
      </c>
      <c r="AQ64" s="475" t="str">
        <f t="shared" si="19"/>
        <v/>
      </c>
      <c r="AR64" s="475" t="str">
        <f t="shared" si="20"/>
        <v/>
      </c>
      <c r="AS64" s="475" t="str">
        <f t="shared" si="21"/>
        <v/>
      </c>
      <c r="AT64" s="475" t="str">
        <f t="shared" si="22"/>
        <v/>
      </c>
      <c r="AU64" s="475" t="str">
        <f t="shared" si="23"/>
        <v/>
      </c>
      <c r="AV64" s="475" t="str">
        <f t="shared" si="4"/>
        <v/>
      </c>
      <c r="AW64" s="473">
        <f t="shared" si="5"/>
        <v>0</v>
      </c>
      <c r="AX64" s="473" t="str">
        <f>IF(AND($Z64="b",OR($AA64="a",$AA64="b"),Inventory!$I71="",$AE64&lt;(65000/12000)),"x",IF(AND($Z64="b",OR($AA64="a",$AA64="b"),Inventory!$I71&lt;&gt;"",$AE64&lt;(65000/12000)),VLOOKUP(Inventory!$I71,$V$4:$W$5,2,FALSE),"x"))</f>
        <v>x</v>
      </c>
      <c r="AY64" s="476" t="str">
        <f t="shared" si="24"/>
        <v>aaa0</v>
      </c>
      <c r="AZ64" s="477" t="str">
        <f t="shared" si="25"/>
        <v>No</v>
      </c>
      <c r="BA64" s="759" t="str">
        <f t="shared" si="26"/>
        <v>No</v>
      </c>
      <c r="BB64" s="477">
        <f>IF($Z64="c",Inventory!$AB71,Inventory!$K71)</f>
        <v>0</v>
      </c>
      <c r="BC64" s="478">
        <f>IF(AND($Z64="b",Inventory!$N71="Btu/hr"),Inventory!$M71,IF(AND($Z64="b",Inventory!$N71="Tons"),Inventory!$M71*12000,IF(AND($Z64&lt;&gt;"b",Inventory!$AK71="Btu/hr"),Inventory!$AD71,IF(AND($Z64&lt;&gt;"b",Inventory!$AK71="Tons"),Inventory!$AD71*12000,0))))</f>
        <v>0</v>
      </c>
      <c r="BD64" s="478">
        <f t="shared" si="46"/>
        <v>0</v>
      </c>
      <c r="BE64" s="479">
        <f t="shared" si="28"/>
        <v>0</v>
      </c>
      <c r="BF64" s="477" t="s">
        <v>50</v>
      </c>
      <c r="BG64" s="479">
        <f t="shared" si="6"/>
        <v>0</v>
      </c>
      <c r="BH64" s="477" t="s">
        <v>46</v>
      </c>
      <c r="BI64" s="760">
        <f>IF(AND($Z64="b",Inventory!$P71="Btu/hr"),Inventory!$O71,IF(AND($Z64="b",Inventory!$P71="Tons"),Inventory!$O71*12000,IF(AND($Z64&lt;&gt;"b",Inventory!$AM71="Btu/hr"),Inventory!$AL71,IF(AND($Z64&lt;&gt;"b",Inventory!$AM71="Tons"),Inventory!$AL71*12000,0))))</f>
        <v>0</v>
      </c>
      <c r="BJ64" s="760">
        <f t="shared" si="47"/>
        <v>0</v>
      </c>
      <c r="BK64" s="598">
        <f t="shared" si="30"/>
        <v>0</v>
      </c>
      <c r="BL64" s="759" t="s">
        <v>567</v>
      </c>
      <c r="BM64" s="477" t="str">
        <f t="shared" si="7"/>
        <v>No</v>
      </c>
      <c r="BN64" s="477" t="str">
        <f>IF(OR(Inventory!$H71="",$BM64="No"),"-",Inventory!$H71)</f>
        <v>-</v>
      </c>
      <c r="BO64" s="477" t="str">
        <f>IFERROR(VLOOKUP(BN64,'Early Retirement'!$B$6:$C$33,2,FALSE),"-")</f>
        <v>-</v>
      </c>
      <c r="BP64" s="477" t="str">
        <f>IF(Inventory!$J71="Centrifugal","Yes","No")</f>
        <v>No</v>
      </c>
      <c r="BQ64" s="477">
        <f t="shared" si="31"/>
        <v>0</v>
      </c>
      <c r="BR64" s="477" t="str">
        <f t="shared" si="32"/>
        <v>-</v>
      </c>
      <c r="BS64" s="479">
        <f>IFERROR(INDEX('Early Retirement'!$C$4:$AC$33,$BO64,$BR64),0)</f>
        <v>0</v>
      </c>
      <c r="BT64" s="477">
        <f>IFERROR(HLOOKUP($BR64,'Early Retirement'!$D$4:$AC$5,2,FALSE),0)</f>
        <v>0</v>
      </c>
      <c r="BU64" s="761">
        <f>IFERROR(INDEX('Early Retirement'!$AE$4:$BE$33,$BO64,$BR64),0)</f>
        <v>0</v>
      </c>
      <c r="BV64" s="759">
        <f>IFERROR(HLOOKUP($BR64,'Early Retirement'!$AF$4:$BE$5,2,FALSE),0)</f>
        <v>0</v>
      </c>
      <c r="BW64" s="479">
        <f t="shared" si="41"/>
        <v>0</v>
      </c>
      <c r="BX64" s="761">
        <f t="shared" si="33"/>
        <v>0</v>
      </c>
      <c r="BY64" s="477" t="s">
        <v>46</v>
      </c>
      <c r="BZ64" s="598">
        <f>IFERROR(INDEX('Early Retirement'!$BG$4:$CG$33,$BO64,$BR64),0)</f>
        <v>0</v>
      </c>
      <c r="CA64" s="759">
        <f>IFERROR(HLOOKUP($BR64,'Early Retirement'!$BH$4:$CH$5,2,FALSE),0)</f>
        <v>0</v>
      </c>
      <c r="CB64" s="598">
        <f t="shared" si="34"/>
        <v>0</v>
      </c>
      <c r="CC64" s="759" t="s">
        <v>567</v>
      </c>
      <c r="CD64" s="477" t="str">
        <f t="shared" si="8"/>
        <v>Yes</v>
      </c>
      <c r="CE64" s="479">
        <f t="shared" si="9"/>
        <v>0</v>
      </c>
      <c r="CF64" s="761">
        <f t="shared" si="10"/>
        <v>0</v>
      </c>
      <c r="CG64" s="759" t="s">
        <v>46</v>
      </c>
      <c r="CH64" s="598">
        <f t="shared" si="35"/>
        <v>0</v>
      </c>
      <c r="CI64" s="759" t="s">
        <v>567</v>
      </c>
      <c r="CJ64" s="480">
        <f t="shared" si="36"/>
        <v>0</v>
      </c>
      <c r="CK64" s="583">
        <f t="shared" si="37"/>
        <v>0</v>
      </c>
      <c r="CL64" s="596" t="s">
        <v>46</v>
      </c>
      <c r="CM64" s="581">
        <f t="shared" si="38"/>
        <v>0</v>
      </c>
      <c r="CN64" s="762" t="s">
        <v>567</v>
      </c>
      <c r="CP64" s="90" t="s">
        <v>500</v>
      </c>
      <c r="CQ64" s="121">
        <v>8.6999999999999993</v>
      </c>
      <c r="CR64" s="307" t="s">
        <v>50</v>
      </c>
      <c r="CS64" s="641">
        <v>8.6999999999999993</v>
      </c>
      <c r="CT64" s="551" t="s">
        <v>50</v>
      </c>
      <c r="CU64" s="645">
        <f t="shared" si="49"/>
        <v>1.3793103448275863</v>
      </c>
      <c r="CV64" s="645">
        <f t="shared" si="49"/>
        <v>1.3793103448275863</v>
      </c>
      <c r="CW64" s="633" t="s">
        <v>46</v>
      </c>
      <c r="CX64" s="606"/>
      <c r="CY64" s="589"/>
      <c r="CZ64" s="606"/>
      <c r="DA64" s="609"/>
      <c r="DB64" s="562"/>
      <c r="DC64" s="562"/>
      <c r="DD64" s="562"/>
      <c r="DE64" s="562"/>
      <c r="DF64" s="562"/>
      <c r="DG64" s="562"/>
      <c r="DH64" s="562"/>
      <c r="DI64" s="562"/>
      <c r="DJ64" s="562"/>
      <c r="DK64" s="562"/>
      <c r="DL64" s="562"/>
      <c r="DM64" s="562"/>
      <c r="DN64" s="562"/>
      <c r="DO64" s="562"/>
      <c r="DP64" s="562"/>
      <c r="DQ64" s="562"/>
      <c r="DR64" s="562"/>
      <c r="DS64" s="562"/>
      <c r="DT64" s="562"/>
      <c r="DU64" s="562"/>
      <c r="DV64" s="562"/>
      <c r="DW64" s="562"/>
      <c r="DX64" s="562"/>
      <c r="DY64" s="562"/>
      <c r="DZ64" s="562"/>
      <c r="EA64" s="562"/>
      <c r="EB64" s="562"/>
      <c r="EC64" s="562"/>
      <c r="ED64" s="562"/>
      <c r="EE64" s="562"/>
      <c r="EF64" s="562"/>
      <c r="EG64" s="562"/>
      <c r="EH64" s="562"/>
      <c r="EI64" s="562"/>
      <c r="EJ64" s="562"/>
      <c r="EK64" s="562"/>
      <c r="EL64" s="562"/>
    </row>
    <row r="65" spans="2:142" s="78" customFormat="1" ht="15" customHeight="1" x14ac:dyDescent="0.25">
      <c r="B65" s="77"/>
      <c r="E65" s="77"/>
      <c r="H65" s="77"/>
      <c r="U65" s="79"/>
      <c r="V65" s="79"/>
      <c r="W65" s="79"/>
      <c r="Y65" s="90">
        <v>63</v>
      </c>
      <c r="Z65" s="559" t="str">
        <f>IF(Inventory!$C72="","",VLOOKUP(Inventory!$C72,$B$3:$C$5,2,FALSE))</f>
        <v/>
      </c>
      <c r="AA65" s="559" t="str">
        <f>IF($Z65="","",IF(AND($Z65="b",Inventory!$G72=""),"",IF(AND($Z65="b",Inventory!$G72&lt;&gt;""),VLOOKUP(Inventory!$G72,$E$3:$F$10,2,FALSE),IF(AND($Z65="a",Inventory!$Z72=""),"",IF(AND($Z65="a",Inventory!$Z72&lt;&gt;""),VLOOKUP(Inventory!$Z72,$E$3:$F$10,2,FALSE),IF(AND($Z65="c",Inventory!$Z72=""),"",IF(AND($Z65="c",Inventory!$Z72&lt;&gt;""),VLOOKUP(Inventory!$Z72,$E$3:$F$10,2,FALSE),"")))))))</f>
        <v/>
      </c>
      <c r="AB65" s="559" t="str">
        <f>IF($Z65="","a",IF(AND($Z65="b",Inventory!$J72=""),"a",IF(AND($Z65="b",Inventory!$J72&lt;&gt;""),VLOOKUP(Inventory!$J72,$H$4:$I$6,2,FALSE),IF(AND($Z65="a",Inventory!$AA72=""),"a",IF(AND($Z65="a",Inventory!$AA72&lt;&gt;""),VLOOKUP(Inventory!$AA72,$H$4:$I$6,2,FALSE),IF(AND($Z65="c",Inventory!$AA72=""),"a",IF(AND($Z65="c",Inventory!$AA72&lt;&gt;""),VLOOKUP(Inventory!$AA72,$H$4:$I$6,2,FALSE),"a")))))))</f>
        <v>a</v>
      </c>
      <c r="AC65" s="559" t="str">
        <f t="shared" si="11"/>
        <v>a</v>
      </c>
      <c r="AD65" s="473" t="str">
        <f>IF($Z65="","a",IF(AND($Z65="b",Inventory!$L72=""),"a",IF(AND($Z65="b",Inventory!$L72&lt;&gt;""),VLOOKUP(Inventory!$L72,$N$4:$O$5,2,FALSE),IF(AND($Z65="a",Inventory!$AC72=""),"a",IF(AND($Z65="a",Inventory!$AC72&lt;&gt;""),VLOOKUP(Inventory!$AC72,$N$4:$O$5,2,FALSE),IF(AND($Z65="c",Inventory!$AC72=""),"a",IF(AND($Z65="c",Inventory!$AC72&lt;&gt;""),VLOOKUP(Inventory!$AC72,$N$4:$O$5,2,FALSE),"a")))))))</f>
        <v>a</v>
      </c>
      <c r="AE65" s="474">
        <f>IF(OR(Inventory!C72="New Construction",Inventory!C72="Replace-on-Burnout"),Inventory!AF72,IF(Inventory!C72="Early Retirement",MIN(Inventory!AE72,Inventory!AF72),0))</f>
        <v>0</v>
      </c>
      <c r="AF65" s="475" t="str">
        <f t="shared" si="12"/>
        <v/>
      </c>
      <c r="AG65" s="475" t="str">
        <f t="shared" si="0"/>
        <v/>
      </c>
      <c r="AH65" s="475" t="str">
        <f t="shared" si="1"/>
        <v/>
      </c>
      <c r="AI65" s="475" t="str">
        <f t="shared" si="2"/>
        <v/>
      </c>
      <c r="AJ65" s="475" t="str">
        <f t="shared" si="3"/>
        <v/>
      </c>
      <c r="AK65" s="475" t="str">
        <f t="shared" si="13"/>
        <v/>
      </c>
      <c r="AL65" s="475" t="str">
        <f t="shared" si="14"/>
        <v/>
      </c>
      <c r="AM65" s="475" t="str">
        <f t="shared" si="15"/>
        <v/>
      </c>
      <c r="AN65" s="475" t="str">
        <f t="shared" si="16"/>
        <v/>
      </c>
      <c r="AO65" s="475" t="str">
        <f t="shared" si="17"/>
        <v/>
      </c>
      <c r="AP65" s="475" t="str">
        <f t="shared" si="18"/>
        <v/>
      </c>
      <c r="AQ65" s="475" t="str">
        <f t="shared" si="19"/>
        <v/>
      </c>
      <c r="AR65" s="475" t="str">
        <f t="shared" si="20"/>
        <v/>
      </c>
      <c r="AS65" s="475" t="str">
        <f t="shared" si="21"/>
        <v/>
      </c>
      <c r="AT65" s="475" t="str">
        <f t="shared" si="22"/>
        <v/>
      </c>
      <c r="AU65" s="475" t="str">
        <f t="shared" si="23"/>
        <v/>
      </c>
      <c r="AV65" s="475" t="str">
        <f t="shared" si="4"/>
        <v/>
      </c>
      <c r="AW65" s="473">
        <f t="shared" si="5"/>
        <v>0</v>
      </c>
      <c r="AX65" s="473" t="str">
        <f>IF(AND($Z65="b",OR($AA65="a",$AA65="b"),Inventory!$I72="",$AE65&lt;(65000/12000)),"x",IF(AND($Z65="b",OR($AA65="a",$AA65="b"),Inventory!$I72&lt;&gt;"",$AE65&lt;(65000/12000)),VLOOKUP(Inventory!$I72,$V$4:$W$5,2,FALSE),"x"))</f>
        <v>x</v>
      </c>
      <c r="AY65" s="476" t="str">
        <f t="shared" si="24"/>
        <v>aaa0</v>
      </c>
      <c r="AZ65" s="477" t="str">
        <f t="shared" si="25"/>
        <v>No</v>
      </c>
      <c r="BA65" s="759" t="str">
        <f t="shared" si="26"/>
        <v>No</v>
      </c>
      <c r="BB65" s="477">
        <f>IF($Z65="c",Inventory!$AB72,Inventory!$K72)</f>
        <v>0</v>
      </c>
      <c r="BC65" s="478">
        <f>IF(AND($Z65="b",Inventory!$N72="Btu/hr"),Inventory!$M72,IF(AND($Z65="b",Inventory!$N72="Tons"),Inventory!$M72*12000,IF(AND($Z65&lt;&gt;"b",Inventory!$AK72="Btu/hr"),Inventory!$AD72,IF(AND($Z65&lt;&gt;"b",Inventory!$AK72="Tons"),Inventory!$AD72*12000,0))))</f>
        <v>0</v>
      </c>
      <c r="BD65" s="478">
        <f t="shared" si="46"/>
        <v>0</v>
      </c>
      <c r="BE65" s="479">
        <f t="shared" si="28"/>
        <v>0</v>
      </c>
      <c r="BF65" s="477" t="s">
        <v>50</v>
      </c>
      <c r="BG65" s="479">
        <f t="shared" si="6"/>
        <v>0</v>
      </c>
      <c r="BH65" s="477" t="s">
        <v>46</v>
      </c>
      <c r="BI65" s="760">
        <f>IF(AND($Z65="b",Inventory!$P72="Btu/hr"),Inventory!$O72,IF(AND($Z65="b",Inventory!$P72="Tons"),Inventory!$O72*12000,IF(AND($Z65&lt;&gt;"b",Inventory!$AM72="Btu/hr"),Inventory!$AL72,IF(AND($Z65&lt;&gt;"b",Inventory!$AM72="Tons"),Inventory!$AL72*12000,0))))</f>
        <v>0</v>
      </c>
      <c r="BJ65" s="760">
        <f t="shared" si="47"/>
        <v>0</v>
      </c>
      <c r="BK65" s="598">
        <f t="shared" si="30"/>
        <v>0</v>
      </c>
      <c r="BL65" s="759" t="s">
        <v>567</v>
      </c>
      <c r="BM65" s="477" t="str">
        <f t="shared" si="7"/>
        <v>No</v>
      </c>
      <c r="BN65" s="477" t="str">
        <f>IF(OR(Inventory!$H72="",$BM65="No"),"-",Inventory!$H72)</f>
        <v>-</v>
      </c>
      <c r="BO65" s="477" t="str">
        <f>IFERROR(VLOOKUP(BN65,'Early Retirement'!$B$6:$C$33,2,FALSE),"-")</f>
        <v>-</v>
      </c>
      <c r="BP65" s="477" t="str">
        <f>IF(Inventory!$J72="Centrifugal","Yes","No")</f>
        <v>No</v>
      </c>
      <c r="BQ65" s="477">
        <f t="shared" si="31"/>
        <v>0</v>
      </c>
      <c r="BR65" s="477" t="str">
        <f t="shared" si="32"/>
        <v>-</v>
      </c>
      <c r="BS65" s="479">
        <f>IFERROR(INDEX('Early Retirement'!$C$4:$AC$33,$BO65,$BR65),0)</f>
        <v>0</v>
      </c>
      <c r="BT65" s="477">
        <f>IFERROR(HLOOKUP($BR65,'Early Retirement'!$D$4:$AC$5,2,FALSE),0)</f>
        <v>0</v>
      </c>
      <c r="BU65" s="761">
        <f>IFERROR(INDEX('Early Retirement'!$AE$4:$BE$33,$BO65,$BR65),0)</f>
        <v>0</v>
      </c>
      <c r="BV65" s="759">
        <f>IFERROR(HLOOKUP($BR65,'Early Retirement'!$AF$4:$BE$5,2,FALSE),0)</f>
        <v>0</v>
      </c>
      <c r="BW65" s="479">
        <f t="shared" si="41"/>
        <v>0</v>
      </c>
      <c r="BX65" s="761">
        <f t="shared" si="33"/>
        <v>0</v>
      </c>
      <c r="BY65" s="477" t="s">
        <v>46</v>
      </c>
      <c r="BZ65" s="598">
        <f>IFERROR(INDEX('Early Retirement'!$BG$4:$CG$33,$BO65,$BR65),0)</f>
        <v>0</v>
      </c>
      <c r="CA65" s="759">
        <f>IFERROR(HLOOKUP($BR65,'Early Retirement'!$BH$4:$CH$5,2,FALSE),0)</f>
        <v>0</v>
      </c>
      <c r="CB65" s="598">
        <f t="shared" si="34"/>
        <v>0</v>
      </c>
      <c r="CC65" s="759" t="s">
        <v>567</v>
      </c>
      <c r="CD65" s="477" t="str">
        <f t="shared" si="8"/>
        <v>Yes</v>
      </c>
      <c r="CE65" s="479">
        <f t="shared" si="9"/>
        <v>0</v>
      </c>
      <c r="CF65" s="761">
        <f t="shared" si="10"/>
        <v>0</v>
      </c>
      <c r="CG65" s="759" t="s">
        <v>46</v>
      </c>
      <c r="CH65" s="598">
        <f t="shared" si="35"/>
        <v>0</v>
      </c>
      <c r="CI65" s="759" t="s">
        <v>567</v>
      </c>
      <c r="CJ65" s="480">
        <f t="shared" si="36"/>
        <v>0</v>
      </c>
      <c r="CK65" s="583">
        <f t="shared" si="37"/>
        <v>0</v>
      </c>
      <c r="CL65" s="596" t="s">
        <v>46</v>
      </c>
      <c r="CM65" s="581">
        <f t="shared" si="38"/>
        <v>0</v>
      </c>
      <c r="CN65" s="762" t="s">
        <v>567</v>
      </c>
      <c r="CP65" s="90" t="s">
        <v>237</v>
      </c>
      <c r="CQ65" s="123">
        <v>11</v>
      </c>
      <c r="CR65" s="307" t="s">
        <v>50</v>
      </c>
      <c r="CS65" s="643">
        <v>11</v>
      </c>
      <c r="CT65" s="551" t="s">
        <v>50</v>
      </c>
      <c r="CU65" s="647">
        <f t="shared" si="49"/>
        <v>1.0909090909090908</v>
      </c>
      <c r="CV65" s="647">
        <f t="shared" si="49"/>
        <v>1.0909090909090908</v>
      </c>
      <c r="CW65" s="633" t="s">
        <v>46</v>
      </c>
      <c r="CX65" s="601"/>
      <c r="CY65" s="589"/>
      <c r="CZ65" s="601"/>
      <c r="DA65" s="609"/>
      <c r="DB65" s="562"/>
      <c r="DC65" s="562"/>
      <c r="DD65" s="562"/>
      <c r="DE65" s="562"/>
      <c r="DF65" s="562"/>
      <c r="DG65" s="562"/>
      <c r="DH65" s="562"/>
      <c r="DI65" s="562"/>
      <c r="DJ65" s="562"/>
      <c r="DK65" s="562"/>
      <c r="DL65" s="562"/>
      <c r="DM65" s="562"/>
      <c r="DN65" s="562"/>
      <c r="DO65" s="562"/>
      <c r="DP65" s="562"/>
      <c r="DQ65" s="562"/>
      <c r="DR65" s="562"/>
      <c r="DS65" s="562"/>
      <c r="DT65" s="562"/>
      <c r="DU65" s="562"/>
      <c r="DV65" s="562"/>
      <c r="DW65" s="562"/>
      <c r="DX65" s="562"/>
      <c r="DY65" s="562"/>
      <c r="DZ65" s="562"/>
      <c r="EA65" s="562"/>
      <c r="EB65" s="562"/>
      <c r="EC65" s="562"/>
      <c r="ED65" s="562"/>
      <c r="EE65" s="562"/>
      <c r="EF65" s="562"/>
      <c r="EG65" s="562"/>
      <c r="EH65" s="562"/>
      <c r="EI65" s="562"/>
      <c r="EJ65" s="562"/>
      <c r="EK65" s="562"/>
      <c r="EL65" s="562"/>
    </row>
    <row r="66" spans="2:142" s="78" customFormat="1" ht="15" customHeight="1" x14ac:dyDescent="0.25">
      <c r="B66" s="77"/>
      <c r="E66" s="77"/>
      <c r="H66" s="77"/>
      <c r="U66" s="79"/>
      <c r="V66" s="79"/>
      <c r="W66" s="79"/>
      <c r="Y66" s="90">
        <v>64</v>
      </c>
      <c r="Z66" s="559" t="str">
        <f>IF(Inventory!$C73="","",VLOOKUP(Inventory!$C73,$B$3:$C$5,2,FALSE))</f>
        <v/>
      </c>
      <c r="AA66" s="559" t="str">
        <f>IF($Z66="","",IF(AND($Z66="b",Inventory!$G73=""),"",IF(AND($Z66="b",Inventory!$G73&lt;&gt;""),VLOOKUP(Inventory!$G73,$E$3:$F$10,2,FALSE),IF(AND($Z66="a",Inventory!$Z73=""),"",IF(AND($Z66="a",Inventory!$Z73&lt;&gt;""),VLOOKUP(Inventory!$Z73,$E$3:$F$10,2,FALSE),IF(AND($Z66="c",Inventory!$Z73=""),"",IF(AND($Z66="c",Inventory!$Z73&lt;&gt;""),VLOOKUP(Inventory!$Z73,$E$3:$F$10,2,FALSE),"")))))))</f>
        <v/>
      </c>
      <c r="AB66" s="559" t="str">
        <f>IF($Z66="","a",IF(AND($Z66="b",Inventory!$J73=""),"a",IF(AND($Z66="b",Inventory!$J73&lt;&gt;""),VLOOKUP(Inventory!$J73,$H$4:$I$6,2,FALSE),IF(AND($Z66="a",Inventory!$AA73=""),"a",IF(AND($Z66="a",Inventory!$AA73&lt;&gt;""),VLOOKUP(Inventory!$AA73,$H$4:$I$6,2,FALSE),IF(AND($Z66="c",Inventory!$AA73=""),"a",IF(AND($Z66="c",Inventory!$AA73&lt;&gt;""),VLOOKUP(Inventory!$AA73,$H$4:$I$6,2,FALSE),"a")))))))</f>
        <v>a</v>
      </c>
      <c r="AC66" s="559" t="str">
        <f t="shared" si="11"/>
        <v>a</v>
      </c>
      <c r="AD66" s="473" t="str">
        <f>IF($Z66="","a",IF(AND($Z66="b",Inventory!$L73=""),"a",IF(AND($Z66="b",Inventory!$L73&lt;&gt;""),VLOOKUP(Inventory!$L73,$N$4:$O$5,2,FALSE),IF(AND($Z66="a",Inventory!$AC73=""),"a",IF(AND($Z66="a",Inventory!$AC73&lt;&gt;""),VLOOKUP(Inventory!$AC73,$N$4:$O$5,2,FALSE),IF(AND($Z66="c",Inventory!$AC73=""),"a",IF(AND($Z66="c",Inventory!$AC73&lt;&gt;""),VLOOKUP(Inventory!$AC73,$N$4:$O$5,2,FALSE),"a")))))))</f>
        <v>a</v>
      </c>
      <c r="AE66" s="474">
        <f>IF(OR(Inventory!C73="New Construction",Inventory!C73="Replace-on-Burnout"),Inventory!AF73,IF(Inventory!C73="Early Retirement",MIN(Inventory!AE73,Inventory!AF73),0))</f>
        <v>0</v>
      </c>
      <c r="AF66" s="475" t="str">
        <f t="shared" si="12"/>
        <v/>
      </c>
      <c r="AG66" s="475" t="str">
        <f t="shared" si="0"/>
        <v/>
      </c>
      <c r="AH66" s="475" t="str">
        <f t="shared" si="1"/>
        <v/>
      </c>
      <c r="AI66" s="475" t="str">
        <f t="shared" si="2"/>
        <v/>
      </c>
      <c r="AJ66" s="475" t="str">
        <f t="shared" si="3"/>
        <v/>
      </c>
      <c r="AK66" s="475" t="str">
        <f t="shared" si="13"/>
        <v/>
      </c>
      <c r="AL66" s="475" t="str">
        <f t="shared" si="14"/>
        <v/>
      </c>
      <c r="AM66" s="475" t="str">
        <f t="shared" si="15"/>
        <v/>
      </c>
      <c r="AN66" s="475" t="str">
        <f t="shared" si="16"/>
        <v/>
      </c>
      <c r="AO66" s="475" t="str">
        <f t="shared" si="17"/>
        <v/>
      </c>
      <c r="AP66" s="475" t="str">
        <f t="shared" si="18"/>
        <v/>
      </c>
      <c r="AQ66" s="475" t="str">
        <f t="shared" si="19"/>
        <v/>
      </c>
      <c r="AR66" s="475" t="str">
        <f t="shared" si="20"/>
        <v/>
      </c>
      <c r="AS66" s="475" t="str">
        <f t="shared" si="21"/>
        <v/>
      </c>
      <c r="AT66" s="475" t="str">
        <f t="shared" si="22"/>
        <v/>
      </c>
      <c r="AU66" s="475" t="str">
        <f t="shared" si="23"/>
        <v/>
      </c>
      <c r="AV66" s="475" t="str">
        <f t="shared" si="4"/>
        <v/>
      </c>
      <c r="AW66" s="473">
        <f t="shared" si="5"/>
        <v>0</v>
      </c>
      <c r="AX66" s="473" t="str">
        <f>IF(AND($Z66="b",OR($AA66="a",$AA66="b"),Inventory!$I73="",$AE66&lt;(65000/12000)),"x",IF(AND($Z66="b",OR($AA66="a",$AA66="b"),Inventory!$I73&lt;&gt;"",$AE66&lt;(65000/12000)),VLOOKUP(Inventory!$I73,$V$4:$W$5,2,FALSE),"x"))</f>
        <v>x</v>
      </c>
      <c r="AY66" s="476" t="str">
        <f t="shared" si="24"/>
        <v>aaa0</v>
      </c>
      <c r="AZ66" s="477" t="str">
        <f t="shared" si="25"/>
        <v>No</v>
      </c>
      <c r="BA66" s="759" t="str">
        <f t="shared" si="26"/>
        <v>No</v>
      </c>
      <c r="BB66" s="477">
        <f>IF($Z66="c",Inventory!$AB73,Inventory!$K73)</f>
        <v>0</v>
      </c>
      <c r="BC66" s="478">
        <f>IF(AND($Z66="b",Inventory!$N73="Btu/hr"),Inventory!$M73,IF(AND($Z66="b",Inventory!$N73="Tons"),Inventory!$M73*12000,IF(AND($Z66&lt;&gt;"b",Inventory!$AK73="Btu/hr"),Inventory!$AD73,IF(AND($Z66&lt;&gt;"b",Inventory!$AK73="Tons"),Inventory!$AD73*12000,0))))</f>
        <v>0</v>
      </c>
      <c r="BD66" s="478">
        <f t="shared" si="46"/>
        <v>0</v>
      </c>
      <c r="BE66" s="479">
        <f t="shared" si="28"/>
        <v>0</v>
      </c>
      <c r="BF66" s="477" t="s">
        <v>50</v>
      </c>
      <c r="BG66" s="479">
        <f t="shared" si="6"/>
        <v>0</v>
      </c>
      <c r="BH66" s="477" t="s">
        <v>46</v>
      </c>
      <c r="BI66" s="760">
        <f>IF(AND($Z66="b",Inventory!$P73="Btu/hr"),Inventory!$O73,IF(AND($Z66="b",Inventory!$P73="Tons"),Inventory!$O73*12000,IF(AND($Z66&lt;&gt;"b",Inventory!$AM73="Btu/hr"),Inventory!$AL73,IF(AND($Z66&lt;&gt;"b",Inventory!$AM73="Tons"),Inventory!$AL73*12000,0))))</f>
        <v>0</v>
      </c>
      <c r="BJ66" s="760">
        <f t="shared" si="47"/>
        <v>0</v>
      </c>
      <c r="BK66" s="598">
        <f t="shared" si="30"/>
        <v>0</v>
      </c>
      <c r="BL66" s="759" t="s">
        <v>567</v>
      </c>
      <c r="BM66" s="477" t="str">
        <f t="shared" si="7"/>
        <v>No</v>
      </c>
      <c r="BN66" s="477" t="str">
        <f>IF(OR(Inventory!$H73="",$BM66="No"),"-",Inventory!$H73)</f>
        <v>-</v>
      </c>
      <c r="BO66" s="477" t="str">
        <f>IFERROR(VLOOKUP(BN66,'Early Retirement'!$B$6:$C$33,2,FALSE),"-")</f>
        <v>-</v>
      </c>
      <c r="BP66" s="477" t="str">
        <f>IF(Inventory!$J73="Centrifugal","Yes","No")</f>
        <v>No</v>
      </c>
      <c r="BQ66" s="477">
        <f t="shared" si="31"/>
        <v>0</v>
      </c>
      <c r="BR66" s="477" t="str">
        <f t="shared" si="32"/>
        <v>-</v>
      </c>
      <c r="BS66" s="479">
        <f>IFERROR(INDEX('Early Retirement'!$C$4:$AC$33,$BO66,$BR66),0)</f>
        <v>0</v>
      </c>
      <c r="BT66" s="477">
        <f>IFERROR(HLOOKUP($BR66,'Early Retirement'!$D$4:$AC$5,2,FALSE),0)</f>
        <v>0</v>
      </c>
      <c r="BU66" s="761">
        <f>IFERROR(INDEX('Early Retirement'!$AE$4:$BE$33,$BO66,$BR66),0)</f>
        <v>0</v>
      </c>
      <c r="BV66" s="759">
        <f>IFERROR(HLOOKUP($BR66,'Early Retirement'!$AF$4:$BE$5,2,FALSE),0)</f>
        <v>0</v>
      </c>
      <c r="BW66" s="479">
        <f t="shared" si="41"/>
        <v>0</v>
      </c>
      <c r="BX66" s="761">
        <f t="shared" si="33"/>
        <v>0</v>
      </c>
      <c r="BY66" s="477" t="s">
        <v>46</v>
      </c>
      <c r="BZ66" s="598">
        <f>IFERROR(INDEX('Early Retirement'!$BG$4:$CG$33,$BO66,$BR66),0)</f>
        <v>0</v>
      </c>
      <c r="CA66" s="759">
        <f>IFERROR(HLOOKUP($BR66,'Early Retirement'!$BH$4:$CH$5,2,FALSE),0)</f>
        <v>0</v>
      </c>
      <c r="CB66" s="598">
        <f t="shared" si="34"/>
        <v>0</v>
      </c>
      <c r="CC66" s="759" t="s">
        <v>567</v>
      </c>
      <c r="CD66" s="477" t="str">
        <f t="shared" si="8"/>
        <v>Yes</v>
      </c>
      <c r="CE66" s="479">
        <f t="shared" si="9"/>
        <v>0</v>
      </c>
      <c r="CF66" s="761">
        <f t="shared" si="10"/>
        <v>0</v>
      </c>
      <c r="CG66" s="759" t="s">
        <v>46</v>
      </c>
      <c r="CH66" s="598">
        <f t="shared" si="35"/>
        <v>0</v>
      </c>
      <c r="CI66" s="759" t="s">
        <v>567</v>
      </c>
      <c r="CJ66" s="480">
        <f t="shared" si="36"/>
        <v>0</v>
      </c>
      <c r="CK66" s="583">
        <f t="shared" si="37"/>
        <v>0</v>
      </c>
      <c r="CL66" s="596" t="s">
        <v>46</v>
      </c>
      <c r="CM66" s="581">
        <f t="shared" si="38"/>
        <v>0</v>
      </c>
      <c r="CN66" s="762" t="s">
        <v>567</v>
      </c>
      <c r="CP66" s="90" t="s">
        <v>238</v>
      </c>
      <c r="CQ66" s="121">
        <v>10.9</v>
      </c>
      <c r="CR66" s="307" t="s">
        <v>50</v>
      </c>
      <c r="CS66" s="641">
        <v>10.9</v>
      </c>
      <c r="CT66" s="551" t="s">
        <v>50</v>
      </c>
      <c r="CU66" s="645">
        <f t="shared" si="49"/>
        <v>1.1009174311926606</v>
      </c>
      <c r="CV66" s="645">
        <f t="shared" si="49"/>
        <v>1.1009174311926606</v>
      </c>
      <c r="CW66" s="633" t="s">
        <v>46</v>
      </c>
      <c r="CX66" s="606"/>
      <c r="CY66" s="589"/>
      <c r="CZ66" s="606"/>
      <c r="DA66" s="609"/>
      <c r="DB66" s="562"/>
      <c r="DC66" s="562"/>
      <c r="DD66" s="562"/>
      <c r="DE66" s="562"/>
      <c r="DF66" s="562"/>
      <c r="DG66" s="562"/>
      <c r="DH66" s="562"/>
      <c r="DI66" s="562"/>
      <c r="DJ66" s="562"/>
      <c r="DK66" s="562"/>
      <c r="DL66" s="562"/>
      <c r="DM66" s="562"/>
      <c r="DN66" s="562"/>
      <c r="DO66" s="562"/>
      <c r="DP66" s="562"/>
      <c r="DQ66" s="562"/>
      <c r="DR66" s="562"/>
      <c r="DS66" s="562"/>
      <c r="DT66" s="562"/>
      <c r="DU66" s="562"/>
      <c r="DV66" s="562"/>
      <c r="DW66" s="562"/>
      <c r="DX66" s="562"/>
      <c r="DY66" s="562"/>
      <c r="DZ66" s="562"/>
      <c r="EA66" s="562"/>
      <c r="EB66" s="562"/>
      <c r="EC66" s="562"/>
      <c r="ED66" s="562"/>
      <c r="EE66" s="562"/>
      <c r="EF66" s="562"/>
      <c r="EG66" s="562"/>
      <c r="EH66" s="562"/>
      <c r="EI66" s="562"/>
      <c r="EJ66" s="562"/>
      <c r="EK66" s="562"/>
      <c r="EL66" s="562"/>
    </row>
    <row r="67" spans="2:142" s="78" customFormat="1" ht="15" customHeight="1" x14ac:dyDescent="0.25">
      <c r="B67" s="77"/>
      <c r="E67" s="77"/>
      <c r="H67" s="77"/>
      <c r="U67" s="79"/>
      <c r="V67" s="79"/>
      <c r="W67" s="79"/>
      <c r="Y67" s="90">
        <v>65</v>
      </c>
      <c r="Z67" s="559" t="str">
        <f>IF(Inventory!$C74="","",VLOOKUP(Inventory!$C74,$B$3:$C$5,2,FALSE))</f>
        <v/>
      </c>
      <c r="AA67" s="559" t="str">
        <f>IF($Z67="","",IF(AND($Z67="b",Inventory!$G74=""),"",IF(AND($Z67="b",Inventory!$G74&lt;&gt;""),VLOOKUP(Inventory!$G74,$E$3:$F$10,2,FALSE),IF(AND($Z67="a",Inventory!$Z74=""),"",IF(AND($Z67="a",Inventory!$Z74&lt;&gt;""),VLOOKUP(Inventory!$Z74,$E$3:$F$10,2,FALSE),IF(AND($Z67="c",Inventory!$Z74=""),"",IF(AND($Z67="c",Inventory!$Z74&lt;&gt;""),VLOOKUP(Inventory!$Z74,$E$3:$F$10,2,FALSE),"")))))))</f>
        <v/>
      </c>
      <c r="AB67" s="559" t="str">
        <f>IF($Z67="","a",IF(AND($Z67="b",Inventory!$J74=""),"a",IF(AND($Z67="b",Inventory!$J74&lt;&gt;""),VLOOKUP(Inventory!$J74,$H$4:$I$6,2,FALSE),IF(AND($Z67="a",Inventory!$AA74=""),"a",IF(AND($Z67="a",Inventory!$AA74&lt;&gt;""),VLOOKUP(Inventory!$AA74,$H$4:$I$6,2,FALSE),IF(AND($Z67="c",Inventory!$AA74=""),"a",IF(AND($Z67="c",Inventory!$AA74&lt;&gt;""),VLOOKUP(Inventory!$AA74,$H$4:$I$6,2,FALSE),"a")))))))</f>
        <v>a</v>
      </c>
      <c r="AC67" s="559" t="str">
        <f t="shared" si="11"/>
        <v>a</v>
      </c>
      <c r="AD67" s="473" t="str">
        <f>IF($Z67="","a",IF(AND($Z67="b",Inventory!$L74=""),"a",IF(AND($Z67="b",Inventory!$L74&lt;&gt;""),VLOOKUP(Inventory!$L74,$N$4:$O$5,2,FALSE),IF(AND($Z67="a",Inventory!$AC74=""),"a",IF(AND($Z67="a",Inventory!$AC74&lt;&gt;""),VLOOKUP(Inventory!$AC74,$N$4:$O$5,2,FALSE),IF(AND($Z67="c",Inventory!$AC74=""),"a",IF(AND($Z67="c",Inventory!$AC74&lt;&gt;""),VLOOKUP(Inventory!$AC74,$N$4:$O$5,2,FALSE),"a")))))))</f>
        <v>a</v>
      </c>
      <c r="AE67" s="474">
        <f>IF(OR(Inventory!C74="New Construction",Inventory!C74="Replace-on-Burnout"),Inventory!AF74,IF(Inventory!C74="Early Retirement",MIN(Inventory!AE74,Inventory!AF74),0))</f>
        <v>0</v>
      </c>
      <c r="AF67" s="475" t="str">
        <f t="shared" si="12"/>
        <v/>
      </c>
      <c r="AG67" s="475" t="str">
        <f t="shared" ref="AG67:AG130" si="50">IF(OR(AND($AA67&lt;&gt;"a",$AA67&lt;&gt;"b"),$AE67="",$AF67&lt;&gt;0),"",IF(AND($AE67&gt;=$AG$2,$AA67="a"),4,IF(AND($AE67&gt;=$AG$2,$AA67="b"),9,0)))</f>
        <v/>
      </c>
      <c r="AH67" s="475" t="str">
        <f t="shared" ref="AH67:AH130" si="51">IF(OR(AND($AA67&lt;&gt;"a",$AA67&lt;&gt;"b"),$AE67="",$AG67&lt;&gt;0),"",IF(AND($AE67&gt;=$AH$2,$AA67="a"),3,IF(AND($AE67&gt;=$AH$2,$AA67="b"),8,0)))</f>
        <v/>
      </c>
      <c r="AI67" s="475" t="str">
        <f t="shared" ref="AI67:AI130" si="52">IF(OR(AND($AA67&lt;&gt;"a",$AA67&lt;&gt;"b"),$AE67="",$AH67&lt;&gt;0),"",IF(AND($AE67&gt;=$AI$2,$AA67="a"),2,IF(AND($AE67&gt;=$AI$2,$AA67="b"),7,0)))</f>
        <v/>
      </c>
      <c r="AJ67" s="475" t="str">
        <f t="shared" ref="AJ67:AJ130" si="53">IF(OR(AND($AA67&lt;&gt;"a",$AA67&lt;&gt;"b"),$AE67="",$AI67&lt;&gt;0),"",IF(AND($AE67&gt;=$AJ$2,$AA67="a"),1,IF(AND($AE67&gt;=$AJ$2,$AA67="b"),6,0)))</f>
        <v/>
      </c>
      <c r="AK67" s="475" t="str">
        <f t="shared" si="13"/>
        <v/>
      </c>
      <c r="AL67" s="475" t="str">
        <f t="shared" si="14"/>
        <v/>
      </c>
      <c r="AM67" s="475" t="str">
        <f t="shared" si="15"/>
        <v/>
      </c>
      <c r="AN67" s="475" t="str">
        <f t="shared" si="16"/>
        <v/>
      </c>
      <c r="AO67" s="475" t="str">
        <f t="shared" si="17"/>
        <v/>
      </c>
      <c r="AP67" s="475" t="str">
        <f t="shared" si="18"/>
        <v/>
      </c>
      <c r="AQ67" s="475" t="str">
        <f t="shared" si="19"/>
        <v/>
      </c>
      <c r="AR67" s="475" t="str">
        <f t="shared" si="20"/>
        <v/>
      </c>
      <c r="AS67" s="475" t="str">
        <f t="shared" si="21"/>
        <v/>
      </c>
      <c r="AT67" s="475" t="str">
        <f t="shared" si="22"/>
        <v/>
      </c>
      <c r="AU67" s="475" t="str">
        <f t="shared" si="23"/>
        <v/>
      </c>
      <c r="AV67" s="475" t="str">
        <f t="shared" ref="AV67:AV130" si="54">IF($AE67="","",IF(AND($Z67="c",$AA67="c"),10,IF(AND($Z67="a",$AA67="c"),11,IF(AND($Z67="c",$AA67="d"),12,IF(AND($Z67="a",$AA67="d"),13,"")))))</f>
        <v/>
      </c>
      <c r="AW67" s="473">
        <f t="shared" ref="AW67:AW130" si="55">SUM($AF67:$AV67)</f>
        <v>0</v>
      </c>
      <c r="AX67" s="473" t="str">
        <f>IF(AND($Z67="b",OR($AA67="a",$AA67="b"),Inventory!$I74="",$AE67&lt;(65000/12000)),"x",IF(AND($Z67="b",OR($AA67="a",$AA67="b"),Inventory!$I74&lt;&gt;"",$AE67&lt;(65000/12000)),VLOOKUP(Inventory!$I74,$V$4:$W$5,2,FALSE),"x"))</f>
        <v>x</v>
      </c>
      <c r="AY67" s="476" t="str">
        <f t="shared" si="24"/>
        <v>aaa0</v>
      </c>
      <c r="AZ67" s="477" t="str">
        <f t="shared" si="25"/>
        <v>No</v>
      </c>
      <c r="BA67" s="759" t="str">
        <f t="shared" si="26"/>
        <v>No</v>
      </c>
      <c r="BB67" s="477">
        <f>IF($Z67="c",Inventory!$AB74,Inventory!$K74)</f>
        <v>0</v>
      </c>
      <c r="BC67" s="478">
        <f>IF(AND($Z67="b",Inventory!$N74="Btu/hr"),Inventory!$M74,IF(AND($Z67="b",Inventory!$N74="Tons"),Inventory!$M74*12000,IF(AND($Z67&lt;&gt;"b",Inventory!$AK74="Btu/hr"),Inventory!$AD74,IF(AND($Z67&lt;&gt;"b",Inventory!$AK74="Tons"),Inventory!$AD74*12000,0))))</f>
        <v>0</v>
      </c>
      <c r="BD67" s="478">
        <f t="shared" si="46"/>
        <v>0</v>
      </c>
      <c r="BE67" s="479">
        <f t="shared" si="28"/>
        <v>0</v>
      </c>
      <c r="BF67" s="477" t="s">
        <v>50</v>
      </c>
      <c r="BG67" s="479">
        <f t="shared" ref="BG67:BG130" si="56">IFERROR(12/$BE67,0)</f>
        <v>0</v>
      </c>
      <c r="BH67" s="477" t="s">
        <v>46</v>
      </c>
      <c r="BI67" s="760">
        <f>IF(AND($Z67="b",Inventory!$P74="Btu/hr"),Inventory!$O74,IF(AND($Z67="b",Inventory!$P74="Tons"),Inventory!$O74*12000,IF(AND($Z67&lt;&gt;"b",Inventory!$AM74="Btu/hr"),Inventory!$AL74,IF(AND($Z67&lt;&gt;"b",Inventory!$AM74="Tons"),Inventory!$AL74*12000,0))))</f>
        <v>0</v>
      </c>
      <c r="BJ67" s="760">
        <f t="shared" si="47"/>
        <v>0</v>
      </c>
      <c r="BK67" s="598">
        <f t="shared" si="30"/>
        <v>0</v>
      </c>
      <c r="BL67" s="759" t="s">
        <v>567</v>
      </c>
      <c r="BM67" s="477" t="str">
        <f t="shared" ref="BM67:BM130" si="57">IF($Z67="b","Yes","No")</f>
        <v>No</v>
      </c>
      <c r="BN67" s="477" t="str">
        <f>IF(OR(Inventory!$H74="",$BM67="No"),"-",Inventory!$H74)</f>
        <v>-</v>
      </c>
      <c r="BO67" s="477" t="str">
        <f>IFERROR(VLOOKUP(BN67,'Early Retirement'!$B$6:$C$33,2,FALSE),"-")</f>
        <v>-</v>
      </c>
      <c r="BP67" s="477" t="str">
        <f>IF(Inventory!$J74="Centrifugal","Yes","No")</f>
        <v>No</v>
      </c>
      <c r="BQ67" s="477">
        <f t="shared" si="31"/>
        <v>0</v>
      </c>
      <c r="BR67" s="477" t="str">
        <f t="shared" si="32"/>
        <v>-</v>
      </c>
      <c r="BS67" s="479">
        <f>IFERROR(INDEX('Early Retirement'!$C$4:$AC$33,$BO67,$BR67),0)</f>
        <v>0</v>
      </c>
      <c r="BT67" s="477">
        <f>IFERROR(HLOOKUP($BR67,'Early Retirement'!$D$4:$AC$5,2,FALSE),0)</f>
        <v>0</v>
      </c>
      <c r="BU67" s="761">
        <f>IFERROR(INDEX('Early Retirement'!$AE$4:$BE$33,$BO67,$BR67),0)</f>
        <v>0</v>
      </c>
      <c r="BV67" s="759">
        <f>IFERROR(HLOOKUP($BR67,'Early Retirement'!$AF$4:$BE$5,2,FALSE),0)</f>
        <v>0</v>
      </c>
      <c r="BW67" s="479">
        <f t="shared" si="41"/>
        <v>0</v>
      </c>
      <c r="BX67" s="761">
        <f t="shared" si="33"/>
        <v>0</v>
      </c>
      <c r="BY67" s="477" t="s">
        <v>46</v>
      </c>
      <c r="BZ67" s="598">
        <f>IFERROR(INDEX('Early Retirement'!$BG$4:$CG$33,$BO67,$BR67),0)</f>
        <v>0</v>
      </c>
      <c r="CA67" s="759">
        <f>IFERROR(HLOOKUP($BR67,'Early Retirement'!$BH$4:$CH$5,2,FALSE),0)</f>
        <v>0</v>
      </c>
      <c r="CB67" s="598">
        <f t="shared" si="34"/>
        <v>0</v>
      </c>
      <c r="CC67" s="759" t="s">
        <v>567</v>
      </c>
      <c r="CD67" s="477" t="str">
        <f t="shared" ref="CD67:CD130" si="58">IF(AND($AZ67="No",$BM67="No"),"Yes","No")</f>
        <v>Yes</v>
      </c>
      <c r="CE67" s="479">
        <f t="shared" ref="CE67:CE130" si="59">IF($CD67="Yes",IFERROR(VLOOKUP($AY67,$CP:$CW,6,FALSE),0),0)</f>
        <v>0</v>
      </c>
      <c r="CF67" s="761">
        <f t="shared" ref="CF67:CF130" si="60">IF($CD67="Yes",IFERROR(VLOOKUP($AY67,$CP:$CW,7,FALSE),0),0)</f>
        <v>0</v>
      </c>
      <c r="CG67" s="759" t="s">
        <v>46</v>
      </c>
      <c r="CH67" s="598">
        <f t="shared" si="35"/>
        <v>0</v>
      </c>
      <c r="CI67" s="759" t="s">
        <v>567</v>
      </c>
      <c r="CJ67" s="480">
        <f t="shared" si="36"/>
        <v>0</v>
      </c>
      <c r="CK67" s="583">
        <f t="shared" si="37"/>
        <v>0</v>
      </c>
      <c r="CL67" s="596" t="s">
        <v>46</v>
      </c>
      <c r="CM67" s="581">
        <f t="shared" si="38"/>
        <v>0</v>
      </c>
      <c r="CN67" s="762" t="s">
        <v>567</v>
      </c>
      <c r="CP67" s="90" t="s">
        <v>239</v>
      </c>
      <c r="CQ67" s="121">
        <v>10.7</v>
      </c>
      <c r="CR67" s="307" t="s">
        <v>50</v>
      </c>
      <c r="CS67" s="641">
        <v>10.7</v>
      </c>
      <c r="CT67" s="551" t="s">
        <v>50</v>
      </c>
      <c r="CU67" s="645">
        <f t="shared" si="49"/>
        <v>1.1214953271028039</v>
      </c>
      <c r="CV67" s="645">
        <f t="shared" si="49"/>
        <v>1.1214953271028039</v>
      </c>
      <c r="CW67" s="633" t="s">
        <v>46</v>
      </c>
      <c r="CX67" s="606"/>
      <c r="CY67" s="589"/>
      <c r="CZ67" s="606"/>
      <c r="DA67" s="609"/>
      <c r="DB67" s="562"/>
      <c r="DC67" s="562"/>
      <c r="DD67" s="562"/>
      <c r="DE67" s="562"/>
      <c r="DF67" s="562"/>
      <c r="DG67" s="562"/>
      <c r="DH67" s="562"/>
      <c r="DI67" s="562"/>
      <c r="DJ67" s="562"/>
      <c r="DK67" s="562"/>
      <c r="DL67" s="562"/>
      <c r="DM67" s="562"/>
      <c r="DN67" s="562"/>
      <c r="DO67" s="562"/>
      <c r="DP67" s="562"/>
      <c r="DQ67" s="562"/>
      <c r="DR67" s="562"/>
      <c r="DS67" s="562"/>
      <c r="DT67" s="562"/>
      <c r="DU67" s="562"/>
      <c r="DV67" s="562"/>
      <c r="DW67" s="562"/>
      <c r="DX67" s="562"/>
      <c r="DY67" s="562"/>
      <c r="DZ67" s="562"/>
      <c r="EA67" s="562"/>
      <c r="EB67" s="562"/>
      <c r="EC67" s="562"/>
      <c r="ED67" s="562"/>
      <c r="EE67" s="562"/>
      <c r="EF67" s="562"/>
      <c r="EG67" s="562"/>
      <c r="EH67" s="562"/>
      <c r="EI67" s="562"/>
      <c r="EJ67" s="562"/>
      <c r="EK67" s="562"/>
      <c r="EL67" s="562"/>
    </row>
    <row r="68" spans="2:142" s="78" customFormat="1" ht="15" customHeight="1" x14ac:dyDescent="0.25">
      <c r="B68" s="77"/>
      <c r="E68" s="77"/>
      <c r="H68" s="77"/>
      <c r="U68" s="79"/>
      <c r="V68" s="79"/>
      <c r="W68" s="79"/>
      <c r="Y68" s="90">
        <v>66</v>
      </c>
      <c r="Z68" s="559" t="str">
        <f>IF(Inventory!$C75="","",VLOOKUP(Inventory!$C75,$B$3:$C$5,2,FALSE))</f>
        <v/>
      </c>
      <c r="AA68" s="559" t="str">
        <f>IF($Z68="","",IF(AND($Z68="b",Inventory!$G75=""),"",IF(AND($Z68="b",Inventory!$G75&lt;&gt;""),VLOOKUP(Inventory!$G75,$E$3:$F$10,2,FALSE),IF(AND($Z68="a",Inventory!$Z75=""),"",IF(AND($Z68="a",Inventory!$Z75&lt;&gt;""),VLOOKUP(Inventory!$Z75,$E$3:$F$10,2,FALSE),IF(AND($Z68="c",Inventory!$Z75=""),"",IF(AND($Z68="c",Inventory!$Z75&lt;&gt;""),VLOOKUP(Inventory!$Z75,$E$3:$F$10,2,FALSE),"")))))))</f>
        <v/>
      </c>
      <c r="AB68" s="559" t="str">
        <f>IF($Z68="","a",IF(AND($Z68="b",Inventory!$J75=""),"a",IF(AND($Z68="b",Inventory!$J75&lt;&gt;""),VLOOKUP(Inventory!$J75,$H$4:$I$6,2,FALSE),IF(AND($Z68="a",Inventory!$AA75=""),"a",IF(AND($Z68="a",Inventory!$AA75&lt;&gt;""),VLOOKUP(Inventory!$AA75,$H$4:$I$6,2,FALSE),IF(AND($Z68="c",Inventory!$AA75=""),"a",IF(AND($Z68="c",Inventory!$AA75&lt;&gt;""),VLOOKUP(Inventory!$AA75,$H$4:$I$6,2,FALSE),"a")))))))</f>
        <v>a</v>
      </c>
      <c r="AC68" s="559" t="str">
        <f t="shared" ref="AC68:AC131" si="61">IF($AA68="f","b",IF($AA68="e","c","a"))</f>
        <v>a</v>
      </c>
      <c r="AD68" s="473" t="str">
        <f>IF($Z68="","a",IF(AND($Z68="b",Inventory!$L75=""),"a",IF(AND($Z68="b",Inventory!$L75&lt;&gt;""),VLOOKUP(Inventory!$L75,$N$4:$O$5,2,FALSE),IF(AND($Z68="a",Inventory!$AC75=""),"a",IF(AND($Z68="a",Inventory!$AC75&lt;&gt;""),VLOOKUP(Inventory!$AC75,$N$4:$O$5,2,FALSE),IF(AND($Z68="c",Inventory!$AC75=""),"a",IF(AND($Z68="c",Inventory!$AC75&lt;&gt;""),VLOOKUP(Inventory!$AC75,$N$4:$O$5,2,FALSE),"a")))))))</f>
        <v>a</v>
      </c>
      <c r="AE68" s="474">
        <f>IF(OR(Inventory!C75="New Construction",Inventory!C75="Replace-on-Burnout"),Inventory!AF75,IF(Inventory!C75="Early Retirement",MIN(Inventory!AE75,Inventory!AF75),0))</f>
        <v>0</v>
      </c>
      <c r="AF68" s="475" t="str">
        <f t="shared" ref="AF68:AF131" si="62">IF(OR(AND($AA68&lt;&gt;"a",$AA68&lt;&gt;"b"),$AE68=""),"",IF(AND($AE68&gt;=$AF$2,$AA68="a"),5,IF(AND($AE68&gt;=$AF$2,$AA68="b"),10,0)))</f>
        <v/>
      </c>
      <c r="AG68" s="475" t="str">
        <f t="shared" si="50"/>
        <v/>
      </c>
      <c r="AH68" s="475" t="str">
        <f t="shared" si="51"/>
        <v/>
      </c>
      <c r="AI68" s="475" t="str">
        <f t="shared" si="52"/>
        <v/>
      </c>
      <c r="AJ68" s="475" t="str">
        <f t="shared" si="53"/>
        <v/>
      </c>
      <c r="AK68" s="475" t="str">
        <f t="shared" ref="AK68:AK131" si="63">IF(OR(AND($AA68&lt;&gt;"e",$AA68&lt;&gt;"f"),$AE68=""),"",IF(AND($AE68&gt;=$AK$2,OR($AA68="e",$AA68="f"),$AC68="b",$AD68="b"),26,IF(AND($AE68&gt;$AK$2,OR($AA68="e",$AA68="f"),$AC68="b",$AD68="c"),28,IF(AND($AE68&gt;$AK$2,OR($AA68="e",$AA68="f"),$AC68="c",$AD68="b"),19,IF(AND($AE68&gt;$AK$2,OR($AA68="e",$AA68="f"),$AC68="c",$AD68="c"),24,0)))))</f>
        <v/>
      </c>
      <c r="AL68" s="475" t="str">
        <f t="shared" ref="AL68:AL131" si="64">IF(OR(AND($AA68&lt;&gt;"e",$AA68&lt;&gt;"f"),$AE68="",$AK68&lt;&gt;0),"",IF(AND($AE68&gt;=$AL$2,OR($AA68="e",$AA68="f"),$AC68="b",$AD68="b"),26,IF(AND($AE68&gt;$AL$2,OR($AA68="e",$AA68="f"),$AC68="b",$AD68="c"),28,IF(AND($AE68&gt;$AL$2,OR($AA68="e",$AA68="f"),$AC68="c",$AD68="b"),18,IF(AND($AE68&gt;$AL$2,OR($AA68="e",$AA68="f"),$AC68="c",$AD68="c"),24,0)))))</f>
        <v/>
      </c>
      <c r="AM68" s="475" t="str">
        <f t="shared" ref="AM68:AM131" si="65">IF(OR(AND($AA68&lt;&gt;"e",$AA68&lt;&gt;"f"),$AE68="",$AL68&lt;&gt;0),"",IF(AND($AE68&gt;=$AM$2,OR($AA68="e",$AA68="f"),$AC68="b",$AD68="b"),25,IF(AND($AE68&gt;$AM$2,OR($AA68="e",$AA68="f"),$AC68="b",$AD68="c"),28,IF(AND($AE68&gt;$AM$2,OR($AA68="e",$AA68="f"),$AC68="c",$AD68="b"),17,IF(AND($AE68&gt;$AM$2,OR($AA68="e",$AA68="f"),$AC68="c",$AD68="c"),23,0)))))</f>
        <v/>
      </c>
      <c r="AN68" s="475" t="str">
        <f t="shared" ref="AN68:AN131" si="66">IF(OR(AND($AA68&lt;&gt;"e",$AA68&lt;&gt;"f"),$AE68="",$AM68&lt;&gt;0),"",IF(AND($AE68&gt;=$AN$2,OR($AA68="e",$AA68="f"),$AC68="b",$AD68="b"),25,IF(AND($AE68&gt;$AN$2,OR($AA68="e",$AA68="f"),$AC68="b",$AD68="c"),27,IF(AND($AE68&gt;$AN$2,OR($AA68="e",$AA68="f"),$AC68="c",$AD68="b"),16,IF(AND($AE68&gt;$AN$2,OR($AA68="e",$AA68="f"),$AC68="c",$AD68="c"),22,0)))))</f>
        <v/>
      </c>
      <c r="AO68" s="475" t="str">
        <f t="shared" ref="AO68:AO131" si="67">IF(OR(AND($AA68&lt;&gt;"e",$AA68&lt;&gt;"f"),$AE68="",$AN68&lt;&gt;0),"",IF(AND($AE68&gt;=$AO$2,OR($AA68="e",$AA68="f"),$AC68="b",$AD68="b"),25,IF(AND($AE68&gt;$AO$2,OR($AA68="e",$AA68="f"),$AC68="b",$AD68="c"),27,IF(AND($AE68&gt;$AO$2,OR($AA68="e",$AA68="f"),$AC68="c",$AD68="b"),16,IF(AND($AE68&gt;$AO$2,OR($AA68="e",$AA68="f"),$AC68="c",$AD68="c"),21,0)))))</f>
        <v/>
      </c>
      <c r="AP68" s="475" t="str">
        <f t="shared" ref="AP68:AP131" si="68">IF(OR(AND($AA68&lt;&gt;"e",$AA68&lt;&gt;"f"),$AE68="",$AO68&lt;&gt;0),"",IF(AND($AE68&gt;=$AP$2,OR($AA68="e",$AA68="f"),$AC68="b",$AD68="b"),25,IF(AND($AE68&gt;$AP$2,OR($AA68="e",$AA68="f"),$AC68="b",$AD68="c"),27,IF(AND($AE68&gt;$AP$2,OR($AA68="e",$AA68="f"),$AC68="c",$AD68="b"),15,IF(AND($AE68&gt;$AP$2,OR($AA68="e",$AA68="f"),$AC68="c",$AD68="c"),20,0)))))</f>
        <v/>
      </c>
      <c r="AQ68" s="475" t="str">
        <f t="shared" ref="AQ68:AQ131" si="69">IF(OR(AND($AA68&lt;&gt;"g",$AA68&lt;&gt;"h"),$AE68=""),"",IF(AND($AE68&gt;=$AQ$2,$AA68="g"),33,IF(AND($AE68&gt;=$AQ$2,$AA68="h",$AB68="b"),38,IF(AND($AE68&gt;=$AQ$2,$AA68="h",$AB68&lt;&gt;"b"),43,0))))</f>
        <v/>
      </c>
      <c r="AR68" s="475" t="str">
        <f t="shared" ref="AR68:AR131" si="70">IF(OR(AND($AA68&lt;&gt;"g",$AA68&lt;&gt;"h"),$AE68="",$AQ68&lt;&gt;0),"",IF(AND($AE68&gt;=$AR$2,$AA68="g"),32,IF(AND($AE68&gt;=$AR$2,$AA68="h",$AB68="b"),37,IF(AND($AE68&gt;=$AR$2,$AA68="h",$AB68&lt;&gt;"b"),42,0))))</f>
        <v/>
      </c>
      <c r="AS68" s="475" t="str">
        <f t="shared" ref="AS68:AS131" si="71">IF(OR(AND($AA68&lt;&gt;"g",$AA68&lt;&gt;"h"),$AE68="",$AR68&lt;&gt;0),"",IF(AND($AE68&gt;=$AS$2,$AA68="g"),31,IF(AND($AE68&gt;=$AS$2,$AA68="h",$AB68="b"),36,IF(AND($AE68&gt;=$AS$2,$AA68="h",$AB68&lt;&gt;"b"),41,0))))</f>
        <v/>
      </c>
      <c r="AT68" s="475" t="str">
        <f t="shared" ref="AT68:AT131" si="72">IF(OR(AND($AA68&lt;&gt;"g",$AA68&lt;&gt;"h"),$AE68="",$AS68&lt;&gt;0),"",IF(AND($AE68&gt;=$AT$2,$AA68="g"),30,IF(AND($AE68&gt;=$AT$2,$AA68="h",$AB68="b"),35,IF(AND($AE68&gt;=$AT$2,$AA68="h",$AB68&lt;&gt;"b"),40,0))))</f>
        <v/>
      </c>
      <c r="AU68" s="475" t="str">
        <f t="shared" ref="AU68:AU131" si="73">IF(OR(AND($AA68&lt;&gt;"g",$AA68&lt;&gt;"h"),$AE68="",$AT68&lt;&gt;0),"",IF(AND($AE68&gt;=$AU$2,$AA68="g"),29,IF(AND($AE68&gt;=$AU$2,$AA68="h",$AB68="b"),34,IF(AND($AE68&gt;=$AU$2,$AA68="h",$AB68&lt;&gt;"b"),39,0))))</f>
        <v/>
      </c>
      <c r="AV68" s="475" t="str">
        <f t="shared" si="54"/>
        <v/>
      </c>
      <c r="AW68" s="473">
        <f t="shared" si="55"/>
        <v>0</v>
      </c>
      <c r="AX68" s="473" t="str">
        <f>IF(AND($Z68="b",OR($AA68="a",$AA68="b"),Inventory!$I75="",$AE68&lt;(65000/12000)),"x",IF(AND($Z68="b",OR($AA68="a",$AA68="b"),Inventory!$I75&lt;&gt;"",$AE68&lt;(65000/12000)),VLOOKUP(Inventory!$I75,$V$4:$W$5,2,FALSE),"x"))</f>
        <v>x</v>
      </c>
      <c r="AY68" s="476" t="str">
        <f t="shared" ref="AY68:AY131" si="74">CONCATENATE($Z68,$AA68,$AB68,$AC68,$AD68,$AW68)</f>
        <v>aaa0</v>
      </c>
      <c r="AZ68" s="477" t="str">
        <f t="shared" ref="AZ68:AZ131" si="75">IF($AA68="c","Yes","No")</f>
        <v>No</v>
      </c>
      <c r="BA68" s="759" t="str">
        <f t="shared" ref="BA68:BA131" si="76">IF($AA68="d","Yes","No")</f>
        <v>No</v>
      </c>
      <c r="BB68" s="477">
        <f>IF($Z68="c",Inventory!$AB75,Inventory!$K75)</f>
        <v>0</v>
      </c>
      <c r="BC68" s="478">
        <f>IF(AND($Z68="b",Inventory!$N75="Btu/hr"),Inventory!$M75,IF(AND($Z68="b",Inventory!$N75="Tons"),Inventory!$M75*12000,IF(AND($Z68&lt;&gt;"b",Inventory!$AK75="Btu/hr"),Inventory!$AD75,IF(AND($Z68&lt;&gt;"b",Inventory!$AK75="Tons"),Inventory!$AD75*12000,0))))</f>
        <v>0</v>
      </c>
      <c r="BD68" s="478">
        <f t="shared" si="46"/>
        <v>0</v>
      </c>
      <c r="BE68" s="479">
        <f t="shared" ref="BE68:BE131" si="77">IF(OR(AND($AZ68="No",$BA68="No"),$BC68=0),0,IF(AND($Z68&lt;&gt;"b",$AZ68="Yes",$BB68="Yes"),13.8-(0.3*$BD68/1000),IF(AND($Z68&lt;&gt;"b",$AZ68="Yes",$BB68="No"),10.9-(0.213*$BD68/1000),IF(AND($Z68="b",$AZ68="Yes"),12.5-(0.213*$BD68/1000),IF(AND($Z68&lt;&gt;"b",$BA68="Yes",$BB68="Yes"),14-(0.3*$BD68/1000),IF(AND($Z68&lt;&gt;"b",$BA68="Yes",$BB68="No"),10.8-(0.213*$BD68/1000),IF(AND($Z68="b",$BA68="Yes"),12.3-(0.213*$BD68/1000),0)))))))</f>
        <v>0</v>
      </c>
      <c r="BF68" s="477" t="s">
        <v>50</v>
      </c>
      <c r="BG68" s="479">
        <f t="shared" si="56"/>
        <v>0</v>
      </c>
      <c r="BH68" s="477" t="s">
        <v>46</v>
      </c>
      <c r="BI68" s="760">
        <f>IF(AND($Z68="b",Inventory!$P75="Btu/hr"),Inventory!$O75,IF(AND($Z68="b",Inventory!$P75="Tons"),Inventory!$O75*12000,IF(AND($Z68&lt;&gt;"b",Inventory!$AM75="Btu/hr"),Inventory!$AL75,IF(AND($Z68&lt;&gt;"b",Inventory!$AM75="Tons"),Inventory!$AL75*12000,0))))</f>
        <v>0</v>
      </c>
      <c r="BJ68" s="760">
        <f t="shared" si="47"/>
        <v>0</v>
      </c>
      <c r="BK68" s="598">
        <f t="shared" ref="BK68:BK131" si="78">IF(OR($BA68="No",$BI68=0),0,IF(AND($Z68&lt;&gt;"b",$BA68="Yes",$BB68="Yes"),3.7-(0.052*$BJ68/1000),IF(AND($Z68&lt;&gt;"b",$BA68="Yes",$BB68="No"),2.9-(0.026*$BJ68/1000),IF(AND($Z68="b",$BA68="Yes"),3.2-(0.026*$BJ68/1000),0))))</f>
        <v>0</v>
      </c>
      <c r="BL68" s="759" t="s">
        <v>567</v>
      </c>
      <c r="BM68" s="477" t="str">
        <f t="shared" si="57"/>
        <v>No</v>
      </c>
      <c r="BN68" s="477" t="str">
        <f>IF(OR(Inventory!$H75="",$BM68="No"),"-",Inventory!$H75)</f>
        <v>-</v>
      </c>
      <c r="BO68" s="477" t="str">
        <f>IFERROR(VLOOKUP(BN68,'Early Retirement'!$B$6:$C$33,2,FALSE),"-")</f>
        <v>-</v>
      </c>
      <c r="BP68" s="477" t="str">
        <f>IF(Inventory!$J75="Centrifugal","Yes","No")</f>
        <v>No</v>
      </c>
      <c r="BQ68" s="477">
        <f t="shared" ref="BQ68:BQ131" si="79">IF($BM68="No",0,IF($BP68="Yes",CONCATENATE($AW68,$AX68,"c"),CONCATENATE($AW68,$AX68)))</f>
        <v>0</v>
      </c>
      <c r="BR68" s="477" t="str">
        <f t="shared" ref="BR68:BR131" si="80">IFERROR(VLOOKUP($BQ68,$BQ$506:$BR$537,2,FALSE),"-")</f>
        <v>-</v>
      </c>
      <c r="BS68" s="479">
        <f>IFERROR(INDEX('Early Retirement'!$C$4:$AC$33,$BO68,$BR68),0)</f>
        <v>0</v>
      </c>
      <c r="BT68" s="477">
        <f>IFERROR(HLOOKUP($BR68,'Early Retirement'!$D$4:$AC$5,2,FALSE),0)</f>
        <v>0</v>
      </c>
      <c r="BU68" s="761">
        <f>IFERROR(INDEX('Early Retirement'!$AE$4:$BE$33,$BO68,$BR68),0)</f>
        <v>0</v>
      </c>
      <c r="BV68" s="759">
        <f>IFERROR(HLOOKUP($BR68,'Early Retirement'!$AF$4:$BE$5,2,FALSE),0)</f>
        <v>0</v>
      </c>
      <c r="BW68" s="479">
        <f t="shared" si="41"/>
        <v>0</v>
      </c>
      <c r="BX68" s="761">
        <f t="shared" ref="BX68:BX131" si="81">IF(OR($BV68="SEER",$BV68="IEER (EER)",$BV68="IPLV (EER)"),12/$BU68,IF($BV68="IPLV (kW/ton)",$BU68,0))</f>
        <v>0</v>
      </c>
      <c r="BY68" s="477" t="s">
        <v>46</v>
      </c>
      <c r="BZ68" s="598">
        <f>IFERROR(INDEX('Early Retirement'!$BG$4:$CG$33,$BO68,$BR68),0)</f>
        <v>0</v>
      </c>
      <c r="CA68" s="759">
        <f>IFERROR(HLOOKUP($BR68,'Early Retirement'!$BH$4:$CH$5,2,FALSE),0)</f>
        <v>0</v>
      </c>
      <c r="CB68" s="598">
        <f t="shared" ref="CB68:CB131" si="82">IF($CA68="HSPF",$BZ68/3.412,IF($CA68="COP",$BZ68,0))</f>
        <v>0</v>
      </c>
      <c r="CC68" s="759" t="s">
        <v>567</v>
      </c>
      <c r="CD68" s="477" t="str">
        <f t="shared" si="58"/>
        <v>Yes</v>
      </c>
      <c r="CE68" s="479">
        <f t="shared" si="59"/>
        <v>0</v>
      </c>
      <c r="CF68" s="761">
        <f t="shared" si="60"/>
        <v>0</v>
      </c>
      <c r="CG68" s="759" t="s">
        <v>46</v>
      </c>
      <c r="CH68" s="598">
        <f t="shared" ref="CH68:CH131" si="83">IF($CD68="Yes",IFERROR(VLOOKUP($AY68,$CP:$DA,11,FALSE),0),0)</f>
        <v>0</v>
      </c>
      <c r="CI68" s="759" t="s">
        <v>567</v>
      </c>
      <c r="CJ68" s="480">
        <f t="shared" ref="CJ68:CJ131" si="84">MAX($BG68,$BW68,$CE68)</f>
        <v>0</v>
      </c>
      <c r="CK68" s="583">
        <f t="shared" ref="CK68:CK131" si="85">MAX($BG68,$BX68,$CF68)</f>
        <v>0</v>
      </c>
      <c r="CL68" s="596" t="s">
        <v>46</v>
      </c>
      <c r="CM68" s="581">
        <f t="shared" ref="CM68:CM131" si="86">MAX($BK68,$CB68,$CH68)</f>
        <v>0</v>
      </c>
      <c r="CN68" s="762" t="s">
        <v>567</v>
      </c>
      <c r="CP68" s="90" t="s">
        <v>240</v>
      </c>
      <c r="CQ68" s="121">
        <v>9.4</v>
      </c>
      <c r="CR68" s="307" t="s">
        <v>50</v>
      </c>
      <c r="CS68" s="641">
        <v>9.4</v>
      </c>
      <c r="CT68" s="551" t="s">
        <v>50</v>
      </c>
      <c r="CU68" s="645">
        <f t="shared" si="49"/>
        <v>1.2765957446808509</v>
      </c>
      <c r="CV68" s="645">
        <f t="shared" si="49"/>
        <v>1.2765957446808509</v>
      </c>
      <c r="CW68" s="633" t="s">
        <v>46</v>
      </c>
      <c r="CX68" s="606"/>
      <c r="CY68" s="589"/>
      <c r="CZ68" s="606"/>
      <c r="DA68" s="609"/>
      <c r="DB68" s="562"/>
      <c r="DC68" s="562"/>
      <c r="DD68" s="562"/>
      <c r="DE68" s="562"/>
      <c r="DF68" s="562"/>
      <c r="DG68" s="562"/>
      <c r="DH68" s="562"/>
      <c r="DI68" s="562"/>
      <c r="DJ68" s="562"/>
      <c r="DK68" s="562"/>
      <c r="DL68" s="562"/>
      <c r="DM68" s="562"/>
      <c r="DN68" s="562"/>
      <c r="DO68" s="562"/>
      <c r="DP68" s="562"/>
      <c r="DQ68" s="562"/>
      <c r="DR68" s="562"/>
      <c r="DS68" s="562"/>
      <c r="DT68" s="562"/>
      <c r="DU68" s="562"/>
      <c r="DV68" s="562"/>
      <c r="DW68" s="562"/>
      <c r="DX68" s="562"/>
      <c r="DY68" s="562"/>
      <c r="DZ68" s="562"/>
      <c r="EA68" s="562"/>
      <c r="EB68" s="562"/>
      <c r="EC68" s="562"/>
      <c r="ED68" s="562"/>
      <c r="EE68" s="562"/>
      <c r="EF68" s="562"/>
      <c r="EG68" s="562"/>
      <c r="EH68" s="562"/>
      <c r="EI68" s="562"/>
      <c r="EJ68" s="562"/>
      <c r="EK68" s="562"/>
      <c r="EL68" s="562"/>
    </row>
    <row r="69" spans="2:142" s="78" customFormat="1" ht="15" customHeight="1" x14ac:dyDescent="0.25">
      <c r="B69" s="77"/>
      <c r="E69" s="77"/>
      <c r="H69" s="77"/>
      <c r="U69" s="79"/>
      <c r="V69" s="79"/>
      <c r="W69" s="79"/>
      <c r="Y69" s="90">
        <v>67</v>
      </c>
      <c r="Z69" s="559" t="str">
        <f>IF(Inventory!$C76="","",VLOOKUP(Inventory!$C76,$B$3:$C$5,2,FALSE))</f>
        <v/>
      </c>
      <c r="AA69" s="559" t="str">
        <f>IF($Z69="","",IF(AND($Z69="b",Inventory!$G76=""),"",IF(AND($Z69="b",Inventory!$G76&lt;&gt;""),VLOOKUP(Inventory!$G76,$E$3:$F$10,2,FALSE),IF(AND($Z69="a",Inventory!$Z76=""),"",IF(AND($Z69="a",Inventory!$Z76&lt;&gt;""),VLOOKUP(Inventory!$Z76,$E$3:$F$10,2,FALSE),IF(AND($Z69="c",Inventory!$Z76=""),"",IF(AND($Z69="c",Inventory!$Z76&lt;&gt;""),VLOOKUP(Inventory!$Z76,$E$3:$F$10,2,FALSE),"")))))))</f>
        <v/>
      </c>
      <c r="AB69" s="559" t="str">
        <f>IF($Z69="","a",IF(AND($Z69="b",Inventory!$J76=""),"a",IF(AND($Z69="b",Inventory!$J76&lt;&gt;""),VLOOKUP(Inventory!$J76,$H$4:$I$6,2,FALSE),IF(AND($Z69="a",Inventory!$AA76=""),"a",IF(AND($Z69="a",Inventory!$AA76&lt;&gt;""),VLOOKUP(Inventory!$AA76,$H$4:$I$6,2,FALSE),IF(AND($Z69="c",Inventory!$AA76=""),"a",IF(AND($Z69="c",Inventory!$AA76&lt;&gt;""),VLOOKUP(Inventory!$AA76,$H$4:$I$6,2,FALSE),"a")))))))</f>
        <v>a</v>
      </c>
      <c r="AC69" s="559" t="str">
        <f t="shared" si="61"/>
        <v>a</v>
      </c>
      <c r="AD69" s="473" t="str">
        <f>IF($Z69="","a",IF(AND($Z69="b",Inventory!$L76=""),"a",IF(AND($Z69="b",Inventory!$L76&lt;&gt;""),VLOOKUP(Inventory!$L76,$N$4:$O$5,2,FALSE),IF(AND($Z69="a",Inventory!$AC76=""),"a",IF(AND($Z69="a",Inventory!$AC76&lt;&gt;""),VLOOKUP(Inventory!$AC76,$N$4:$O$5,2,FALSE),IF(AND($Z69="c",Inventory!$AC76=""),"a",IF(AND($Z69="c",Inventory!$AC76&lt;&gt;""),VLOOKUP(Inventory!$AC76,$N$4:$O$5,2,FALSE),"a")))))))</f>
        <v>a</v>
      </c>
      <c r="AE69" s="474">
        <f>IF(OR(Inventory!C76="New Construction",Inventory!C76="Replace-on-Burnout"),Inventory!AF76,IF(Inventory!C76="Early Retirement",MIN(Inventory!AE76,Inventory!AF76),0))</f>
        <v>0</v>
      </c>
      <c r="AF69" s="475" t="str">
        <f t="shared" si="62"/>
        <v/>
      </c>
      <c r="AG69" s="475" t="str">
        <f t="shared" si="50"/>
        <v/>
      </c>
      <c r="AH69" s="475" t="str">
        <f t="shared" si="51"/>
        <v/>
      </c>
      <c r="AI69" s="475" t="str">
        <f t="shared" si="52"/>
        <v/>
      </c>
      <c r="AJ69" s="475" t="str">
        <f t="shared" si="53"/>
        <v/>
      </c>
      <c r="AK69" s="475" t="str">
        <f t="shared" si="63"/>
        <v/>
      </c>
      <c r="AL69" s="475" t="str">
        <f t="shared" si="64"/>
        <v/>
      </c>
      <c r="AM69" s="475" t="str">
        <f t="shared" si="65"/>
        <v/>
      </c>
      <c r="AN69" s="475" t="str">
        <f t="shared" si="66"/>
        <v/>
      </c>
      <c r="AO69" s="475" t="str">
        <f t="shared" si="67"/>
        <v/>
      </c>
      <c r="AP69" s="475" t="str">
        <f t="shared" si="68"/>
        <v/>
      </c>
      <c r="AQ69" s="475" t="str">
        <f t="shared" si="69"/>
        <v/>
      </c>
      <c r="AR69" s="475" t="str">
        <f t="shared" si="70"/>
        <v/>
      </c>
      <c r="AS69" s="475" t="str">
        <f t="shared" si="71"/>
        <v/>
      </c>
      <c r="AT69" s="475" t="str">
        <f t="shared" si="72"/>
        <v/>
      </c>
      <c r="AU69" s="475" t="str">
        <f t="shared" si="73"/>
        <v/>
      </c>
      <c r="AV69" s="475" t="str">
        <f t="shared" si="54"/>
        <v/>
      </c>
      <c r="AW69" s="473">
        <f t="shared" si="55"/>
        <v>0</v>
      </c>
      <c r="AX69" s="473" t="str">
        <f>IF(AND($Z69="b",OR($AA69="a",$AA69="b"),Inventory!$I76="",$AE69&lt;(65000/12000)),"x",IF(AND($Z69="b",OR($AA69="a",$AA69="b"),Inventory!$I76&lt;&gt;"",$AE69&lt;(65000/12000)),VLOOKUP(Inventory!$I76,$V$4:$W$5,2,FALSE),"x"))</f>
        <v>x</v>
      </c>
      <c r="AY69" s="476" t="str">
        <f t="shared" si="74"/>
        <v>aaa0</v>
      </c>
      <c r="AZ69" s="477" t="str">
        <f t="shared" si="75"/>
        <v>No</v>
      </c>
      <c r="BA69" s="759" t="str">
        <f t="shared" si="76"/>
        <v>No</v>
      </c>
      <c r="BB69" s="477">
        <f>IF($Z69="c",Inventory!$AB76,Inventory!$K76)</f>
        <v>0</v>
      </c>
      <c r="BC69" s="478">
        <f>IF(AND($Z69="b",Inventory!$N76="Btu/hr"),Inventory!$M76,IF(AND($Z69="b",Inventory!$N76="Tons"),Inventory!$M76*12000,IF(AND($Z69&lt;&gt;"b",Inventory!$AK76="Btu/hr"),Inventory!$AD76,IF(AND($Z69&lt;&gt;"b",Inventory!$AK76="Tons"),Inventory!$AD76*12000,0))))</f>
        <v>0</v>
      </c>
      <c r="BD69" s="478">
        <f t="shared" si="46"/>
        <v>0</v>
      </c>
      <c r="BE69" s="479">
        <f t="shared" si="77"/>
        <v>0</v>
      </c>
      <c r="BF69" s="477" t="s">
        <v>50</v>
      </c>
      <c r="BG69" s="479">
        <f t="shared" si="56"/>
        <v>0</v>
      </c>
      <c r="BH69" s="477" t="s">
        <v>46</v>
      </c>
      <c r="BI69" s="760">
        <f>IF(AND($Z69="b",Inventory!$P76="Btu/hr"),Inventory!$O76,IF(AND($Z69="b",Inventory!$P76="Tons"),Inventory!$O76*12000,IF(AND($Z69&lt;&gt;"b",Inventory!$AM76="Btu/hr"),Inventory!$AL76,IF(AND($Z69&lt;&gt;"b",Inventory!$AM76="Tons"),Inventory!$AL76*12000,0))))</f>
        <v>0</v>
      </c>
      <c r="BJ69" s="760">
        <f t="shared" si="47"/>
        <v>0</v>
      </c>
      <c r="BK69" s="598">
        <f t="shared" si="78"/>
        <v>0</v>
      </c>
      <c r="BL69" s="759" t="s">
        <v>567</v>
      </c>
      <c r="BM69" s="477" t="str">
        <f t="shared" si="57"/>
        <v>No</v>
      </c>
      <c r="BN69" s="477" t="str">
        <f>IF(OR(Inventory!$H76="",$BM69="No"),"-",Inventory!$H76)</f>
        <v>-</v>
      </c>
      <c r="BO69" s="477" t="str">
        <f>IFERROR(VLOOKUP(BN69,'Early Retirement'!$B$6:$C$33,2,FALSE),"-")</f>
        <v>-</v>
      </c>
      <c r="BP69" s="477" t="str">
        <f>IF(Inventory!$J76="Centrifugal","Yes","No")</f>
        <v>No</v>
      </c>
      <c r="BQ69" s="477">
        <f t="shared" si="79"/>
        <v>0</v>
      </c>
      <c r="BR69" s="477" t="str">
        <f t="shared" si="80"/>
        <v>-</v>
      </c>
      <c r="BS69" s="479">
        <f>IFERROR(INDEX('Early Retirement'!$C$4:$AC$33,$BO69,$BR69),0)</f>
        <v>0</v>
      </c>
      <c r="BT69" s="477">
        <f>IFERROR(HLOOKUP($BR69,'Early Retirement'!$D$4:$AC$5,2,FALSE),0)</f>
        <v>0</v>
      </c>
      <c r="BU69" s="761">
        <f>IFERROR(INDEX('Early Retirement'!$AE$4:$BE$33,$BO69,$BR69),0)</f>
        <v>0</v>
      </c>
      <c r="BV69" s="759">
        <f>IFERROR(HLOOKUP($BR69,'Early Retirement'!$AF$4:$BE$5,2,FALSE),0)</f>
        <v>0</v>
      </c>
      <c r="BW69" s="479">
        <f t="shared" ref="BW69:BW132" si="87">IF($BT69="SEER",12/($BS69*0.697+2.0394),IF($BT69="EER",12/$BS69,IF($BT69="kW/ton",$BS69,0)))</f>
        <v>0</v>
      </c>
      <c r="BX69" s="761">
        <f t="shared" si="81"/>
        <v>0</v>
      </c>
      <c r="BY69" s="477" t="s">
        <v>46</v>
      </c>
      <c r="BZ69" s="598">
        <f>IFERROR(INDEX('Early Retirement'!$BG$4:$CG$33,$BO69,$BR69),0)</f>
        <v>0</v>
      </c>
      <c r="CA69" s="759">
        <f>IFERROR(HLOOKUP($BR69,'Early Retirement'!$BH$4:$CH$5,2,FALSE),0)</f>
        <v>0</v>
      </c>
      <c r="CB69" s="598">
        <f t="shared" si="82"/>
        <v>0</v>
      </c>
      <c r="CC69" s="759" t="s">
        <v>567</v>
      </c>
      <c r="CD69" s="477" t="str">
        <f t="shared" si="58"/>
        <v>Yes</v>
      </c>
      <c r="CE69" s="479">
        <f t="shared" si="59"/>
        <v>0</v>
      </c>
      <c r="CF69" s="761">
        <f t="shared" si="60"/>
        <v>0</v>
      </c>
      <c r="CG69" s="759" t="s">
        <v>46</v>
      </c>
      <c r="CH69" s="598">
        <f t="shared" si="83"/>
        <v>0</v>
      </c>
      <c r="CI69" s="759" t="s">
        <v>567</v>
      </c>
      <c r="CJ69" s="480">
        <f t="shared" si="84"/>
        <v>0</v>
      </c>
      <c r="CK69" s="583">
        <f t="shared" si="85"/>
        <v>0</v>
      </c>
      <c r="CL69" s="596" t="s">
        <v>46</v>
      </c>
      <c r="CM69" s="581">
        <f t="shared" si="86"/>
        <v>0</v>
      </c>
      <c r="CN69" s="762" t="s">
        <v>567</v>
      </c>
      <c r="CP69" s="90" t="s">
        <v>241</v>
      </c>
      <c r="CQ69" s="121">
        <v>9</v>
      </c>
      <c r="CR69" s="307" t="s">
        <v>50</v>
      </c>
      <c r="CS69" s="641">
        <v>9</v>
      </c>
      <c r="CT69" s="551" t="s">
        <v>50</v>
      </c>
      <c r="CU69" s="645">
        <f t="shared" si="49"/>
        <v>1.3333333333333333</v>
      </c>
      <c r="CV69" s="645">
        <f t="shared" si="49"/>
        <v>1.3333333333333333</v>
      </c>
      <c r="CW69" s="633" t="s">
        <v>46</v>
      </c>
      <c r="CX69" s="606"/>
      <c r="CY69" s="589"/>
      <c r="CZ69" s="606"/>
      <c r="DA69" s="609"/>
      <c r="DB69" s="562"/>
      <c r="DC69" s="562"/>
      <c r="DD69" s="562"/>
      <c r="DE69" s="562"/>
      <c r="DF69" s="562"/>
      <c r="DG69" s="562"/>
      <c r="DH69" s="562"/>
      <c r="DI69" s="562"/>
      <c r="DJ69" s="562"/>
      <c r="DK69" s="562"/>
      <c r="DL69" s="562"/>
      <c r="DM69" s="562"/>
      <c r="DN69" s="562"/>
      <c r="DO69" s="562"/>
      <c r="DP69" s="562"/>
      <c r="DQ69" s="562"/>
      <c r="DR69" s="562"/>
      <c r="DS69" s="562"/>
      <c r="DT69" s="562"/>
      <c r="DU69" s="562"/>
      <c r="DV69" s="562"/>
      <c r="DW69" s="562"/>
      <c r="DX69" s="562"/>
      <c r="DY69" s="562"/>
      <c r="DZ69" s="562"/>
      <c r="EA69" s="562"/>
      <c r="EB69" s="562"/>
      <c r="EC69" s="562"/>
      <c r="ED69" s="562"/>
      <c r="EE69" s="562"/>
      <c r="EF69" s="562"/>
      <c r="EG69" s="562"/>
      <c r="EH69" s="562"/>
      <c r="EI69" s="562"/>
      <c r="EJ69" s="562"/>
      <c r="EK69" s="562"/>
      <c r="EL69" s="562"/>
    </row>
    <row r="70" spans="2:142" s="78" customFormat="1" ht="15" customHeight="1" x14ac:dyDescent="0.25">
      <c r="B70" s="77"/>
      <c r="E70" s="77"/>
      <c r="H70" s="77"/>
      <c r="U70" s="79"/>
      <c r="V70" s="79"/>
      <c r="W70" s="79"/>
      <c r="Y70" s="90">
        <v>68</v>
      </c>
      <c r="Z70" s="559" t="str">
        <f>IF(Inventory!$C77="","",VLOOKUP(Inventory!$C77,$B$3:$C$5,2,FALSE))</f>
        <v/>
      </c>
      <c r="AA70" s="559" t="str">
        <f>IF($Z70="","",IF(AND($Z70="b",Inventory!$G77=""),"",IF(AND($Z70="b",Inventory!$G77&lt;&gt;""),VLOOKUP(Inventory!$G77,$E$3:$F$10,2,FALSE),IF(AND($Z70="a",Inventory!$Z77=""),"",IF(AND($Z70="a",Inventory!$Z77&lt;&gt;""),VLOOKUP(Inventory!$Z77,$E$3:$F$10,2,FALSE),IF(AND($Z70="c",Inventory!$Z77=""),"",IF(AND($Z70="c",Inventory!$Z77&lt;&gt;""),VLOOKUP(Inventory!$Z77,$E$3:$F$10,2,FALSE),"")))))))</f>
        <v/>
      </c>
      <c r="AB70" s="559" t="str">
        <f>IF($Z70="","a",IF(AND($Z70="b",Inventory!$J77=""),"a",IF(AND($Z70="b",Inventory!$J77&lt;&gt;""),VLOOKUP(Inventory!$J77,$H$4:$I$6,2,FALSE),IF(AND($Z70="a",Inventory!$AA77=""),"a",IF(AND($Z70="a",Inventory!$AA77&lt;&gt;""),VLOOKUP(Inventory!$AA77,$H$4:$I$6,2,FALSE),IF(AND($Z70="c",Inventory!$AA77=""),"a",IF(AND($Z70="c",Inventory!$AA77&lt;&gt;""),VLOOKUP(Inventory!$AA77,$H$4:$I$6,2,FALSE),"a")))))))</f>
        <v>a</v>
      </c>
      <c r="AC70" s="559" t="str">
        <f t="shared" si="61"/>
        <v>a</v>
      </c>
      <c r="AD70" s="473" t="str">
        <f>IF($Z70="","a",IF(AND($Z70="b",Inventory!$L77=""),"a",IF(AND($Z70="b",Inventory!$L77&lt;&gt;""),VLOOKUP(Inventory!$L77,$N$4:$O$5,2,FALSE),IF(AND($Z70="a",Inventory!$AC77=""),"a",IF(AND($Z70="a",Inventory!$AC77&lt;&gt;""),VLOOKUP(Inventory!$AC77,$N$4:$O$5,2,FALSE),IF(AND($Z70="c",Inventory!$AC77=""),"a",IF(AND($Z70="c",Inventory!$AC77&lt;&gt;""),VLOOKUP(Inventory!$AC77,$N$4:$O$5,2,FALSE),"a")))))))</f>
        <v>a</v>
      </c>
      <c r="AE70" s="474">
        <f>IF(OR(Inventory!C77="New Construction",Inventory!C77="Replace-on-Burnout"),Inventory!AF77,IF(Inventory!C77="Early Retirement",MIN(Inventory!AE77,Inventory!AF77),0))</f>
        <v>0</v>
      </c>
      <c r="AF70" s="475" t="str">
        <f t="shared" si="62"/>
        <v/>
      </c>
      <c r="AG70" s="475" t="str">
        <f t="shared" si="50"/>
        <v/>
      </c>
      <c r="AH70" s="475" t="str">
        <f t="shared" si="51"/>
        <v/>
      </c>
      <c r="AI70" s="475" t="str">
        <f t="shared" si="52"/>
        <v/>
      </c>
      <c r="AJ70" s="475" t="str">
        <f t="shared" si="53"/>
        <v/>
      </c>
      <c r="AK70" s="475" t="str">
        <f t="shared" si="63"/>
        <v/>
      </c>
      <c r="AL70" s="475" t="str">
        <f t="shared" si="64"/>
        <v/>
      </c>
      <c r="AM70" s="475" t="str">
        <f t="shared" si="65"/>
        <v/>
      </c>
      <c r="AN70" s="475" t="str">
        <f t="shared" si="66"/>
        <v/>
      </c>
      <c r="AO70" s="475" t="str">
        <f t="shared" si="67"/>
        <v/>
      </c>
      <c r="AP70" s="475" t="str">
        <f t="shared" si="68"/>
        <v/>
      </c>
      <c r="AQ70" s="475" t="str">
        <f t="shared" si="69"/>
        <v/>
      </c>
      <c r="AR70" s="475" t="str">
        <f t="shared" si="70"/>
        <v/>
      </c>
      <c r="AS70" s="475" t="str">
        <f t="shared" si="71"/>
        <v/>
      </c>
      <c r="AT70" s="475" t="str">
        <f t="shared" si="72"/>
        <v/>
      </c>
      <c r="AU70" s="475" t="str">
        <f t="shared" si="73"/>
        <v/>
      </c>
      <c r="AV70" s="475" t="str">
        <f t="shared" si="54"/>
        <v/>
      </c>
      <c r="AW70" s="473">
        <f t="shared" si="55"/>
        <v>0</v>
      </c>
      <c r="AX70" s="473" t="str">
        <f>IF(AND($Z70="b",OR($AA70="a",$AA70="b"),Inventory!$I77="",$AE70&lt;(65000/12000)),"x",IF(AND($Z70="b",OR($AA70="a",$AA70="b"),Inventory!$I77&lt;&gt;"",$AE70&lt;(65000/12000)),VLOOKUP(Inventory!$I77,$V$4:$W$5,2,FALSE),"x"))</f>
        <v>x</v>
      </c>
      <c r="AY70" s="476" t="str">
        <f t="shared" si="74"/>
        <v>aaa0</v>
      </c>
      <c r="AZ70" s="477" t="str">
        <f t="shared" si="75"/>
        <v>No</v>
      </c>
      <c r="BA70" s="759" t="str">
        <f t="shared" si="76"/>
        <v>No</v>
      </c>
      <c r="BB70" s="477">
        <f>IF($Z70="c",Inventory!$AB77,Inventory!$K77)</f>
        <v>0</v>
      </c>
      <c r="BC70" s="478">
        <f>IF(AND($Z70="b",Inventory!$N77="Btu/hr"),Inventory!$M77,IF(AND($Z70="b",Inventory!$N77="Tons"),Inventory!$M77*12000,IF(AND($Z70&lt;&gt;"b",Inventory!$AK77="Btu/hr"),Inventory!$AD77,IF(AND($Z70&lt;&gt;"b",Inventory!$AK77="Tons"),Inventory!$AD77*12000,0))))</f>
        <v>0</v>
      </c>
      <c r="BD70" s="478">
        <f t="shared" si="46"/>
        <v>0</v>
      </c>
      <c r="BE70" s="479">
        <f t="shared" si="77"/>
        <v>0</v>
      </c>
      <c r="BF70" s="477" t="s">
        <v>50</v>
      </c>
      <c r="BG70" s="479">
        <f t="shared" si="56"/>
        <v>0</v>
      </c>
      <c r="BH70" s="477" t="s">
        <v>46</v>
      </c>
      <c r="BI70" s="760">
        <f>IF(AND($Z70="b",Inventory!$P77="Btu/hr"),Inventory!$O77,IF(AND($Z70="b",Inventory!$P77="Tons"),Inventory!$O77*12000,IF(AND($Z70&lt;&gt;"b",Inventory!$AM77="Btu/hr"),Inventory!$AL77,IF(AND($Z70&lt;&gt;"b",Inventory!$AM77="Tons"),Inventory!$AL77*12000,0))))</f>
        <v>0</v>
      </c>
      <c r="BJ70" s="760">
        <f t="shared" si="47"/>
        <v>0</v>
      </c>
      <c r="BK70" s="598">
        <f t="shared" si="78"/>
        <v>0</v>
      </c>
      <c r="BL70" s="759" t="s">
        <v>567</v>
      </c>
      <c r="BM70" s="477" t="str">
        <f t="shared" si="57"/>
        <v>No</v>
      </c>
      <c r="BN70" s="477" t="str">
        <f>IF(OR(Inventory!$H77="",$BM70="No"),"-",Inventory!$H77)</f>
        <v>-</v>
      </c>
      <c r="BO70" s="477" t="str">
        <f>IFERROR(VLOOKUP(BN70,'Early Retirement'!$B$6:$C$33,2,FALSE),"-")</f>
        <v>-</v>
      </c>
      <c r="BP70" s="477" t="str">
        <f>IF(Inventory!$J77="Centrifugal","Yes","No")</f>
        <v>No</v>
      </c>
      <c r="BQ70" s="477">
        <f t="shared" si="79"/>
        <v>0</v>
      </c>
      <c r="BR70" s="477" t="str">
        <f t="shared" si="80"/>
        <v>-</v>
      </c>
      <c r="BS70" s="479">
        <f>IFERROR(INDEX('Early Retirement'!$C$4:$AC$33,$BO70,$BR70),0)</f>
        <v>0</v>
      </c>
      <c r="BT70" s="477">
        <f>IFERROR(HLOOKUP($BR70,'Early Retirement'!$D$4:$AC$5,2,FALSE),0)</f>
        <v>0</v>
      </c>
      <c r="BU70" s="761">
        <f>IFERROR(INDEX('Early Retirement'!$AE$4:$BE$33,$BO70,$BR70),0)</f>
        <v>0</v>
      </c>
      <c r="BV70" s="759">
        <f>IFERROR(HLOOKUP($BR70,'Early Retirement'!$AF$4:$BE$5,2,FALSE),0)</f>
        <v>0</v>
      </c>
      <c r="BW70" s="479">
        <f t="shared" si="87"/>
        <v>0</v>
      </c>
      <c r="BX70" s="761">
        <f t="shared" si="81"/>
        <v>0</v>
      </c>
      <c r="BY70" s="477" t="s">
        <v>46</v>
      </c>
      <c r="BZ70" s="598">
        <f>IFERROR(INDEX('Early Retirement'!$BG$4:$CG$33,$BO70,$BR70),0)</f>
        <v>0</v>
      </c>
      <c r="CA70" s="759">
        <f>IFERROR(HLOOKUP($BR70,'Early Retirement'!$BH$4:$CH$5,2,FALSE),0)</f>
        <v>0</v>
      </c>
      <c r="CB70" s="598">
        <f t="shared" si="82"/>
        <v>0</v>
      </c>
      <c r="CC70" s="759" t="s">
        <v>567</v>
      </c>
      <c r="CD70" s="477" t="str">
        <f t="shared" si="58"/>
        <v>Yes</v>
      </c>
      <c r="CE70" s="479">
        <f t="shared" si="59"/>
        <v>0</v>
      </c>
      <c r="CF70" s="761">
        <f t="shared" si="60"/>
        <v>0</v>
      </c>
      <c r="CG70" s="759" t="s">
        <v>46</v>
      </c>
      <c r="CH70" s="598">
        <f t="shared" si="83"/>
        <v>0</v>
      </c>
      <c r="CI70" s="759" t="s">
        <v>567</v>
      </c>
      <c r="CJ70" s="480">
        <f t="shared" si="84"/>
        <v>0</v>
      </c>
      <c r="CK70" s="583">
        <f t="shared" si="85"/>
        <v>0</v>
      </c>
      <c r="CL70" s="596" t="s">
        <v>46</v>
      </c>
      <c r="CM70" s="581">
        <f t="shared" si="86"/>
        <v>0</v>
      </c>
      <c r="CN70" s="762" t="s">
        <v>567</v>
      </c>
      <c r="CP70" s="90" t="s">
        <v>242</v>
      </c>
      <c r="CQ70" s="121">
        <v>10</v>
      </c>
      <c r="CR70" s="307" t="s">
        <v>50</v>
      </c>
      <c r="CS70" s="641">
        <v>10</v>
      </c>
      <c r="CT70" s="551" t="s">
        <v>50</v>
      </c>
      <c r="CU70" s="645">
        <f t="shared" si="49"/>
        <v>1.2</v>
      </c>
      <c r="CV70" s="645">
        <f t="shared" si="49"/>
        <v>1.2</v>
      </c>
      <c r="CW70" s="633" t="s">
        <v>46</v>
      </c>
      <c r="CX70" s="606"/>
      <c r="CY70" s="589"/>
      <c r="CZ70" s="606"/>
      <c r="DA70" s="609"/>
      <c r="DB70" s="562"/>
      <c r="DC70" s="562"/>
      <c r="DD70" s="562"/>
      <c r="DE70" s="562"/>
      <c r="DF70" s="562"/>
      <c r="DG70" s="562"/>
      <c r="DH70" s="562"/>
      <c r="DI70" s="562"/>
      <c r="DJ70" s="562"/>
      <c r="DK70" s="562"/>
      <c r="DL70" s="562"/>
      <c r="DM70" s="562"/>
      <c r="DN70" s="562"/>
      <c r="DO70" s="562"/>
      <c r="DP70" s="562"/>
      <c r="DQ70" s="562"/>
      <c r="DR70" s="562"/>
      <c r="DS70" s="562"/>
      <c r="DT70" s="562"/>
      <c r="DU70" s="562"/>
      <c r="DV70" s="562"/>
      <c r="DW70" s="562"/>
      <c r="DX70" s="562"/>
      <c r="DY70" s="562"/>
      <c r="DZ70" s="562"/>
      <c r="EA70" s="562"/>
      <c r="EB70" s="562"/>
      <c r="EC70" s="562"/>
      <c r="ED70" s="562"/>
      <c r="EE70" s="562"/>
      <c r="EF70" s="562"/>
      <c r="EG70" s="562"/>
      <c r="EH70" s="562"/>
      <c r="EI70" s="562"/>
      <c r="EJ70" s="562"/>
      <c r="EK70" s="562"/>
      <c r="EL70" s="562"/>
    </row>
    <row r="71" spans="2:142" s="78" customFormat="1" ht="15" customHeight="1" x14ac:dyDescent="0.25">
      <c r="B71" s="77"/>
      <c r="E71" s="77"/>
      <c r="H71" s="77"/>
      <c r="U71" s="79"/>
      <c r="V71" s="79"/>
      <c r="W71" s="79"/>
      <c r="Y71" s="90">
        <v>69</v>
      </c>
      <c r="Z71" s="559" t="str">
        <f>IF(Inventory!$C78="","",VLOOKUP(Inventory!$C78,$B$3:$C$5,2,FALSE))</f>
        <v/>
      </c>
      <c r="AA71" s="559" t="str">
        <f>IF($Z71="","",IF(AND($Z71="b",Inventory!$G78=""),"",IF(AND($Z71="b",Inventory!$G78&lt;&gt;""),VLOOKUP(Inventory!$G78,$E$3:$F$10,2,FALSE),IF(AND($Z71="a",Inventory!$Z78=""),"",IF(AND($Z71="a",Inventory!$Z78&lt;&gt;""),VLOOKUP(Inventory!$Z78,$E$3:$F$10,2,FALSE),IF(AND($Z71="c",Inventory!$Z78=""),"",IF(AND($Z71="c",Inventory!$Z78&lt;&gt;""),VLOOKUP(Inventory!$Z78,$E$3:$F$10,2,FALSE),"")))))))</f>
        <v/>
      </c>
      <c r="AB71" s="559" t="str">
        <f>IF($Z71="","a",IF(AND($Z71="b",Inventory!$J78=""),"a",IF(AND($Z71="b",Inventory!$J78&lt;&gt;""),VLOOKUP(Inventory!$J78,$H$4:$I$6,2,FALSE),IF(AND($Z71="a",Inventory!$AA78=""),"a",IF(AND($Z71="a",Inventory!$AA78&lt;&gt;""),VLOOKUP(Inventory!$AA78,$H$4:$I$6,2,FALSE),IF(AND($Z71="c",Inventory!$AA78=""),"a",IF(AND($Z71="c",Inventory!$AA78&lt;&gt;""),VLOOKUP(Inventory!$AA78,$H$4:$I$6,2,FALSE),"a")))))))</f>
        <v>a</v>
      </c>
      <c r="AC71" s="559" t="str">
        <f t="shared" si="61"/>
        <v>a</v>
      </c>
      <c r="AD71" s="473" t="str">
        <f>IF($Z71="","a",IF(AND($Z71="b",Inventory!$L78=""),"a",IF(AND($Z71="b",Inventory!$L78&lt;&gt;""),VLOOKUP(Inventory!$L78,$N$4:$O$5,2,FALSE),IF(AND($Z71="a",Inventory!$AC78=""),"a",IF(AND($Z71="a",Inventory!$AC78&lt;&gt;""),VLOOKUP(Inventory!$AC78,$N$4:$O$5,2,FALSE),IF(AND($Z71="c",Inventory!$AC78=""),"a",IF(AND($Z71="c",Inventory!$AC78&lt;&gt;""),VLOOKUP(Inventory!$AC78,$N$4:$O$5,2,FALSE),"a")))))))</f>
        <v>a</v>
      </c>
      <c r="AE71" s="474">
        <f>IF(OR(Inventory!C78="New Construction",Inventory!C78="Replace-on-Burnout"),Inventory!AF78,IF(Inventory!C78="Early Retirement",MIN(Inventory!AE78,Inventory!AF78),0))</f>
        <v>0</v>
      </c>
      <c r="AF71" s="475" t="str">
        <f t="shared" si="62"/>
        <v/>
      </c>
      <c r="AG71" s="475" t="str">
        <f t="shared" si="50"/>
        <v/>
      </c>
      <c r="AH71" s="475" t="str">
        <f t="shared" si="51"/>
        <v/>
      </c>
      <c r="AI71" s="475" t="str">
        <f t="shared" si="52"/>
        <v/>
      </c>
      <c r="AJ71" s="475" t="str">
        <f t="shared" si="53"/>
        <v/>
      </c>
      <c r="AK71" s="475" t="str">
        <f t="shared" si="63"/>
        <v/>
      </c>
      <c r="AL71" s="475" t="str">
        <f t="shared" si="64"/>
        <v/>
      </c>
      <c r="AM71" s="475" t="str">
        <f t="shared" si="65"/>
        <v/>
      </c>
      <c r="AN71" s="475" t="str">
        <f t="shared" si="66"/>
        <v/>
      </c>
      <c r="AO71" s="475" t="str">
        <f t="shared" si="67"/>
        <v/>
      </c>
      <c r="AP71" s="475" t="str">
        <f t="shared" si="68"/>
        <v/>
      </c>
      <c r="AQ71" s="475" t="str">
        <f t="shared" si="69"/>
        <v/>
      </c>
      <c r="AR71" s="475" t="str">
        <f t="shared" si="70"/>
        <v/>
      </c>
      <c r="AS71" s="475" t="str">
        <f t="shared" si="71"/>
        <v/>
      </c>
      <c r="AT71" s="475" t="str">
        <f t="shared" si="72"/>
        <v/>
      </c>
      <c r="AU71" s="475" t="str">
        <f t="shared" si="73"/>
        <v/>
      </c>
      <c r="AV71" s="475" t="str">
        <f t="shared" si="54"/>
        <v/>
      </c>
      <c r="AW71" s="473">
        <f t="shared" si="55"/>
        <v>0</v>
      </c>
      <c r="AX71" s="473" t="str">
        <f>IF(AND($Z71="b",OR($AA71="a",$AA71="b"),Inventory!$I78="",$AE71&lt;(65000/12000)),"x",IF(AND($Z71="b",OR($AA71="a",$AA71="b"),Inventory!$I78&lt;&gt;"",$AE71&lt;(65000/12000)),VLOOKUP(Inventory!$I78,$V$4:$W$5,2,FALSE),"x"))</f>
        <v>x</v>
      </c>
      <c r="AY71" s="476" t="str">
        <f t="shared" si="74"/>
        <v>aaa0</v>
      </c>
      <c r="AZ71" s="477" t="str">
        <f t="shared" si="75"/>
        <v>No</v>
      </c>
      <c r="BA71" s="759" t="str">
        <f t="shared" si="76"/>
        <v>No</v>
      </c>
      <c r="BB71" s="477">
        <f>IF($Z71="c",Inventory!$AB78,Inventory!$K78)</f>
        <v>0</v>
      </c>
      <c r="BC71" s="478">
        <f>IF(AND($Z71="b",Inventory!$N78="Btu/hr"),Inventory!$M78,IF(AND($Z71="b",Inventory!$N78="Tons"),Inventory!$M78*12000,IF(AND($Z71&lt;&gt;"b",Inventory!$AK78="Btu/hr"),Inventory!$AD78,IF(AND($Z71&lt;&gt;"b",Inventory!$AK78="Tons"),Inventory!$AD78*12000,0))))</f>
        <v>0</v>
      </c>
      <c r="BD71" s="478">
        <f t="shared" si="46"/>
        <v>0</v>
      </c>
      <c r="BE71" s="479">
        <f t="shared" si="77"/>
        <v>0</v>
      </c>
      <c r="BF71" s="477" t="s">
        <v>50</v>
      </c>
      <c r="BG71" s="479">
        <f t="shared" si="56"/>
        <v>0</v>
      </c>
      <c r="BH71" s="477" t="s">
        <v>46</v>
      </c>
      <c r="BI71" s="760">
        <f>IF(AND($Z71="b",Inventory!$P78="Btu/hr"),Inventory!$O78,IF(AND($Z71="b",Inventory!$P78="Tons"),Inventory!$O78*12000,IF(AND($Z71&lt;&gt;"b",Inventory!$AM78="Btu/hr"),Inventory!$AL78,IF(AND($Z71&lt;&gt;"b",Inventory!$AM78="Tons"),Inventory!$AL78*12000,0))))</f>
        <v>0</v>
      </c>
      <c r="BJ71" s="760">
        <f t="shared" si="47"/>
        <v>0</v>
      </c>
      <c r="BK71" s="598">
        <f t="shared" si="78"/>
        <v>0</v>
      </c>
      <c r="BL71" s="759" t="s">
        <v>567</v>
      </c>
      <c r="BM71" s="477" t="str">
        <f t="shared" si="57"/>
        <v>No</v>
      </c>
      <c r="BN71" s="477" t="str">
        <f>IF(OR(Inventory!$H78="",$BM71="No"),"-",Inventory!$H78)</f>
        <v>-</v>
      </c>
      <c r="BO71" s="477" t="str">
        <f>IFERROR(VLOOKUP(BN71,'Early Retirement'!$B$6:$C$33,2,FALSE),"-")</f>
        <v>-</v>
      </c>
      <c r="BP71" s="477" t="str">
        <f>IF(Inventory!$J78="Centrifugal","Yes","No")</f>
        <v>No</v>
      </c>
      <c r="BQ71" s="477">
        <f t="shared" si="79"/>
        <v>0</v>
      </c>
      <c r="BR71" s="477" t="str">
        <f t="shared" si="80"/>
        <v>-</v>
      </c>
      <c r="BS71" s="479">
        <f>IFERROR(INDEX('Early Retirement'!$C$4:$AC$33,$BO71,$BR71),0)</f>
        <v>0</v>
      </c>
      <c r="BT71" s="477">
        <f>IFERROR(HLOOKUP($BR71,'Early Retirement'!$D$4:$AC$5,2,FALSE),0)</f>
        <v>0</v>
      </c>
      <c r="BU71" s="761">
        <f>IFERROR(INDEX('Early Retirement'!$AE$4:$BE$33,$BO71,$BR71),0)</f>
        <v>0</v>
      </c>
      <c r="BV71" s="759">
        <f>IFERROR(HLOOKUP($BR71,'Early Retirement'!$AF$4:$BE$5,2,FALSE),0)</f>
        <v>0</v>
      </c>
      <c r="BW71" s="479">
        <f t="shared" si="87"/>
        <v>0</v>
      </c>
      <c r="BX71" s="761">
        <f t="shared" si="81"/>
        <v>0</v>
      </c>
      <c r="BY71" s="477" t="s">
        <v>46</v>
      </c>
      <c r="BZ71" s="598">
        <f>IFERROR(INDEX('Early Retirement'!$BG$4:$CG$33,$BO71,$BR71),0)</f>
        <v>0</v>
      </c>
      <c r="CA71" s="759">
        <f>IFERROR(HLOOKUP($BR71,'Early Retirement'!$BH$4:$CH$5,2,FALSE),0)</f>
        <v>0</v>
      </c>
      <c r="CB71" s="598">
        <f t="shared" si="82"/>
        <v>0</v>
      </c>
      <c r="CC71" s="759" t="s">
        <v>567</v>
      </c>
      <c r="CD71" s="477" t="str">
        <f t="shared" si="58"/>
        <v>Yes</v>
      </c>
      <c r="CE71" s="479">
        <f t="shared" si="59"/>
        <v>0</v>
      </c>
      <c r="CF71" s="761">
        <f t="shared" si="60"/>
        <v>0</v>
      </c>
      <c r="CG71" s="759" t="s">
        <v>46</v>
      </c>
      <c r="CH71" s="598">
        <f t="shared" si="83"/>
        <v>0</v>
      </c>
      <c r="CI71" s="759" t="s">
        <v>567</v>
      </c>
      <c r="CJ71" s="480">
        <f t="shared" si="84"/>
        <v>0</v>
      </c>
      <c r="CK71" s="583">
        <f t="shared" si="85"/>
        <v>0</v>
      </c>
      <c r="CL71" s="596" t="s">
        <v>46</v>
      </c>
      <c r="CM71" s="581">
        <f t="shared" si="86"/>
        <v>0</v>
      </c>
      <c r="CN71" s="762" t="s">
        <v>567</v>
      </c>
      <c r="CP71" s="90" t="s">
        <v>243</v>
      </c>
      <c r="CQ71" s="121">
        <v>9.6</v>
      </c>
      <c r="CR71" s="307" t="s">
        <v>50</v>
      </c>
      <c r="CS71" s="641">
        <v>9.6</v>
      </c>
      <c r="CT71" s="551" t="s">
        <v>50</v>
      </c>
      <c r="CU71" s="645">
        <f t="shared" si="49"/>
        <v>1.25</v>
      </c>
      <c r="CV71" s="645">
        <f t="shared" si="49"/>
        <v>1.25</v>
      </c>
      <c r="CW71" s="633" t="s">
        <v>46</v>
      </c>
      <c r="CX71" s="606"/>
      <c r="CY71" s="589"/>
      <c r="CZ71" s="606"/>
      <c r="DA71" s="609"/>
      <c r="DB71" s="562"/>
      <c r="DC71" s="562"/>
      <c r="DD71" s="562"/>
      <c r="DE71" s="562"/>
      <c r="DF71" s="562"/>
      <c r="DG71" s="562"/>
      <c r="DH71" s="562"/>
      <c r="DI71" s="562"/>
      <c r="DJ71" s="562"/>
      <c r="DK71" s="562"/>
      <c r="DL71" s="562"/>
      <c r="DM71" s="562"/>
      <c r="DN71" s="562"/>
      <c r="DO71" s="562"/>
      <c r="DP71" s="562"/>
      <c r="DQ71" s="562"/>
      <c r="DR71" s="562"/>
      <c r="DS71" s="562"/>
      <c r="DT71" s="562"/>
      <c r="DU71" s="562"/>
      <c r="DV71" s="562"/>
      <c r="DW71" s="562"/>
      <c r="DX71" s="562"/>
      <c r="DY71" s="562"/>
      <c r="DZ71" s="562"/>
      <c r="EA71" s="562"/>
      <c r="EB71" s="562"/>
      <c r="EC71" s="562"/>
      <c r="ED71" s="562"/>
      <c r="EE71" s="562"/>
      <c r="EF71" s="562"/>
      <c r="EG71" s="562"/>
      <c r="EH71" s="562"/>
      <c r="EI71" s="562"/>
      <c r="EJ71" s="562"/>
      <c r="EK71" s="562"/>
      <c r="EL71" s="562"/>
    </row>
    <row r="72" spans="2:142" s="78" customFormat="1" ht="15" customHeight="1" x14ac:dyDescent="0.25">
      <c r="B72" s="77"/>
      <c r="E72" s="77"/>
      <c r="H72" s="77"/>
      <c r="U72" s="79"/>
      <c r="V72" s="79"/>
      <c r="W72" s="79"/>
      <c r="Y72" s="90">
        <v>70</v>
      </c>
      <c r="Z72" s="559" t="str">
        <f>IF(Inventory!$C79="","",VLOOKUP(Inventory!$C79,$B$3:$C$5,2,FALSE))</f>
        <v/>
      </c>
      <c r="AA72" s="559" t="str">
        <f>IF($Z72="","",IF(AND($Z72="b",Inventory!$G79=""),"",IF(AND($Z72="b",Inventory!$G79&lt;&gt;""),VLOOKUP(Inventory!$G79,$E$3:$F$10,2,FALSE),IF(AND($Z72="a",Inventory!$Z79=""),"",IF(AND($Z72="a",Inventory!$Z79&lt;&gt;""),VLOOKUP(Inventory!$Z79,$E$3:$F$10,2,FALSE),IF(AND($Z72="c",Inventory!$Z79=""),"",IF(AND($Z72="c",Inventory!$Z79&lt;&gt;""),VLOOKUP(Inventory!$Z79,$E$3:$F$10,2,FALSE),"")))))))</f>
        <v/>
      </c>
      <c r="AB72" s="559" t="str">
        <f>IF($Z72="","a",IF(AND($Z72="b",Inventory!$J79=""),"a",IF(AND($Z72="b",Inventory!$J79&lt;&gt;""),VLOOKUP(Inventory!$J79,$H$4:$I$6,2,FALSE),IF(AND($Z72="a",Inventory!$AA79=""),"a",IF(AND($Z72="a",Inventory!$AA79&lt;&gt;""),VLOOKUP(Inventory!$AA79,$H$4:$I$6,2,FALSE),IF(AND($Z72="c",Inventory!$AA79=""),"a",IF(AND($Z72="c",Inventory!$AA79&lt;&gt;""),VLOOKUP(Inventory!$AA79,$H$4:$I$6,2,FALSE),"a")))))))</f>
        <v>a</v>
      </c>
      <c r="AC72" s="559" t="str">
        <f t="shared" si="61"/>
        <v>a</v>
      </c>
      <c r="AD72" s="473" t="str">
        <f>IF($Z72="","a",IF(AND($Z72="b",Inventory!$L79=""),"a",IF(AND($Z72="b",Inventory!$L79&lt;&gt;""),VLOOKUP(Inventory!$L79,$N$4:$O$5,2,FALSE),IF(AND($Z72="a",Inventory!$AC79=""),"a",IF(AND($Z72="a",Inventory!$AC79&lt;&gt;""),VLOOKUP(Inventory!$AC79,$N$4:$O$5,2,FALSE),IF(AND($Z72="c",Inventory!$AC79=""),"a",IF(AND($Z72="c",Inventory!$AC79&lt;&gt;""),VLOOKUP(Inventory!$AC79,$N$4:$O$5,2,FALSE),"a")))))))</f>
        <v>a</v>
      </c>
      <c r="AE72" s="474">
        <f>IF(OR(Inventory!C79="New Construction",Inventory!C79="Replace-on-Burnout"),Inventory!AF79,IF(Inventory!C79="Early Retirement",MIN(Inventory!AE79,Inventory!AF79),0))</f>
        <v>0</v>
      </c>
      <c r="AF72" s="475" t="str">
        <f t="shared" si="62"/>
        <v/>
      </c>
      <c r="AG72" s="475" t="str">
        <f t="shared" si="50"/>
        <v/>
      </c>
      <c r="AH72" s="475" t="str">
        <f t="shared" si="51"/>
        <v/>
      </c>
      <c r="AI72" s="475" t="str">
        <f t="shared" si="52"/>
        <v/>
      </c>
      <c r="AJ72" s="475" t="str">
        <f t="shared" si="53"/>
        <v/>
      </c>
      <c r="AK72" s="475" t="str">
        <f t="shared" si="63"/>
        <v/>
      </c>
      <c r="AL72" s="475" t="str">
        <f t="shared" si="64"/>
        <v/>
      </c>
      <c r="AM72" s="475" t="str">
        <f t="shared" si="65"/>
        <v/>
      </c>
      <c r="AN72" s="475" t="str">
        <f t="shared" si="66"/>
        <v/>
      </c>
      <c r="AO72" s="475" t="str">
        <f t="shared" si="67"/>
        <v/>
      </c>
      <c r="AP72" s="475" t="str">
        <f t="shared" si="68"/>
        <v/>
      </c>
      <c r="AQ72" s="475" t="str">
        <f t="shared" si="69"/>
        <v/>
      </c>
      <c r="AR72" s="475" t="str">
        <f t="shared" si="70"/>
        <v/>
      </c>
      <c r="AS72" s="475" t="str">
        <f t="shared" si="71"/>
        <v/>
      </c>
      <c r="AT72" s="475" t="str">
        <f t="shared" si="72"/>
        <v/>
      </c>
      <c r="AU72" s="475" t="str">
        <f t="shared" si="73"/>
        <v/>
      </c>
      <c r="AV72" s="475" t="str">
        <f t="shared" si="54"/>
        <v/>
      </c>
      <c r="AW72" s="473">
        <f t="shared" si="55"/>
        <v>0</v>
      </c>
      <c r="AX72" s="473" t="str">
        <f>IF(AND($Z72="b",OR($AA72="a",$AA72="b"),Inventory!$I79="",$AE72&lt;(65000/12000)),"x",IF(AND($Z72="b",OR($AA72="a",$AA72="b"),Inventory!$I79&lt;&gt;"",$AE72&lt;(65000/12000)),VLOOKUP(Inventory!$I79,$V$4:$W$5,2,FALSE),"x"))</f>
        <v>x</v>
      </c>
      <c r="AY72" s="476" t="str">
        <f t="shared" si="74"/>
        <v>aaa0</v>
      </c>
      <c r="AZ72" s="477" t="str">
        <f t="shared" si="75"/>
        <v>No</v>
      </c>
      <c r="BA72" s="759" t="str">
        <f t="shared" si="76"/>
        <v>No</v>
      </c>
      <c r="BB72" s="477">
        <f>IF($Z72="c",Inventory!$AB79,Inventory!$K79)</f>
        <v>0</v>
      </c>
      <c r="BC72" s="478">
        <f>IF(AND($Z72="b",Inventory!$N79="Btu/hr"),Inventory!$M79,IF(AND($Z72="b",Inventory!$N79="Tons"),Inventory!$M79*12000,IF(AND($Z72&lt;&gt;"b",Inventory!$AK79="Btu/hr"),Inventory!$AD79,IF(AND($Z72&lt;&gt;"b",Inventory!$AK79="Tons"),Inventory!$AD79*12000,0))))</f>
        <v>0</v>
      </c>
      <c r="BD72" s="478">
        <f t="shared" si="46"/>
        <v>0</v>
      </c>
      <c r="BE72" s="479">
        <f t="shared" si="77"/>
        <v>0</v>
      </c>
      <c r="BF72" s="477" t="s">
        <v>50</v>
      </c>
      <c r="BG72" s="479">
        <f t="shared" si="56"/>
        <v>0</v>
      </c>
      <c r="BH72" s="477" t="s">
        <v>46</v>
      </c>
      <c r="BI72" s="760">
        <f>IF(AND($Z72="b",Inventory!$P79="Btu/hr"),Inventory!$O79,IF(AND($Z72="b",Inventory!$P79="Tons"),Inventory!$O79*12000,IF(AND($Z72&lt;&gt;"b",Inventory!$AM79="Btu/hr"),Inventory!$AL79,IF(AND($Z72&lt;&gt;"b",Inventory!$AM79="Tons"),Inventory!$AL79*12000,0))))</f>
        <v>0</v>
      </c>
      <c r="BJ72" s="760">
        <f t="shared" si="47"/>
        <v>0</v>
      </c>
      <c r="BK72" s="598">
        <f t="shared" si="78"/>
        <v>0</v>
      </c>
      <c r="BL72" s="759" t="s">
        <v>567</v>
      </c>
      <c r="BM72" s="477" t="str">
        <f t="shared" si="57"/>
        <v>No</v>
      </c>
      <c r="BN72" s="477" t="str">
        <f>IF(OR(Inventory!$H79="",$BM72="No"),"-",Inventory!$H79)</f>
        <v>-</v>
      </c>
      <c r="BO72" s="477" t="str">
        <f>IFERROR(VLOOKUP(BN72,'Early Retirement'!$B$6:$C$33,2,FALSE),"-")</f>
        <v>-</v>
      </c>
      <c r="BP72" s="477" t="str">
        <f>IF(Inventory!$J79="Centrifugal","Yes","No")</f>
        <v>No</v>
      </c>
      <c r="BQ72" s="477">
        <f t="shared" si="79"/>
        <v>0</v>
      </c>
      <c r="BR72" s="477" t="str">
        <f t="shared" si="80"/>
        <v>-</v>
      </c>
      <c r="BS72" s="479">
        <f>IFERROR(INDEX('Early Retirement'!$C$4:$AC$33,$BO72,$BR72),0)</f>
        <v>0</v>
      </c>
      <c r="BT72" s="477">
        <f>IFERROR(HLOOKUP($BR72,'Early Retirement'!$D$4:$AC$5,2,FALSE),0)</f>
        <v>0</v>
      </c>
      <c r="BU72" s="761">
        <f>IFERROR(INDEX('Early Retirement'!$AE$4:$BE$33,$BO72,$BR72),0)</f>
        <v>0</v>
      </c>
      <c r="BV72" s="759">
        <f>IFERROR(HLOOKUP($BR72,'Early Retirement'!$AF$4:$BE$5,2,FALSE),0)</f>
        <v>0</v>
      </c>
      <c r="BW72" s="479">
        <f t="shared" si="87"/>
        <v>0</v>
      </c>
      <c r="BX72" s="761">
        <f t="shared" si="81"/>
        <v>0</v>
      </c>
      <c r="BY72" s="477" t="s">
        <v>46</v>
      </c>
      <c r="BZ72" s="598">
        <f>IFERROR(INDEX('Early Retirement'!$BG$4:$CG$33,$BO72,$BR72),0)</f>
        <v>0</v>
      </c>
      <c r="CA72" s="759">
        <f>IFERROR(HLOOKUP($BR72,'Early Retirement'!$BH$4:$CH$5,2,FALSE),0)</f>
        <v>0</v>
      </c>
      <c r="CB72" s="598">
        <f t="shared" si="82"/>
        <v>0</v>
      </c>
      <c r="CC72" s="759" t="s">
        <v>567</v>
      </c>
      <c r="CD72" s="477" t="str">
        <f t="shared" si="58"/>
        <v>Yes</v>
      </c>
      <c r="CE72" s="479">
        <f t="shared" si="59"/>
        <v>0</v>
      </c>
      <c r="CF72" s="761">
        <f t="shared" si="60"/>
        <v>0</v>
      </c>
      <c r="CG72" s="759" t="s">
        <v>46</v>
      </c>
      <c r="CH72" s="598">
        <f t="shared" si="83"/>
        <v>0</v>
      </c>
      <c r="CI72" s="759" t="s">
        <v>567</v>
      </c>
      <c r="CJ72" s="480">
        <f t="shared" si="84"/>
        <v>0</v>
      </c>
      <c r="CK72" s="583">
        <f t="shared" si="85"/>
        <v>0</v>
      </c>
      <c r="CL72" s="596" t="s">
        <v>46</v>
      </c>
      <c r="CM72" s="581">
        <f t="shared" si="86"/>
        <v>0</v>
      </c>
      <c r="CN72" s="762" t="s">
        <v>567</v>
      </c>
      <c r="CP72" s="90" t="s">
        <v>244</v>
      </c>
      <c r="CQ72" s="121">
        <v>9.5</v>
      </c>
      <c r="CR72" s="307" t="s">
        <v>50</v>
      </c>
      <c r="CS72" s="641">
        <v>9.5</v>
      </c>
      <c r="CT72" s="551" t="s">
        <v>50</v>
      </c>
      <c r="CU72" s="645">
        <f t="shared" si="49"/>
        <v>1.263157894736842</v>
      </c>
      <c r="CV72" s="645">
        <f t="shared" si="49"/>
        <v>1.263157894736842</v>
      </c>
      <c r="CW72" s="633" t="s">
        <v>46</v>
      </c>
      <c r="CX72" s="606"/>
      <c r="CY72" s="589"/>
      <c r="CZ72" s="606"/>
      <c r="DA72" s="609"/>
      <c r="DB72" s="562"/>
      <c r="DC72" s="562"/>
      <c r="DD72" s="562"/>
      <c r="DE72" s="562"/>
      <c r="DF72" s="562"/>
      <c r="DG72" s="562"/>
      <c r="DH72" s="562"/>
      <c r="DI72" s="562"/>
      <c r="DJ72" s="562"/>
      <c r="DK72" s="562"/>
      <c r="DL72" s="562"/>
      <c r="DM72" s="562"/>
      <c r="DN72" s="562"/>
      <c r="DO72" s="562"/>
      <c r="DP72" s="562"/>
      <c r="DQ72" s="562"/>
      <c r="DR72" s="562"/>
      <c r="DS72" s="562"/>
      <c r="DT72" s="562"/>
      <c r="DU72" s="562"/>
      <c r="DV72" s="562"/>
      <c r="DW72" s="562"/>
      <c r="DX72" s="562"/>
      <c r="DY72" s="562"/>
      <c r="DZ72" s="562"/>
      <c r="EA72" s="562"/>
      <c r="EB72" s="562"/>
      <c r="EC72" s="562"/>
      <c r="ED72" s="562"/>
      <c r="EE72" s="562"/>
      <c r="EF72" s="562"/>
      <c r="EG72" s="562"/>
      <c r="EH72" s="562"/>
      <c r="EI72" s="562"/>
      <c r="EJ72" s="562"/>
      <c r="EK72" s="562"/>
      <c r="EL72" s="562"/>
    </row>
    <row r="73" spans="2:142" s="78" customFormat="1" ht="15" customHeight="1" x14ac:dyDescent="0.25">
      <c r="B73" s="77"/>
      <c r="E73" s="77"/>
      <c r="H73" s="77"/>
      <c r="U73" s="79"/>
      <c r="V73" s="79"/>
      <c r="W73" s="79"/>
      <c r="Y73" s="90">
        <v>71</v>
      </c>
      <c r="Z73" s="559" t="str">
        <f>IF(Inventory!$C80="","",VLOOKUP(Inventory!$C80,$B$3:$C$5,2,FALSE))</f>
        <v/>
      </c>
      <c r="AA73" s="559" t="str">
        <f>IF($Z73="","",IF(AND($Z73="b",Inventory!$G80=""),"",IF(AND($Z73="b",Inventory!$G80&lt;&gt;""),VLOOKUP(Inventory!$G80,$E$3:$F$10,2,FALSE),IF(AND($Z73="a",Inventory!$Z80=""),"",IF(AND($Z73="a",Inventory!$Z80&lt;&gt;""),VLOOKUP(Inventory!$Z80,$E$3:$F$10,2,FALSE),IF(AND($Z73="c",Inventory!$Z80=""),"",IF(AND($Z73="c",Inventory!$Z80&lt;&gt;""),VLOOKUP(Inventory!$Z80,$E$3:$F$10,2,FALSE),"")))))))</f>
        <v/>
      </c>
      <c r="AB73" s="559" t="str">
        <f>IF($Z73="","a",IF(AND($Z73="b",Inventory!$J80=""),"a",IF(AND($Z73="b",Inventory!$J80&lt;&gt;""),VLOOKUP(Inventory!$J80,$H$4:$I$6,2,FALSE),IF(AND($Z73="a",Inventory!$AA80=""),"a",IF(AND($Z73="a",Inventory!$AA80&lt;&gt;""),VLOOKUP(Inventory!$AA80,$H$4:$I$6,2,FALSE),IF(AND($Z73="c",Inventory!$AA80=""),"a",IF(AND($Z73="c",Inventory!$AA80&lt;&gt;""),VLOOKUP(Inventory!$AA80,$H$4:$I$6,2,FALSE),"a")))))))</f>
        <v>a</v>
      </c>
      <c r="AC73" s="559" t="str">
        <f t="shared" si="61"/>
        <v>a</v>
      </c>
      <c r="AD73" s="473" t="str">
        <f>IF($Z73="","a",IF(AND($Z73="b",Inventory!$L80=""),"a",IF(AND($Z73="b",Inventory!$L80&lt;&gt;""),VLOOKUP(Inventory!$L80,$N$4:$O$5,2,FALSE),IF(AND($Z73="a",Inventory!$AC80=""),"a",IF(AND($Z73="a",Inventory!$AC80&lt;&gt;""),VLOOKUP(Inventory!$AC80,$N$4:$O$5,2,FALSE),IF(AND($Z73="c",Inventory!$AC80=""),"a",IF(AND($Z73="c",Inventory!$AC80&lt;&gt;""),VLOOKUP(Inventory!$AC80,$N$4:$O$5,2,FALSE),"a")))))))</f>
        <v>a</v>
      </c>
      <c r="AE73" s="474">
        <f>IF(OR(Inventory!C80="New Construction",Inventory!C80="Replace-on-Burnout"),Inventory!AF80,IF(Inventory!C80="Early Retirement",MIN(Inventory!AE80,Inventory!AF80),0))</f>
        <v>0</v>
      </c>
      <c r="AF73" s="475" t="str">
        <f t="shared" si="62"/>
        <v/>
      </c>
      <c r="AG73" s="475" t="str">
        <f t="shared" si="50"/>
        <v/>
      </c>
      <c r="AH73" s="475" t="str">
        <f t="shared" si="51"/>
        <v/>
      </c>
      <c r="AI73" s="475" t="str">
        <f t="shared" si="52"/>
        <v/>
      </c>
      <c r="AJ73" s="475" t="str">
        <f t="shared" si="53"/>
        <v/>
      </c>
      <c r="AK73" s="475" t="str">
        <f t="shared" si="63"/>
        <v/>
      </c>
      <c r="AL73" s="475" t="str">
        <f t="shared" si="64"/>
        <v/>
      </c>
      <c r="AM73" s="475" t="str">
        <f t="shared" si="65"/>
        <v/>
      </c>
      <c r="AN73" s="475" t="str">
        <f t="shared" si="66"/>
        <v/>
      </c>
      <c r="AO73" s="475" t="str">
        <f t="shared" si="67"/>
        <v/>
      </c>
      <c r="AP73" s="475" t="str">
        <f t="shared" si="68"/>
        <v/>
      </c>
      <c r="AQ73" s="475" t="str">
        <f t="shared" si="69"/>
        <v/>
      </c>
      <c r="AR73" s="475" t="str">
        <f t="shared" si="70"/>
        <v/>
      </c>
      <c r="AS73" s="475" t="str">
        <f t="shared" si="71"/>
        <v/>
      </c>
      <c r="AT73" s="475" t="str">
        <f t="shared" si="72"/>
        <v/>
      </c>
      <c r="AU73" s="475" t="str">
        <f t="shared" si="73"/>
        <v/>
      </c>
      <c r="AV73" s="475" t="str">
        <f t="shared" si="54"/>
        <v/>
      </c>
      <c r="AW73" s="473">
        <f t="shared" si="55"/>
        <v>0</v>
      </c>
      <c r="AX73" s="473" t="str">
        <f>IF(AND($Z73="b",OR($AA73="a",$AA73="b"),Inventory!$I80="",$AE73&lt;(65000/12000)),"x",IF(AND($Z73="b",OR($AA73="a",$AA73="b"),Inventory!$I80&lt;&gt;"",$AE73&lt;(65000/12000)),VLOOKUP(Inventory!$I80,$V$4:$W$5,2,FALSE),"x"))</f>
        <v>x</v>
      </c>
      <c r="AY73" s="476" t="str">
        <f t="shared" si="74"/>
        <v>aaa0</v>
      </c>
      <c r="AZ73" s="477" t="str">
        <f t="shared" si="75"/>
        <v>No</v>
      </c>
      <c r="BA73" s="759" t="str">
        <f t="shared" si="76"/>
        <v>No</v>
      </c>
      <c r="BB73" s="477">
        <f>IF($Z73="c",Inventory!$AB80,Inventory!$K80)</f>
        <v>0</v>
      </c>
      <c r="BC73" s="478">
        <f>IF(AND($Z73="b",Inventory!$N80="Btu/hr"),Inventory!$M80,IF(AND($Z73="b",Inventory!$N80="Tons"),Inventory!$M80*12000,IF(AND($Z73&lt;&gt;"b",Inventory!$AK80="Btu/hr"),Inventory!$AD80,IF(AND($Z73&lt;&gt;"b",Inventory!$AK80="Tons"),Inventory!$AD80*12000,0))))</f>
        <v>0</v>
      </c>
      <c r="BD73" s="478">
        <f t="shared" si="46"/>
        <v>0</v>
      </c>
      <c r="BE73" s="479">
        <f t="shared" si="77"/>
        <v>0</v>
      </c>
      <c r="BF73" s="477" t="s">
        <v>50</v>
      </c>
      <c r="BG73" s="479">
        <f t="shared" si="56"/>
        <v>0</v>
      </c>
      <c r="BH73" s="477" t="s">
        <v>46</v>
      </c>
      <c r="BI73" s="760">
        <f>IF(AND($Z73="b",Inventory!$P80="Btu/hr"),Inventory!$O80,IF(AND($Z73="b",Inventory!$P80="Tons"),Inventory!$O80*12000,IF(AND($Z73&lt;&gt;"b",Inventory!$AM80="Btu/hr"),Inventory!$AL80,IF(AND($Z73&lt;&gt;"b",Inventory!$AM80="Tons"),Inventory!$AL80*12000,0))))</f>
        <v>0</v>
      </c>
      <c r="BJ73" s="760">
        <f t="shared" si="47"/>
        <v>0</v>
      </c>
      <c r="BK73" s="598">
        <f t="shared" si="78"/>
        <v>0</v>
      </c>
      <c r="BL73" s="759" t="s">
        <v>567</v>
      </c>
      <c r="BM73" s="477" t="str">
        <f t="shared" si="57"/>
        <v>No</v>
      </c>
      <c r="BN73" s="477" t="str">
        <f>IF(OR(Inventory!$H80="",$BM73="No"),"-",Inventory!$H80)</f>
        <v>-</v>
      </c>
      <c r="BO73" s="477" t="str">
        <f>IFERROR(VLOOKUP(BN73,'Early Retirement'!$B$6:$C$33,2,FALSE),"-")</f>
        <v>-</v>
      </c>
      <c r="BP73" s="477" t="str">
        <f>IF(Inventory!$J80="Centrifugal","Yes","No")</f>
        <v>No</v>
      </c>
      <c r="BQ73" s="477">
        <f t="shared" si="79"/>
        <v>0</v>
      </c>
      <c r="BR73" s="477" t="str">
        <f t="shared" si="80"/>
        <v>-</v>
      </c>
      <c r="BS73" s="479">
        <f>IFERROR(INDEX('Early Retirement'!$C$4:$AC$33,$BO73,$BR73),0)</f>
        <v>0</v>
      </c>
      <c r="BT73" s="477">
        <f>IFERROR(HLOOKUP($BR73,'Early Retirement'!$D$4:$AC$5,2,FALSE),0)</f>
        <v>0</v>
      </c>
      <c r="BU73" s="761">
        <f>IFERROR(INDEX('Early Retirement'!$AE$4:$BE$33,$BO73,$BR73),0)</f>
        <v>0</v>
      </c>
      <c r="BV73" s="759">
        <f>IFERROR(HLOOKUP($BR73,'Early Retirement'!$AF$4:$BE$5,2,FALSE),0)</f>
        <v>0</v>
      </c>
      <c r="BW73" s="479">
        <f t="shared" si="87"/>
        <v>0</v>
      </c>
      <c r="BX73" s="761">
        <f t="shared" si="81"/>
        <v>0</v>
      </c>
      <c r="BY73" s="477" t="s">
        <v>46</v>
      </c>
      <c r="BZ73" s="598">
        <f>IFERROR(INDEX('Early Retirement'!$BG$4:$CG$33,$BO73,$BR73),0)</f>
        <v>0</v>
      </c>
      <c r="CA73" s="759">
        <f>IFERROR(HLOOKUP($BR73,'Early Retirement'!$BH$4:$CH$5,2,FALSE),0)</f>
        <v>0</v>
      </c>
      <c r="CB73" s="598">
        <f t="shared" si="82"/>
        <v>0</v>
      </c>
      <c r="CC73" s="759" t="s">
        <v>567</v>
      </c>
      <c r="CD73" s="477" t="str">
        <f t="shared" si="58"/>
        <v>Yes</v>
      </c>
      <c r="CE73" s="479">
        <f t="shared" si="59"/>
        <v>0</v>
      </c>
      <c r="CF73" s="761">
        <f t="shared" si="60"/>
        <v>0</v>
      </c>
      <c r="CG73" s="759" t="s">
        <v>46</v>
      </c>
      <c r="CH73" s="598">
        <f t="shared" si="83"/>
        <v>0</v>
      </c>
      <c r="CI73" s="759" t="s">
        <v>567</v>
      </c>
      <c r="CJ73" s="480">
        <f t="shared" si="84"/>
        <v>0</v>
      </c>
      <c r="CK73" s="583">
        <f t="shared" si="85"/>
        <v>0</v>
      </c>
      <c r="CL73" s="596" t="s">
        <v>46</v>
      </c>
      <c r="CM73" s="581">
        <f t="shared" si="86"/>
        <v>0</v>
      </c>
      <c r="CN73" s="762" t="s">
        <v>567</v>
      </c>
      <c r="CP73" s="90" t="s">
        <v>501</v>
      </c>
      <c r="CQ73" s="121">
        <v>9.3000000000000007</v>
      </c>
      <c r="CR73" s="307" t="s">
        <v>50</v>
      </c>
      <c r="CS73" s="641">
        <v>9.3000000000000007</v>
      </c>
      <c r="CT73" s="551" t="s">
        <v>50</v>
      </c>
      <c r="CU73" s="645">
        <f t="shared" ref="CU73:CV74" si="88">12/$CQ73</f>
        <v>1.2903225806451613</v>
      </c>
      <c r="CV73" s="645">
        <f t="shared" si="88"/>
        <v>1.2903225806451613</v>
      </c>
      <c r="CW73" s="633" t="s">
        <v>46</v>
      </c>
      <c r="CX73" s="606"/>
      <c r="CY73" s="589"/>
      <c r="CZ73" s="606"/>
      <c r="DA73" s="609"/>
      <c r="DB73" s="562"/>
      <c r="DC73" s="562"/>
      <c r="DD73" s="562"/>
      <c r="DE73" s="562"/>
      <c r="DF73" s="562"/>
      <c r="DG73" s="562"/>
      <c r="DH73" s="562"/>
      <c r="DI73" s="562"/>
      <c r="DJ73" s="562"/>
      <c r="DK73" s="562"/>
      <c r="DL73" s="562"/>
      <c r="DM73" s="562"/>
      <c r="DN73" s="562"/>
      <c r="DO73" s="562"/>
      <c r="DP73" s="562"/>
      <c r="DQ73" s="562"/>
      <c r="DR73" s="562"/>
      <c r="DS73" s="562"/>
      <c r="DT73" s="562"/>
      <c r="DU73" s="562"/>
      <c r="DV73" s="562"/>
      <c r="DW73" s="562"/>
      <c r="DX73" s="562"/>
      <c r="DY73" s="562"/>
      <c r="DZ73" s="562"/>
      <c r="EA73" s="562"/>
      <c r="EB73" s="562"/>
      <c r="EC73" s="562"/>
      <c r="ED73" s="562"/>
      <c r="EE73" s="562"/>
      <c r="EF73" s="562"/>
      <c r="EG73" s="562"/>
      <c r="EH73" s="562"/>
      <c r="EI73" s="562"/>
      <c r="EJ73" s="562"/>
      <c r="EK73" s="562"/>
      <c r="EL73" s="562"/>
    </row>
    <row r="74" spans="2:142" s="78" customFormat="1" ht="15" customHeight="1" x14ac:dyDescent="0.25">
      <c r="B74" s="77"/>
      <c r="E74" s="77"/>
      <c r="H74" s="77"/>
      <c r="U74" s="79"/>
      <c r="V74" s="79"/>
      <c r="W74" s="79"/>
      <c r="Y74" s="90">
        <v>72</v>
      </c>
      <c r="Z74" s="559" t="str">
        <f>IF(Inventory!$C81="","",VLOOKUP(Inventory!$C81,$B$3:$C$5,2,FALSE))</f>
        <v/>
      </c>
      <c r="AA74" s="559" t="str">
        <f>IF($Z74="","",IF(AND($Z74="b",Inventory!$G81=""),"",IF(AND($Z74="b",Inventory!$G81&lt;&gt;""),VLOOKUP(Inventory!$G81,$E$3:$F$10,2,FALSE),IF(AND($Z74="a",Inventory!$Z81=""),"",IF(AND($Z74="a",Inventory!$Z81&lt;&gt;""),VLOOKUP(Inventory!$Z81,$E$3:$F$10,2,FALSE),IF(AND($Z74="c",Inventory!$Z81=""),"",IF(AND($Z74="c",Inventory!$Z81&lt;&gt;""),VLOOKUP(Inventory!$Z81,$E$3:$F$10,2,FALSE),"")))))))</f>
        <v/>
      </c>
      <c r="AB74" s="559" t="str">
        <f>IF($Z74="","a",IF(AND($Z74="b",Inventory!$J81=""),"a",IF(AND($Z74="b",Inventory!$J81&lt;&gt;""),VLOOKUP(Inventory!$J81,$H$4:$I$6,2,FALSE),IF(AND($Z74="a",Inventory!$AA81=""),"a",IF(AND($Z74="a",Inventory!$AA81&lt;&gt;""),VLOOKUP(Inventory!$AA81,$H$4:$I$6,2,FALSE),IF(AND($Z74="c",Inventory!$AA81=""),"a",IF(AND($Z74="c",Inventory!$AA81&lt;&gt;""),VLOOKUP(Inventory!$AA81,$H$4:$I$6,2,FALSE),"a")))))))</f>
        <v>a</v>
      </c>
      <c r="AC74" s="559" t="str">
        <f t="shared" si="61"/>
        <v>a</v>
      </c>
      <c r="AD74" s="473" t="str">
        <f>IF($Z74="","a",IF(AND($Z74="b",Inventory!$L81=""),"a",IF(AND($Z74="b",Inventory!$L81&lt;&gt;""),VLOOKUP(Inventory!$L81,$N$4:$O$5,2,FALSE),IF(AND($Z74="a",Inventory!$AC81=""),"a",IF(AND($Z74="a",Inventory!$AC81&lt;&gt;""),VLOOKUP(Inventory!$AC81,$N$4:$O$5,2,FALSE),IF(AND($Z74="c",Inventory!$AC81=""),"a",IF(AND($Z74="c",Inventory!$AC81&lt;&gt;""),VLOOKUP(Inventory!$AC81,$N$4:$O$5,2,FALSE),"a")))))))</f>
        <v>a</v>
      </c>
      <c r="AE74" s="474">
        <f>IF(OR(Inventory!C81="New Construction",Inventory!C81="Replace-on-Burnout"),Inventory!AF81,IF(Inventory!C81="Early Retirement",MIN(Inventory!AE81,Inventory!AF81),0))</f>
        <v>0</v>
      </c>
      <c r="AF74" s="475" t="str">
        <f t="shared" si="62"/>
        <v/>
      </c>
      <c r="AG74" s="475" t="str">
        <f t="shared" si="50"/>
        <v/>
      </c>
      <c r="AH74" s="475" t="str">
        <f t="shared" si="51"/>
        <v/>
      </c>
      <c r="AI74" s="475" t="str">
        <f t="shared" si="52"/>
        <v/>
      </c>
      <c r="AJ74" s="475" t="str">
        <f t="shared" si="53"/>
        <v/>
      </c>
      <c r="AK74" s="475" t="str">
        <f t="shared" si="63"/>
        <v/>
      </c>
      <c r="AL74" s="475" t="str">
        <f t="shared" si="64"/>
        <v/>
      </c>
      <c r="AM74" s="475" t="str">
        <f t="shared" si="65"/>
        <v/>
      </c>
      <c r="AN74" s="475" t="str">
        <f t="shared" si="66"/>
        <v/>
      </c>
      <c r="AO74" s="475" t="str">
        <f t="shared" si="67"/>
        <v/>
      </c>
      <c r="AP74" s="475" t="str">
        <f t="shared" si="68"/>
        <v/>
      </c>
      <c r="AQ74" s="475" t="str">
        <f t="shared" si="69"/>
        <v/>
      </c>
      <c r="AR74" s="475" t="str">
        <f t="shared" si="70"/>
        <v/>
      </c>
      <c r="AS74" s="475" t="str">
        <f t="shared" si="71"/>
        <v/>
      </c>
      <c r="AT74" s="475" t="str">
        <f t="shared" si="72"/>
        <v/>
      </c>
      <c r="AU74" s="475" t="str">
        <f t="shared" si="73"/>
        <v/>
      </c>
      <c r="AV74" s="475" t="str">
        <f t="shared" si="54"/>
        <v/>
      </c>
      <c r="AW74" s="473">
        <f t="shared" si="55"/>
        <v>0</v>
      </c>
      <c r="AX74" s="473" t="str">
        <f>IF(AND($Z74="b",OR($AA74="a",$AA74="b"),Inventory!$I81="",$AE74&lt;(65000/12000)),"x",IF(AND($Z74="b",OR($AA74="a",$AA74="b"),Inventory!$I81&lt;&gt;"",$AE74&lt;(65000/12000)),VLOOKUP(Inventory!$I81,$V$4:$W$5,2,FALSE),"x"))</f>
        <v>x</v>
      </c>
      <c r="AY74" s="476" t="str">
        <f t="shared" si="74"/>
        <v>aaa0</v>
      </c>
      <c r="AZ74" s="477" t="str">
        <f t="shared" si="75"/>
        <v>No</v>
      </c>
      <c r="BA74" s="759" t="str">
        <f t="shared" si="76"/>
        <v>No</v>
      </c>
      <c r="BB74" s="477">
        <f>IF($Z74="c",Inventory!$AB81,Inventory!$K81)</f>
        <v>0</v>
      </c>
      <c r="BC74" s="478">
        <f>IF(AND($Z74="b",Inventory!$N81="Btu/hr"),Inventory!$M81,IF(AND($Z74="b",Inventory!$N81="Tons"),Inventory!$M81*12000,IF(AND($Z74&lt;&gt;"b",Inventory!$AK81="Btu/hr"),Inventory!$AD81,IF(AND($Z74&lt;&gt;"b",Inventory!$AK81="Tons"),Inventory!$AD81*12000,0))))</f>
        <v>0</v>
      </c>
      <c r="BD74" s="478">
        <f t="shared" si="46"/>
        <v>0</v>
      </c>
      <c r="BE74" s="479">
        <f t="shared" si="77"/>
        <v>0</v>
      </c>
      <c r="BF74" s="477" t="s">
        <v>50</v>
      </c>
      <c r="BG74" s="479">
        <f t="shared" si="56"/>
        <v>0</v>
      </c>
      <c r="BH74" s="477" t="s">
        <v>46</v>
      </c>
      <c r="BI74" s="760">
        <f>IF(AND($Z74="b",Inventory!$P81="Btu/hr"),Inventory!$O81,IF(AND($Z74="b",Inventory!$P81="Tons"),Inventory!$O81*12000,IF(AND($Z74&lt;&gt;"b",Inventory!$AM81="Btu/hr"),Inventory!$AL81,IF(AND($Z74&lt;&gt;"b",Inventory!$AM81="Tons"),Inventory!$AL81*12000,0))))</f>
        <v>0</v>
      </c>
      <c r="BJ74" s="760">
        <f t="shared" si="47"/>
        <v>0</v>
      </c>
      <c r="BK74" s="598">
        <f t="shared" si="78"/>
        <v>0</v>
      </c>
      <c r="BL74" s="759" t="s">
        <v>567</v>
      </c>
      <c r="BM74" s="477" t="str">
        <f t="shared" si="57"/>
        <v>No</v>
      </c>
      <c r="BN74" s="477" t="str">
        <f>IF(OR(Inventory!$H81="",$BM74="No"),"-",Inventory!$H81)</f>
        <v>-</v>
      </c>
      <c r="BO74" s="477" t="str">
        <f>IFERROR(VLOOKUP(BN74,'Early Retirement'!$B$6:$C$33,2,FALSE),"-")</f>
        <v>-</v>
      </c>
      <c r="BP74" s="477" t="str">
        <f>IF(Inventory!$J81="Centrifugal","Yes","No")</f>
        <v>No</v>
      </c>
      <c r="BQ74" s="477">
        <f t="shared" si="79"/>
        <v>0</v>
      </c>
      <c r="BR74" s="477" t="str">
        <f t="shared" si="80"/>
        <v>-</v>
      </c>
      <c r="BS74" s="479">
        <f>IFERROR(INDEX('Early Retirement'!$C$4:$AC$33,$BO74,$BR74),0)</f>
        <v>0</v>
      </c>
      <c r="BT74" s="477">
        <f>IFERROR(HLOOKUP($BR74,'Early Retirement'!$D$4:$AC$5,2,FALSE),0)</f>
        <v>0</v>
      </c>
      <c r="BU74" s="761">
        <f>IFERROR(INDEX('Early Retirement'!$AE$4:$BE$33,$BO74,$BR74),0)</f>
        <v>0</v>
      </c>
      <c r="BV74" s="759">
        <f>IFERROR(HLOOKUP($BR74,'Early Retirement'!$AF$4:$BE$5,2,FALSE),0)</f>
        <v>0</v>
      </c>
      <c r="BW74" s="479">
        <f t="shared" si="87"/>
        <v>0</v>
      </c>
      <c r="BX74" s="761">
        <f t="shared" si="81"/>
        <v>0</v>
      </c>
      <c r="BY74" s="477" t="s">
        <v>46</v>
      </c>
      <c r="BZ74" s="598">
        <f>IFERROR(INDEX('Early Retirement'!$BG$4:$CG$33,$BO74,$BR74),0)</f>
        <v>0</v>
      </c>
      <c r="CA74" s="759">
        <f>IFERROR(HLOOKUP($BR74,'Early Retirement'!$BH$4:$CH$5,2,FALSE),0)</f>
        <v>0</v>
      </c>
      <c r="CB74" s="598">
        <f t="shared" si="82"/>
        <v>0</v>
      </c>
      <c r="CC74" s="759" t="s">
        <v>567</v>
      </c>
      <c r="CD74" s="477" t="str">
        <f t="shared" si="58"/>
        <v>Yes</v>
      </c>
      <c r="CE74" s="479">
        <f t="shared" si="59"/>
        <v>0</v>
      </c>
      <c r="CF74" s="761">
        <f t="shared" si="60"/>
        <v>0</v>
      </c>
      <c r="CG74" s="759" t="s">
        <v>46</v>
      </c>
      <c r="CH74" s="598">
        <f t="shared" si="83"/>
        <v>0</v>
      </c>
      <c r="CI74" s="759" t="s">
        <v>567</v>
      </c>
      <c r="CJ74" s="480">
        <f t="shared" si="84"/>
        <v>0</v>
      </c>
      <c r="CK74" s="583">
        <f t="shared" si="85"/>
        <v>0</v>
      </c>
      <c r="CL74" s="596" t="s">
        <v>46</v>
      </c>
      <c r="CM74" s="581">
        <f t="shared" si="86"/>
        <v>0</v>
      </c>
      <c r="CN74" s="762" t="s">
        <v>567</v>
      </c>
      <c r="CP74" s="90" t="s">
        <v>502</v>
      </c>
      <c r="CQ74" s="121">
        <v>9.4</v>
      </c>
      <c r="CR74" s="307" t="s">
        <v>50</v>
      </c>
      <c r="CS74" s="641">
        <v>9.4</v>
      </c>
      <c r="CT74" s="551" t="s">
        <v>50</v>
      </c>
      <c r="CU74" s="645">
        <f t="shared" si="88"/>
        <v>1.2765957446808509</v>
      </c>
      <c r="CV74" s="645">
        <f t="shared" si="88"/>
        <v>1.2765957446808509</v>
      </c>
      <c r="CW74" s="633" t="s">
        <v>46</v>
      </c>
      <c r="CX74" s="606"/>
      <c r="CY74" s="589"/>
      <c r="CZ74" s="606"/>
      <c r="DA74" s="609"/>
      <c r="DB74" s="562"/>
      <c r="DC74" s="562"/>
      <c r="DD74" s="562"/>
      <c r="DE74" s="562"/>
      <c r="DF74" s="562"/>
      <c r="DG74" s="562"/>
      <c r="DH74" s="562"/>
      <c r="DI74" s="562"/>
      <c r="DJ74" s="562"/>
      <c r="DK74" s="562"/>
      <c r="DL74" s="562"/>
      <c r="DM74" s="562"/>
      <c r="DN74" s="562"/>
      <c r="DO74" s="562"/>
      <c r="DP74" s="562"/>
      <c r="DQ74" s="562"/>
      <c r="DR74" s="562"/>
      <c r="DS74" s="562"/>
      <c r="DT74" s="562"/>
      <c r="DU74" s="562"/>
      <c r="DV74" s="562"/>
      <c r="DW74" s="562"/>
      <c r="DX74" s="562"/>
      <c r="DY74" s="562"/>
      <c r="DZ74" s="562"/>
      <c r="EA74" s="562"/>
      <c r="EB74" s="562"/>
      <c r="EC74" s="562"/>
      <c r="ED74" s="562"/>
      <c r="EE74" s="562"/>
      <c r="EF74" s="562"/>
      <c r="EG74" s="562"/>
      <c r="EH74" s="562"/>
      <c r="EI74" s="562"/>
      <c r="EJ74" s="562"/>
      <c r="EK74" s="562"/>
      <c r="EL74" s="562"/>
    </row>
    <row r="75" spans="2:142" s="78" customFormat="1" ht="15" customHeight="1" x14ac:dyDescent="0.25">
      <c r="B75" s="77"/>
      <c r="E75" s="77"/>
      <c r="H75" s="77"/>
      <c r="U75" s="79"/>
      <c r="V75" s="79"/>
      <c r="W75" s="79"/>
      <c r="Y75" s="90">
        <v>73</v>
      </c>
      <c r="Z75" s="559" t="str">
        <f>IF(Inventory!$C82="","",VLOOKUP(Inventory!$C82,$B$3:$C$5,2,FALSE))</f>
        <v/>
      </c>
      <c r="AA75" s="559" t="str">
        <f>IF($Z75="","",IF(AND($Z75="b",Inventory!$G82=""),"",IF(AND($Z75="b",Inventory!$G82&lt;&gt;""),VLOOKUP(Inventory!$G82,$E$3:$F$10,2,FALSE),IF(AND($Z75="a",Inventory!$Z82=""),"",IF(AND($Z75="a",Inventory!$Z82&lt;&gt;""),VLOOKUP(Inventory!$Z82,$E$3:$F$10,2,FALSE),IF(AND($Z75="c",Inventory!$Z82=""),"",IF(AND($Z75="c",Inventory!$Z82&lt;&gt;""),VLOOKUP(Inventory!$Z82,$E$3:$F$10,2,FALSE),"")))))))</f>
        <v/>
      </c>
      <c r="AB75" s="559" t="str">
        <f>IF($Z75="","a",IF(AND($Z75="b",Inventory!$J82=""),"a",IF(AND($Z75="b",Inventory!$J82&lt;&gt;""),VLOOKUP(Inventory!$J82,$H$4:$I$6,2,FALSE),IF(AND($Z75="a",Inventory!$AA82=""),"a",IF(AND($Z75="a",Inventory!$AA82&lt;&gt;""),VLOOKUP(Inventory!$AA82,$H$4:$I$6,2,FALSE),IF(AND($Z75="c",Inventory!$AA82=""),"a",IF(AND($Z75="c",Inventory!$AA82&lt;&gt;""),VLOOKUP(Inventory!$AA82,$H$4:$I$6,2,FALSE),"a")))))))</f>
        <v>a</v>
      </c>
      <c r="AC75" s="559" t="str">
        <f t="shared" si="61"/>
        <v>a</v>
      </c>
      <c r="AD75" s="473" t="str">
        <f>IF($Z75="","a",IF(AND($Z75="b",Inventory!$L82=""),"a",IF(AND($Z75="b",Inventory!$L82&lt;&gt;""),VLOOKUP(Inventory!$L82,$N$4:$O$5,2,FALSE),IF(AND($Z75="a",Inventory!$AC82=""),"a",IF(AND($Z75="a",Inventory!$AC82&lt;&gt;""),VLOOKUP(Inventory!$AC82,$N$4:$O$5,2,FALSE),IF(AND($Z75="c",Inventory!$AC82=""),"a",IF(AND($Z75="c",Inventory!$AC82&lt;&gt;""),VLOOKUP(Inventory!$AC82,$N$4:$O$5,2,FALSE),"a")))))))</f>
        <v>a</v>
      </c>
      <c r="AE75" s="474">
        <f>IF(OR(Inventory!C82="New Construction",Inventory!C82="Replace-on-Burnout"),Inventory!AF82,IF(Inventory!C82="Early Retirement",MIN(Inventory!AE82,Inventory!AF82),0))</f>
        <v>0</v>
      </c>
      <c r="AF75" s="475" t="str">
        <f t="shared" si="62"/>
        <v/>
      </c>
      <c r="AG75" s="475" t="str">
        <f t="shared" si="50"/>
        <v/>
      </c>
      <c r="AH75" s="475" t="str">
        <f t="shared" si="51"/>
        <v/>
      </c>
      <c r="AI75" s="475" t="str">
        <f t="shared" si="52"/>
        <v/>
      </c>
      <c r="AJ75" s="475" t="str">
        <f t="shared" si="53"/>
        <v/>
      </c>
      <c r="AK75" s="475" t="str">
        <f t="shared" si="63"/>
        <v/>
      </c>
      <c r="AL75" s="475" t="str">
        <f t="shared" si="64"/>
        <v/>
      </c>
      <c r="AM75" s="475" t="str">
        <f t="shared" si="65"/>
        <v/>
      </c>
      <c r="AN75" s="475" t="str">
        <f t="shared" si="66"/>
        <v/>
      </c>
      <c r="AO75" s="475" t="str">
        <f t="shared" si="67"/>
        <v/>
      </c>
      <c r="AP75" s="475" t="str">
        <f t="shared" si="68"/>
        <v/>
      </c>
      <c r="AQ75" s="475" t="str">
        <f t="shared" si="69"/>
        <v/>
      </c>
      <c r="AR75" s="475" t="str">
        <f t="shared" si="70"/>
        <v/>
      </c>
      <c r="AS75" s="475" t="str">
        <f t="shared" si="71"/>
        <v/>
      </c>
      <c r="AT75" s="475" t="str">
        <f t="shared" si="72"/>
        <v/>
      </c>
      <c r="AU75" s="475" t="str">
        <f t="shared" si="73"/>
        <v/>
      </c>
      <c r="AV75" s="475" t="str">
        <f t="shared" si="54"/>
        <v/>
      </c>
      <c r="AW75" s="473">
        <f t="shared" si="55"/>
        <v>0</v>
      </c>
      <c r="AX75" s="473" t="str">
        <f>IF(AND($Z75="b",OR($AA75="a",$AA75="b"),Inventory!$I82="",$AE75&lt;(65000/12000)),"x",IF(AND($Z75="b",OR($AA75="a",$AA75="b"),Inventory!$I82&lt;&gt;"",$AE75&lt;(65000/12000)),VLOOKUP(Inventory!$I82,$V$4:$W$5,2,FALSE),"x"))</f>
        <v>x</v>
      </c>
      <c r="AY75" s="476" t="str">
        <f t="shared" si="74"/>
        <v>aaa0</v>
      </c>
      <c r="AZ75" s="477" t="str">
        <f t="shared" si="75"/>
        <v>No</v>
      </c>
      <c r="BA75" s="759" t="str">
        <f t="shared" si="76"/>
        <v>No</v>
      </c>
      <c r="BB75" s="477">
        <f>IF($Z75="c",Inventory!$AB82,Inventory!$K82)</f>
        <v>0</v>
      </c>
      <c r="BC75" s="478">
        <f>IF(AND($Z75="b",Inventory!$N82="Btu/hr"),Inventory!$M82,IF(AND($Z75="b",Inventory!$N82="Tons"),Inventory!$M82*12000,IF(AND($Z75&lt;&gt;"b",Inventory!$AK82="Btu/hr"),Inventory!$AD82,IF(AND($Z75&lt;&gt;"b",Inventory!$AK82="Tons"),Inventory!$AD82*12000,0))))</f>
        <v>0</v>
      </c>
      <c r="BD75" s="478">
        <f t="shared" si="46"/>
        <v>0</v>
      </c>
      <c r="BE75" s="479">
        <f t="shared" si="77"/>
        <v>0</v>
      </c>
      <c r="BF75" s="477" t="s">
        <v>50</v>
      </c>
      <c r="BG75" s="479">
        <f t="shared" si="56"/>
        <v>0</v>
      </c>
      <c r="BH75" s="477" t="s">
        <v>46</v>
      </c>
      <c r="BI75" s="760">
        <f>IF(AND($Z75="b",Inventory!$P82="Btu/hr"),Inventory!$O82,IF(AND($Z75="b",Inventory!$P82="Tons"),Inventory!$O82*12000,IF(AND($Z75&lt;&gt;"b",Inventory!$AM82="Btu/hr"),Inventory!$AL82,IF(AND($Z75&lt;&gt;"b",Inventory!$AM82="Tons"),Inventory!$AL82*12000,0))))</f>
        <v>0</v>
      </c>
      <c r="BJ75" s="760">
        <f t="shared" si="47"/>
        <v>0</v>
      </c>
      <c r="BK75" s="598">
        <f t="shared" si="78"/>
        <v>0</v>
      </c>
      <c r="BL75" s="759" t="s">
        <v>567</v>
      </c>
      <c r="BM75" s="477" t="str">
        <f t="shared" si="57"/>
        <v>No</v>
      </c>
      <c r="BN75" s="477" t="str">
        <f>IF(OR(Inventory!$H82="",$BM75="No"),"-",Inventory!$H82)</f>
        <v>-</v>
      </c>
      <c r="BO75" s="477" t="str">
        <f>IFERROR(VLOOKUP(BN75,'Early Retirement'!$B$6:$C$33,2,FALSE),"-")</f>
        <v>-</v>
      </c>
      <c r="BP75" s="477" t="str">
        <f>IF(Inventory!$J82="Centrifugal","Yes","No")</f>
        <v>No</v>
      </c>
      <c r="BQ75" s="477">
        <f t="shared" si="79"/>
        <v>0</v>
      </c>
      <c r="BR75" s="477" t="str">
        <f t="shared" si="80"/>
        <v>-</v>
      </c>
      <c r="BS75" s="479">
        <f>IFERROR(INDEX('Early Retirement'!$C$4:$AC$33,$BO75,$BR75),0)</f>
        <v>0</v>
      </c>
      <c r="BT75" s="477">
        <f>IFERROR(HLOOKUP($BR75,'Early Retirement'!$D$4:$AC$5,2,FALSE),0)</f>
        <v>0</v>
      </c>
      <c r="BU75" s="761">
        <f>IFERROR(INDEX('Early Retirement'!$AE$4:$BE$33,$BO75,$BR75),0)</f>
        <v>0</v>
      </c>
      <c r="BV75" s="759">
        <f>IFERROR(HLOOKUP($BR75,'Early Retirement'!$AF$4:$BE$5,2,FALSE),0)</f>
        <v>0</v>
      </c>
      <c r="BW75" s="479">
        <f t="shared" si="87"/>
        <v>0</v>
      </c>
      <c r="BX75" s="761">
        <f t="shared" si="81"/>
        <v>0</v>
      </c>
      <c r="BY75" s="477" t="s">
        <v>46</v>
      </c>
      <c r="BZ75" s="598">
        <f>IFERROR(INDEX('Early Retirement'!$BG$4:$CG$33,$BO75,$BR75),0)</f>
        <v>0</v>
      </c>
      <c r="CA75" s="759">
        <f>IFERROR(HLOOKUP($BR75,'Early Retirement'!$BH$4:$CH$5,2,FALSE),0)</f>
        <v>0</v>
      </c>
      <c r="CB75" s="598">
        <f t="shared" si="82"/>
        <v>0</v>
      </c>
      <c r="CC75" s="759" t="s">
        <v>567</v>
      </c>
      <c r="CD75" s="477" t="str">
        <f t="shared" si="58"/>
        <v>Yes</v>
      </c>
      <c r="CE75" s="479">
        <f t="shared" si="59"/>
        <v>0</v>
      </c>
      <c r="CF75" s="761">
        <f t="shared" si="60"/>
        <v>0</v>
      </c>
      <c r="CG75" s="759" t="s">
        <v>46</v>
      </c>
      <c r="CH75" s="598">
        <f t="shared" si="83"/>
        <v>0</v>
      </c>
      <c r="CI75" s="759" t="s">
        <v>567</v>
      </c>
      <c r="CJ75" s="480">
        <f t="shared" si="84"/>
        <v>0</v>
      </c>
      <c r="CK75" s="583">
        <f t="shared" si="85"/>
        <v>0</v>
      </c>
      <c r="CL75" s="596" t="s">
        <v>46</v>
      </c>
      <c r="CM75" s="581">
        <f t="shared" si="86"/>
        <v>0</v>
      </c>
      <c r="CN75" s="762" t="s">
        <v>567</v>
      </c>
      <c r="CP75" s="90" t="s">
        <v>503</v>
      </c>
      <c r="CQ75" s="121">
        <v>9.8000000000000007</v>
      </c>
      <c r="CR75" s="307" t="s">
        <v>50</v>
      </c>
      <c r="CS75" s="641">
        <v>9.8000000000000007</v>
      </c>
      <c r="CT75" s="551" t="s">
        <v>50</v>
      </c>
      <c r="CU75" s="645">
        <f t="shared" ref="CU75:CV93" si="89">12/$CQ75</f>
        <v>1.2244897959183672</v>
      </c>
      <c r="CV75" s="645">
        <f t="shared" si="89"/>
        <v>1.2244897959183672</v>
      </c>
      <c r="CW75" s="633" t="s">
        <v>46</v>
      </c>
      <c r="CX75" s="606"/>
      <c r="CY75" s="589"/>
      <c r="CZ75" s="606"/>
      <c r="DA75" s="609"/>
      <c r="DB75" s="562"/>
      <c r="DC75" s="562"/>
      <c r="DD75" s="562"/>
      <c r="DE75" s="562"/>
      <c r="DF75" s="562"/>
      <c r="DG75" s="562"/>
      <c r="DH75" s="562"/>
      <c r="DI75" s="562"/>
      <c r="DJ75" s="562"/>
      <c r="DK75" s="562"/>
      <c r="DL75" s="562"/>
      <c r="DM75" s="562"/>
      <c r="DN75" s="562"/>
      <c r="DO75" s="562"/>
      <c r="DP75" s="562"/>
      <c r="DQ75" s="562"/>
      <c r="DR75" s="562"/>
      <c r="DS75" s="562"/>
      <c r="DT75" s="562"/>
      <c r="DU75" s="562"/>
      <c r="DV75" s="562"/>
      <c r="DW75" s="562"/>
      <c r="DX75" s="562"/>
      <c r="DY75" s="562"/>
      <c r="DZ75" s="562"/>
      <c r="EA75" s="562"/>
      <c r="EB75" s="562"/>
      <c r="EC75" s="562"/>
      <c r="ED75" s="562"/>
      <c r="EE75" s="562"/>
      <c r="EF75" s="562"/>
      <c r="EG75" s="562"/>
      <c r="EH75" s="562"/>
      <c r="EI75" s="562"/>
      <c r="EJ75" s="562"/>
      <c r="EK75" s="562"/>
      <c r="EL75" s="562"/>
    </row>
    <row r="76" spans="2:142" s="78" customFormat="1" ht="15" customHeight="1" x14ac:dyDescent="0.25">
      <c r="B76" s="77"/>
      <c r="E76" s="77"/>
      <c r="H76" s="77"/>
      <c r="U76" s="79"/>
      <c r="V76" s="79"/>
      <c r="W76" s="79"/>
      <c r="Y76" s="90">
        <v>74</v>
      </c>
      <c r="Z76" s="559" t="str">
        <f>IF(Inventory!$C83="","",VLOOKUP(Inventory!$C83,$B$3:$C$5,2,FALSE))</f>
        <v/>
      </c>
      <c r="AA76" s="559" t="str">
        <f>IF($Z76="","",IF(AND($Z76="b",Inventory!$G83=""),"",IF(AND($Z76="b",Inventory!$G83&lt;&gt;""),VLOOKUP(Inventory!$G83,$E$3:$F$10,2,FALSE),IF(AND($Z76="a",Inventory!$Z83=""),"",IF(AND($Z76="a",Inventory!$Z83&lt;&gt;""),VLOOKUP(Inventory!$Z83,$E$3:$F$10,2,FALSE),IF(AND($Z76="c",Inventory!$Z83=""),"",IF(AND($Z76="c",Inventory!$Z83&lt;&gt;""),VLOOKUP(Inventory!$Z83,$E$3:$F$10,2,FALSE),"")))))))</f>
        <v/>
      </c>
      <c r="AB76" s="559" t="str">
        <f>IF($Z76="","a",IF(AND($Z76="b",Inventory!$J83=""),"a",IF(AND($Z76="b",Inventory!$J83&lt;&gt;""),VLOOKUP(Inventory!$J83,$H$4:$I$6,2,FALSE),IF(AND($Z76="a",Inventory!$AA83=""),"a",IF(AND($Z76="a",Inventory!$AA83&lt;&gt;""),VLOOKUP(Inventory!$AA83,$H$4:$I$6,2,FALSE),IF(AND($Z76="c",Inventory!$AA83=""),"a",IF(AND($Z76="c",Inventory!$AA83&lt;&gt;""),VLOOKUP(Inventory!$AA83,$H$4:$I$6,2,FALSE),"a")))))))</f>
        <v>a</v>
      </c>
      <c r="AC76" s="559" t="str">
        <f t="shared" si="61"/>
        <v>a</v>
      </c>
      <c r="AD76" s="473" t="str">
        <f>IF($Z76="","a",IF(AND($Z76="b",Inventory!$L83=""),"a",IF(AND($Z76="b",Inventory!$L83&lt;&gt;""),VLOOKUP(Inventory!$L83,$N$4:$O$5,2,FALSE),IF(AND($Z76="a",Inventory!$AC83=""),"a",IF(AND($Z76="a",Inventory!$AC83&lt;&gt;""),VLOOKUP(Inventory!$AC83,$N$4:$O$5,2,FALSE),IF(AND($Z76="c",Inventory!$AC83=""),"a",IF(AND($Z76="c",Inventory!$AC83&lt;&gt;""),VLOOKUP(Inventory!$AC83,$N$4:$O$5,2,FALSE),"a")))))))</f>
        <v>a</v>
      </c>
      <c r="AE76" s="474">
        <f>IF(OR(Inventory!C83="New Construction",Inventory!C83="Replace-on-Burnout"),Inventory!AF83,IF(Inventory!C83="Early Retirement",MIN(Inventory!AE83,Inventory!AF83),0))</f>
        <v>0</v>
      </c>
      <c r="AF76" s="475" t="str">
        <f t="shared" si="62"/>
        <v/>
      </c>
      <c r="AG76" s="475" t="str">
        <f t="shared" si="50"/>
        <v/>
      </c>
      <c r="AH76" s="475" t="str">
        <f t="shared" si="51"/>
        <v/>
      </c>
      <c r="AI76" s="475" t="str">
        <f t="shared" si="52"/>
        <v/>
      </c>
      <c r="AJ76" s="475" t="str">
        <f t="shared" si="53"/>
        <v/>
      </c>
      <c r="AK76" s="475" t="str">
        <f t="shared" si="63"/>
        <v/>
      </c>
      <c r="AL76" s="475" t="str">
        <f t="shared" si="64"/>
        <v/>
      </c>
      <c r="AM76" s="475" t="str">
        <f t="shared" si="65"/>
        <v/>
      </c>
      <c r="AN76" s="475" t="str">
        <f t="shared" si="66"/>
        <v/>
      </c>
      <c r="AO76" s="475" t="str">
        <f t="shared" si="67"/>
        <v/>
      </c>
      <c r="AP76" s="475" t="str">
        <f t="shared" si="68"/>
        <v/>
      </c>
      <c r="AQ76" s="475" t="str">
        <f t="shared" si="69"/>
        <v/>
      </c>
      <c r="AR76" s="475" t="str">
        <f t="shared" si="70"/>
        <v/>
      </c>
      <c r="AS76" s="475" t="str">
        <f t="shared" si="71"/>
        <v/>
      </c>
      <c r="AT76" s="475" t="str">
        <f t="shared" si="72"/>
        <v/>
      </c>
      <c r="AU76" s="475" t="str">
        <f t="shared" si="73"/>
        <v/>
      </c>
      <c r="AV76" s="475" t="str">
        <f t="shared" si="54"/>
        <v/>
      </c>
      <c r="AW76" s="473">
        <f t="shared" si="55"/>
        <v>0</v>
      </c>
      <c r="AX76" s="473" t="str">
        <f>IF(AND($Z76="b",OR($AA76="a",$AA76="b"),Inventory!$I83="",$AE76&lt;(65000/12000)),"x",IF(AND($Z76="b",OR($AA76="a",$AA76="b"),Inventory!$I83&lt;&gt;"",$AE76&lt;(65000/12000)),VLOOKUP(Inventory!$I83,$V$4:$W$5,2,FALSE),"x"))</f>
        <v>x</v>
      </c>
      <c r="AY76" s="476" t="str">
        <f t="shared" si="74"/>
        <v>aaa0</v>
      </c>
      <c r="AZ76" s="477" t="str">
        <f t="shared" si="75"/>
        <v>No</v>
      </c>
      <c r="BA76" s="759" t="str">
        <f t="shared" si="76"/>
        <v>No</v>
      </c>
      <c r="BB76" s="477">
        <f>IF($Z76="c",Inventory!$AB83,Inventory!$K83)</f>
        <v>0</v>
      </c>
      <c r="BC76" s="478">
        <f>IF(AND($Z76="b",Inventory!$N83="Btu/hr"),Inventory!$M83,IF(AND($Z76="b",Inventory!$N83="Tons"),Inventory!$M83*12000,IF(AND($Z76&lt;&gt;"b",Inventory!$AK83="Btu/hr"),Inventory!$AD83,IF(AND($Z76&lt;&gt;"b",Inventory!$AK83="Tons"),Inventory!$AD83*12000,0))))</f>
        <v>0</v>
      </c>
      <c r="BD76" s="478">
        <f t="shared" si="46"/>
        <v>0</v>
      </c>
      <c r="BE76" s="479">
        <f t="shared" si="77"/>
        <v>0</v>
      </c>
      <c r="BF76" s="477" t="s">
        <v>50</v>
      </c>
      <c r="BG76" s="479">
        <f t="shared" si="56"/>
        <v>0</v>
      </c>
      <c r="BH76" s="477" t="s">
        <v>46</v>
      </c>
      <c r="BI76" s="760">
        <f>IF(AND($Z76="b",Inventory!$P83="Btu/hr"),Inventory!$O83,IF(AND($Z76="b",Inventory!$P83="Tons"),Inventory!$O83*12000,IF(AND($Z76&lt;&gt;"b",Inventory!$AM83="Btu/hr"),Inventory!$AL83,IF(AND($Z76&lt;&gt;"b",Inventory!$AM83="Tons"),Inventory!$AL83*12000,0))))</f>
        <v>0</v>
      </c>
      <c r="BJ76" s="760">
        <f t="shared" si="47"/>
        <v>0</v>
      </c>
      <c r="BK76" s="598">
        <f t="shared" si="78"/>
        <v>0</v>
      </c>
      <c r="BL76" s="759" t="s">
        <v>567</v>
      </c>
      <c r="BM76" s="477" t="str">
        <f t="shared" si="57"/>
        <v>No</v>
      </c>
      <c r="BN76" s="477" t="str">
        <f>IF(OR(Inventory!$H83="",$BM76="No"),"-",Inventory!$H83)</f>
        <v>-</v>
      </c>
      <c r="BO76" s="477" t="str">
        <f>IFERROR(VLOOKUP(BN76,'Early Retirement'!$B$6:$C$33,2,FALSE),"-")</f>
        <v>-</v>
      </c>
      <c r="BP76" s="477" t="str">
        <f>IF(Inventory!$J83="Centrifugal","Yes","No")</f>
        <v>No</v>
      </c>
      <c r="BQ76" s="477">
        <f t="shared" si="79"/>
        <v>0</v>
      </c>
      <c r="BR76" s="477" t="str">
        <f t="shared" si="80"/>
        <v>-</v>
      </c>
      <c r="BS76" s="479">
        <f>IFERROR(INDEX('Early Retirement'!$C$4:$AC$33,$BO76,$BR76),0)</f>
        <v>0</v>
      </c>
      <c r="BT76" s="477">
        <f>IFERROR(HLOOKUP($BR76,'Early Retirement'!$D$4:$AC$5,2,FALSE),0)</f>
        <v>0</v>
      </c>
      <c r="BU76" s="761">
        <f>IFERROR(INDEX('Early Retirement'!$AE$4:$BE$33,$BO76,$BR76),0)</f>
        <v>0</v>
      </c>
      <c r="BV76" s="759">
        <f>IFERROR(HLOOKUP($BR76,'Early Retirement'!$AF$4:$BE$5,2,FALSE),0)</f>
        <v>0</v>
      </c>
      <c r="BW76" s="479">
        <f t="shared" si="87"/>
        <v>0</v>
      </c>
      <c r="BX76" s="761">
        <f t="shared" si="81"/>
        <v>0</v>
      </c>
      <c r="BY76" s="477" t="s">
        <v>46</v>
      </c>
      <c r="BZ76" s="598">
        <f>IFERROR(INDEX('Early Retirement'!$BG$4:$CG$33,$BO76,$BR76),0)</f>
        <v>0</v>
      </c>
      <c r="CA76" s="759">
        <f>IFERROR(HLOOKUP($BR76,'Early Retirement'!$BH$4:$CH$5,2,FALSE),0)</f>
        <v>0</v>
      </c>
      <c r="CB76" s="598">
        <f t="shared" si="82"/>
        <v>0</v>
      </c>
      <c r="CC76" s="759" t="s">
        <v>567</v>
      </c>
      <c r="CD76" s="477" t="str">
        <f t="shared" si="58"/>
        <v>Yes</v>
      </c>
      <c r="CE76" s="479">
        <f t="shared" si="59"/>
        <v>0</v>
      </c>
      <c r="CF76" s="761">
        <f t="shared" si="60"/>
        <v>0</v>
      </c>
      <c r="CG76" s="759" t="s">
        <v>46</v>
      </c>
      <c r="CH76" s="598">
        <f t="shared" si="83"/>
        <v>0</v>
      </c>
      <c r="CI76" s="759" t="s">
        <v>567</v>
      </c>
      <c r="CJ76" s="480">
        <f t="shared" si="84"/>
        <v>0</v>
      </c>
      <c r="CK76" s="583">
        <f t="shared" si="85"/>
        <v>0</v>
      </c>
      <c r="CL76" s="596" t="s">
        <v>46</v>
      </c>
      <c r="CM76" s="581">
        <f t="shared" si="86"/>
        <v>0</v>
      </c>
      <c r="CN76" s="762" t="s">
        <v>567</v>
      </c>
      <c r="CP76" s="90" t="s">
        <v>504</v>
      </c>
      <c r="CQ76" s="121">
        <v>9.3000000000000007</v>
      </c>
      <c r="CR76" s="307" t="s">
        <v>50</v>
      </c>
      <c r="CS76" s="641">
        <v>9.3000000000000007</v>
      </c>
      <c r="CT76" s="551" t="s">
        <v>50</v>
      </c>
      <c r="CU76" s="645">
        <f t="shared" si="89"/>
        <v>1.2903225806451613</v>
      </c>
      <c r="CV76" s="645">
        <f t="shared" si="89"/>
        <v>1.2903225806451613</v>
      </c>
      <c r="CW76" s="633" t="s">
        <v>46</v>
      </c>
      <c r="CX76" s="606"/>
      <c r="CY76" s="589"/>
      <c r="CZ76" s="606"/>
      <c r="DA76" s="609"/>
      <c r="DB76" s="562"/>
      <c r="DC76" s="562"/>
      <c r="DD76" s="562"/>
      <c r="DE76" s="562"/>
      <c r="DF76" s="562"/>
      <c r="DG76" s="562"/>
      <c r="DH76" s="562"/>
      <c r="DI76" s="562"/>
      <c r="DJ76" s="562"/>
      <c r="DK76" s="562"/>
      <c r="DL76" s="562"/>
      <c r="DM76" s="562"/>
      <c r="DN76" s="562"/>
      <c r="DO76" s="562"/>
      <c r="DP76" s="562"/>
      <c r="DQ76" s="562"/>
      <c r="DR76" s="562"/>
      <c r="DS76" s="562"/>
      <c r="DT76" s="562"/>
      <c r="DU76" s="562"/>
      <c r="DV76" s="562"/>
      <c r="DW76" s="562"/>
      <c r="DX76" s="562"/>
      <c r="DY76" s="562"/>
      <c r="DZ76" s="562"/>
      <c r="EA76" s="562"/>
      <c r="EB76" s="562"/>
      <c r="EC76" s="562"/>
      <c r="ED76" s="562"/>
      <c r="EE76" s="562"/>
      <c r="EF76" s="562"/>
      <c r="EG76" s="562"/>
      <c r="EH76" s="562"/>
      <c r="EI76" s="562"/>
      <c r="EJ76" s="562"/>
      <c r="EK76" s="562"/>
      <c r="EL76" s="562"/>
    </row>
    <row r="77" spans="2:142" s="78" customFormat="1" ht="15" customHeight="1" x14ac:dyDescent="0.25">
      <c r="B77" s="77"/>
      <c r="E77" s="77"/>
      <c r="H77" s="77"/>
      <c r="U77" s="79"/>
      <c r="V77" s="79"/>
      <c r="W77" s="79"/>
      <c r="Y77" s="90">
        <v>75</v>
      </c>
      <c r="Z77" s="559" t="str">
        <f>IF(Inventory!$C84="","",VLOOKUP(Inventory!$C84,$B$3:$C$5,2,FALSE))</f>
        <v/>
      </c>
      <c r="AA77" s="559" t="str">
        <f>IF($Z77="","",IF(AND($Z77="b",Inventory!$G84=""),"",IF(AND($Z77="b",Inventory!$G84&lt;&gt;""),VLOOKUP(Inventory!$G84,$E$3:$F$10,2,FALSE),IF(AND($Z77="a",Inventory!$Z84=""),"",IF(AND($Z77="a",Inventory!$Z84&lt;&gt;""),VLOOKUP(Inventory!$Z84,$E$3:$F$10,2,FALSE),IF(AND($Z77="c",Inventory!$Z84=""),"",IF(AND($Z77="c",Inventory!$Z84&lt;&gt;""),VLOOKUP(Inventory!$Z84,$E$3:$F$10,2,FALSE),"")))))))</f>
        <v/>
      </c>
      <c r="AB77" s="559" t="str">
        <f>IF($Z77="","a",IF(AND($Z77="b",Inventory!$J84=""),"a",IF(AND($Z77="b",Inventory!$J84&lt;&gt;""),VLOOKUP(Inventory!$J84,$H$4:$I$6,2,FALSE),IF(AND($Z77="a",Inventory!$AA84=""),"a",IF(AND($Z77="a",Inventory!$AA84&lt;&gt;""),VLOOKUP(Inventory!$AA84,$H$4:$I$6,2,FALSE),IF(AND($Z77="c",Inventory!$AA84=""),"a",IF(AND($Z77="c",Inventory!$AA84&lt;&gt;""),VLOOKUP(Inventory!$AA84,$H$4:$I$6,2,FALSE),"a")))))))</f>
        <v>a</v>
      </c>
      <c r="AC77" s="559" t="str">
        <f t="shared" si="61"/>
        <v>a</v>
      </c>
      <c r="AD77" s="473" t="str">
        <f>IF($Z77="","a",IF(AND($Z77="b",Inventory!$L84=""),"a",IF(AND($Z77="b",Inventory!$L84&lt;&gt;""),VLOOKUP(Inventory!$L84,$N$4:$O$5,2,FALSE),IF(AND($Z77="a",Inventory!$AC84=""),"a",IF(AND($Z77="a",Inventory!$AC84&lt;&gt;""),VLOOKUP(Inventory!$AC84,$N$4:$O$5,2,FALSE),IF(AND($Z77="c",Inventory!$AC84=""),"a",IF(AND($Z77="c",Inventory!$AC84&lt;&gt;""),VLOOKUP(Inventory!$AC84,$N$4:$O$5,2,FALSE),"a")))))))</f>
        <v>a</v>
      </c>
      <c r="AE77" s="474">
        <f>IF(OR(Inventory!C84="New Construction",Inventory!C84="Replace-on-Burnout"),Inventory!AF84,IF(Inventory!C84="Early Retirement",MIN(Inventory!AE84,Inventory!AF84),0))</f>
        <v>0</v>
      </c>
      <c r="AF77" s="475" t="str">
        <f t="shared" si="62"/>
        <v/>
      </c>
      <c r="AG77" s="475" t="str">
        <f t="shared" si="50"/>
        <v/>
      </c>
      <c r="AH77" s="475" t="str">
        <f t="shared" si="51"/>
        <v/>
      </c>
      <c r="AI77" s="475" t="str">
        <f t="shared" si="52"/>
        <v/>
      </c>
      <c r="AJ77" s="475" t="str">
        <f t="shared" si="53"/>
        <v/>
      </c>
      <c r="AK77" s="475" t="str">
        <f t="shared" si="63"/>
        <v/>
      </c>
      <c r="AL77" s="475" t="str">
        <f t="shared" si="64"/>
        <v/>
      </c>
      <c r="AM77" s="475" t="str">
        <f t="shared" si="65"/>
        <v/>
      </c>
      <c r="AN77" s="475" t="str">
        <f t="shared" si="66"/>
        <v/>
      </c>
      <c r="AO77" s="475" t="str">
        <f t="shared" si="67"/>
        <v/>
      </c>
      <c r="AP77" s="475" t="str">
        <f t="shared" si="68"/>
        <v/>
      </c>
      <c r="AQ77" s="475" t="str">
        <f t="shared" si="69"/>
        <v/>
      </c>
      <c r="AR77" s="475" t="str">
        <f t="shared" si="70"/>
        <v/>
      </c>
      <c r="AS77" s="475" t="str">
        <f t="shared" si="71"/>
        <v/>
      </c>
      <c r="AT77" s="475" t="str">
        <f t="shared" si="72"/>
        <v/>
      </c>
      <c r="AU77" s="475" t="str">
        <f t="shared" si="73"/>
        <v/>
      </c>
      <c r="AV77" s="475" t="str">
        <f t="shared" si="54"/>
        <v/>
      </c>
      <c r="AW77" s="473">
        <f t="shared" si="55"/>
        <v>0</v>
      </c>
      <c r="AX77" s="473" t="str">
        <f>IF(AND($Z77="b",OR($AA77="a",$AA77="b"),Inventory!$I84="",$AE77&lt;(65000/12000)),"x",IF(AND($Z77="b",OR($AA77="a",$AA77="b"),Inventory!$I84&lt;&gt;"",$AE77&lt;(65000/12000)),VLOOKUP(Inventory!$I84,$V$4:$W$5,2,FALSE),"x"))</f>
        <v>x</v>
      </c>
      <c r="AY77" s="476" t="str">
        <f t="shared" si="74"/>
        <v>aaa0</v>
      </c>
      <c r="AZ77" s="477" t="str">
        <f t="shared" si="75"/>
        <v>No</v>
      </c>
      <c r="BA77" s="759" t="str">
        <f t="shared" si="76"/>
        <v>No</v>
      </c>
      <c r="BB77" s="477">
        <f>IF($Z77="c",Inventory!$AB84,Inventory!$K84)</f>
        <v>0</v>
      </c>
      <c r="BC77" s="478">
        <f>IF(AND($Z77="b",Inventory!$N84="Btu/hr"),Inventory!$M84,IF(AND($Z77="b",Inventory!$N84="Tons"),Inventory!$M84*12000,IF(AND($Z77&lt;&gt;"b",Inventory!$AK84="Btu/hr"),Inventory!$AD84,IF(AND($Z77&lt;&gt;"b",Inventory!$AK84="Tons"),Inventory!$AD84*12000,0))))</f>
        <v>0</v>
      </c>
      <c r="BD77" s="478">
        <f t="shared" si="46"/>
        <v>0</v>
      </c>
      <c r="BE77" s="479">
        <f t="shared" si="77"/>
        <v>0</v>
      </c>
      <c r="BF77" s="477" t="s">
        <v>50</v>
      </c>
      <c r="BG77" s="479">
        <f t="shared" si="56"/>
        <v>0</v>
      </c>
      <c r="BH77" s="477" t="s">
        <v>46</v>
      </c>
      <c r="BI77" s="760">
        <f>IF(AND($Z77="b",Inventory!$P84="Btu/hr"),Inventory!$O84,IF(AND($Z77="b",Inventory!$P84="Tons"),Inventory!$O84*12000,IF(AND($Z77&lt;&gt;"b",Inventory!$AM84="Btu/hr"),Inventory!$AL84,IF(AND($Z77&lt;&gt;"b",Inventory!$AM84="Tons"),Inventory!$AL84*12000,0))))</f>
        <v>0</v>
      </c>
      <c r="BJ77" s="760">
        <f t="shared" si="47"/>
        <v>0</v>
      </c>
      <c r="BK77" s="598">
        <f t="shared" si="78"/>
        <v>0</v>
      </c>
      <c r="BL77" s="759" t="s">
        <v>567</v>
      </c>
      <c r="BM77" s="477" t="str">
        <f t="shared" si="57"/>
        <v>No</v>
      </c>
      <c r="BN77" s="477" t="str">
        <f>IF(OR(Inventory!$H84="",$BM77="No"),"-",Inventory!$H84)</f>
        <v>-</v>
      </c>
      <c r="BO77" s="477" t="str">
        <f>IFERROR(VLOOKUP(BN77,'Early Retirement'!$B$6:$C$33,2,FALSE),"-")</f>
        <v>-</v>
      </c>
      <c r="BP77" s="477" t="str">
        <f>IF(Inventory!$J84="Centrifugal","Yes","No")</f>
        <v>No</v>
      </c>
      <c r="BQ77" s="477">
        <f t="shared" si="79"/>
        <v>0</v>
      </c>
      <c r="BR77" s="477" t="str">
        <f t="shared" si="80"/>
        <v>-</v>
      </c>
      <c r="BS77" s="479">
        <f>IFERROR(INDEX('Early Retirement'!$C$4:$AC$33,$BO77,$BR77),0)</f>
        <v>0</v>
      </c>
      <c r="BT77" s="477">
        <f>IFERROR(HLOOKUP($BR77,'Early Retirement'!$D$4:$AC$5,2,FALSE),0)</f>
        <v>0</v>
      </c>
      <c r="BU77" s="761">
        <f>IFERROR(INDEX('Early Retirement'!$AE$4:$BE$33,$BO77,$BR77),0)</f>
        <v>0</v>
      </c>
      <c r="BV77" s="759">
        <f>IFERROR(HLOOKUP($BR77,'Early Retirement'!$AF$4:$BE$5,2,FALSE),0)</f>
        <v>0</v>
      </c>
      <c r="BW77" s="479">
        <f t="shared" si="87"/>
        <v>0</v>
      </c>
      <c r="BX77" s="761">
        <f t="shared" si="81"/>
        <v>0</v>
      </c>
      <c r="BY77" s="477" t="s">
        <v>46</v>
      </c>
      <c r="BZ77" s="598">
        <f>IFERROR(INDEX('Early Retirement'!$BG$4:$CG$33,$BO77,$BR77),0)</f>
        <v>0</v>
      </c>
      <c r="CA77" s="759">
        <f>IFERROR(HLOOKUP($BR77,'Early Retirement'!$BH$4:$CH$5,2,FALSE),0)</f>
        <v>0</v>
      </c>
      <c r="CB77" s="598">
        <f t="shared" si="82"/>
        <v>0</v>
      </c>
      <c r="CC77" s="759" t="s">
        <v>567</v>
      </c>
      <c r="CD77" s="477" t="str">
        <f t="shared" si="58"/>
        <v>Yes</v>
      </c>
      <c r="CE77" s="479">
        <f t="shared" si="59"/>
        <v>0</v>
      </c>
      <c r="CF77" s="761">
        <f t="shared" si="60"/>
        <v>0</v>
      </c>
      <c r="CG77" s="759" t="s">
        <v>46</v>
      </c>
      <c r="CH77" s="598">
        <f t="shared" si="83"/>
        <v>0</v>
      </c>
      <c r="CI77" s="759" t="s">
        <v>567</v>
      </c>
      <c r="CJ77" s="480">
        <f t="shared" si="84"/>
        <v>0</v>
      </c>
      <c r="CK77" s="583">
        <f t="shared" si="85"/>
        <v>0</v>
      </c>
      <c r="CL77" s="596" t="s">
        <v>46</v>
      </c>
      <c r="CM77" s="581">
        <f t="shared" si="86"/>
        <v>0</v>
      </c>
      <c r="CN77" s="762" t="s">
        <v>567</v>
      </c>
      <c r="CP77" s="90" t="s">
        <v>505</v>
      </c>
      <c r="CQ77" s="121">
        <v>9.3000000000000007</v>
      </c>
      <c r="CR77" s="307" t="s">
        <v>50</v>
      </c>
      <c r="CS77" s="641">
        <v>9.3000000000000007</v>
      </c>
      <c r="CT77" s="551" t="s">
        <v>50</v>
      </c>
      <c r="CU77" s="645">
        <f t="shared" si="89"/>
        <v>1.2903225806451613</v>
      </c>
      <c r="CV77" s="645">
        <f t="shared" si="89"/>
        <v>1.2903225806451613</v>
      </c>
      <c r="CW77" s="633" t="s">
        <v>46</v>
      </c>
      <c r="CX77" s="606"/>
      <c r="CY77" s="589"/>
      <c r="CZ77" s="606"/>
      <c r="DA77" s="609"/>
      <c r="DB77" s="562"/>
      <c r="DC77" s="562"/>
      <c r="DD77" s="562"/>
      <c r="DE77" s="562"/>
      <c r="DF77" s="562"/>
      <c r="DG77" s="562"/>
      <c r="DH77" s="562"/>
      <c r="DI77" s="562"/>
      <c r="DJ77" s="562"/>
      <c r="DK77" s="562"/>
      <c r="DL77" s="562"/>
      <c r="DM77" s="562"/>
      <c r="DN77" s="562"/>
      <c r="DO77" s="562"/>
      <c r="DP77" s="562"/>
      <c r="DQ77" s="562"/>
      <c r="DR77" s="562"/>
      <c r="DS77" s="562"/>
      <c r="DT77" s="562"/>
      <c r="DU77" s="562"/>
      <c r="DV77" s="562"/>
      <c r="DW77" s="562"/>
      <c r="DX77" s="562"/>
      <c r="DY77" s="562"/>
      <c r="DZ77" s="562"/>
      <c r="EA77" s="562"/>
      <c r="EB77" s="562"/>
      <c r="EC77" s="562"/>
      <c r="ED77" s="562"/>
      <c r="EE77" s="562"/>
      <c r="EF77" s="562"/>
      <c r="EG77" s="562"/>
      <c r="EH77" s="562"/>
      <c r="EI77" s="562"/>
      <c r="EJ77" s="562"/>
      <c r="EK77" s="562"/>
      <c r="EL77" s="562"/>
    </row>
    <row r="78" spans="2:142" s="78" customFormat="1" ht="15" customHeight="1" thickBot="1" x14ac:dyDescent="0.3">
      <c r="B78" s="77"/>
      <c r="E78" s="77"/>
      <c r="H78" s="77"/>
      <c r="U78" s="79"/>
      <c r="V78" s="79"/>
      <c r="W78" s="79"/>
      <c r="Y78" s="90">
        <v>76</v>
      </c>
      <c r="Z78" s="559" t="str">
        <f>IF(Inventory!$C85="","",VLOOKUP(Inventory!$C85,$B$3:$C$5,2,FALSE))</f>
        <v/>
      </c>
      <c r="AA78" s="559" t="str">
        <f>IF($Z78="","",IF(AND($Z78="b",Inventory!$G85=""),"",IF(AND($Z78="b",Inventory!$G85&lt;&gt;""),VLOOKUP(Inventory!$G85,$E$3:$F$10,2,FALSE),IF(AND($Z78="a",Inventory!$Z85=""),"",IF(AND($Z78="a",Inventory!$Z85&lt;&gt;""),VLOOKUP(Inventory!$Z85,$E$3:$F$10,2,FALSE),IF(AND($Z78="c",Inventory!$Z85=""),"",IF(AND($Z78="c",Inventory!$Z85&lt;&gt;""),VLOOKUP(Inventory!$Z85,$E$3:$F$10,2,FALSE),"")))))))</f>
        <v/>
      </c>
      <c r="AB78" s="559" t="str">
        <f>IF($Z78="","a",IF(AND($Z78="b",Inventory!$J85=""),"a",IF(AND($Z78="b",Inventory!$J85&lt;&gt;""),VLOOKUP(Inventory!$J85,$H$4:$I$6,2,FALSE),IF(AND($Z78="a",Inventory!$AA85=""),"a",IF(AND($Z78="a",Inventory!$AA85&lt;&gt;""),VLOOKUP(Inventory!$AA85,$H$4:$I$6,2,FALSE),IF(AND($Z78="c",Inventory!$AA85=""),"a",IF(AND($Z78="c",Inventory!$AA85&lt;&gt;""),VLOOKUP(Inventory!$AA85,$H$4:$I$6,2,FALSE),"a")))))))</f>
        <v>a</v>
      </c>
      <c r="AC78" s="559" t="str">
        <f t="shared" si="61"/>
        <v>a</v>
      </c>
      <c r="AD78" s="473" t="str">
        <f>IF($Z78="","a",IF(AND($Z78="b",Inventory!$L85=""),"a",IF(AND($Z78="b",Inventory!$L85&lt;&gt;""),VLOOKUP(Inventory!$L85,$N$4:$O$5,2,FALSE),IF(AND($Z78="a",Inventory!$AC85=""),"a",IF(AND($Z78="a",Inventory!$AC85&lt;&gt;""),VLOOKUP(Inventory!$AC85,$N$4:$O$5,2,FALSE),IF(AND($Z78="c",Inventory!$AC85=""),"a",IF(AND($Z78="c",Inventory!$AC85&lt;&gt;""),VLOOKUP(Inventory!$AC85,$N$4:$O$5,2,FALSE),"a")))))))</f>
        <v>a</v>
      </c>
      <c r="AE78" s="474">
        <f>IF(OR(Inventory!C85="New Construction",Inventory!C85="Replace-on-Burnout"),Inventory!AF85,IF(Inventory!C85="Early Retirement",MIN(Inventory!AE85,Inventory!AF85),0))</f>
        <v>0</v>
      </c>
      <c r="AF78" s="475" t="str">
        <f t="shared" si="62"/>
        <v/>
      </c>
      <c r="AG78" s="475" t="str">
        <f t="shared" si="50"/>
        <v/>
      </c>
      <c r="AH78" s="475" t="str">
        <f t="shared" si="51"/>
        <v/>
      </c>
      <c r="AI78" s="475" t="str">
        <f t="shared" si="52"/>
        <v/>
      </c>
      <c r="AJ78" s="475" t="str">
        <f t="shared" si="53"/>
        <v/>
      </c>
      <c r="AK78" s="475" t="str">
        <f t="shared" si="63"/>
        <v/>
      </c>
      <c r="AL78" s="475" t="str">
        <f t="shared" si="64"/>
        <v/>
      </c>
      <c r="AM78" s="475" t="str">
        <f t="shared" si="65"/>
        <v/>
      </c>
      <c r="AN78" s="475" t="str">
        <f t="shared" si="66"/>
        <v/>
      </c>
      <c r="AO78" s="475" t="str">
        <f t="shared" si="67"/>
        <v/>
      </c>
      <c r="AP78" s="475" t="str">
        <f t="shared" si="68"/>
        <v/>
      </c>
      <c r="AQ78" s="475" t="str">
        <f t="shared" si="69"/>
        <v/>
      </c>
      <c r="AR78" s="475" t="str">
        <f t="shared" si="70"/>
        <v/>
      </c>
      <c r="AS78" s="475" t="str">
        <f t="shared" si="71"/>
        <v/>
      </c>
      <c r="AT78" s="475" t="str">
        <f t="shared" si="72"/>
        <v/>
      </c>
      <c r="AU78" s="475" t="str">
        <f t="shared" si="73"/>
        <v/>
      </c>
      <c r="AV78" s="475" t="str">
        <f t="shared" si="54"/>
        <v/>
      </c>
      <c r="AW78" s="473">
        <f t="shared" si="55"/>
        <v>0</v>
      </c>
      <c r="AX78" s="473" t="str">
        <f>IF(AND($Z78="b",OR($AA78="a",$AA78="b"),Inventory!$I85="",$AE78&lt;(65000/12000)),"x",IF(AND($Z78="b",OR($AA78="a",$AA78="b"),Inventory!$I85&lt;&gt;"",$AE78&lt;(65000/12000)),VLOOKUP(Inventory!$I85,$V$4:$W$5,2,FALSE),"x"))</f>
        <v>x</v>
      </c>
      <c r="AY78" s="476" t="str">
        <f t="shared" si="74"/>
        <v>aaa0</v>
      </c>
      <c r="AZ78" s="477" t="str">
        <f t="shared" si="75"/>
        <v>No</v>
      </c>
      <c r="BA78" s="759" t="str">
        <f t="shared" si="76"/>
        <v>No</v>
      </c>
      <c r="BB78" s="477">
        <f>IF($Z78="c",Inventory!$AB85,Inventory!$K85)</f>
        <v>0</v>
      </c>
      <c r="BC78" s="478">
        <f>IF(AND($Z78="b",Inventory!$N85="Btu/hr"),Inventory!$M85,IF(AND($Z78="b",Inventory!$N85="Tons"),Inventory!$M85*12000,IF(AND($Z78&lt;&gt;"b",Inventory!$AK85="Btu/hr"),Inventory!$AD85,IF(AND($Z78&lt;&gt;"b",Inventory!$AK85="Tons"),Inventory!$AD85*12000,0))))</f>
        <v>0</v>
      </c>
      <c r="BD78" s="478">
        <f t="shared" si="46"/>
        <v>0</v>
      </c>
      <c r="BE78" s="479">
        <f t="shared" si="77"/>
        <v>0</v>
      </c>
      <c r="BF78" s="477" t="s">
        <v>50</v>
      </c>
      <c r="BG78" s="479">
        <f t="shared" si="56"/>
        <v>0</v>
      </c>
      <c r="BH78" s="477" t="s">
        <v>46</v>
      </c>
      <c r="BI78" s="760">
        <f>IF(AND($Z78="b",Inventory!$P85="Btu/hr"),Inventory!$O85,IF(AND($Z78="b",Inventory!$P85="Tons"),Inventory!$O85*12000,IF(AND($Z78&lt;&gt;"b",Inventory!$AM85="Btu/hr"),Inventory!$AL85,IF(AND($Z78&lt;&gt;"b",Inventory!$AM85="Tons"),Inventory!$AL85*12000,0))))</f>
        <v>0</v>
      </c>
      <c r="BJ78" s="760">
        <f t="shared" si="47"/>
        <v>0</v>
      </c>
      <c r="BK78" s="598">
        <f t="shared" si="78"/>
        <v>0</v>
      </c>
      <c r="BL78" s="759" t="s">
        <v>567</v>
      </c>
      <c r="BM78" s="477" t="str">
        <f t="shared" si="57"/>
        <v>No</v>
      </c>
      <c r="BN78" s="477" t="str">
        <f>IF(OR(Inventory!$H85="",$BM78="No"),"-",Inventory!$H85)</f>
        <v>-</v>
      </c>
      <c r="BO78" s="477" t="str">
        <f>IFERROR(VLOOKUP(BN78,'Early Retirement'!$B$6:$C$33,2,FALSE),"-")</f>
        <v>-</v>
      </c>
      <c r="BP78" s="477" t="str">
        <f>IF(Inventory!$J85="Centrifugal","Yes","No")</f>
        <v>No</v>
      </c>
      <c r="BQ78" s="477">
        <f t="shared" si="79"/>
        <v>0</v>
      </c>
      <c r="BR78" s="477" t="str">
        <f t="shared" si="80"/>
        <v>-</v>
      </c>
      <c r="BS78" s="479">
        <f>IFERROR(INDEX('Early Retirement'!$C$4:$AC$33,$BO78,$BR78),0)</f>
        <v>0</v>
      </c>
      <c r="BT78" s="477">
        <f>IFERROR(HLOOKUP($BR78,'Early Retirement'!$D$4:$AC$5,2,FALSE),0)</f>
        <v>0</v>
      </c>
      <c r="BU78" s="761">
        <f>IFERROR(INDEX('Early Retirement'!$AE$4:$BE$33,$BO78,$BR78),0)</f>
        <v>0</v>
      </c>
      <c r="BV78" s="759">
        <f>IFERROR(HLOOKUP($BR78,'Early Retirement'!$AF$4:$BE$5,2,FALSE),0)</f>
        <v>0</v>
      </c>
      <c r="BW78" s="479">
        <f t="shared" si="87"/>
        <v>0</v>
      </c>
      <c r="BX78" s="761">
        <f t="shared" si="81"/>
        <v>0</v>
      </c>
      <c r="BY78" s="477" t="s">
        <v>46</v>
      </c>
      <c r="BZ78" s="598">
        <f>IFERROR(INDEX('Early Retirement'!$BG$4:$CG$33,$BO78,$BR78),0)</f>
        <v>0</v>
      </c>
      <c r="CA78" s="759">
        <f>IFERROR(HLOOKUP($BR78,'Early Retirement'!$BH$4:$CH$5,2,FALSE),0)</f>
        <v>0</v>
      </c>
      <c r="CB78" s="598">
        <f t="shared" si="82"/>
        <v>0</v>
      </c>
      <c r="CC78" s="759" t="s">
        <v>567</v>
      </c>
      <c r="CD78" s="477" t="str">
        <f t="shared" si="58"/>
        <v>Yes</v>
      </c>
      <c r="CE78" s="479">
        <f t="shared" si="59"/>
        <v>0</v>
      </c>
      <c r="CF78" s="761">
        <f t="shared" si="60"/>
        <v>0</v>
      </c>
      <c r="CG78" s="759" t="s">
        <v>46</v>
      </c>
      <c r="CH78" s="598">
        <f t="shared" si="83"/>
        <v>0</v>
      </c>
      <c r="CI78" s="759" t="s">
        <v>567</v>
      </c>
      <c r="CJ78" s="480">
        <f t="shared" si="84"/>
        <v>0</v>
      </c>
      <c r="CK78" s="583">
        <f t="shared" si="85"/>
        <v>0</v>
      </c>
      <c r="CL78" s="596" t="s">
        <v>46</v>
      </c>
      <c r="CM78" s="581">
        <f t="shared" si="86"/>
        <v>0</v>
      </c>
      <c r="CN78" s="762" t="s">
        <v>567</v>
      </c>
      <c r="CP78" s="96" t="s">
        <v>506</v>
      </c>
      <c r="CQ78" s="122">
        <v>8.6999999999999993</v>
      </c>
      <c r="CR78" s="101" t="s">
        <v>50</v>
      </c>
      <c r="CS78" s="642">
        <v>8.6999999999999993</v>
      </c>
      <c r="CT78" s="101" t="s">
        <v>50</v>
      </c>
      <c r="CU78" s="646">
        <f t="shared" si="89"/>
        <v>1.3793103448275863</v>
      </c>
      <c r="CV78" s="646">
        <f t="shared" si="89"/>
        <v>1.3793103448275863</v>
      </c>
      <c r="CW78" s="634" t="s">
        <v>46</v>
      </c>
      <c r="CX78" s="585"/>
      <c r="CY78" s="612"/>
      <c r="CZ78" s="585"/>
      <c r="DA78" s="594"/>
      <c r="DB78" s="562"/>
      <c r="DC78" s="562"/>
      <c r="DD78" s="562"/>
      <c r="DE78" s="562"/>
      <c r="DF78" s="562"/>
      <c r="DG78" s="562"/>
      <c r="DH78" s="562"/>
      <c r="DI78" s="562"/>
      <c r="DJ78" s="562"/>
      <c r="DK78" s="562"/>
      <c r="DL78" s="562"/>
      <c r="DM78" s="562"/>
      <c r="DN78" s="562"/>
      <c r="DO78" s="562"/>
      <c r="DP78" s="562"/>
      <c r="DQ78" s="562"/>
      <c r="DR78" s="562"/>
      <c r="DS78" s="562"/>
      <c r="DT78" s="562"/>
      <c r="DU78" s="562"/>
      <c r="DV78" s="562"/>
      <c r="DW78" s="562"/>
      <c r="DX78" s="562"/>
      <c r="DY78" s="562"/>
      <c r="DZ78" s="562"/>
      <c r="EA78" s="562"/>
      <c r="EB78" s="562"/>
      <c r="EC78" s="562"/>
      <c r="ED78" s="562"/>
      <c r="EE78" s="562"/>
      <c r="EF78" s="562"/>
      <c r="EG78" s="562"/>
      <c r="EH78" s="562"/>
      <c r="EI78" s="562"/>
      <c r="EJ78" s="562"/>
      <c r="EK78" s="562"/>
      <c r="EL78" s="562"/>
    </row>
    <row r="79" spans="2:142" s="78" customFormat="1" ht="15" customHeight="1" x14ac:dyDescent="0.25">
      <c r="B79" s="77"/>
      <c r="E79" s="77"/>
      <c r="H79" s="77"/>
      <c r="U79" s="79"/>
      <c r="V79" s="79"/>
      <c r="W79" s="79"/>
      <c r="Y79" s="90">
        <v>77</v>
      </c>
      <c r="Z79" s="559" t="str">
        <f>IF(Inventory!$C86="","",VLOOKUP(Inventory!$C86,$B$3:$C$5,2,FALSE))</f>
        <v/>
      </c>
      <c r="AA79" s="559" t="str">
        <f>IF($Z79="","",IF(AND($Z79="b",Inventory!$G86=""),"",IF(AND($Z79="b",Inventory!$G86&lt;&gt;""),VLOOKUP(Inventory!$G86,$E$3:$F$10,2,FALSE),IF(AND($Z79="a",Inventory!$Z86=""),"",IF(AND($Z79="a",Inventory!$Z86&lt;&gt;""),VLOOKUP(Inventory!$Z86,$E$3:$F$10,2,FALSE),IF(AND($Z79="c",Inventory!$Z86=""),"",IF(AND($Z79="c",Inventory!$Z86&lt;&gt;""),VLOOKUP(Inventory!$Z86,$E$3:$F$10,2,FALSE),"")))))))</f>
        <v/>
      </c>
      <c r="AB79" s="559" t="str">
        <f>IF($Z79="","a",IF(AND($Z79="b",Inventory!$J86=""),"a",IF(AND($Z79="b",Inventory!$J86&lt;&gt;""),VLOOKUP(Inventory!$J86,$H$4:$I$6,2,FALSE),IF(AND($Z79="a",Inventory!$AA86=""),"a",IF(AND($Z79="a",Inventory!$AA86&lt;&gt;""),VLOOKUP(Inventory!$AA86,$H$4:$I$6,2,FALSE),IF(AND($Z79="c",Inventory!$AA86=""),"a",IF(AND($Z79="c",Inventory!$AA86&lt;&gt;""),VLOOKUP(Inventory!$AA86,$H$4:$I$6,2,FALSE),"a")))))))</f>
        <v>a</v>
      </c>
      <c r="AC79" s="559" t="str">
        <f t="shared" si="61"/>
        <v>a</v>
      </c>
      <c r="AD79" s="473" t="str">
        <f>IF($Z79="","a",IF(AND($Z79="b",Inventory!$L86=""),"a",IF(AND($Z79="b",Inventory!$L86&lt;&gt;""),VLOOKUP(Inventory!$L86,$N$4:$O$5,2,FALSE),IF(AND($Z79="a",Inventory!$AC86=""),"a",IF(AND($Z79="a",Inventory!$AC86&lt;&gt;""),VLOOKUP(Inventory!$AC86,$N$4:$O$5,2,FALSE),IF(AND($Z79="c",Inventory!$AC86=""),"a",IF(AND($Z79="c",Inventory!$AC86&lt;&gt;""),VLOOKUP(Inventory!$AC86,$N$4:$O$5,2,FALSE),"a")))))))</f>
        <v>a</v>
      </c>
      <c r="AE79" s="474">
        <f>IF(OR(Inventory!C86="New Construction",Inventory!C86="Replace-on-Burnout"),Inventory!AF86,IF(Inventory!C86="Early Retirement",MIN(Inventory!AE86,Inventory!AF86),0))</f>
        <v>0</v>
      </c>
      <c r="AF79" s="475" t="str">
        <f t="shared" si="62"/>
        <v/>
      </c>
      <c r="AG79" s="475" t="str">
        <f t="shared" si="50"/>
        <v/>
      </c>
      <c r="AH79" s="475" t="str">
        <f t="shared" si="51"/>
        <v/>
      </c>
      <c r="AI79" s="475" t="str">
        <f t="shared" si="52"/>
        <v/>
      </c>
      <c r="AJ79" s="475" t="str">
        <f t="shared" si="53"/>
        <v/>
      </c>
      <c r="AK79" s="475" t="str">
        <f t="shared" si="63"/>
        <v/>
      </c>
      <c r="AL79" s="475" t="str">
        <f t="shared" si="64"/>
        <v/>
      </c>
      <c r="AM79" s="475" t="str">
        <f t="shared" si="65"/>
        <v/>
      </c>
      <c r="AN79" s="475" t="str">
        <f t="shared" si="66"/>
        <v/>
      </c>
      <c r="AO79" s="475" t="str">
        <f t="shared" si="67"/>
        <v/>
      </c>
      <c r="AP79" s="475" t="str">
        <f t="shared" si="68"/>
        <v/>
      </c>
      <c r="AQ79" s="475" t="str">
        <f t="shared" si="69"/>
        <v/>
      </c>
      <c r="AR79" s="475" t="str">
        <f t="shared" si="70"/>
        <v/>
      </c>
      <c r="AS79" s="475" t="str">
        <f t="shared" si="71"/>
        <v/>
      </c>
      <c r="AT79" s="475" t="str">
        <f t="shared" si="72"/>
        <v/>
      </c>
      <c r="AU79" s="475" t="str">
        <f t="shared" si="73"/>
        <v/>
      </c>
      <c r="AV79" s="475" t="str">
        <f t="shared" si="54"/>
        <v/>
      </c>
      <c r="AW79" s="473">
        <f t="shared" si="55"/>
        <v>0</v>
      </c>
      <c r="AX79" s="473" t="str">
        <f>IF(AND($Z79="b",OR($AA79="a",$AA79="b"),Inventory!$I86="",$AE79&lt;(65000/12000)),"x",IF(AND($Z79="b",OR($AA79="a",$AA79="b"),Inventory!$I86&lt;&gt;"",$AE79&lt;(65000/12000)),VLOOKUP(Inventory!$I86,$V$4:$W$5,2,FALSE),"x"))</f>
        <v>x</v>
      </c>
      <c r="AY79" s="476" t="str">
        <f t="shared" si="74"/>
        <v>aaa0</v>
      </c>
      <c r="AZ79" s="477" t="str">
        <f t="shared" si="75"/>
        <v>No</v>
      </c>
      <c r="BA79" s="759" t="str">
        <f t="shared" si="76"/>
        <v>No</v>
      </c>
      <c r="BB79" s="477">
        <f>IF($Z79="c",Inventory!$AB86,Inventory!$K86)</f>
        <v>0</v>
      </c>
      <c r="BC79" s="478">
        <f>IF(AND($Z79="b",Inventory!$N86="Btu/hr"),Inventory!$M86,IF(AND($Z79="b",Inventory!$N86="Tons"),Inventory!$M86*12000,IF(AND($Z79&lt;&gt;"b",Inventory!$AK86="Btu/hr"),Inventory!$AD86,IF(AND($Z79&lt;&gt;"b",Inventory!$AK86="Tons"),Inventory!$AD86*12000,0))))</f>
        <v>0</v>
      </c>
      <c r="BD79" s="478">
        <f t="shared" si="46"/>
        <v>0</v>
      </c>
      <c r="BE79" s="479">
        <f t="shared" si="77"/>
        <v>0</v>
      </c>
      <c r="BF79" s="477" t="s">
        <v>50</v>
      </c>
      <c r="BG79" s="479">
        <f t="shared" si="56"/>
        <v>0</v>
      </c>
      <c r="BH79" s="477" t="s">
        <v>46</v>
      </c>
      <c r="BI79" s="760">
        <f>IF(AND($Z79="b",Inventory!$P86="Btu/hr"),Inventory!$O86,IF(AND($Z79="b",Inventory!$P86="Tons"),Inventory!$O86*12000,IF(AND($Z79&lt;&gt;"b",Inventory!$AM86="Btu/hr"),Inventory!$AL86,IF(AND($Z79&lt;&gt;"b",Inventory!$AM86="Tons"),Inventory!$AL86*12000,0))))</f>
        <v>0</v>
      </c>
      <c r="BJ79" s="760">
        <f t="shared" si="47"/>
        <v>0</v>
      </c>
      <c r="BK79" s="598">
        <f t="shared" si="78"/>
        <v>0</v>
      </c>
      <c r="BL79" s="759" t="s">
        <v>567</v>
      </c>
      <c r="BM79" s="477" t="str">
        <f t="shared" si="57"/>
        <v>No</v>
      </c>
      <c r="BN79" s="477" t="str">
        <f>IF(OR(Inventory!$H86="",$BM79="No"),"-",Inventory!$H86)</f>
        <v>-</v>
      </c>
      <c r="BO79" s="477" t="str">
        <f>IFERROR(VLOOKUP(BN79,'Early Retirement'!$B$6:$C$33,2,FALSE),"-")</f>
        <v>-</v>
      </c>
      <c r="BP79" s="477" t="str">
        <f>IF(Inventory!$J86="Centrifugal","Yes","No")</f>
        <v>No</v>
      </c>
      <c r="BQ79" s="477">
        <f t="shared" si="79"/>
        <v>0</v>
      </c>
      <c r="BR79" s="477" t="str">
        <f t="shared" si="80"/>
        <v>-</v>
      </c>
      <c r="BS79" s="479">
        <f>IFERROR(INDEX('Early Retirement'!$C$4:$AC$33,$BO79,$BR79),0)</f>
        <v>0</v>
      </c>
      <c r="BT79" s="477">
        <f>IFERROR(HLOOKUP($BR79,'Early Retirement'!$D$4:$AC$5,2,FALSE),0)</f>
        <v>0</v>
      </c>
      <c r="BU79" s="761">
        <f>IFERROR(INDEX('Early Retirement'!$AE$4:$BE$33,$BO79,$BR79),0)</f>
        <v>0</v>
      </c>
      <c r="BV79" s="759">
        <f>IFERROR(HLOOKUP($BR79,'Early Retirement'!$AF$4:$BE$5,2,FALSE),0)</f>
        <v>0</v>
      </c>
      <c r="BW79" s="479">
        <f t="shared" si="87"/>
        <v>0</v>
      </c>
      <c r="BX79" s="761">
        <f t="shared" si="81"/>
        <v>0</v>
      </c>
      <c r="BY79" s="477" t="s">
        <v>46</v>
      </c>
      <c r="BZ79" s="598">
        <f>IFERROR(INDEX('Early Retirement'!$BG$4:$CG$33,$BO79,$BR79),0)</f>
        <v>0</v>
      </c>
      <c r="CA79" s="759">
        <f>IFERROR(HLOOKUP($BR79,'Early Retirement'!$BH$4:$CH$5,2,FALSE),0)</f>
        <v>0</v>
      </c>
      <c r="CB79" s="598">
        <f t="shared" si="82"/>
        <v>0</v>
      </c>
      <c r="CC79" s="759" t="s">
        <v>567</v>
      </c>
      <c r="CD79" s="477" t="str">
        <f t="shared" si="58"/>
        <v>Yes</v>
      </c>
      <c r="CE79" s="479">
        <f t="shared" si="59"/>
        <v>0</v>
      </c>
      <c r="CF79" s="761">
        <f t="shared" si="60"/>
        <v>0</v>
      </c>
      <c r="CG79" s="759" t="s">
        <v>46</v>
      </c>
      <c r="CH79" s="598">
        <f t="shared" si="83"/>
        <v>0</v>
      </c>
      <c r="CI79" s="759" t="s">
        <v>567</v>
      </c>
      <c r="CJ79" s="480">
        <f t="shared" si="84"/>
        <v>0</v>
      </c>
      <c r="CK79" s="583">
        <f t="shared" si="85"/>
        <v>0</v>
      </c>
      <c r="CL79" s="596" t="s">
        <v>46</v>
      </c>
      <c r="CM79" s="581">
        <f t="shared" si="86"/>
        <v>0</v>
      </c>
      <c r="CN79" s="762" t="s">
        <v>567</v>
      </c>
      <c r="CP79" s="508" t="s">
        <v>193</v>
      </c>
      <c r="CQ79" s="126">
        <v>9.5619999999999994</v>
      </c>
      <c r="CR79" s="507" t="s">
        <v>50</v>
      </c>
      <c r="CS79" s="647">
        <v>12.75</v>
      </c>
      <c r="CT79" s="566" t="s">
        <v>559</v>
      </c>
      <c r="CU79" s="647">
        <f t="shared" si="89"/>
        <v>1.2549675800041833</v>
      </c>
      <c r="CV79" s="647">
        <f>12/$CS79</f>
        <v>0.94117647058823528</v>
      </c>
      <c r="CW79" s="682" t="s">
        <v>46</v>
      </c>
      <c r="CX79" s="601"/>
      <c r="CY79" s="584"/>
      <c r="CZ79" s="601"/>
      <c r="DA79" s="588"/>
      <c r="DB79" s="562"/>
      <c r="DC79" s="562"/>
      <c r="DD79" s="562"/>
      <c r="DE79" s="562"/>
      <c r="DF79" s="562"/>
      <c r="DG79" s="562"/>
      <c r="DH79" s="562"/>
      <c r="DI79" s="562"/>
      <c r="DJ79" s="562"/>
      <c r="DK79" s="562"/>
      <c r="DL79" s="562"/>
      <c r="DM79" s="562"/>
      <c r="DN79" s="562"/>
      <c r="DO79" s="562"/>
      <c r="DP79" s="562"/>
      <c r="DQ79" s="562"/>
      <c r="DR79" s="562"/>
      <c r="DS79" s="562"/>
      <c r="DT79" s="562"/>
      <c r="DU79" s="562"/>
      <c r="DV79" s="562"/>
      <c r="DW79" s="562"/>
      <c r="DX79" s="562"/>
      <c r="DY79" s="562"/>
      <c r="DZ79" s="562"/>
      <c r="EA79" s="562"/>
      <c r="EB79" s="562"/>
      <c r="EC79" s="562"/>
      <c r="ED79" s="562"/>
      <c r="EE79" s="562"/>
      <c r="EF79" s="562"/>
      <c r="EG79" s="562"/>
      <c r="EH79" s="562"/>
      <c r="EI79" s="562"/>
      <c r="EJ79" s="562"/>
      <c r="EK79" s="562"/>
      <c r="EL79" s="562"/>
    </row>
    <row r="80" spans="2:142" s="78" customFormat="1" ht="15" customHeight="1" x14ac:dyDescent="0.25">
      <c r="B80" s="77"/>
      <c r="E80" s="77"/>
      <c r="H80" s="77"/>
      <c r="U80" s="79"/>
      <c r="V80" s="79"/>
      <c r="W80" s="79"/>
      <c r="Y80" s="90">
        <v>78</v>
      </c>
      <c r="Z80" s="559" t="str">
        <f>IF(Inventory!$C87="","",VLOOKUP(Inventory!$C87,$B$3:$C$5,2,FALSE))</f>
        <v/>
      </c>
      <c r="AA80" s="559" t="str">
        <f>IF($Z80="","",IF(AND($Z80="b",Inventory!$G87=""),"",IF(AND($Z80="b",Inventory!$G87&lt;&gt;""),VLOOKUP(Inventory!$G87,$E$3:$F$10,2,FALSE),IF(AND($Z80="a",Inventory!$Z87=""),"",IF(AND($Z80="a",Inventory!$Z87&lt;&gt;""),VLOOKUP(Inventory!$Z87,$E$3:$F$10,2,FALSE),IF(AND($Z80="c",Inventory!$Z87=""),"",IF(AND($Z80="c",Inventory!$Z87&lt;&gt;""),VLOOKUP(Inventory!$Z87,$E$3:$F$10,2,FALSE),"")))))))</f>
        <v/>
      </c>
      <c r="AB80" s="559" t="str">
        <f>IF($Z80="","a",IF(AND($Z80="b",Inventory!$J87=""),"a",IF(AND($Z80="b",Inventory!$J87&lt;&gt;""),VLOOKUP(Inventory!$J87,$H$4:$I$6,2,FALSE),IF(AND($Z80="a",Inventory!$AA87=""),"a",IF(AND($Z80="a",Inventory!$AA87&lt;&gt;""),VLOOKUP(Inventory!$AA87,$H$4:$I$6,2,FALSE),IF(AND($Z80="c",Inventory!$AA87=""),"a",IF(AND($Z80="c",Inventory!$AA87&lt;&gt;""),VLOOKUP(Inventory!$AA87,$H$4:$I$6,2,FALSE),"a")))))))</f>
        <v>a</v>
      </c>
      <c r="AC80" s="559" t="str">
        <f t="shared" si="61"/>
        <v>a</v>
      </c>
      <c r="AD80" s="473" t="str">
        <f>IF($Z80="","a",IF(AND($Z80="b",Inventory!$L87=""),"a",IF(AND($Z80="b",Inventory!$L87&lt;&gt;""),VLOOKUP(Inventory!$L87,$N$4:$O$5,2,FALSE),IF(AND($Z80="a",Inventory!$AC87=""),"a",IF(AND($Z80="a",Inventory!$AC87&lt;&gt;""),VLOOKUP(Inventory!$AC87,$N$4:$O$5,2,FALSE),IF(AND($Z80="c",Inventory!$AC87=""),"a",IF(AND($Z80="c",Inventory!$AC87&lt;&gt;""),VLOOKUP(Inventory!$AC87,$N$4:$O$5,2,FALSE),"a")))))))</f>
        <v>a</v>
      </c>
      <c r="AE80" s="474">
        <f>IF(OR(Inventory!C87="New Construction",Inventory!C87="Replace-on-Burnout"),Inventory!AF87,IF(Inventory!C87="Early Retirement",MIN(Inventory!AE87,Inventory!AF87),0))</f>
        <v>0</v>
      </c>
      <c r="AF80" s="475" t="str">
        <f t="shared" si="62"/>
        <v/>
      </c>
      <c r="AG80" s="475" t="str">
        <f t="shared" si="50"/>
        <v/>
      </c>
      <c r="AH80" s="475" t="str">
        <f t="shared" si="51"/>
        <v/>
      </c>
      <c r="AI80" s="475" t="str">
        <f t="shared" si="52"/>
        <v/>
      </c>
      <c r="AJ80" s="475" t="str">
        <f t="shared" si="53"/>
        <v/>
      </c>
      <c r="AK80" s="475" t="str">
        <f t="shared" si="63"/>
        <v/>
      </c>
      <c r="AL80" s="475" t="str">
        <f t="shared" si="64"/>
        <v/>
      </c>
      <c r="AM80" s="475" t="str">
        <f t="shared" si="65"/>
        <v/>
      </c>
      <c r="AN80" s="475" t="str">
        <f t="shared" si="66"/>
        <v/>
      </c>
      <c r="AO80" s="475" t="str">
        <f t="shared" si="67"/>
        <v/>
      </c>
      <c r="AP80" s="475" t="str">
        <f t="shared" si="68"/>
        <v/>
      </c>
      <c r="AQ80" s="475" t="str">
        <f t="shared" si="69"/>
        <v/>
      </c>
      <c r="AR80" s="475" t="str">
        <f t="shared" si="70"/>
        <v/>
      </c>
      <c r="AS80" s="475" t="str">
        <f t="shared" si="71"/>
        <v/>
      </c>
      <c r="AT80" s="475" t="str">
        <f t="shared" si="72"/>
        <v/>
      </c>
      <c r="AU80" s="475" t="str">
        <f t="shared" si="73"/>
        <v/>
      </c>
      <c r="AV80" s="475" t="str">
        <f t="shared" si="54"/>
        <v/>
      </c>
      <c r="AW80" s="473">
        <f t="shared" si="55"/>
        <v>0</v>
      </c>
      <c r="AX80" s="473" t="str">
        <f>IF(AND($Z80="b",OR($AA80="a",$AA80="b"),Inventory!$I87="",$AE80&lt;(65000/12000)),"x",IF(AND($Z80="b",OR($AA80="a",$AA80="b"),Inventory!$I87&lt;&gt;"",$AE80&lt;(65000/12000)),VLOOKUP(Inventory!$I87,$V$4:$W$5,2,FALSE),"x"))</f>
        <v>x</v>
      </c>
      <c r="AY80" s="476" t="str">
        <f t="shared" si="74"/>
        <v>aaa0</v>
      </c>
      <c r="AZ80" s="477" t="str">
        <f t="shared" si="75"/>
        <v>No</v>
      </c>
      <c r="BA80" s="759" t="str">
        <f t="shared" si="76"/>
        <v>No</v>
      </c>
      <c r="BB80" s="477">
        <f>IF($Z80="c",Inventory!$AB87,Inventory!$K87)</f>
        <v>0</v>
      </c>
      <c r="BC80" s="478">
        <f>IF(AND($Z80="b",Inventory!$N87="Btu/hr"),Inventory!$M87,IF(AND($Z80="b",Inventory!$N87="Tons"),Inventory!$M87*12000,IF(AND($Z80&lt;&gt;"b",Inventory!$AK87="Btu/hr"),Inventory!$AD87,IF(AND($Z80&lt;&gt;"b",Inventory!$AK87="Tons"),Inventory!$AD87*12000,0))))</f>
        <v>0</v>
      </c>
      <c r="BD80" s="478">
        <f t="shared" si="46"/>
        <v>0</v>
      </c>
      <c r="BE80" s="479">
        <f t="shared" si="77"/>
        <v>0</v>
      </c>
      <c r="BF80" s="477" t="s">
        <v>50</v>
      </c>
      <c r="BG80" s="479">
        <f t="shared" si="56"/>
        <v>0</v>
      </c>
      <c r="BH80" s="477" t="s">
        <v>46</v>
      </c>
      <c r="BI80" s="760">
        <f>IF(AND($Z80="b",Inventory!$P87="Btu/hr"),Inventory!$O87,IF(AND($Z80="b",Inventory!$P87="Tons"),Inventory!$O87*12000,IF(AND($Z80&lt;&gt;"b",Inventory!$AM87="Btu/hr"),Inventory!$AL87,IF(AND($Z80&lt;&gt;"b",Inventory!$AM87="Tons"),Inventory!$AL87*12000,0))))</f>
        <v>0</v>
      </c>
      <c r="BJ80" s="760">
        <f t="shared" si="47"/>
        <v>0</v>
      </c>
      <c r="BK80" s="598">
        <f t="shared" si="78"/>
        <v>0</v>
      </c>
      <c r="BL80" s="759" t="s">
        <v>567</v>
      </c>
      <c r="BM80" s="477" t="str">
        <f t="shared" si="57"/>
        <v>No</v>
      </c>
      <c r="BN80" s="477" t="str">
        <f>IF(OR(Inventory!$H87="",$BM80="No"),"-",Inventory!$H87)</f>
        <v>-</v>
      </c>
      <c r="BO80" s="477" t="str">
        <f>IFERROR(VLOOKUP(BN80,'Early Retirement'!$B$6:$C$33,2,FALSE),"-")</f>
        <v>-</v>
      </c>
      <c r="BP80" s="477" t="str">
        <f>IF(Inventory!$J87="Centrifugal","Yes","No")</f>
        <v>No</v>
      </c>
      <c r="BQ80" s="477">
        <f t="shared" si="79"/>
        <v>0</v>
      </c>
      <c r="BR80" s="477" t="str">
        <f t="shared" si="80"/>
        <v>-</v>
      </c>
      <c r="BS80" s="479">
        <f>IFERROR(INDEX('Early Retirement'!$C$4:$AC$33,$BO80,$BR80),0)</f>
        <v>0</v>
      </c>
      <c r="BT80" s="477">
        <f>IFERROR(HLOOKUP($BR80,'Early Retirement'!$D$4:$AC$5,2,FALSE),0)</f>
        <v>0</v>
      </c>
      <c r="BU80" s="761">
        <f>IFERROR(INDEX('Early Retirement'!$AE$4:$BE$33,$BO80,$BR80),0)</f>
        <v>0</v>
      </c>
      <c r="BV80" s="759">
        <f>IFERROR(HLOOKUP($BR80,'Early Retirement'!$AF$4:$BE$5,2,FALSE),0)</f>
        <v>0</v>
      </c>
      <c r="BW80" s="479">
        <f t="shared" si="87"/>
        <v>0</v>
      </c>
      <c r="BX80" s="761">
        <f t="shared" si="81"/>
        <v>0</v>
      </c>
      <c r="BY80" s="477" t="s">
        <v>46</v>
      </c>
      <c r="BZ80" s="598">
        <f>IFERROR(INDEX('Early Retirement'!$BG$4:$CG$33,$BO80,$BR80),0)</f>
        <v>0</v>
      </c>
      <c r="CA80" s="759">
        <f>IFERROR(HLOOKUP($BR80,'Early Retirement'!$BH$4:$CH$5,2,FALSE),0)</f>
        <v>0</v>
      </c>
      <c r="CB80" s="598">
        <f t="shared" si="82"/>
        <v>0</v>
      </c>
      <c r="CC80" s="759" t="s">
        <v>567</v>
      </c>
      <c r="CD80" s="477" t="str">
        <f t="shared" si="58"/>
        <v>Yes</v>
      </c>
      <c r="CE80" s="479">
        <f t="shared" si="59"/>
        <v>0</v>
      </c>
      <c r="CF80" s="761">
        <f t="shared" si="60"/>
        <v>0</v>
      </c>
      <c r="CG80" s="759" t="s">
        <v>46</v>
      </c>
      <c r="CH80" s="598">
        <f t="shared" si="83"/>
        <v>0</v>
      </c>
      <c r="CI80" s="759" t="s">
        <v>567</v>
      </c>
      <c r="CJ80" s="480">
        <f t="shared" si="84"/>
        <v>0</v>
      </c>
      <c r="CK80" s="583">
        <f t="shared" si="85"/>
        <v>0</v>
      </c>
      <c r="CL80" s="596" t="s">
        <v>46</v>
      </c>
      <c r="CM80" s="581">
        <f t="shared" si="86"/>
        <v>0</v>
      </c>
      <c r="CN80" s="762" t="s">
        <v>567</v>
      </c>
      <c r="CP80" s="90" t="s">
        <v>194</v>
      </c>
      <c r="CQ80" s="124">
        <v>9.5619999999999994</v>
      </c>
      <c r="CR80" s="307" t="s">
        <v>50</v>
      </c>
      <c r="CS80" s="645">
        <v>12.75</v>
      </c>
      <c r="CT80" s="551" t="s">
        <v>559</v>
      </c>
      <c r="CU80" s="645">
        <f t="shared" si="89"/>
        <v>1.2549675800041833</v>
      </c>
      <c r="CV80" s="645">
        <f t="shared" ref="CV80:CV93" si="90">12/$CS80</f>
        <v>0.94117647058823528</v>
      </c>
      <c r="CW80" s="633" t="s">
        <v>46</v>
      </c>
      <c r="CX80" s="606"/>
      <c r="CY80" s="589"/>
      <c r="CZ80" s="606"/>
      <c r="DA80" s="609"/>
      <c r="DB80" s="562"/>
      <c r="DC80" s="562"/>
      <c r="DD80" s="562"/>
      <c r="DE80" s="562"/>
      <c r="DF80" s="562"/>
      <c r="DG80" s="562"/>
      <c r="DH80" s="562"/>
      <c r="DI80" s="562"/>
      <c r="DJ80" s="562"/>
      <c r="DK80" s="562"/>
      <c r="DL80" s="562"/>
      <c r="DM80" s="562"/>
      <c r="DN80" s="562"/>
      <c r="DO80" s="562"/>
      <c r="DP80" s="562"/>
      <c r="DQ80" s="562"/>
      <c r="DR80" s="562"/>
      <c r="DS80" s="562"/>
      <c r="DT80" s="562"/>
      <c r="DU80" s="562"/>
      <c r="DV80" s="562"/>
      <c r="DW80" s="562"/>
      <c r="DX80" s="562"/>
      <c r="DY80" s="562"/>
      <c r="DZ80" s="562"/>
      <c r="EA80" s="562"/>
      <c r="EB80" s="562"/>
      <c r="EC80" s="562"/>
      <c r="ED80" s="562"/>
      <c r="EE80" s="562"/>
      <c r="EF80" s="562"/>
      <c r="EG80" s="562"/>
      <c r="EH80" s="562"/>
      <c r="EI80" s="562"/>
      <c r="EJ80" s="562"/>
      <c r="EK80" s="562"/>
      <c r="EL80" s="562"/>
    </row>
    <row r="81" spans="2:142" s="78" customFormat="1" ht="15" customHeight="1" x14ac:dyDescent="0.25">
      <c r="B81" s="77"/>
      <c r="E81" s="77"/>
      <c r="H81" s="77"/>
      <c r="U81" s="79"/>
      <c r="V81" s="79"/>
      <c r="W81" s="79"/>
      <c r="Y81" s="90">
        <v>79</v>
      </c>
      <c r="Z81" s="559" t="str">
        <f>IF(Inventory!$C88="","",VLOOKUP(Inventory!$C88,$B$3:$C$5,2,FALSE))</f>
        <v/>
      </c>
      <c r="AA81" s="559" t="str">
        <f>IF($Z81="","",IF(AND($Z81="b",Inventory!$G88=""),"",IF(AND($Z81="b",Inventory!$G88&lt;&gt;""),VLOOKUP(Inventory!$G88,$E$3:$F$10,2,FALSE),IF(AND($Z81="a",Inventory!$Z88=""),"",IF(AND($Z81="a",Inventory!$Z88&lt;&gt;""),VLOOKUP(Inventory!$Z88,$E$3:$F$10,2,FALSE),IF(AND($Z81="c",Inventory!$Z88=""),"",IF(AND($Z81="c",Inventory!$Z88&lt;&gt;""),VLOOKUP(Inventory!$Z88,$E$3:$F$10,2,FALSE),"")))))))</f>
        <v/>
      </c>
      <c r="AB81" s="559" t="str">
        <f>IF($Z81="","a",IF(AND($Z81="b",Inventory!$J88=""),"a",IF(AND($Z81="b",Inventory!$J88&lt;&gt;""),VLOOKUP(Inventory!$J88,$H$4:$I$6,2,FALSE),IF(AND($Z81="a",Inventory!$AA88=""),"a",IF(AND($Z81="a",Inventory!$AA88&lt;&gt;""),VLOOKUP(Inventory!$AA88,$H$4:$I$6,2,FALSE),IF(AND($Z81="c",Inventory!$AA88=""),"a",IF(AND($Z81="c",Inventory!$AA88&lt;&gt;""),VLOOKUP(Inventory!$AA88,$H$4:$I$6,2,FALSE),"a")))))))</f>
        <v>a</v>
      </c>
      <c r="AC81" s="559" t="str">
        <f t="shared" si="61"/>
        <v>a</v>
      </c>
      <c r="AD81" s="473" t="str">
        <f>IF($Z81="","a",IF(AND($Z81="b",Inventory!$L88=""),"a",IF(AND($Z81="b",Inventory!$L88&lt;&gt;""),VLOOKUP(Inventory!$L88,$N$4:$O$5,2,FALSE),IF(AND($Z81="a",Inventory!$AC88=""),"a",IF(AND($Z81="a",Inventory!$AC88&lt;&gt;""),VLOOKUP(Inventory!$AC88,$N$4:$O$5,2,FALSE),IF(AND($Z81="c",Inventory!$AC88=""),"a",IF(AND($Z81="c",Inventory!$AC88&lt;&gt;""),VLOOKUP(Inventory!$AC88,$N$4:$O$5,2,FALSE),"a")))))))</f>
        <v>a</v>
      </c>
      <c r="AE81" s="474">
        <f>IF(OR(Inventory!C88="New Construction",Inventory!C88="Replace-on-Burnout"),Inventory!AF88,IF(Inventory!C88="Early Retirement",MIN(Inventory!AE88,Inventory!AF88),0))</f>
        <v>0</v>
      </c>
      <c r="AF81" s="475" t="str">
        <f t="shared" si="62"/>
        <v/>
      </c>
      <c r="AG81" s="475" t="str">
        <f t="shared" si="50"/>
        <v/>
      </c>
      <c r="AH81" s="475" t="str">
        <f t="shared" si="51"/>
        <v/>
      </c>
      <c r="AI81" s="475" t="str">
        <f t="shared" si="52"/>
        <v/>
      </c>
      <c r="AJ81" s="475" t="str">
        <f t="shared" si="53"/>
        <v/>
      </c>
      <c r="AK81" s="475" t="str">
        <f t="shared" si="63"/>
        <v/>
      </c>
      <c r="AL81" s="475" t="str">
        <f t="shared" si="64"/>
        <v/>
      </c>
      <c r="AM81" s="475" t="str">
        <f t="shared" si="65"/>
        <v/>
      </c>
      <c r="AN81" s="475" t="str">
        <f t="shared" si="66"/>
        <v/>
      </c>
      <c r="AO81" s="475" t="str">
        <f t="shared" si="67"/>
        <v/>
      </c>
      <c r="AP81" s="475" t="str">
        <f t="shared" si="68"/>
        <v/>
      </c>
      <c r="AQ81" s="475" t="str">
        <f t="shared" si="69"/>
        <v/>
      </c>
      <c r="AR81" s="475" t="str">
        <f t="shared" si="70"/>
        <v/>
      </c>
      <c r="AS81" s="475" t="str">
        <f t="shared" si="71"/>
        <v/>
      </c>
      <c r="AT81" s="475" t="str">
        <f t="shared" si="72"/>
        <v/>
      </c>
      <c r="AU81" s="475" t="str">
        <f t="shared" si="73"/>
        <v/>
      </c>
      <c r="AV81" s="475" t="str">
        <f t="shared" si="54"/>
        <v/>
      </c>
      <c r="AW81" s="473">
        <f t="shared" si="55"/>
        <v>0</v>
      </c>
      <c r="AX81" s="473" t="str">
        <f>IF(AND($Z81="b",OR($AA81="a",$AA81="b"),Inventory!$I88="",$AE81&lt;(65000/12000)),"x",IF(AND($Z81="b",OR($AA81="a",$AA81="b"),Inventory!$I88&lt;&gt;"",$AE81&lt;(65000/12000)),VLOOKUP(Inventory!$I88,$V$4:$W$5,2,FALSE),"x"))</f>
        <v>x</v>
      </c>
      <c r="AY81" s="476" t="str">
        <f t="shared" si="74"/>
        <v>aaa0</v>
      </c>
      <c r="AZ81" s="477" t="str">
        <f t="shared" si="75"/>
        <v>No</v>
      </c>
      <c r="BA81" s="759" t="str">
        <f t="shared" si="76"/>
        <v>No</v>
      </c>
      <c r="BB81" s="477">
        <f>IF($Z81="c",Inventory!$AB88,Inventory!$K88)</f>
        <v>0</v>
      </c>
      <c r="BC81" s="478">
        <f>IF(AND($Z81="b",Inventory!$N88="Btu/hr"),Inventory!$M88,IF(AND($Z81="b",Inventory!$N88="Tons"),Inventory!$M88*12000,IF(AND($Z81&lt;&gt;"b",Inventory!$AK88="Btu/hr"),Inventory!$AD88,IF(AND($Z81&lt;&gt;"b",Inventory!$AK88="Tons"),Inventory!$AD88*12000,0))))</f>
        <v>0</v>
      </c>
      <c r="BD81" s="478">
        <f t="shared" si="46"/>
        <v>0</v>
      </c>
      <c r="BE81" s="479">
        <f t="shared" si="77"/>
        <v>0</v>
      </c>
      <c r="BF81" s="477" t="s">
        <v>50</v>
      </c>
      <c r="BG81" s="479">
        <f t="shared" si="56"/>
        <v>0</v>
      </c>
      <c r="BH81" s="477" t="s">
        <v>46</v>
      </c>
      <c r="BI81" s="760">
        <f>IF(AND($Z81="b",Inventory!$P88="Btu/hr"),Inventory!$O88,IF(AND($Z81="b",Inventory!$P88="Tons"),Inventory!$O88*12000,IF(AND($Z81&lt;&gt;"b",Inventory!$AM88="Btu/hr"),Inventory!$AL88,IF(AND($Z81&lt;&gt;"b",Inventory!$AM88="Tons"),Inventory!$AL88*12000,0))))</f>
        <v>0</v>
      </c>
      <c r="BJ81" s="760">
        <f t="shared" si="47"/>
        <v>0</v>
      </c>
      <c r="BK81" s="598">
        <f t="shared" si="78"/>
        <v>0</v>
      </c>
      <c r="BL81" s="759" t="s">
        <v>567</v>
      </c>
      <c r="BM81" s="477" t="str">
        <f t="shared" si="57"/>
        <v>No</v>
      </c>
      <c r="BN81" s="477" t="str">
        <f>IF(OR(Inventory!$H88="",$BM81="No"),"-",Inventory!$H88)</f>
        <v>-</v>
      </c>
      <c r="BO81" s="477" t="str">
        <f>IFERROR(VLOOKUP(BN81,'Early Retirement'!$B$6:$C$33,2,FALSE),"-")</f>
        <v>-</v>
      </c>
      <c r="BP81" s="477" t="str">
        <f>IF(Inventory!$J88="Centrifugal","Yes","No")</f>
        <v>No</v>
      </c>
      <c r="BQ81" s="477">
        <f t="shared" si="79"/>
        <v>0</v>
      </c>
      <c r="BR81" s="477" t="str">
        <f t="shared" si="80"/>
        <v>-</v>
      </c>
      <c r="BS81" s="479">
        <f>IFERROR(INDEX('Early Retirement'!$C$4:$AC$33,$BO81,$BR81),0)</f>
        <v>0</v>
      </c>
      <c r="BT81" s="477">
        <f>IFERROR(HLOOKUP($BR81,'Early Retirement'!$D$4:$AC$5,2,FALSE),0)</f>
        <v>0</v>
      </c>
      <c r="BU81" s="761">
        <f>IFERROR(INDEX('Early Retirement'!$AE$4:$BE$33,$BO81,$BR81),0)</f>
        <v>0</v>
      </c>
      <c r="BV81" s="759">
        <f>IFERROR(HLOOKUP($BR81,'Early Retirement'!$AF$4:$BE$5,2,FALSE),0)</f>
        <v>0</v>
      </c>
      <c r="BW81" s="479">
        <f t="shared" si="87"/>
        <v>0</v>
      </c>
      <c r="BX81" s="761">
        <f t="shared" si="81"/>
        <v>0</v>
      </c>
      <c r="BY81" s="477" t="s">
        <v>46</v>
      </c>
      <c r="BZ81" s="598">
        <f>IFERROR(INDEX('Early Retirement'!$BG$4:$CG$33,$BO81,$BR81),0)</f>
        <v>0</v>
      </c>
      <c r="CA81" s="759">
        <f>IFERROR(HLOOKUP($BR81,'Early Retirement'!$BH$4:$CH$5,2,FALSE),0)</f>
        <v>0</v>
      </c>
      <c r="CB81" s="598">
        <f t="shared" si="82"/>
        <v>0</v>
      </c>
      <c r="CC81" s="759" t="s">
        <v>567</v>
      </c>
      <c r="CD81" s="477" t="str">
        <f t="shared" si="58"/>
        <v>Yes</v>
      </c>
      <c r="CE81" s="479">
        <f t="shared" si="59"/>
        <v>0</v>
      </c>
      <c r="CF81" s="761">
        <f t="shared" si="60"/>
        <v>0</v>
      </c>
      <c r="CG81" s="759" t="s">
        <v>46</v>
      </c>
      <c r="CH81" s="598">
        <f t="shared" si="83"/>
        <v>0</v>
      </c>
      <c r="CI81" s="759" t="s">
        <v>567</v>
      </c>
      <c r="CJ81" s="480">
        <f t="shared" si="84"/>
        <v>0</v>
      </c>
      <c r="CK81" s="583">
        <f t="shared" si="85"/>
        <v>0</v>
      </c>
      <c r="CL81" s="596" t="s">
        <v>46</v>
      </c>
      <c r="CM81" s="581">
        <f t="shared" si="86"/>
        <v>0</v>
      </c>
      <c r="CN81" s="762" t="s">
        <v>567</v>
      </c>
      <c r="CP81" s="90" t="s">
        <v>195</v>
      </c>
      <c r="CQ81" s="124">
        <v>9.5619999999999994</v>
      </c>
      <c r="CR81" s="307" t="s">
        <v>50</v>
      </c>
      <c r="CS81" s="645">
        <v>12.75</v>
      </c>
      <c r="CT81" s="551" t="s">
        <v>559</v>
      </c>
      <c r="CU81" s="645">
        <f t="shared" si="89"/>
        <v>1.2549675800041833</v>
      </c>
      <c r="CV81" s="645">
        <f t="shared" si="90"/>
        <v>0.94117647058823528</v>
      </c>
      <c r="CW81" s="633" t="s">
        <v>46</v>
      </c>
      <c r="CX81" s="606"/>
      <c r="CY81" s="589"/>
      <c r="CZ81" s="606"/>
      <c r="DA81" s="609"/>
      <c r="DB81" s="562"/>
      <c r="DC81" s="562"/>
      <c r="DD81" s="562"/>
      <c r="DE81" s="562"/>
      <c r="DF81" s="562"/>
      <c r="DG81" s="562"/>
      <c r="DH81" s="562"/>
      <c r="DI81" s="562"/>
      <c r="DJ81" s="562"/>
      <c r="DK81" s="562"/>
      <c r="DL81" s="562"/>
      <c r="DM81" s="562"/>
      <c r="DN81" s="562"/>
      <c r="DO81" s="562"/>
      <c r="DP81" s="562"/>
      <c r="DQ81" s="562"/>
      <c r="DR81" s="562"/>
      <c r="DS81" s="562"/>
      <c r="DT81" s="562"/>
      <c r="DU81" s="562"/>
      <c r="DV81" s="562"/>
      <c r="DW81" s="562"/>
      <c r="DX81" s="562"/>
      <c r="DY81" s="562"/>
      <c r="DZ81" s="562"/>
      <c r="EA81" s="562"/>
      <c r="EB81" s="562"/>
      <c r="EC81" s="562"/>
      <c r="ED81" s="562"/>
      <c r="EE81" s="562"/>
      <c r="EF81" s="562"/>
      <c r="EG81" s="562"/>
      <c r="EH81" s="562"/>
      <c r="EI81" s="562"/>
      <c r="EJ81" s="562"/>
      <c r="EK81" s="562"/>
      <c r="EL81" s="562"/>
    </row>
    <row r="82" spans="2:142" s="78" customFormat="1" ht="15" customHeight="1" x14ac:dyDescent="0.25">
      <c r="B82" s="77"/>
      <c r="E82" s="77"/>
      <c r="H82" s="77"/>
      <c r="U82" s="79"/>
      <c r="V82" s="79"/>
      <c r="W82" s="79"/>
      <c r="Y82" s="90">
        <v>80</v>
      </c>
      <c r="Z82" s="559" t="str">
        <f>IF(Inventory!$C89="","",VLOOKUP(Inventory!$C89,$B$3:$C$5,2,FALSE))</f>
        <v/>
      </c>
      <c r="AA82" s="559" t="str">
        <f>IF($Z82="","",IF(AND($Z82="b",Inventory!$G89=""),"",IF(AND($Z82="b",Inventory!$G89&lt;&gt;""),VLOOKUP(Inventory!$G89,$E$3:$F$10,2,FALSE),IF(AND($Z82="a",Inventory!$Z89=""),"",IF(AND($Z82="a",Inventory!$Z89&lt;&gt;""),VLOOKUP(Inventory!$Z89,$E$3:$F$10,2,FALSE),IF(AND($Z82="c",Inventory!$Z89=""),"",IF(AND($Z82="c",Inventory!$Z89&lt;&gt;""),VLOOKUP(Inventory!$Z89,$E$3:$F$10,2,FALSE),"")))))))</f>
        <v/>
      </c>
      <c r="AB82" s="559" t="str">
        <f>IF($Z82="","a",IF(AND($Z82="b",Inventory!$J89=""),"a",IF(AND($Z82="b",Inventory!$J89&lt;&gt;""),VLOOKUP(Inventory!$J89,$H$4:$I$6,2,FALSE),IF(AND($Z82="a",Inventory!$AA89=""),"a",IF(AND($Z82="a",Inventory!$AA89&lt;&gt;""),VLOOKUP(Inventory!$AA89,$H$4:$I$6,2,FALSE),IF(AND($Z82="c",Inventory!$AA89=""),"a",IF(AND($Z82="c",Inventory!$AA89&lt;&gt;""),VLOOKUP(Inventory!$AA89,$H$4:$I$6,2,FALSE),"a")))))))</f>
        <v>a</v>
      </c>
      <c r="AC82" s="559" t="str">
        <f t="shared" si="61"/>
        <v>a</v>
      </c>
      <c r="AD82" s="473" t="str">
        <f>IF($Z82="","a",IF(AND($Z82="b",Inventory!$L89=""),"a",IF(AND($Z82="b",Inventory!$L89&lt;&gt;""),VLOOKUP(Inventory!$L89,$N$4:$O$5,2,FALSE),IF(AND($Z82="a",Inventory!$AC89=""),"a",IF(AND($Z82="a",Inventory!$AC89&lt;&gt;""),VLOOKUP(Inventory!$AC89,$N$4:$O$5,2,FALSE),IF(AND($Z82="c",Inventory!$AC89=""),"a",IF(AND($Z82="c",Inventory!$AC89&lt;&gt;""),VLOOKUP(Inventory!$AC89,$N$4:$O$5,2,FALSE),"a")))))))</f>
        <v>a</v>
      </c>
      <c r="AE82" s="474">
        <f>IF(OR(Inventory!C89="New Construction",Inventory!C89="Replace-on-Burnout"),Inventory!AF89,IF(Inventory!C89="Early Retirement",MIN(Inventory!AE89,Inventory!AF89),0))</f>
        <v>0</v>
      </c>
      <c r="AF82" s="475" t="str">
        <f t="shared" si="62"/>
        <v/>
      </c>
      <c r="AG82" s="475" t="str">
        <f t="shared" si="50"/>
        <v/>
      </c>
      <c r="AH82" s="475" t="str">
        <f t="shared" si="51"/>
        <v/>
      </c>
      <c r="AI82" s="475" t="str">
        <f t="shared" si="52"/>
        <v/>
      </c>
      <c r="AJ82" s="475" t="str">
        <f t="shared" si="53"/>
        <v/>
      </c>
      <c r="AK82" s="475" t="str">
        <f t="shared" si="63"/>
        <v/>
      </c>
      <c r="AL82" s="475" t="str">
        <f t="shared" si="64"/>
        <v/>
      </c>
      <c r="AM82" s="475" t="str">
        <f t="shared" si="65"/>
        <v/>
      </c>
      <c r="AN82" s="475" t="str">
        <f t="shared" si="66"/>
        <v/>
      </c>
      <c r="AO82" s="475" t="str">
        <f t="shared" si="67"/>
        <v/>
      </c>
      <c r="AP82" s="475" t="str">
        <f t="shared" si="68"/>
        <v/>
      </c>
      <c r="AQ82" s="475" t="str">
        <f t="shared" si="69"/>
        <v/>
      </c>
      <c r="AR82" s="475" t="str">
        <f t="shared" si="70"/>
        <v/>
      </c>
      <c r="AS82" s="475" t="str">
        <f t="shared" si="71"/>
        <v/>
      </c>
      <c r="AT82" s="475" t="str">
        <f t="shared" si="72"/>
        <v/>
      </c>
      <c r="AU82" s="475" t="str">
        <f t="shared" si="73"/>
        <v/>
      </c>
      <c r="AV82" s="475" t="str">
        <f t="shared" si="54"/>
        <v/>
      </c>
      <c r="AW82" s="473">
        <f t="shared" si="55"/>
        <v>0</v>
      </c>
      <c r="AX82" s="473" t="str">
        <f>IF(AND($Z82="b",OR($AA82="a",$AA82="b"),Inventory!$I89="",$AE82&lt;(65000/12000)),"x",IF(AND($Z82="b",OR($AA82="a",$AA82="b"),Inventory!$I89&lt;&gt;"",$AE82&lt;(65000/12000)),VLOOKUP(Inventory!$I89,$V$4:$W$5,2,FALSE),"x"))</f>
        <v>x</v>
      </c>
      <c r="AY82" s="476" t="str">
        <f t="shared" si="74"/>
        <v>aaa0</v>
      </c>
      <c r="AZ82" s="477" t="str">
        <f t="shared" si="75"/>
        <v>No</v>
      </c>
      <c r="BA82" s="759" t="str">
        <f t="shared" si="76"/>
        <v>No</v>
      </c>
      <c r="BB82" s="477">
        <f>IF($Z82="c",Inventory!$AB89,Inventory!$K89)</f>
        <v>0</v>
      </c>
      <c r="BC82" s="478">
        <f>IF(AND($Z82="b",Inventory!$N89="Btu/hr"),Inventory!$M89,IF(AND($Z82="b",Inventory!$N89="Tons"),Inventory!$M89*12000,IF(AND($Z82&lt;&gt;"b",Inventory!$AK89="Btu/hr"),Inventory!$AD89,IF(AND($Z82&lt;&gt;"b",Inventory!$AK89="Tons"),Inventory!$AD89*12000,0))))</f>
        <v>0</v>
      </c>
      <c r="BD82" s="478">
        <f t="shared" si="46"/>
        <v>0</v>
      </c>
      <c r="BE82" s="479">
        <f t="shared" si="77"/>
        <v>0</v>
      </c>
      <c r="BF82" s="477" t="s">
        <v>50</v>
      </c>
      <c r="BG82" s="479">
        <f t="shared" si="56"/>
        <v>0</v>
      </c>
      <c r="BH82" s="477" t="s">
        <v>46</v>
      </c>
      <c r="BI82" s="760">
        <f>IF(AND($Z82="b",Inventory!$P89="Btu/hr"),Inventory!$O89,IF(AND($Z82="b",Inventory!$P89="Tons"),Inventory!$O89*12000,IF(AND($Z82&lt;&gt;"b",Inventory!$AM89="Btu/hr"),Inventory!$AL89,IF(AND($Z82&lt;&gt;"b",Inventory!$AM89="Tons"),Inventory!$AL89*12000,0))))</f>
        <v>0</v>
      </c>
      <c r="BJ82" s="760">
        <f t="shared" si="47"/>
        <v>0</v>
      </c>
      <c r="BK82" s="598">
        <f t="shared" si="78"/>
        <v>0</v>
      </c>
      <c r="BL82" s="759" t="s">
        <v>567</v>
      </c>
      <c r="BM82" s="477" t="str">
        <f t="shared" si="57"/>
        <v>No</v>
      </c>
      <c r="BN82" s="477" t="str">
        <f>IF(OR(Inventory!$H89="",$BM82="No"),"-",Inventory!$H89)</f>
        <v>-</v>
      </c>
      <c r="BO82" s="477" t="str">
        <f>IFERROR(VLOOKUP(BN82,'Early Retirement'!$B$6:$C$33,2,FALSE),"-")</f>
        <v>-</v>
      </c>
      <c r="BP82" s="477" t="str">
        <f>IF(Inventory!$J89="Centrifugal","Yes","No")</f>
        <v>No</v>
      </c>
      <c r="BQ82" s="477">
        <f t="shared" si="79"/>
        <v>0</v>
      </c>
      <c r="BR82" s="477" t="str">
        <f t="shared" si="80"/>
        <v>-</v>
      </c>
      <c r="BS82" s="479">
        <f>IFERROR(INDEX('Early Retirement'!$C$4:$AC$33,$BO82,$BR82),0)</f>
        <v>0</v>
      </c>
      <c r="BT82" s="477">
        <f>IFERROR(HLOOKUP($BR82,'Early Retirement'!$D$4:$AC$5,2,FALSE),0)</f>
        <v>0</v>
      </c>
      <c r="BU82" s="761">
        <f>IFERROR(INDEX('Early Retirement'!$AE$4:$BE$33,$BO82,$BR82),0)</f>
        <v>0</v>
      </c>
      <c r="BV82" s="759">
        <f>IFERROR(HLOOKUP($BR82,'Early Retirement'!$AF$4:$BE$5,2,FALSE),0)</f>
        <v>0</v>
      </c>
      <c r="BW82" s="479">
        <f t="shared" si="87"/>
        <v>0</v>
      </c>
      <c r="BX82" s="761">
        <f t="shared" si="81"/>
        <v>0</v>
      </c>
      <c r="BY82" s="477" t="s">
        <v>46</v>
      </c>
      <c r="BZ82" s="598">
        <f>IFERROR(INDEX('Early Retirement'!$BG$4:$CG$33,$BO82,$BR82),0)</f>
        <v>0</v>
      </c>
      <c r="CA82" s="759">
        <f>IFERROR(HLOOKUP($BR82,'Early Retirement'!$BH$4:$CH$5,2,FALSE),0)</f>
        <v>0</v>
      </c>
      <c r="CB82" s="598">
        <f t="shared" si="82"/>
        <v>0</v>
      </c>
      <c r="CC82" s="759" t="s">
        <v>567</v>
      </c>
      <c r="CD82" s="477" t="str">
        <f t="shared" si="58"/>
        <v>Yes</v>
      </c>
      <c r="CE82" s="479">
        <f t="shared" si="59"/>
        <v>0</v>
      </c>
      <c r="CF82" s="761">
        <f t="shared" si="60"/>
        <v>0</v>
      </c>
      <c r="CG82" s="759" t="s">
        <v>46</v>
      </c>
      <c r="CH82" s="598">
        <f t="shared" si="83"/>
        <v>0</v>
      </c>
      <c r="CI82" s="759" t="s">
        <v>567</v>
      </c>
      <c r="CJ82" s="480">
        <f t="shared" si="84"/>
        <v>0</v>
      </c>
      <c r="CK82" s="583">
        <f t="shared" si="85"/>
        <v>0</v>
      </c>
      <c r="CL82" s="596" t="s">
        <v>46</v>
      </c>
      <c r="CM82" s="581">
        <f t="shared" si="86"/>
        <v>0</v>
      </c>
      <c r="CN82" s="762" t="s">
        <v>567</v>
      </c>
      <c r="CP82" s="90" t="s">
        <v>507</v>
      </c>
      <c r="CQ82" s="124">
        <v>9.5619999999999994</v>
      </c>
      <c r="CR82" s="307" t="s">
        <v>50</v>
      </c>
      <c r="CS82" s="645">
        <v>12.75</v>
      </c>
      <c r="CT82" s="551" t="s">
        <v>559</v>
      </c>
      <c r="CU82" s="645">
        <f t="shared" si="89"/>
        <v>1.2549675800041833</v>
      </c>
      <c r="CV82" s="645">
        <f t="shared" si="90"/>
        <v>0.94117647058823528</v>
      </c>
      <c r="CW82" s="633" t="s">
        <v>46</v>
      </c>
      <c r="CX82" s="606"/>
      <c r="CY82" s="589"/>
      <c r="CZ82" s="606"/>
      <c r="DA82" s="609"/>
      <c r="DB82" s="562"/>
      <c r="DC82" s="562"/>
      <c r="DD82" s="562"/>
      <c r="DE82" s="562"/>
      <c r="DF82" s="562"/>
      <c r="DG82" s="562"/>
      <c r="DH82" s="562"/>
      <c r="DI82" s="562"/>
      <c r="DJ82" s="562"/>
      <c r="DK82" s="562"/>
      <c r="DL82" s="562"/>
      <c r="DM82" s="562"/>
      <c r="DN82" s="562"/>
      <c r="DO82" s="562"/>
      <c r="DP82" s="562"/>
      <c r="DQ82" s="562"/>
      <c r="DR82" s="562"/>
      <c r="DS82" s="562"/>
      <c r="DT82" s="562"/>
      <c r="DU82" s="562"/>
      <c r="DV82" s="562"/>
      <c r="DW82" s="562"/>
      <c r="DX82" s="562"/>
      <c r="DY82" s="562"/>
      <c r="DZ82" s="562"/>
      <c r="EA82" s="562"/>
      <c r="EB82" s="562"/>
      <c r="EC82" s="562"/>
      <c r="ED82" s="562"/>
      <c r="EE82" s="562"/>
      <c r="EF82" s="562"/>
      <c r="EG82" s="562"/>
      <c r="EH82" s="562"/>
      <c r="EI82" s="562"/>
      <c r="EJ82" s="562"/>
      <c r="EK82" s="562"/>
      <c r="EL82" s="562"/>
    </row>
    <row r="83" spans="2:142" s="78" customFormat="1" ht="15" customHeight="1" x14ac:dyDescent="0.25">
      <c r="B83" s="77"/>
      <c r="E83" s="77"/>
      <c r="H83" s="77"/>
      <c r="U83" s="79"/>
      <c r="V83" s="79"/>
      <c r="W83" s="79"/>
      <c r="Y83" s="90">
        <v>81</v>
      </c>
      <c r="Z83" s="559" t="str">
        <f>IF(Inventory!$C90="","",VLOOKUP(Inventory!$C90,$B$3:$C$5,2,FALSE))</f>
        <v/>
      </c>
      <c r="AA83" s="559" t="str">
        <f>IF($Z83="","",IF(AND($Z83="b",Inventory!$G90=""),"",IF(AND($Z83="b",Inventory!$G90&lt;&gt;""),VLOOKUP(Inventory!$G90,$E$3:$F$10,2,FALSE),IF(AND($Z83="a",Inventory!$Z90=""),"",IF(AND($Z83="a",Inventory!$Z90&lt;&gt;""),VLOOKUP(Inventory!$Z90,$E$3:$F$10,2,FALSE),IF(AND($Z83="c",Inventory!$Z90=""),"",IF(AND($Z83="c",Inventory!$Z90&lt;&gt;""),VLOOKUP(Inventory!$Z90,$E$3:$F$10,2,FALSE),"")))))))</f>
        <v/>
      </c>
      <c r="AB83" s="559" t="str">
        <f>IF($Z83="","a",IF(AND($Z83="b",Inventory!$J90=""),"a",IF(AND($Z83="b",Inventory!$J90&lt;&gt;""),VLOOKUP(Inventory!$J90,$H$4:$I$6,2,FALSE),IF(AND($Z83="a",Inventory!$AA90=""),"a",IF(AND($Z83="a",Inventory!$AA90&lt;&gt;""),VLOOKUP(Inventory!$AA90,$H$4:$I$6,2,FALSE),IF(AND($Z83="c",Inventory!$AA90=""),"a",IF(AND($Z83="c",Inventory!$AA90&lt;&gt;""),VLOOKUP(Inventory!$AA90,$H$4:$I$6,2,FALSE),"a")))))))</f>
        <v>a</v>
      </c>
      <c r="AC83" s="559" t="str">
        <f t="shared" si="61"/>
        <v>a</v>
      </c>
      <c r="AD83" s="473" t="str">
        <f>IF($Z83="","a",IF(AND($Z83="b",Inventory!$L90=""),"a",IF(AND($Z83="b",Inventory!$L90&lt;&gt;""),VLOOKUP(Inventory!$L90,$N$4:$O$5,2,FALSE),IF(AND($Z83="a",Inventory!$AC90=""),"a",IF(AND($Z83="a",Inventory!$AC90&lt;&gt;""),VLOOKUP(Inventory!$AC90,$N$4:$O$5,2,FALSE),IF(AND($Z83="c",Inventory!$AC90=""),"a",IF(AND($Z83="c",Inventory!$AC90&lt;&gt;""),VLOOKUP(Inventory!$AC90,$N$4:$O$5,2,FALSE),"a")))))))</f>
        <v>a</v>
      </c>
      <c r="AE83" s="474">
        <f>IF(OR(Inventory!C90="New Construction",Inventory!C90="Replace-on-Burnout"),Inventory!AF90,IF(Inventory!C90="Early Retirement",MIN(Inventory!AE90,Inventory!AF90),0))</f>
        <v>0</v>
      </c>
      <c r="AF83" s="475" t="str">
        <f t="shared" si="62"/>
        <v/>
      </c>
      <c r="AG83" s="475" t="str">
        <f t="shared" si="50"/>
        <v/>
      </c>
      <c r="AH83" s="475" t="str">
        <f t="shared" si="51"/>
        <v/>
      </c>
      <c r="AI83" s="475" t="str">
        <f t="shared" si="52"/>
        <v/>
      </c>
      <c r="AJ83" s="475" t="str">
        <f t="shared" si="53"/>
        <v/>
      </c>
      <c r="AK83" s="475" t="str">
        <f t="shared" si="63"/>
        <v/>
      </c>
      <c r="AL83" s="475" t="str">
        <f t="shared" si="64"/>
        <v/>
      </c>
      <c r="AM83" s="475" t="str">
        <f t="shared" si="65"/>
        <v/>
      </c>
      <c r="AN83" s="475" t="str">
        <f t="shared" si="66"/>
        <v/>
      </c>
      <c r="AO83" s="475" t="str">
        <f t="shared" si="67"/>
        <v/>
      </c>
      <c r="AP83" s="475" t="str">
        <f t="shared" si="68"/>
        <v/>
      </c>
      <c r="AQ83" s="475" t="str">
        <f t="shared" si="69"/>
        <v/>
      </c>
      <c r="AR83" s="475" t="str">
        <f t="shared" si="70"/>
        <v/>
      </c>
      <c r="AS83" s="475" t="str">
        <f t="shared" si="71"/>
        <v/>
      </c>
      <c r="AT83" s="475" t="str">
        <f t="shared" si="72"/>
        <v/>
      </c>
      <c r="AU83" s="475" t="str">
        <f t="shared" si="73"/>
        <v/>
      </c>
      <c r="AV83" s="475" t="str">
        <f t="shared" si="54"/>
        <v/>
      </c>
      <c r="AW83" s="473">
        <f t="shared" si="55"/>
        <v>0</v>
      </c>
      <c r="AX83" s="473" t="str">
        <f>IF(AND($Z83="b",OR($AA83="a",$AA83="b"),Inventory!$I90="",$AE83&lt;(65000/12000)),"x",IF(AND($Z83="b",OR($AA83="a",$AA83="b"),Inventory!$I90&lt;&gt;"",$AE83&lt;(65000/12000)),VLOOKUP(Inventory!$I90,$V$4:$W$5,2,FALSE),"x"))</f>
        <v>x</v>
      </c>
      <c r="AY83" s="476" t="str">
        <f t="shared" si="74"/>
        <v>aaa0</v>
      </c>
      <c r="AZ83" s="477" t="str">
        <f t="shared" si="75"/>
        <v>No</v>
      </c>
      <c r="BA83" s="759" t="str">
        <f t="shared" si="76"/>
        <v>No</v>
      </c>
      <c r="BB83" s="477">
        <f>IF($Z83="c",Inventory!$AB90,Inventory!$K90)</f>
        <v>0</v>
      </c>
      <c r="BC83" s="478">
        <f>IF(AND($Z83="b",Inventory!$N90="Btu/hr"),Inventory!$M90,IF(AND($Z83="b",Inventory!$N90="Tons"),Inventory!$M90*12000,IF(AND($Z83&lt;&gt;"b",Inventory!$AK90="Btu/hr"),Inventory!$AD90,IF(AND($Z83&lt;&gt;"b",Inventory!$AK90="Tons"),Inventory!$AD90*12000,0))))</f>
        <v>0</v>
      </c>
      <c r="BD83" s="478">
        <f t="shared" si="46"/>
        <v>0</v>
      </c>
      <c r="BE83" s="479">
        <f t="shared" si="77"/>
        <v>0</v>
      </c>
      <c r="BF83" s="477" t="s">
        <v>50</v>
      </c>
      <c r="BG83" s="479">
        <f t="shared" si="56"/>
        <v>0</v>
      </c>
      <c r="BH83" s="477" t="s">
        <v>46</v>
      </c>
      <c r="BI83" s="760">
        <f>IF(AND($Z83="b",Inventory!$P90="Btu/hr"),Inventory!$O90,IF(AND($Z83="b",Inventory!$P90="Tons"),Inventory!$O90*12000,IF(AND($Z83&lt;&gt;"b",Inventory!$AM90="Btu/hr"),Inventory!$AL90,IF(AND($Z83&lt;&gt;"b",Inventory!$AM90="Tons"),Inventory!$AL90*12000,0))))</f>
        <v>0</v>
      </c>
      <c r="BJ83" s="760">
        <f t="shared" si="47"/>
        <v>0</v>
      </c>
      <c r="BK83" s="598">
        <f t="shared" si="78"/>
        <v>0</v>
      </c>
      <c r="BL83" s="759" t="s">
        <v>567</v>
      </c>
      <c r="BM83" s="477" t="str">
        <f t="shared" si="57"/>
        <v>No</v>
      </c>
      <c r="BN83" s="477" t="str">
        <f>IF(OR(Inventory!$H90="",$BM83="No"),"-",Inventory!$H90)</f>
        <v>-</v>
      </c>
      <c r="BO83" s="477" t="str">
        <f>IFERROR(VLOOKUP(BN83,'Early Retirement'!$B$6:$C$33,2,FALSE),"-")</f>
        <v>-</v>
      </c>
      <c r="BP83" s="477" t="str">
        <f>IF(Inventory!$J90="Centrifugal","Yes","No")</f>
        <v>No</v>
      </c>
      <c r="BQ83" s="477">
        <f t="shared" si="79"/>
        <v>0</v>
      </c>
      <c r="BR83" s="477" t="str">
        <f t="shared" si="80"/>
        <v>-</v>
      </c>
      <c r="BS83" s="479">
        <f>IFERROR(INDEX('Early Retirement'!$C$4:$AC$33,$BO83,$BR83),0)</f>
        <v>0</v>
      </c>
      <c r="BT83" s="477">
        <f>IFERROR(HLOOKUP($BR83,'Early Retirement'!$D$4:$AC$5,2,FALSE),0)</f>
        <v>0</v>
      </c>
      <c r="BU83" s="761">
        <f>IFERROR(INDEX('Early Retirement'!$AE$4:$BE$33,$BO83,$BR83),0)</f>
        <v>0</v>
      </c>
      <c r="BV83" s="759">
        <f>IFERROR(HLOOKUP($BR83,'Early Retirement'!$AF$4:$BE$5,2,FALSE),0)</f>
        <v>0</v>
      </c>
      <c r="BW83" s="479">
        <f t="shared" si="87"/>
        <v>0</v>
      </c>
      <c r="BX83" s="761">
        <f t="shared" si="81"/>
        <v>0</v>
      </c>
      <c r="BY83" s="477" t="s">
        <v>46</v>
      </c>
      <c r="BZ83" s="598">
        <f>IFERROR(INDEX('Early Retirement'!$BG$4:$CG$33,$BO83,$BR83),0)</f>
        <v>0</v>
      </c>
      <c r="CA83" s="759">
        <f>IFERROR(HLOOKUP($BR83,'Early Retirement'!$BH$4:$CH$5,2,FALSE),0)</f>
        <v>0</v>
      </c>
      <c r="CB83" s="598">
        <f t="shared" si="82"/>
        <v>0</v>
      </c>
      <c r="CC83" s="759" t="s">
        <v>567</v>
      </c>
      <c r="CD83" s="477" t="str">
        <f t="shared" si="58"/>
        <v>Yes</v>
      </c>
      <c r="CE83" s="479">
        <f t="shared" si="59"/>
        <v>0</v>
      </c>
      <c r="CF83" s="761">
        <f t="shared" si="60"/>
        <v>0</v>
      </c>
      <c r="CG83" s="759" t="s">
        <v>46</v>
      </c>
      <c r="CH83" s="598">
        <f t="shared" si="83"/>
        <v>0</v>
      </c>
      <c r="CI83" s="759" t="s">
        <v>567</v>
      </c>
      <c r="CJ83" s="480">
        <f t="shared" si="84"/>
        <v>0</v>
      </c>
      <c r="CK83" s="583">
        <f t="shared" si="85"/>
        <v>0</v>
      </c>
      <c r="CL83" s="596" t="s">
        <v>46</v>
      </c>
      <c r="CM83" s="581">
        <f t="shared" si="86"/>
        <v>0</v>
      </c>
      <c r="CN83" s="762" t="s">
        <v>567</v>
      </c>
      <c r="CP83" s="90" t="s">
        <v>508</v>
      </c>
      <c r="CQ83" s="124">
        <v>9.5619999999999994</v>
      </c>
      <c r="CR83" s="307" t="s">
        <v>50</v>
      </c>
      <c r="CS83" s="645">
        <v>12.75</v>
      </c>
      <c r="CT83" s="551" t="s">
        <v>559</v>
      </c>
      <c r="CU83" s="645">
        <f t="shared" si="89"/>
        <v>1.2549675800041833</v>
      </c>
      <c r="CV83" s="645">
        <f t="shared" si="90"/>
        <v>0.94117647058823528</v>
      </c>
      <c r="CW83" s="633" t="s">
        <v>46</v>
      </c>
      <c r="CX83" s="606"/>
      <c r="CY83" s="589"/>
      <c r="CZ83" s="606"/>
      <c r="DA83" s="609"/>
      <c r="DB83" s="562"/>
      <c r="DC83" s="562"/>
      <c r="DD83" s="562"/>
      <c r="DE83" s="562"/>
      <c r="DF83" s="562"/>
      <c r="DG83" s="562"/>
      <c r="DH83" s="562"/>
      <c r="DI83" s="562"/>
      <c r="DJ83" s="562"/>
      <c r="DK83" s="562"/>
      <c r="DL83" s="562"/>
      <c r="DM83" s="562"/>
      <c r="DN83" s="562"/>
      <c r="DO83" s="562"/>
      <c r="DP83" s="562"/>
      <c r="DQ83" s="562"/>
      <c r="DR83" s="562"/>
      <c r="DS83" s="562"/>
      <c r="DT83" s="562"/>
      <c r="DU83" s="562"/>
      <c r="DV83" s="562"/>
      <c r="DW83" s="562"/>
      <c r="DX83" s="562"/>
      <c r="DY83" s="562"/>
      <c r="DZ83" s="562"/>
      <c r="EA83" s="562"/>
      <c r="EB83" s="562"/>
      <c r="EC83" s="562"/>
      <c r="ED83" s="562"/>
      <c r="EE83" s="562"/>
      <c r="EF83" s="562"/>
      <c r="EG83" s="562"/>
      <c r="EH83" s="562"/>
      <c r="EI83" s="562"/>
      <c r="EJ83" s="562"/>
      <c r="EK83" s="562"/>
      <c r="EL83" s="562"/>
    </row>
    <row r="84" spans="2:142" s="78" customFormat="1" ht="15" customHeight="1" x14ac:dyDescent="0.25">
      <c r="B84" s="77"/>
      <c r="E84" s="77"/>
      <c r="H84" s="77"/>
      <c r="U84" s="79"/>
      <c r="V84" s="79"/>
      <c r="W84" s="79"/>
      <c r="Y84" s="90">
        <v>82</v>
      </c>
      <c r="Z84" s="559" t="str">
        <f>IF(Inventory!$C91="","",VLOOKUP(Inventory!$C91,$B$3:$C$5,2,FALSE))</f>
        <v/>
      </c>
      <c r="AA84" s="559" t="str">
        <f>IF($Z84="","",IF(AND($Z84="b",Inventory!$G91=""),"",IF(AND($Z84="b",Inventory!$G91&lt;&gt;""),VLOOKUP(Inventory!$G91,$E$3:$F$10,2,FALSE),IF(AND($Z84="a",Inventory!$Z91=""),"",IF(AND($Z84="a",Inventory!$Z91&lt;&gt;""),VLOOKUP(Inventory!$Z91,$E$3:$F$10,2,FALSE),IF(AND($Z84="c",Inventory!$Z91=""),"",IF(AND($Z84="c",Inventory!$Z91&lt;&gt;""),VLOOKUP(Inventory!$Z91,$E$3:$F$10,2,FALSE),"")))))))</f>
        <v/>
      </c>
      <c r="AB84" s="559" t="str">
        <f>IF($Z84="","a",IF(AND($Z84="b",Inventory!$J91=""),"a",IF(AND($Z84="b",Inventory!$J91&lt;&gt;""),VLOOKUP(Inventory!$J91,$H$4:$I$6,2,FALSE),IF(AND($Z84="a",Inventory!$AA91=""),"a",IF(AND($Z84="a",Inventory!$AA91&lt;&gt;""),VLOOKUP(Inventory!$AA91,$H$4:$I$6,2,FALSE),IF(AND($Z84="c",Inventory!$AA91=""),"a",IF(AND($Z84="c",Inventory!$AA91&lt;&gt;""),VLOOKUP(Inventory!$AA91,$H$4:$I$6,2,FALSE),"a")))))))</f>
        <v>a</v>
      </c>
      <c r="AC84" s="559" t="str">
        <f t="shared" si="61"/>
        <v>a</v>
      </c>
      <c r="AD84" s="473" t="str">
        <f>IF($Z84="","a",IF(AND($Z84="b",Inventory!$L91=""),"a",IF(AND($Z84="b",Inventory!$L91&lt;&gt;""),VLOOKUP(Inventory!$L91,$N$4:$O$5,2,FALSE),IF(AND($Z84="a",Inventory!$AC91=""),"a",IF(AND($Z84="a",Inventory!$AC91&lt;&gt;""),VLOOKUP(Inventory!$AC91,$N$4:$O$5,2,FALSE),IF(AND($Z84="c",Inventory!$AC91=""),"a",IF(AND($Z84="c",Inventory!$AC91&lt;&gt;""),VLOOKUP(Inventory!$AC91,$N$4:$O$5,2,FALSE),"a")))))))</f>
        <v>a</v>
      </c>
      <c r="AE84" s="474">
        <f>IF(OR(Inventory!C91="New Construction",Inventory!C91="Replace-on-Burnout"),Inventory!AF91,IF(Inventory!C91="Early Retirement",MIN(Inventory!AE91,Inventory!AF91),0))</f>
        <v>0</v>
      </c>
      <c r="AF84" s="475" t="str">
        <f t="shared" si="62"/>
        <v/>
      </c>
      <c r="AG84" s="475" t="str">
        <f t="shared" si="50"/>
        <v/>
      </c>
      <c r="AH84" s="475" t="str">
        <f t="shared" si="51"/>
        <v/>
      </c>
      <c r="AI84" s="475" t="str">
        <f t="shared" si="52"/>
        <v/>
      </c>
      <c r="AJ84" s="475" t="str">
        <f t="shared" si="53"/>
        <v/>
      </c>
      <c r="AK84" s="475" t="str">
        <f t="shared" si="63"/>
        <v/>
      </c>
      <c r="AL84" s="475" t="str">
        <f t="shared" si="64"/>
        <v/>
      </c>
      <c r="AM84" s="475" t="str">
        <f t="shared" si="65"/>
        <v/>
      </c>
      <c r="AN84" s="475" t="str">
        <f t="shared" si="66"/>
        <v/>
      </c>
      <c r="AO84" s="475" t="str">
        <f t="shared" si="67"/>
        <v/>
      </c>
      <c r="AP84" s="475" t="str">
        <f t="shared" si="68"/>
        <v/>
      </c>
      <c r="AQ84" s="475" t="str">
        <f t="shared" si="69"/>
        <v/>
      </c>
      <c r="AR84" s="475" t="str">
        <f t="shared" si="70"/>
        <v/>
      </c>
      <c r="AS84" s="475" t="str">
        <f t="shared" si="71"/>
        <v/>
      </c>
      <c r="AT84" s="475" t="str">
        <f t="shared" si="72"/>
        <v/>
      </c>
      <c r="AU84" s="475" t="str">
        <f t="shared" si="73"/>
        <v/>
      </c>
      <c r="AV84" s="475" t="str">
        <f t="shared" si="54"/>
        <v/>
      </c>
      <c r="AW84" s="473">
        <f t="shared" si="55"/>
        <v>0</v>
      </c>
      <c r="AX84" s="473" t="str">
        <f>IF(AND($Z84="b",OR($AA84="a",$AA84="b"),Inventory!$I91="",$AE84&lt;(65000/12000)),"x",IF(AND($Z84="b",OR($AA84="a",$AA84="b"),Inventory!$I91&lt;&gt;"",$AE84&lt;(65000/12000)),VLOOKUP(Inventory!$I91,$V$4:$W$5,2,FALSE),"x"))</f>
        <v>x</v>
      </c>
      <c r="AY84" s="476" t="str">
        <f t="shared" si="74"/>
        <v>aaa0</v>
      </c>
      <c r="AZ84" s="477" t="str">
        <f t="shared" si="75"/>
        <v>No</v>
      </c>
      <c r="BA84" s="759" t="str">
        <f t="shared" si="76"/>
        <v>No</v>
      </c>
      <c r="BB84" s="477">
        <f>IF($Z84="c",Inventory!$AB91,Inventory!$K91)</f>
        <v>0</v>
      </c>
      <c r="BC84" s="478">
        <f>IF(AND($Z84="b",Inventory!$N91="Btu/hr"),Inventory!$M91,IF(AND($Z84="b",Inventory!$N91="Tons"),Inventory!$M91*12000,IF(AND($Z84&lt;&gt;"b",Inventory!$AK91="Btu/hr"),Inventory!$AD91,IF(AND($Z84&lt;&gt;"b",Inventory!$AK91="Tons"),Inventory!$AD91*12000,0))))</f>
        <v>0</v>
      </c>
      <c r="BD84" s="478">
        <f t="shared" si="46"/>
        <v>0</v>
      </c>
      <c r="BE84" s="479">
        <f t="shared" si="77"/>
        <v>0</v>
      </c>
      <c r="BF84" s="477" t="s">
        <v>50</v>
      </c>
      <c r="BG84" s="479">
        <f t="shared" si="56"/>
        <v>0</v>
      </c>
      <c r="BH84" s="477" t="s">
        <v>46</v>
      </c>
      <c r="BI84" s="760">
        <f>IF(AND($Z84="b",Inventory!$P91="Btu/hr"),Inventory!$O91,IF(AND($Z84="b",Inventory!$P91="Tons"),Inventory!$O91*12000,IF(AND($Z84&lt;&gt;"b",Inventory!$AM91="Btu/hr"),Inventory!$AL91,IF(AND($Z84&lt;&gt;"b",Inventory!$AM91="Tons"),Inventory!$AL91*12000,0))))</f>
        <v>0</v>
      </c>
      <c r="BJ84" s="760">
        <f t="shared" si="47"/>
        <v>0</v>
      </c>
      <c r="BK84" s="598">
        <f t="shared" si="78"/>
        <v>0</v>
      </c>
      <c r="BL84" s="759" t="s">
        <v>567</v>
      </c>
      <c r="BM84" s="477" t="str">
        <f t="shared" si="57"/>
        <v>No</v>
      </c>
      <c r="BN84" s="477" t="str">
        <f>IF(OR(Inventory!$H91="",$BM84="No"),"-",Inventory!$H91)</f>
        <v>-</v>
      </c>
      <c r="BO84" s="477" t="str">
        <f>IFERROR(VLOOKUP(BN84,'Early Retirement'!$B$6:$C$33,2,FALSE),"-")</f>
        <v>-</v>
      </c>
      <c r="BP84" s="477" t="str">
        <f>IF(Inventory!$J91="Centrifugal","Yes","No")</f>
        <v>No</v>
      </c>
      <c r="BQ84" s="477">
        <f t="shared" si="79"/>
        <v>0</v>
      </c>
      <c r="BR84" s="477" t="str">
        <f t="shared" si="80"/>
        <v>-</v>
      </c>
      <c r="BS84" s="479">
        <f>IFERROR(INDEX('Early Retirement'!$C$4:$AC$33,$BO84,$BR84),0)</f>
        <v>0</v>
      </c>
      <c r="BT84" s="477">
        <f>IFERROR(HLOOKUP($BR84,'Early Retirement'!$D$4:$AC$5,2,FALSE),0)</f>
        <v>0</v>
      </c>
      <c r="BU84" s="761">
        <f>IFERROR(INDEX('Early Retirement'!$AE$4:$BE$33,$BO84,$BR84),0)</f>
        <v>0</v>
      </c>
      <c r="BV84" s="759">
        <f>IFERROR(HLOOKUP($BR84,'Early Retirement'!$AF$4:$BE$5,2,FALSE),0)</f>
        <v>0</v>
      </c>
      <c r="BW84" s="479">
        <f t="shared" si="87"/>
        <v>0</v>
      </c>
      <c r="BX84" s="761">
        <f t="shared" si="81"/>
        <v>0</v>
      </c>
      <c r="BY84" s="477" t="s">
        <v>46</v>
      </c>
      <c r="BZ84" s="598">
        <f>IFERROR(INDEX('Early Retirement'!$BG$4:$CG$33,$BO84,$BR84),0)</f>
        <v>0</v>
      </c>
      <c r="CA84" s="759">
        <f>IFERROR(HLOOKUP($BR84,'Early Retirement'!$BH$4:$CH$5,2,FALSE),0)</f>
        <v>0</v>
      </c>
      <c r="CB84" s="598">
        <f t="shared" si="82"/>
        <v>0</v>
      </c>
      <c r="CC84" s="759" t="s">
        <v>567</v>
      </c>
      <c r="CD84" s="477" t="str">
        <f t="shared" si="58"/>
        <v>Yes</v>
      </c>
      <c r="CE84" s="479">
        <f t="shared" si="59"/>
        <v>0</v>
      </c>
      <c r="CF84" s="761">
        <f t="shared" si="60"/>
        <v>0</v>
      </c>
      <c r="CG84" s="759" t="s">
        <v>46</v>
      </c>
      <c r="CH84" s="598">
        <f t="shared" si="83"/>
        <v>0</v>
      </c>
      <c r="CI84" s="759" t="s">
        <v>567</v>
      </c>
      <c r="CJ84" s="480">
        <f t="shared" si="84"/>
        <v>0</v>
      </c>
      <c r="CK84" s="583">
        <f t="shared" si="85"/>
        <v>0</v>
      </c>
      <c r="CL84" s="596" t="s">
        <v>46</v>
      </c>
      <c r="CM84" s="581">
        <f t="shared" si="86"/>
        <v>0</v>
      </c>
      <c r="CN84" s="762" t="s">
        <v>567</v>
      </c>
      <c r="CP84" s="90" t="s">
        <v>196</v>
      </c>
      <c r="CQ84" s="124">
        <v>9.5619999999999994</v>
      </c>
      <c r="CR84" s="307" t="s">
        <v>50</v>
      </c>
      <c r="CS84" s="645">
        <v>12.75</v>
      </c>
      <c r="CT84" s="551" t="s">
        <v>559</v>
      </c>
      <c r="CU84" s="645">
        <f t="shared" si="89"/>
        <v>1.2549675800041833</v>
      </c>
      <c r="CV84" s="645">
        <f t="shared" si="90"/>
        <v>0.94117647058823528</v>
      </c>
      <c r="CW84" s="633" t="s">
        <v>46</v>
      </c>
      <c r="CX84" s="606"/>
      <c r="CY84" s="589"/>
      <c r="CZ84" s="606"/>
      <c r="DA84" s="609"/>
      <c r="DB84" s="562"/>
      <c r="DC84" s="562"/>
      <c r="DD84" s="562"/>
      <c r="DE84" s="562"/>
      <c r="DF84" s="562"/>
      <c r="DG84" s="562"/>
      <c r="DH84" s="562"/>
      <c r="DI84" s="562"/>
      <c r="DJ84" s="562"/>
      <c r="DK84" s="562"/>
      <c r="DL84" s="562"/>
      <c r="DM84" s="562"/>
      <c r="DN84" s="562"/>
      <c r="DO84" s="562"/>
      <c r="DP84" s="562"/>
      <c r="DQ84" s="562"/>
      <c r="DR84" s="562"/>
      <c r="DS84" s="562"/>
      <c r="DT84" s="562"/>
      <c r="DU84" s="562"/>
      <c r="DV84" s="562"/>
      <c r="DW84" s="562"/>
      <c r="DX84" s="562"/>
      <c r="DY84" s="562"/>
      <c r="DZ84" s="562"/>
      <c r="EA84" s="562"/>
      <c r="EB84" s="562"/>
      <c r="EC84" s="562"/>
      <c r="ED84" s="562"/>
      <c r="EE84" s="562"/>
      <c r="EF84" s="562"/>
      <c r="EG84" s="562"/>
      <c r="EH84" s="562"/>
      <c r="EI84" s="562"/>
      <c r="EJ84" s="562"/>
      <c r="EK84" s="562"/>
      <c r="EL84" s="562"/>
    </row>
    <row r="85" spans="2:142" s="78" customFormat="1" ht="15" customHeight="1" x14ac:dyDescent="0.25">
      <c r="B85" s="77"/>
      <c r="E85" s="77"/>
      <c r="H85" s="77"/>
      <c r="U85" s="79"/>
      <c r="V85" s="79"/>
      <c r="W85" s="79"/>
      <c r="Y85" s="90">
        <v>83</v>
      </c>
      <c r="Z85" s="559" t="str">
        <f>IF(Inventory!$C92="","",VLOOKUP(Inventory!$C92,$B$3:$C$5,2,FALSE))</f>
        <v/>
      </c>
      <c r="AA85" s="559" t="str">
        <f>IF($Z85="","",IF(AND($Z85="b",Inventory!$G92=""),"",IF(AND($Z85="b",Inventory!$G92&lt;&gt;""),VLOOKUP(Inventory!$G92,$E$3:$F$10,2,FALSE),IF(AND($Z85="a",Inventory!$Z92=""),"",IF(AND($Z85="a",Inventory!$Z92&lt;&gt;""),VLOOKUP(Inventory!$Z92,$E$3:$F$10,2,FALSE),IF(AND($Z85="c",Inventory!$Z92=""),"",IF(AND($Z85="c",Inventory!$Z92&lt;&gt;""),VLOOKUP(Inventory!$Z92,$E$3:$F$10,2,FALSE),"")))))))</f>
        <v/>
      </c>
      <c r="AB85" s="559" t="str">
        <f>IF($Z85="","a",IF(AND($Z85="b",Inventory!$J92=""),"a",IF(AND($Z85="b",Inventory!$J92&lt;&gt;""),VLOOKUP(Inventory!$J92,$H$4:$I$6,2,FALSE),IF(AND($Z85="a",Inventory!$AA92=""),"a",IF(AND($Z85="a",Inventory!$AA92&lt;&gt;""),VLOOKUP(Inventory!$AA92,$H$4:$I$6,2,FALSE),IF(AND($Z85="c",Inventory!$AA92=""),"a",IF(AND($Z85="c",Inventory!$AA92&lt;&gt;""),VLOOKUP(Inventory!$AA92,$H$4:$I$6,2,FALSE),"a")))))))</f>
        <v>a</v>
      </c>
      <c r="AC85" s="559" t="str">
        <f t="shared" si="61"/>
        <v>a</v>
      </c>
      <c r="AD85" s="473" t="str">
        <f>IF($Z85="","a",IF(AND($Z85="b",Inventory!$L92=""),"a",IF(AND($Z85="b",Inventory!$L92&lt;&gt;""),VLOOKUP(Inventory!$L92,$N$4:$O$5,2,FALSE),IF(AND($Z85="a",Inventory!$AC92=""),"a",IF(AND($Z85="a",Inventory!$AC92&lt;&gt;""),VLOOKUP(Inventory!$AC92,$N$4:$O$5,2,FALSE),IF(AND($Z85="c",Inventory!$AC92=""),"a",IF(AND($Z85="c",Inventory!$AC92&lt;&gt;""),VLOOKUP(Inventory!$AC92,$N$4:$O$5,2,FALSE),"a")))))))</f>
        <v>a</v>
      </c>
      <c r="AE85" s="474">
        <f>IF(OR(Inventory!C92="New Construction",Inventory!C92="Replace-on-Burnout"),Inventory!AF92,IF(Inventory!C92="Early Retirement",MIN(Inventory!AE92,Inventory!AF92),0))</f>
        <v>0</v>
      </c>
      <c r="AF85" s="475" t="str">
        <f t="shared" si="62"/>
        <v/>
      </c>
      <c r="AG85" s="475" t="str">
        <f t="shared" si="50"/>
        <v/>
      </c>
      <c r="AH85" s="475" t="str">
        <f t="shared" si="51"/>
        <v/>
      </c>
      <c r="AI85" s="475" t="str">
        <f t="shared" si="52"/>
        <v/>
      </c>
      <c r="AJ85" s="475" t="str">
        <f t="shared" si="53"/>
        <v/>
      </c>
      <c r="AK85" s="475" t="str">
        <f t="shared" si="63"/>
        <v/>
      </c>
      <c r="AL85" s="475" t="str">
        <f t="shared" si="64"/>
        <v/>
      </c>
      <c r="AM85" s="475" t="str">
        <f t="shared" si="65"/>
        <v/>
      </c>
      <c r="AN85" s="475" t="str">
        <f t="shared" si="66"/>
        <v/>
      </c>
      <c r="AO85" s="475" t="str">
        <f t="shared" si="67"/>
        <v/>
      </c>
      <c r="AP85" s="475" t="str">
        <f t="shared" si="68"/>
        <v/>
      </c>
      <c r="AQ85" s="475" t="str">
        <f t="shared" si="69"/>
        <v/>
      </c>
      <c r="AR85" s="475" t="str">
        <f t="shared" si="70"/>
        <v/>
      </c>
      <c r="AS85" s="475" t="str">
        <f t="shared" si="71"/>
        <v/>
      </c>
      <c r="AT85" s="475" t="str">
        <f t="shared" si="72"/>
        <v/>
      </c>
      <c r="AU85" s="475" t="str">
        <f t="shared" si="73"/>
        <v/>
      </c>
      <c r="AV85" s="475" t="str">
        <f t="shared" si="54"/>
        <v/>
      </c>
      <c r="AW85" s="473">
        <f t="shared" si="55"/>
        <v>0</v>
      </c>
      <c r="AX85" s="473" t="str">
        <f>IF(AND($Z85="b",OR($AA85="a",$AA85="b"),Inventory!$I92="",$AE85&lt;(65000/12000)),"x",IF(AND($Z85="b",OR($AA85="a",$AA85="b"),Inventory!$I92&lt;&gt;"",$AE85&lt;(65000/12000)),VLOOKUP(Inventory!$I92,$V$4:$W$5,2,FALSE),"x"))</f>
        <v>x</v>
      </c>
      <c r="AY85" s="476" t="str">
        <f t="shared" si="74"/>
        <v>aaa0</v>
      </c>
      <c r="AZ85" s="477" t="str">
        <f t="shared" si="75"/>
        <v>No</v>
      </c>
      <c r="BA85" s="759" t="str">
        <f t="shared" si="76"/>
        <v>No</v>
      </c>
      <c r="BB85" s="477">
        <f>IF($Z85="c",Inventory!$AB92,Inventory!$K92)</f>
        <v>0</v>
      </c>
      <c r="BC85" s="478">
        <f>IF(AND($Z85="b",Inventory!$N92="Btu/hr"),Inventory!$M92,IF(AND($Z85="b",Inventory!$N92="Tons"),Inventory!$M92*12000,IF(AND($Z85&lt;&gt;"b",Inventory!$AK92="Btu/hr"),Inventory!$AD92,IF(AND($Z85&lt;&gt;"b",Inventory!$AK92="Tons"),Inventory!$AD92*12000,0))))</f>
        <v>0</v>
      </c>
      <c r="BD85" s="478">
        <f t="shared" si="46"/>
        <v>0</v>
      </c>
      <c r="BE85" s="479">
        <f t="shared" si="77"/>
        <v>0</v>
      </c>
      <c r="BF85" s="477" t="s">
        <v>50</v>
      </c>
      <c r="BG85" s="479">
        <f t="shared" si="56"/>
        <v>0</v>
      </c>
      <c r="BH85" s="477" t="s">
        <v>46</v>
      </c>
      <c r="BI85" s="760">
        <f>IF(AND($Z85="b",Inventory!$P92="Btu/hr"),Inventory!$O92,IF(AND($Z85="b",Inventory!$P92="Tons"),Inventory!$O92*12000,IF(AND($Z85&lt;&gt;"b",Inventory!$AM92="Btu/hr"),Inventory!$AL92,IF(AND($Z85&lt;&gt;"b",Inventory!$AM92="Tons"),Inventory!$AL92*12000,0))))</f>
        <v>0</v>
      </c>
      <c r="BJ85" s="760">
        <f t="shared" si="47"/>
        <v>0</v>
      </c>
      <c r="BK85" s="598">
        <f t="shared" si="78"/>
        <v>0</v>
      </c>
      <c r="BL85" s="759" t="s">
        <v>567</v>
      </c>
      <c r="BM85" s="477" t="str">
        <f t="shared" si="57"/>
        <v>No</v>
      </c>
      <c r="BN85" s="477" t="str">
        <f>IF(OR(Inventory!$H92="",$BM85="No"),"-",Inventory!$H92)</f>
        <v>-</v>
      </c>
      <c r="BO85" s="477" t="str">
        <f>IFERROR(VLOOKUP(BN85,'Early Retirement'!$B$6:$C$33,2,FALSE),"-")</f>
        <v>-</v>
      </c>
      <c r="BP85" s="477" t="str">
        <f>IF(Inventory!$J92="Centrifugal","Yes","No")</f>
        <v>No</v>
      </c>
      <c r="BQ85" s="477">
        <f t="shared" si="79"/>
        <v>0</v>
      </c>
      <c r="BR85" s="477" t="str">
        <f t="shared" si="80"/>
        <v>-</v>
      </c>
      <c r="BS85" s="479">
        <f>IFERROR(INDEX('Early Retirement'!$C$4:$AC$33,$BO85,$BR85),0)</f>
        <v>0</v>
      </c>
      <c r="BT85" s="477">
        <f>IFERROR(HLOOKUP($BR85,'Early Retirement'!$D$4:$AC$5,2,FALSE),0)</f>
        <v>0</v>
      </c>
      <c r="BU85" s="761">
        <f>IFERROR(INDEX('Early Retirement'!$AE$4:$BE$33,$BO85,$BR85),0)</f>
        <v>0</v>
      </c>
      <c r="BV85" s="759">
        <f>IFERROR(HLOOKUP($BR85,'Early Retirement'!$AF$4:$BE$5,2,FALSE),0)</f>
        <v>0</v>
      </c>
      <c r="BW85" s="479">
        <f t="shared" si="87"/>
        <v>0</v>
      </c>
      <c r="BX85" s="761">
        <f t="shared" si="81"/>
        <v>0</v>
      </c>
      <c r="BY85" s="477" t="s">
        <v>46</v>
      </c>
      <c r="BZ85" s="598">
        <f>IFERROR(INDEX('Early Retirement'!$BG$4:$CG$33,$BO85,$BR85),0)</f>
        <v>0</v>
      </c>
      <c r="CA85" s="759">
        <f>IFERROR(HLOOKUP($BR85,'Early Retirement'!$BH$4:$CH$5,2,FALSE),0)</f>
        <v>0</v>
      </c>
      <c r="CB85" s="598">
        <f t="shared" si="82"/>
        <v>0</v>
      </c>
      <c r="CC85" s="759" t="s">
        <v>567</v>
      </c>
      <c r="CD85" s="477" t="str">
        <f t="shared" si="58"/>
        <v>Yes</v>
      </c>
      <c r="CE85" s="479">
        <f t="shared" si="59"/>
        <v>0</v>
      </c>
      <c r="CF85" s="761">
        <f t="shared" si="60"/>
        <v>0</v>
      </c>
      <c r="CG85" s="759" t="s">
        <v>46</v>
      </c>
      <c r="CH85" s="598">
        <f t="shared" si="83"/>
        <v>0</v>
      </c>
      <c r="CI85" s="759" t="s">
        <v>567</v>
      </c>
      <c r="CJ85" s="480">
        <f t="shared" si="84"/>
        <v>0</v>
      </c>
      <c r="CK85" s="583">
        <f t="shared" si="85"/>
        <v>0</v>
      </c>
      <c r="CL85" s="596" t="s">
        <v>46</v>
      </c>
      <c r="CM85" s="581">
        <f t="shared" si="86"/>
        <v>0</v>
      </c>
      <c r="CN85" s="762" t="s">
        <v>567</v>
      </c>
      <c r="CP85" s="90" t="s">
        <v>197</v>
      </c>
      <c r="CQ85" s="124">
        <v>9.5619999999999994</v>
      </c>
      <c r="CR85" s="307" t="s">
        <v>50</v>
      </c>
      <c r="CS85" s="645">
        <v>12.75</v>
      </c>
      <c r="CT85" s="551" t="s">
        <v>559</v>
      </c>
      <c r="CU85" s="645">
        <f t="shared" si="89"/>
        <v>1.2549675800041833</v>
      </c>
      <c r="CV85" s="645">
        <f t="shared" si="90"/>
        <v>0.94117647058823528</v>
      </c>
      <c r="CW85" s="633" t="s">
        <v>46</v>
      </c>
      <c r="CX85" s="606"/>
      <c r="CY85" s="589"/>
      <c r="CZ85" s="606"/>
      <c r="DA85" s="609"/>
      <c r="DB85" s="562"/>
      <c r="DC85" s="562"/>
      <c r="DD85" s="562"/>
      <c r="DE85" s="562"/>
      <c r="DF85" s="562"/>
      <c r="DG85" s="562"/>
      <c r="DH85" s="562"/>
      <c r="DI85" s="562"/>
      <c r="DJ85" s="562"/>
      <c r="DK85" s="562"/>
      <c r="DL85" s="562"/>
      <c r="DM85" s="562"/>
      <c r="DN85" s="562"/>
      <c r="DO85" s="562"/>
      <c r="DP85" s="562"/>
      <c r="DQ85" s="562"/>
      <c r="DR85" s="562"/>
      <c r="DS85" s="562"/>
      <c r="DT85" s="562"/>
      <c r="DU85" s="562"/>
      <c r="DV85" s="562"/>
      <c r="DW85" s="562"/>
      <c r="DX85" s="562"/>
      <c r="DY85" s="562"/>
      <c r="DZ85" s="562"/>
      <c r="EA85" s="562"/>
      <c r="EB85" s="562"/>
      <c r="EC85" s="562"/>
      <c r="ED85" s="562"/>
      <c r="EE85" s="562"/>
      <c r="EF85" s="562"/>
      <c r="EG85" s="562"/>
      <c r="EH85" s="562"/>
      <c r="EI85" s="562"/>
      <c r="EJ85" s="562"/>
      <c r="EK85" s="562"/>
      <c r="EL85" s="562"/>
    </row>
    <row r="86" spans="2:142" s="78" customFormat="1" ht="15" customHeight="1" x14ac:dyDescent="0.25">
      <c r="B86" s="77"/>
      <c r="E86" s="77"/>
      <c r="H86" s="77"/>
      <c r="U86" s="79"/>
      <c r="V86" s="79"/>
      <c r="W86" s="79"/>
      <c r="Y86" s="90">
        <v>84</v>
      </c>
      <c r="Z86" s="559" t="str">
        <f>IF(Inventory!$C93="","",VLOOKUP(Inventory!$C93,$B$3:$C$5,2,FALSE))</f>
        <v/>
      </c>
      <c r="AA86" s="559" t="str">
        <f>IF($Z86="","",IF(AND($Z86="b",Inventory!$G93=""),"",IF(AND($Z86="b",Inventory!$G93&lt;&gt;""),VLOOKUP(Inventory!$G93,$E$3:$F$10,2,FALSE),IF(AND($Z86="a",Inventory!$Z93=""),"",IF(AND($Z86="a",Inventory!$Z93&lt;&gt;""),VLOOKUP(Inventory!$Z93,$E$3:$F$10,2,FALSE),IF(AND($Z86="c",Inventory!$Z93=""),"",IF(AND($Z86="c",Inventory!$Z93&lt;&gt;""),VLOOKUP(Inventory!$Z93,$E$3:$F$10,2,FALSE),"")))))))</f>
        <v/>
      </c>
      <c r="AB86" s="559" t="str">
        <f>IF($Z86="","a",IF(AND($Z86="b",Inventory!$J93=""),"a",IF(AND($Z86="b",Inventory!$J93&lt;&gt;""),VLOOKUP(Inventory!$J93,$H$4:$I$6,2,FALSE),IF(AND($Z86="a",Inventory!$AA93=""),"a",IF(AND($Z86="a",Inventory!$AA93&lt;&gt;""),VLOOKUP(Inventory!$AA93,$H$4:$I$6,2,FALSE),IF(AND($Z86="c",Inventory!$AA93=""),"a",IF(AND($Z86="c",Inventory!$AA93&lt;&gt;""),VLOOKUP(Inventory!$AA93,$H$4:$I$6,2,FALSE),"a")))))))</f>
        <v>a</v>
      </c>
      <c r="AC86" s="559" t="str">
        <f t="shared" si="61"/>
        <v>a</v>
      </c>
      <c r="AD86" s="473" t="str">
        <f>IF($Z86="","a",IF(AND($Z86="b",Inventory!$L93=""),"a",IF(AND($Z86="b",Inventory!$L93&lt;&gt;""),VLOOKUP(Inventory!$L93,$N$4:$O$5,2,FALSE),IF(AND($Z86="a",Inventory!$AC93=""),"a",IF(AND($Z86="a",Inventory!$AC93&lt;&gt;""),VLOOKUP(Inventory!$AC93,$N$4:$O$5,2,FALSE),IF(AND($Z86="c",Inventory!$AC93=""),"a",IF(AND($Z86="c",Inventory!$AC93&lt;&gt;""),VLOOKUP(Inventory!$AC93,$N$4:$O$5,2,FALSE),"a")))))))</f>
        <v>a</v>
      </c>
      <c r="AE86" s="474">
        <f>IF(OR(Inventory!C93="New Construction",Inventory!C93="Replace-on-Burnout"),Inventory!AF93,IF(Inventory!C93="Early Retirement",MIN(Inventory!AE93,Inventory!AF93),0))</f>
        <v>0</v>
      </c>
      <c r="AF86" s="475" t="str">
        <f t="shared" si="62"/>
        <v/>
      </c>
      <c r="AG86" s="475" t="str">
        <f t="shared" si="50"/>
        <v/>
      </c>
      <c r="AH86" s="475" t="str">
        <f t="shared" si="51"/>
        <v/>
      </c>
      <c r="AI86" s="475" t="str">
        <f t="shared" si="52"/>
        <v/>
      </c>
      <c r="AJ86" s="475" t="str">
        <f t="shared" si="53"/>
        <v/>
      </c>
      <c r="AK86" s="475" t="str">
        <f t="shared" si="63"/>
        <v/>
      </c>
      <c r="AL86" s="475" t="str">
        <f t="shared" si="64"/>
        <v/>
      </c>
      <c r="AM86" s="475" t="str">
        <f t="shared" si="65"/>
        <v/>
      </c>
      <c r="AN86" s="475" t="str">
        <f t="shared" si="66"/>
        <v/>
      </c>
      <c r="AO86" s="475" t="str">
        <f t="shared" si="67"/>
        <v/>
      </c>
      <c r="AP86" s="475" t="str">
        <f t="shared" si="68"/>
        <v/>
      </c>
      <c r="AQ86" s="475" t="str">
        <f t="shared" si="69"/>
        <v/>
      </c>
      <c r="AR86" s="475" t="str">
        <f t="shared" si="70"/>
        <v/>
      </c>
      <c r="AS86" s="475" t="str">
        <f t="shared" si="71"/>
        <v/>
      </c>
      <c r="AT86" s="475" t="str">
        <f t="shared" si="72"/>
        <v/>
      </c>
      <c r="AU86" s="475" t="str">
        <f t="shared" si="73"/>
        <v/>
      </c>
      <c r="AV86" s="475" t="str">
        <f t="shared" si="54"/>
        <v/>
      </c>
      <c r="AW86" s="473">
        <f t="shared" si="55"/>
        <v>0</v>
      </c>
      <c r="AX86" s="473" t="str">
        <f>IF(AND($Z86="b",OR($AA86="a",$AA86="b"),Inventory!$I93="",$AE86&lt;(65000/12000)),"x",IF(AND($Z86="b",OR($AA86="a",$AA86="b"),Inventory!$I93&lt;&gt;"",$AE86&lt;(65000/12000)),VLOOKUP(Inventory!$I93,$V$4:$W$5,2,FALSE),"x"))</f>
        <v>x</v>
      </c>
      <c r="AY86" s="476" t="str">
        <f t="shared" si="74"/>
        <v>aaa0</v>
      </c>
      <c r="AZ86" s="477" t="str">
        <f t="shared" si="75"/>
        <v>No</v>
      </c>
      <c r="BA86" s="759" t="str">
        <f t="shared" si="76"/>
        <v>No</v>
      </c>
      <c r="BB86" s="477">
        <f>IF($Z86="c",Inventory!$AB93,Inventory!$K93)</f>
        <v>0</v>
      </c>
      <c r="BC86" s="478">
        <f>IF(AND($Z86="b",Inventory!$N93="Btu/hr"),Inventory!$M93,IF(AND($Z86="b",Inventory!$N93="Tons"),Inventory!$M93*12000,IF(AND($Z86&lt;&gt;"b",Inventory!$AK93="Btu/hr"),Inventory!$AD93,IF(AND($Z86&lt;&gt;"b",Inventory!$AK93="Tons"),Inventory!$AD93*12000,0))))</f>
        <v>0</v>
      </c>
      <c r="BD86" s="478">
        <f t="shared" si="46"/>
        <v>0</v>
      </c>
      <c r="BE86" s="479">
        <f t="shared" si="77"/>
        <v>0</v>
      </c>
      <c r="BF86" s="477" t="s">
        <v>50</v>
      </c>
      <c r="BG86" s="479">
        <f t="shared" si="56"/>
        <v>0</v>
      </c>
      <c r="BH86" s="477" t="s">
        <v>46</v>
      </c>
      <c r="BI86" s="760">
        <f>IF(AND($Z86="b",Inventory!$P93="Btu/hr"),Inventory!$O93,IF(AND($Z86="b",Inventory!$P93="Tons"),Inventory!$O93*12000,IF(AND($Z86&lt;&gt;"b",Inventory!$AM93="Btu/hr"),Inventory!$AL93,IF(AND($Z86&lt;&gt;"b",Inventory!$AM93="Tons"),Inventory!$AL93*12000,0))))</f>
        <v>0</v>
      </c>
      <c r="BJ86" s="760">
        <f t="shared" si="47"/>
        <v>0</v>
      </c>
      <c r="BK86" s="598">
        <f t="shared" si="78"/>
        <v>0</v>
      </c>
      <c r="BL86" s="759" t="s">
        <v>567</v>
      </c>
      <c r="BM86" s="477" t="str">
        <f t="shared" si="57"/>
        <v>No</v>
      </c>
      <c r="BN86" s="477" t="str">
        <f>IF(OR(Inventory!$H93="",$BM86="No"),"-",Inventory!$H93)</f>
        <v>-</v>
      </c>
      <c r="BO86" s="477" t="str">
        <f>IFERROR(VLOOKUP(BN86,'Early Retirement'!$B$6:$C$33,2,FALSE),"-")</f>
        <v>-</v>
      </c>
      <c r="BP86" s="477" t="str">
        <f>IF(Inventory!$J93="Centrifugal","Yes","No")</f>
        <v>No</v>
      </c>
      <c r="BQ86" s="477">
        <f t="shared" si="79"/>
        <v>0</v>
      </c>
      <c r="BR86" s="477" t="str">
        <f t="shared" si="80"/>
        <v>-</v>
      </c>
      <c r="BS86" s="479">
        <f>IFERROR(INDEX('Early Retirement'!$C$4:$AC$33,$BO86,$BR86),0)</f>
        <v>0</v>
      </c>
      <c r="BT86" s="477">
        <f>IFERROR(HLOOKUP($BR86,'Early Retirement'!$D$4:$AC$5,2,FALSE),0)</f>
        <v>0</v>
      </c>
      <c r="BU86" s="761">
        <f>IFERROR(INDEX('Early Retirement'!$AE$4:$BE$33,$BO86,$BR86),0)</f>
        <v>0</v>
      </c>
      <c r="BV86" s="759">
        <f>IFERROR(HLOOKUP($BR86,'Early Retirement'!$AF$4:$BE$5,2,FALSE),0)</f>
        <v>0</v>
      </c>
      <c r="BW86" s="479">
        <f t="shared" si="87"/>
        <v>0</v>
      </c>
      <c r="BX86" s="761">
        <f t="shared" si="81"/>
        <v>0</v>
      </c>
      <c r="BY86" s="477" t="s">
        <v>46</v>
      </c>
      <c r="BZ86" s="598">
        <f>IFERROR(INDEX('Early Retirement'!$BG$4:$CG$33,$BO86,$BR86),0)</f>
        <v>0</v>
      </c>
      <c r="CA86" s="759">
        <f>IFERROR(HLOOKUP($BR86,'Early Retirement'!$BH$4:$CH$5,2,FALSE),0)</f>
        <v>0</v>
      </c>
      <c r="CB86" s="598">
        <f t="shared" si="82"/>
        <v>0</v>
      </c>
      <c r="CC86" s="759" t="s">
        <v>567</v>
      </c>
      <c r="CD86" s="477" t="str">
        <f t="shared" si="58"/>
        <v>Yes</v>
      </c>
      <c r="CE86" s="479">
        <f t="shared" si="59"/>
        <v>0</v>
      </c>
      <c r="CF86" s="761">
        <f t="shared" si="60"/>
        <v>0</v>
      </c>
      <c r="CG86" s="759" t="s">
        <v>46</v>
      </c>
      <c r="CH86" s="598">
        <f t="shared" si="83"/>
        <v>0</v>
      </c>
      <c r="CI86" s="759" t="s">
        <v>567</v>
      </c>
      <c r="CJ86" s="480">
        <f t="shared" si="84"/>
        <v>0</v>
      </c>
      <c r="CK86" s="583">
        <f t="shared" si="85"/>
        <v>0</v>
      </c>
      <c r="CL86" s="596" t="s">
        <v>46</v>
      </c>
      <c r="CM86" s="581">
        <f t="shared" si="86"/>
        <v>0</v>
      </c>
      <c r="CN86" s="762" t="s">
        <v>567</v>
      </c>
      <c r="CP86" s="90" t="s">
        <v>204</v>
      </c>
      <c r="CQ86" s="124">
        <v>9.5619999999999994</v>
      </c>
      <c r="CR86" s="307" t="s">
        <v>50</v>
      </c>
      <c r="CS86" s="645">
        <v>12.75</v>
      </c>
      <c r="CT86" s="551" t="s">
        <v>559</v>
      </c>
      <c r="CU86" s="645">
        <f t="shared" si="89"/>
        <v>1.2549675800041833</v>
      </c>
      <c r="CV86" s="645">
        <f t="shared" si="90"/>
        <v>0.94117647058823528</v>
      </c>
      <c r="CW86" s="633" t="s">
        <v>46</v>
      </c>
      <c r="CX86" s="606"/>
      <c r="CY86" s="589"/>
      <c r="CZ86" s="606"/>
      <c r="DA86" s="609"/>
      <c r="DB86" s="562"/>
      <c r="DC86" s="562"/>
      <c r="DD86" s="562"/>
      <c r="DE86" s="562"/>
      <c r="DF86" s="562"/>
      <c r="DG86" s="562"/>
      <c r="DH86" s="562"/>
      <c r="DI86" s="562"/>
      <c r="DJ86" s="562"/>
      <c r="DK86" s="562"/>
      <c r="DL86" s="562"/>
      <c r="DM86" s="562"/>
      <c r="DN86" s="562"/>
      <c r="DO86" s="562"/>
      <c r="DP86" s="562"/>
      <c r="DQ86" s="562"/>
      <c r="DR86" s="562"/>
      <c r="DS86" s="562"/>
      <c r="DT86" s="562"/>
      <c r="DU86" s="562"/>
      <c r="DV86" s="562"/>
      <c r="DW86" s="562"/>
      <c r="DX86" s="562"/>
      <c r="DY86" s="562"/>
      <c r="DZ86" s="562"/>
      <c r="EA86" s="562"/>
      <c r="EB86" s="562"/>
      <c r="EC86" s="562"/>
      <c r="ED86" s="562"/>
      <c r="EE86" s="562"/>
      <c r="EF86" s="562"/>
      <c r="EG86" s="562"/>
      <c r="EH86" s="562"/>
      <c r="EI86" s="562"/>
      <c r="EJ86" s="562"/>
      <c r="EK86" s="562"/>
      <c r="EL86" s="562"/>
    </row>
    <row r="87" spans="2:142" s="78" customFormat="1" ht="15" customHeight="1" x14ac:dyDescent="0.25">
      <c r="B87" s="77"/>
      <c r="E87" s="77"/>
      <c r="H87" s="77"/>
      <c r="U87" s="79"/>
      <c r="V87" s="79"/>
      <c r="W87" s="79"/>
      <c r="Y87" s="90">
        <v>85</v>
      </c>
      <c r="Z87" s="559" t="str">
        <f>IF(Inventory!$C94="","",VLOOKUP(Inventory!$C94,$B$3:$C$5,2,FALSE))</f>
        <v/>
      </c>
      <c r="AA87" s="559" t="str">
        <f>IF($Z87="","",IF(AND($Z87="b",Inventory!$G94=""),"",IF(AND($Z87="b",Inventory!$G94&lt;&gt;""),VLOOKUP(Inventory!$G94,$E$3:$F$10,2,FALSE),IF(AND($Z87="a",Inventory!$Z94=""),"",IF(AND($Z87="a",Inventory!$Z94&lt;&gt;""),VLOOKUP(Inventory!$Z94,$E$3:$F$10,2,FALSE),IF(AND($Z87="c",Inventory!$Z94=""),"",IF(AND($Z87="c",Inventory!$Z94&lt;&gt;""),VLOOKUP(Inventory!$Z94,$E$3:$F$10,2,FALSE),"")))))))</f>
        <v/>
      </c>
      <c r="AB87" s="559" t="str">
        <f>IF($Z87="","a",IF(AND($Z87="b",Inventory!$J94=""),"a",IF(AND($Z87="b",Inventory!$J94&lt;&gt;""),VLOOKUP(Inventory!$J94,$H$4:$I$6,2,FALSE),IF(AND($Z87="a",Inventory!$AA94=""),"a",IF(AND($Z87="a",Inventory!$AA94&lt;&gt;""),VLOOKUP(Inventory!$AA94,$H$4:$I$6,2,FALSE),IF(AND($Z87="c",Inventory!$AA94=""),"a",IF(AND($Z87="c",Inventory!$AA94&lt;&gt;""),VLOOKUP(Inventory!$AA94,$H$4:$I$6,2,FALSE),"a")))))))</f>
        <v>a</v>
      </c>
      <c r="AC87" s="559" t="str">
        <f t="shared" si="61"/>
        <v>a</v>
      </c>
      <c r="AD87" s="473" t="str">
        <f>IF($Z87="","a",IF(AND($Z87="b",Inventory!$L94=""),"a",IF(AND($Z87="b",Inventory!$L94&lt;&gt;""),VLOOKUP(Inventory!$L94,$N$4:$O$5,2,FALSE),IF(AND($Z87="a",Inventory!$AC94=""),"a",IF(AND($Z87="a",Inventory!$AC94&lt;&gt;""),VLOOKUP(Inventory!$AC94,$N$4:$O$5,2,FALSE),IF(AND($Z87="c",Inventory!$AC94=""),"a",IF(AND($Z87="c",Inventory!$AC94&lt;&gt;""),VLOOKUP(Inventory!$AC94,$N$4:$O$5,2,FALSE),"a")))))))</f>
        <v>a</v>
      </c>
      <c r="AE87" s="474">
        <f>IF(OR(Inventory!C94="New Construction",Inventory!C94="Replace-on-Burnout"),Inventory!AF94,IF(Inventory!C94="Early Retirement",MIN(Inventory!AE94,Inventory!AF94),0))</f>
        <v>0</v>
      </c>
      <c r="AF87" s="475" t="str">
        <f t="shared" si="62"/>
        <v/>
      </c>
      <c r="AG87" s="475" t="str">
        <f t="shared" si="50"/>
        <v/>
      </c>
      <c r="AH87" s="475" t="str">
        <f t="shared" si="51"/>
        <v/>
      </c>
      <c r="AI87" s="475" t="str">
        <f t="shared" si="52"/>
        <v/>
      </c>
      <c r="AJ87" s="475" t="str">
        <f t="shared" si="53"/>
        <v/>
      </c>
      <c r="AK87" s="475" t="str">
        <f t="shared" si="63"/>
        <v/>
      </c>
      <c r="AL87" s="475" t="str">
        <f t="shared" si="64"/>
        <v/>
      </c>
      <c r="AM87" s="475" t="str">
        <f t="shared" si="65"/>
        <v/>
      </c>
      <c r="AN87" s="475" t="str">
        <f t="shared" si="66"/>
        <v/>
      </c>
      <c r="AO87" s="475" t="str">
        <f t="shared" si="67"/>
        <v/>
      </c>
      <c r="AP87" s="475" t="str">
        <f t="shared" si="68"/>
        <v/>
      </c>
      <c r="AQ87" s="475" t="str">
        <f t="shared" si="69"/>
        <v/>
      </c>
      <c r="AR87" s="475" t="str">
        <f t="shared" si="70"/>
        <v/>
      </c>
      <c r="AS87" s="475" t="str">
        <f t="shared" si="71"/>
        <v/>
      </c>
      <c r="AT87" s="475" t="str">
        <f t="shared" si="72"/>
        <v/>
      </c>
      <c r="AU87" s="475" t="str">
        <f t="shared" si="73"/>
        <v/>
      </c>
      <c r="AV87" s="475" t="str">
        <f t="shared" si="54"/>
        <v/>
      </c>
      <c r="AW87" s="473">
        <f t="shared" si="55"/>
        <v>0</v>
      </c>
      <c r="AX87" s="473" t="str">
        <f>IF(AND($Z87="b",OR($AA87="a",$AA87="b"),Inventory!$I94="",$AE87&lt;(65000/12000)),"x",IF(AND($Z87="b",OR($AA87="a",$AA87="b"),Inventory!$I94&lt;&gt;"",$AE87&lt;(65000/12000)),VLOOKUP(Inventory!$I94,$V$4:$W$5,2,FALSE),"x"))</f>
        <v>x</v>
      </c>
      <c r="AY87" s="476" t="str">
        <f t="shared" si="74"/>
        <v>aaa0</v>
      </c>
      <c r="AZ87" s="477" t="str">
        <f t="shared" si="75"/>
        <v>No</v>
      </c>
      <c r="BA87" s="759" t="str">
        <f t="shared" si="76"/>
        <v>No</v>
      </c>
      <c r="BB87" s="477">
        <f>IF($Z87="c",Inventory!$AB94,Inventory!$K94)</f>
        <v>0</v>
      </c>
      <c r="BC87" s="478">
        <f>IF(AND($Z87="b",Inventory!$N94="Btu/hr"),Inventory!$M94,IF(AND($Z87="b",Inventory!$N94="Tons"),Inventory!$M94*12000,IF(AND($Z87&lt;&gt;"b",Inventory!$AK94="Btu/hr"),Inventory!$AD94,IF(AND($Z87&lt;&gt;"b",Inventory!$AK94="Tons"),Inventory!$AD94*12000,0))))</f>
        <v>0</v>
      </c>
      <c r="BD87" s="478">
        <f t="shared" si="46"/>
        <v>0</v>
      </c>
      <c r="BE87" s="479">
        <f t="shared" si="77"/>
        <v>0</v>
      </c>
      <c r="BF87" s="477" t="s">
        <v>50</v>
      </c>
      <c r="BG87" s="479">
        <f t="shared" si="56"/>
        <v>0</v>
      </c>
      <c r="BH87" s="477" t="s">
        <v>46</v>
      </c>
      <c r="BI87" s="760">
        <f>IF(AND($Z87="b",Inventory!$P94="Btu/hr"),Inventory!$O94,IF(AND($Z87="b",Inventory!$P94="Tons"),Inventory!$O94*12000,IF(AND($Z87&lt;&gt;"b",Inventory!$AM94="Btu/hr"),Inventory!$AL94,IF(AND($Z87&lt;&gt;"b",Inventory!$AM94="Tons"),Inventory!$AL94*12000,0))))</f>
        <v>0</v>
      </c>
      <c r="BJ87" s="760">
        <f t="shared" si="47"/>
        <v>0</v>
      </c>
      <c r="BK87" s="598">
        <f t="shared" si="78"/>
        <v>0</v>
      </c>
      <c r="BL87" s="759" t="s">
        <v>567</v>
      </c>
      <c r="BM87" s="477" t="str">
        <f t="shared" si="57"/>
        <v>No</v>
      </c>
      <c r="BN87" s="477" t="str">
        <f>IF(OR(Inventory!$H94="",$BM87="No"),"-",Inventory!$H94)</f>
        <v>-</v>
      </c>
      <c r="BO87" s="477" t="str">
        <f>IFERROR(VLOOKUP(BN87,'Early Retirement'!$B$6:$C$33,2,FALSE),"-")</f>
        <v>-</v>
      </c>
      <c r="BP87" s="477" t="str">
        <f>IF(Inventory!$J94="Centrifugal","Yes","No")</f>
        <v>No</v>
      </c>
      <c r="BQ87" s="477">
        <f t="shared" si="79"/>
        <v>0</v>
      </c>
      <c r="BR87" s="477" t="str">
        <f t="shared" si="80"/>
        <v>-</v>
      </c>
      <c r="BS87" s="479">
        <f>IFERROR(INDEX('Early Retirement'!$C$4:$AC$33,$BO87,$BR87),0)</f>
        <v>0</v>
      </c>
      <c r="BT87" s="477">
        <f>IFERROR(HLOOKUP($BR87,'Early Retirement'!$D$4:$AC$5,2,FALSE),0)</f>
        <v>0</v>
      </c>
      <c r="BU87" s="761">
        <f>IFERROR(INDEX('Early Retirement'!$AE$4:$BE$33,$BO87,$BR87),0)</f>
        <v>0</v>
      </c>
      <c r="BV87" s="759">
        <f>IFERROR(HLOOKUP($BR87,'Early Retirement'!$AF$4:$BE$5,2,FALSE),0)</f>
        <v>0</v>
      </c>
      <c r="BW87" s="479">
        <f t="shared" si="87"/>
        <v>0</v>
      </c>
      <c r="BX87" s="761">
        <f t="shared" si="81"/>
        <v>0</v>
      </c>
      <c r="BY87" s="477" t="s">
        <v>46</v>
      </c>
      <c r="BZ87" s="598">
        <f>IFERROR(INDEX('Early Retirement'!$BG$4:$CG$33,$BO87,$BR87),0)</f>
        <v>0</v>
      </c>
      <c r="CA87" s="759">
        <f>IFERROR(HLOOKUP($BR87,'Early Retirement'!$BH$4:$CH$5,2,FALSE),0)</f>
        <v>0</v>
      </c>
      <c r="CB87" s="598">
        <f t="shared" si="82"/>
        <v>0</v>
      </c>
      <c r="CC87" s="759" t="s">
        <v>567</v>
      </c>
      <c r="CD87" s="477" t="str">
        <f t="shared" si="58"/>
        <v>Yes</v>
      </c>
      <c r="CE87" s="479">
        <f t="shared" si="59"/>
        <v>0</v>
      </c>
      <c r="CF87" s="761">
        <f t="shared" si="60"/>
        <v>0</v>
      </c>
      <c r="CG87" s="759" t="s">
        <v>46</v>
      </c>
      <c r="CH87" s="598">
        <f t="shared" si="83"/>
        <v>0</v>
      </c>
      <c r="CI87" s="759" t="s">
        <v>567</v>
      </c>
      <c r="CJ87" s="480">
        <f t="shared" si="84"/>
        <v>0</v>
      </c>
      <c r="CK87" s="583">
        <f t="shared" si="85"/>
        <v>0</v>
      </c>
      <c r="CL87" s="596" t="s">
        <v>46</v>
      </c>
      <c r="CM87" s="581">
        <f t="shared" si="86"/>
        <v>0</v>
      </c>
      <c r="CN87" s="762" t="s">
        <v>567</v>
      </c>
      <c r="CP87" s="90" t="s">
        <v>509</v>
      </c>
      <c r="CQ87" s="124">
        <v>9.5619999999999994</v>
      </c>
      <c r="CR87" s="307" t="s">
        <v>50</v>
      </c>
      <c r="CS87" s="645">
        <v>12.75</v>
      </c>
      <c r="CT87" s="551" t="s">
        <v>559</v>
      </c>
      <c r="CU87" s="645">
        <f t="shared" si="89"/>
        <v>1.2549675800041833</v>
      </c>
      <c r="CV87" s="645">
        <f t="shared" si="90"/>
        <v>0.94117647058823528</v>
      </c>
      <c r="CW87" s="633" t="s">
        <v>46</v>
      </c>
      <c r="CX87" s="606"/>
      <c r="CY87" s="589"/>
      <c r="CZ87" s="606"/>
      <c r="DA87" s="609"/>
      <c r="DB87" s="562"/>
      <c r="DC87" s="562"/>
      <c r="DD87" s="562"/>
      <c r="DE87" s="562"/>
      <c r="DF87" s="562"/>
      <c r="DG87" s="562"/>
      <c r="DH87" s="562"/>
      <c r="DI87" s="562"/>
      <c r="DJ87" s="562"/>
      <c r="DK87" s="562"/>
      <c r="DL87" s="562"/>
      <c r="DM87" s="562"/>
      <c r="DN87" s="562"/>
      <c r="DO87" s="562"/>
      <c r="DP87" s="562"/>
      <c r="DQ87" s="562"/>
      <c r="DR87" s="562"/>
      <c r="DS87" s="562"/>
      <c r="DT87" s="562"/>
      <c r="DU87" s="562"/>
      <c r="DV87" s="562"/>
      <c r="DW87" s="562"/>
      <c r="DX87" s="562"/>
      <c r="DY87" s="562"/>
      <c r="DZ87" s="562"/>
      <c r="EA87" s="562"/>
      <c r="EB87" s="562"/>
      <c r="EC87" s="562"/>
      <c r="ED87" s="562"/>
      <c r="EE87" s="562"/>
      <c r="EF87" s="562"/>
      <c r="EG87" s="562"/>
      <c r="EH87" s="562"/>
      <c r="EI87" s="562"/>
      <c r="EJ87" s="562"/>
      <c r="EK87" s="562"/>
      <c r="EL87" s="562"/>
    </row>
    <row r="88" spans="2:142" s="78" customFormat="1" ht="15" customHeight="1" x14ac:dyDescent="0.25">
      <c r="B88" s="77"/>
      <c r="E88" s="77"/>
      <c r="H88" s="77"/>
      <c r="U88" s="79"/>
      <c r="V88" s="79"/>
      <c r="W88" s="79"/>
      <c r="Y88" s="90">
        <v>86</v>
      </c>
      <c r="Z88" s="559" t="str">
        <f>IF(Inventory!$C95="","",VLOOKUP(Inventory!$C95,$B$3:$C$5,2,FALSE))</f>
        <v/>
      </c>
      <c r="AA88" s="559" t="str">
        <f>IF($Z88="","",IF(AND($Z88="b",Inventory!$G95=""),"",IF(AND($Z88="b",Inventory!$G95&lt;&gt;""),VLOOKUP(Inventory!$G95,$E$3:$F$10,2,FALSE),IF(AND($Z88="a",Inventory!$Z95=""),"",IF(AND($Z88="a",Inventory!$Z95&lt;&gt;""),VLOOKUP(Inventory!$Z95,$E$3:$F$10,2,FALSE),IF(AND($Z88="c",Inventory!$Z95=""),"",IF(AND($Z88="c",Inventory!$Z95&lt;&gt;""),VLOOKUP(Inventory!$Z95,$E$3:$F$10,2,FALSE),"")))))))</f>
        <v/>
      </c>
      <c r="AB88" s="559" t="str">
        <f>IF($Z88="","a",IF(AND($Z88="b",Inventory!$J95=""),"a",IF(AND($Z88="b",Inventory!$J95&lt;&gt;""),VLOOKUP(Inventory!$J95,$H$4:$I$6,2,FALSE),IF(AND($Z88="a",Inventory!$AA95=""),"a",IF(AND($Z88="a",Inventory!$AA95&lt;&gt;""),VLOOKUP(Inventory!$AA95,$H$4:$I$6,2,FALSE),IF(AND($Z88="c",Inventory!$AA95=""),"a",IF(AND($Z88="c",Inventory!$AA95&lt;&gt;""),VLOOKUP(Inventory!$AA95,$H$4:$I$6,2,FALSE),"a")))))))</f>
        <v>a</v>
      </c>
      <c r="AC88" s="559" t="str">
        <f t="shared" si="61"/>
        <v>a</v>
      </c>
      <c r="AD88" s="473" t="str">
        <f>IF($Z88="","a",IF(AND($Z88="b",Inventory!$L95=""),"a",IF(AND($Z88="b",Inventory!$L95&lt;&gt;""),VLOOKUP(Inventory!$L95,$N$4:$O$5,2,FALSE),IF(AND($Z88="a",Inventory!$AC95=""),"a",IF(AND($Z88="a",Inventory!$AC95&lt;&gt;""),VLOOKUP(Inventory!$AC95,$N$4:$O$5,2,FALSE),IF(AND($Z88="c",Inventory!$AC95=""),"a",IF(AND($Z88="c",Inventory!$AC95&lt;&gt;""),VLOOKUP(Inventory!$AC95,$N$4:$O$5,2,FALSE),"a")))))))</f>
        <v>a</v>
      </c>
      <c r="AE88" s="474">
        <f>IF(OR(Inventory!C95="New Construction",Inventory!C95="Replace-on-Burnout"),Inventory!AF95,IF(Inventory!C95="Early Retirement",MIN(Inventory!AE95,Inventory!AF95),0))</f>
        <v>0</v>
      </c>
      <c r="AF88" s="475" t="str">
        <f t="shared" si="62"/>
        <v/>
      </c>
      <c r="AG88" s="475" t="str">
        <f t="shared" si="50"/>
        <v/>
      </c>
      <c r="AH88" s="475" t="str">
        <f t="shared" si="51"/>
        <v/>
      </c>
      <c r="AI88" s="475" t="str">
        <f t="shared" si="52"/>
        <v/>
      </c>
      <c r="AJ88" s="475" t="str">
        <f t="shared" si="53"/>
        <v/>
      </c>
      <c r="AK88" s="475" t="str">
        <f t="shared" si="63"/>
        <v/>
      </c>
      <c r="AL88" s="475" t="str">
        <f t="shared" si="64"/>
        <v/>
      </c>
      <c r="AM88" s="475" t="str">
        <f t="shared" si="65"/>
        <v/>
      </c>
      <c r="AN88" s="475" t="str">
        <f t="shared" si="66"/>
        <v/>
      </c>
      <c r="AO88" s="475" t="str">
        <f t="shared" si="67"/>
        <v/>
      </c>
      <c r="AP88" s="475" t="str">
        <f t="shared" si="68"/>
        <v/>
      </c>
      <c r="AQ88" s="475" t="str">
        <f t="shared" si="69"/>
        <v/>
      </c>
      <c r="AR88" s="475" t="str">
        <f t="shared" si="70"/>
        <v/>
      </c>
      <c r="AS88" s="475" t="str">
        <f t="shared" si="71"/>
        <v/>
      </c>
      <c r="AT88" s="475" t="str">
        <f t="shared" si="72"/>
        <v/>
      </c>
      <c r="AU88" s="475" t="str">
        <f t="shared" si="73"/>
        <v/>
      </c>
      <c r="AV88" s="475" t="str">
        <f t="shared" si="54"/>
        <v/>
      </c>
      <c r="AW88" s="473">
        <f t="shared" si="55"/>
        <v>0</v>
      </c>
      <c r="AX88" s="473" t="str">
        <f>IF(AND($Z88="b",OR($AA88="a",$AA88="b"),Inventory!$I95="",$AE88&lt;(65000/12000)),"x",IF(AND($Z88="b",OR($AA88="a",$AA88="b"),Inventory!$I95&lt;&gt;"",$AE88&lt;(65000/12000)),VLOOKUP(Inventory!$I95,$V$4:$W$5,2,FALSE),"x"))</f>
        <v>x</v>
      </c>
      <c r="AY88" s="476" t="str">
        <f t="shared" si="74"/>
        <v>aaa0</v>
      </c>
      <c r="AZ88" s="477" t="str">
        <f t="shared" si="75"/>
        <v>No</v>
      </c>
      <c r="BA88" s="759" t="str">
        <f t="shared" si="76"/>
        <v>No</v>
      </c>
      <c r="BB88" s="477">
        <f>IF($Z88="c",Inventory!$AB95,Inventory!$K95)</f>
        <v>0</v>
      </c>
      <c r="BC88" s="478">
        <f>IF(AND($Z88="b",Inventory!$N95="Btu/hr"),Inventory!$M95,IF(AND($Z88="b",Inventory!$N95="Tons"),Inventory!$M95*12000,IF(AND($Z88&lt;&gt;"b",Inventory!$AK95="Btu/hr"),Inventory!$AD95,IF(AND($Z88&lt;&gt;"b",Inventory!$AK95="Tons"),Inventory!$AD95*12000,0))))</f>
        <v>0</v>
      </c>
      <c r="BD88" s="478">
        <f t="shared" si="46"/>
        <v>0</v>
      </c>
      <c r="BE88" s="479">
        <f t="shared" si="77"/>
        <v>0</v>
      </c>
      <c r="BF88" s="477" t="s">
        <v>50</v>
      </c>
      <c r="BG88" s="479">
        <f t="shared" si="56"/>
        <v>0</v>
      </c>
      <c r="BH88" s="477" t="s">
        <v>46</v>
      </c>
      <c r="BI88" s="760">
        <f>IF(AND($Z88="b",Inventory!$P95="Btu/hr"),Inventory!$O95,IF(AND($Z88="b",Inventory!$P95="Tons"),Inventory!$O95*12000,IF(AND($Z88&lt;&gt;"b",Inventory!$AM95="Btu/hr"),Inventory!$AL95,IF(AND($Z88&lt;&gt;"b",Inventory!$AM95="Tons"),Inventory!$AL95*12000,0))))</f>
        <v>0</v>
      </c>
      <c r="BJ88" s="760">
        <f t="shared" si="47"/>
        <v>0</v>
      </c>
      <c r="BK88" s="598">
        <f t="shared" si="78"/>
        <v>0</v>
      </c>
      <c r="BL88" s="759" t="s">
        <v>567</v>
      </c>
      <c r="BM88" s="477" t="str">
        <f t="shared" si="57"/>
        <v>No</v>
      </c>
      <c r="BN88" s="477" t="str">
        <f>IF(OR(Inventory!$H95="",$BM88="No"),"-",Inventory!$H95)</f>
        <v>-</v>
      </c>
      <c r="BO88" s="477" t="str">
        <f>IFERROR(VLOOKUP(BN88,'Early Retirement'!$B$6:$C$33,2,FALSE),"-")</f>
        <v>-</v>
      </c>
      <c r="BP88" s="477" t="str">
        <f>IF(Inventory!$J95="Centrifugal","Yes","No")</f>
        <v>No</v>
      </c>
      <c r="BQ88" s="477">
        <f t="shared" si="79"/>
        <v>0</v>
      </c>
      <c r="BR88" s="477" t="str">
        <f t="shared" si="80"/>
        <v>-</v>
      </c>
      <c r="BS88" s="479">
        <f>IFERROR(INDEX('Early Retirement'!$C$4:$AC$33,$BO88,$BR88),0)</f>
        <v>0</v>
      </c>
      <c r="BT88" s="477">
        <f>IFERROR(HLOOKUP($BR88,'Early Retirement'!$D$4:$AC$5,2,FALSE),0)</f>
        <v>0</v>
      </c>
      <c r="BU88" s="761">
        <f>IFERROR(INDEX('Early Retirement'!$AE$4:$BE$33,$BO88,$BR88),0)</f>
        <v>0</v>
      </c>
      <c r="BV88" s="759">
        <f>IFERROR(HLOOKUP($BR88,'Early Retirement'!$AF$4:$BE$5,2,FALSE),0)</f>
        <v>0</v>
      </c>
      <c r="BW88" s="479">
        <f t="shared" si="87"/>
        <v>0</v>
      </c>
      <c r="BX88" s="761">
        <f t="shared" si="81"/>
        <v>0</v>
      </c>
      <c r="BY88" s="477" t="s">
        <v>46</v>
      </c>
      <c r="BZ88" s="598">
        <f>IFERROR(INDEX('Early Retirement'!$BG$4:$CG$33,$BO88,$BR88),0)</f>
        <v>0</v>
      </c>
      <c r="CA88" s="759">
        <f>IFERROR(HLOOKUP($BR88,'Early Retirement'!$BH$4:$CH$5,2,FALSE),0)</f>
        <v>0</v>
      </c>
      <c r="CB88" s="598">
        <f t="shared" si="82"/>
        <v>0</v>
      </c>
      <c r="CC88" s="759" t="s">
        <v>567</v>
      </c>
      <c r="CD88" s="477" t="str">
        <f t="shared" si="58"/>
        <v>Yes</v>
      </c>
      <c r="CE88" s="479">
        <f t="shared" si="59"/>
        <v>0</v>
      </c>
      <c r="CF88" s="761">
        <f t="shared" si="60"/>
        <v>0</v>
      </c>
      <c r="CG88" s="759" t="s">
        <v>46</v>
      </c>
      <c r="CH88" s="598">
        <f t="shared" si="83"/>
        <v>0</v>
      </c>
      <c r="CI88" s="759" t="s">
        <v>567</v>
      </c>
      <c r="CJ88" s="480">
        <f t="shared" si="84"/>
        <v>0</v>
      </c>
      <c r="CK88" s="583">
        <f t="shared" si="85"/>
        <v>0</v>
      </c>
      <c r="CL88" s="596" t="s">
        <v>46</v>
      </c>
      <c r="CM88" s="581">
        <f t="shared" si="86"/>
        <v>0</v>
      </c>
      <c r="CN88" s="762" t="s">
        <v>567</v>
      </c>
      <c r="CP88" s="90" t="s">
        <v>510</v>
      </c>
      <c r="CQ88" s="124">
        <v>9.5619999999999994</v>
      </c>
      <c r="CR88" s="307" t="s">
        <v>50</v>
      </c>
      <c r="CS88" s="645">
        <v>12.75</v>
      </c>
      <c r="CT88" s="551" t="s">
        <v>559</v>
      </c>
      <c r="CU88" s="645">
        <f t="shared" si="89"/>
        <v>1.2549675800041833</v>
      </c>
      <c r="CV88" s="645">
        <f t="shared" si="90"/>
        <v>0.94117647058823528</v>
      </c>
      <c r="CW88" s="633" t="s">
        <v>46</v>
      </c>
      <c r="CX88" s="606"/>
      <c r="CY88" s="589"/>
      <c r="CZ88" s="606"/>
      <c r="DA88" s="609"/>
      <c r="DB88" s="562"/>
      <c r="DC88" s="562"/>
      <c r="DD88" s="562"/>
      <c r="DE88" s="562"/>
      <c r="DF88" s="562"/>
      <c r="DG88" s="562"/>
      <c r="DH88" s="562"/>
      <c r="DI88" s="562"/>
      <c r="DJ88" s="562"/>
      <c r="DK88" s="562"/>
      <c r="DL88" s="562"/>
      <c r="DM88" s="562"/>
      <c r="DN88" s="562"/>
      <c r="DO88" s="562"/>
      <c r="DP88" s="562"/>
      <c r="DQ88" s="562"/>
      <c r="DR88" s="562"/>
      <c r="DS88" s="562"/>
      <c r="DT88" s="562"/>
      <c r="DU88" s="562"/>
      <c r="DV88" s="562"/>
      <c r="DW88" s="562"/>
      <c r="DX88" s="562"/>
      <c r="DY88" s="562"/>
      <c r="DZ88" s="562"/>
      <c r="EA88" s="562"/>
      <c r="EB88" s="562"/>
      <c r="EC88" s="562"/>
      <c r="ED88" s="562"/>
      <c r="EE88" s="562"/>
      <c r="EF88" s="562"/>
      <c r="EG88" s="562"/>
      <c r="EH88" s="562"/>
      <c r="EI88" s="562"/>
      <c r="EJ88" s="562"/>
      <c r="EK88" s="562"/>
      <c r="EL88" s="562"/>
    </row>
    <row r="89" spans="2:142" s="78" customFormat="1" ht="15" customHeight="1" x14ac:dyDescent="0.25">
      <c r="B89" s="77"/>
      <c r="E89" s="77"/>
      <c r="H89" s="77"/>
      <c r="U89" s="79"/>
      <c r="V89" s="79"/>
      <c r="W89" s="79"/>
      <c r="Y89" s="90">
        <v>87</v>
      </c>
      <c r="Z89" s="559" t="str">
        <f>IF(Inventory!$C96="","",VLOOKUP(Inventory!$C96,$B$3:$C$5,2,FALSE))</f>
        <v/>
      </c>
      <c r="AA89" s="559" t="str">
        <f>IF($Z89="","",IF(AND($Z89="b",Inventory!$G96=""),"",IF(AND($Z89="b",Inventory!$G96&lt;&gt;""),VLOOKUP(Inventory!$G96,$E$3:$F$10,2,FALSE),IF(AND($Z89="a",Inventory!$Z96=""),"",IF(AND($Z89="a",Inventory!$Z96&lt;&gt;""),VLOOKUP(Inventory!$Z96,$E$3:$F$10,2,FALSE),IF(AND($Z89="c",Inventory!$Z96=""),"",IF(AND($Z89="c",Inventory!$Z96&lt;&gt;""),VLOOKUP(Inventory!$Z96,$E$3:$F$10,2,FALSE),"")))))))</f>
        <v/>
      </c>
      <c r="AB89" s="559" t="str">
        <f>IF($Z89="","a",IF(AND($Z89="b",Inventory!$J96=""),"a",IF(AND($Z89="b",Inventory!$J96&lt;&gt;""),VLOOKUP(Inventory!$J96,$H$4:$I$6,2,FALSE),IF(AND($Z89="a",Inventory!$AA96=""),"a",IF(AND($Z89="a",Inventory!$AA96&lt;&gt;""),VLOOKUP(Inventory!$AA96,$H$4:$I$6,2,FALSE),IF(AND($Z89="c",Inventory!$AA96=""),"a",IF(AND($Z89="c",Inventory!$AA96&lt;&gt;""),VLOOKUP(Inventory!$AA96,$H$4:$I$6,2,FALSE),"a")))))))</f>
        <v>a</v>
      </c>
      <c r="AC89" s="559" t="str">
        <f t="shared" si="61"/>
        <v>a</v>
      </c>
      <c r="AD89" s="473" t="str">
        <f>IF($Z89="","a",IF(AND($Z89="b",Inventory!$L96=""),"a",IF(AND($Z89="b",Inventory!$L96&lt;&gt;""),VLOOKUP(Inventory!$L96,$N$4:$O$5,2,FALSE),IF(AND($Z89="a",Inventory!$AC96=""),"a",IF(AND($Z89="a",Inventory!$AC96&lt;&gt;""),VLOOKUP(Inventory!$AC96,$N$4:$O$5,2,FALSE),IF(AND($Z89="c",Inventory!$AC96=""),"a",IF(AND($Z89="c",Inventory!$AC96&lt;&gt;""),VLOOKUP(Inventory!$AC96,$N$4:$O$5,2,FALSE),"a")))))))</f>
        <v>a</v>
      </c>
      <c r="AE89" s="474">
        <f>IF(OR(Inventory!C96="New Construction",Inventory!C96="Replace-on-Burnout"),Inventory!AF96,IF(Inventory!C96="Early Retirement",MIN(Inventory!AE96,Inventory!AF96),0))</f>
        <v>0</v>
      </c>
      <c r="AF89" s="475" t="str">
        <f t="shared" si="62"/>
        <v/>
      </c>
      <c r="AG89" s="475" t="str">
        <f t="shared" si="50"/>
        <v/>
      </c>
      <c r="AH89" s="475" t="str">
        <f t="shared" si="51"/>
        <v/>
      </c>
      <c r="AI89" s="475" t="str">
        <f t="shared" si="52"/>
        <v/>
      </c>
      <c r="AJ89" s="475" t="str">
        <f t="shared" si="53"/>
        <v/>
      </c>
      <c r="AK89" s="475" t="str">
        <f t="shared" si="63"/>
        <v/>
      </c>
      <c r="AL89" s="475" t="str">
        <f t="shared" si="64"/>
        <v/>
      </c>
      <c r="AM89" s="475" t="str">
        <f t="shared" si="65"/>
        <v/>
      </c>
      <c r="AN89" s="475" t="str">
        <f t="shared" si="66"/>
        <v/>
      </c>
      <c r="AO89" s="475" t="str">
        <f t="shared" si="67"/>
        <v/>
      </c>
      <c r="AP89" s="475" t="str">
        <f t="shared" si="68"/>
        <v/>
      </c>
      <c r="AQ89" s="475" t="str">
        <f t="shared" si="69"/>
        <v/>
      </c>
      <c r="AR89" s="475" t="str">
        <f t="shared" si="70"/>
        <v/>
      </c>
      <c r="AS89" s="475" t="str">
        <f t="shared" si="71"/>
        <v/>
      </c>
      <c r="AT89" s="475" t="str">
        <f t="shared" si="72"/>
        <v/>
      </c>
      <c r="AU89" s="475" t="str">
        <f t="shared" si="73"/>
        <v/>
      </c>
      <c r="AV89" s="475" t="str">
        <f t="shared" si="54"/>
        <v/>
      </c>
      <c r="AW89" s="473">
        <f t="shared" si="55"/>
        <v>0</v>
      </c>
      <c r="AX89" s="473" t="str">
        <f>IF(AND($Z89="b",OR($AA89="a",$AA89="b"),Inventory!$I96="",$AE89&lt;(65000/12000)),"x",IF(AND($Z89="b",OR($AA89="a",$AA89="b"),Inventory!$I96&lt;&gt;"",$AE89&lt;(65000/12000)),VLOOKUP(Inventory!$I96,$V$4:$W$5,2,FALSE),"x"))</f>
        <v>x</v>
      </c>
      <c r="AY89" s="476" t="str">
        <f t="shared" si="74"/>
        <v>aaa0</v>
      </c>
      <c r="AZ89" s="477" t="str">
        <f t="shared" si="75"/>
        <v>No</v>
      </c>
      <c r="BA89" s="759" t="str">
        <f t="shared" si="76"/>
        <v>No</v>
      </c>
      <c r="BB89" s="477">
        <f>IF($Z89="c",Inventory!$AB96,Inventory!$K96)</f>
        <v>0</v>
      </c>
      <c r="BC89" s="478">
        <f>IF(AND($Z89="b",Inventory!$N96="Btu/hr"),Inventory!$M96,IF(AND($Z89="b",Inventory!$N96="Tons"),Inventory!$M96*12000,IF(AND($Z89&lt;&gt;"b",Inventory!$AK96="Btu/hr"),Inventory!$AD96,IF(AND($Z89&lt;&gt;"b",Inventory!$AK96="Tons"),Inventory!$AD96*12000,0))))</f>
        <v>0</v>
      </c>
      <c r="BD89" s="478">
        <f t="shared" si="46"/>
        <v>0</v>
      </c>
      <c r="BE89" s="479">
        <f t="shared" si="77"/>
        <v>0</v>
      </c>
      <c r="BF89" s="477" t="s">
        <v>50</v>
      </c>
      <c r="BG89" s="479">
        <f t="shared" si="56"/>
        <v>0</v>
      </c>
      <c r="BH89" s="477" t="s">
        <v>46</v>
      </c>
      <c r="BI89" s="760">
        <f>IF(AND($Z89="b",Inventory!$P96="Btu/hr"),Inventory!$O96,IF(AND($Z89="b",Inventory!$P96="Tons"),Inventory!$O96*12000,IF(AND($Z89&lt;&gt;"b",Inventory!$AM96="Btu/hr"),Inventory!$AL96,IF(AND($Z89&lt;&gt;"b",Inventory!$AM96="Tons"),Inventory!$AL96*12000,0))))</f>
        <v>0</v>
      </c>
      <c r="BJ89" s="760">
        <f t="shared" si="47"/>
        <v>0</v>
      </c>
      <c r="BK89" s="598">
        <f t="shared" si="78"/>
        <v>0</v>
      </c>
      <c r="BL89" s="759" t="s">
        <v>567</v>
      </c>
      <c r="BM89" s="477" t="str">
        <f t="shared" si="57"/>
        <v>No</v>
      </c>
      <c r="BN89" s="477" t="str">
        <f>IF(OR(Inventory!$H96="",$BM89="No"),"-",Inventory!$H96)</f>
        <v>-</v>
      </c>
      <c r="BO89" s="477" t="str">
        <f>IFERROR(VLOOKUP(BN89,'Early Retirement'!$B$6:$C$33,2,FALSE),"-")</f>
        <v>-</v>
      </c>
      <c r="BP89" s="477" t="str">
        <f>IF(Inventory!$J96="Centrifugal","Yes","No")</f>
        <v>No</v>
      </c>
      <c r="BQ89" s="477">
        <f t="shared" si="79"/>
        <v>0</v>
      </c>
      <c r="BR89" s="477" t="str">
        <f t="shared" si="80"/>
        <v>-</v>
      </c>
      <c r="BS89" s="479">
        <f>IFERROR(INDEX('Early Retirement'!$C$4:$AC$33,$BO89,$BR89),0)</f>
        <v>0</v>
      </c>
      <c r="BT89" s="477">
        <f>IFERROR(HLOOKUP($BR89,'Early Retirement'!$D$4:$AC$5,2,FALSE),0)</f>
        <v>0</v>
      </c>
      <c r="BU89" s="761">
        <f>IFERROR(INDEX('Early Retirement'!$AE$4:$BE$33,$BO89,$BR89),0)</f>
        <v>0</v>
      </c>
      <c r="BV89" s="759">
        <f>IFERROR(HLOOKUP($BR89,'Early Retirement'!$AF$4:$BE$5,2,FALSE),0)</f>
        <v>0</v>
      </c>
      <c r="BW89" s="479">
        <f t="shared" si="87"/>
        <v>0</v>
      </c>
      <c r="BX89" s="761">
        <f t="shared" si="81"/>
        <v>0</v>
      </c>
      <c r="BY89" s="477" t="s">
        <v>46</v>
      </c>
      <c r="BZ89" s="598">
        <f>IFERROR(INDEX('Early Retirement'!$BG$4:$CG$33,$BO89,$BR89),0)</f>
        <v>0</v>
      </c>
      <c r="CA89" s="759">
        <f>IFERROR(HLOOKUP($BR89,'Early Retirement'!$BH$4:$CH$5,2,FALSE),0)</f>
        <v>0</v>
      </c>
      <c r="CB89" s="598">
        <f t="shared" si="82"/>
        <v>0</v>
      </c>
      <c r="CC89" s="759" t="s">
        <v>567</v>
      </c>
      <c r="CD89" s="477" t="str">
        <f t="shared" si="58"/>
        <v>Yes</v>
      </c>
      <c r="CE89" s="479">
        <f t="shared" si="59"/>
        <v>0</v>
      </c>
      <c r="CF89" s="761">
        <f t="shared" si="60"/>
        <v>0</v>
      </c>
      <c r="CG89" s="759" t="s">
        <v>46</v>
      </c>
      <c r="CH89" s="598">
        <f t="shared" si="83"/>
        <v>0</v>
      </c>
      <c r="CI89" s="759" t="s">
        <v>567</v>
      </c>
      <c r="CJ89" s="480">
        <f t="shared" si="84"/>
        <v>0</v>
      </c>
      <c r="CK89" s="583">
        <f t="shared" si="85"/>
        <v>0</v>
      </c>
      <c r="CL89" s="596" t="s">
        <v>46</v>
      </c>
      <c r="CM89" s="581">
        <f t="shared" si="86"/>
        <v>0</v>
      </c>
      <c r="CN89" s="762" t="s">
        <v>567</v>
      </c>
      <c r="CP89" s="90" t="s">
        <v>205</v>
      </c>
      <c r="CQ89" s="124">
        <v>9.5619999999999994</v>
      </c>
      <c r="CR89" s="307" t="s">
        <v>50</v>
      </c>
      <c r="CS89" s="645">
        <v>12.75</v>
      </c>
      <c r="CT89" s="551" t="s">
        <v>559</v>
      </c>
      <c r="CU89" s="645">
        <f t="shared" si="89"/>
        <v>1.2549675800041833</v>
      </c>
      <c r="CV89" s="645">
        <f t="shared" si="90"/>
        <v>0.94117647058823528</v>
      </c>
      <c r="CW89" s="633" t="s">
        <v>46</v>
      </c>
      <c r="CX89" s="606"/>
      <c r="CY89" s="589"/>
      <c r="CZ89" s="606"/>
      <c r="DA89" s="609"/>
      <c r="DB89" s="562"/>
      <c r="DC89" s="562"/>
      <c r="DD89" s="562"/>
      <c r="DE89" s="562"/>
      <c r="DF89" s="562"/>
      <c r="DG89" s="562"/>
      <c r="DH89" s="562"/>
      <c r="DI89" s="562"/>
      <c r="DJ89" s="562"/>
      <c r="DK89" s="562"/>
      <c r="DL89" s="562"/>
      <c r="DM89" s="562"/>
      <c r="DN89" s="562"/>
      <c r="DO89" s="562"/>
      <c r="DP89" s="562"/>
      <c r="DQ89" s="562"/>
      <c r="DR89" s="562"/>
      <c r="DS89" s="562"/>
      <c r="DT89" s="562"/>
      <c r="DU89" s="562"/>
      <c r="DV89" s="562"/>
      <c r="DW89" s="562"/>
      <c r="DX89" s="562"/>
      <c r="DY89" s="562"/>
      <c r="DZ89" s="562"/>
      <c r="EA89" s="562"/>
      <c r="EB89" s="562"/>
      <c r="EC89" s="562"/>
      <c r="ED89" s="562"/>
      <c r="EE89" s="562"/>
      <c r="EF89" s="562"/>
      <c r="EG89" s="562"/>
      <c r="EH89" s="562"/>
      <c r="EI89" s="562"/>
      <c r="EJ89" s="562"/>
      <c r="EK89" s="562"/>
      <c r="EL89" s="562"/>
    </row>
    <row r="90" spans="2:142" s="78" customFormat="1" ht="15" customHeight="1" x14ac:dyDescent="0.25">
      <c r="B90" s="77"/>
      <c r="E90" s="77"/>
      <c r="H90" s="77"/>
      <c r="U90" s="79"/>
      <c r="V90" s="79"/>
      <c r="W90" s="79"/>
      <c r="Y90" s="90">
        <v>88</v>
      </c>
      <c r="Z90" s="559" t="str">
        <f>IF(Inventory!$C97="","",VLOOKUP(Inventory!$C97,$B$3:$C$5,2,FALSE))</f>
        <v/>
      </c>
      <c r="AA90" s="559" t="str">
        <f>IF($Z90="","",IF(AND($Z90="b",Inventory!$G97=""),"",IF(AND($Z90="b",Inventory!$G97&lt;&gt;""),VLOOKUP(Inventory!$G97,$E$3:$F$10,2,FALSE),IF(AND($Z90="a",Inventory!$Z97=""),"",IF(AND($Z90="a",Inventory!$Z97&lt;&gt;""),VLOOKUP(Inventory!$Z97,$E$3:$F$10,2,FALSE),IF(AND($Z90="c",Inventory!$Z97=""),"",IF(AND($Z90="c",Inventory!$Z97&lt;&gt;""),VLOOKUP(Inventory!$Z97,$E$3:$F$10,2,FALSE),"")))))))</f>
        <v/>
      </c>
      <c r="AB90" s="559" t="str">
        <f>IF($Z90="","a",IF(AND($Z90="b",Inventory!$J97=""),"a",IF(AND($Z90="b",Inventory!$J97&lt;&gt;""),VLOOKUP(Inventory!$J97,$H$4:$I$6,2,FALSE),IF(AND($Z90="a",Inventory!$AA97=""),"a",IF(AND($Z90="a",Inventory!$AA97&lt;&gt;""),VLOOKUP(Inventory!$AA97,$H$4:$I$6,2,FALSE),IF(AND($Z90="c",Inventory!$AA97=""),"a",IF(AND($Z90="c",Inventory!$AA97&lt;&gt;""),VLOOKUP(Inventory!$AA97,$H$4:$I$6,2,FALSE),"a")))))))</f>
        <v>a</v>
      </c>
      <c r="AC90" s="559" t="str">
        <f t="shared" si="61"/>
        <v>a</v>
      </c>
      <c r="AD90" s="473" t="str">
        <f>IF($Z90="","a",IF(AND($Z90="b",Inventory!$L97=""),"a",IF(AND($Z90="b",Inventory!$L97&lt;&gt;""),VLOOKUP(Inventory!$L97,$N$4:$O$5,2,FALSE),IF(AND($Z90="a",Inventory!$AC97=""),"a",IF(AND($Z90="a",Inventory!$AC97&lt;&gt;""),VLOOKUP(Inventory!$AC97,$N$4:$O$5,2,FALSE),IF(AND($Z90="c",Inventory!$AC97=""),"a",IF(AND($Z90="c",Inventory!$AC97&lt;&gt;""),VLOOKUP(Inventory!$AC97,$N$4:$O$5,2,FALSE),"a")))))))</f>
        <v>a</v>
      </c>
      <c r="AE90" s="474">
        <f>IF(OR(Inventory!C97="New Construction",Inventory!C97="Replace-on-Burnout"),Inventory!AF97,IF(Inventory!C97="Early Retirement",MIN(Inventory!AE97,Inventory!AF97),0))</f>
        <v>0</v>
      </c>
      <c r="AF90" s="475" t="str">
        <f t="shared" si="62"/>
        <v/>
      </c>
      <c r="AG90" s="475" t="str">
        <f t="shared" si="50"/>
        <v/>
      </c>
      <c r="AH90" s="475" t="str">
        <f t="shared" si="51"/>
        <v/>
      </c>
      <c r="AI90" s="475" t="str">
        <f t="shared" si="52"/>
        <v/>
      </c>
      <c r="AJ90" s="475" t="str">
        <f t="shared" si="53"/>
        <v/>
      </c>
      <c r="AK90" s="475" t="str">
        <f t="shared" si="63"/>
        <v/>
      </c>
      <c r="AL90" s="475" t="str">
        <f t="shared" si="64"/>
        <v/>
      </c>
      <c r="AM90" s="475" t="str">
        <f t="shared" si="65"/>
        <v/>
      </c>
      <c r="AN90" s="475" t="str">
        <f t="shared" si="66"/>
        <v/>
      </c>
      <c r="AO90" s="475" t="str">
        <f t="shared" si="67"/>
        <v/>
      </c>
      <c r="AP90" s="475" t="str">
        <f t="shared" si="68"/>
        <v/>
      </c>
      <c r="AQ90" s="475" t="str">
        <f t="shared" si="69"/>
        <v/>
      </c>
      <c r="AR90" s="475" t="str">
        <f t="shared" si="70"/>
        <v/>
      </c>
      <c r="AS90" s="475" t="str">
        <f t="shared" si="71"/>
        <v/>
      </c>
      <c r="AT90" s="475" t="str">
        <f t="shared" si="72"/>
        <v/>
      </c>
      <c r="AU90" s="475" t="str">
        <f t="shared" si="73"/>
        <v/>
      </c>
      <c r="AV90" s="475" t="str">
        <f t="shared" si="54"/>
        <v/>
      </c>
      <c r="AW90" s="473">
        <f t="shared" si="55"/>
        <v>0</v>
      </c>
      <c r="AX90" s="473" t="str">
        <f>IF(AND($Z90="b",OR($AA90="a",$AA90="b"),Inventory!$I97="",$AE90&lt;(65000/12000)),"x",IF(AND($Z90="b",OR($AA90="a",$AA90="b"),Inventory!$I97&lt;&gt;"",$AE90&lt;(65000/12000)),VLOOKUP(Inventory!$I97,$V$4:$W$5,2,FALSE),"x"))</f>
        <v>x</v>
      </c>
      <c r="AY90" s="476" t="str">
        <f t="shared" si="74"/>
        <v>aaa0</v>
      </c>
      <c r="AZ90" s="477" t="str">
        <f t="shared" si="75"/>
        <v>No</v>
      </c>
      <c r="BA90" s="759" t="str">
        <f t="shared" si="76"/>
        <v>No</v>
      </c>
      <c r="BB90" s="477">
        <f>IF($Z90="c",Inventory!$AB97,Inventory!$K97)</f>
        <v>0</v>
      </c>
      <c r="BC90" s="478">
        <f>IF(AND($Z90="b",Inventory!$N97="Btu/hr"),Inventory!$M97,IF(AND($Z90="b",Inventory!$N97="Tons"),Inventory!$M97*12000,IF(AND($Z90&lt;&gt;"b",Inventory!$AK97="Btu/hr"),Inventory!$AD97,IF(AND($Z90&lt;&gt;"b",Inventory!$AK97="Tons"),Inventory!$AD97*12000,0))))</f>
        <v>0</v>
      </c>
      <c r="BD90" s="478">
        <f t="shared" si="46"/>
        <v>0</v>
      </c>
      <c r="BE90" s="479">
        <f t="shared" si="77"/>
        <v>0</v>
      </c>
      <c r="BF90" s="477" t="s">
        <v>50</v>
      </c>
      <c r="BG90" s="479">
        <f t="shared" si="56"/>
        <v>0</v>
      </c>
      <c r="BH90" s="477" t="s">
        <v>46</v>
      </c>
      <c r="BI90" s="760">
        <f>IF(AND($Z90="b",Inventory!$P97="Btu/hr"),Inventory!$O97,IF(AND($Z90="b",Inventory!$P97="Tons"),Inventory!$O97*12000,IF(AND($Z90&lt;&gt;"b",Inventory!$AM97="Btu/hr"),Inventory!$AL97,IF(AND($Z90&lt;&gt;"b",Inventory!$AM97="Tons"),Inventory!$AL97*12000,0))))</f>
        <v>0</v>
      </c>
      <c r="BJ90" s="760">
        <f t="shared" si="47"/>
        <v>0</v>
      </c>
      <c r="BK90" s="598">
        <f t="shared" si="78"/>
        <v>0</v>
      </c>
      <c r="BL90" s="759" t="s">
        <v>567</v>
      </c>
      <c r="BM90" s="477" t="str">
        <f t="shared" si="57"/>
        <v>No</v>
      </c>
      <c r="BN90" s="477" t="str">
        <f>IF(OR(Inventory!$H97="",$BM90="No"),"-",Inventory!$H97)</f>
        <v>-</v>
      </c>
      <c r="BO90" s="477" t="str">
        <f>IFERROR(VLOOKUP(BN90,'Early Retirement'!$B$6:$C$33,2,FALSE),"-")</f>
        <v>-</v>
      </c>
      <c r="BP90" s="477" t="str">
        <f>IF(Inventory!$J97="Centrifugal","Yes","No")</f>
        <v>No</v>
      </c>
      <c r="BQ90" s="477">
        <f t="shared" si="79"/>
        <v>0</v>
      </c>
      <c r="BR90" s="477" t="str">
        <f t="shared" si="80"/>
        <v>-</v>
      </c>
      <c r="BS90" s="479">
        <f>IFERROR(INDEX('Early Retirement'!$C$4:$AC$33,$BO90,$BR90),0)</f>
        <v>0</v>
      </c>
      <c r="BT90" s="477">
        <f>IFERROR(HLOOKUP($BR90,'Early Retirement'!$D$4:$AC$5,2,FALSE),0)</f>
        <v>0</v>
      </c>
      <c r="BU90" s="761">
        <f>IFERROR(INDEX('Early Retirement'!$AE$4:$BE$33,$BO90,$BR90),0)</f>
        <v>0</v>
      </c>
      <c r="BV90" s="759">
        <f>IFERROR(HLOOKUP($BR90,'Early Retirement'!$AF$4:$BE$5,2,FALSE),0)</f>
        <v>0</v>
      </c>
      <c r="BW90" s="479">
        <f t="shared" si="87"/>
        <v>0</v>
      </c>
      <c r="BX90" s="761">
        <f t="shared" si="81"/>
        <v>0</v>
      </c>
      <c r="BY90" s="477" t="s">
        <v>46</v>
      </c>
      <c r="BZ90" s="598">
        <f>IFERROR(INDEX('Early Retirement'!$BG$4:$CG$33,$BO90,$BR90),0)</f>
        <v>0</v>
      </c>
      <c r="CA90" s="759">
        <f>IFERROR(HLOOKUP($BR90,'Early Retirement'!$BH$4:$CH$5,2,FALSE),0)</f>
        <v>0</v>
      </c>
      <c r="CB90" s="598">
        <f t="shared" si="82"/>
        <v>0</v>
      </c>
      <c r="CC90" s="759" t="s">
        <v>567</v>
      </c>
      <c r="CD90" s="477" t="str">
        <f t="shared" si="58"/>
        <v>Yes</v>
      </c>
      <c r="CE90" s="479">
        <f t="shared" si="59"/>
        <v>0</v>
      </c>
      <c r="CF90" s="761">
        <f t="shared" si="60"/>
        <v>0</v>
      </c>
      <c r="CG90" s="759" t="s">
        <v>46</v>
      </c>
      <c r="CH90" s="598">
        <f t="shared" si="83"/>
        <v>0</v>
      </c>
      <c r="CI90" s="759" t="s">
        <v>567</v>
      </c>
      <c r="CJ90" s="480">
        <f t="shared" si="84"/>
        <v>0</v>
      </c>
      <c r="CK90" s="583">
        <f t="shared" si="85"/>
        <v>0</v>
      </c>
      <c r="CL90" s="596" t="s">
        <v>46</v>
      </c>
      <c r="CM90" s="581">
        <f t="shared" si="86"/>
        <v>0</v>
      </c>
      <c r="CN90" s="762" t="s">
        <v>567</v>
      </c>
      <c r="CP90" s="90" t="s">
        <v>206</v>
      </c>
      <c r="CQ90" s="124">
        <v>9.5619999999999994</v>
      </c>
      <c r="CR90" s="307" t="s">
        <v>50</v>
      </c>
      <c r="CS90" s="645">
        <v>12.75</v>
      </c>
      <c r="CT90" s="551" t="s">
        <v>559</v>
      </c>
      <c r="CU90" s="645">
        <f t="shared" si="89"/>
        <v>1.2549675800041833</v>
      </c>
      <c r="CV90" s="645">
        <f t="shared" si="90"/>
        <v>0.94117647058823528</v>
      </c>
      <c r="CW90" s="633" t="s">
        <v>46</v>
      </c>
      <c r="CX90" s="606"/>
      <c r="CY90" s="589"/>
      <c r="CZ90" s="606"/>
      <c r="DA90" s="609"/>
      <c r="DB90" s="562"/>
      <c r="DC90" s="562"/>
      <c r="DD90" s="562"/>
      <c r="DE90" s="562"/>
      <c r="DF90" s="562"/>
      <c r="DG90" s="562"/>
      <c r="DH90" s="562"/>
      <c r="DI90" s="562"/>
      <c r="DJ90" s="562"/>
      <c r="DK90" s="562"/>
      <c r="DL90" s="562"/>
      <c r="DM90" s="562"/>
      <c r="DN90" s="562"/>
      <c r="DO90" s="562"/>
      <c r="DP90" s="562"/>
      <c r="DQ90" s="562"/>
      <c r="DR90" s="562"/>
      <c r="DS90" s="562"/>
      <c r="DT90" s="562"/>
      <c r="DU90" s="562"/>
      <c r="DV90" s="562"/>
      <c r="DW90" s="562"/>
      <c r="DX90" s="562"/>
      <c r="DY90" s="562"/>
      <c r="DZ90" s="562"/>
      <c r="EA90" s="562"/>
      <c r="EB90" s="562"/>
      <c r="EC90" s="562"/>
      <c r="ED90" s="562"/>
      <c r="EE90" s="562"/>
      <c r="EF90" s="562"/>
      <c r="EG90" s="562"/>
      <c r="EH90" s="562"/>
      <c r="EI90" s="562"/>
      <c r="EJ90" s="562"/>
      <c r="EK90" s="562"/>
      <c r="EL90" s="562"/>
    </row>
    <row r="91" spans="2:142" s="78" customFormat="1" ht="15" customHeight="1" x14ac:dyDescent="0.25">
      <c r="B91" s="77"/>
      <c r="E91" s="77"/>
      <c r="H91" s="77"/>
      <c r="U91" s="79"/>
      <c r="V91" s="79"/>
      <c r="W91" s="79"/>
      <c r="Y91" s="90">
        <v>89</v>
      </c>
      <c r="Z91" s="559" t="str">
        <f>IF(Inventory!$C98="","",VLOOKUP(Inventory!$C98,$B$3:$C$5,2,FALSE))</f>
        <v/>
      </c>
      <c r="AA91" s="559" t="str">
        <f>IF($Z91="","",IF(AND($Z91="b",Inventory!$G98=""),"",IF(AND($Z91="b",Inventory!$G98&lt;&gt;""),VLOOKUP(Inventory!$G98,$E$3:$F$10,2,FALSE),IF(AND($Z91="a",Inventory!$Z98=""),"",IF(AND($Z91="a",Inventory!$Z98&lt;&gt;""),VLOOKUP(Inventory!$Z98,$E$3:$F$10,2,FALSE),IF(AND($Z91="c",Inventory!$Z98=""),"",IF(AND($Z91="c",Inventory!$Z98&lt;&gt;""),VLOOKUP(Inventory!$Z98,$E$3:$F$10,2,FALSE),"")))))))</f>
        <v/>
      </c>
      <c r="AB91" s="559" t="str">
        <f>IF($Z91="","a",IF(AND($Z91="b",Inventory!$J98=""),"a",IF(AND($Z91="b",Inventory!$J98&lt;&gt;""),VLOOKUP(Inventory!$J98,$H$4:$I$6,2,FALSE),IF(AND($Z91="a",Inventory!$AA98=""),"a",IF(AND($Z91="a",Inventory!$AA98&lt;&gt;""),VLOOKUP(Inventory!$AA98,$H$4:$I$6,2,FALSE),IF(AND($Z91="c",Inventory!$AA98=""),"a",IF(AND($Z91="c",Inventory!$AA98&lt;&gt;""),VLOOKUP(Inventory!$AA98,$H$4:$I$6,2,FALSE),"a")))))))</f>
        <v>a</v>
      </c>
      <c r="AC91" s="559" t="str">
        <f t="shared" si="61"/>
        <v>a</v>
      </c>
      <c r="AD91" s="473" t="str">
        <f>IF($Z91="","a",IF(AND($Z91="b",Inventory!$L98=""),"a",IF(AND($Z91="b",Inventory!$L98&lt;&gt;""),VLOOKUP(Inventory!$L98,$N$4:$O$5,2,FALSE),IF(AND($Z91="a",Inventory!$AC98=""),"a",IF(AND($Z91="a",Inventory!$AC98&lt;&gt;""),VLOOKUP(Inventory!$AC98,$N$4:$O$5,2,FALSE),IF(AND($Z91="c",Inventory!$AC98=""),"a",IF(AND($Z91="c",Inventory!$AC98&lt;&gt;""),VLOOKUP(Inventory!$AC98,$N$4:$O$5,2,FALSE),"a")))))))</f>
        <v>a</v>
      </c>
      <c r="AE91" s="474">
        <f>IF(OR(Inventory!C98="New Construction",Inventory!C98="Replace-on-Burnout"),Inventory!AF98,IF(Inventory!C98="Early Retirement",MIN(Inventory!AE98,Inventory!AF98),0))</f>
        <v>0</v>
      </c>
      <c r="AF91" s="475" t="str">
        <f t="shared" si="62"/>
        <v/>
      </c>
      <c r="AG91" s="475" t="str">
        <f t="shared" si="50"/>
        <v/>
      </c>
      <c r="AH91" s="475" t="str">
        <f t="shared" si="51"/>
        <v/>
      </c>
      <c r="AI91" s="475" t="str">
        <f t="shared" si="52"/>
        <v/>
      </c>
      <c r="AJ91" s="475" t="str">
        <f t="shared" si="53"/>
        <v/>
      </c>
      <c r="AK91" s="475" t="str">
        <f t="shared" si="63"/>
        <v/>
      </c>
      <c r="AL91" s="475" t="str">
        <f t="shared" si="64"/>
        <v/>
      </c>
      <c r="AM91" s="475" t="str">
        <f t="shared" si="65"/>
        <v/>
      </c>
      <c r="AN91" s="475" t="str">
        <f t="shared" si="66"/>
        <v/>
      </c>
      <c r="AO91" s="475" t="str">
        <f t="shared" si="67"/>
        <v/>
      </c>
      <c r="AP91" s="475" t="str">
        <f t="shared" si="68"/>
        <v/>
      </c>
      <c r="AQ91" s="475" t="str">
        <f t="shared" si="69"/>
        <v/>
      </c>
      <c r="AR91" s="475" t="str">
        <f t="shared" si="70"/>
        <v/>
      </c>
      <c r="AS91" s="475" t="str">
        <f t="shared" si="71"/>
        <v/>
      </c>
      <c r="AT91" s="475" t="str">
        <f t="shared" si="72"/>
        <v/>
      </c>
      <c r="AU91" s="475" t="str">
        <f t="shared" si="73"/>
        <v/>
      </c>
      <c r="AV91" s="475" t="str">
        <f t="shared" si="54"/>
        <v/>
      </c>
      <c r="AW91" s="473">
        <f t="shared" si="55"/>
        <v>0</v>
      </c>
      <c r="AX91" s="473" t="str">
        <f>IF(AND($Z91="b",OR($AA91="a",$AA91="b"),Inventory!$I98="",$AE91&lt;(65000/12000)),"x",IF(AND($Z91="b",OR($AA91="a",$AA91="b"),Inventory!$I98&lt;&gt;"",$AE91&lt;(65000/12000)),VLOOKUP(Inventory!$I98,$V$4:$W$5,2,FALSE),"x"))</f>
        <v>x</v>
      </c>
      <c r="AY91" s="476" t="str">
        <f t="shared" si="74"/>
        <v>aaa0</v>
      </c>
      <c r="AZ91" s="477" t="str">
        <f t="shared" si="75"/>
        <v>No</v>
      </c>
      <c r="BA91" s="759" t="str">
        <f t="shared" si="76"/>
        <v>No</v>
      </c>
      <c r="BB91" s="477">
        <f>IF($Z91="c",Inventory!$AB98,Inventory!$K98)</f>
        <v>0</v>
      </c>
      <c r="BC91" s="478">
        <f>IF(AND($Z91="b",Inventory!$N98="Btu/hr"),Inventory!$M98,IF(AND($Z91="b",Inventory!$N98="Tons"),Inventory!$M98*12000,IF(AND($Z91&lt;&gt;"b",Inventory!$AK98="Btu/hr"),Inventory!$AD98,IF(AND($Z91&lt;&gt;"b",Inventory!$AK98="Tons"),Inventory!$AD98*12000,0))))</f>
        <v>0</v>
      </c>
      <c r="BD91" s="478">
        <f t="shared" si="46"/>
        <v>0</v>
      </c>
      <c r="BE91" s="479">
        <f t="shared" si="77"/>
        <v>0</v>
      </c>
      <c r="BF91" s="477" t="s">
        <v>50</v>
      </c>
      <c r="BG91" s="479">
        <f t="shared" si="56"/>
        <v>0</v>
      </c>
      <c r="BH91" s="477" t="s">
        <v>46</v>
      </c>
      <c r="BI91" s="760">
        <f>IF(AND($Z91="b",Inventory!$P98="Btu/hr"),Inventory!$O98,IF(AND($Z91="b",Inventory!$P98="Tons"),Inventory!$O98*12000,IF(AND($Z91&lt;&gt;"b",Inventory!$AM98="Btu/hr"),Inventory!$AL98,IF(AND($Z91&lt;&gt;"b",Inventory!$AM98="Tons"),Inventory!$AL98*12000,0))))</f>
        <v>0</v>
      </c>
      <c r="BJ91" s="760">
        <f t="shared" si="47"/>
        <v>0</v>
      </c>
      <c r="BK91" s="598">
        <f t="shared" si="78"/>
        <v>0</v>
      </c>
      <c r="BL91" s="759" t="s">
        <v>567</v>
      </c>
      <c r="BM91" s="477" t="str">
        <f t="shared" si="57"/>
        <v>No</v>
      </c>
      <c r="BN91" s="477" t="str">
        <f>IF(OR(Inventory!$H98="",$BM91="No"),"-",Inventory!$H98)</f>
        <v>-</v>
      </c>
      <c r="BO91" s="477" t="str">
        <f>IFERROR(VLOOKUP(BN91,'Early Retirement'!$B$6:$C$33,2,FALSE),"-")</f>
        <v>-</v>
      </c>
      <c r="BP91" s="477" t="str">
        <f>IF(Inventory!$J98="Centrifugal","Yes","No")</f>
        <v>No</v>
      </c>
      <c r="BQ91" s="477">
        <f t="shared" si="79"/>
        <v>0</v>
      </c>
      <c r="BR91" s="477" t="str">
        <f t="shared" si="80"/>
        <v>-</v>
      </c>
      <c r="BS91" s="479">
        <f>IFERROR(INDEX('Early Retirement'!$C$4:$AC$33,$BO91,$BR91),0)</f>
        <v>0</v>
      </c>
      <c r="BT91" s="477">
        <f>IFERROR(HLOOKUP($BR91,'Early Retirement'!$D$4:$AC$5,2,FALSE),0)</f>
        <v>0</v>
      </c>
      <c r="BU91" s="761">
        <f>IFERROR(INDEX('Early Retirement'!$AE$4:$BE$33,$BO91,$BR91),0)</f>
        <v>0</v>
      </c>
      <c r="BV91" s="759">
        <f>IFERROR(HLOOKUP($BR91,'Early Retirement'!$AF$4:$BE$5,2,FALSE),0)</f>
        <v>0</v>
      </c>
      <c r="BW91" s="479">
        <f t="shared" si="87"/>
        <v>0</v>
      </c>
      <c r="BX91" s="761">
        <f t="shared" si="81"/>
        <v>0</v>
      </c>
      <c r="BY91" s="477" t="s">
        <v>46</v>
      </c>
      <c r="BZ91" s="598">
        <f>IFERROR(INDEX('Early Retirement'!$BG$4:$CG$33,$BO91,$BR91),0)</f>
        <v>0</v>
      </c>
      <c r="CA91" s="759">
        <f>IFERROR(HLOOKUP($BR91,'Early Retirement'!$BH$4:$CH$5,2,FALSE),0)</f>
        <v>0</v>
      </c>
      <c r="CB91" s="598">
        <f t="shared" si="82"/>
        <v>0</v>
      </c>
      <c r="CC91" s="759" t="s">
        <v>567</v>
      </c>
      <c r="CD91" s="477" t="str">
        <f t="shared" si="58"/>
        <v>Yes</v>
      </c>
      <c r="CE91" s="479">
        <f t="shared" si="59"/>
        <v>0</v>
      </c>
      <c r="CF91" s="761">
        <f t="shared" si="60"/>
        <v>0</v>
      </c>
      <c r="CG91" s="759" t="s">
        <v>46</v>
      </c>
      <c r="CH91" s="598">
        <f t="shared" si="83"/>
        <v>0</v>
      </c>
      <c r="CI91" s="759" t="s">
        <v>567</v>
      </c>
      <c r="CJ91" s="480">
        <f t="shared" si="84"/>
        <v>0</v>
      </c>
      <c r="CK91" s="583">
        <f t="shared" si="85"/>
        <v>0</v>
      </c>
      <c r="CL91" s="596" t="s">
        <v>46</v>
      </c>
      <c r="CM91" s="581">
        <f t="shared" si="86"/>
        <v>0</v>
      </c>
      <c r="CN91" s="762" t="s">
        <v>567</v>
      </c>
      <c r="CP91" s="90" t="s">
        <v>207</v>
      </c>
      <c r="CQ91" s="124">
        <v>9.5619999999999994</v>
      </c>
      <c r="CR91" s="307" t="s">
        <v>50</v>
      </c>
      <c r="CS91" s="645">
        <v>12.75</v>
      </c>
      <c r="CT91" s="551" t="s">
        <v>559</v>
      </c>
      <c r="CU91" s="645">
        <f t="shared" si="89"/>
        <v>1.2549675800041833</v>
      </c>
      <c r="CV91" s="645">
        <f t="shared" si="90"/>
        <v>0.94117647058823528</v>
      </c>
      <c r="CW91" s="633" t="s">
        <v>46</v>
      </c>
      <c r="CX91" s="606"/>
      <c r="CY91" s="589"/>
      <c r="CZ91" s="606"/>
      <c r="DA91" s="609"/>
      <c r="DB91" s="562"/>
      <c r="DC91" s="562"/>
      <c r="DD91" s="562"/>
      <c r="DE91" s="562"/>
      <c r="DF91" s="562"/>
      <c r="DG91" s="562"/>
      <c r="DH91" s="562"/>
      <c r="DI91" s="562"/>
      <c r="DJ91" s="562"/>
      <c r="DK91" s="562"/>
      <c r="DL91" s="562"/>
      <c r="DM91" s="562"/>
      <c r="DN91" s="562"/>
      <c r="DO91" s="562"/>
      <c r="DP91" s="562"/>
      <c r="DQ91" s="562"/>
      <c r="DR91" s="562"/>
      <c r="DS91" s="562"/>
      <c r="DT91" s="562"/>
      <c r="DU91" s="562"/>
      <c r="DV91" s="562"/>
      <c r="DW91" s="562"/>
      <c r="DX91" s="562"/>
      <c r="DY91" s="562"/>
      <c r="DZ91" s="562"/>
      <c r="EA91" s="562"/>
      <c r="EB91" s="562"/>
      <c r="EC91" s="562"/>
      <c r="ED91" s="562"/>
      <c r="EE91" s="562"/>
      <c r="EF91" s="562"/>
      <c r="EG91" s="562"/>
      <c r="EH91" s="562"/>
      <c r="EI91" s="562"/>
      <c r="EJ91" s="562"/>
      <c r="EK91" s="562"/>
      <c r="EL91" s="562"/>
    </row>
    <row r="92" spans="2:142" s="78" customFormat="1" ht="15" customHeight="1" x14ac:dyDescent="0.25">
      <c r="B92" s="77"/>
      <c r="E92" s="77"/>
      <c r="H92" s="77"/>
      <c r="U92" s="79"/>
      <c r="V92" s="79"/>
      <c r="W92" s="79"/>
      <c r="Y92" s="90">
        <v>90</v>
      </c>
      <c r="Z92" s="559" t="str">
        <f>IF(Inventory!$C99="","",VLOOKUP(Inventory!$C99,$B$3:$C$5,2,FALSE))</f>
        <v/>
      </c>
      <c r="AA92" s="559" t="str">
        <f>IF($Z92="","",IF(AND($Z92="b",Inventory!$G99=""),"",IF(AND($Z92="b",Inventory!$G99&lt;&gt;""),VLOOKUP(Inventory!$G99,$E$3:$F$10,2,FALSE),IF(AND($Z92="a",Inventory!$Z99=""),"",IF(AND($Z92="a",Inventory!$Z99&lt;&gt;""),VLOOKUP(Inventory!$Z99,$E$3:$F$10,2,FALSE),IF(AND($Z92="c",Inventory!$Z99=""),"",IF(AND($Z92="c",Inventory!$Z99&lt;&gt;""),VLOOKUP(Inventory!$Z99,$E$3:$F$10,2,FALSE),"")))))))</f>
        <v/>
      </c>
      <c r="AB92" s="559" t="str">
        <f>IF($Z92="","a",IF(AND($Z92="b",Inventory!$J99=""),"a",IF(AND($Z92="b",Inventory!$J99&lt;&gt;""),VLOOKUP(Inventory!$J99,$H$4:$I$6,2,FALSE),IF(AND($Z92="a",Inventory!$AA99=""),"a",IF(AND($Z92="a",Inventory!$AA99&lt;&gt;""),VLOOKUP(Inventory!$AA99,$H$4:$I$6,2,FALSE),IF(AND($Z92="c",Inventory!$AA99=""),"a",IF(AND($Z92="c",Inventory!$AA99&lt;&gt;""),VLOOKUP(Inventory!$AA99,$H$4:$I$6,2,FALSE),"a")))))))</f>
        <v>a</v>
      </c>
      <c r="AC92" s="559" t="str">
        <f t="shared" si="61"/>
        <v>a</v>
      </c>
      <c r="AD92" s="473" t="str">
        <f>IF($Z92="","a",IF(AND($Z92="b",Inventory!$L99=""),"a",IF(AND($Z92="b",Inventory!$L99&lt;&gt;""),VLOOKUP(Inventory!$L99,$N$4:$O$5,2,FALSE),IF(AND($Z92="a",Inventory!$AC99=""),"a",IF(AND($Z92="a",Inventory!$AC99&lt;&gt;""),VLOOKUP(Inventory!$AC99,$N$4:$O$5,2,FALSE),IF(AND($Z92="c",Inventory!$AC99=""),"a",IF(AND($Z92="c",Inventory!$AC99&lt;&gt;""),VLOOKUP(Inventory!$AC99,$N$4:$O$5,2,FALSE),"a")))))))</f>
        <v>a</v>
      </c>
      <c r="AE92" s="474">
        <f>IF(OR(Inventory!C99="New Construction",Inventory!C99="Replace-on-Burnout"),Inventory!AF99,IF(Inventory!C99="Early Retirement",MIN(Inventory!AE99,Inventory!AF99),0))</f>
        <v>0</v>
      </c>
      <c r="AF92" s="475" t="str">
        <f t="shared" si="62"/>
        <v/>
      </c>
      <c r="AG92" s="475" t="str">
        <f t="shared" si="50"/>
        <v/>
      </c>
      <c r="AH92" s="475" t="str">
        <f t="shared" si="51"/>
        <v/>
      </c>
      <c r="AI92" s="475" t="str">
        <f t="shared" si="52"/>
        <v/>
      </c>
      <c r="AJ92" s="475" t="str">
        <f t="shared" si="53"/>
        <v/>
      </c>
      <c r="AK92" s="475" t="str">
        <f t="shared" si="63"/>
        <v/>
      </c>
      <c r="AL92" s="475" t="str">
        <f t="shared" si="64"/>
        <v/>
      </c>
      <c r="AM92" s="475" t="str">
        <f t="shared" si="65"/>
        <v/>
      </c>
      <c r="AN92" s="475" t="str">
        <f t="shared" si="66"/>
        <v/>
      </c>
      <c r="AO92" s="475" t="str">
        <f t="shared" si="67"/>
        <v/>
      </c>
      <c r="AP92" s="475" t="str">
        <f t="shared" si="68"/>
        <v/>
      </c>
      <c r="AQ92" s="475" t="str">
        <f t="shared" si="69"/>
        <v/>
      </c>
      <c r="AR92" s="475" t="str">
        <f t="shared" si="70"/>
        <v/>
      </c>
      <c r="AS92" s="475" t="str">
        <f t="shared" si="71"/>
        <v/>
      </c>
      <c r="AT92" s="475" t="str">
        <f t="shared" si="72"/>
        <v/>
      </c>
      <c r="AU92" s="475" t="str">
        <f t="shared" si="73"/>
        <v/>
      </c>
      <c r="AV92" s="475" t="str">
        <f t="shared" si="54"/>
        <v/>
      </c>
      <c r="AW92" s="473">
        <f t="shared" si="55"/>
        <v>0</v>
      </c>
      <c r="AX92" s="473" t="str">
        <f>IF(AND($Z92="b",OR($AA92="a",$AA92="b"),Inventory!$I99="",$AE92&lt;(65000/12000)),"x",IF(AND($Z92="b",OR($AA92="a",$AA92="b"),Inventory!$I99&lt;&gt;"",$AE92&lt;(65000/12000)),VLOOKUP(Inventory!$I99,$V$4:$W$5,2,FALSE),"x"))</f>
        <v>x</v>
      </c>
      <c r="AY92" s="476" t="str">
        <f t="shared" si="74"/>
        <v>aaa0</v>
      </c>
      <c r="AZ92" s="477" t="str">
        <f t="shared" si="75"/>
        <v>No</v>
      </c>
      <c r="BA92" s="759" t="str">
        <f t="shared" si="76"/>
        <v>No</v>
      </c>
      <c r="BB92" s="477">
        <f>IF($Z92="c",Inventory!$AB99,Inventory!$K99)</f>
        <v>0</v>
      </c>
      <c r="BC92" s="478">
        <f>IF(AND($Z92="b",Inventory!$N99="Btu/hr"),Inventory!$M99,IF(AND($Z92="b",Inventory!$N99="Tons"),Inventory!$M99*12000,IF(AND($Z92&lt;&gt;"b",Inventory!$AK99="Btu/hr"),Inventory!$AD99,IF(AND($Z92&lt;&gt;"b",Inventory!$AK99="Tons"),Inventory!$AD99*12000,0))))</f>
        <v>0</v>
      </c>
      <c r="BD92" s="478">
        <f t="shared" si="46"/>
        <v>0</v>
      </c>
      <c r="BE92" s="479">
        <f t="shared" si="77"/>
        <v>0</v>
      </c>
      <c r="BF92" s="477" t="s">
        <v>50</v>
      </c>
      <c r="BG92" s="479">
        <f t="shared" si="56"/>
        <v>0</v>
      </c>
      <c r="BH92" s="477" t="s">
        <v>46</v>
      </c>
      <c r="BI92" s="760">
        <f>IF(AND($Z92="b",Inventory!$P99="Btu/hr"),Inventory!$O99,IF(AND($Z92="b",Inventory!$P99="Tons"),Inventory!$O99*12000,IF(AND($Z92&lt;&gt;"b",Inventory!$AM99="Btu/hr"),Inventory!$AL99,IF(AND($Z92&lt;&gt;"b",Inventory!$AM99="Tons"),Inventory!$AL99*12000,0))))</f>
        <v>0</v>
      </c>
      <c r="BJ92" s="760">
        <f t="shared" si="47"/>
        <v>0</v>
      </c>
      <c r="BK92" s="598">
        <f t="shared" si="78"/>
        <v>0</v>
      </c>
      <c r="BL92" s="759" t="s">
        <v>567</v>
      </c>
      <c r="BM92" s="477" t="str">
        <f t="shared" si="57"/>
        <v>No</v>
      </c>
      <c r="BN92" s="477" t="str">
        <f>IF(OR(Inventory!$H99="",$BM92="No"),"-",Inventory!$H99)</f>
        <v>-</v>
      </c>
      <c r="BO92" s="477" t="str">
        <f>IFERROR(VLOOKUP(BN92,'Early Retirement'!$B$6:$C$33,2,FALSE),"-")</f>
        <v>-</v>
      </c>
      <c r="BP92" s="477" t="str">
        <f>IF(Inventory!$J99="Centrifugal","Yes","No")</f>
        <v>No</v>
      </c>
      <c r="BQ92" s="477">
        <f t="shared" si="79"/>
        <v>0</v>
      </c>
      <c r="BR92" s="477" t="str">
        <f t="shared" si="80"/>
        <v>-</v>
      </c>
      <c r="BS92" s="479">
        <f>IFERROR(INDEX('Early Retirement'!$C$4:$AC$33,$BO92,$BR92),0)</f>
        <v>0</v>
      </c>
      <c r="BT92" s="477">
        <f>IFERROR(HLOOKUP($BR92,'Early Retirement'!$D$4:$AC$5,2,FALSE),0)</f>
        <v>0</v>
      </c>
      <c r="BU92" s="761">
        <f>IFERROR(INDEX('Early Retirement'!$AE$4:$BE$33,$BO92,$BR92),0)</f>
        <v>0</v>
      </c>
      <c r="BV92" s="759">
        <f>IFERROR(HLOOKUP($BR92,'Early Retirement'!$AF$4:$BE$5,2,FALSE),0)</f>
        <v>0</v>
      </c>
      <c r="BW92" s="479">
        <f t="shared" si="87"/>
        <v>0</v>
      </c>
      <c r="BX92" s="761">
        <f t="shared" si="81"/>
        <v>0</v>
      </c>
      <c r="BY92" s="477" t="s">
        <v>46</v>
      </c>
      <c r="BZ92" s="598">
        <f>IFERROR(INDEX('Early Retirement'!$BG$4:$CG$33,$BO92,$BR92),0)</f>
        <v>0</v>
      </c>
      <c r="CA92" s="759">
        <f>IFERROR(HLOOKUP($BR92,'Early Retirement'!$BH$4:$CH$5,2,FALSE),0)</f>
        <v>0</v>
      </c>
      <c r="CB92" s="598">
        <f t="shared" si="82"/>
        <v>0</v>
      </c>
      <c r="CC92" s="759" t="s">
        <v>567</v>
      </c>
      <c r="CD92" s="477" t="str">
        <f t="shared" si="58"/>
        <v>Yes</v>
      </c>
      <c r="CE92" s="479">
        <f t="shared" si="59"/>
        <v>0</v>
      </c>
      <c r="CF92" s="761">
        <f t="shared" si="60"/>
        <v>0</v>
      </c>
      <c r="CG92" s="759" t="s">
        <v>46</v>
      </c>
      <c r="CH92" s="598">
        <f t="shared" si="83"/>
        <v>0</v>
      </c>
      <c r="CI92" s="759" t="s">
        <v>567</v>
      </c>
      <c r="CJ92" s="480">
        <f t="shared" si="84"/>
        <v>0</v>
      </c>
      <c r="CK92" s="583">
        <f t="shared" si="85"/>
        <v>0</v>
      </c>
      <c r="CL92" s="596" t="s">
        <v>46</v>
      </c>
      <c r="CM92" s="581">
        <f t="shared" si="86"/>
        <v>0</v>
      </c>
      <c r="CN92" s="762" t="s">
        <v>567</v>
      </c>
      <c r="CP92" s="90" t="s">
        <v>511</v>
      </c>
      <c r="CQ92" s="124">
        <v>9.5619999999999994</v>
      </c>
      <c r="CR92" s="307" t="s">
        <v>50</v>
      </c>
      <c r="CS92" s="645">
        <v>12.75</v>
      </c>
      <c r="CT92" s="551" t="s">
        <v>559</v>
      </c>
      <c r="CU92" s="645">
        <f t="shared" si="89"/>
        <v>1.2549675800041833</v>
      </c>
      <c r="CV92" s="645">
        <f t="shared" si="90"/>
        <v>0.94117647058823528</v>
      </c>
      <c r="CW92" s="633" t="s">
        <v>46</v>
      </c>
      <c r="CX92" s="606"/>
      <c r="CY92" s="589"/>
      <c r="CZ92" s="606"/>
      <c r="DA92" s="609"/>
      <c r="DB92" s="562"/>
      <c r="DC92" s="562"/>
      <c r="DD92" s="562"/>
      <c r="DE92" s="562"/>
      <c r="DF92" s="562"/>
      <c r="DG92" s="562"/>
      <c r="DH92" s="562"/>
      <c r="DI92" s="562"/>
      <c r="DJ92" s="562"/>
      <c r="DK92" s="562"/>
      <c r="DL92" s="562"/>
      <c r="DM92" s="562"/>
      <c r="DN92" s="562"/>
      <c r="DO92" s="562"/>
      <c r="DP92" s="562"/>
      <c r="DQ92" s="562"/>
      <c r="DR92" s="562"/>
      <c r="DS92" s="562"/>
      <c r="DT92" s="562"/>
      <c r="DU92" s="562"/>
      <c r="DV92" s="562"/>
      <c r="DW92" s="562"/>
      <c r="DX92" s="562"/>
      <c r="DY92" s="562"/>
      <c r="DZ92" s="562"/>
      <c r="EA92" s="562"/>
      <c r="EB92" s="562"/>
      <c r="EC92" s="562"/>
      <c r="ED92" s="562"/>
      <c r="EE92" s="562"/>
      <c r="EF92" s="562"/>
      <c r="EG92" s="562"/>
      <c r="EH92" s="562"/>
      <c r="EI92" s="562"/>
      <c r="EJ92" s="562"/>
      <c r="EK92" s="562"/>
      <c r="EL92" s="562"/>
    </row>
    <row r="93" spans="2:142" s="78" customFormat="1" ht="15" customHeight="1" x14ac:dyDescent="0.25">
      <c r="B93" s="77"/>
      <c r="E93" s="77"/>
      <c r="H93" s="77"/>
      <c r="U93" s="79"/>
      <c r="V93" s="79"/>
      <c r="W93" s="79"/>
      <c r="Y93" s="90">
        <v>91</v>
      </c>
      <c r="Z93" s="559" t="str">
        <f>IF(Inventory!$C100="","",VLOOKUP(Inventory!$C100,$B$3:$C$5,2,FALSE))</f>
        <v/>
      </c>
      <c r="AA93" s="559" t="str">
        <f>IF($Z93="","",IF(AND($Z93="b",Inventory!$G100=""),"",IF(AND($Z93="b",Inventory!$G100&lt;&gt;""),VLOOKUP(Inventory!$G100,$E$3:$F$10,2,FALSE),IF(AND($Z93="a",Inventory!$Z100=""),"",IF(AND($Z93="a",Inventory!$Z100&lt;&gt;""),VLOOKUP(Inventory!$Z100,$E$3:$F$10,2,FALSE),IF(AND($Z93="c",Inventory!$Z100=""),"",IF(AND($Z93="c",Inventory!$Z100&lt;&gt;""),VLOOKUP(Inventory!$Z100,$E$3:$F$10,2,FALSE),"")))))))</f>
        <v/>
      </c>
      <c r="AB93" s="559" t="str">
        <f>IF($Z93="","a",IF(AND($Z93="b",Inventory!$J100=""),"a",IF(AND($Z93="b",Inventory!$J100&lt;&gt;""),VLOOKUP(Inventory!$J100,$H$4:$I$6,2,FALSE),IF(AND($Z93="a",Inventory!$AA100=""),"a",IF(AND($Z93="a",Inventory!$AA100&lt;&gt;""),VLOOKUP(Inventory!$AA100,$H$4:$I$6,2,FALSE),IF(AND($Z93="c",Inventory!$AA100=""),"a",IF(AND($Z93="c",Inventory!$AA100&lt;&gt;""),VLOOKUP(Inventory!$AA100,$H$4:$I$6,2,FALSE),"a")))))))</f>
        <v>a</v>
      </c>
      <c r="AC93" s="559" t="str">
        <f t="shared" si="61"/>
        <v>a</v>
      </c>
      <c r="AD93" s="473" t="str">
        <f>IF($Z93="","a",IF(AND($Z93="b",Inventory!$L100=""),"a",IF(AND($Z93="b",Inventory!$L100&lt;&gt;""),VLOOKUP(Inventory!$L100,$N$4:$O$5,2,FALSE),IF(AND($Z93="a",Inventory!$AC100=""),"a",IF(AND($Z93="a",Inventory!$AC100&lt;&gt;""),VLOOKUP(Inventory!$AC100,$N$4:$O$5,2,FALSE),IF(AND($Z93="c",Inventory!$AC100=""),"a",IF(AND($Z93="c",Inventory!$AC100&lt;&gt;""),VLOOKUP(Inventory!$AC100,$N$4:$O$5,2,FALSE),"a")))))))</f>
        <v>a</v>
      </c>
      <c r="AE93" s="474">
        <f>IF(OR(Inventory!C100="New Construction",Inventory!C100="Replace-on-Burnout"),Inventory!AF100,IF(Inventory!C100="Early Retirement",MIN(Inventory!AE100,Inventory!AF100),0))</f>
        <v>0</v>
      </c>
      <c r="AF93" s="475" t="str">
        <f t="shared" si="62"/>
        <v/>
      </c>
      <c r="AG93" s="475" t="str">
        <f t="shared" si="50"/>
        <v/>
      </c>
      <c r="AH93" s="475" t="str">
        <f t="shared" si="51"/>
        <v/>
      </c>
      <c r="AI93" s="475" t="str">
        <f t="shared" si="52"/>
        <v/>
      </c>
      <c r="AJ93" s="475" t="str">
        <f t="shared" si="53"/>
        <v/>
      </c>
      <c r="AK93" s="475" t="str">
        <f t="shared" si="63"/>
        <v/>
      </c>
      <c r="AL93" s="475" t="str">
        <f t="shared" si="64"/>
        <v/>
      </c>
      <c r="AM93" s="475" t="str">
        <f t="shared" si="65"/>
        <v/>
      </c>
      <c r="AN93" s="475" t="str">
        <f t="shared" si="66"/>
        <v/>
      </c>
      <c r="AO93" s="475" t="str">
        <f t="shared" si="67"/>
        <v/>
      </c>
      <c r="AP93" s="475" t="str">
        <f t="shared" si="68"/>
        <v/>
      </c>
      <c r="AQ93" s="475" t="str">
        <f t="shared" si="69"/>
        <v/>
      </c>
      <c r="AR93" s="475" t="str">
        <f t="shared" si="70"/>
        <v/>
      </c>
      <c r="AS93" s="475" t="str">
        <f t="shared" si="71"/>
        <v/>
      </c>
      <c r="AT93" s="475" t="str">
        <f t="shared" si="72"/>
        <v/>
      </c>
      <c r="AU93" s="475" t="str">
        <f t="shared" si="73"/>
        <v/>
      </c>
      <c r="AV93" s="475" t="str">
        <f t="shared" si="54"/>
        <v/>
      </c>
      <c r="AW93" s="473">
        <f t="shared" si="55"/>
        <v>0</v>
      </c>
      <c r="AX93" s="473" t="str">
        <f>IF(AND($Z93="b",OR($AA93="a",$AA93="b"),Inventory!$I100="",$AE93&lt;(65000/12000)),"x",IF(AND($Z93="b",OR($AA93="a",$AA93="b"),Inventory!$I100&lt;&gt;"",$AE93&lt;(65000/12000)),VLOOKUP(Inventory!$I100,$V$4:$W$5,2,FALSE),"x"))</f>
        <v>x</v>
      </c>
      <c r="AY93" s="476" t="str">
        <f t="shared" si="74"/>
        <v>aaa0</v>
      </c>
      <c r="AZ93" s="477" t="str">
        <f t="shared" si="75"/>
        <v>No</v>
      </c>
      <c r="BA93" s="759" t="str">
        <f t="shared" si="76"/>
        <v>No</v>
      </c>
      <c r="BB93" s="477">
        <f>IF($Z93="c",Inventory!$AB100,Inventory!$K100)</f>
        <v>0</v>
      </c>
      <c r="BC93" s="478">
        <f>IF(AND($Z93="b",Inventory!$N100="Btu/hr"),Inventory!$M100,IF(AND($Z93="b",Inventory!$N100="Tons"),Inventory!$M100*12000,IF(AND($Z93&lt;&gt;"b",Inventory!$AK100="Btu/hr"),Inventory!$AD100,IF(AND($Z93&lt;&gt;"b",Inventory!$AK100="Tons"),Inventory!$AD100*12000,0))))</f>
        <v>0</v>
      </c>
      <c r="BD93" s="478">
        <f t="shared" si="46"/>
        <v>0</v>
      </c>
      <c r="BE93" s="479">
        <f t="shared" si="77"/>
        <v>0</v>
      </c>
      <c r="BF93" s="477" t="s">
        <v>50</v>
      </c>
      <c r="BG93" s="479">
        <f t="shared" si="56"/>
        <v>0</v>
      </c>
      <c r="BH93" s="477" t="s">
        <v>46</v>
      </c>
      <c r="BI93" s="760">
        <f>IF(AND($Z93="b",Inventory!$P100="Btu/hr"),Inventory!$O100,IF(AND($Z93="b",Inventory!$P100="Tons"),Inventory!$O100*12000,IF(AND($Z93&lt;&gt;"b",Inventory!$AM100="Btu/hr"),Inventory!$AL100,IF(AND($Z93&lt;&gt;"b",Inventory!$AM100="Tons"),Inventory!$AL100*12000,0))))</f>
        <v>0</v>
      </c>
      <c r="BJ93" s="760">
        <f t="shared" si="47"/>
        <v>0</v>
      </c>
      <c r="BK93" s="598">
        <f t="shared" si="78"/>
        <v>0</v>
      </c>
      <c r="BL93" s="759" t="s">
        <v>567</v>
      </c>
      <c r="BM93" s="477" t="str">
        <f t="shared" si="57"/>
        <v>No</v>
      </c>
      <c r="BN93" s="477" t="str">
        <f>IF(OR(Inventory!$H100="",$BM93="No"),"-",Inventory!$H100)</f>
        <v>-</v>
      </c>
      <c r="BO93" s="477" t="str">
        <f>IFERROR(VLOOKUP(BN93,'Early Retirement'!$B$6:$C$33,2,FALSE),"-")</f>
        <v>-</v>
      </c>
      <c r="BP93" s="477" t="str">
        <f>IF(Inventory!$J100="Centrifugal","Yes","No")</f>
        <v>No</v>
      </c>
      <c r="BQ93" s="477">
        <f t="shared" si="79"/>
        <v>0</v>
      </c>
      <c r="BR93" s="477" t="str">
        <f t="shared" si="80"/>
        <v>-</v>
      </c>
      <c r="BS93" s="479">
        <f>IFERROR(INDEX('Early Retirement'!$C$4:$AC$33,$BO93,$BR93),0)</f>
        <v>0</v>
      </c>
      <c r="BT93" s="477">
        <f>IFERROR(HLOOKUP($BR93,'Early Retirement'!$D$4:$AC$5,2,FALSE),0)</f>
        <v>0</v>
      </c>
      <c r="BU93" s="761">
        <f>IFERROR(INDEX('Early Retirement'!$AE$4:$BE$33,$BO93,$BR93),0)</f>
        <v>0</v>
      </c>
      <c r="BV93" s="759">
        <f>IFERROR(HLOOKUP($BR93,'Early Retirement'!$AF$4:$BE$5,2,FALSE),0)</f>
        <v>0</v>
      </c>
      <c r="BW93" s="479">
        <f t="shared" si="87"/>
        <v>0</v>
      </c>
      <c r="BX93" s="761">
        <f t="shared" si="81"/>
        <v>0</v>
      </c>
      <c r="BY93" s="477" t="s">
        <v>46</v>
      </c>
      <c r="BZ93" s="598">
        <f>IFERROR(INDEX('Early Retirement'!$BG$4:$CG$33,$BO93,$BR93),0)</f>
        <v>0</v>
      </c>
      <c r="CA93" s="759">
        <f>IFERROR(HLOOKUP($BR93,'Early Retirement'!$BH$4:$CH$5,2,FALSE),0)</f>
        <v>0</v>
      </c>
      <c r="CB93" s="598">
        <f t="shared" si="82"/>
        <v>0</v>
      </c>
      <c r="CC93" s="759" t="s">
        <v>567</v>
      </c>
      <c r="CD93" s="477" t="str">
        <f t="shared" si="58"/>
        <v>Yes</v>
      </c>
      <c r="CE93" s="479">
        <f t="shared" si="59"/>
        <v>0</v>
      </c>
      <c r="CF93" s="761">
        <f t="shared" si="60"/>
        <v>0</v>
      </c>
      <c r="CG93" s="759" t="s">
        <v>46</v>
      </c>
      <c r="CH93" s="598">
        <f t="shared" si="83"/>
        <v>0</v>
      </c>
      <c r="CI93" s="759" t="s">
        <v>567</v>
      </c>
      <c r="CJ93" s="480">
        <f t="shared" si="84"/>
        <v>0</v>
      </c>
      <c r="CK93" s="583">
        <f t="shared" si="85"/>
        <v>0</v>
      </c>
      <c r="CL93" s="596" t="s">
        <v>46</v>
      </c>
      <c r="CM93" s="581">
        <f t="shared" si="86"/>
        <v>0</v>
      </c>
      <c r="CN93" s="762" t="s">
        <v>567</v>
      </c>
      <c r="CP93" s="90" t="s">
        <v>512</v>
      </c>
      <c r="CQ93" s="124">
        <v>9.5619999999999994</v>
      </c>
      <c r="CR93" s="307" t="s">
        <v>50</v>
      </c>
      <c r="CS93" s="645">
        <v>12.75</v>
      </c>
      <c r="CT93" s="551" t="s">
        <v>559</v>
      </c>
      <c r="CU93" s="645">
        <f t="shared" si="89"/>
        <v>1.2549675800041833</v>
      </c>
      <c r="CV93" s="645">
        <f t="shared" si="90"/>
        <v>0.94117647058823528</v>
      </c>
      <c r="CW93" s="633" t="s">
        <v>46</v>
      </c>
      <c r="CX93" s="606"/>
      <c r="CY93" s="589"/>
      <c r="CZ93" s="606"/>
      <c r="DA93" s="609"/>
      <c r="DB93" s="562"/>
      <c r="DC93" s="562"/>
      <c r="DD93" s="562"/>
      <c r="DE93" s="562"/>
      <c r="DF93" s="562"/>
      <c r="DG93" s="562"/>
      <c r="DH93" s="562"/>
      <c r="DI93" s="562"/>
      <c r="DJ93" s="562"/>
      <c r="DK93" s="562"/>
      <c r="DL93" s="562"/>
      <c r="DM93" s="562"/>
      <c r="DN93" s="562"/>
      <c r="DO93" s="562"/>
      <c r="DP93" s="562"/>
      <c r="DQ93" s="562"/>
      <c r="DR93" s="562"/>
      <c r="DS93" s="562"/>
      <c r="DT93" s="562"/>
      <c r="DU93" s="562"/>
      <c r="DV93" s="562"/>
      <c r="DW93" s="562"/>
      <c r="DX93" s="562"/>
      <c r="DY93" s="562"/>
      <c r="DZ93" s="562"/>
      <c r="EA93" s="562"/>
      <c r="EB93" s="562"/>
      <c r="EC93" s="562"/>
      <c r="ED93" s="562"/>
      <c r="EE93" s="562"/>
      <c r="EF93" s="562"/>
      <c r="EG93" s="562"/>
      <c r="EH93" s="562"/>
      <c r="EI93" s="562"/>
      <c r="EJ93" s="562"/>
      <c r="EK93" s="562"/>
      <c r="EL93" s="562"/>
    </row>
    <row r="94" spans="2:142" s="78" customFormat="1" ht="15" customHeight="1" x14ac:dyDescent="0.25">
      <c r="B94" s="77"/>
      <c r="E94" s="77"/>
      <c r="H94" s="77"/>
      <c r="U94" s="79"/>
      <c r="V94" s="79"/>
      <c r="W94" s="79"/>
      <c r="Y94" s="90">
        <v>92</v>
      </c>
      <c r="Z94" s="559" t="str">
        <f>IF(Inventory!$C101="","",VLOOKUP(Inventory!$C101,$B$3:$C$5,2,FALSE))</f>
        <v/>
      </c>
      <c r="AA94" s="559" t="str">
        <f>IF($Z94="","",IF(AND($Z94="b",Inventory!$G101=""),"",IF(AND($Z94="b",Inventory!$G101&lt;&gt;""),VLOOKUP(Inventory!$G101,$E$3:$F$10,2,FALSE),IF(AND($Z94="a",Inventory!$Z101=""),"",IF(AND($Z94="a",Inventory!$Z101&lt;&gt;""),VLOOKUP(Inventory!$Z101,$E$3:$F$10,2,FALSE),IF(AND($Z94="c",Inventory!$Z101=""),"",IF(AND($Z94="c",Inventory!$Z101&lt;&gt;""),VLOOKUP(Inventory!$Z101,$E$3:$F$10,2,FALSE),"")))))))</f>
        <v/>
      </c>
      <c r="AB94" s="559" t="str">
        <f>IF($Z94="","a",IF(AND($Z94="b",Inventory!$J101=""),"a",IF(AND($Z94="b",Inventory!$J101&lt;&gt;""),VLOOKUP(Inventory!$J101,$H$4:$I$6,2,FALSE),IF(AND($Z94="a",Inventory!$AA101=""),"a",IF(AND($Z94="a",Inventory!$AA101&lt;&gt;""),VLOOKUP(Inventory!$AA101,$H$4:$I$6,2,FALSE),IF(AND($Z94="c",Inventory!$AA101=""),"a",IF(AND($Z94="c",Inventory!$AA101&lt;&gt;""),VLOOKUP(Inventory!$AA101,$H$4:$I$6,2,FALSE),"a")))))))</f>
        <v>a</v>
      </c>
      <c r="AC94" s="559" t="str">
        <f t="shared" si="61"/>
        <v>a</v>
      </c>
      <c r="AD94" s="473" t="str">
        <f>IF($Z94="","a",IF(AND($Z94="b",Inventory!$L101=""),"a",IF(AND($Z94="b",Inventory!$L101&lt;&gt;""),VLOOKUP(Inventory!$L101,$N$4:$O$5,2,FALSE),IF(AND($Z94="a",Inventory!$AC101=""),"a",IF(AND($Z94="a",Inventory!$AC101&lt;&gt;""),VLOOKUP(Inventory!$AC101,$N$4:$O$5,2,FALSE),IF(AND($Z94="c",Inventory!$AC101=""),"a",IF(AND($Z94="c",Inventory!$AC101&lt;&gt;""),VLOOKUP(Inventory!$AC101,$N$4:$O$5,2,FALSE),"a")))))))</f>
        <v>a</v>
      </c>
      <c r="AE94" s="474">
        <f>IF(OR(Inventory!C101="New Construction",Inventory!C101="Replace-on-Burnout"),Inventory!AF101,IF(Inventory!C101="Early Retirement",MIN(Inventory!AE101,Inventory!AF101),0))</f>
        <v>0</v>
      </c>
      <c r="AF94" s="475" t="str">
        <f t="shared" si="62"/>
        <v/>
      </c>
      <c r="AG94" s="475" t="str">
        <f t="shared" si="50"/>
        <v/>
      </c>
      <c r="AH94" s="475" t="str">
        <f t="shared" si="51"/>
        <v/>
      </c>
      <c r="AI94" s="475" t="str">
        <f t="shared" si="52"/>
        <v/>
      </c>
      <c r="AJ94" s="475" t="str">
        <f t="shared" si="53"/>
        <v/>
      </c>
      <c r="AK94" s="475" t="str">
        <f t="shared" si="63"/>
        <v/>
      </c>
      <c r="AL94" s="475" t="str">
        <f t="shared" si="64"/>
        <v/>
      </c>
      <c r="AM94" s="475" t="str">
        <f t="shared" si="65"/>
        <v/>
      </c>
      <c r="AN94" s="475" t="str">
        <f t="shared" si="66"/>
        <v/>
      </c>
      <c r="AO94" s="475" t="str">
        <f t="shared" si="67"/>
        <v/>
      </c>
      <c r="AP94" s="475" t="str">
        <f t="shared" si="68"/>
        <v/>
      </c>
      <c r="AQ94" s="475" t="str">
        <f t="shared" si="69"/>
        <v/>
      </c>
      <c r="AR94" s="475" t="str">
        <f t="shared" si="70"/>
        <v/>
      </c>
      <c r="AS94" s="475" t="str">
        <f t="shared" si="71"/>
        <v/>
      </c>
      <c r="AT94" s="475" t="str">
        <f t="shared" si="72"/>
        <v/>
      </c>
      <c r="AU94" s="475" t="str">
        <f t="shared" si="73"/>
        <v/>
      </c>
      <c r="AV94" s="475" t="str">
        <f t="shared" si="54"/>
        <v/>
      </c>
      <c r="AW94" s="473">
        <f t="shared" si="55"/>
        <v>0</v>
      </c>
      <c r="AX94" s="473" t="str">
        <f>IF(AND($Z94="b",OR($AA94="a",$AA94="b"),Inventory!$I101="",$AE94&lt;(65000/12000)),"x",IF(AND($Z94="b",OR($AA94="a",$AA94="b"),Inventory!$I101&lt;&gt;"",$AE94&lt;(65000/12000)),VLOOKUP(Inventory!$I101,$V$4:$W$5,2,FALSE),"x"))</f>
        <v>x</v>
      </c>
      <c r="AY94" s="476" t="str">
        <f t="shared" si="74"/>
        <v>aaa0</v>
      </c>
      <c r="AZ94" s="477" t="str">
        <f t="shared" si="75"/>
        <v>No</v>
      </c>
      <c r="BA94" s="759" t="str">
        <f t="shared" si="76"/>
        <v>No</v>
      </c>
      <c r="BB94" s="477">
        <f>IF($Z94="c",Inventory!$AB101,Inventory!$K101)</f>
        <v>0</v>
      </c>
      <c r="BC94" s="478">
        <f>IF(AND($Z94="b",Inventory!$N101="Btu/hr"),Inventory!$M101,IF(AND($Z94="b",Inventory!$N101="Tons"),Inventory!$M101*12000,IF(AND($Z94&lt;&gt;"b",Inventory!$AK101="Btu/hr"),Inventory!$AD101,IF(AND($Z94&lt;&gt;"b",Inventory!$AK101="Tons"),Inventory!$AD101*12000,0))))</f>
        <v>0</v>
      </c>
      <c r="BD94" s="478">
        <f t="shared" si="46"/>
        <v>0</v>
      </c>
      <c r="BE94" s="479">
        <f t="shared" si="77"/>
        <v>0</v>
      </c>
      <c r="BF94" s="477" t="s">
        <v>50</v>
      </c>
      <c r="BG94" s="479">
        <f t="shared" si="56"/>
        <v>0</v>
      </c>
      <c r="BH94" s="477" t="s">
        <v>46</v>
      </c>
      <c r="BI94" s="760">
        <f>IF(AND($Z94="b",Inventory!$P101="Btu/hr"),Inventory!$O101,IF(AND($Z94="b",Inventory!$P101="Tons"),Inventory!$O101*12000,IF(AND($Z94&lt;&gt;"b",Inventory!$AM101="Btu/hr"),Inventory!$AL101,IF(AND($Z94&lt;&gt;"b",Inventory!$AM101="Tons"),Inventory!$AL101*12000,0))))</f>
        <v>0</v>
      </c>
      <c r="BJ94" s="760">
        <f t="shared" si="47"/>
        <v>0</v>
      </c>
      <c r="BK94" s="598">
        <f t="shared" si="78"/>
        <v>0</v>
      </c>
      <c r="BL94" s="759" t="s">
        <v>567</v>
      </c>
      <c r="BM94" s="477" t="str">
        <f t="shared" si="57"/>
        <v>No</v>
      </c>
      <c r="BN94" s="477" t="str">
        <f>IF(OR(Inventory!$H101="",$BM94="No"),"-",Inventory!$H101)</f>
        <v>-</v>
      </c>
      <c r="BO94" s="477" t="str">
        <f>IFERROR(VLOOKUP(BN94,'Early Retirement'!$B$6:$C$33,2,FALSE),"-")</f>
        <v>-</v>
      </c>
      <c r="BP94" s="477" t="str">
        <f>IF(Inventory!$J101="Centrifugal","Yes","No")</f>
        <v>No</v>
      </c>
      <c r="BQ94" s="477">
        <f t="shared" si="79"/>
        <v>0</v>
      </c>
      <c r="BR94" s="477" t="str">
        <f t="shared" si="80"/>
        <v>-</v>
      </c>
      <c r="BS94" s="479">
        <f>IFERROR(INDEX('Early Retirement'!$C$4:$AC$33,$BO94,$BR94),0)</f>
        <v>0</v>
      </c>
      <c r="BT94" s="477">
        <f>IFERROR(HLOOKUP($BR94,'Early Retirement'!$D$4:$AC$5,2,FALSE),0)</f>
        <v>0</v>
      </c>
      <c r="BU94" s="761">
        <f>IFERROR(INDEX('Early Retirement'!$AE$4:$BE$33,$BO94,$BR94),0)</f>
        <v>0</v>
      </c>
      <c r="BV94" s="759">
        <f>IFERROR(HLOOKUP($BR94,'Early Retirement'!$AF$4:$BE$5,2,FALSE),0)</f>
        <v>0</v>
      </c>
      <c r="BW94" s="479">
        <f t="shared" si="87"/>
        <v>0</v>
      </c>
      <c r="BX94" s="761">
        <f t="shared" si="81"/>
        <v>0</v>
      </c>
      <c r="BY94" s="477" t="s">
        <v>46</v>
      </c>
      <c r="BZ94" s="598">
        <f>IFERROR(INDEX('Early Retirement'!$BG$4:$CG$33,$BO94,$BR94),0)</f>
        <v>0</v>
      </c>
      <c r="CA94" s="759">
        <f>IFERROR(HLOOKUP($BR94,'Early Retirement'!$BH$4:$CH$5,2,FALSE),0)</f>
        <v>0</v>
      </c>
      <c r="CB94" s="598">
        <f t="shared" si="82"/>
        <v>0</v>
      </c>
      <c r="CC94" s="759" t="s">
        <v>567</v>
      </c>
      <c r="CD94" s="477" t="str">
        <f t="shared" si="58"/>
        <v>Yes</v>
      </c>
      <c r="CE94" s="479">
        <f t="shared" si="59"/>
        <v>0</v>
      </c>
      <c r="CF94" s="761">
        <f t="shared" si="60"/>
        <v>0</v>
      </c>
      <c r="CG94" s="759" t="s">
        <v>46</v>
      </c>
      <c r="CH94" s="598">
        <f t="shared" si="83"/>
        <v>0</v>
      </c>
      <c r="CI94" s="759" t="s">
        <v>567</v>
      </c>
      <c r="CJ94" s="480">
        <f t="shared" si="84"/>
        <v>0</v>
      </c>
      <c r="CK94" s="583">
        <f t="shared" si="85"/>
        <v>0</v>
      </c>
      <c r="CL94" s="596" t="s">
        <v>46</v>
      </c>
      <c r="CM94" s="581">
        <f t="shared" si="86"/>
        <v>0</v>
      </c>
      <c r="CN94" s="762" t="s">
        <v>567</v>
      </c>
      <c r="CP94" s="90" t="s">
        <v>208</v>
      </c>
      <c r="CQ94" s="124">
        <v>0.63400000000000001</v>
      </c>
      <c r="CR94" s="307" t="s">
        <v>46</v>
      </c>
      <c r="CS94" s="645">
        <v>0.59599999999999997</v>
      </c>
      <c r="CT94" s="551" t="s">
        <v>559</v>
      </c>
      <c r="CU94" s="645">
        <f t="shared" ref="CU94:CU108" si="91">$CQ94</f>
        <v>0.63400000000000001</v>
      </c>
      <c r="CV94" s="645">
        <f>$CS94</f>
        <v>0.59599999999999997</v>
      </c>
      <c r="CW94" s="633" t="s">
        <v>46</v>
      </c>
      <c r="CX94" s="606"/>
      <c r="CY94" s="589"/>
      <c r="CZ94" s="606"/>
      <c r="DA94" s="609"/>
      <c r="DB94" s="562"/>
      <c r="DC94" s="562"/>
      <c r="DD94" s="562"/>
      <c r="DE94" s="562"/>
      <c r="DF94" s="562"/>
      <c r="DG94" s="562"/>
      <c r="DH94" s="562"/>
      <c r="DI94" s="562"/>
      <c r="DJ94" s="562"/>
      <c r="DK94" s="562"/>
      <c r="DL94" s="562"/>
      <c r="DM94" s="562"/>
      <c r="DN94" s="562"/>
      <c r="DO94" s="562"/>
      <c r="DP94" s="562"/>
      <c r="DQ94" s="562"/>
      <c r="DR94" s="562"/>
      <c r="DS94" s="562"/>
      <c r="DT94" s="562"/>
      <c r="DU94" s="562"/>
      <c r="DV94" s="562"/>
      <c r="DW94" s="562"/>
      <c r="DX94" s="562"/>
      <c r="DY94" s="562"/>
      <c r="DZ94" s="562"/>
      <c r="EA94" s="562"/>
      <c r="EB94" s="562"/>
      <c r="EC94" s="562"/>
      <c r="ED94" s="562"/>
      <c r="EE94" s="562"/>
      <c r="EF94" s="562"/>
      <c r="EG94" s="562"/>
      <c r="EH94" s="562"/>
      <c r="EI94" s="562"/>
      <c r="EJ94" s="562"/>
      <c r="EK94" s="562"/>
      <c r="EL94" s="562"/>
    </row>
    <row r="95" spans="2:142" s="78" customFormat="1" ht="15" customHeight="1" x14ac:dyDescent="0.25">
      <c r="B95" s="77"/>
      <c r="E95" s="77"/>
      <c r="H95" s="77"/>
      <c r="U95" s="79"/>
      <c r="V95" s="79"/>
      <c r="W95" s="79"/>
      <c r="Y95" s="90">
        <v>93</v>
      </c>
      <c r="Z95" s="559" t="str">
        <f>IF(Inventory!$C102="","",VLOOKUP(Inventory!$C102,$B$3:$C$5,2,FALSE))</f>
        <v/>
      </c>
      <c r="AA95" s="559" t="str">
        <f>IF($Z95="","",IF(AND($Z95="b",Inventory!$G102=""),"",IF(AND($Z95="b",Inventory!$G102&lt;&gt;""),VLOOKUP(Inventory!$G102,$E$3:$F$10,2,FALSE),IF(AND($Z95="a",Inventory!$Z102=""),"",IF(AND($Z95="a",Inventory!$Z102&lt;&gt;""),VLOOKUP(Inventory!$Z102,$E$3:$F$10,2,FALSE),IF(AND($Z95="c",Inventory!$Z102=""),"",IF(AND($Z95="c",Inventory!$Z102&lt;&gt;""),VLOOKUP(Inventory!$Z102,$E$3:$F$10,2,FALSE),"")))))))</f>
        <v/>
      </c>
      <c r="AB95" s="559" t="str">
        <f>IF($Z95="","a",IF(AND($Z95="b",Inventory!$J102=""),"a",IF(AND($Z95="b",Inventory!$J102&lt;&gt;""),VLOOKUP(Inventory!$J102,$H$4:$I$6,2,FALSE),IF(AND($Z95="a",Inventory!$AA102=""),"a",IF(AND($Z95="a",Inventory!$AA102&lt;&gt;""),VLOOKUP(Inventory!$AA102,$H$4:$I$6,2,FALSE),IF(AND($Z95="c",Inventory!$AA102=""),"a",IF(AND($Z95="c",Inventory!$AA102&lt;&gt;""),VLOOKUP(Inventory!$AA102,$H$4:$I$6,2,FALSE),"a")))))))</f>
        <v>a</v>
      </c>
      <c r="AC95" s="559" t="str">
        <f t="shared" si="61"/>
        <v>a</v>
      </c>
      <c r="AD95" s="473" t="str">
        <f>IF($Z95="","a",IF(AND($Z95="b",Inventory!$L102=""),"a",IF(AND($Z95="b",Inventory!$L102&lt;&gt;""),VLOOKUP(Inventory!$L102,$N$4:$O$5,2,FALSE),IF(AND($Z95="a",Inventory!$AC102=""),"a",IF(AND($Z95="a",Inventory!$AC102&lt;&gt;""),VLOOKUP(Inventory!$AC102,$N$4:$O$5,2,FALSE),IF(AND($Z95="c",Inventory!$AC102=""),"a",IF(AND($Z95="c",Inventory!$AC102&lt;&gt;""),VLOOKUP(Inventory!$AC102,$N$4:$O$5,2,FALSE),"a")))))))</f>
        <v>a</v>
      </c>
      <c r="AE95" s="474">
        <f>IF(OR(Inventory!C102="New Construction",Inventory!C102="Replace-on-Burnout"),Inventory!AF102,IF(Inventory!C102="Early Retirement",MIN(Inventory!AE102,Inventory!AF102),0))</f>
        <v>0</v>
      </c>
      <c r="AF95" s="475" t="str">
        <f t="shared" si="62"/>
        <v/>
      </c>
      <c r="AG95" s="475" t="str">
        <f t="shared" si="50"/>
        <v/>
      </c>
      <c r="AH95" s="475" t="str">
        <f t="shared" si="51"/>
        <v/>
      </c>
      <c r="AI95" s="475" t="str">
        <f t="shared" si="52"/>
        <v/>
      </c>
      <c r="AJ95" s="475" t="str">
        <f t="shared" si="53"/>
        <v/>
      </c>
      <c r="AK95" s="475" t="str">
        <f t="shared" si="63"/>
        <v/>
      </c>
      <c r="AL95" s="475" t="str">
        <f t="shared" si="64"/>
        <v/>
      </c>
      <c r="AM95" s="475" t="str">
        <f t="shared" si="65"/>
        <v/>
      </c>
      <c r="AN95" s="475" t="str">
        <f t="shared" si="66"/>
        <v/>
      </c>
      <c r="AO95" s="475" t="str">
        <f t="shared" si="67"/>
        <v/>
      </c>
      <c r="AP95" s="475" t="str">
        <f t="shared" si="68"/>
        <v/>
      </c>
      <c r="AQ95" s="475" t="str">
        <f t="shared" si="69"/>
        <v/>
      </c>
      <c r="AR95" s="475" t="str">
        <f t="shared" si="70"/>
        <v/>
      </c>
      <c r="AS95" s="475" t="str">
        <f t="shared" si="71"/>
        <v/>
      </c>
      <c r="AT95" s="475" t="str">
        <f t="shared" si="72"/>
        <v/>
      </c>
      <c r="AU95" s="475" t="str">
        <f t="shared" si="73"/>
        <v/>
      </c>
      <c r="AV95" s="475" t="str">
        <f t="shared" si="54"/>
        <v/>
      </c>
      <c r="AW95" s="473">
        <f t="shared" si="55"/>
        <v>0</v>
      </c>
      <c r="AX95" s="473" t="str">
        <f>IF(AND($Z95="b",OR($AA95="a",$AA95="b"),Inventory!$I102="",$AE95&lt;(65000/12000)),"x",IF(AND($Z95="b",OR($AA95="a",$AA95="b"),Inventory!$I102&lt;&gt;"",$AE95&lt;(65000/12000)),VLOOKUP(Inventory!$I102,$V$4:$W$5,2,FALSE),"x"))</f>
        <v>x</v>
      </c>
      <c r="AY95" s="476" t="str">
        <f t="shared" si="74"/>
        <v>aaa0</v>
      </c>
      <c r="AZ95" s="477" t="str">
        <f t="shared" si="75"/>
        <v>No</v>
      </c>
      <c r="BA95" s="759" t="str">
        <f t="shared" si="76"/>
        <v>No</v>
      </c>
      <c r="BB95" s="477">
        <f>IF($Z95="c",Inventory!$AB102,Inventory!$K102)</f>
        <v>0</v>
      </c>
      <c r="BC95" s="478">
        <f>IF(AND($Z95="b",Inventory!$N102="Btu/hr"),Inventory!$M102,IF(AND($Z95="b",Inventory!$N102="Tons"),Inventory!$M102*12000,IF(AND($Z95&lt;&gt;"b",Inventory!$AK102="Btu/hr"),Inventory!$AD102,IF(AND($Z95&lt;&gt;"b",Inventory!$AK102="Tons"),Inventory!$AD102*12000,0))))</f>
        <v>0</v>
      </c>
      <c r="BD95" s="478">
        <f t="shared" si="46"/>
        <v>0</v>
      </c>
      <c r="BE95" s="479">
        <f t="shared" si="77"/>
        <v>0</v>
      </c>
      <c r="BF95" s="477" t="s">
        <v>50</v>
      </c>
      <c r="BG95" s="479">
        <f t="shared" si="56"/>
        <v>0</v>
      </c>
      <c r="BH95" s="477" t="s">
        <v>46</v>
      </c>
      <c r="BI95" s="760">
        <f>IF(AND($Z95="b",Inventory!$P102="Btu/hr"),Inventory!$O102,IF(AND($Z95="b",Inventory!$P102="Tons"),Inventory!$O102*12000,IF(AND($Z95&lt;&gt;"b",Inventory!$AM102="Btu/hr"),Inventory!$AL102,IF(AND($Z95&lt;&gt;"b",Inventory!$AM102="Tons"),Inventory!$AL102*12000,0))))</f>
        <v>0</v>
      </c>
      <c r="BJ95" s="760">
        <f t="shared" si="47"/>
        <v>0</v>
      </c>
      <c r="BK95" s="598">
        <f t="shared" si="78"/>
        <v>0</v>
      </c>
      <c r="BL95" s="759" t="s">
        <v>567</v>
      </c>
      <c r="BM95" s="477" t="str">
        <f t="shared" si="57"/>
        <v>No</v>
      </c>
      <c r="BN95" s="477" t="str">
        <f>IF(OR(Inventory!$H102="",$BM95="No"),"-",Inventory!$H102)</f>
        <v>-</v>
      </c>
      <c r="BO95" s="477" t="str">
        <f>IFERROR(VLOOKUP(BN95,'Early Retirement'!$B$6:$C$33,2,FALSE),"-")</f>
        <v>-</v>
      </c>
      <c r="BP95" s="477" t="str">
        <f>IF(Inventory!$J102="Centrifugal","Yes","No")</f>
        <v>No</v>
      </c>
      <c r="BQ95" s="477">
        <f t="shared" si="79"/>
        <v>0</v>
      </c>
      <c r="BR95" s="477" t="str">
        <f t="shared" si="80"/>
        <v>-</v>
      </c>
      <c r="BS95" s="479">
        <f>IFERROR(INDEX('Early Retirement'!$C$4:$AC$33,$BO95,$BR95),0)</f>
        <v>0</v>
      </c>
      <c r="BT95" s="477">
        <f>IFERROR(HLOOKUP($BR95,'Early Retirement'!$D$4:$AC$5,2,FALSE),0)</f>
        <v>0</v>
      </c>
      <c r="BU95" s="761">
        <f>IFERROR(INDEX('Early Retirement'!$AE$4:$BE$33,$BO95,$BR95),0)</f>
        <v>0</v>
      </c>
      <c r="BV95" s="759">
        <f>IFERROR(HLOOKUP($BR95,'Early Retirement'!$AF$4:$BE$5,2,FALSE),0)</f>
        <v>0</v>
      </c>
      <c r="BW95" s="479">
        <f t="shared" si="87"/>
        <v>0</v>
      </c>
      <c r="BX95" s="761">
        <f t="shared" si="81"/>
        <v>0</v>
      </c>
      <c r="BY95" s="477" t="s">
        <v>46</v>
      </c>
      <c r="BZ95" s="598">
        <f>IFERROR(INDEX('Early Retirement'!$BG$4:$CG$33,$BO95,$BR95),0)</f>
        <v>0</v>
      </c>
      <c r="CA95" s="759">
        <f>IFERROR(HLOOKUP($BR95,'Early Retirement'!$BH$4:$CH$5,2,FALSE),0)</f>
        <v>0</v>
      </c>
      <c r="CB95" s="598">
        <f t="shared" si="82"/>
        <v>0</v>
      </c>
      <c r="CC95" s="759" t="s">
        <v>567</v>
      </c>
      <c r="CD95" s="477" t="str">
        <f t="shared" si="58"/>
        <v>Yes</v>
      </c>
      <c r="CE95" s="479">
        <f t="shared" si="59"/>
        <v>0</v>
      </c>
      <c r="CF95" s="761">
        <f t="shared" si="60"/>
        <v>0</v>
      </c>
      <c r="CG95" s="759" t="s">
        <v>46</v>
      </c>
      <c r="CH95" s="598">
        <f t="shared" si="83"/>
        <v>0</v>
      </c>
      <c r="CI95" s="759" t="s">
        <v>567</v>
      </c>
      <c r="CJ95" s="480">
        <f t="shared" si="84"/>
        <v>0</v>
      </c>
      <c r="CK95" s="583">
        <f t="shared" si="85"/>
        <v>0</v>
      </c>
      <c r="CL95" s="596" t="s">
        <v>46</v>
      </c>
      <c r="CM95" s="581">
        <f t="shared" si="86"/>
        <v>0</v>
      </c>
      <c r="CN95" s="762" t="s">
        <v>567</v>
      </c>
      <c r="CP95" s="90" t="s">
        <v>209</v>
      </c>
      <c r="CQ95" s="124">
        <v>0.63400000000000001</v>
      </c>
      <c r="CR95" s="307" t="s">
        <v>46</v>
      </c>
      <c r="CS95" s="645">
        <v>0.59599999999999997</v>
      </c>
      <c r="CT95" s="551" t="s">
        <v>559</v>
      </c>
      <c r="CU95" s="645">
        <f t="shared" si="91"/>
        <v>0.63400000000000001</v>
      </c>
      <c r="CV95" s="645">
        <f t="shared" ref="CV95:CV138" si="92">$CS95</f>
        <v>0.59599999999999997</v>
      </c>
      <c r="CW95" s="633" t="s">
        <v>46</v>
      </c>
      <c r="CX95" s="606"/>
      <c r="CY95" s="589"/>
      <c r="CZ95" s="606"/>
      <c r="DA95" s="609"/>
      <c r="DB95" s="562"/>
      <c r="DC95" s="562"/>
      <c r="DD95" s="562"/>
      <c r="DE95" s="562"/>
      <c r="DF95" s="562"/>
      <c r="DG95" s="562"/>
      <c r="DH95" s="562"/>
      <c r="DI95" s="562"/>
      <c r="DJ95" s="562"/>
      <c r="DK95" s="562"/>
      <c r="DL95" s="562"/>
      <c r="DM95" s="562"/>
      <c r="DN95" s="562"/>
      <c r="DO95" s="562"/>
      <c r="DP95" s="562"/>
      <c r="DQ95" s="562"/>
      <c r="DR95" s="562"/>
      <c r="DS95" s="562"/>
      <c r="DT95" s="562"/>
      <c r="DU95" s="562"/>
      <c r="DV95" s="562"/>
      <c r="DW95" s="562"/>
      <c r="DX95" s="562"/>
      <c r="DY95" s="562"/>
      <c r="DZ95" s="562"/>
      <c r="EA95" s="562"/>
      <c r="EB95" s="562"/>
      <c r="EC95" s="562"/>
      <c r="ED95" s="562"/>
      <c r="EE95" s="562"/>
      <c r="EF95" s="562"/>
      <c r="EG95" s="562"/>
      <c r="EH95" s="562"/>
      <c r="EI95" s="562"/>
      <c r="EJ95" s="562"/>
      <c r="EK95" s="562"/>
      <c r="EL95" s="562"/>
    </row>
    <row r="96" spans="2:142" s="78" customFormat="1" ht="15" customHeight="1" x14ac:dyDescent="0.25">
      <c r="B96" s="77"/>
      <c r="E96" s="77"/>
      <c r="H96" s="77"/>
      <c r="U96" s="79"/>
      <c r="V96" s="79"/>
      <c r="W96" s="79"/>
      <c r="Y96" s="90">
        <v>94</v>
      </c>
      <c r="Z96" s="559" t="str">
        <f>IF(Inventory!$C103="","",VLOOKUP(Inventory!$C103,$B$3:$C$5,2,FALSE))</f>
        <v/>
      </c>
      <c r="AA96" s="559" t="str">
        <f>IF($Z96="","",IF(AND($Z96="b",Inventory!$G103=""),"",IF(AND($Z96="b",Inventory!$G103&lt;&gt;""),VLOOKUP(Inventory!$G103,$E$3:$F$10,2,FALSE),IF(AND($Z96="a",Inventory!$Z103=""),"",IF(AND($Z96="a",Inventory!$Z103&lt;&gt;""),VLOOKUP(Inventory!$Z103,$E$3:$F$10,2,FALSE),IF(AND($Z96="c",Inventory!$Z103=""),"",IF(AND($Z96="c",Inventory!$Z103&lt;&gt;""),VLOOKUP(Inventory!$Z103,$E$3:$F$10,2,FALSE),"")))))))</f>
        <v/>
      </c>
      <c r="AB96" s="559" t="str">
        <f>IF($Z96="","a",IF(AND($Z96="b",Inventory!$J103=""),"a",IF(AND($Z96="b",Inventory!$J103&lt;&gt;""),VLOOKUP(Inventory!$J103,$H$4:$I$6,2,FALSE),IF(AND($Z96="a",Inventory!$AA103=""),"a",IF(AND($Z96="a",Inventory!$AA103&lt;&gt;""),VLOOKUP(Inventory!$AA103,$H$4:$I$6,2,FALSE),IF(AND($Z96="c",Inventory!$AA103=""),"a",IF(AND($Z96="c",Inventory!$AA103&lt;&gt;""),VLOOKUP(Inventory!$AA103,$H$4:$I$6,2,FALSE),"a")))))))</f>
        <v>a</v>
      </c>
      <c r="AC96" s="559" t="str">
        <f t="shared" si="61"/>
        <v>a</v>
      </c>
      <c r="AD96" s="473" t="str">
        <f>IF($Z96="","a",IF(AND($Z96="b",Inventory!$L103=""),"a",IF(AND($Z96="b",Inventory!$L103&lt;&gt;""),VLOOKUP(Inventory!$L103,$N$4:$O$5,2,FALSE),IF(AND($Z96="a",Inventory!$AC103=""),"a",IF(AND($Z96="a",Inventory!$AC103&lt;&gt;""),VLOOKUP(Inventory!$AC103,$N$4:$O$5,2,FALSE),IF(AND($Z96="c",Inventory!$AC103=""),"a",IF(AND($Z96="c",Inventory!$AC103&lt;&gt;""),VLOOKUP(Inventory!$AC103,$N$4:$O$5,2,FALSE),"a")))))))</f>
        <v>a</v>
      </c>
      <c r="AE96" s="474">
        <f>IF(OR(Inventory!C103="New Construction",Inventory!C103="Replace-on-Burnout"),Inventory!AF103,IF(Inventory!C103="Early Retirement",MIN(Inventory!AE103,Inventory!AF103),0))</f>
        <v>0</v>
      </c>
      <c r="AF96" s="475" t="str">
        <f t="shared" si="62"/>
        <v/>
      </c>
      <c r="AG96" s="475" t="str">
        <f t="shared" si="50"/>
        <v/>
      </c>
      <c r="AH96" s="475" t="str">
        <f t="shared" si="51"/>
        <v/>
      </c>
      <c r="AI96" s="475" t="str">
        <f t="shared" si="52"/>
        <v/>
      </c>
      <c r="AJ96" s="475" t="str">
        <f t="shared" si="53"/>
        <v/>
      </c>
      <c r="AK96" s="475" t="str">
        <f t="shared" si="63"/>
        <v/>
      </c>
      <c r="AL96" s="475" t="str">
        <f t="shared" si="64"/>
        <v/>
      </c>
      <c r="AM96" s="475" t="str">
        <f t="shared" si="65"/>
        <v/>
      </c>
      <c r="AN96" s="475" t="str">
        <f t="shared" si="66"/>
        <v/>
      </c>
      <c r="AO96" s="475" t="str">
        <f t="shared" si="67"/>
        <v/>
      </c>
      <c r="AP96" s="475" t="str">
        <f t="shared" si="68"/>
        <v/>
      </c>
      <c r="AQ96" s="475" t="str">
        <f t="shared" si="69"/>
        <v/>
      </c>
      <c r="AR96" s="475" t="str">
        <f t="shared" si="70"/>
        <v/>
      </c>
      <c r="AS96" s="475" t="str">
        <f t="shared" si="71"/>
        <v/>
      </c>
      <c r="AT96" s="475" t="str">
        <f t="shared" si="72"/>
        <v/>
      </c>
      <c r="AU96" s="475" t="str">
        <f t="shared" si="73"/>
        <v/>
      </c>
      <c r="AV96" s="475" t="str">
        <f t="shared" si="54"/>
        <v/>
      </c>
      <c r="AW96" s="473">
        <f t="shared" si="55"/>
        <v>0</v>
      </c>
      <c r="AX96" s="473" t="str">
        <f>IF(AND($Z96="b",OR($AA96="a",$AA96="b"),Inventory!$I103="",$AE96&lt;(65000/12000)),"x",IF(AND($Z96="b",OR($AA96="a",$AA96="b"),Inventory!$I103&lt;&gt;"",$AE96&lt;(65000/12000)),VLOOKUP(Inventory!$I103,$V$4:$W$5,2,FALSE),"x"))</f>
        <v>x</v>
      </c>
      <c r="AY96" s="476" t="str">
        <f t="shared" si="74"/>
        <v>aaa0</v>
      </c>
      <c r="AZ96" s="477" t="str">
        <f t="shared" si="75"/>
        <v>No</v>
      </c>
      <c r="BA96" s="759" t="str">
        <f t="shared" si="76"/>
        <v>No</v>
      </c>
      <c r="BB96" s="477">
        <f>IF($Z96="c",Inventory!$AB103,Inventory!$K103)</f>
        <v>0</v>
      </c>
      <c r="BC96" s="478">
        <f>IF(AND($Z96="b",Inventory!$N103="Btu/hr"),Inventory!$M103,IF(AND($Z96="b",Inventory!$N103="Tons"),Inventory!$M103*12000,IF(AND($Z96&lt;&gt;"b",Inventory!$AK103="Btu/hr"),Inventory!$AD103,IF(AND($Z96&lt;&gt;"b",Inventory!$AK103="Tons"),Inventory!$AD103*12000,0))))</f>
        <v>0</v>
      </c>
      <c r="BD96" s="478">
        <f t="shared" si="46"/>
        <v>0</v>
      </c>
      <c r="BE96" s="479">
        <f t="shared" si="77"/>
        <v>0</v>
      </c>
      <c r="BF96" s="477" t="s">
        <v>50</v>
      </c>
      <c r="BG96" s="479">
        <f t="shared" si="56"/>
        <v>0</v>
      </c>
      <c r="BH96" s="477" t="s">
        <v>46</v>
      </c>
      <c r="BI96" s="760">
        <f>IF(AND($Z96="b",Inventory!$P103="Btu/hr"),Inventory!$O103,IF(AND($Z96="b",Inventory!$P103="Tons"),Inventory!$O103*12000,IF(AND($Z96&lt;&gt;"b",Inventory!$AM103="Btu/hr"),Inventory!$AL103,IF(AND($Z96&lt;&gt;"b",Inventory!$AM103="Tons"),Inventory!$AL103*12000,0))))</f>
        <v>0</v>
      </c>
      <c r="BJ96" s="760">
        <f t="shared" si="47"/>
        <v>0</v>
      </c>
      <c r="BK96" s="598">
        <f t="shared" si="78"/>
        <v>0</v>
      </c>
      <c r="BL96" s="759" t="s">
        <v>567</v>
      </c>
      <c r="BM96" s="477" t="str">
        <f t="shared" si="57"/>
        <v>No</v>
      </c>
      <c r="BN96" s="477" t="str">
        <f>IF(OR(Inventory!$H103="",$BM96="No"),"-",Inventory!$H103)</f>
        <v>-</v>
      </c>
      <c r="BO96" s="477" t="str">
        <f>IFERROR(VLOOKUP(BN96,'Early Retirement'!$B$6:$C$33,2,FALSE),"-")</f>
        <v>-</v>
      </c>
      <c r="BP96" s="477" t="str">
        <f>IF(Inventory!$J103="Centrifugal","Yes","No")</f>
        <v>No</v>
      </c>
      <c r="BQ96" s="477">
        <f t="shared" si="79"/>
        <v>0</v>
      </c>
      <c r="BR96" s="477" t="str">
        <f t="shared" si="80"/>
        <v>-</v>
      </c>
      <c r="BS96" s="479">
        <f>IFERROR(INDEX('Early Retirement'!$C$4:$AC$33,$BO96,$BR96),0)</f>
        <v>0</v>
      </c>
      <c r="BT96" s="477">
        <f>IFERROR(HLOOKUP($BR96,'Early Retirement'!$D$4:$AC$5,2,FALSE),0)</f>
        <v>0</v>
      </c>
      <c r="BU96" s="761">
        <f>IFERROR(INDEX('Early Retirement'!$AE$4:$BE$33,$BO96,$BR96),0)</f>
        <v>0</v>
      </c>
      <c r="BV96" s="759">
        <f>IFERROR(HLOOKUP($BR96,'Early Retirement'!$AF$4:$BE$5,2,FALSE),0)</f>
        <v>0</v>
      </c>
      <c r="BW96" s="479">
        <f t="shared" si="87"/>
        <v>0</v>
      </c>
      <c r="BX96" s="761">
        <f t="shared" si="81"/>
        <v>0</v>
      </c>
      <c r="BY96" s="477" t="s">
        <v>46</v>
      </c>
      <c r="BZ96" s="598">
        <f>IFERROR(INDEX('Early Retirement'!$BG$4:$CG$33,$BO96,$BR96),0)</f>
        <v>0</v>
      </c>
      <c r="CA96" s="759">
        <f>IFERROR(HLOOKUP($BR96,'Early Retirement'!$BH$4:$CH$5,2,FALSE),0)</f>
        <v>0</v>
      </c>
      <c r="CB96" s="598">
        <f t="shared" si="82"/>
        <v>0</v>
      </c>
      <c r="CC96" s="759" t="s">
        <v>567</v>
      </c>
      <c r="CD96" s="477" t="str">
        <f t="shared" si="58"/>
        <v>Yes</v>
      </c>
      <c r="CE96" s="479">
        <f t="shared" si="59"/>
        <v>0</v>
      </c>
      <c r="CF96" s="761">
        <f t="shared" si="60"/>
        <v>0</v>
      </c>
      <c r="CG96" s="759" t="s">
        <v>46</v>
      </c>
      <c r="CH96" s="598">
        <f t="shared" si="83"/>
        <v>0</v>
      </c>
      <c r="CI96" s="759" t="s">
        <v>567</v>
      </c>
      <c r="CJ96" s="480">
        <f t="shared" si="84"/>
        <v>0</v>
      </c>
      <c r="CK96" s="583">
        <f t="shared" si="85"/>
        <v>0</v>
      </c>
      <c r="CL96" s="596" t="s">
        <v>46</v>
      </c>
      <c r="CM96" s="581">
        <f t="shared" si="86"/>
        <v>0</v>
      </c>
      <c r="CN96" s="762" t="s">
        <v>567</v>
      </c>
      <c r="CP96" s="90" t="s">
        <v>210</v>
      </c>
      <c r="CQ96" s="124">
        <v>0.63400000000000001</v>
      </c>
      <c r="CR96" s="307" t="s">
        <v>46</v>
      </c>
      <c r="CS96" s="645">
        <v>0.59599999999999997</v>
      </c>
      <c r="CT96" s="551" t="s">
        <v>559</v>
      </c>
      <c r="CU96" s="645">
        <f t="shared" si="91"/>
        <v>0.63400000000000001</v>
      </c>
      <c r="CV96" s="645">
        <f t="shared" si="92"/>
        <v>0.59599999999999997</v>
      </c>
      <c r="CW96" s="633" t="s">
        <v>46</v>
      </c>
      <c r="CX96" s="606"/>
      <c r="CY96" s="589"/>
      <c r="CZ96" s="606"/>
      <c r="DA96" s="609"/>
      <c r="DB96" s="562"/>
      <c r="DC96" s="562"/>
      <c r="DD96" s="562"/>
      <c r="DE96" s="562"/>
      <c r="DF96" s="562"/>
      <c r="DG96" s="562"/>
      <c r="DH96" s="562"/>
      <c r="DI96" s="562"/>
      <c r="DJ96" s="562"/>
      <c r="DK96" s="562"/>
      <c r="DL96" s="562"/>
      <c r="DM96" s="562"/>
      <c r="DN96" s="562"/>
      <c r="DO96" s="562"/>
      <c r="DP96" s="562"/>
      <c r="DQ96" s="562"/>
      <c r="DR96" s="562"/>
      <c r="DS96" s="562"/>
      <c r="DT96" s="562"/>
      <c r="DU96" s="562"/>
      <c r="DV96" s="562"/>
      <c r="DW96" s="562"/>
      <c r="DX96" s="562"/>
      <c r="DY96" s="562"/>
      <c r="DZ96" s="562"/>
      <c r="EA96" s="562"/>
      <c r="EB96" s="562"/>
      <c r="EC96" s="562"/>
      <c r="ED96" s="562"/>
      <c r="EE96" s="562"/>
      <c r="EF96" s="562"/>
      <c r="EG96" s="562"/>
      <c r="EH96" s="562"/>
      <c r="EI96" s="562"/>
      <c r="EJ96" s="562"/>
      <c r="EK96" s="562"/>
      <c r="EL96" s="562"/>
    </row>
    <row r="97" spans="2:142" s="78" customFormat="1" ht="15" customHeight="1" x14ac:dyDescent="0.25">
      <c r="B97" s="77"/>
      <c r="E97" s="77"/>
      <c r="H97" s="77"/>
      <c r="U97" s="79"/>
      <c r="V97" s="79"/>
      <c r="W97" s="79"/>
      <c r="Y97" s="90">
        <v>95</v>
      </c>
      <c r="Z97" s="559" t="str">
        <f>IF(Inventory!$C104="","",VLOOKUP(Inventory!$C104,$B$3:$C$5,2,FALSE))</f>
        <v/>
      </c>
      <c r="AA97" s="559" t="str">
        <f>IF($Z97="","",IF(AND($Z97="b",Inventory!$G104=""),"",IF(AND($Z97="b",Inventory!$G104&lt;&gt;""),VLOOKUP(Inventory!$G104,$E$3:$F$10,2,FALSE),IF(AND($Z97="a",Inventory!$Z104=""),"",IF(AND($Z97="a",Inventory!$Z104&lt;&gt;""),VLOOKUP(Inventory!$Z104,$E$3:$F$10,2,FALSE),IF(AND($Z97="c",Inventory!$Z104=""),"",IF(AND($Z97="c",Inventory!$Z104&lt;&gt;""),VLOOKUP(Inventory!$Z104,$E$3:$F$10,2,FALSE),"")))))))</f>
        <v/>
      </c>
      <c r="AB97" s="559" t="str">
        <f>IF($Z97="","a",IF(AND($Z97="b",Inventory!$J104=""),"a",IF(AND($Z97="b",Inventory!$J104&lt;&gt;""),VLOOKUP(Inventory!$J104,$H$4:$I$6,2,FALSE),IF(AND($Z97="a",Inventory!$AA104=""),"a",IF(AND($Z97="a",Inventory!$AA104&lt;&gt;""),VLOOKUP(Inventory!$AA104,$H$4:$I$6,2,FALSE),IF(AND($Z97="c",Inventory!$AA104=""),"a",IF(AND($Z97="c",Inventory!$AA104&lt;&gt;""),VLOOKUP(Inventory!$AA104,$H$4:$I$6,2,FALSE),"a")))))))</f>
        <v>a</v>
      </c>
      <c r="AC97" s="559" t="str">
        <f t="shared" si="61"/>
        <v>a</v>
      </c>
      <c r="AD97" s="473" t="str">
        <f>IF($Z97="","a",IF(AND($Z97="b",Inventory!$L104=""),"a",IF(AND($Z97="b",Inventory!$L104&lt;&gt;""),VLOOKUP(Inventory!$L104,$N$4:$O$5,2,FALSE),IF(AND($Z97="a",Inventory!$AC104=""),"a",IF(AND($Z97="a",Inventory!$AC104&lt;&gt;""),VLOOKUP(Inventory!$AC104,$N$4:$O$5,2,FALSE),IF(AND($Z97="c",Inventory!$AC104=""),"a",IF(AND($Z97="c",Inventory!$AC104&lt;&gt;""),VLOOKUP(Inventory!$AC104,$N$4:$O$5,2,FALSE),"a")))))))</f>
        <v>a</v>
      </c>
      <c r="AE97" s="474">
        <f>IF(OR(Inventory!C104="New Construction",Inventory!C104="Replace-on-Burnout"),Inventory!AF104,IF(Inventory!C104="Early Retirement",MIN(Inventory!AE104,Inventory!AF104),0))</f>
        <v>0</v>
      </c>
      <c r="AF97" s="475" t="str">
        <f t="shared" si="62"/>
        <v/>
      </c>
      <c r="AG97" s="475" t="str">
        <f t="shared" si="50"/>
        <v/>
      </c>
      <c r="AH97" s="475" t="str">
        <f t="shared" si="51"/>
        <v/>
      </c>
      <c r="AI97" s="475" t="str">
        <f t="shared" si="52"/>
        <v/>
      </c>
      <c r="AJ97" s="475" t="str">
        <f t="shared" si="53"/>
        <v/>
      </c>
      <c r="AK97" s="475" t="str">
        <f t="shared" si="63"/>
        <v/>
      </c>
      <c r="AL97" s="475" t="str">
        <f t="shared" si="64"/>
        <v/>
      </c>
      <c r="AM97" s="475" t="str">
        <f t="shared" si="65"/>
        <v/>
      </c>
      <c r="AN97" s="475" t="str">
        <f t="shared" si="66"/>
        <v/>
      </c>
      <c r="AO97" s="475" t="str">
        <f t="shared" si="67"/>
        <v/>
      </c>
      <c r="AP97" s="475" t="str">
        <f t="shared" si="68"/>
        <v/>
      </c>
      <c r="AQ97" s="475" t="str">
        <f t="shared" si="69"/>
        <v/>
      </c>
      <c r="AR97" s="475" t="str">
        <f t="shared" si="70"/>
        <v/>
      </c>
      <c r="AS97" s="475" t="str">
        <f t="shared" si="71"/>
        <v/>
      </c>
      <c r="AT97" s="475" t="str">
        <f t="shared" si="72"/>
        <v/>
      </c>
      <c r="AU97" s="475" t="str">
        <f t="shared" si="73"/>
        <v/>
      </c>
      <c r="AV97" s="475" t="str">
        <f t="shared" si="54"/>
        <v/>
      </c>
      <c r="AW97" s="473">
        <f t="shared" si="55"/>
        <v>0</v>
      </c>
      <c r="AX97" s="473" t="str">
        <f>IF(AND($Z97="b",OR($AA97="a",$AA97="b"),Inventory!$I104="",$AE97&lt;(65000/12000)),"x",IF(AND($Z97="b",OR($AA97="a",$AA97="b"),Inventory!$I104&lt;&gt;"",$AE97&lt;(65000/12000)),VLOOKUP(Inventory!$I104,$V$4:$W$5,2,FALSE),"x"))</f>
        <v>x</v>
      </c>
      <c r="AY97" s="476" t="str">
        <f t="shared" si="74"/>
        <v>aaa0</v>
      </c>
      <c r="AZ97" s="477" t="str">
        <f t="shared" si="75"/>
        <v>No</v>
      </c>
      <c r="BA97" s="759" t="str">
        <f t="shared" si="76"/>
        <v>No</v>
      </c>
      <c r="BB97" s="477">
        <f>IF($Z97="c",Inventory!$AB104,Inventory!$K104)</f>
        <v>0</v>
      </c>
      <c r="BC97" s="478">
        <f>IF(AND($Z97="b",Inventory!$N104="Btu/hr"),Inventory!$M104,IF(AND($Z97="b",Inventory!$N104="Tons"),Inventory!$M104*12000,IF(AND($Z97&lt;&gt;"b",Inventory!$AK104="Btu/hr"),Inventory!$AD104,IF(AND($Z97&lt;&gt;"b",Inventory!$AK104="Tons"),Inventory!$AD104*12000,0))))</f>
        <v>0</v>
      </c>
      <c r="BD97" s="478">
        <f t="shared" si="46"/>
        <v>0</v>
      </c>
      <c r="BE97" s="479">
        <f t="shared" si="77"/>
        <v>0</v>
      </c>
      <c r="BF97" s="477" t="s">
        <v>50</v>
      </c>
      <c r="BG97" s="479">
        <f t="shared" si="56"/>
        <v>0</v>
      </c>
      <c r="BH97" s="477" t="s">
        <v>46</v>
      </c>
      <c r="BI97" s="760">
        <f>IF(AND($Z97="b",Inventory!$P104="Btu/hr"),Inventory!$O104,IF(AND($Z97="b",Inventory!$P104="Tons"),Inventory!$O104*12000,IF(AND($Z97&lt;&gt;"b",Inventory!$AM104="Btu/hr"),Inventory!$AL104,IF(AND($Z97&lt;&gt;"b",Inventory!$AM104="Tons"),Inventory!$AL104*12000,0))))</f>
        <v>0</v>
      </c>
      <c r="BJ97" s="760">
        <f t="shared" si="47"/>
        <v>0</v>
      </c>
      <c r="BK97" s="598">
        <f t="shared" si="78"/>
        <v>0</v>
      </c>
      <c r="BL97" s="759" t="s">
        <v>567</v>
      </c>
      <c r="BM97" s="477" t="str">
        <f t="shared" si="57"/>
        <v>No</v>
      </c>
      <c r="BN97" s="477" t="str">
        <f>IF(OR(Inventory!$H104="",$BM97="No"),"-",Inventory!$H104)</f>
        <v>-</v>
      </c>
      <c r="BO97" s="477" t="str">
        <f>IFERROR(VLOOKUP(BN97,'Early Retirement'!$B$6:$C$33,2,FALSE),"-")</f>
        <v>-</v>
      </c>
      <c r="BP97" s="477" t="str">
        <f>IF(Inventory!$J104="Centrifugal","Yes","No")</f>
        <v>No</v>
      </c>
      <c r="BQ97" s="477">
        <f t="shared" si="79"/>
        <v>0</v>
      </c>
      <c r="BR97" s="477" t="str">
        <f t="shared" si="80"/>
        <v>-</v>
      </c>
      <c r="BS97" s="479">
        <f>IFERROR(INDEX('Early Retirement'!$C$4:$AC$33,$BO97,$BR97),0)</f>
        <v>0</v>
      </c>
      <c r="BT97" s="477">
        <f>IFERROR(HLOOKUP($BR97,'Early Retirement'!$D$4:$AC$5,2,FALSE),0)</f>
        <v>0</v>
      </c>
      <c r="BU97" s="761">
        <f>IFERROR(INDEX('Early Retirement'!$AE$4:$BE$33,$BO97,$BR97),0)</f>
        <v>0</v>
      </c>
      <c r="BV97" s="759">
        <f>IFERROR(HLOOKUP($BR97,'Early Retirement'!$AF$4:$BE$5,2,FALSE),0)</f>
        <v>0</v>
      </c>
      <c r="BW97" s="479">
        <f t="shared" si="87"/>
        <v>0</v>
      </c>
      <c r="BX97" s="761">
        <f t="shared" si="81"/>
        <v>0</v>
      </c>
      <c r="BY97" s="477" t="s">
        <v>46</v>
      </c>
      <c r="BZ97" s="598">
        <f>IFERROR(INDEX('Early Retirement'!$BG$4:$CG$33,$BO97,$BR97),0)</f>
        <v>0</v>
      </c>
      <c r="CA97" s="759">
        <f>IFERROR(HLOOKUP($BR97,'Early Retirement'!$BH$4:$CH$5,2,FALSE),0)</f>
        <v>0</v>
      </c>
      <c r="CB97" s="598">
        <f t="shared" si="82"/>
        <v>0</v>
      </c>
      <c r="CC97" s="759" t="s">
        <v>567</v>
      </c>
      <c r="CD97" s="477" t="str">
        <f t="shared" si="58"/>
        <v>Yes</v>
      </c>
      <c r="CE97" s="479">
        <f t="shared" si="59"/>
        <v>0</v>
      </c>
      <c r="CF97" s="761">
        <f t="shared" si="60"/>
        <v>0</v>
      </c>
      <c r="CG97" s="759" t="s">
        <v>46</v>
      </c>
      <c r="CH97" s="598">
        <f t="shared" si="83"/>
        <v>0</v>
      </c>
      <c r="CI97" s="759" t="s">
        <v>567</v>
      </c>
      <c r="CJ97" s="480">
        <f t="shared" si="84"/>
        <v>0</v>
      </c>
      <c r="CK97" s="583">
        <f t="shared" si="85"/>
        <v>0</v>
      </c>
      <c r="CL97" s="596" t="s">
        <v>46</v>
      </c>
      <c r="CM97" s="581">
        <f t="shared" si="86"/>
        <v>0</v>
      </c>
      <c r="CN97" s="762" t="s">
        <v>567</v>
      </c>
      <c r="CP97" s="90" t="s">
        <v>513</v>
      </c>
      <c r="CQ97" s="124">
        <v>0.57599999999999996</v>
      </c>
      <c r="CR97" s="307" t="s">
        <v>46</v>
      </c>
      <c r="CS97" s="645">
        <v>0.54900000000000004</v>
      </c>
      <c r="CT97" s="551" t="s">
        <v>559</v>
      </c>
      <c r="CU97" s="645">
        <f t="shared" si="91"/>
        <v>0.57599999999999996</v>
      </c>
      <c r="CV97" s="645">
        <f t="shared" si="92"/>
        <v>0.54900000000000004</v>
      </c>
      <c r="CW97" s="633" t="s">
        <v>46</v>
      </c>
      <c r="CX97" s="606"/>
      <c r="CY97" s="589"/>
      <c r="CZ97" s="606"/>
      <c r="DA97" s="609"/>
      <c r="DB97" s="562"/>
      <c r="DC97" s="562"/>
      <c r="DD97" s="562"/>
      <c r="DE97" s="562"/>
      <c r="DF97" s="562"/>
      <c r="DG97" s="562"/>
      <c r="DH97" s="562"/>
      <c r="DI97" s="562"/>
      <c r="DJ97" s="562"/>
      <c r="DK97" s="562"/>
      <c r="DL97" s="562"/>
      <c r="DM97" s="562"/>
      <c r="DN97" s="562"/>
      <c r="DO97" s="562"/>
      <c r="DP97" s="562"/>
      <c r="DQ97" s="562"/>
      <c r="DR97" s="562"/>
      <c r="DS97" s="562"/>
      <c r="DT97" s="562"/>
      <c r="DU97" s="562"/>
      <c r="DV97" s="562"/>
      <c r="DW97" s="562"/>
      <c r="DX97" s="562"/>
      <c r="DY97" s="562"/>
      <c r="DZ97" s="562"/>
      <c r="EA97" s="562"/>
      <c r="EB97" s="562"/>
      <c r="EC97" s="562"/>
      <c r="ED97" s="562"/>
      <c r="EE97" s="562"/>
      <c r="EF97" s="562"/>
      <c r="EG97" s="562"/>
      <c r="EH97" s="562"/>
      <c r="EI97" s="562"/>
      <c r="EJ97" s="562"/>
      <c r="EK97" s="562"/>
      <c r="EL97" s="562"/>
    </row>
    <row r="98" spans="2:142" s="78" customFormat="1" ht="15" customHeight="1" x14ac:dyDescent="0.25">
      <c r="B98" s="77"/>
      <c r="E98" s="77"/>
      <c r="H98" s="77"/>
      <c r="U98" s="79"/>
      <c r="V98" s="79"/>
      <c r="W98" s="79"/>
      <c r="Y98" s="90">
        <v>96</v>
      </c>
      <c r="Z98" s="559" t="str">
        <f>IF(Inventory!$C105="","",VLOOKUP(Inventory!$C105,$B$3:$C$5,2,FALSE))</f>
        <v/>
      </c>
      <c r="AA98" s="559" t="str">
        <f>IF($Z98="","",IF(AND($Z98="b",Inventory!$G105=""),"",IF(AND($Z98="b",Inventory!$G105&lt;&gt;""),VLOOKUP(Inventory!$G105,$E$3:$F$10,2,FALSE),IF(AND($Z98="a",Inventory!$Z105=""),"",IF(AND($Z98="a",Inventory!$Z105&lt;&gt;""),VLOOKUP(Inventory!$Z105,$E$3:$F$10,2,FALSE),IF(AND($Z98="c",Inventory!$Z105=""),"",IF(AND($Z98="c",Inventory!$Z105&lt;&gt;""),VLOOKUP(Inventory!$Z105,$E$3:$F$10,2,FALSE),"")))))))</f>
        <v/>
      </c>
      <c r="AB98" s="559" t="str">
        <f>IF($Z98="","a",IF(AND($Z98="b",Inventory!$J105=""),"a",IF(AND($Z98="b",Inventory!$J105&lt;&gt;""),VLOOKUP(Inventory!$J105,$H$4:$I$6,2,FALSE),IF(AND($Z98="a",Inventory!$AA105=""),"a",IF(AND($Z98="a",Inventory!$AA105&lt;&gt;""),VLOOKUP(Inventory!$AA105,$H$4:$I$6,2,FALSE),IF(AND($Z98="c",Inventory!$AA105=""),"a",IF(AND($Z98="c",Inventory!$AA105&lt;&gt;""),VLOOKUP(Inventory!$AA105,$H$4:$I$6,2,FALSE),"a")))))))</f>
        <v>a</v>
      </c>
      <c r="AC98" s="559" t="str">
        <f t="shared" si="61"/>
        <v>a</v>
      </c>
      <c r="AD98" s="473" t="str">
        <f>IF($Z98="","a",IF(AND($Z98="b",Inventory!$L105=""),"a",IF(AND($Z98="b",Inventory!$L105&lt;&gt;""),VLOOKUP(Inventory!$L105,$N$4:$O$5,2,FALSE),IF(AND($Z98="a",Inventory!$AC105=""),"a",IF(AND($Z98="a",Inventory!$AC105&lt;&gt;""),VLOOKUP(Inventory!$AC105,$N$4:$O$5,2,FALSE),IF(AND($Z98="c",Inventory!$AC105=""),"a",IF(AND($Z98="c",Inventory!$AC105&lt;&gt;""),VLOOKUP(Inventory!$AC105,$N$4:$O$5,2,FALSE),"a")))))))</f>
        <v>a</v>
      </c>
      <c r="AE98" s="474">
        <f>IF(OR(Inventory!C105="New Construction",Inventory!C105="Replace-on-Burnout"),Inventory!AF105,IF(Inventory!C105="Early Retirement",MIN(Inventory!AE105,Inventory!AF105),0))</f>
        <v>0</v>
      </c>
      <c r="AF98" s="475" t="str">
        <f t="shared" si="62"/>
        <v/>
      </c>
      <c r="AG98" s="475" t="str">
        <f t="shared" si="50"/>
        <v/>
      </c>
      <c r="AH98" s="475" t="str">
        <f t="shared" si="51"/>
        <v/>
      </c>
      <c r="AI98" s="475" t="str">
        <f t="shared" si="52"/>
        <v/>
      </c>
      <c r="AJ98" s="475" t="str">
        <f t="shared" si="53"/>
        <v/>
      </c>
      <c r="AK98" s="475" t="str">
        <f t="shared" si="63"/>
        <v/>
      </c>
      <c r="AL98" s="475" t="str">
        <f t="shared" si="64"/>
        <v/>
      </c>
      <c r="AM98" s="475" t="str">
        <f t="shared" si="65"/>
        <v/>
      </c>
      <c r="AN98" s="475" t="str">
        <f t="shared" si="66"/>
        <v/>
      </c>
      <c r="AO98" s="475" t="str">
        <f t="shared" si="67"/>
        <v/>
      </c>
      <c r="AP98" s="475" t="str">
        <f t="shared" si="68"/>
        <v/>
      </c>
      <c r="AQ98" s="475" t="str">
        <f t="shared" si="69"/>
        <v/>
      </c>
      <c r="AR98" s="475" t="str">
        <f t="shared" si="70"/>
        <v/>
      </c>
      <c r="AS98" s="475" t="str">
        <f t="shared" si="71"/>
        <v/>
      </c>
      <c r="AT98" s="475" t="str">
        <f t="shared" si="72"/>
        <v/>
      </c>
      <c r="AU98" s="475" t="str">
        <f t="shared" si="73"/>
        <v/>
      </c>
      <c r="AV98" s="475" t="str">
        <f t="shared" si="54"/>
        <v/>
      </c>
      <c r="AW98" s="473">
        <f t="shared" si="55"/>
        <v>0</v>
      </c>
      <c r="AX98" s="473" t="str">
        <f>IF(AND($Z98="b",OR($AA98="a",$AA98="b"),Inventory!$I105="",$AE98&lt;(65000/12000)),"x",IF(AND($Z98="b",OR($AA98="a",$AA98="b"),Inventory!$I105&lt;&gt;"",$AE98&lt;(65000/12000)),VLOOKUP(Inventory!$I105,$V$4:$W$5,2,FALSE),"x"))</f>
        <v>x</v>
      </c>
      <c r="AY98" s="476" t="str">
        <f t="shared" si="74"/>
        <v>aaa0</v>
      </c>
      <c r="AZ98" s="477" t="str">
        <f t="shared" si="75"/>
        <v>No</v>
      </c>
      <c r="BA98" s="759" t="str">
        <f t="shared" si="76"/>
        <v>No</v>
      </c>
      <c r="BB98" s="477">
        <f>IF($Z98="c",Inventory!$AB105,Inventory!$K105)</f>
        <v>0</v>
      </c>
      <c r="BC98" s="478">
        <f>IF(AND($Z98="b",Inventory!$N105="Btu/hr"),Inventory!$M105,IF(AND($Z98="b",Inventory!$N105="Tons"),Inventory!$M105*12000,IF(AND($Z98&lt;&gt;"b",Inventory!$AK105="Btu/hr"),Inventory!$AD105,IF(AND($Z98&lt;&gt;"b",Inventory!$AK105="Tons"),Inventory!$AD105*12000,0))))</f>
        <v>0</v>
      </c>
      <c r="BD98" s="478">
        <f t="shared" si="46"/>
        <v>0</v>
      </c>
      <c r="BE98" s="479">
        <f t="shared" si="77"/>
        <v>0</v>
      </c>
      <c r="BF98" s="477" t="s">
        <v>50</v>
      </c>
      <c r="BG98" s="479">
        <f t="shared" si="56"/>
        <v>0</v>
      </c>
      <c r="BH98" s="477" t="s">
        <v>46</v>
      </c>
      <c r="BI98" s="760">
        <f>IF(AND($Z98="b",Inventory!$P105="Btu/hr"),Inventory!$O105,IF(AND($Z98="b",Inventory!$P105="Tons"),Inventory!$O105*12000,IF(AND($Z98&lt;&gt;"b",Inventory!$AM105="Btu/hr"),Inventory!$AL105,IF(AND($Z98&lt;&gt;"b",Inventory!$AM105="Tons"),Inventory!$AL105*12000,0))))</f>
        <v>0</v>
      </c>
      <c r="BJ98" s="760">
        <f t="shared" si="47"/>
        <v>0</v>
      </c>
      <c r="BK98" s="598">
        <f t="shared" si="78"/>
        <v>0</v>
      </c>
      <c r="BL98" s="759" t="s">
        <v>567</v>
      </c>
      <c r="BM98" s="477" t="str">
        <f t="shared" si="57"/>
        <v>No</v>
      </c>
      <c r="BN98" s="477" t="str">
        <f>IF(OR(Inventory!$H105="",$BM98="No"),"-",Inventory!$H105)</f>
        <v>-</v>
      </c>
      <c r="BO98" s="477" t="str">
        <f>IFERROR(VLOOKUP(BN98,'Early Retirement'!$B$6:$C$33,2,FALSE),"-")</f>
        <v>-</v>
      </c>
      <c r="BP98" s="477" t="str">
        <f>IF(Inventory!$J105="Centrifugal","Yes","No")</f>
        <v>No</v>
      </c>
      <c r="BQ98" s="477">
        <f t="shared" si="79"/>
        <v>0</v>
      </c>
      <c r="BR98" s="477" t="str">
        <f t="shared" si="80"/>
        <v>-</v>
      </c>
      <c r="BS98" s="479">
        <f>IFERROR(INDEX('Early Retirement'!$C$4:$AC$33,$BO98,$BR98),0)</f>
        <v>0</v>
      </c>
      <c r="BT98" s="477">
        <f>IFERROR(HLOOKUP($BR98,'Early Retirement'!$D$4:$AC$5,2,FALSE),0)</f>
        <v>0</v>
      </c>
      <c r="BU98" s="761">
        <f>IFERROR(INDEX('Early Retirement'!$AE$4:$BE$33,$BO98,$BR98),0)</f>
        <v>0</v>
      </c>
      <c r="BV98" s="759">
        <f>IFERROR(HLOOKUP($BR98,'Early Retirement'!$AF$4:$BE$5,2,FALSE),0)</f>
        <v>0</v>
      </c>
      <c r="BW98" s="479">
        <f t="shared" si="87"/>
        <v>0</v>
      </c>
      <c r="BX98" s="761">
        <f t="shared" si="81"/>
        <v>0</v>
      </c>
      <c r="BY98" s="477" t="s">
        <v>46</v>
      </c>
      <c r="BZ98" s="598">
        <f>IFERROR(INDEX('Early Retirement'!$BG$4:$CG$33,$BO98,$BR98),0)</f>
        <v>0</v>
      </c>
      <c r="CA98" s="759">
        <f>IFERROR(HLOOKUP($BR98,'Early Retirement'!$BH$4:$CH$5,2,FALSE),0)</f>
        <v>0</v>
      </c>
      <c r="CB98" s="598">
        <f t="shared" si="82"/>
        <v>0</v>
      </c>
      <c r="CC98" s="759" t="s">
        <v>567</v>
      </c>
      <c r="CD98" s="477" t="str">
        <f t="shared" si="58"/>
        <v>Yes</v>
      </c>
      <c r="CE98" s="479">
        <f t="shared" si="59"/>
        <v>0</v>
      </c>
      <c r="CF98" s="761">
        <f t="shared" si="60"/>
        <v>0</v>
      </c>
      <c r="CG98" s="759" t="s">
        <v>46</v>
      </c>
      <c r="CH98" s="598">
        <f t="shared" si="83"/>
        <v>0</v>
      </c>
      <c r="CI98" s="759" t="s">
        <v>567</v>
      </c>
      <c r="CJ98" s="480">
        <f t="shared" si="84"/>
        <v>0</v>
      </c>
      <c r="CK98" s="583">
        <f t="shared" si="85"/>
        <v>0</v>
      </c>
      <c r="CL98" s="596" t="s">
        <v>46</v>
      </c>
      <c r="CM98" s="581">
        <f t="shared" si="86"/>
        <v>0</v>
      </c>
      <c r="CN98" s="762" t="s">
        <v>567</v>
      </c>
      <c r="CP98" s="90" t="s">
        <v>514</v>
      </c>
      <c r="CQ98" s="124">
        <v>0.56999999999999995</v>
      </c>
      <c r="CR98" s="307" t="s">
        <v>46</v>
      </c>
      <c r="CS98" s="645">
        <v>0.53900000000000003</v>
      </c>
      <c r="CT98" s="551" t="s">
        <v>559</v>
      </c>
      <c r="CU98" s="645">
        <f t="shared" si="91"/>
        <v>0.56999999999999995</v>
      </c>
      <c r="CV98" s="645">
        <f t="shared" si="92"/>
        <v>0.53900000000000003</v>
      </c>
      <c r="CW98" s="633" t="s">
        <v>46</v>
      </c>
      <c r="CX98" s="606"/>
      <c r="CY98" s="589"/>
      <c r="CZ98" s="606"/>
      <c r="DA98" s="609"/>
      <c r="DB98" s="562"/>
      <c r="DC98" s="562"/>
      <c r="DD98" s="562"/>
      <c r="DE98" s="562"/>
      <c r="DF98" s="562"/>
      <c r="DG98" s="562"/>
      <c r="DH98" s="562"/>
      <c r="DI98" s="562"/>
      <c r="DJ98" s="562"/>
      <c r="DK98" s="562"/>
      <c r="DL98" s="562"/>
      <c r="DM98" s="562"/>
      <c r="DN98" s="562"/>
      <c r="DO98" s="562"/>
      <c r="DP98" s="562"/>
      <c r="DQ98" s="562"/>
      <c r="DR98" s="562"/>
      <c r="DS98" s="562"/>
      <c r="DT98" s="562"/>
      <c r="DU98" s="562"/>
      <c r="DV98" s="562"/>
      <c r="DW98" s="562"/>
      <c r="DX98" s="562"/>
      <c r="DY98" s="562"/>
      <c r="DZ98" s="562"/>
      <c r="EA98" s="562"/>
      <c r="EB98" s="562"/>
      <c r="EC98" s="562"/>
      <c r="ED98" s="562"/>
      <c r="EE98" s="562"/>
      <c r="EF98" s="562"/>
      <c r="EG98" s="562"/>
      <c r="EH98" s="562"/>
      <c r="EI98" s="562"/>
      <c r="EJ98" s="562"/>
      <c r="EK98" s="562"/>
      <c r="EL98" s="562"/>
    </row>
    <row r="99" spans="2:142" s="78" customFormat="1" ht="15" customHeight="1" x14ac:dyDescent="0.25">
      <c r="B99" s="77"/>
      <c r="E99" s="77"/>
      <c r="H99" s="77"/>
      <c r="U99" s="79"/>
      <c r="V99" s="79"/>
      <c r="W99" s="79"/>
      <c r="Y99" s="90">
        <v>97</v>
      </c>
      <c r="Z99" s="559" t="str">
        <f>IF(Inventory!$C106="","",VLOOKUP(Inventory!$C106,$B$3:$C$5,2,FALSE))</f>
        <v/>
      </c>
      <c r="AA99" s="559" t="str">
        <f>IF($Z99="","",IF(AND($Z99="b",Inventory!$G106=""),"",IF(AND($Z99="b",Inventory!$G106&lt;&gt;""),VLOOKUP(Inventory!$G106,$E$3:$F$10,2,FALSE),IF(AND($Z99="a",Inventory!$Z106=""),"",IF(AND($Z99="a",Inventory!$Z106&lt;&gt;""),VLOOKUP(Inventory!$Z106,$E$3:$F$10,2,FALSE),IF(AND($Z99="c",Inventory!$Z106=""),"",IF(AND($Z99="c",Inventory!$Z106&lt;&gt;""),VLOOKUP(Inventory!$Z106,$E$3:$F$10,2,FALSE),"")))))))</f>
        <v/>
      </c>
      <c r="AB99" s="559" t="str">
        <f>IF($Z99="","a",IF(AND($Z99="b",Inventory!$J106=""),"a",IF(AND($Z99="b",Inventory!$J106&lt;&gt;""),VLOOKUP(Inventory!$J106,$H$4:$I$6,2,FALSE),IF(AND($Z99="a",Inventory!$AA106=""),"a",IF(AND($Z99="a",Inventory!$AA106&lt;&gt;""),VLOOKUP(Inventory!$AA106,$H$4:$I$6,2,FALSE),IF(AND($Z99="c",Inventory!$AA106=""),"a",IF(AND($Z99="c",Inventory!$AA106&lt;&gt;""),VLOOKUP(Inventory!$AA106,$H$4:$I$6,2,FALSE),"a")))))))</f>
        <v>a</v>
      </c>
      <c r="AC99" s="559" t="str">
        <f t="shared" si="61"/>
        <v>a</v>
      </c>
      <c r="AD99" s="473" t="str">
        <f>IF($Z99="","a",IF(AND($Z99="b",Inventory!$L106=""),"a",IF(AND($Z99="b",Inventory!$L106&lt;&gt;""),VLOOKUP(Inventory!$L106,$N$4:$O$5,2,FALSE),IF(AND($Z99="a",Inventory!$AC106=""),"a",IF(AND($Z99="a",Inventory!$AC106&lt;&gt;""),VLOOKUP(Inventory!$AC106,$N$4:$O$5,2,FALSE),IF(AND($Z99="c",Inventory!$AC106=""),"a",IF(AND($Z99="c",Inventory!$AC106&lt;&gt;""),VLOOKUP(Inventory!$AC106,$N$4:$O$5,2,FALSE),"a")))))))</f>
        <v>a</v>
      </c>
      <c r="AE99" s="474">
        <f>IF(OR(Inventory!C106="New Construction",Inventory!C106="Replace-on-Burnout"),Inventory!AF106,IF(Inventory!C106="Early Retirement",MIN(Inventory!AE106,Inventory!AF106),0))</f>
        <v>0</v>
      </c>
      <c r="AF99" s="475" t="str">
        <f t="shared" si="62"/>
        <v/>
      </c>
      <c r="AG99" s="475" t="str">
        <f t="shared" si="50"/>
        <v/>
      </c>
      <c r="AH99" s="475" t="str">
        <f t="shared" si="51"/>
        <v/>
      </c>
      <c r="AI99" s="475" t="str">
        <f t="shared" si="52"/>
        <v/>
      </c>
      <c r="AJ99" s="475" t="str">
        <f t="shared" si="53"/>
        <v/>
      </c>
      <c r="AK99" s="475" t="str">
        <f t="shared" si="63"/>
        <v/>
      </c>
      <c r="AL99" s="475" t="str">
        <f t="shared" si="64"/>
        <v/>
      </c>
      <c r="AM99" s="475" t="str">
        <f t="shared" si="65"/>
        <v/>
      </c>
      <c r="AN99" s="475" t="str">
        <f t="shared" si="66"/>
        <v/>
      </c>
      <c r="AO99" s="475" t="str">
        <f t="shared" si="67"/>
        <v/>
      </c>
      <c r="AP99" s="475" t="str">
        <f t="shared" si="68"/>
        <v/>
      </c>
      <c r="AQ99" s="475" t="str">
        <f t="shared" si="69"/>
        <v/>
      </c>
      <c r="AR99" s="475" t="str">
        <f t="shared" si="70"/>
        <v/>
      </c>
      <c r="AS99" s="475" t="str">
        <f t="shared" si="71"/>
        <v/>
      </c>
      <c r="AT99" s="475" t="str">
        <f t="shared" si="72"/>
        <v/>
      </c>
      <c r="AU99" s="475" t="str">
        <f t="shared" si="73"/>
        <v/>
      </c>
      <c r="AV99" s="475" t="str">
        <f t="shared" si="54"/>
        <v/>
      </c>
      <c r="AW99" s="473">
        <f t="shared" si="55"/>
        <v>0</v>
      </c>
      <c r="AX99" s="473" t="str">
        <f>IF(AND($Z99="b",OR($AA99="a",$AA99="b"),Inventory!$I106="",$AE99&lt;(65000/12000)),"x",IF(AND($Z99="b",OR($AA99="a",$AA99="b"),Inventory!$I106&lt;&gt;"",$AE99&lt;(65000/12000)),VLOOKUP(Inventory!$I106,$V$4:$W$5,2,FALSE),"x"))</f>
        <v>x</v>
      </c>
      <c r="AY99" s="476" t="str">
        <f t="shared" si="74"/>
        <v>aaa0</v>
      </c>
      <c r="AZ99" s="477" t="str">
        <f t="shared" si="75"/>
        <v>No</v>
      </c>
      <c r="BA99" s="759" t="str">
        <f t="shared" si="76"/>
        <v>No</v>
      </c>
      <c r="BB99" s="477">
        <f>IF($Z99="c",Inventory!$AB106,Inventory!$K106)</f>
        <v>0</v>
      </c>
      <c r="BC99" s="478">
        <f>IF(AND($Z99="b",Inventory!$N106="Btu/hr"),Inventory!$M106,IF(AND($Z99="b",Inventory!$N106="Tons"),Inventory!$M106*12000,IF(AND($Z99&lt;&gt;"b",Inventory!$AK106="Btu/hr"),Inventory!$AD106,IF(AND($Z99&lt;&gt;"b",Inventory!$AK106="Tons"),Inventory!$AD106*12000,0))))</f>
        <v>0</v>
      </c>
      <c r="BD99" s="478">
        <f t="shared" si="46"/>
        <v>0</v>
      </c>
      <c r="BE99" s="479">
        <f t="shared" si="77"/>
        <v>0</v>
      </c>
      <c r="BF99" s="477" t="s">
        <v>50</v>
      </c>
      <c r="BG99" s="479">
        <f t="shared" si="56"/>
        <v>0</v>
      </c>
      <c r="BH99" s="477" t="s">
        <v>46</v>
      </c>
      <c r="BI99" s="760">
        <f>IF(AND($Z99="b",Inventory!$P106="Btu/hr"),Inventory!$O106,IF(AND($Z99="b",Inventory!$P106="Tons"),Inventory!$O106*12000,IF(AND($Z99&lt;&gt;"b",Inventory!$AM106="Btu/hr"),Inventory!$AL106,IF(AND($Z99&lt;&gt;"b",Inventory!$AM106="Tons"),Inventory!$AL106*12000,0))))</f>
        <v>0</v>
      </c>
      <c r="BJ99" s="760">
        <f t="shared" si="47"/>
        <v>0</v>
      </c>
      <c r="BK99" s="598">
        <f t="shared" si="78"/>
        <v>0</v>
      </c>
      <c r="BL99" s="759" t="s">
        <v>567</v>
      </c>
      <c r="BM99" s="477" t="str">
        <f t="shared" si="57"/>
        <v>No</v>
      </c>
      <c r="BN99" s="477" t="str">
        <f>IF(OR(Inventory!$H106="",$BM99="No"),"-",Inventory!$H106)</f>
        <v>-</v>
      </c>
      <c r="BO99" s="477" t="str">
        <f>IFERROR(VLOOKUP(BN99,'Early Retirement'!$B$6:$C$33,2,FALSE),"-")</f>
        <v>-</v>
      </c>
      <c r="BP99" s="477" t="str">
        <f>IF(Inventory!$J106="Centrifugal","Yes","No")</f>
        <v>No</v>
      </c>
      <c r="BQ99" s="477">
        <f t="shared" si="79"/>
        <v>0</v>
      </c>
      <c r="BR99" s="477" t="str">
        <f t="shared" si="80"/>
        <v>-</v>
      </c>
      <c r="BS99" s="479">
        <f>IFERROR(INDEX('Early Retirement'!$C$4:$AC$33,$BO99,$BR99),0)</f>
        <v>0</v>
      </c>
      <c r="BT99" s="477">
        <f>IFERROR(HLOOKUP($BR99,'Early Retirement'!$D$4:$AC$5,2,FALSE),0)</f>
        <v>0</v>
      </c>
      <c r="BU99" s="761">
        <f>IFERROR(INDEX('Early Retirement'!$AE$4:$BE$33,$BO99,$BR99),0)</f>
        <v>0</v>
      </c>
      <c r="BV99" s="759">
        <f>IFERROR(HLOOKUP($BR99,'Early Retirement'!$AF$4:$BE$5,2,FALSE),0)</f>
        <v>0</v>
      </c>
      <c r="BW99" s="479">
        <f t="shared" si="87"/>
        <v>0</v>
      </c>
      <c r="BX99" s="761">
        <f t="shared" si="81"/>
        <v>0</v>
      </c>
      <c r="BY99" s="477" t="s">
        <v>46</v>
      </c>
      <c r="BZ99" s="598">
        <f>IFERROR(INDEX('Early Retirement'!$BG$4:$CG$33,$BO99,$BR99),0)</f>
        <v>0</v>
      </c>
      <c r="CA99" s="759">
        <f>IFERROR(HLOOKUP($BR99,'Early Retirement'!$BH$4:$CH$5,2,FALSE),0)</f>
        <v>0</v>
      </c>
      <c r="CB99" s="598">
        <f t="shared" si="82"/>
        <v>0</v>
      </c>
      <c r="CC99" s="759" t="s">
        <v>567</v>
      </c>
      <c r="CD99" s="477" t="str">
        <f t="shared" si="58"/>
        <v>Yes</v>
      </c>
      <c r="CE99" s="479">
        <f t="shared" si="59"/>
        <v>0</v>
      </c>
      <c r="CF99" s="761">
        <f t="shared" si="60"/>
        <v>0</v>
      </c>
      <c r="CG99" s="759" t="s">
        <v>46</v>
      </c>
      <c r="CH99" s="598">
        <f t="shared" si="83"/>
        <v>0</v>
      </c>
      <c r="CI99" s="759" t="s">
        <v>567</v>
      </c>
      <c r="CJ99" s="480">
        <f t="shared" si="84"/>
        <v>0</v>
      </c>
      <c r="CK99" s="583">
        <f t="shared" si="85"/>
        <v>0</v>
      </c>
      <c r="CL99" s="596" t="s">
        <v>46</v>
      </c>
      <c r="CM99" s="581">
        <f t="shared" si="86"/>
        <v>0</v>
      </c>
      <c r="CN99" s="762" t="s">
        <v>567</v>
      </c>
      <c r="CP99" s="90" t="s">
        <v>211</v>
      </c>
      <c r="CQ99" s="124">
        <v>0.78</v>
      </c>
      <c r="CR99" s="307" t="s">
        <v>46</v>
      </c>
      <c r="CS99" s="645">
        <v>0.63</v>
      </c>
      <c r="CT99" s="551" t="s">
        <v>559</v>
      </c>
      <c r="CU99" s="645">
        <f t="shared" si="91"/>
        <v>0.78</v>
      </c>
      <c r="CV99" s="645">
        <f t="shared" si="92"/>
        <v>0.63</v>
      </c>
      <c r="CW99" s="633" t="s">
        <v>46</v>
      </c>
      <c r="CX99" s="606"/>
      <c r="CY99" s="589"/>
      <c r="CZ99" s="606"/>
      <c r="DA99" s="609"/>
      <c r="DB99" s="562"/>
      <c r="DC99" s="562"/>
      <c r="DD99" s="562"/>
      <c r="DE99" s="562"/>
      <c r="DF99" s="562"/>
      <c r="DG99" s="562"/>
      <c r="DH99" s="562"/>
      <c r="DI99" s="562"/>
      <c r="DJ99" s="562"/>
      <c r="DK99" s="562"/>
      <c r="DL99" s="562"/>
      <c r="DM99" s="562"/>
      <c r="DN99" s="562"/>
      <c r="DO99" s="562"/>
      <c r="DP99" s="562"/>
      <c r="DQ99" s="562"/>
      <c r="DR99" s="562"/>
      <c r="DS99" s="562"/>
      <c r="DT99" s="562"/>
      <c r="DU99" s="562"/>
      <c r="DV99" s="562"/>
      <c r="DW99" s="562"/>
      <c r="DX99" s="562"/>
      <c r="DY99" s="562"/>
      <c r="DZ99" s="562"/>
      <c r="EA99" s="562"/>
      <c r="EB99" s="562"/>
      <c r="EC99" s="562"/>
      <c r="ED99" s="562"/>
      <c r="EE99" s="562"/>
      <c r="EF99" s="562"/>
      <c r="EG99" s="562"/>
      <c r="EH99" s="562"/>
      <c r="EI99" s="562"/>
      <c r="EJ99" s="562"/>
      <c r="EK99" s="562"/>
      <c r="EL99" s="562"/>
    </row>
    <row r="100" spans="2:142" s="78" customFormat="1" ht="15" customHeight="1" x14ac:dyDescent="0.25">
      <c r="B100" s="77"/>
      <c r="E100" s="77"/>
      <c r="H100" s="77"/>
      <c r="U100" s="79"/>
      <c r="V100" s="79"/>
      <c r="W100" s="79"/>
      <c r="Y100" s="90">
        <v>98</v>
      </c>
      <c r="Z100" s="559" t="str">
        <f>IF(Inventory!$C107="","",VLOOKUP(Inventory!$C107,$B$3:$C$5,2,FALSE))</f>
        <v/>
      </c>
      <c r="AA100" s="559" t="str">
        <f>IF($Z100="","",IF(AND($Z100="b",Inventory!$G107=""),"",IF(AND($Z100="b",Inventory!$G107&lt;&gt;""),VLOOKUP(Inventory!$G107,$E$3:$F$10,2,FALSE),IF(AND($Z100="a",Inventory!$Z107=""),"",IF(AND($Z100="a",Inventory!$Z107&lt;&gt;""),VLOOKUP(Inventory!$Z107,$E$3:$F$10,2,FALSE),IF(AND($Z100="c",Inventory!$Z107=""),"",IF(AND($Z100="c",Inventory!$Z107&lt;&gt;""),VLOOKUP(Inventory!$Z107,$E$3:$F$10,2,FALSE),"")))))))</f>
        <v/>
      </c>
      <c r="AB100" s="559" t="str">
        <f>IF($Z100="","a",IF(AND($Z100="b",Inventory!$J107=""),"a",IF(AND($Z100="b",Inventory!$J107&lt;&gt;""),VLOOKUP(Inventory!$J107,$H$4:$I$6,2,FALSE),IF(AND($Z100="a",Inventory!$AA107=""),"a",IF(AND($Z100="a",Inventory!$AA107&lt;&gt;""),VLOOKUP(Inventory!$AA107,$H$4:$I$6,2,FALSE),IF(AND($Z100="c",Inventory!$AA107=""),"a",IF(AND($Z100="c",Inventory!$AA107&lt;&gt;""),VLOOKUP(Inventory!$AA107,$H$4:$I$6,2,FALSE),"a")))))))</f>
        <v>a</v>
      </c>
      <c r="AC100" s="559" t="str">
        <f t="shared" si="61"/>
        <v>a</v>
      </c>
      <c r="AD100" s="473" t="str">
        <f>IF($Z100="","a",IF(AND($Z100="b",Inventory!$L107=""),"a",IF(AND($Z100="b",Inventory!$L107&lt;&gt;""),VLOOKUP(Inventory!$L107,$N$4:$O$5,2,FALSE),IF(AND($Z100="a",Inventory!$AC107=""),"a",IF(AND($Z100="a",Inventory!$AC107&lt;&gt;""),VLOOKUP(Inventory!$AC107,$N$4:$O$5,2,FALSE),IF(AND($Z100="c",Inventory!$AC107=""),"a",IF(AND($Z100="c",Inventory!$AC107&lt;&gt;""),VLOOKUP(Inventory!$AC107,$N$4:$O$5,2,FALSE),"a")))))))</f>
        <v>a</v>
      </c>
      <c r="AE100" s="474">
        <f>IF(OR(Inventory!C107="New Construction",Inventory!C107="Replace-on-Burnout"),Inventory!AF107,IF(Inventory!C107="Early Retirement",MIN(Inventory!AE107,Inventory!AF107),0))</f>
        <v>0</v>
      </c>
      <c r="AF100" s="475" t="str">
        <f t="shared" si="62"/>
        <v/>
      </c>
      <c r="AG100" s="475" t="str">
        <f t="shared" si="50"/>
        <v/>
      </c>
      <c r="AH100" s="475" t="str">
        <f t="shared" si="51"/>
        <v/>
      </c>
      <c r="AI100" s="475" t="str">
        <f t="shared" si="52"/>
        <v/>
      </c>
      <c r="AJ100" s="475" t="str">
        <f t="shared" si="53"/>
        <v/>
      </c>
      <c r="AK100" s="475" t="str">
        <f t="shared" si="63"/>
        <v/>
      </c>
      <c r="AL100" s="475" t="str">
        <f t="shared" si="64"/>
        <v/>
      </c>
      <c r="AM100" s="475" t="str">
        <f t="shared" si="65"/>
        <v/>
      </c>
      <c r="AN100" s="475" t="str">
        <f t="shared" si="66"/>
        <v/>
      </c>
      <c r="AO100" s="475" t="str">
        <f t="shared" si="67"/>
        <v/>
      </c>
      <c r="AP100" s="475" t="str">
        <f t="shared" si="68"/>
        <v/>
      </c>
      <c r="AQ100" s="475" t="str">
        <f t="shared" si="69"/>
        <v/>
      </c>
      <c r="AR100" s="475" t="str">
        <f t="shared" si="70"/>
        <v/>
      </c>
      <c r="AS100" s="475" t="str">
        <f t="shared" si="71"/>
        <v/>
      </c>
      <c r="AT100" s="475" t="str">
        <f t="shared" si="72"/>
        <v/>
      </c>
      <c r="AU100" s="475" t="str">
        <f t="shared" si="73"/>
        <v/>
      </c>
      <c r="AV100" s="475" t="str">
        <f t="shared" si="54"/>
        <v/>
      </c>
      <c r="AW100" s="473">
        <f t="shared" si="55"/>
        <v>0</v>
      </c>
      <c r="AX100" s="473" t="str">
        <f>IF(AND($Z100="b",OR($AA100="a",$AA100="b"),Inventory!$I107="",$AE100&lt;(65000/12000)),"x",IF(AND($Z100="b",OR($AA100="a",$AA100="b"),Inventory!$I107&lt;&gt;"",$AE100&lt;(65000/12000)),VLOOKUP(Inventory!$I107,$V$4:$W$5,2,FALSE),"x"))</f>
        <v>x</v>
      </c>
      <c r="AY100" s="476" t="str">
        <f t="shared" si="74"/>
        <v>aaa0</v>
      </c>
      <c r="AZ100" s="477" t="str">
        <f t="shared" si="75"/>
        <v>No</v>
      </c>
      <c r="BA100" s="759" t="str">
        <f t="shared" si="76"/>
        <v>No</v>
      </c>
      <c r="BB100" s="477">
        <f>IF($Z100="c",Inventory!$AB107,Inventory!$K107)</f>
        <v>0</v>
      </c>
      <c r="BC100" s="478">
        <f>IF(AND($Z100="b",Inventory!$N107="Btu/hr"),Inventory!$M107,IF(AND($Z100="b",Inventory!$N107="Tons"),Inventory!$M107*12000,IF(AND($Z100&lt;&gt;"b",Inventory!$AK107="Btu/hr"),Inventory!$AD107,IF(AND($Z100&lt;&gt;"b",Inventory!$AK107="Tons"),Inventory!$AD107*12000,0))))</f>
        <v>0</v>
      </c>
      <c r="BD100" s="478">
        <f t="shared" si="46"/>
        <v>0</v>
      </c>
      <c r="BE100" s="479">
        <f t="shared" si="77"/>
        <v>0</v>
      </c>
      <c r="BF100" s="477" t="s">
        <v>50</v>
      </c>
      <c r="BG100" s="479">
        <f t="shared" si="56"/>
        <v>0</v>
      </c>
      <c r="BH100" s="477" t="s">
        <v>46</v>
      </c>
      <c r="BI100" s="760">
        <f>IF(AND($Z100="b",Inventory!$P107="Btu/hr"),Inventory!$O107,IF(AND($Z100="b",Inventory!$P107="Tons"),Inventory!$O107*12000,IF(AND($Z100&lt;&gt;"b",Inventory!$AM107="Btu/hr"),Inventory!$AL107,IF(AND($Z100&lt;&gt;"b",Inventory!$AM107="Tons"),Inventory!$AL107*12000,0))))</f>
        <v>0</v>
      </c>
      <c r="BJ100" s="760">
        <f t="shared" si="47"/>
        <v>0</v>
      </c>
      <c r="BK100" s="598">
        <f t="shared" si="78"/>
        <v>0</v>
      </c>
      <c r="BL100" s="759" t="s">
        <v>567</v>
      </c>
      <c r="BM100" s="477" t="str">
        <f t="shared" si="57"/>
        <v>No</v>
      </c>
      <c r="BN100" s="477" t="str">
        <f>IF(OR(Inventory!$H107="",$BM100="No"),"-",Inventory!$H107)</f>
        <v>-</v>
      </c>
      <c r="BO100" s="477" t="str">
        <f>IFERROR(VLOOKUP(BN100,'Early Retirement'!$B$6:$C$33,2,FALSE),"-")</f>
        <v>-</v>
      </c>
      <c r="BP100" s="477" t="str">
        <f>IF(Inventory!$J107="Centrifugal","Yes","No")</f>
        <v>No</v>
      </c>
      <c r="BQ100" s="477">
        <f t="shared" si="79"/>
        <v>0</v>
      </c>
      <c r="BR100" s="477" t="str">
        <f t="shared" si="80"/>
        <v>-</v>
      </c>
      <c r="BS100" s="479">
        <f>IFERROR(INDEX('Early Retirement'!$C$4:$AC$33,$BO100,$BR100),0)</f>
        <v>0</v>
      </c>
      <c r="BT100" s="477">
        <f>IFERROR(HLOOKUP($BR100,'Early Retirement'!$D$4:$AC$5,2,FALSE),0)</f>
        <v>0</v>
      </c>
      <c r="BU100" s="761">
        <f>IFERROR(INDEX('Early Retirement'!$AE$4:$BE$33,$BO100,$BR100),0)</f>
        <v>0</v>
      </c>
      <c r="BV100" s="759">
        <f>IFERROR(HLOOKUP($BR100,'Early Retirement'!$AF$4:$BE$5,2,FALSE),0)</f>
        <v>0</v>
      </c>
      <c r="BW100" s="479">
        <f t="shared" si="87"/>
        <v>0</v>
      </c>
      <c r="BX100" s="761">
        <f t="shared" si="81"/>
        <v>0</v>
      </c>
      <c r="BY100" s="477" t="s">
        <v>46</v>
      </c>
      <c r="BZ100" s="598">
        <f>IFERROR(INDEX('Early Retirement'!$BG$4:$CG$33,$BO100,$BR100),0)</f>
        <v>0</v>
      </c>
      <c r="CA100" s="759">
        <f>IFERROR(HLOOKUP($BR100,'Early Retirement'!$BH$4:$CH$5,2,FALSE),0)</f>
        <v>0</v>
      </c>
      <c r="CB100" s="598">
        <f t="shared" si="82"/>
        <v>0</v>
      </c>
      <c r="CC100" s="759" t="s">
        <v>567</v>
      </c>
      <c r="CD100" s="477" t="str">
        <f t="shared" si="58"/>
        <v>Yes</v>
      </c>
      <c r="CE100" s="479">
        <f t="shared" si="59"/>
        <v>0</v>
      </c>
      <c r="CF100" s="761">
        <f t="shared" si="60"/>
        <v>0</v>
      </c>
      <c r="CG100" s="759" t="s">
        <v>46</v>
      </c>
      <c r="CH100" s="598">
        <f t="shared" si="83"/>
        <v>0</v>
      </c>
      <c r="CI100" s="759" t="s">
        <v>567</v>
      </c>
      <c r="CJ100" s="480">
        <f t="shared" si="84"/>
        <v>0</v>
      </c>
      <c r="CK100" s="583">
        <f t="shared" si="85"/>
        <v>0</v>
      </c>
      <c r="CL100" s="596" t="s">
        <v>46</v>
      </c>
      <c r="CM100" s="581">
        <f t="shared" si="86"/>
        <v>0</v>
      </c>
      <c r="CN100" s="762" t="s">
        <v>567</v>
      </c>
      <c r="CP100" s="90" t="s">
        <v>212</v>
      </c>
      <c r="CQ100" s="124">
        <v>0.77500000000000002</v>
      </c>
      <c r="CR100" s="307" t="s">
        <v>46</v>
      </c>
      <c r="CS100" s="645">
        <v>0.61499999999999999</v>
      </c>
      <c r="CT100" s="551" t="s">
        <v>559</v>
      </c>
      <c r="CU100" s="645">
        <f t="shared" si="91"/>
        <v>0.77500000000000002</v>
      </c>
      <c r="CV100" s="645">
        <f t="shared" si="92"/>
        <v>0.61499999999999999</v>
      </c>
      <c r="CW100" s="633" t="s">
        <v>46</v>
      </c>
      <c r="CX100" s="606"/>
      <c r="CY100" s="589"/>
      <c r="CZ100" s="606"/>
      <c r="DA100" s="609"/>
      <c r="DB100" s="562"/>
      <c r="DC100" s="562"/>
      <c r="DD100" s="562"/>
      <c r="DE100" s="562"/>
      <c r="DF100" s="562"/>
      <c r="DG100" s="562"/>
      <c r="DH100" s="562"/>
      <c r="DI100" s="562"/>
      <c r="DJ100" s="562"/>
      <c r="DK100" s="562"/>
      <c r="DL100" s="562"/>
      <c r="DM100" s="562"/>
      <c r="DN100" s="562"/>
      <c r="DO100" s="562"/>
      <c r="DP100" s="562"/>
      <c r="DQ100" s="562"/>
      <c r="DR100" s="562"/>
      <c r="DS100" s="562"/>
      <c r="DT100" s="562"/>
      <c r="DU100" s="562"/>
      <c r="DV100" s="562"/>
      <c r="DW100" s="562"/>
      <c r="DX100" s="562"/>
      <c r="DY100" s="562"/>
      <c r="DZ100" s="562"/>
      <c r="EA100" s="562"/>
      <c r="EB100" s="562"/>
      <c r="EC100" s="562"/>
      <c r="ED100" s="562"/>
      <c r="EE100" s="562"/>
      <c r="EF100" s="562"/>
      <c r="EG100" s="562"/>
      <c r="EH100" s="562"/>
      <c r="EI100" s="562"/>
      <c r="EJ100" s="562"/>
      <c r="EK100" s="562"/>
      <c r="EL100" s="562"/>
    </row>
    <row r="101" spans="2:142" s="78" customFormat="1" ht="15" customHeight="1" x14ac:dyDescent="0.25">
      <c r="B101" s="77"/>
      <c r="E101" s="77"/>
      <c r="H101" s="77"/>
      <c r="U101" s="79"/>
      <c r="V101" s="79"/>
      <c r="W101" s="79"/>
      <c r="Y101" s="90">
        <v>99</v>
      </c>
      <c r="Z101" s="559" t="str">
        <f>IF(Inventory!$C108="","",VLOOKUP(Inventory!$C108,$B$3:$C$5,2,FALSE))</f>
        <v/>
      </c>
      <c r="AA101" s="559" t="str">
        <f>IF($Z101="","",IF(AND($Z101="b",Inventory!$G108=""),"",IF(AND($Z101="b",Inventory!$G108&lt;&gt;""),VLOOKUP(Inventory!$G108,$E$3:$F$10,2,FALSE),IF(AND($Z101="a",Inventory!$Z108=""),"",IF(AND($Z101="a",Inventory!$Z108&lt;&gt;""),VLOOKUP(Inventory!$Z108,$E$3:$F$10,2,FALSE),IF(AND($Z101="c",Inventory!$Z108=""),"",IF(AND($Z101="c",Inventory!$Z108&lt;&gt;""),VLOOKUP(Inventory!$Z108,$E$3:$F$10,2,FALSE),"")))))))</f>
        <v/>
      </c>
      <c r="AB101" s="559" t="str">
        <f>IF($Z101="","a",IF(AND($Z101="b",Inventory!$J108=""),"a",IF(AND($Z101="b",Inventory!$J108&lt;&gt;""),VLOOKUP(Inventory!$J108,$H$4:$I$6,2,FALSE),IF(AND($Z101="a",Inventory!$AA108=""),"a",IF(AND($Z101="a",Inventory!$AA108&lt;&gt;""),VLOOKUP(Inventory!$AA108,$H$4:$I$6,2,FALSE),IF(AND($Z101="c",Inventory!$AA108=""),"a",IF(AND($Z101="c",Inventory!$AA108&lt;&gt;""),VLOOKUP(Inventory!$AA108,$H$4:$I$6,2,FALSE),"a")))))))</f>
        <v>a</v>
      </c>
      <c r="AC101" s="559" t="str">
        <f t="shared" si="61"/>
        <v>a</v>
      </c>
      <c r="AD101" s="473" t="str">
        <f>IF($Z101="","a",IF(AND($Z101="b",Inventory!$L108=""),"a",IF(AND($Z101="b",Inventory!$L108&lt;&gt;""),VLOOKUP(Inventory!$L108,$N$4:$O$5,2,FALSE),IF(AND($Z101="a",Inventory!$AC108=""),"a",IF(AND($Z101="a",Inventory!$AC108&lt;&gt;""),VLOOKUP(Inventory!$AC108,$N$4:$O$5,2,FALSE),IF(AND($Z101="c",Inventory!$AC108=""),"a",IF(AND($Z101="c",Inventory!$AC108&lt;&gt;""),VLOOKUP(Inventory!$AC108,$N$4:$O$5,2,FALSE),"a")))))))</f>
        <v>a</v>
      </c>
      <c r="AE101" s="474">
        <f>IF(OR(Inventory!C108="New Construction",Inventory!C108="Replace-on-Burnout"),Inventory!AF108,IF(Inventory!C108="Early Retirement",MIN(Inventory!AE108,Inventory!AF108),0))</f>
        <v>0</v>
      </c>
      <c r="AF101" s="475" t="str">
        <f t="shared" si="62"/>
        <v/>
      </c>
      <c r="AG101" s="475" t="str">
        <f t="shared" si="50"/>
        <v/>
      </c>
      <c r="AH101" s="475" t="str">
        <f t="shared" si="51"/>
        <v/>
      </c>
      <c r="AI101" s="475" t="str">
        <f t="shared" si="52"/>
        <v/>
      </c>
      <c r="AJ101" s="475" t="str">
        <f t="shared" si="53"/>
        <v/>
      </c>
      <c r="AK101" s="475" t="str">
        <f t="shared" si="63"/>
        <v/>
      </c>
      <c r="AL101" s="475" t="str">
        <f t="shared" si="64"/>
        <v/>
      </c>
      <c r="AM101" s="475" t="str">
        <f t="shared" si="65"/>
        <v/>
      </c>
      <c r="AN101" s="475" t="str">
        <f t="shared" si="66"/>
        <v/>
      </c>
      <c r="AO101" s="475" t="str">
        <f t="shared" si="67"/>
        <v/>
      </c>
      <c r="AP101" s="475" t="str">
        <f t="shared" si="68"/>
        <v/>
      </c>
      <c r="AQ101" s="475" t="str">
        <f t="shared" si="69"/>
        <v/>
      </c>
      <c r="AR101" s="475" t="str">
        <f t="shared" si="70"/>
        <v/>
      </c>
      <c r="AS101" s="475" t="str">
        <f t="shared" si="71"/>
        <v/>
      </c>
      <c r="AT101" s="475" t="str">
        <f t="shared" si="72"/>
        <v/>
      </c>
      <c r="AU101" s="475" t="str">
        <f t="shared" si="73"/>
        <v/>
      </c>
      <c r="AV101" s="475" t="str">
        <f t="shared" si="54"/>
        <v/>
      </c>
      <c r="AW101" s="473">
        <f t="shared" si="55"/>
        <v>0</v>
      </c>
      <c r="AX101" s="473" t="str">
        <f>IF(AND($Z101="b",OR($AA101="a",$AA101="b"),Inventory!$I108="",$AE101&lt;(65000/12000)),"x",IF(AND($Z101="b",OR($AA101="a",$AA101="b"),Inventory!$I108&lt;&gt;"",$AE101&lt;(65000/12000)),VLOOKUP(Inventory!$I108,$V$4:$W$5,2,FALSE),"x"))</f>
        <v>x</v>
      </c>
      <c r="AY101" s="476" t="str">
        <f t="shared" si="74"/>
        <v>aaa0</v>
      </c>
      <c r="AZ101" s="477" t="str">
        <f t="shared" si="75"/>
        <v>No</v>
      </c>
      <c r="BA101" s="759" t="str">
        <f t="shared" si="76"/>
        <v>No</v>
      </c>
      <c r="BB101" s="477">
        <f>IF($Z101="c",Inventory!$AB108,Inventory!$K108)</f>
        <v>0</v>
      </c>
      <c r="BC101" s="478">
        <f>IF(AND($Z101="b",Inventory!$N108="Btu/hr"),Inventory!$M108,IF(AND($Z101="b",Inventory!$N108="Tons"),Inventory!$M108*12000,IF(AND($Z101&lt;&gt;"b",Inventory!$AK108="Btu/hr"),Inventory!$AD108,IF(AND($Z101&lt;&gt;"b",Inventory!$AK108="Tons"),Inventory!$AD108*12000,0))))</f>
        <v>0</v>
      </c>
      <c r="BD101" s="478">
        <f t="shared" si="46"/>
        <v>0</v>
      </c>
      <c r="BE101" s="479">
        <f t="shared" si="77"/>
        <v>0</v>
      </c>
      <c r="BF101" s="477" t="s">
        <v>50</v>
      </c>
      <c r="BG101" s="479">
        <f t="shared" si="56"/>
        <v>0</v>
      </c>
      <c r="BH101" s="477" t="s">
        <v>46</v>
      </c>
      <c r="BI101" s="760">
        <f>IF(AND($Z101="b",Inventory!$P108="Btu/hr"),Inventory!$O108,IF(AND($Z101="b",Inventory!$P108="Tons"),Inventory!$O108*12000,IF(AND($Z101&lt;&gt;"b",Inventory!$AM108="Btu/hr"),Inventory!$AL108,IF(AND($Z101&lt;&gt;"b",Inventory!$AM108="Tons"),Inventory!$AL108*12000,0))))</f>
        <v>0</v>
      </c>
      <c r="BJ101" s="760">
        <f t="shared" si="47"/>
        <v>0</v>
      </c>
      <c r="BK101" s="598">
        <f t="shared" si="78"/>
        <v>0</v>
      </c>
      <c r="BL101" s="759" t="s">
        <v>567</v>
      </c>
      <c r="BM101" s="477" t="str">
        <f t="shared" si="57"/>
        <v>No</v>
      </c>
      <c r="BN101" s="477" t="str">
        <f>IF(OR(Inventory!$H108="",$BM101="No"),"-",Inventory!$H108)</f>
        <v>-</v>
      </c>
      <c r="BO101" s="477" t="str">
        <f>IFERROR(VLOOKUP(BN101,'Early Retirement'!$B$6:$C$33,2,FALSE),"-")</f>
        <v>-</v>
      </c>
      <c r="BP101" s="477" t="str">
        <f>IF(Inventory!$J108="Centrifugal","Yes","No")</f>
        <v>No</v>
      </c>
      <c r="BQ101" s="477">
        <f t="shared" si="79"/>
        <v>0</v>
      </c>
      <c r="BR101" s="477" t="str">
        <f t="shared" si="80"/>
        <v>-</v>
      </c>
      <c r="BS101" s="479">
        <f>IFERROR(INDEX('Early Retirement'!$C$4:$AC$33,$BO101,$BR101),0)</f>
        <v>0</v>
      </c>
      <c r="BT101" s="477">
        <f>IFERROR(HLOOKUP($BR101,'Early Retirement'!$D$4:$AC$5,2,FALSE),0)</f>
        <v>0</v>
      </c>
      <c r="BU101" s="761">
        <f>IFERROR(INDEX('Early Retirement'!$AE$4:$BE$33,$BO101,$BR101),0)</f>
        <v>0</v>
      </c>
      <c r="BV101" s="759">
        <f>IFERROR(HLOOKUP($BR101,'Early Retirement'!$AF$4:$BE$5,2,FALSE),0)</f>
        <v>0</v>
      </c>
      <c r="BW101" s="479">
        <f t="shared" si="87"/>
        <v>0</v>
      </c>
      <c r="BX101" s="761">
        <f t="shared" si="81"/>
        <v>0</v>
      </c>
      <c r="BY101" s="477" t="s">
        <v>46</v>
      </c>
      <c r="BZ101" s="598">
        <f>IFERROR(INDEX('Early Retirement'!$BG$4:$CG$33,$BO101,$BR101),0)</f>
        <v>0</v>
      </c>
      <c r="CA101" s="759">
        <f>IFERROR(HLOOKUP($BR101,'Early Retirement'!$BH$4:$CH$5,2,FALSE),0)</f>
        <v>0</v>
      </c>
      <c r="CB101" s="598">
        <f t="shared" si="82"/>
        <v>0</v>
      </c>
      <c r="CC101" s="759" t="s">
        <v>567</v>
      </c>
      <c r="CD101" s="477" t="str">
        <f t="shared" si="58"/>
        <v>Yes</v>
      </c>
      <c r="CE101" s="479">
        <f t="shared" si="59"/>
        <v>0</v>
      </c>
      <c r="CF101" s="761">
        <f t="shared" si="60"/>
        <v>0</v>
      </c>
      <c r="CG101" s="759" t="s">
        <v>46</v>
      </c>
      <c r="CH101" s="598">
        <f t="shared" si="83"/>
        <v>0</v>
      </c>
      <c r="CI101" s="759" t="s">
        <v>567</v>
      </c>
      <c r="CJ101" s="480">
        <f t="shared" si="84"/>
        <v>0</v>
      </c>
      <c r="CK101" s="583">
        <f t="shared" si="85"/>
        <v>0</v>
      </c>
      <c r="CL101" s="596" t="s">
        <v>46</v>
      </c>
      <c r="CM101" s="581">
        <f t="shared" si="86"/>
        <v>0</v>
      </c>
      <c r="CN101" s="762" t="s">
        <v>567</v>
      </c>
      <c r="CP101" s="90" t="s">
        <v>213</v>
      </c>
      <c r="CQ101" s="124">
        <v>0.68</v>
      </c>
      <c r="CR101" s="307" t="s">
        <v>46</v>
      </c>
      <c r="CS101" s="645">
        <v>0.57999999999999996</v>
      </c>
      <c r="CT101" s="551" t="s">
        <v>559</v>
      </c>
      <c r="CU101" s="645">
        <f t="shared" si="91"/>
        <v>0.68</v>
      </c>
      <c r="CV101" s="645">
        <f t="shared" si="92"/>
        <v>0.57999999999999996</v>
      </c>
      <c r="CW101" s="633" t="s">
        <v>46</v>
      </c>
      <c r="CX101" s="606"/>
      <c r="CY101" s="589"/>
      <c r="CZ101" s="606"/>
      <c r="DA101" s="609"/>
      <c r="DB101" s="562"/>
      <c r="DC101" s="562"/>
      <c r="DD101" s="562"/>
      <c r="DE101" s="562"/>
      <c r="DF101" s="562"/>
      <c r="DG101" s="562"/>
      <c r="DH101" s="562"/>
      <c r="DI101" s="562"/>
      <c r="DJ101" s="562"/>
      <c r="DK101" s="562"/>
      <c r="DL101" s="562"/>
      <c r="DM101" s="562"/>
      <c r="DN101" s="562"/>
      <c r="DO101" s="562"/>
      <c r="DP101" s="562"/>
      <c r="DQ101" s="562"/>
      <c r="DR101" s="562"/>
      <c r="DS101" s="562"/>
      <c r="DT101" s="562"/>
      <c r="DU101" s="562"/>
      <c r="DV101" s="562"/>
      <c r="DW101" s="562"/>
      <c r="DX101" s="562"/>
      <c r="DY101" s="562"/>
      <c r="DZ101" s="562"/>
      <c r="EA101" s="562"/>
      <c r="EB101" s="562"/>
      <c r="EC101" s="562"/>
      <c r="ED101" s="562"/>
      <c r="EE101" s="562"/>
      <c r="EF101" s="562"/>
      <c r="EG101" s="562"/>
      <c r="EH101" s="562"/>
      <c r="EI101" s="562"/>
      <c r="EJ101" s="562"/>
      <c r="EK101" s="562"/>
      <c r="EL101" s="562"/>
    </row>
    <row r="102" spans="2:142" s="78" customFormat="1" ht="15" customHeight="1" x14ac:dyDescent="0.25">
      <c r="B102" s="77"/>
      <c r="E102" s="77"/>
      <c r="H102" s="77"/>
      <c r="U102" s="79"/>
      <c r="V102" s="79"/>
      <c r="W102" s="79"/>
      <c r="Y102" s="90">
        <v>100</v>
      </c>
      <c r="Z102" s="559" t="str">
        <f>IF(Inventory!$C109="","",VLOOKUP(Inventory!$C109,$B$3:$C$5,2,FALSE))</f>
        <v/>
      </c>
      <c r="AA102" s="559" t="str">
        <f>IF($Z102="","",IF(AND($Z102="b",Inventory!$G109=""),"",IF(AND($Z102="b",Inventory!$G109&lt;&gt;""),VLOOKUP(Inventory!$G109,$E$3:$F$10,2,FALSE),IF(AND($Z102="a",Inventory!$Z109=""),"",IF(AND($Z102="a",Inventory!$Z109&lt;&gt;""),VLOOKUP(Inventory!$Z109,$E$3:$F$10,2,FALSE),IF(AND($Z102="c",Inventory!$Z109=""),"",IF(AND($Z102="c",Inventory!$Z109&lt;&gt;""),VLOOKUP(Inventory!$Z109,$E$3:$F$10,2,FALSE),"")))))))</f>
        <v/>
      </c>
      <c r="AB102" s="559" t="str">
        <f>IF($Z102="","a",IF(AND($Z102="b",Inventory!$J109=""),"a",IF(AND($Z102="b",Inventory!$J109&lt;&gt;""),VLOOKUP(Inventory!$J109,$H$4:$I$6,2,FALSE),IF(AND($Z102="a",Inventory!$AA109=""),"a",IF(AND($Z102="a",Inventory!$AA109&lt;&gt;""),VLOOKUP(Inventory!$AA109,$H$4:$I$6,2,FALSE),IF(AND($Z102="c",Inventory!$AA109=""),"a",IF(AND($Z102="c",Inventory!$AA109&lt;&gt;""),VLOOKUP(Inventory!$AA109,$H$4:$I$6,2,FALSE),"a")))))))</f>
        <v>a</v>
      </c>
      <c r="AC102" s="559" t="str">
        <f t="shared" si="61"/>
        <v>a</v>
      </c>
      <c r="AD102" s="473" t="str">
        <f>IF($Z102="","a",IF(AND($Z102="b",Inventory!$L109=""),"a",IF(AND($Z102="b",Inventory!$L109&lt;&gt;""),VLOOKUP(Inventory!$L109,$N$4:$O$5,2,FALSE),IF(AND($Z102="a",Inventory!$AC109=""),"a",IF(AND($Z102="a",Inventory!$AC109&lt;&gt;""),VLOOKUP(Inventory!$AC109,$N$4:$O$5,2,FALSE),IF(AND($Z102="c",Inventory!$AC109=""),"a",IF(AND($Z102="c",Inventory!$AC109&lt;&gt;""),VLOOKUP(Inventory!$AC109,$N$4:$O$5,2,FALSE),"a")))))))</f>
        <v>a</v>
      </c>
      <c r="AE102" s="474">
        <f>IF(OR(Inventory!C109="New Construction",Inventory!C109="Replace-on-Burnout"),Inventory!AF109,IF(Inventory!C109="Early Retirement",MIN(Inventory!AE109,Inventory!AF109),0))</f>
        <v>0</v>
      </c>
      <c r="AF102" s="475" t="str">
        <f t="shared" si="62"/>
        <v/>
      </c>
      <c r="AG102" s="475" t="str">
        <f t="shared" si="50"/>
        <v/>
      </c>
      <c r="AH102" s="475" t="str">
        <f t="shared" si="51"/>
        <v/>
      </c>
      <c r="AI102" s="475" t="str">
        <f t="shared" si="52"/>
        <v/>
      </c>
      <c r="AJ102" s="475" t="str">
        <f t="shared" si="53"/>
        <v/>
      </c>
      <c r="AK102" s="475" t="str">
        <f t="shared" si="63"/>
        <v/>
      </c>
      <c r="AL102" s="475" t="str">
        <f t="shared" si="64"/>
        <v/>
      </c>
      <c r="AM102" s="475" t="str">
        <f t="shared" si="65"/>
        <v/>
      </c>
      <c r="AN102" s="475" t="str">
        <f t="shared" si="66"/>
        <v/>
      </c>
      <c r="AO102" s="475" t="str">
        <f t="shared" si="67"/>
        <v/>
      </c>
      <c r="AP102" s="475" t="str">
        <f t="shared" si="68"/>
        <v/>
      </c>
      <c r="AQ102" s="475" t="str">
        <f t="shared" si="69"/>
        <v/>
      </c>
      <c r="AR102" s="475" t="str">
        <f t="shared" si="70"/>
        <v/>
      </c>
      <c r="AS102" s="475" t="str">
        <f t="shared" si="71"/>
        <v/>
      </c>
      <c r="AT102" s="475" t="str">
        <f t="shared" si="72"/>
        <v/>
      </c>
      <c r="AU102" s="475" t="str">
        <f t="shared" si="73"/>
        <v/>
      </c>
      <c r="AV102" s="475" t="str">
        <f t="shared" si="54"/>
        <v/>
      </c>
      <c r="AW102" s="473">
        <f t="shared" si="55"/>
        <v>0</v>
      </c>
      <c r="AX102" s="473" t="str">
        <f>IF(AND($Z102="b",OR($AA102="a",$AA102="b"),Inventory!$I109="",$AE102&lt;(65000/12000)),"x",IF(AND($Z102="b",OR($AA102="a",$AA102="b"),Inventory!$I109&lt;&gt;"",$AE102&lt;(65000/12000)),VLOOKUP(Inventory!$I109,$V$4:$W$5,2,FALSE),"x"))</f>
        <v>x</v>
      </c>
      <c r="AY102" s="476" t="str">
        <f t="shared" si="74"/>
        <v>aaa0</v>
      </c>
      <c r="AZ102" s="477" t="str">
        <f t="shared" si="75"/>
        <v>No</v>
      </c>
      <c r="BA102" s="759" t="str">
        <f t="shared" si="76"/>
        <v>No</v>
      </c>
      <c r="BB102" s="477">
        <f>IF($Z102="c",Inventory!$AB109,Inventory!$K109)</f>
        <v>0</v>
      </c>
      <c r="BC102" s="478">
        <f>IF(AND($Z102="b",Inventory!$N109="Btu/hr"),Inventory!$M109,IF(AND($Z102="b",Inventory!$N109="Tons"),Inventory!$M109*12000,IF(AND($Z102&lt;&gt;"b",Inventory!$AK109="Btu/hr"),Inventory!$AD109,IF(AND($Z102&lt;&gt;"b",Inventory!$AK109="Tons"),Inventory!$AD109*12000,0))))</f>
        <v>0</v>
      </c>
      <c r="BD102" s="478">
        <f t="shared" si="46"/>
        <v>0</v>
      </c>
      <c r="BE102" s="479">
        <f t="shared" si="77"/>
        <v>0</v>
      </c>
      <c r="BF102" s="477" t="s">
        <v>50</v>
      </c>
      <c r="BG102" s="479">
        <f t="shared" si="56"/>
        <v>0</v>
      </c>
      <c r="BH102" s="477" t="s">
        <v>46</v>
      </c>
      <c r="BI102" s="760">
        <f>IF(AND($Z102="b",Inventory!$P109="Btu/hr"),Inventory!$O109,IF(AND($Z102="b",Inventory!$P109="Tons"),Inventory!$O109*12000,IF(AND($Z102&lt;&gt;"b",Inventory!$AM109="Btu/hr"),Inventory!$AL109,IF(AND($Z102&lt;&gt;"b",Inventory!$AM109="Tons"),Inventory!$AL109*12000,0))))</f>
        <v>0</v>
      </c>
      <c r="BJ102" s="760">
        <f t="shared" si="47"/>
        <v>0</v>
      </c>
      <c r="BK102" s="598">
        <f t="shared" si="78"/>
        <v>0</v>
      </c>
      <c r="BL102" s="759" t="s">
        <v>567</v>
      </c>
      <c r="BM102" s="477" t="str">
        <f t="shared" si="57"/>
        <v>No</v>
      </c>
      <c r="BN102" s="477" t="str">
        <f>IF(OR(Inventory!$H109="",$BM102="No"),"-",Inventory!$H109)</f>
        <v>-</v>
      </c>
      <c r="BO102" s="477" t="str">
        <f>IFERROR(VLOOKUP(BN102,'Early Retirement'!$B$6:$C$33,2,FALSE),"-")</f>
        <v>-</v>
      </c>
      <c r="BP102" s="477" t="str">
        <f>IF(Inventory!$J109="Centrifugal","Yes","No")</f>
        <v>No</v>
      </c>
      <c r="BQ102" s="477">
        <f t="shared" si="79"/>
        <v>0</v>
      </c>
      <c r="BR102" s="477" t="str">
        <f t="shared" si="80"/>
        <v>-</v>
      </c>
      <c r="BS102" s="479">
        <f>IFERROR(INDEX('Early Retirement'!$C$4:$AC$33,$BO102,$BR102),0)</f>
        <v>0</v>
      </c>
      <c r="BT102" s="477">
        <f>IFERROR(HLOOKUP($BR102,'Early Retirement'!$D$4:$AC$5,2,FALSE),0)</f>
        <v>0</v>
      </c>
      <c r="BU102" s="761">
        <f>IFERROR(INDEX('Early Retirement'!$AE$4:$BE$33,$BO102,$BR102),0)</f>
        <v>0</v>
      </c>
      <c r="BV102" s="759">
        <f>IFERROR(HLOOKUP($BR102,'Early Retirement'!$AF$4:$BE$5,2,FALSE),0)</f>
        <v>0</v>
      </c>
      <c r="BW102" s="479">
        <f t="shared" si="87"/>
        <v>0</v>
      </c>
      <c r="BX102" s="761">
        <f t="shared" si="81"/>
        <v>0</v>
      </c>
      <c r="BY102" s="477" t="s">
        <v>46</v>
      </c>
      <c r="BZ102" s="598">
        <f>IFERROR(INDEX('Early Retirement'!$BG$4:$CG$33,$BO102,$BR102),0)</f>
        <v>0</v>
      </c>
      <c r="CA102" s="759">
        <f>IFERROR(HLOOKUP($BR102,'Early Retirement'!$BH$4:$CH$5,2,FALSE),0)</f>
        <v>0</v>
      </c>
      <c r="CB102" s="598">
        <f t="shared" si="82"/>
        <v>0</v>
      </c>
      <c r="CC102" s="759" t="s">
        <v>567</v>
      </c>
      <c r="CD102" s="477" t="str">
        <f t="shared" si="58"/>
        <v>Yes</v>
      </c>
      <c r="CE102" s="479">
        <f t="shared" si="59"/>
        <v>0</v>
      </c>
      <c r="CF102" s="761">
        <f t="shared" si="60"/>
        <v>0</v>
      </c>
      <c r="CG102" s="759" t="s">
        <v>46</v>
      </c>
      <c r="CH102" s="598">
        <f t="shared" si="83"/>
        <v>0</v>
      </c>
      <c r="CI102" s="759" t="s">
        <v>567</v>
      </c>
      <c r="CJ102" s="480">
        <f t="shared" si="84"/>
        <v>0</v>
      </c>
      <c r="CK102" s="583">
        <f t="shared" si="85"/>
        <v>0</v>
      </c>
      <c r="CL102" s="596" t="s">
        <v>46</v>
      </c>
      <c r="CM102" s="581">
        <f t="shared" si="86"/>
        <v>0</v>
      </c>
      <c r="CN102" s="762" t="s">
        <v>567</v>
      </c>
      <c r="CP102" s="90" t="s">
        <v>515</v>
      </c>
      <c r="CQ102" s="124">
        <v>0.62</v>
      </c>
      <c r="CR102" s="307" t="s">
        <v>46</v>
      </c>
      <c r="CS102" s="645">
        <v>0.54</v>
      </c>
      <c r="CT102" s="551" t="s">
        <v>559</v>
      </c>
      <c r="CU102" s="645">
        <f t="shared" si="91"/>
        <v>0.62</v>
      </c>
      <c r="CV102" s="645">
        <f t="shared" si="92"/>
        <v>0.54</v>
      </c>
      <c r="CW102" s="633" t="s">
        <v>46</v>
      </c>
      <c r="CX102" s="606"/>
      <c r="CY102" s="589"/>
      <c r="CZ102" s="606"/>
      <c r="DA102" s="609"/>
      <c r="DB102" s="562"/>
      <c r="DC102" s="562"/>
      <c r="DD102" s="562"/>
      <c r="DE102" s="562"/>
      <c r="DF102" s="562"/>
      <c r="DG102" s="562"/>
      <c r="DH102" s="562"/>
      <c r="DI102" s="562"/>
      <c r="DJ102" s="562"/>
      <c r="DK102" s="562"/>
      <c r="DL102" s="562"/>
      <c r="DM102" s="562"/>
      <c r="DN102" s="562"/>
      <c r="DO102" s="562"/>
      <c r="DP102" s="562"/>
      <c r="DQ102" s="562"/>
      <c r="DR102" s="562"/>
      <c r="DS102" s="562"/>
      <c r="DT102" s="562"/>
      <c r="DU102" s="562"/>
      <c r="DV102" s="562"/>
      <c r="DW102" s="562"/>
      <c r="DX102" s="562"/>
      <c r="DY102" s="562"/>
      <c r="DZ102" s="562"/>
      <c r="EA102" s="562"/>
      <c r="EB102" s="562"/>
      <c r="EC102" s="562"/>
      <c r="ED102" s="562"/>
      <c r="EE102" s="562"/>
      <c r="EF102" s="562"/>
      <c r="EG102" s="562"/>
      <c r="EH102" s="562"/>
      <c r="EI102" s="562"/>
      <c r="EJ102" s="562"/>
      <c r="EK102" s="562"/>
      <c r="EL102" s="562"/>
    </row>
    <row r="103" spans="2:142" s="78" customFormat="1" ht="15" customHeight="1" x14ac:dyDescent="0.25">
      <c r="B103" s="77"/>
      <c r="E103" s="77"/>
      <c r="H103" s="77"/>
      <c r="U103" s="79"/>
      <c r="V103" s="79"/>
      <c r="W103" s="79"/>
      <c r="Y103" s="90">
        <v>101</v>
      </c>
      <c r="Z103" s="559" t="str">
        <f>IF(Inventory!$C110="","",VLOOKUP(Inventory!$C110,$B$3:$C$5,2,FALSE))</f>
        <v/>
      </c>
      <c r="AA103" s="559" t="str">
        <f>IF($Z103="","",IF(AND($Z103="b",Inventory!$G110=""),"",IF(AND($Z103="b",Inventory!$G110&lt;&gt;""),VLOOKUP(Inventory!$G110,$E$3:$F$10,2,FALSE),IF(AND($Z103="a",Inventory!$Z110=""),"",IF(AND($Z103="a",Inventory!$Z110&lt;&gt;""),VLOOKUP(Inventory!$Z110,$E$3:$F$10,2,FALSE),IF(AND($Z103="c",Inventory!$Z110=""),"",IF(AND($Z103="c",Inventory!$Z110&lt;&gt;""),VLOOKUP(Inventory!$Z110,$E$3:$F$10,2,FALSE),"")))))))</f>
        <v/>
      </c>
      <c r="AB103" s="559" t="str">
        <f>IF($Z103="","a",IF(AND($Z103="b",Inventory!$J110=""),"a",IF(AND($Z103="b",Inventory!$J110&lt;&gt;""),VLOOKUP(Inventory!$J110,$H$4:$I$6,2,FALSE),IF(AND($Z103="a",Inventory!$AA110=""),"a",IF(AND($Z103="a",Inventory!$AA110&lt;&gt;""),VLOOKUP(Inventory!$AA110,$H$4:$I$6,2,FALSE),IF(AND($Z103="c",Inventory!$AA110=""),"a",IF(AND($Z103="c",Inventory!$AA110&lt;&gt;""),VLOOKUP(Inventory!$AA110,$H$4:$I$6,2,FALSE),"a")))))))</f>
        <v>a</v>
      </c>
      <c r="AC103" s="559" t="str">
        <f t="shared" si="61"/>
        <v>a</v>
      </c>
      <c r="AD103" s="473" t="str">
        <f>IF($Z103="","a",IF(AND($Z103="b",Inventory!$L110=""),"a",IF(AND($Z103="b",Inventory!$L110&lt;&gt;""),VLOOKUP(Inventory!$L110,$N$4:$O$5,2,FALSE),IF(AND($Z103="a",Inventory!$AC110=""),"a",IF(AND($Z103="a",Inventory!$AC110&lt;&gt;""),VLOOKUP(Inventory!$AC110,$N$4:$O$5,2,FALSE),IF(AND($Z103="c",Inventory!$AC110=""),"a",IF(AND($Z103="c",Inventory!$AC110&lt;&gt;""),VLOOKUP(Inventory!$AC110,$N$4:$O$5,2,FALSE),"a")))))))</f>
        <v>a</v>
      </c>
      <c r="AE103" s="474">
        <f>IF(OR(Inventory!C110="New Construction",Inventory!C110="Replace-on-Burnout"),Inventory!AF110,IF(Inventory!C110="Early Retirement",MIN(Inventory!AE110,Inventory!AF110),0))</f>
        <v>0</v>
      </c>
      <c r="AF103" s="475" t="str">
        <f t="shared" si="62"/>
        <v/>
      </c>
      <c r="AG103" s="475" t="str">
        <f t="shared" si="50"/>
        <v/>
      </c>
      <c r="AH103" s="475" t="str">
        <f t="shared" si="51"/>
        <v/>
      </c>
      <c r="AI103" s="475" t="str">
        <f t="shared" si="52"/>
        <v/>
      </c>
      <c r="AJ103" s="475" t="str">
        <f t="shared" si="53"/>
        <v/>
      </c>
      <c r="AK103" s="475" t="str">
        <f t="shared" si="63"/>
        <v/>
      </c>
      <c r="AL103" s="475" t="str">
        <f t="shared" si="64"/>
        <v/>
      </c>
      <c r="AM103" s="475" t="str">
        <f t="shared" si="65"/>
        <v/>
      </c>
      <c r="AN103" s="475" t="str">
        <f t="shared" si="66"/>
        <v/>
      </c>
      <c r="AO103" s="475" t="str">
        <f t="shared" si="67"/>
        <v/>
      </c>
      <c r="AP103" s="475" t="str">
        <f t="shared" si="68"/>
        <v/>
      </c>
      <c r="AQ103" s="475" t="str">
        <f t="shared" si="69"/>
        <v/>
      </c>
      <c r="AR103" s="475" t="str">
        <f t="shared" si="70"/>
        <v/>
      </c>
      <c r="AS103" s="475" t="str">
        <f t="shared" si="71"/>
        <v/>
      </c>
      <c r="AT103" s="475" t="str">
        <f t="shared" si="72"/>
        <v/>
      </c>
      <c r="AU103" s="475" t="str">
        <f t="shared" si="73"/>
        <v/>
      </c>
      <c r="AV103" s="475" t="str">
        <f t="shared" si="54"/>
        <v/>
      </c>
      <c r="AW103" s="473">
        <f t="shared" si="55"/>
        <v>0</v>
      </c>
      <c r="AX103" s="473" t="str">
        <f>IF(AND($Z103="b",OR($AA103="a",$AA103="b"),Inventory!$I110="",$AE103&lt;(65000/12000)),"x",IF(AND($Z103="b",OR($AA103="a",$AA103="b"),Inventory!$I110&lt;&gt;"",$AE103&lt;(65000/12000)),VLOOKUP(Inventory!$I110,$V$4:$W$5,2,FALSE),"x"))</f>
        <v>x</v>
      </c>
      <c r="AY103" s="476" t="str">
        <f t="shared" si="74"/>
        <v>aaa0</v>
      </c>
      <c r="AZ103" s="477" t="str">
        <f t="shared" si="75"/>
        <v>No</v>
      </c>
      <c r="BA103" s="759" t="str">
        <f t="shared" si="76"/>
        <v>No</v>
      </c>
      <c r="BB103" s="477">
        <f>IF($Z103="c",Inventory!$AB110,Inventory!$K110)</f>
        <v>0</v>
      </c>
      <c r="BC103" s="478">
        <f>IF(AND($Z103="b",Inventory!$N110="Btu/hr"),Inventory!$M110,IF(AND($Z103="b",Inventory!$N110="Tons"),Inventory!$M110*12000,IF(AND($Z103&lt;&gt;"b",Inventory!$AK110="Btu/hr"),Inventory!$AD110,IF(AND($Z103&lt;&gt;"b",Inventory!$AK110="Tons"),Inventory!$AD110*12000,0))))</f>
        <v>0</v>
      </c>
      <c r="BD103" s="478">
        <f t="shared" si="46"/>
        <v>0</v>
      </c>
      <c r="BE103" s="479">
        <f t="shared" si="77"/>
        <v>0</v>
      </c>
      <c r="BF103" s="477" t="s">
        <v>50</v>
      </c>
      <c r="BG103" s="479">
        <f t="shared" si="56"/>
        <v>0</v>
      </c>
      <c r="BH103" s="477" t="s">
        <v>46</v>
      </c>
      <c r="BI103" s="760">
        <f>IF(AND($Z103="b",Inventory!$P110="Btu/hr"),Inventory!$O110,IF(AND($Z103="b",Inventory!$P110="Tons"),Inventory!$O110*12000,IF(AND($Z103&lt;&gt;"b",Inventory!$AM110="Btu/hr"),Inventory!$AL110,IF(AND($Z103&lt;&gt;"b",Inventory!$AM110="Tons"),Inventory!$AL110*12000,0))))</f>
        <v>0</v>
      </c>
      <c r="BJ103" s="760">
        <f t="shared" si="47"/>
        <v>0</v>
      </c>
      <c r="BK103" s="598">
        <f t="shared" si="78"/>
        <v>0</v>
      </c>
      <c r="BL103" s="759" t="s">
        <v>567</v>
      </c>
      <c r="BM103" s="477" t="str">
        <f t="shared" si="57"/>
        <v>No</v>
      </c>
      <c r="BN103" s="477" t="str">
        <f>IF(OR(Inventory!$H110="",$BM103="No"),"-",Inventory!$H110)</f>
        <v>-</v>
      </c>
      <c r="BO103" s="477" t="str">
        <f>IFERROR(VLOOKUP(BN103,'Early Retirement'!$B$6:$C$33,2,FALSE),"-")</f>
        <v>-</v>
      </c>
      <c r="BP103" s="477" t="str">
        <f>IF(Inventory!$J110="Centrifugal","Yes","No")</f>
        <v>No</v>
      </c>
      <c r="BQ103" s="477">
        <f t="shared" si="79"/>
        <v>0</v>
      </c>
      <c r="BR103" s="477" t="str">
        <f t="shared" si="80"/>
        <v>-</v>
      </c>
      <c r="BS103" s="479">
        <f>IFERROR(INDEX('Early Retirement'!$C$4:$AC$33,$BO103,$BR103),0)</f>
        <v>0</v>
      </c>
      <c r="BT103" s="477">
        <f>IFERROR(HLOOKUP($BR103,'Early Retirement'!$D$4:$AC$5,2,FALSE),0)</f>
        <v>0</v>
      </c>
      <c r="BU103" s="761">
        <f>IFERROR(INDEX('Early Retirement'!$AE$4:$BE$33,$BO103,$BR103),0)</f>
        <v>0</v>
      </c>
      <c r="BV103" s="759">
        <f>IFERROR(HLOOKUP($BR103,'Early Retirement'!$AF$4:$BE$5,2,FALSE),0)</f>
        <v>0</v>
      </c>
      <c r="BW103" s="479">
        <f t="shared" si="87"/>
        <v>0</v>
      </c>
      <c r="BX103" s="761">
        <f t="shared" si="81"/>
        <v>0</v>
      </c>
      <c r="BY103" s="477" t="s">
        <v>46</v>
      </c>
      <c r="BZ103" s="598">
        <f>IFERROR(INDEX('Early Retirement'!$BG$4:$CG$33,$BO103,$BR103),0)</f>
        <v>0</v>
      </c>
      <c r="CA103" s="759">
        <f>IFERROR(HLOOKUP($BR103,'Early Retirement'!$BH$4:$CH$5,2,FALSE),0)</f>
        <v>0</v>
      </c>
      <c r="CB103" s="598">
        <f t="shared" si="82"/>
        <v>0</v>
      </c>
      <c r="CC103" s="759" t="s">
        <v>567</v>
      </c>
      <c r="CD103" s="477" t="str">
        <f t="shared" si="58"/>
        <v>Yes</v>
      </c>
      <c r="CE103" s="479">
        <f t="shared" si="59"/>
        <v>0</v>
      </c>
      <c r="CF103" s="761">
        <f t="shared" si="60"/>
        <v>0</v>
      </c>
      <c r="CG103" s="759" t="s">
        <v>46</v>
      </c>
      <c r="CH103" s="598">
        <f t="shared" si="83"/>
        <v>0</v>
      </c>
      <c r="CI103" s="759" t="s">
        <v>567</v>
      </c>
      <c r="CJ103" s="480">
        <f t="shared" si="84"/>
        <v>0</v>
      </c>
      <c r="CK103" s="583">
        <f t="shared" si="85"/>
        <v>0</v>
      </c>
      <c r="CL103" s="596" t="s">
        <v>46</v>
      </c>
      <c r="CM103" s="581">
        <f t="shared" si="86"/>
        <v>0</v>
      </c>
      <c r="CN103" s="762" t="s">
        <v>567</v>
      </c>
      <c r="CP103" s="90" t="s">
        <v>516</v>
      </c>
      <c r="CQ103" s="124">
        <v>0.62</v>
      </c>
      <c r="CR103" s="307" t="s">
        <v>46</v>
      </c>
      <c r="CS103" s="645">
        <v>0.54</v>
      </c>
      <c r="CT103" s="551" t="s">
        <v>559</v>
      </c>
      <c r="CU103" s="645">
        <f t="shared" si="91"/>
        <v>0.62</v>
      </c>
      <c r="CV103" s="645">
        <f t="shared" si="92"/>
        <v>0.54</v>
      </c>
      <c r="CW103" s="633" t="s">
        <v>46</v>
      </c>
      <c r="CX103" s="606"/>
      <c r="CY103" s="589"/>
      <c r="CZ103" s="606"/>
      <c r="DA103" s="609"/>
      <c r="DB103" s="562"/>
      <c r="DC103" s="562"/>
      <c r="DD103" s="562"/>
      <c r="DE103" s="562"/>
      <c r="DF103" s="562"/>
      <c r="DG103" s="562"/>
      <c r="DH103" s="562"/>
      <c r="DI103" s="562"/>
      <c r="DJ103" s="562"/>
      <c r="DK103" s="562"/>
      <c r="DL103" s="562"/>
      <c r="DM103" s="562"/>
      <c r="DN103" s="562"/>
      <c r="DO103" s="562"/>
      <c r="DP103" s="562"/>
      <c r="DQ103" s="562"/>
      <c r="DR103" s="562"/>
      <c r="DS103" s="562"/>
      <c r="DT103" s="562"/>
      <c r="DU103" s="562"/>
      <c r="DV103" s="562"/>
      <c r="DW103" s="562"/>
      <c r="DX103" s="562"/>
      <c r="DY103" s="562"/>
      <c r="DZ103" s="562"/>
      <c r="EA103" s="562"/>
      <c r="EB103" s="562"/>
      <c r="EC103" s="562"/>
      <c r="ED103" s="562"/>
      <c r="EE103" s="562"/>
      <c r="EF103" s="562"/>
      <c r="EG103" s="562"/>
      <c r="EH103" s="562"/>
      <c r="EI103" s="562"/>
      <c r="EJ103" s="562"/>
      <c r="EK103" s="562"/>
      <c r="EL103" s="562"/>
    </row>
    <row r="104" spans="2:142" s="78" customFormat="1" ht="15" customHeight="1" x14ac:dyDescent="0.25">
      <c r="B104" s="77"/>
      <c r="E104" s="77"/>
      <c r="H104" s="77"/>
      <c r="U104" s="79"/>
      <c r="V104" s="79"/>
      <c r="W104" s="79"/>
      <c r="Y104" s="90">
        <v>102</v>
      </c>
      <c r="Z104" s="559" t="str">
        <f>IF(Inventory!$C111="","",VLOOKUP(Inventory!$C111,$B$3:$C$5,2,FALSE))</f>
        <v/>
      </c>
      <c r="AA104" s="559" t="str">
        <f>IF($Z104="","",IF(AND($Z104="b",Inventory!$G111=""),"",IF(AND($Z104="b",Inventory!$G111&lt;&gt;""),VLOOKUP(Inventory!$G111,$E$3:$F$10,2,FALSE),IF(AND($Z104="a",Inventory!$Z111=""),"",IF(AND($Z104="a",Inventory!$Z111&lt;&gt;""),VLOOKUP(Inventory!$Z111,$E$3:$F$10,2,FALSE),IF(AND($Z104="c",Inventory!$Z111=""),"",IF(AND($Z104="c",Inventory!$Z111&lt;&gt;""),VLOOKUP(Inventory!$Z111,$E$3:$F$10,2,FALSE),"")))))))</f>
        <v/>
      </c>
      <c r="AB104" s="559" t="str">
        <f>IF($Z104="","a",IF(AND($Z104="b",Inventory!$J111=""),"a",IF(AND($Z104="b",Inventory!$J111&lt;&gt;""),VLOOKUP(Inventory!$J111,$H$4:$I$6,2,FALSE),IF(AND($Z104="a",Inventory!$AA111=""),"a",IF(AND($Z104="a",Inventory!$AA111&lt;&gt;""),VLOOKUP(Inventory!$AA111,$H$4:$I$6,2,FALSE),IF(AND($Z104="c",Inventory!$AA111=""),"a",IF(AND($Z104="c",Inventory!$AA111&lt;&gt;""),VLOOKUP(Inventory!$AA111,$H$4:$I$6,2,FALSE),"a")))))))</f>
        <v>a</v>
      </c>
      <c r="AC104" s="559" t="str">
        <f t="shared" si="61"/>
        <v>a</v>
      </c>
      <c r="AD104" s="473" t="str">
        <f>IF($Z104="","a",IF(AND($Z104="b",Inventory!$L111=""),"a",IF(AND($Z104="b",Inventory!$L111&lt;&gt;""),VLOOKUP(Inventory!$L111,$N$4:$O$5,2,FALSE),IF(AND($Z104="a",Inventory!$AC111=""),"a",IF(AND($Z104="a",Inventory!$AC111&lt;&gt;""),VLOOKUP(Inventory!$AC111,$N$4:$O$5,2,FALSE),IF(AND($Z104="c",Inventory!$AC111=""),"a",IF(AND($Z104="c",Inventory!$AC111&lt;&gt;""),VLOOKUP(Inventory!$AC111,$N$4:$O$5,2,FALSE),"a")))))))</f>
        <v>a</v>
      </c>
      <c r="AE104" s="474">
        <f>IF(OR(Inventory!C111="New Construction",Inventory!C111="Replace-on-Burnout"),Inventory!AF111,IF(Inventory!C111="Early Retirement",MIN(Inventory!AE111,Inventory!AF111),0))</f>
        <v>0</v>
      </c>
      <c r="AF104" s="475" t="str">
        <f t="shared" si="62"/>
        <v/>
      </c>
      <c r="AG104" s="475" t="str">
        <f t="shared" si="50"/>
        <v/>
      </c>
      <c r="AH104" s="475" t="str">
        <f t="shared" si="51"/>
        <v/>
      </c>
      <c r="AI104" s="475" t="str">
        <f t="shared" si="52"/>
        <v/>
      </c>
      <c r="AJ104" s="475" t="str">
        <f t="shared" si="53"/>
        <v/>
      </c>
      <c r="AK104" s="475" t="str">
        <f t="shared" si="63"/>
        <v/>
      </c>
      <c r="AL104" s="475" t="str">
        <f t="shared" si="64"/>
        <v/>
      </c>
      <c r="AM104" s="475" t="str">
        <f t="shared" si="65"/>
        <v/>
      </c>
      <c r="AN104" s="475" t="str">
        <f t="shared" si="66"/>
        <v/>
      </c>
      <c r="AO104" s="475" t="str">
        <f t="shared" si="67"/>
        <v/>
      </c>
      <c r="AP104" s="475" t="str">
        <f t="shared" si="68"/>
        <v/>
      </c>
      <c r="AQ104" s="475" t="str">
        <f t="shared" si="69"/>
        <v/>
      </c>
      <c r="AR104" s="475" t="str">
        <f t="shared" si="70"/>
        <v/>
      </c>
      <c r="AS104" s="475" t="str">
        <f t="shared" si="71"/>
        <v/>
      </c>
      <c r="AT104" s="475" t="str">
        <f t="shared" si="72"/>
        <v/>
      </c>
      <c r="AU104" s="475" t="str">
        <f t="shared" si="73"/>
        <v/>
      </c>
      <c r="AV104" s="475" t="str">
        <f t="shared" si="54"/>
        <v/>
      </c>
      <c r="AW104" s="473">
        <f t="shared" si="55"/>
        <v>0</v>
      </c>
      <c r="AX104" s="473" t="str">
        <f>IF(AND($Z104="b",OR($AA104="a",$AA104="b"),Inventory!$I111="",$AE104&lt;(65000/12000)),"x",IF(AND($Z104="b",OR($AA104="a",$AA104="b"),Inventory!$I111&lt;&gt;"",$AE104&lt;(65000/12000)),VLOOKUP(Inventory!$I111,$V$4:$W$5,2,FALSE),"x"))</f>
        <v>x</v>
      </c>
      <c r="AY104" s="476" t="str">
        <f t="shared" si="74"/>
        <v>aaa0</v>
      </c>
      <c r="AZ104" s="477" t="str">
        <f t="shared" si="75"/>
        <v>No</v>
      </c>
      <c r="BA104" s="759" t="str">
        <f t="shared" si="76"/>
        <v>No</v>
      </c>
      <c r="BB104" s="477">
        <f>IF($Z104="c",Inventory!$AB111,Inventory!$K111)</f>
        <v>0</v>
      </c>
      <c r="BC104" s="478">
        <f>IF(AND($Z104="b",Inventory!$N111="Btu/hr"),Inventory!$M111,IF(AND($Z104="b",Inventory!$N111="Tons"),Inventory!$M111*12000,IF(AND($Z104&lt;&gt;"b",Inventory!$AK111="Btu/hr"),Inventory!$AD111,IF(AND($Z104&lt;&gt;"b",Inventory!$AK111="Tons"),Inventory!$AD111*12000,0))))</f>
        <v>0</v>
      </c>
      <c r="BD104" s="478">
        <f t="shared" si="46"/>
        <v>0</v>
      </c>
      <c r="BE104" s="479">
        <f t="shared" si="77"/>
        <v>0</v>
      </c>
      <c r="BF104" s="477" t="s">
        <v>50</v>
      </c>
      <c r="BG104" s="479">
        <f t="shared" si="56"/>
        <v>0</v>
      </c>
      <c r="BH104" s="477" t="s">
        <v>46</v>
      </c>
      <c r="BI104" s="760">
        <f>IF(AND($Z104="b",Inventory!$P111="Btu/hr"),Inventory!$O111,IF(AND($Z104="b",Inventory!$P111="Tons"),Inventory!$O111*12000,IF(AND($Z104&lt;&gt;"b",Inventory!$AM111="Btu/hr"),Inventory!$AL111,IF(AND($Z104&lt;&gt;"b",Inventory!$AM111="Tons"),Inventory!$AL111*12000,0))))</f>
        <v>0</v>
      </c>
      <c r="BJ104" s="760">
        <f t="shared" si="47"/>
        <v>0</v>
      </c>
      <c r="BK104" s="598">
        <f t="shared" si="78"/>
        <v>0</v>
      </c>
      <c r="BL104" s="759" t="s">
        <v>567</v>
      </c>
      <c r="BM104" s="477" t="str">
        <f t="shared" si="57"/>
        <v>No</v>
      </c>
      <c r="BN104" s="477" t="str">
        <f>IF(OR(Inventory!$H111="",$BM104="No"),"-",Inventory!$H111)</f>
        <v>-</v>
      </c>
      <c r="BO104" s="477" t="str">
        <f>IFERROR(VLOOKUP(BN104,'Early Retirement'!$B$6:$C$33,2,FALSE),"-")</f>
        <v>-</v>
      </c>
      <c r="BP104" s="477" t="str">
        <f>IF(Inventory!$J111="Centrifugal","Yes","No")</f>
        <v>No</v>
      </c>
      <c r="BQ104" s="477">
        <f t="shared" si="79"/>
        <v>0</v>
      </c>
      <c r="BR104" s="477" t="str">
        <f t="shared" si="80"/>
        <v>-</v>
      </c>
      <c r="BS104" s="479">
        <f>IFERROR(INDEX('Early Retirement'!$C$4:$AC$33,$BO104,$BR104),0)</f>
        <v>0</v>
      </c>
      <c r="BT104" s="477">
        <f>IFERROR(HLOOKUP($BR104,'Early Retirement'!$D$4:$AC$5,2,FALSE),0)</f>
        <v>0</v>
      </c>
      <c r="BU104" s="761">
        <f>IFERROR(INDEX('Early Retirement'!$AE$4:$BE$33,$BO104,$BR104),0)</f>
        <v>0</v>
      </c>
      <c r="BV104" s="759">
        <f>IFERROR(HLOOKUP($BR104,'Early Retirement'!$AF$4:$BE$5,2,FALSE),0)</f>
        <v>0</v>
      </c>
      <c r="BW104" s="479">
        <f t="shared" si="87"/>
        <v>0</v>
      </c>
      <c r="BX104" s="761">
        <f t="shared" si="81"/>
        <v>0</v>
      </c>
      <c r="BY104" s="477" t="s">
        <v>46</v>
      </c>
      <c r="BZ104" s="598">
        <f>IFERROR(INDEX('Early Retirement'!$BG$4:$CG$33,$BO104,$BR104),0)</f>
        <v>0</v>
      </c>
      <c r="CA104" s="759">
        <f>IFERROR(HLOOKUP($BR104,'Early Retirement'!$BH$4:$CH$5,2,FALSE),0)</f>
        <v>0</v>
      </c>
      <c r="CB104" s="598">
        <f t="shared" si="82"/>
        <v>0</v>
      </c>
      <c r="CC104" s="759" t="s">
        <v>567</v>
      </c>
      <c r="CD104" s="477" t="str">
        <f t="shared" si="58"/>
        <v>Yes</v>
      </c>
      <c r="CE104" s="479">
        <f t="shared" si="59"/>
        <v>0</v>
      </c>
      <c r="CF104" s="761">
        <f t="shared" si="60"/>
        <v>0</v>
      </c>
      <c r="CG104" s="759" t="s">
        <v>46</v>
      </c>
      <c r="CH104" s="598">
        <f t="shared" si="83"/>
        <v>0</v>
      </c>
      <c r="CI104" s="759" t="s">
        <v>567</v>
      </c>
      <c r="CJ104" s="480">
        <f t="shared" si="84"/>
        <v>0</v>
      </c>
      <c r="CK104" s="583">
        <f t="shared" si="85"/>
        <v>0</v>
      </c>
      <c r="CL104" s="596" t="s">
        <v>46</v>
      </c>
      <c r="CM104" s="581">
        <f t="shared" si="86"/>
        <v>0</v>
      </c>
      <c r="CN104" s="762" t="s">
        <v>567</v>
      </c>
      <c r="CP104" s="90" t="s">
        <v>214</v>
      </c>
      <c r="CQ104" s="124">
        <v>0.78</v>
      </c>
      <c r="CR104" s="307" t="s">
        <v>46</v>
      </c>
      <c r="CS104" s="645">
        <v>0.63</v>
      </c>
      <c r="CT104" s="551" t="s">
        <v>559</v>
      </c>
      <c r="CU104" s="645">
        <f t="shared" si="91"/>
        <v>0.78</v>
      </c>
      <c r="CV104" s="645">
        <f t="shared" si="92"/>
        <v>0.63</v>
      </c>
      <c r="CW104" s="633" t="s">
        <v>46</v>
      </c>
      <c r="CX104" s="606"/>
      <c r="CY104" s="589"/>
      <c r="CZ104" s="606"/>
      <c r="DA104" s="609"/>
      <c r="DB104" s="562"/>
      <c r="DC104" s="562"/>
      <c r="DD104" s="562"/>
      <c r="DE104" s="562"/>
      <c r="DF104" s="562"/>
      <c r="DG104" s="562"/>
      <c r="DH104" s="562"/>
      <c r="DI104" s="562"/>
      <c r="DJ104" s="562"/>
      <c r="DK104" s="562"/>
      <c r="DL104" s="562"/>
      <c r="DM104" s="562"/>
      <c r="DN104" s="562"/>
      <c r="DO104" s="562"/>
      <c r="DP104" s="562"/>
      <c r="DQ104" s="562"/>
      <c r="DR104" s="562"/>
      <c r="DS104" s="562"/>
      <c r="DT104" s="562"/>
      <c r="DU104" s="562"/>
      <c r="DV104" s="562"/>
      <c r="DW104" s="562"/>
      <c r="DX104" s="562"/>
      <c r="DY104" s="562"/>
      <c r="DZ104" s="562"/>
      <c r="EA104" s="562"/>
      <c r="EB104" s="562"/>
      <c r="EC104" s="562"/>
      <c r="ED104" s="562"/>
      <c r="EE104" s="562"/>
      <c r="EF104" s="562"/>
      <c r="EG104" s="562"/>
      <c r="EH104" s="562"/>
      <c r="EI104" s="562"/>
      <c r="EJ104" s="562"/>
      <c r="EK104" s="562"/>
      <c r="EL104" s="562"/>
    </row>
    <row r="105" spans="2:142" s="78" customFormat="1" ht="15" customHeight="1" x14ac:dyDescent="0.25">
      <c r="B105" s="77"/>
      <c r="E105" s="77"/>
      <c r="H105" s="77"/>
      <c r="U105" s="79"/>
      <c r="V105" s="79"/>
      <c r="W105" s="79"/>
      <c r="Y105" s="90">
        <v>103</v>
      </c>
      <c r="Z105" s="559" t="str">
        <f>IF(Inventory!$C112="","",VLOOKUP(Inventory!$C112,$B$3:$C$5,2,FALSE))</f>
        <v/>
      </c>
      <c r="AA105" s="559" t="str">
        <f>IF($Z105="","",IF(AND($Z105="b",Inventory!$G112=""),"",IF(AND($Z105="b",Inventory!$G112&lt;&gt;""),VLOOKUP(Inventory!$G112,$E$3:$F$10,2,FALSE),IF(AND($Z105="a",Inventory!$Z112=""),"",IF(AND($Z105="a",Inventory!$Z112&lt;&gt;""),VLOOKUP(Inventory!$Z112,$E$3:$F$10,2,FALSE),IF(AND($Z105="c",Inventory!$Z112=""),"",IF(AND($Z105="c",Inventory!$Z112&lt;&gt;""),VLOOKUP(Inventory!$Z112,$E$3:$F$10,2,FALSE),"")))))))</f>
        <v/>
      </c>
      <c r="AB105" s="559" t="str">
        <f>IF($Z105="","a",IF(AND($Z105="b",Inventory!$J112=""),"a",IF(AND($Z105="b",Inventory!$J112&lt;&gt;""),VLOOKUP(Inventory!$J112,$H$4:$I$6,2,FALSE),IF(AND($Z105="a",Inventory!$AA112=""),"a",IF(AND($Z105="a",Inventory!$AA112&lt;&gt;""),VLOOKUP(Inventory!$AA112,$H$4:$I$6,2,FALSE),IF(AND($Z105="c",Inventory!$AA112=""),"a",IF(AND($Z105="c",Inventory!$AA112&lt;&gt;""),VLOOKUP(Inventory!$AA112,$H$4:$I$6,2,FALSE),"a")))))))</f>
        <v>a</v>
      </c>
      <c r="AC105" s="559" t="str">
        <f t="shared" si="61"/>
        <v>a</v>
      </c>
      <c r="AD105" s="473" t="str">
        <f>IF($Z105="","a",IF(AND($Z105="b",Inventory!$L112=""),"a",IF(AND($Z105="b",Inventory!$L112&lt;&gt;""),VLOOKUP(Inventory!$L112,$N$4:$O$5,2,FALSE),IF(AND($Z105="a",Inventory!$AC112=""),"a",IF(AND($Z105="a",Inventory!$AC112&lt;&gt;""),VLOOKUP(Inventory!$AC112,$N$4:$O$5,2,FALSE),IF(AND($Z105="c",Inventory!$AC112=""),"a",IF(AND($Z105="c",Inventory!$AC112&lt;&gt;""),VLOOKUP(Inventory!$AC112,$N$4:$O$5,2,FALSE),"a")))))))</f>
        <v>a</v>
      </c>
      <c r="AE105" s="474">
        <f>IF(OR(Inventory!C112="New Construction",Inventory!C112="Replace-on-Burnout"),Inventory!AF112,IF(Inventory!C112="Early Retirement",MIN(Inventory!AE112,Inventory!AF112),0))</f>
        <v>0</v>
      </c>
      <c r="AF105" s="475" t="str">
        <f t="shared" si="62"/>
        <v/>
      </c>
      <c r="AG105" s="475" t="str">
        <f t="shared" si="50"/>
        <v/>
      </c>
      <c r="AH105" s="475" t="str">
        <f t="shared" si="51"/>
        <v/>
      </c>
      <c r="AI105" s="475" t="str">
        <f t="shared" si="52"/>
        <v/>
      </c>
      <c r="AJ105" s="475" t="str">
        <f t="shared" si="53"/>
        <v/>
      </c>
      <c r="AK105" s="475" t="str">
        <f t="shared" si="63"/>
        <v/>
      </c>
      <c r="AL105" s="475" t="str">
        <f t="shared" si="64"/>
        <v/>
      </c>
      <c r="AM105" s="475" t="str">
        <f t="shared" si="65"/>
        <v/>
      </c>
      <c r="AN105" s="475" t="str">
        <f t="shared" si="66"/>
        <v/>
      </c>
      <c r="AO105" s="475" t="str">
        <f t="shared" si="67"/>
        <v/>
      </c>
      <c r="AP105" s="475" t="str">
        <f t="shared" si="68"/>
        <v/>
      </c>
      <c r="AQ105" s="475" t="str">
        <f t="shared" si="69"/>
        <v/>
      </c>
      <c r="AR105" s="475" t="str">
        <f t="shared" si="70"/>
        <v/>
      </c>
      <c r="AS105" s="475" t="str">
        <f t="shared" si="71"/>
        <v/>
      </c>
      <c r="AT105" s="475" t="str">
        <f t="shared" si="72"/>
        <v/>
      </c>
      <c r="AU105" s="475" t="str">
        <f t="shared" si="73"/>
        <v/>
      </c>
      <c r="AV105" s="475" t="str">
        <f t="shared" si="54"/>
        <v/>
      </c>
      <c r="AW105" s="473">
        <f t="shared" si="55"/>
        <v>0</v>
      </c>
      <c r="AX105" s="473" t="str">
        <f>IF(AND($Z105="b",OR($AA105="a",$AA105="b"),Inventory!$I112="",$AE105&lt;(65000/12000)),"x",IF(AND($Z105="b",OR($AA105="a",$AA105="b"),Inventory!$I112&lt;&gt;"",$AE105&lt;(65000/12000)),VLOOKUP(Inventory!$I112,$V$4:$W$5,2,FALSE),"x"))</f>
        <v>x</v>
      </c>
      <c r="AY105" s="476" t="str">
        <f t="shared" si="74"/>
        <v>aaa0</v>
      </c>
      <c r="AZ105" s="477" t="str">
        <f t="shared" si="75"/>
        <v>No</v>
      </c>
      <c r="BA105" s="759" t="str">
        <f t="shared" si="76"/>
        <v>No</v>
      </c>
      <c r="BB105" s="477">
        <f>IF($Z105="c",Inventory!$AB112,Inventory!$K112)</f>
        <v>0</v>
      </c>
      <c r="BC105" s="478">
        <f>IF(AND($Z105="b",Inventory!$N112="Btu/hr"),Inventory!$M112,IF(AND($Z105="b",Inventory!$N112="Tons"),Inventory!$M112*12000,IF(AND($Z105&lt;&gt;"b",Inventory!$AK112="Btu/hr"),Inventory!$AD112,IF(AND($Z105&lt;&gt;"b",Inventory!$AK112="Tons"),Inventory!$AD112*12000,0))))</f>
        <v>0</v>
      </c>
      <c r="BD105" s="478">
        <f t="shared" si="46"/>
        <v>0</v>
      </c>
      <c r="BE105" s="479">
        <f t="shared" si="77"/>
        <v>0</v>
      </c>
      <c r="BF105" s="477" t="s">
        <v>50</v>
      </c>
      <c r="BG105" s="479">
        <f t="shared" si="56"/>
        <v>0</v>
      </c>
      <c r="BH105" s="477" t="s">
        <v>46</v>
      </c>
      <c r="BI105" s="760">
        <f>IF(AND($Z105="b",Inventory!$P112="Btu/hr"),Inventory!$O112,IF(AND($Z105="b",Inventory!$P112="Tons"),Inventory!$O112*12000,IF(AND($Z105&lt;&gt;"b",Inventory!$AM112="Btu/hr"),Inventory!$AL112,IF(AND($Z105&lt;&gt;"b",Inventory!$AM112="Tons"),Inventory!$AL112*12000,0))))</f>
        <v>0</v>
      </c>
      <c r="BJ105" s="760">
        <f t="shared" si="47"/>
        <v>0</v>
      </c>
      <c r="BK105" s="598">
        <f t="shared" si="78"/>
        <v>0</v>
      </c>
      <c r="BL105" s="759" t="s">
        <v>567</v>
      </c>
      <c r="BM105" s="477" t="str">
        <f t="shared" si="57"/>
        <v>No</v>
      </c>
      <c r="BN105" s="477" t="str">
        <f>IF(OR(Inventory!$H112="",$BM105="No"),"-",Inventory!$H112)</f>
        <v>-</v>
      </c>
      <c r="BO105" s="477" t="str">
        <f>IFERROR(VLOOKUP(BN105,'Early Retirement'!$B$6:$C$33,2,FALSE),"-")</f>
        <v>-</v>
      </c>
      <c r="BP105" s="477" t="str">
        <f>IF(Inventory!$J112="Centrifugal","Yes","No")</f>
        <v>No</v>
      </c>
      <c r="BQ105" s="477">
        <f t="shared" si="79"/>
        <v>0</v>
      </c>
      <c r="BR105" s="477" t="str">
        <f t="shared" si="80"/>
        <v>-</v>
      </c>
      <c r="BS105" s="479">
        <f>IFERROR(INDEX('Early Retirement'!$C$4:$AC$33,$BO105,$BR105),0)</f>
        <v>0</v>
      </c>
      <c r="BT105" s="477">
        <f>IFERROR(HLOOKUP($BR105,'Early Retirement'!$D$4:$AC$5,2,FALSE),0)</f>
        <v>0</v>
      </c>
      <c r="BU105" s="761">
        <f>IFERROR(INDEX('Early Retirement'!$AE$4:$BE$33,$BO105,$BR105),0)</f>
        <v>0</v>
      </c>
      <c r="BV105" s="759">
        <f>IFERROR(HLOOKUP($BR105,'Early Retirement'!$AF$4:$BE$5,2,FALSE),0)</f>
        <v>0</v>
      </c>
      <c r="BW105" s="479">
        <f t="shared" si="87"/>
        <v>0</v>
      </c>
      <c r="BX105" s="761">
        <f t="shared" si="81"/>
        <v>0</v>
      </c>
      <c r="BY105" s="477" t="s">
        <v>46</v>
      </c>
      <c r="BZ105" s="598">
        <f>IFERROR(INDEX('Early Retirement'!$BG$4:$CG$33,$BO105,$BR105),0)</f>
        <v>0</v>
      </c>
      <c r="CA105" s="759">
        <f>IFERROR(HLOOKUP($BR105,'Early Retirement'!$BH$4:$CH$5,2,FALSE),0)</f>
        <v>0</v>
      </c>
      <c r="CB105" s="598">
        <f t="shared" si="82"/>
        <v>0</v>
      </c>
      <c r="CC105" s="759" t="s">
        <v>567</v>
      </c>
      <c r="CD105" s="477" t="str">
        <f t="shared" si="58"/>
        <v>Yes</v>
      </c>
      <c r="CE105" s="479">
        <f t="shared" si="59"/>
        <v>0</v>
      </c>
      <c r="CF105" s="761">
        <f t="shared" si="60"/>
        <v>0</v>
      </c>
      <c r="CG105" s="759" t="s">
        <v>46</v>
      </c>
      <c r="CH105" s="598">
        <f t="shared" si="83"/>
        <v>0</v>
      </c>
      <c r="CI105" s="759" t="s">
        <v>567</v>
      </c>
      <c r="CJ105" s="480">
        <f t="shared" si="84"/>
        <v>0</v>
      </c>
      <c r="CK105" s="583">
        <f t="shared" si="85"/>
        <v>0</v>
      </c>
      <c r="CL105" s="596" t="s">
        <v>46</v>
      </c>
      <c r="CM105" s="581">
        <f t="shared" si="86"/>
        <v>0</v>
      </c>
      <c r="CN105" s="762" t="s">
        <v>567</v>
      </c>
      <c r="CP105" s="90" t="s">
        <v>215</v>
      </c>
      <c r="CQ105" s="124">
        <v>0.77500000000000002</v>
      </c>
      <c r="CR105" s="307" t="s">
        <v>46</v>
      </c>
      <c r="CS105" s="645">
        <v>0.61499999999999999</v>
      </c>
      <c r="CT105" s="551" t="s">
        <v>559</v>
      </c>
      <c r="CU105" s="645">
        <f t="shared" si="91"/>
        <v>0.77500000000000002</v>
      </c>
      <c r="CV105" s="645">
        <f t="shared" si="92"/>
        <v>0.61499999999999999</v>
      </c>
      <c r="CW105" s="633" t="s">
        <v>46</v>
      </c>
      <c r="CX105" s="606"/>
      <c r="CY105" s="589"/>
      <c r="CZ105" s="606"/>
      <c r="DA105" s="609"/>
      <c r="DB105" s="562"/>
      <c r="DC105" s="562"/>
      <c r="DD105" s="562"/>
      <c r="DE105" s="562"/>
      <c r="DF105" s="562"/>
      <c r="DG105" s="562"/>
      <c r="DH105" s="562"/>
      <c r="DI105" s="562"/>
      <c r="DJ105" s="562"/>
      <c r="DK105" s="562"/>
      <c r="DL105" s="562"/>
      <c r="DM105" s="562"/>
      <c r="DN105" s="562"/>
      <c r="DO105" s="562"/>
      <c r="DP105" s="562"/>
      <c r="DQ105" s="562"/>
      <c r="DR105" s="562"/>
      <c r="DS105" s="562"/>
      <c r="DT105" s="562"/>
      <c r="DU105" s="562"/>
      <c r="DV105" s="562"/>
      <c r="DW105" s="562"/>
      <c r="DX105" s="562"/>
      <c r="DY105" s="562"/>
      <c r="DZ105" s="562"/>
      <c r="EA105" s="562"/>
      <c r="EB105" s="562"/>
      <c r="EC105" s="562"/>
      <c r="ED105" s="562"/>
      <c r="EE105" s="562"/>
      <c r="EF105" s="562"/>
      <c r="EG105" s="562"/>
      <c r="EH105" s="562"/>
      <c r="EI105" s="562"/>
      <c r="EJ105" s="562"/>
      <c r="EK105" s="562"/>
      <c r="EL105" s="562"/>
    </row>
    <row r="106" spans="2:142" s="78" customFormat="1" ht="15" customHeight="1" x14ac:dyDescent="0.25">
      <c r="B106" s="77"/>
      <c r="E106" s="77"/>
      <c r="H106" s="77"/>
      <c r="U106" s="79"/>
      <c r="V106" s="79"/>
      <c r="W106" s="79"/>
      <c r="Y106" s="90">
        <v>104</v>
      </c>
      <c r="Z106" s="559" t="str">
        <f>IF(Inventory!$C113="","",VLOOKUP(Inventory!$C113,$B$3:$C$5,2,FALSE))</f>
        <v/>
      </c>
      <c r="AA106" s="559" t="str">
        <f>IF($Z106="","",IF(AND($Z106="b",Inventory!$G113=""),"",IF(AND($Z106="b",Inventory!$G113&lt;&gt;""),VLOOKUP(Inventory!$G113,$E$3:$F$10,2,FALSE),IF(AND($Z106="a",Inventory!$Z113=""),"",IF(AND($Z106="a",Inventory!$Z113&lt;&gt;""),VLOOKUP(Inventory!$Z113,$E$3:$F$10,2,FALSE),IF(AND($Z106="c",Inventory!$Z113=""),"",IF(AND($Z106="c",Inventory!$Z113&lt;&gt;""),VLOOKUP(Inventory!$Z113,$E$3:$F$10,2,FALSE),"")))))))</f>
        <v/>
      </c>
      <c r="AB106" s="559" t="str">
        <f>IF($Z106="","a",IF(AND($Z106="b",Inventory!$J113=""),"a",IF(AND($Z106="b",Inventory!$J113&lt;&gt;""),VLOOKUP(Inventory!$J113,$H$4:$I$6,2,FALSE),IF(AND($Z106="a",Inventory!$AA113=""),"a",IF(AND($Z106="a",Inventory!$AA113&lt;&gt;""),VLOOKUP(Inventory!$AA113,$H$4:$I$6,2,FALSE),IF(AND($Z106="c",Inventory!$AA113=""),"a",IF(AND($Z106="c",Inventory!$AA113&lt;&gt;""),VLOOKUP(Inventory!$AA113,$H$4:$I$6,2,FALSE),"a")))))))</f>
        <v>a</v>
      </c>
      <c r="AC106" s="559" t="str">
        <f t="shared" si="61"/>
        <v>a</v>
      </c>
      <c r="AD106" s="473" t="str">
        <f>IF($Z106="","a",IF(AND($Z106="b",Inventory!$L113=""),"a",IF(AND($Z106="b",Inventory!$L113&lt;&gt;""),VLOOKUP(Inventory!$L113,$N$4:$O$5,2,FALSE),IF(AND($Z106="a",Inventory!$AC113=""),"a",IF(AND($Z106="a",Inventory!$AC113&lt;&gt;""),VLOOKUP(Inventory!$AC113,$N$4:$O$5,2,FALSE),IF(AND($Z106="c",Inventory!$AC113=""),"a",IF(AND($Z106="c",Inventory!$AC113&lt;&gt;""),VLOOKUP(Inventory!$AC113,$N$4:$O$5,2,FALSE),"a")))))))</f>
        <v>a</v>
      </c>
      <c r="AE106" s="474">
        <f>IF(OR(Inventory!C113="New Construction",Inventory!C113="Replace-on-Burnout"),Inventory!AF113,IF(Inventory!C113="Early Retirement",MIN(Inventory!AE113,Inventory!AF113),0))</f>
        <v>0</v>
      </c>
      <c r="AF106" s="475" t="str">
        <f t="shared" si="62"/>
        <v/>
      </c>
      <c r="AG106" s="475" t="str">
        <f t="shared" si="50"/>
        <v/>
      </c>
      <c r="AH106" s="475" t="str">
        <f t="shared" si="51"/>
        <v/>
      </c>
      <c r="AI106" s="475" t="str">
        <f t="shared" si="52"/>
        <v/>
      </c>
      <c r="AJ106" s="475" t="str">
        <f t="shared" si="53"/>
        <v/>
      </c>
      <c r="AK106" s="475" t="str">
        <f t="shared" si="63"/>
        <v/>
      </c>
      <c r="AL106" s="475" t="str">
        <f t="shared" si="64"/>
        <v/>
      </c>
      <c r="AM106" s="475" t="str">
        <f t="shared" si="65"/>
        <v/>
      </c>
      <c r="AN106" s="475" t="str">
        <f t="shared" si="66"/>
        <v/>
      </c>
      <c r="AO106" s="475" t="str">
        <f t="shared" si="67"/>
        <v/>
      </c>
      <c r="AP106" s="475" t="str">
        <f t="shared" si="68"/>
        <v/>
      </c>
      <c r="AQ106" s="475" t="str">
        <f t="shared" si="69"/>
        <v/>
      </c>
      <c r="AR106" s="475" t="str">
        <f t="shared" si="70"/>
        <v/>
      </c>
      <c r="AS106" s="475" t="str">
        <f t="shared" si="71"/>
        <v/>
      </c>
      <c r="AT106" s="475" t="str">
        <f t="shared" si="72"/>
        <v/>
      </c>
      <c r="AU106" s="475" t="str">
        <f t="shared" si="73"/>
        <v/>
      </c>
      <c r="AV106" s="475" t="str">
        <f t="shared" si="54"/>
        <v/>
      </c>
      <c r="AW106" s="473">
        <f t="shared" si="55"/>
        <v>0</v>
      </c>
      <c r="AX106" s="473" t="str">
        <f>IF(AND($Z106="b",OR($AA106="a",$AA106="b"),Inventory!$I113="",$AE106&lt;(65000/12000)),"x",IF(AND($Z106="b",OR($AA106="a",$AA106="b"),Inventory!$I113&lt;&gt;"",$AE106&lt;(65000/12000)),VLOOKUP(Inventory!$I113,$V$4:$W$5,2,FALSE),"x"))</f>
        <v>x</v>
      </c>
      <c r="AY106" s="476" t="str">
        <f t="shared" si="74"/>
        <v>aaa0</v>
      </c>
      <c r="AZ106" s="477" t="str">
        <f t="shared" si="75"/>
        <v>No</v>
      </c>
      <c r="BA106" s="759" t="str">
        <f t="shared" si="76"/>
        <v>No</v>
      </c>
      <c r="BB106" s="477">
        <f>IF($Z106="c",Inventory!$AB113,Inventory!$K113)</f>
        <v>0</v>
      </c>
      <c r="BC106" s="478">
        <f>IF(AND($Z106="b",Inventory!$N113="Btu/hr"),Inventory!$M113,IF(AND($Z106="b",Inventory!$N113="Tons"),Inventory!$M113*12000,IF(AND($Z106&lt;&gt;"b",Inventory!$AK113="Btu/hr"),Inventory!$AD113,IF(AND($Z106&lt;&gt;"b",Inventory!$AK113="Tons"),Inventory!$AD113*12000,0))))</f>
        <v>0</v>
      </c>
      <c r="BD106" s="478">
        <f t="shared" si="46"/>
        <v>0</v>
      </c>
      <c r="BE106" s="479">
        <f t="shared" si="77"/>
        <v>0</v>
      </c>
      <c r="BF106" s="477" t="s">
        <v>50</v>
      </c>
      <c r="BG106" s="479">
        <f t="shared" si="56"/>
        <v>0</v>
      </c>
      <c r="BH106" s="477" t="s">
        <v>46</v>
      </c>
      <c r="BI106" s="760">
        <f>IF(AND($Z106="b",Inventory!$P113="Btu/hr"),Inventory!$O113,IF(AND($Z106="b",Inventory!$P113="Tons"),Inventory!$O113*12000,IF(AND($Z106&lt;&gt;"b",Inventory!$AM113="Btu/hr"),Inventory!$AL113,IF(AND($Z106&lt;&gt;"b",Inventory!$AM113="Tons"),Inventory!$AL113*12000,0))))</f>
        <v>0</v>
      </c>
      <c r="BJ106" s="760">
        <f t="shared" si="47"/>
        <v>0</v>
      </c>
      <c r="BK106" s="598">
        <f t="shared" si="78"/>
        <v>0</v>
      </c>
      <c r="BL106" s="759" t="s">
        <v>567</v>
      </c>
      <c r="BM106" s="477" t="str">
        <f t="shared" si="57"/>
        <v>No</v>
      </c>
      <c r="BN106" s="477" t="str">
        <f>IF(OR(Inventory!$H113="",$BM106="No"),"-",Inventory!$H113)</f>
        <v>-</v>
      </c>
      <c r="BO106" s="477" t="str">
        <f>IFERROR(VLOOKUP(BN106,'Early Retirement'!$B$6:$C$33,2,FALSE),"-")</f>
        <v>-</v>
      </c>
      <c r="BP106" s="477" t="str">
        <f>IF(Inventory!$J113="Centrifugal","Yes","No")</f>
        <v>No</v>
      </c>
      <c r="BQ106" s="477">
        <f t="shared" si="79"/>
        <v>0</v>
      </c>
      <c r="BR106" s="477" t="str">
        <f t="shared" si="80"/>
        <v>-</v>
      </c>
      <c r="BS106" s="479">
        <f>IFERROR(INDEX('Early Retirement'!$C$4:$AC$33,$BO106,$BR106),0)</f>
        <v>0</v>
      </c>
      <c r="BT106" s="477">
        <f>IFERROR(HLOOKUP($BR106,'Early Retirement'!$D$4:$AC$5,2,FALSE),0)</f>
        <v>0</v>
      </c>
      <c r="BU106" s="761">
        <f>IFERROR(INDEX('Early Retirement'!$AE$4:$BE$33,$BO106,$BR106),0)</f>
        <v>0</v>
      </c>
      <c r="BV106" s="759">
        <f>IFERROR(HLOOKUP($BR106,'Early Retirement'!$AF$4:$BE$5,2,FALSE),0)</f>
        <v>0</v>
      </c>
      <c r="BW106" s="479">
        <f t="shared" si="87"/>
        <v>0</v>
      </c>
      <c r="BX106" s="761">
        <f t="shared" si="81"/>
        <v>0</v>
      </c>
      <c r="BY106" s="477" t="s">
        <v>46</v>
      </c>
      <c r="BZ106" s="598">
        <f>IFERROR(INDEX('Early Retirement'!$BG$4:$CG$33,$BO106,$BR106),0)</f>
        <v>0</v>
      </c>
      <c r="CA106" s="759">
        <f>IFERROR(HLOOKUP($BR106,'Early Retirement'!$BH$4:$CH$5,2,FALSE),0)</f>
        <v>0</v>
      </c>
      <c r="CB106" s="598">
        <f t="shared" si="82"/>
        <v>0</v>
      </c>
      <c r="CC106" s="759" t="s">
        <v>567</v>
      </c>
      <c r="CD106" s="477" t="str">
        <f t="shared" si="58"/>
        <v>Yes</v>
      </c>
      <c r="CE106" s="479">
        <f t="shared" si="59"/>
        <v>0</v>
      </c>
      <c r="CF106" s="761">
        <f t="shared" si="60"/>
        <v>0</v>
      </c>
      <c r="CG106" s="759" t="s">
        <v>46</v>
      </c>
      <c r="CH106" s="598">
        <f t="shared" si="83"/>
        <v>0</v>
      </c>
      <c r="CI106" s="759" t="s">
        <v>567</v>
      </c>
      <c r="CJ106" s="480">
        <f t="shared" si="84"/>
        <v>0</v>
      </c>
      <c r="CK106" s="583">
        <f t="shared" si="85"/>
        <v>0</v>
      </c>
      <c r="CL106" s="596" t="s">
        <v>46</v>
      </c>
      <c r="CM106" s="581">
        <f t="shared" si="86"/>
        <v>0</v>
      </c>
      <c r="CN106" s="762" t="s">
        <v>567</v>
      </c>
      <c r="CP106" s="90" t="s">
        <v>216</v>
      </c>
      <c r="CQ106" s="124">
        <v>0.68</v>
      </c>
      <c r="CR106" s="307" t="s">
        <v>46</v>
      </c>
      <c r="CS106" s="645">
        <v>0.57999999999999996</v>
      </c>
      <c r="CT106" s="551" t="s">
        <v>559</v>
      </c>
      <c r="CU106" s="645">
        <f t="shared" si="91"/>
        <v>0.68</v>
      </c>
      <c r="CV106" s="645">
        <f t="shared" si="92"/>
        <v>0.57999999999999996</v>
      </c>
      <c r="CW106" s="633" t="s">
        <v>46</v>
      </c>
      <c r="CX106" s="606"/>
      <c r="CY106" s="589"/>
      <c r="CZ106" s="606"/>
      <c r="DA106" s="609"/>
      <c r="DB106" s="562"/>
      <c r="DC106" s="562"/>
      <c r="DD106" s="562"/>
      <c r="DE106" s="562"/>
      <c r="DF106" s="562"/>
      <c r="DG106" s="562"/>
      <c r="DH106" s="562"/>
      <c r="DI106" s="562"/>
      <c r="DJ106" s="562"/>
      <c r="DK106" s="562"/>
      <c r="DL106" s="562"/>
      <c r="DM106" s="562"/>
      <c r="DN106" s="562"/>
      <c r="DO106" s="562"/>
      <c r="DP106" s="562"/>
      <c r="DQ106" s="562"/>
      <c r="DR106" s="562"/>
      <c r="DS106" s="562"/>
      <c r="DT106" s="562"/>
      <c r="DU106" s="562"/>
      <c r="DV106" s="562"/>
      <c r="DW106" s="562"/>
      <c r="DX106" s="562"/>
      <c r="DY106" s="562"/>
      <c r="DZ106" s="562"/>
      <c r="EA106" s="562"/>
      <c r="EB106" s="562"/>
      <c r="EC106" s="562"/>
      <c r="ED106" s="562"/>
      <c r="EE106" s="562"/>
      <c r="EF106" s="562"/>
      <c r="EG106" s="562"/>
      <c r="EH106" s="562"/>
      <c r="EI106" s="562"/>
      <c r="EJ106" s="562"/>
      <c r="EK106" s="562"/>
      <c r="EL106" s="562"/>
    </row>
    <row r="107" spans="2:142" s="78" customFormat="1" ht="15" customHeight="1" x14ac:dyDescent="0.25">
      <c r="B107" s="77"/>
      <c r="E107" s="77"/>
      <c r="H107" s="77"/>
      <c r="Q107" s="79"/>
      <c r="R107" s="79"/>
      <c r="S107" s="79"/>
      <c r="T107" s="79"/>
      <c r="U107" s="79"/>
      <c r="V107" s="79"/>
      <c r="W107" s="79"/>
      <c r="X107" s="79"/>
      <c r="Y107" s="90">
        <v>105</v>
      </c>
      <c r="Z107" s="559" t="str">
        <f>IF(Inventory!$C114="","",VLOOKUP(Inventory!$C114,$B$3:$C$5,2,FALSE))</f>
        <v/>
      </c>
      <c r="AA107" s="559" t="str">
        <f>IF($Z107="","",IF(AND($Z107="b",Inventory!$G114=""),"",IF(AND($Z107="b",Inventory!$G114&lt;&gt;""),VLOOKUP(Inventory!$G114,$E$3:$F$10,2,FALSE),IF(AND($Z107="a",Inventory!$Z114=""),"",IF(AND($Z107="a",Inventory!$Z114&lt;&gt;""),VLOOKUP(Inventory!$Z114,$E$3:$F$10,2,FALSE),IF(AND($Z107="c",Inventory!$Z114=""),"",IF(AND($Z107="c",Inventory!$Z114&lt;&gt;""),VLOOKUP(Inventory!$Z114,$E$3:$F$10,2,FALSE),"")))))))</f>
        <v/>
      </c>
      <c r="AB107" s="559" t="str">
        <f>IF($Z107="","a",IF(AND($Z107="b",Inventory!$J114=""),"a",IF(AND($Z107="b",Inventory!$J114&lt;&gt;""),VLOOKUP(Inventory!$J114,$H$4:$I$6,2,FALSE),IF(AND($Z107="a",Inventory!$AA114=""),"a",IF(AND($Z107="a",Inventory!$AA114&lt;&gt;""),VLOOKUP(Inventory!$AA114,$H$4:$I$6,2,FALSE),IF(AND($Z107="c",Inventory!$AA114=""),"a",IF(AND($Z107="c",Inventory!$AA114&lt;&gt;""),VLOOKUP(Inventory!$AA114,$H$4:$I$6,2,FALSE),"a")))))))</f>
        <v>a</v>
      </c>
      <c r="AC107" s="559" t="str">
        <f t="shared" si="61"/>
        <v>a</v>
      </c>
      <c r="AD107" s="473" t="str">
        <f>IF($Z107="","a",IF(AND($Z107="b",Inventory!$L114=""),"a",IF(AND($Z107="b",Inventory!$L114&lt;&gt;""),VLOOKUP(Inventory!$L114,$N$4:$O$5,2,FALSE),IF(AND($Z107="a",Inventory!$AC114=""),"a",IF(AND($Z107="a",Inventory!$AC114&lt;&gt;""),VLOOKUP(Inventory!$AC114,$N$4:$O$5,2,FALSE),IF(AND($Z107="c",Inventory!$AC114=""),"a",IF(AND($Z107="c",Inventory!$AC114&lt;&gt;""),VLOOKUP(Inventory!$AC114,$N$4:$O$5,2,FALSE),"a")))))))</f>
        <v>a</v>
      </c>
      <c r="AE107" s="474">
        <f>IF(OR(Inventory!C114="New Construction",Inventory!C114="Replace-on-Burnout"),Inventory!AF114,IF(Inventory!C114="Early Retirement",MIN(Inventory!AE114,Inventory!AF114),0))</f>
        <v>0</v>
      </c>
      <c r="AF107" s="475" t="str">
        <f t="shared" si="62"/>
        <v/>
      </c>
      <c r="AG107" s="475" t="str">
        <f t="shared" si="50"/>
        <v/>
      </c>
      <c r="AH107" s="475" t="str">
        <f t="shared" si="51"/>
        <v/>
      </c>
      <c r="AI107" s="475" t="str">
        <f t="shared" si="52"/>
        <v/>
      </c>
      <c r="AJ107" s="475" t="str">
        <f t="shared" si="53"/>
        <v/>
      </c>
      <c r="AK107" s="475" t="str">
        <f t="shared" si="63"/>
        <v/>
      </c>
      <c r="AL107" s="475" t="str">
        <f t="shared" si="64"/>
        <v/>
      </c>
      <c r="AM107" s="475" t="str">
        <f t="shared" si="65"/>
        <v/>
      </c>
      <c r="AN107" s="475" t="str">
        <f t="shared" si="66"/>
        <v/>
      </c>
      <c r="AO107" s="475" t="str">
        <f t="shared" si="67"/>
        <v/>
      </c>
      <c r="AP107" s="475" t="str">
        <f t="shared" si="68"/>
        <v/>
      </c>
      <c r="AQ107" s="475" t="str">
        <f t="shared" si="69"/>
        <v/>
      </c>
      <c r="AR107" s="475" t="str">
        <f t="shared" si="70"/>
        <v/>
      </c>
      <c r="AS107" s="475" t="str">
        <f t="shared" si="71"/>
        <v/>
      </c>
      <c r="AT107" s="475" t="str">
        <f t="shared" si="72"/>
        <v/>
      </c>
      <c r="AU107" s="475" t="str">
        <f t="shared" si="73"/>
        <v/>
      </c>
      <c r="AV107" s="475" t="str">
        <f t="shared" si="54"/>
        <v/>
      </c>
      <c r="AW107" s="473">
        <f t="shared" si="55"/>
        <v>0</v>
      </c>
      <c r="AX107" s="473" t="str">
        <f>IF(AND($Z107="b",OR($AA107="a",$AA107="b"),Inventory!$I114="",$AE107&lt;(65000/12000)),"x",IF(AND($Z107="b",OR($AA107="a",$AA107="b"),Inventory!$I114&lt;&gt;"",$AE107&lt;(65000/12000)),VLOOKUP(Inventory!$I114,$V$4:$W$5,2,FALSE),"x"))</f>
        <v>x</v>
      </c>
      <c r="AY107" s="476" t="str">
        <f t="shared" si="74"/>
        <v>aaa0</v>
      </c>
      <c r="AZ107" s="477" t="str">
        <f t="shared" si="75"/>
        <v>No</v>
      </c>
      <c r="BA107" s="759" t="str">
        <f t="shared" si="76"/>
        <v>No</v>
      </c>
      <c r="BB107" s="477">
        <f>IF($Z107="c",Inventory!$AB114,Inventory!$K114)</f>
        <v>0</v>
      </c>
      <c r="BC107" s="478">
        <f>IF(AND($Z107="b",Inventory!$N114="Btu/hr"),Inventory!$M114,IF(AND($Z107="b",Inventory!$N114="Tons"),Inventory!$M114*12000,IF(AND($Z107&lt;&gt;"b",Inventory!$AK114="Btu/hr"),Inventory!$AD114,IF(AND($Z107&lt;&gt;"b",Inventory!$AK114="Tons"),Inventory!$AD114*12000,0))))</f>
        <v>0</v>
      </c>
      <c r="BD107" s="478">
        <f t="shared" si="46"/>
        <v>0</v>
      </c>
      <c r="BE107" s="479">
        <f t="shared" si="77"/>
        <v>0</v>
      </c>
      <c r="BF107" s="477" t="s">
        <v>50</v>
      </c>
      <c r="BG107" s="479">
        <f t="shared" si="56"/>
        <v>0</v>
      </c>
      <c r="BH107" s="477" t="s">
        <v>46</v>
      </c>
      <c r="BI107" s="760">
        <f>IF(AND($Z107="b",Inventory!$P114="Btu/hr"),Inventory!$O114,IF(AND($Z107="b",Inventory!$P114="Tons"),Inventory!$O114*12000,IF(AND($Z107&lt;&gt;"b",Inventory!$AM114="Btu/hr"),Inventory!$AL114,IF(AND($Z107&lt;&gt;"b",Inventory!$AM114="Tons"),Inventory!$AL114*12000,0))))</f>
        <v>0</v>
      </c>
      <c r="BJ107" s="760">
        <f t="shared" si="47"/>
        <v>0</v>
      </c>
      <c r="BK107" s="598">
        <f t="shared" si="78"/>
        <v>0</v>
      </c>
      <c r="BL107" s="759" t="s">
        <v>567</v>
      </c>
      <c r="BM107" s="477" t="str">
        <f t="shared" si="57"/>
        <v>No</v>
      </c>
      <c r="BN107" s="477" t="str">
        <f>IF(OR(Inventory!$H114="",$BM107="No"),"-",Inventory!$H114)</f>
        <v>-</v>
      </c>
      <c r="BO107" s="477" t="str">
        <f>IFERROR(VLOOKUP(BN107,'Early Retirement'!$B$6:$C$33,2,FALSE),"-")</f>
        <v>-</v>
      </c>
      <c r="BP107" s="477" t="str">
        <f>IF(Inventory!$J114="Centrifugal","Yes","No")</f>
        <v>No</v>
      </c>
      <c r="BQ107" s="477">
        <f t="shared" si="79"/>
        <v>0</v>
      </c>
      <c r="BR107" s="477" t="str">
        <f t="shared" si="80"/>
        <v>-</v>
      </c>
      <c r="BS107" s="479">
        <f>IFERROR(INDEX('Early Retirement'!$C$4:$AC$33,$BO107,$BR107),0)</f>
        <v>0</v>
      </c>
      <c r="BT107" s="477">
        <f>IFERROR(HLOOKUP($BR107,'Early Retirement'!$D$4:$AC$5,2,FALSE),0)</f>
        <v>0</v>
      </c>
      <c r="BU107" s="761">
        <f>IFERROR(INDEX('Early Retirement'!$AE$4:$BE$33,$BO107,$BR107),0)</f>
        <v>0</v>
      </c>
      <c r="BV107" s="759">
        <f>IFERROR(HLOOKUP($BR107,'Early Retirement'!$AF$4:$BE$5,2,FALSE),0)</f>
        <v>0</v>
      </c>
      <c r="BW107" s="479">
        <f t="shared" si="87"/>
        <v>0</v>
      </c>
      <c r="BX107" s="761">
        <f t="shared" si="81"/>
        <v>0</v>
      </c>
      <c r="BY107" s="477" t="s">
        <v>46</v>
      </c>
      <c r="BZ107" s="598">
        <f>IFERROR(INDEX('Early Retirement'!$BG$4:$CG$33,$BO107,$BR107),0)</f>
        <v>0</v>
      </c>
      <c r="CA107" s="759">
        <f>IFERROR(HLOOKUP($BR107,'Early Retirement'!$BH$4:$CH$5,2,FALSE),0)</f>
        <v>0</v>
      </c>
      <c r="CB107" s="598">
        <f t="shared" si="82"/>
        <v>0</v>
      </c>
      <c r="CC107" s="759" t="s">
        <v>567</v>
      </c>
      <c r="CD107" s="477" t="str">
        <f t="shared" si="58"/>
        <v>Yes</v>
      </c>
      <c r="CE107" s="479">
        <f t="shared" si="59"/>
        <v>0</v>
      </c>
      <c r="CF107" s="761">
        <f t="shared" si="60"/>
        <v>0</v>
      </c>
      <c r="CG107" s="759" t="s">
        <v>46</v>
      </c>
      <c r="CH107" s="598">
        <f t="shared" si="83"/>
        <v>0</v>
      </c>
      <c r="CI107" s="759" t="s">
        <v>567</v>
      </c>
      <c r="CJ107" s="480">
        <f t="shared" si="84"/>
        <v>0</v>
      </c>
      <c r="CK107" s="583">
        <f t="shared" si="85"/>
        <v>0</v>
      </c>
      <c r="CL107" s="596" t="s">
        <v>46</v>
      </c>
      <c r="CM107" s="581">
        <f t="shared" si="86"/>
        <v>0</v>
      </c>
      <c r="CN107" s="762" t="s">
        <v>567</v>
      </c>
      <c r="CP107" s="90" t="s">
        <v>517</v>
      </c>
      <c r="CQ107" s="124">
        <v>0.62</v>
      </c>
      <c r="CR107" s="307" t="s">
        <v>46</v>
      </c>
      <c r="CS107" s="645">
        <v>0.54</v>
      </c>
      <c r="CT107" s="551" t="s">
        <v>559</v>
      </c>
      <c r="CU107" s="645">
        <f t="shared" si="91"/>
        <v>0.62</v>
      </c>
      <c r="CV107" s="645">
        <f t="shared" si="92"/>
        <v>0.54</v>
      </c>
      <c r="CW107" s="633" t="s">
        <v>46</v>
      </c>
      <c r="CX107" s="606"/>
      <c r="CY107" s="589"/>
      <c r="CZ107" s="606"/>
      <c r="DA107" s="609"/>
      <c r="DB107" s="562"/>
      <c r="DC107" s="562"/>
      <c r="DD107" s="562"/>
      <c r="DE107" s="562"/>
      <c r="DF107" s="562"/>
      <c r="DG107" s="562"/>
      <c r="DH107" s="562"/>
      <c r="DI107" s="562"/>
      <c r="DJ107" s="562"/>
      <c r="DK107" s="562"/>
      <c r="DL107" s="562"/>
      <c r="DM107" s="562"/>
      <c r="DN107" s="562"/>
      <c r="DO107" s="562"/>
      <c r="DP107" s="562"/>
      <c r="DQ107" s="562"/>
      <c r="DR107" s="562"/>
      <c r="DS107" s="562"/>
      <c r="DT107" s="562"/>
      <c r="DU107" s="562"/>
      <c r="DV107" s="562"/>
      <c r="DW107" s="562"/>
      <c r="DX107" s="562"/>
      <c r="DY107" s="562"/>
      <c r="DZ107" s="562"/>
      <c r="EA107" s="562"/>
      <c r="EB107" s="562"/>
      <c r="EC107" s="562"/>
      <c r="ED107" s="562"/>
      <c r="EE107" s="562"/>
      <c r="EF107" s="562"/>
      <c r="EG107" s="562"/>
      <c r="EH107" s="562"/>
      <c r="EI107" s="562"/>
      <c r="EJ107" s="562"/>
      <c r="EK107" s="562"/>
      <c r="EL107" s="562"/>
    </row>
    <row r="108" spans="2:142" s="78" customFormat="1" ht="15" customHeight="1" x14ac:dyDescent="0.25">
      <c r="B108" s="77"/>
      <c r="E108" s="77"/>
      <c r="H108" s="77"/>
      <c r="Y108" s="90">
        <v>106</v>
      </c>
      <c r="Z108" s="559" t="str">
        <f>IF(Inventory!$C115="","",VLOOKUP(Inventory!$C115,$B$3:$C$5,2,FALSE))</f>
        <v/>
      </c>
      <c r="AA108" s="559" t="str">
        <f>IF($Z108="","",IF(AND($Z108="b",Inventory!$G115=""),"",IF(AND($Z108="b",Inventory!$G115&lt;&gt;""),VLOOKUP(Inventory!$G115,$E$3:$F$10,2,FALSE),IF(AND($Z108="a",Inventory!$Z115=""),"",IF(AND($Z108="a",Inventory!$Z115&lt;&gt;""),VLOOKUP(Inventory!$Z115,$E$3:$F$10,2,FALSE),IF(AND($Z108="c",Inventory!$Z115=""),"",IF(AND($Z108="c",Inventory!$Z115&lt;&gt;""),VLOOKUP(Inventory!$Z115,$E$3:$F$10,2,FALSE),"")))))))</f>
        <v/>
      </c>
      <c r="AB108" s="559" t="str">
        <f>IF($Z108="","a",IF(AND($Z108="b",Inventory!$J115=""),"a",IF(AND($Z108="b",Inventory!$J115&lt;&gt;""),VLOOKUP(Inventory!$J115,$H$4:$I$6,2,FALSE),IF(AND($Z108="a",Inventory!$AA115=""),"a",IF(AND($Z108="a",Inventory!$AA115&lt;&gt;""),VLOOKUP(Inventory!$AA115,$H$4:$I$6,2,FALSE),IF(AND($Z108="c",Inventory!$AA115=""),"a",IF(AND($Z108="c",Inventory!$AA115&lt;&gt;""),VLOOKUP(Inventory!$AA115,$H$4:$I$6,2,FALSE),"a")))))))</f>
        <v>a</v>
      </c>
      <c r="AC108" s="559" t="str">
        <f t="shared" si="61"/>
        <v>a</v>
      </c>
      <c r="AD108" s="473" t="str">
        <f>IF($Z108="","a",IF(AND($Z108="b",Inventory!$L115=""),"a",IF(AND($Z108="b",Inventory!$L115&lt;&gt;""),VLOOKUP(Inventory!$L115,$N$4:$O$5,2,FALSE),IF(AND($Z108="a",Inventory!$AC115=""),"a",IF(AND($Z108="a",Inventory!$AC115&lt;&gt;""),VLOOKUP(Inventory!$AC115,$N$4:$O$5,2,FALSE),IF(AND($Z108="c",Inventory!$AC115=""),"a",IF(AND($Z108="c",Inventory!$AC115&lt;&gt;""),VLOOKUP(Inventory!$AC115,$N$4:$O$5,2,FALSE),"a")))))))</f>
        <v>a</v>
      </c>
      <c r="AE108" s="474">
        <f>IF(OR(Inventory!C115="New Construction",Inventory!C115="Replace-on-Burnout"),Inventory!AF115,IF(Inventory!C115="Early Retirement",MIN(Inventory!AE115,Inventory!AF115),0))</f>
        <v>0</v>
      </c>
      <c r="AF108" s="475" t="str">
        <f t="shared" si="62"/>
        <v/>
      </c>
      <c r="AG108" s="475" t="str">
        <f t="shared" si="50"/>
        <v/>
      </c>
      <c r="AH108" s="475" t="str">
        <f t="shared" si="51"/>
        <v/>
      </c>
      <c r="AI108" s="475" t="str">
        <f t="shared" si="52"/>
        <v/>
      </c>
      <c r="AJ108" s="475" t="str">
        <f t="shared" si="53"/>
        <v/>
      </c>
      <c r="AK108" s="475" t="str">
        <f t="shared" si="63"/>
        <v/>
      </c>
      <c r="AL108" s="475" t="str">
        <f t="shared" si="64"/>
        <v/>
      </c>
      <c r="AM108" s="475" t="str">
        <f t="shared" si="65"/>
        <v/>
      </c>
      <c r="AN108" s="475" t="str">
        <f t="shared" si="66"/>
        <v/>
      </c>
      <c r="AO108" s="475" t="str">
        <f t="shared" si="67"/>
        <v/>
      </c>
      <c r="AP108" s="475" t="str">
        <f t="shared" si="68"/>
        <v/>
      </c>
      <c r="AQ108" s="475" t="str">
        <f t="shared" si="69"/>
        <v/>
      </c>
      <c r="AR108" s="475" t="str">
        <f t="shared" si="70"/>
        <v/>
      </c>
      <c r="AS108" s="475" t="str">
        <f t="shared" si="71"/>
        <v/>
      </c>
      <c r="AT108" s="475" t="str">
        <f t="shared" si="72"/>
        <v/>
      </c>
      <c r="AU108" s="475" t="str">
        <f t="shared" si="73"/>
        <v/>
      </c>
      <c r="AV108" s="475" t="str">
        <f t="shared" si="54"/>
        <v/>
      </c>
      <c r="AW108" s="473">
        <f t="shared" si="55"/>
        <v>0</v>
      </c>
      <c r="AX108" s="473" t="str">
        <f>IF(AND($Z108="b",OR($AA108="a",$AA108="b"),Inventory!$I115="",$AE108&lt;(65000/12000)),"x",IF(AND($Z108="b",OR($AA108="a",$AA108="b"),Inventory!$I115&lt;&gt;"",$AE108&lt;(65000/12000)),VLOOKUP(Inventory!$I115,$V$4:$W$5,2,FALSE),"x"))</f>
        <v>x</v>
      </c>
      <c r="AY108" s="476" t="str">
        <f t="shared" si="74"/>
        <v>aaa0</v>
      </c>
      <c r="AZ108" s="477" t="str">
        <f t="shared" si="75"/>
        <v>No</v>
      </c>
      <c r="BA108" s="759" t="str">
        <f t="shared" si="76"/>
        <v>No</v>
      </c>
      <c r="BB108" s="477">
        <f>IF($Z108="c",Inventory!$AB115,Inventory!$K115)</f>
        <v>0</v>
      </c>
      <c r="BC108" s="478">
        <f>IF(AND($Z108="b",Inventory!$N115="Btu/hr"),Inventory!$M115,IF(AND($Z108="b",Inventory!$N115="Tons"),Inventory!$M115*12000,IF(AND($Z108&lt;&gt;"b",Inventory!$AK115="Btu/hr"),Inventory!$AD115,IF(AND($Z108&lt;&gt;"b",Inventory!$AK115="Tons"),Inventory!$AD115*12000,0))))</f>
        <v>0</v>
      </c>
      <c r="BD108" s="478">
        <f t="shared" si="46"/>
        <v>0</v>
      </c>
      <c r="BE108" s="479">
        <f t="shared" si="77"/>
        <v>0</v>
      </c>
      <c r="BF108" s="477" t="s">
        <v>50</v>
      </c>
      <c r="BG108" s="479">
        <f t="shared" si="56"/>
        <v>0</v>
      </c>
      <c r="BH108" s="477" t="s">
        <v>46</v>
      </c>
      <c r="BI108" s="760">
        <f>IF(AND($Z108="b",Inventory!$P115="Btu/hr"),Inventory!$O115,IF(AND($Z108="b",Inventory!$P115="Tons"),Inventory!$O115*12000,IF(AND($Z108&lt;&gt;"b",Inventory!$AM115="Btu/hr"),Inventory!$AL115,IF(AND($Z108&lt;&gt;"b",Inventory!$AM115="Tons"),Inventory!$AL115*12000,0))))</f>
        <v>0</v>
      </c>
      <c r="BJ108" s="760">
        <f t="shared" si="47"/>
        <v>0</v>
      </c>
      <c r="BK108" s="598">
        <f t="shared" si="78"/>
        <v>0</v>
      </c>
      <c r="BL108" s="759" t="s">
        <v>567</v>
      </c>
      <c r="BM108" s="477" t="str">
        <f t="shared" si="57"/>
        <v>No</v>
      </c>
      <c r="BN108" s="477" t="str">
        <f>IF(OR(Inventory!$H115="",$BM108="No"),"-",Inventory!$H115)</f>
        <v>-</v>
      </c>
      <c r="BO108" s="477" t="str">
        <f>IFERROR(VLOOKUP(BN108,'Early Retirement'!$B$6:$C$33,2,FALSE),"-")</f>
        <v>-</v>
      </c>
      <c r="BP108" s="477" t="str">
        <f>IF(Inventory!$J115="Centrifugal","Yes","No")</f>
        <v>No</v>
      </c>
      <c r="BQ108" s="477">
        <f t="shared" si="79"/>
        <v>0</v>
      </c>
      <c r="BR108" s="477" t="str">
        <f t="shared" si="80"/>
        <v>-</v>
      </c>
      <c r="BS108" s="479">
        <f>IFERROR(INDEX('Early Retirement'!$C$4:$AC$33,$BO108,$BR108),0)</f>
        <v>0</v>
      </c>
      <c r="BT108" s="477">
        <f>IFERROR(HLOOKUP($BR108,'Early Retirement'!$D$4:$AC$5,2,FALSE),0)</f>
        <v>0</v>
      </c>
      <c r="BU108" s="761">
        <f>IFERROR(INDEX('Early Retirement'!$AE$4:$BE$33,$BO108,$BR108),0)</f>
        <v>0</v>
      </c>
      <c r="BV108" s="759">
        <f>IFERROR(HLOOKUP($BR108,'Early Retirement'!$AF$4:$BE$5,2,FALSE),0)</f>
        <v>0</v>
      </c>
      <c r="BW108" s="479">
        <f t="shared" si="87"/>
        <v>0</v>
      </c>
      <c r="BX108" s="761">
        <f t="shared" si="81"/>
        <v>0</v>
      </c>
      <c r="BY108" s="477" t="s">
        <v>46</v>
      </c>
      <c r="BZ108" s="598">
        <f>IFERROR(INDEX('Early Retirement'!$BG$4:$CG$33,$BO108,$BR108),0)</f>
        <v>0</v>
      </c>
      <c r="CA108" s="759">
        <f>IFERROR(HLOOKUP($BR108,'Early Retirement'!$BH$4:$CH$5,2,FALSE),0)</f>
        <v>0</v>
      </c>
      <c r="CB108" s="598">
        <f t="shared" si="82"/>
        <v>0</v>
      </c>
      <c r="CC108" s="759" t="s">
        <v>567</v>
      </c>
      <c r="CD108" s="477" t="str">
        <f t="shared" si="58"/>
        <v>Yes</v>
      </c>
      <c r="CE108" s="479">
        <f t="shared" si="59"/>
        <v>0</v>
      </c>
      <c r="CF108" s="761">
        <f t="shared" si="60"/>
        <v>0</v>
      </c>
      <c r="CG108" s="759" t="s">
        <v>46</v>
      </c>
      <c r="CH108" s="598">
        <f t="shared" si="83"/>
        <v>0</v>
      </c>
      <c r="CI108" s="759" t="s">
        <v>567</v>
      </c>
      <c r="CJ108" s="480">
        <f t="shared" si="84"/>
        <v>0</v>
      </c>
      <c r="CK108" s="583">
        <f t="shared" si="85"/>
        <v>0</v>
      </c>
      <c r="CL108" s="596" t="s">
        <v>46</v>
      </c>
      <c r="CM108" s="581">
        <f t="shared" si="86"/>
        <v>0</v>
      </c>
      <c r="CN108" s="762" t="s">
        <v>567</v>
      </c>
      <c r="CP108" s="90" t="s">
        <v>518</v>
      </c>
      <c r="CQ108" s="124">
        <v>0.62</v>
      </c>
      <c r="CR108" s="307" t="s">
        <v>46</v>
      </c>
      <c r="CS108" s="645">
        <v>0.54</v>
      </c>
      <c r="CT108" s="551" t="s">
        <v>559</v>
      </c>
      <c r="CU108" s="645">
        <f t="shared" si="91"/>
        <v>0.62</v>
      </c>
      <c r="CV108" s="645">
        <f t="shared" si="92"/>
        <v>0.54</v>
      </c>
      <c r="CW108" s="633" t="s">
        <v>46</v>
      </c>
      <c r="CX108" s="606"/>
      <c r="CY108" s="589"/>
      <c r="CZ108" s="606"/>
      <c r="DA108" s="609"/>
      <c r="DB108" s="562"/>
      <c r="DC108" s="562"/>
      <c r="DD108" s="562"/>
      <c r="DE108" s="562"/>
      <c r="DF108" s="562"/>
      <c r="DG108" s="562"/>
      <c r="DH108" s="562"/>
      <c r="DI108" s="562"/>
      <c r="DJ108" s="562"/>
      <c r="DK108" s="562"/>
      <c r="DL108" s="562"/>
      <c r="DM108" s="562"/>
      <c r="DN108" s="562"/>
      <c r="DO108" s="562"/>
      <c r="DP108" s="562"/>
      <c r="DQ108" s="562"/>
      <c r="DR108" s="562"/>
      <c r="DS108" s="562"/>
      <c r="DT108" s="562"/>
      <c r="DU108" s="562"/>
      <c r="DV108" s="562"/>
      <c r="DW108" s="562"/>
      <c r="DX108" s="562"/>
      <c r="DY108" s="562"/>
      <c r="DZ108" s="562"/>
      <c r="EA108" s="562"/>
      <c r="EB108" s="562"/>
      <c r="EC108" s="562"/>
      <c r="ED108" s="562"/>
      <c r="EE108" s="562"/>
      <c r="EF108" s="562"/>
      <c r="EG108" s="562"/>
      <c r="EH108" s="562"/>
      <c r="EI108" s="562"/>
      <c r="EJ108" s="562"/>
      <c r="EK108" s="562"/>
      <c r="EL108" s="562"/>
    </row>
    <row r="109" spans="2:142" s="78" customFormat="1" ht="15" customHeight="1" x14ac:dyDescent="0.25">
      <c r="B109" s="77"/>
      <c r="E109" s="77"/>
      <c r="H109" s="77"/>
      <c r="Y109" s="90">
        <v>107</v>
      </c>
      <c r="Z109" s="559" t="str">
        <f>IF(Inventory!$C116="","",VLOOKUP(Inventory!$C116,$B$3:$C$5,2,FALSE))</f>
        <v/>
      </c>
      <c r="AA109" s="559" t="str">
        <f>IF($Z109="","",IF(AND($Z109="b",Inventory!$G116=""),"",IF(AND($Z109="b",Inventory!$G116&lt;&gt;""),VLOOKUP(Inventory!$G116,$E$3:$F$10,2,FALSE),IF(AND($Z109="a",Inventory!$Z116=""),"",IF(AND($Z109="a",Inventory!$Z116&lt;&gt;""),VLOOKUP(Inventory!$Z116,$E$3:$F$10,2,FALSE),IF(AND($Z109="c",Inventory!$Z116=""),"",IF(AND($Z109="c",Inventory!$Z116&lt;&gt;""),VLOOKUP(Inventory!$Z116,$E$3:$F$10,2,FALSE),"")))))))</f>
        <v/>
      </c>
      <c r="AB109" s="559" t="str">
        <f>IF($Z109="","a",IF(AND($Z109="b",Inventory!$J116=""),"a",IF(AND($Z109="b",Inventory!$J116&lt;&gt;""),VLOOKUP(Inventory!$J116,$H$4:$I$6,2,FALSE),IF(AND($Z109="a",Inventory!$AA116=""),"a",IF(AND($Z109="a",Inventory!$AA116&lt;&gt;""),VLOOKUP(Inventory!$AA116,$H$4:$I$6,2,FALSE),IF(AND($Z109="c",Inventory!$AA116=""),"a",IF(AND($Z109="c",Inventory!$AA116&lt;&gt;""),VLOOKUP(Inventory!$AA116,$H$4:$I$6,2,FALSE),"a")))))))</f>
        <v>a</v>
      </c>
      <c r="AC109" s="559" t="str">
        <f t="shared" si="61"/>
        <v>a</v>
      </c>
      <c r="AD109" s="473" t="str">
        <f>IF($Z109="","a",IF(AND($Z109="b",Inventory!$L116=""),"a",IF(AND($Z109="b",Inventory!$L116&lt;&gt;""),VLOOKUP(Inventory!$L116,$N$4:$O$5,2,FALSE),IF(AND($Z109="a",Inventory!$AC116=""),"a",IF(AND($Z109="a",Inventory!$AC116&lt;&gt;""),VLOOKUP(Inventory!$AC116,$N$4:$O$5,2,FALSE),IF(AND($Z109="c",Inventory!$AC116=""),"a",IF(AND($Z109="c",Inventory!$AC116&lt;&gt;""),VLOOKUP(Inventory!$AC116,$N$4:$O$5,2,FALSE),"a")))))))</f>
        <v>a</v>
      </c>
      <c r="AE109" s="474">
        <f>IF(OR(Inventory!C116="New Construction",Inventory!C116="Replace-on-Burnout"),Inventory!AF116,IF(Inventory!C116="Early Retirement",MIN(Inventory!AE116,Inventory!AF116),0))</f>
        <v>0</v>
      </c>
      <c r="AF109" s="475" t="str">
        <f t="shared" si="62"/>
        <v/>
      </c>
      <c r="AG109" s="475" t="str">
        <f t="shared" si="50"/>
        <v/>
      </c>
      <c r="AH109" s="475" t="str">
        <f t="shared" si="51"/>
        <v/>
      </c>
      <c r="AI109" s="475" t="str">
        <f t="shared" si="52"/>
        <v/>
      </c>
      <c r="AJ109" s="475" t="str">
        <f t="shared" si="53"/>
        <v/>
      </c>
      <c r="AK109" s="475" t="str">
        <f t="shared" si="63"/>
        <v/>
      </c>
      <c r="AL109" s="475" t="str">
        <f t="shared" si="64"/>
        <v/>
      </c>
      <c r="AM109" s="475" t="str">
        <f t="shared" si="65"/>
        <v/>
      </c>
      <c r="AN109" s="475" t="str">
        <f t="shared" si="66"/>
        <v/>
      </c>
      <c r="AO109" s="475" t="str">
        <f t="shared" si="67"/>
        <v/>
      </c>
      <c r="AP109" s="475" t="str">
        <f t="shared" si="68"/>
        <v/>
      </c>
      <c r="AQ109" s="475" t="str">
        <f t="shared" si="69"/>
        <v/>
      </c>
      <c r="AR109" s="475" t="str">
        <f t="shared" si="70"/>
        <v/>
      </c>
      <c r="AS109" s="475" t="str">
        <f t="shared" si="71"/>
        <v/>
      </c>
      <c r="AT109" s="475" t="str">
        <f t="shared" si="72"/>
        <v/>
      </c>
      <c r="AU109" s="475" t="str">
        <f t="shared" si="73"/>
        <v/>
      </c>
      <c r="AV109" s="475" t="str">
        <f t="shared" si="54"/>
        <v/>
      </c>
      <c r="AW109" s="473">
        <f t="shared" si="55"/>
        <v>0</v>
      </c>
      <c r="AX109" s="473" t="str">
        <f>IF(AND($Z109="b",OR($AA109="a",$AA109="b"),Inventory!$I116="",$AE109&lt;(65000/12000)),"x",IF(AND($Z109="b",OR($AA109="a",$AA109="b"),Inventory!$I116&lt;&gt;"",$AE109&lt;(65000/12000)),VLOOKUP(Inventory!$I116,$V$4:$W$5,2,FALSE),"x"))</f>
        <v>x</v>
      </c>
      <c r="AY109" s="476" t="str">
        <f t="shared" si="74"/>
        <v>aaa0</v>
      </c>
      <c r="AZ109" s="477" t="str">
        <f t="shared" si="75"/>
        <v>No</v>
      </c>
      <c r="BA109" s="759" t="str">
        <f t="shared" si="76"/>
        <v>No</v>
      </c>
      <c r="BB109" s="477">
        <f>IF($Z109="c",Inventory!$AB116,Inventory!$K116)</f>
        <v>0</v>
      </c>
      <c r="BC109" s="478">
        <f>IF(AND($Z109="b",Inventory!$N116="Btu/hr"),Inventory!$M116,IF(AND($Z109="b",Inventory!$N116="Tons"),Inventory!$M116*12000,IF(AND($Z109&lt;&gt;"b",Inventory!$AK116="Btu/hr"),Inventory!$AD116,IF(AND($Z109&lt;&gt;"b",Inventory!$AK116="Tons"),Inventory!$AD116*12000,0))))</f>
        <v>0</v>
      </c>
      <c r="BD109" s="478">
        <f t="shared" si="46"/>
        <v>0</v>
      </c>
      <c r="BE109" s="479">
        <f t="shared" si="77"/>
        <v>0</v>
      </c>
      <c r="BF109" s="477" t="s">
        <v>50</v>
      </c>
      <c r="BG109" s="479">
        <f t="shared" si="56"/>
        <v>0</v>
      </c>
      <c r="BH109" s="477" t="s">
        <v>46</v>
      </c>
      <c r="BI109" s="760">
        <f>IF(AND($Z109="b",Inventory!$P116="Btu/hr"),Inventory!$O116,IF(AND($Z109="b",Inventory!$P116="Tons"),Inventory!$O116*12000,IF(AND($Z109&lt;&gt;"b",Inventory!$AM116="Btu/hr"),Inventory!$AL116,IF(AND($Z109&lt;&gt;"b",Inventory!$AM116="Tons"),Inventory!$AL116*12000,0))))</f>
        <v>0</v>
      </c>
      <c r="BJ109" s="760">
        <f t="shared" si="47"/>
        <v>0</v>
      </c>
      <c r="BK109" s="598">
        <f t="shared" si="78"/>
        <v>0</v>
      </c>
      <c r="BL109" s="759" t="s">
        <v>567</v>
      </c>
      <c r="BM109" s="477" t="str">
        <f t="shared" si="57"/>
        <v>No</v>
      </c>
      <c r="BN109" s="477" t="str">
        <f>IF(OR(Inventory!$H116="",$BM109="No"),"-",Inventory!$H116)</f>
        <v>-</v>
      </c>
      <c r="BO109" s="477" t="str">
        <f>IFERROR(VLOOKUP(BN109,'Early Retirement'!$B$6:$C$33,2,FALSE),"-")</f>
        <v>-</v>
      </c>
      <c r="BP109" s="477" t="str">
        <f>IF(Inventory!$J116="Centrifugal","Yes","No")</f>
        <v>No</v>
      </c>
      <c r="BQ109" s="477">
        <f t="shared" si="79"/>
        <v>0</v>
      </c>
      <c r="BR109" s="477" t="str">
        <f t="shared" si="80"/>
        <v>-</v>
      </c>
      <c r="BS109" s="479">
        <f>IFERROR(INDEX('Early Retirement'!$C$4:$AC$33,$BO109,$BR109),0)</f>
        <v>0</v>
      </c>
      <c r="BT109" s="477">
        <f>IFERROR(HLOOKUP($BR109,'Early Retirement'!$D$4:$AC$5,2,FALSE),0)</f>
        <v>0</v>
      </c>
      <c r="BU109" s="761">
        <f>IFERROR(INDEX('Early Retirement'!$AE$4:$BE$33,$BO109,$BR109),0)</f>
        <v>0</v>
      </c>
      <c r="BV109" s="759">
        <f>IFERROR(HLOOKUP($BR109,'Early Retirement'!$AF$4:$BE$5,2,FALSE),0)</f>
        <v>0</v>
      </c>
      <c r="BW109" s="479">
        <f t="shared" si="87"/>
        <v>0</v>
      </c>
      <c r="BX109" s="761">
        <f t="shared" si="81"/>
        <v>0</v>
      </c>
      <c r="BY109" s="477" t="s">
        <v>46</v>
      </c>
      <c r="BZ109" s="598">
        <f>IFERROR(INDEX('Early Retirement'!$BG$4:$CG$33,$BO109,$BR109),0)</f>
        <v>0</v>
      </c>
      <c r="CA109" s="759">
        <f>IFERROR(HLOOKUP($BR109,'Early Retirement'!$BH$4:$CH$5,2,FALSE),0)</f>
        <v>0</v>
      </c>
      <c r="CB109" s="598">
        <f t="shared" si="82"/>
        <v>0</v>
      </c>
      <c r="CC109" s="759" t="s">
        <v>567</v>
      </c>
      <c r="CD109" s="477" t="str">
        <f t="shared" si="58"/>
        <v>Yes</v>
      </c>
      <c r="CE109" s="479">
        <f t="shared" si="59"/>
        <v>0</v>
      </c>
      <c r="CF109" s="761">
        <f t="shared" si="60"/>
        <v>0</v>
      </c>
      <c r="CG109" s="759" t="s">
        <v>46</v>
      </c>
      <c r="CH109" s="598">
        <f t="shared" si="83"/>
        <v>0</v>
      </c>
      <c r="CI109" s="759" t="s">
        <v>567</v>
      </c>
      <c r="CJ109" s="480">
        <f t="shared" si="84"/>
        <v>0</v>
      </c>
      <c r="CK109" s="583">
        <f t="shared" si="85"/>
        <v>0</v>
      </c>
      <c r="CL109" s="596" t="s">
        <v>46</v>
      </c>
      <c r="CM109" s="581">
        <f t="shared" si="86"/>
        <v>0</v>
      </c>
      <c r="CN109" s="762" t="s">
        <v>567</v>
      </c>
      <c r="CP109" s="90" t="s">
        <v>198</v>
      </c>
      <c r="CQ109" s="126">
        <v>9.5619999999999994</v>
      </c>
      <c r="CR109" s="307" t="s">
        <v>50</v>
      </c>
      <c r="CS109" s="647">
        <v>12.75</v>
      </c>
      <c r="CT109" s="551" t="s">
        <v>559</v>
      </c>
      <c r="CU109" s="647">
        <f t="shared" ref="CU109:CU123" si="93">12/$CQ109</f>
        <v>1.2549675800041833</v>
      </c>
      <c r="CV109" s="647">
        <f t="shared" ref="CV109:CV123" si="94">12/$CS109</f>
        <v>0.94117647058823528</v>
      </c>
      <c r="CW109" s="633" t="s">
        <v>46</v>
      </c>
      <c r="CX109" s="601"/>
      <c r="CY109" s="589"/>
      <c r="CZ109" s="601"/>
      <c r="DA109" s="609"/>
      <c r="DB109" s="562"/>
      <c r="DC109" s="562"/>
      <c r="DD109" s="562"/>
      <c r="DE109" s="562"/>
      <c r="DF109" s="562"/>
      <c r="DG109" s="562"/>
      <c r="DH109" s="562"/>
      <c r="DI109" s="562"/>
      <c r="DJ109" s="562"/>
      <c r="DK109" s="562"/>
      <c r="DL109" s="562"/>
      <c r="DM109" s="562"/>
      <c r="DN109" s="562"/>
      <c r="DO109" s="562"/>
      <c r="DP109" s="562"/>
      <c r="DQ109" s="562"/>
      <c r="DR109" s="562"/>
      <c r="DS109" s="562"/>
      <c r="DT109" s="562"/>
      <c r="DU109" s="562"/>
      <c r="DV109" s="562"/>
      <c r="DW109" s="562"/>
      <c r="DX109" s="562"/>
      <c r="DY109" s="562"/>
      <c r="DZ109" s="562"/>
      <c r="EA109" s="562"/>
      <c r="EB109" s="562"/>
      <c r="EC109" s="562"/>
      <c r="ED109" s="562"/>
      <c r="EE109" s="562"/>
      <c r="EF109" s="562"/>
      <c r="EG109" s="562"/>
      <c r="EH109" s="562"/>
      <c r="EI109" s="562"/>
      <c r="EJ109" s="562"/>
      <c r="EK109" s="562"/>
      <c r="EL109" s="562"/>
    </row>
    <row r="110" spans="2:142" s="78" customFormat="1" ht="15" customHeight="1" x14ac:dyDescent="0.25">
      <c r="B110" s="77"/>
      <c r="E110" s="77"/>
      <c r="H110" s="77"/>
      <c r="Y110" s="90">
        <v>108</v>
      </c>
      <c r="Z110" s="559" t="str">
        <f>IF(Inventory!$C117="","",VLOOKUP(Inventory!$C117,$B$3:$C$5,2,FALSE))</f>
        <v/>
      </c>
      <c r="AA110" s="559" t="str">
        <f>IF($Z110="","",IF(AND($Z110="b",Inventory!$G117=""),"",IF(AND($Z110="b",Inventory!$G117&lt;&gt;""),VLOOKUP(Inventory!$G117,$E$3:$F$10,2,FALSE),IF(AND($Z110="a",Inventory!$Z117=""),"",IF(AND($Z110="a",Inventory!$Z117&lt;&gt;""),VLOOKUP(Inventory!$Z117,$E$3:$F$10,2,FALSE),IF(AND($Z110="c",Inventory!$Z117=""),"",IF(AND($Z110="c",Inventory!$Z117&lt;&gt;""),VLOOKUP(Inventory!$Z117,$E$3:$F$10,2,FALSE),"")))))))</f>
        <v/>
      </c>
      <c r="AB110" s="559" t="str">
        <f>IF($Z110="","a",IF(AND($Z110="b",Inventory!$J117=""),"a",IF(AND($Z110="b",Inventory!$J117&lt;&gt;""),VLOOKUP(Inventory!$J117,$H$4:$I$6,2,FALSE),IF(AND($Z110="a",Inventory!$AA117=""),"a",IF(AND($Z110="a",Inventory!$AA117&lt;&gt;""),VLOOKUP(Inventory!$AA117,$H$4:$I$6,2,FALSE),IF(AND($Z110="c",Inventory!$AA117=""),"a",IF(AND($Z110="c",Inventory!$AA117&lt;&gt;""),VLOOKUP(Inventory!$AA117,$H$4:$I$6,2,FALSE),"a")))))))</f>
        <v>a</v>
      </c>
      <c r="AC110" s="559" t="str">
        <f t="shared" si="61"/>
        <v>a</v>
      </c>
      <c r="AD110" s="473" t="str">
        <f>IF($Z110="","a",IF(AND($Z110="b",Inventory!$L117=""),"a",IF(AND($Z110="b",Inventory!$L117&lt;&gt;""),VLOOKUP(Inventory!$L117,$N$4:$O$5,2,FALSE),IF(AND($Z110="a",Inventory!$AC117=""),"a",IF(AND($Z110="a",Inventory!$AC117&lt;&gt;""),VLOOKUP(Inventory!$AC117,$N$4:$O$5,2,FALSE),IF(AND($Z110="c",Inventory!$AC117=""),"a",IF(AND($Z110="c",Inventory!$AC117&lt;&gt;""),VLOOKUP(Inventory!$AC117,$N$4:$O$5,2,FALSE),"a")))))))</f>
        <v>a</v>
      </c>
      <c r="AE110" s="474">
        <f>IF(OR(Inventory!C117="New Construction",Inventory!C117="Replace-on-Burnout"),Inventory!AF117,IF(Inventory!C117="Early Retirement",MIN(Inventory!AE117,Inventory!AF117),0))</f>
        <v>0</v>
      </c>
      <c r="AF110" s="475" t="str">
        <f t="shared" si="62"/>
        <v/>
      </c>
      <c r="AG110" s="475" t="str">
        <f t="shared" si="50"/>
        <v/>
      </c>
      <c r="AH110" s="475" t="str">
        <f t="shared" si="51"/>
        <v/>
      </c>
      <c r="AI110" s="475" t="str">
        <f t="shared" si="52"/>
        <v/>
      </c>
      <c r="AJ110" s="475" t="str">
        <f t="shared" si="53"/>
        <v/>
      </c>
      <c r="AK110" s="475" t="str">
        <f t="shared" si="63"/>
        <v/>
      </c>
      <c r="AL110" s="475" t="str">
        <f t="shared" si="64"/>
        <v/>
      </c>
      <c r="AM110" s="475" t="str">
        <f t="shared" si="65"/>
        <v/>
      </c>
      <c r="AN110" s="475" t="str">
        <f t="shared" si="66"/>
        <v/>
      </c>
      <c r="AO110" s="475" t="str">
        <f t="shared" si="67"/>
        <v/>
      </c>
      <c r="AP110" s="475" t="str">
        <f t="shared" si="68"/>
        <v/>
      </c>
      <c r="AQ110" s="475" t="str">
        <f t="shared" si="69"/>
        <v/>
      </c>
      <c r="AR110" s="475" t="str">
        <f t="shared" si="70"/>
        <v/>
      </c>
      <c r="AS110" s="475" t="str">
        <f t="shared" si="71"/>
        <v/>
      </c>
      <c r="AT110" s="475" t="str">
        <f t="shared" si="72"/>
        <v/>
      </c>
      <c r="AU110" s="475" t="str">
        <f t="shared" si="73"/>
        <v/>
      </c>
      <c r="AV110" s="475" t="str">
        <f t="shared" si="54"/>
        <v/>
      </c>
      <c r="AW110" s="473">
        <f t="shared" si="55"/>
        <v>0</v>
      </c>
      <c r="AX110" s="473" t="str">
        <f>IF(AND($Z110="b",OR($AA110="a",$AA110="b"),Inventory!$I117="",$AE110&lt;(65000/12000)),"x",IF(AND($Z110="b",OR($AA110="a",$AA110="b"),Inventory!$I117&lt;&gt;"",$AE110&lt;(65000/12000)),VLOOKUP(Inventory!$I117,$V$4:$W$5,2,FALSE),"x"))</f>
        <v>x</v>
      </c>
      <c r="AY110" s="476" t="str">
        <f t="shared" si="74"/>
        <v>aaa0</v>
      </c>
      <c r="AZ110" s="477" t="str">
        <f t="shared" si="75"/>
        <v>No</v>
      </c>
      <c r="BA110" s="759" t="str">
        <f t="shared" si="76"/>
        <v>No</v>
      </c>
      <c r="BB110" s="477">
        <f>IF($Z110="c",Inventory!$AB117,Inventory!$K117)</f>
        <v>0</v>
      </c>
      <c r="BC110" s="478">
        <f>IF(AND($Z110="b",Inventory!$N117="Btu/hr"),Inventory!$M117,IF(AND($Z110="b",Inventory!$N117="Tons"),Inventory!$M117*12000,IF(AND($Z110&lt;&gt;"b",Inventory!$AK117="Btu/hr"),Inventory!$AD117,IF(AND($Z110&lt;&gt;"b",Inventory!$AK117="Tons"),Inventory!$AD117*12000,0))))</f>
        <v>0</v>
      </c>
      <c r="BD110" s="478">
        <f t="shared" si="46"/>
        <v>0</v>
      </c>
      <c r="BE110" s="479">
        <f t="shared" si="77"/>
        <v>0</v>
      </c>
      <c r="BF110" s="477" t="s">
        <v>50</v>
      </c>
      <c r="BG110" s="479">
        <f t="shared" si="56"/>
        <v>0</v>
      </c>
      <c r="BH110" s="477" t="s">
        <v>46</v>
      </c>
      <c r="BI110" s="760">
        <f>IF(AND($Z110="b",Inventory!$P117="Btu/hr"),Inventory!$O117,IF(AND($Z110="b",Inventory!$P117="Tons"),Inventory!$O117*12000,IF(AND($Z110&lt;&gt;"b",Inventory!$AM117="Btu/hr"),Inventory!$AL117,IF(AND($Z110&lt;&gt;"b",Inventory!$AM117="Tons"),Inventory!$AL117*12000,0))))</f>
        <v>0</v>
      </c>
      <c r="BJ110" s="760">
        <f t="shared" si="47"/>
        <v>0</v>
      </c>
      <c r="BK110" s="598">
        <f t="shared" si="78"/>
        <v>0</v>
      </c>
      <c r="BL110" s="759" t="s">
        <v>567</v>
      </c>
      <c r="BM110" s="477" t="str">
        <f t="shared" si="57"/>
        <v>No</v>
      </c>
      <c r="BN110" s="477" t="str">
        <f>IF(OR(Inventory!$H117="",$BM110="No"),"-",Inventory!$H117)</f>
        <v>-</v>
      </c>
      <c r="BO110" s="477" t="str">
        <f>IFERROR(VLOOKUP(BN110,'Early Retirement'!$B$6:$C$33,2,FALSE),"-")</f>
        <v>-</v>
      </c>
      <c r="BP110" s="477" t="str">
        <f>IF(Inventory!$J117="Centrifugal","Yes","No")</f>
        <v>No</v>
      </c>
      <c r="BQ110" s="477">
        <f t="shared" si="79"/>
        <v>0</v>
      </c>
      <c r="BR110" s="477" t="str">
        <f t="shared" si="80"/>
        <v>-</v>
      </c>
      <c r="BS110" s="479">
        <f>IFERROR(INDEX('Early Retirement'!$C$4:$AC$33,$BO110,$BR110),0)</f>
        <v>0</v>
      </c>
      <c r="BT110" s="477">
        <f>IFERROR(HLOOKUP($BR110,'Early Retirement'!$D$4:$AC$5,2,FALSE),0)</f>
        <v>0</v>
      </c>
      <c r="BU110" s="761">
        <f>IFERROR(INDEX('Early Retirement'!$AE$4:$BE$33,$BO110,$BR110),0)</f>
        <v>0</v>
      </c>
      <c r="BV110" s="759">
        <f>IFERROR(HLOOKUP($BR110,'Early Retirement'!$AF$4:$BE$5,2,FALSE),0)</f>
        <v>0</v>
      </c>
      <c r="BW110" s="479">
        <f t="shared" si="87"/>
        <v>0</v>
      </c>
      <c r="BX110" s="761">
        <f t="shared" si="81"/>
        <v>0</v>
      </c>
      <c r="BY110" s="477" t="s">
        <v>46</v>
      </c>
      <c r="BZ110" s="598">
        <f>IFERROR(INDEX('Early Retirement'!$BG$4:$CG$33,$BO110,$BR110),0)</f>
        <v>0</v>
      </c>
      <c r="CA110" s="759">
        <f>IFERROR(HLOOKUP($BR110,'Early Retirement'!$BH$4:$CH$5,2,FALSE),0)</f>
        <v>0</v>
      </c>
      <c r="CB110" s="598">
        <f t="shared" si="82"/>
        <v>0</v>
      </c>
      <c r="CC110" s="759" t="s">
        <v>567</v>
      </c>
      <c r="CD110" s="477" t="str">
        <f t="shared" si="58"/>
        <v>Yes</v>
      </c>
      <c r="CE110" s="479">
        <f t="shared" si="59"/>
        <v>0</v>
      </c>
      <c r="CF110" s="761">
        <f t="shared" si="60"/>
        <v>0</v>
      </c>
      <c r="CG110" s="759" t="s">
        <v>46</v>
      </c>
      <c r="CH110" s="598">
        <f t="shared" si="83"/>
        <v>0</v>
      </c>
      <c r="CI110" s="759" t="s">
        <v>567</v>
      </c>
      <c r="CJ110" s="480">
        <f t="shared" si="84"/>
        <v>0</v>
      </c>
      <c r="CK110" s="583">
        <f t="shared" si="85"/>
        <v>0</v>
      </c>
      <c r="CL110" s="596" t="s">
        <v>46</v>
      </c>
      <c r="CM110" s="581">
        <f t="shared" si="86"/>
        <v>0</v>
      </c>
      <c r="CN110" s="762" t="s">
        <v>567</v>
      </c>
      <c r="CP110" s="90" t="s">
        <v>199</v>
      </c>
      <c r="CQ110" s="124">
        <v>9.5619999999999994</v>
      </c>
      <c r="CR110" s="307" t="s">
        <v>50</v>
      </c>
      <c r="CS110" s="645">
        <v>12.75</v>
      </c>
      <c r="CT110" s="551" t="s">
        <v>559</v>
      </c>
      <c r="CU110" s="645">
        <f t="shared" si="93"/>
        <v>1.2549675800041833</v>
      </c>
      <c r="CV110" s="645">
        <f t="shared" si="94"/>
        <v>0.94117647058823528</v>
      </c>
      <c r="CW110" s="633" t="s">
        <v>46</v>
      </c>
      <c r="CX110" s="606"/>
      <c r="CY110" s="589"/>
      <c r="CZ110" s="606"/>
      <c r="DA110" s="609"/>
      <c r="DB110" s="562"/>
      <c r="DC110" s="562"/>
      <c r="DD110" s="562"/>
      <c r="DE110" s="562"/>
      <c r="DF110" s="562"/>
      <c r="DG110" s="562"/>
      <c r="DH110" s="562"/>
      <c r="DI110" s="562"/>
      <c r="DJ110" s="562"/>
      <c r="DK110" s="562"/>
      <c r="DL110" s="562"/>
      <c r="DM110" s="562"/>
      <c r="DN110" s="562"/>
      <c r="DO110" s="562"/>
      <c r="DP110" s="562"/>
      <c r="DQ110" s="562"/>
      <c r="DR110" s="562"/>
      <c r="DS110" s="562"/>
      <c r="DT110" s="562"/>
      <c r="DU110" s="562"/>
      <c r="DV110" s="562"/>
      <c r="DW110" s="562"/>
      <c r="DX110" s="562"/>
      <c r="DY110" s="562"/>
      <c r="DZ110" s="562"/>
      <c r="EA110" s="562"/>
      <c r="EB110" s="562"/>
      <c r="EC110" s="562"/>
      <c r="ED110" s="562"/>
      <c r="EE110" s="562"/>
      <c r="EF110" s="562"/>
      <c r="EG110" s="562"/>
      <c r="EH110" s="562"/>
      <c r="EI110" s="562"/>
      <c r="EJ110" s="562"/>
      <c r="EK110" s="562"/>
      <c r="EL110" s="562"/>
    </row>
    <row r="111" spans="2:142" s="78" customFormat="1" ht="15" customHeight="1" x14ac:dyDescent="0.25">
      <c r="B111" s="77"/>
      <c r="E111" s="77"/>
      <c r="H111" s="77"/>
      <c r="Y111" s="90">
        <v>109</v>
      </c>
      <c r="Z111" s="559" t="str">
        <f>IF(Inventory!$C118="","",VLOOKUP(Inventory!$C118,$B$3:$C$5,2,FALSE))</f>
        <v/>
      </c>
      <c r="AA111" s="559" t="str">
        <f>IF($Z111="","",IF(AND($Z111="b",Inventory!$G118=""),"",IF(AND($Z111="b",Inventory!$G118&lt;&gt;""),VLOOKUP(Inventory!$G118,$E$3:$F$10,2,FALSE),IF(AND($Z111="a",Inventory!$Z118=""),"",IF(AND($Z111="a",Inventory!$Z118&lt;&gt;""),VLOOKUP(Inventory!$Z118,$E$3:$F$10,2,FALSE),IF(AND($Z111="c",Inventory!$Z118=""),"",IF(AND($Z111="c",Inventory!$Z118&lt;&gt;""),VLOOKUP(Inventory!$Z118,$E$3:$F$10,2,FALSE),"")))))))</f>
        <v/>
      </c>
      <c r="AB111" s="559" t="str">
        <f>IF($Z111="","a",IF(AND($Z111="b",Inventory!$J118=""),"a",IF(AND($Z111="b",Inventory!$J118&lt;&gt;""),VLOOKUP(Inventory!$J118,$H$4:$I$6,2,FALSE),IF(AND($Z111="a",Inventory!$AA118=""),"a",IF(AND($Z111="a",Inventory!$AA118&lt;&gt;""),VLOOKUP(Inventory!$AA118,$H$4:$I$6,2,FALSE),IF(AND($Z111="c",Inventory!$AA118=""),"a",IF(AND($Z111="c",Inventory!$AA118&lt;&gt;""),VLOOKUP(Inventory!$AA118,$H$4:$I$6,2,FALSE),"a")))))))</f>
        <v>a</v>
      </c>
      <c r="AC111" s="559" t="str">
        <f t="shared" si="61"/>
        <v>a</v>
      </c>
      <c r="AD111" s="473" t="str">
        <f>IF($Z111="","a",IF(AND($Z111="b",Inventory!$L118=""),"a",IF(AND($Z111="b",Inventory!$L118&lt;&gt;""),VLOOKUP(Inventory!$L118,$N$4:$O$5,2,FALSE),IF(AND($Z111="a",Inventory!$AC118=""),"a",IF(AND($Z111="a",Inventory!$AC118&lt;&gt;""),VLOOKUP(Inventory!$AC118,$N$4:$O$5,2,FALSE),IF(AND($Z111="c",Inventory!$AC118=""),"a",IF(AND($Z111="c",Inventory!$AC118&lt;&gt;""),VLOOKUP(Inventory!$AC118,$N$4:$O$5,2,FALSE),"a")))))))</f>
        <v>a</v>
      </c>
      <c r="AE111" s="474">
        <f>IF(OR(Inventory!C118="New Construction",Inventory!C118="Replace-on-Burnout"),Inventory!AF118,IF(Inventory!C118="Early Retirement",MIN(Inventory!AE118,Inventory!AF118),0))</f>
        <v>0</v>
      </c>
      <c r="AF111" s="475" t="str">
        <f t="shared" si="62"/>
        <v/>
      </c>
      <c r="AG111" s="475" t="str">
        <f t="shared" si="50"/>
        <v/>
      </c>
      <c r="AH111" s="475" t="str">
        <f t="shared" si="51"/>
        <v/>
      </c>
      <c r="AI111" s="475" t="str">
        <f t="shared" si="52"/>
        <v/>
      </c>
      <c r="AJ111" s="475" t="str">
        <f t="shared" si="53"/>
        <v/>
      </c>
      <c r="AK111" s="475" t="str">
        <f t="shared" si="63"/>
        <v/>
      </c>
      <c r="AL111" s="475" t="str">
        <f t="shared" si="64"/>
        <v/>
      </c>
      <c r="AM111" s="475" t="str">
        <f t="shared" si="65"/>
        <v/>
      </c>
      <c r="AN111" s="475" t="str">
        <f t="shared" si="66"/>
        <v/>
      </c>
      <c r="AO111" s="475" t="str">
        <f t="shared" si="67"/>
        <v/>
      </c>
      <c r="AP111" s="475" t="str">
        <f t="shared" si="68"/>
        <v/>
      </c>
      <c r="AQ111" s="475" t="str">
        <f t="shared" si="69"/>
        <v/>
      </c>
      <c r="AR111" s="475" t="str">
        <f t="shared" si="70"/>
        <v/>
      </c>
      <c r="AS111" s="475" t="str">
        <f t="shared" si="71"/>
        <v/>
      </c>
      <c r="AT111" s="475" t="str">
        <f t="shared" si="72"/>
        <v/>
      </c>
      <c r="AU111" s="475" t="str">
        <f t="shared" si="73"/>
        <v/>
      </c>
      <c r="AV111" s="475" t="str">
        <f t="shared" si="54"/>
        <v/>
      </c>
      <c r="AW111" s="473">
        <f t="shared" si="55"/>
        <v>0</v>
      </c>
      <c r="AX111" s="473" t="str">
        <f>IF(AND($Z111="b",OR($AA111="a",$AA111="b"),Inventory!$I118="",$AE111&lt;(65000/12000)),"x",IF(AND($Z111="b",OR($AA111="a",$AA111="b"),Inventory!$I118&lt;&gt;"",$AE111&lt;(65000/12000)),VLOOKUP(Inventory!$I118,$V$4:$W$5,2,FALSE),"x"))</f>
        <v>x</v>
      </c>
      <c r="AY111" s="476" t="str">
        <f t="shared" si="74"/>
        <v>aaa0</v>
      </c>
      <c r="AZ111" s="477" t="str">
        <f t="shared" si="75"/>
        <v>No</v>
      </c>
      <c r="BA111" s="759" t="str">
        <f t="shared" si="76"/>
        <v>No</v>
      </c>
      <c r="BB111" s="477">
        <f>IF($Z111="c",Inventory!$AB118,Inventory!$K118)</f>
        <v>0</v>
      </c>
      <c r="BC111" s="478">
        <f>IF(AND($Z111="b",Inventory!$N118="Btu/hr"),Inventory!$M118,IF(AND($Z111="b",Inventory!$N118="Tons"),Inventory!$M118*12000,IF(AND($Z111&lt;&gt;"b",Inventory!$AK118="Btu/hr"),Inventory!$AD118,IF(AND($Z111&lt;&gt;"b",Inventory!$AK118="Tons"),Inventory!$AD118*12000,0))))</f>
        <v>0</v>
      </c>
      <c r="BD111" s="478">
        <f t="shared" si="46"/>
        <v>0</v>
      </c>
      <c r="BE111" s="479">
        <f t="shared" si="77"/>
        <v>0</v>
      </c>
      <c r="BF111" s="477" t="s">
        <v>50</v>
      </c>
      <c r="BG111" s="479">
        <f t="shared" si="56"/>
        <v>0</v>
      </c>
      <c r="BH111" s="477" t="s">
        <v>46</v>
      </c>
      <c r="BI111" s="760">
        <f>IF(AND($Z111="b",Inventory!$P118="Btu/hr"),Inventory!$O118,IF(AND($Z111="b",Inventory!$P118="Tons"),Inventory!$O118*12000,IF(AND($Z111&lt;&gt;"b",Inventory!$AM118="Btu/hr"),Inventory!$AL118,IF(AND($Z111&lt;&gt;"b",Inventory!$AM118="Tons"),Inventory!$AL118*12000,0))))</f>
        <v>0</v>
      </c>
      <c r="BJ111" s="760">
        <f t="shared" si="47"/>
        <v>0</v>
      </c>
      <c r="BK111" s="598">
        <f t="shared" si="78"/>
        <v>0</v>
      </c>
      <c r="BL111" s="759" t="s">
        <v>567</v>
      </c>
      <c r="BM111" s="477" t="str">
        <f t="shared" si="57"/>
        <v>No</v>
      </c>
      <c r="BN111" s="477" t="str">
        <f>IF(OR(Inventory!$H118="",$BM111="No"),"-",Inventory!$H118)</f>
        <v>-</v>
      </c>
      <c r="BO111" s="477" t="str">
        <f>IFERROR(VLOOKUP(BN111,'Early Retirement'!$B$6:$C$33,2,FALSE),"-")</f>
        <v>-</v>
      </c>
      <c r="BP111" s="477" t="str">
        <f>IF(Inventory!$J118="Centrifugal","Yes","No")</f>
        <v>No</v>
      </c>
      <c r="BQ111" s="477">
        <f t="shared" si="79"/>
        <v>0</v>
      </c>
      <c r="BR111" s="477" t="str">
        <f t="shared" si="80"/>
        <v>-</v>
      </c>
      <c r="BS111" s="479">
        <f>IFERROR(INDEX('Early Retirement'!$C$4:$AC$33,$BO111,$BR111),0)</f>
        <v>0</v>
      </c>
      <c r="BT111" s="477">
        <f>IFERROR(HLOOKUP($BR111,'Early Retirement'!$D$4:$AC$5,2,FALSE),0)</f>
        <v>0</v>
      </c>
      <c r="BU111" s="761">
        <f>IFERROR(INDEX('Early Retirement'!$AE$4:$BE$33,$BO111,$BR111),0)</f>
        <v>0</v>
      </c>
      <c r="BV111" s="759">
        <f>IFERROR(HLOOKUP($BR111,'Early Retirement'!$AF$4:$BE$5,2,FALSE),0)</f>
        <v>0</v>
      </c>
      <c r="BW111" s="479">
        <f t="shared" si="87"/>
        <v>0</v>
      </c>
      <c r="BX111" s="761">
        <f t="shared" si="81"/>
        <v>0</v>
      </c>
      <c r="BY111" s="477" t="s">
        <v>46</v>
      </c>
      <c r="BZ111" s="598">
        <f>IFERROR(INDEX('Early Retirement'!$BG$4:$CG$33,$BO111,$BR111),0)</f>
        <v>0</v>
      </c>
      <c r="CA111" s="759">
        <f>IFERROR(HLOOKUP($BR111,'Early Retirement'!$BH$4:$CH$5,2,FALSE),0)</f>
        <v>0</v>
      </c>
      <c r="CB111" s="598">
        <f t="shared" si="82"/>
        <v>0</v>
      </c>
      <c r="CC111" s="759" t="s">
        <v>567</v>
      </c>
      <c r="CD111" s="477" t="str">
        <f t="shared" si="58"/>
        <v>Yes</v>
      </c>
      <c r="CE111" s="479">
        <f t="shared" si="59"/>
        <v>0</v>
      </c>
      <c r="CF111" s="761">
        <f t="shared" si="60"/>
        <v>0</v>
      </c>
      <c r="CG111" s="759" t="s">
        <v>46</v>
      </c>
      <c r="CH111" s="598">
        <f t="shared" si="83"/>
        <v>0</v>
      </c>
      <c r="CI111" s="759" t="s">
        <v>567</v>
      </c>
      <c r="CJ111" s="480">
        <f t="shared" si="84"/>
        <v>0</v>
      </c>
      <c r="CK111" s="583">
        <f t="shared" si="85"/>
        <v>0</v>
      </c>
      <c r="CL111" s="596" t="s">
        <v>46</v>
      </c>
      <c r="CM111" s="581">
        <f t="shared" si="86"/>
        <v>0</v>
      </c>
      <c r="CN111" s="762" t="s">
        <v>567</v>
      </c>
      <c r="CP111" s="90" t="s">
        <v>200</v>
      </c>
      <c r="CQ111" s="124">
        <v>9.5619999999999994</v>
      </c>
      <c r="CR111" s="307" t="s">
        <v>50</v>
      </c>
      <c r="CS111" s="645">
        <v>12.75</v>
      </c>
      <c r="CT111" s="551" t="s">
        <v>559</v>
      </c>
      <c r="CU111" s="645">
        <f t="shared" si="93"/>
        <v>1.2549675800041833</v>
      </c>
      <c r="CV111" s="645">
        <f t="shared" si="94"/>
        <v>0.94117647058823528</v>
      </c>
      <c r="CW111" s="633" t="s">
        <v>46</v>
      </c>
      <c r="CX111" s="606"/>
      <c r="CY111" s="589"/>
      <c r="CZ111" s="606"/>
      <c r="DA111" s="609"/>
      <c r="DB111" s="562"/>
      <c r="DC111" s="562"/>
      <c r="DD111" s="562"/>
      <c r="DE111" s="562"/>
      <c r="DF111" s="562"/>
      <c r="DG111" s="562"/>
      <c r="DH111" s="562"/>
      <c r="DI111" s="562"/>
      <c r="DJ111" s="562"/>
      <c r="DK111" s="562"/>
      <c r="DL111" s="562"/>
      <c r="DM111" s="562"/>
      <c r="DN111" s="562"/>
      <c r="DO111" s="562"/>
      <c r="DP111" s="562"/>
      <c r="DQ111" s="562"/>
      <c r="DR111" s="562"/>
      <c r="DS111" s="562"/>
      <c r="DT111" s="562"/>
      <c r="DU111" s="562"/>
      <c r="DV111" s="562"/>
      <c r="DW111" s="562"/>
      <c r="DX111" s="562"/>
      <c r="DY111" s="562"/>
      <c r="DZ111" s="562"/>
      <c r="EA111" s="562"/>
      <c r="EB111" s="562"/>
      <c r="EC111" s="562"/>
      <c r="ED111" s="562"/>
      <c r="EE111" s="562"/>
      <c r="EF111" s="562"/>
      <c r="EG111" s="562"/>
      <c r="EH111" s="562"/>
      <c r="EI111" s="562"/>
      <c r="EJ111" s="562"/>
      <c r="EK111" s="562"/>
      <c r="EL111" s="562"/>
    </row>
    <row r="112" spans="2:142" s="78" customFormat="1" ht="15" customHeight="1" x14ac:dyDescent="0.25">
      <c r="B112" s="77"/>
      <c r="E112" s="77"/>
      <c r="H112" s="77"/>
      <c r="Y112" s="90">
        <v>110</v>
      </c>
      <c r="Z112" s="559" t="str">
        <f>IF(Inventory!$C119="","",VLOOKUP(Inventory!$C119,$B$3:$C$5,2,FALSE))</f>
        <v/>
      </c>
      <c r="AA112" s="559" t="str">
        <f>IF($Z112="","",IF(AND($Z112="b",Inventory!$G119=""),"",IF(AND($Z112="b",Inventory!$G119&lt;&gt;""),VLOOKUP(Inventory!$G119,$E$3:$F$10,2,FALSE),IF(AND($Z112="a",Inventory!$Z119=""),"",IF(AND($Z112="a",Inventory!$Z119&lt;&gt;""),VLOOKUP(Inventory!$Z119,$E$3:$F$10,2,FALSE),IF(AND($Z112="c",Inventory!$Z119=""),"",IF(AND($Z112="c",Inventory!$Z119&lt;&gt;""),VLOOKUP(Inventory!$Z119,$E$3:$F$10,2,FALSE),"")))))))</f>
        <v/>
      </c>
      <c r="AB112" s="559" t="str">
        <f>IF($Z112="","a",IF(AND($Z112="b",Inventory!$J119=""),"a",IF(AND($Z112="b",Inventory!$J119&lt;&gt;""),VLOOKUP(Inventory!$J119,$H$4:$I$6,2,FALSE),IF(AND($Z112="a",Inventory!$AA119=""),"a",IF(AND($Z112="a",Inventory!$AA119&lt;&gt;""),VLOOKUP(Inventory!$AA119,$H$4:$I$6,2,FALSE),IF(AND($Z112="c",Inventory!$AA119=""),"a",IF(AND($Z112="c",Inventory!$AA119&lt;&gt;""),VLOOKUP(Inventory!$AA119,$H$4:$I$6,2,FALSE),"a")))))))</f>
        <v>a</v>
      </c>
      <c r="AC112" s="559" t="str">
        <f t="shared" si="61"/>
        <v>a</v>
      </c>
      <c r="AD112" s="473" t="str">
        <f>IF($Z112="","a",IF(AND($Z112="b",Inventory!$L119=""),"a",IF(AND($Z112="b",Inventory!$L119&lt;&gt;""),VLOOKUP(Inventory!$L119,$N$4:$O$5,2,FALSE),IF(AND($Z112="a",Inventory!$AC119=""),"a",IF(AND($Z112="a",Inventory!$AC119&lt;&gt;""),VLOOKUP(Inventory!$AC119,$N$4:$O$5,2,FALSE),IF(AND($Z112="c",Inventory!$AC119=""),"a",IF(AND($Z112="c",Inventory!$AC119&lt;&gt;""),VLOOKUP(Inventory!$AC119,$N$4:$O$5,2,FALSE),"a")))))))</f>
        <v>a</v>
      </c>
      <c r="AE112" s="474">
        <f>IF(OR(Inventory!C119="New Construction",Inventory!C119="Replace-on-Burnout"),Inventory!AF119,IF(Inventory!C119="Early Retirement",MIN(Inventory!AE119,Inventory!AF119),0))</f>
        <v>0</v>
      </c>
      <c r="AF112" s="475" t="str">
        <f t="shared" si="62"/>
        <v/>
      </c>
      <c r="AG112" s="475" t="str">
        <f t="shared" si="50"/>
        <v/>
      </c>
      <c r="AH112" s="475" t="str">
        <f t="shared" si="51"/>
        <v/>
      </c>
      <c r="AI112" s="475" t="str">
        <f t="shared" si="52"/>
        <v/>
      </c>
      <c r="AJ112" s="475" t="str">
        <f t="shared" si="53"/>
        <v/>
      </c>
      <c r="AK112" s="475" t="str">
        <f t="shared" si="63"/>
        <v/>
      </c>
      <c r="AL112" s="475" t="str">
        <f t="shared" si="64"/>
        <v/>
      </c>
      <c r="AM112" s="475" t="str">
        <f t="shared" si="65"/>
        <v/>
      </c>
      <c r="AN112" s="475" t="str">
        <f t="shared" si="66"/>
        <v/>
      </c>
      <c r="AO112" s="475" t="str">
        <f t="shared" si="67"/>
        <v/>
      </c>
      <c r="AP112" s="475" t="str">
        <f t="shared" si="68"/>
        <v/>
      </c>
      <c r="AQ112" s="475" t="str">
        <f t="shared" si="69"/>
        <v/>
      </c>
      <c r="AR112" s="475" t="str">
        <f t="shared" si="70"/>
        <v/>
      </c>
      <c r="AS112" s="475" t="str">
        <f t="shared" si="71"/>
        <v/>
      </c>
      <c r="AT112" s="475" t="str">
        <f t="shared" si="72"/>
        <v/>
      </c>
      <c r="AU112" s="475" t="str">
        <f t="shared" si="73"/>
        <v/>
      </c>
      <c r="AV112" s="475" t="str">
        <f t="shared" si="54"/>
        <v/>
      </c>
      <c r="AW112" s="473">
        <f t="shared" si="55"/>
        <v>0</v>
      </c>
      <c r="AX112" s="473" t="str">
        <f>IF(AND($Z112="b",OR($AA112="a",$AA112="b"),Inventory!$I119="",$AE112&lt;(65000/12000)),"x",IF(AND($Z112="b",OR($AA112="a",$AA112="b"),Inventory!$I119&lt;&gt;"",$AE112&lt;(65000/12000)),VLOOKUP(Inventory!$I119,$V$4:$W$5,2,FALSE),"x"))</f>
        <v>x</v>
      </c>
      <c r="AY112" s="476" t="str">
        <f t="shared" si="74"/>
        <v>aaa0</v>
      </c>
      <c r="AZ112" s="477" t="str">
        <f t="shared" si="75"/>
        <v>No</v>
      </c>
      <c r="BA112" s="759" t="str">
        <f t="shared" si="76"/>
        <v>No</v>
      </c>
      <c r="BB112" s="477">
        <f>IF($Z112="c",Inventory!$AB119,Inventory!$K119)</f>
        <v>0</v>
      </c>
      <c r="BC112" s="478">
        <f>IF(AND($Z112="b",Inventory!$N119="Btu/hr"),Inventory!$M119,IF(AND($Z112="b",Inventory!$N119="Tons"),Inventory!$M119*12000,IF(AND($Z112&lt;&gt;"b",Inventory!$AK119="Btu/hr"),Inventory!$AD119,IF(AND($Z112&lt;&gt;"b",Inventory!$AK119="Tons"),Inventory!$AD119*12000,0))))</f>
        <v>0</v>
      </c>
      <c r="BD112" s="478">
        <f t="shared" si="46"/>
        <v>0</v>
      </c>
      <c r="BE112" s="479">
        <f t="shared" si="77"/>
        <v>0</v>
      </c>
      <c r="BF112" s="477" t="s">
        <v>50</v>
      </c>
      <c r="BG112" s="479">
        <f t="shared" si="56"/>
        <v>0</v>
      </c>
      <c r="BH112" s="477" t="s">
        <v>46</v>
      </c>
      <c r="BI112" s="760">
        <f>IF(AND($Z112="b",Inventory!$P119="Btu/hr"),Inventory!$O119,IF(AND($Z112="b",Inventory!$P119="Tons"),Inventory!$O119*12000,IF(AND($Z112&lt;&gt;"b",Inventory!$AM119="Btu/hr"),Inventory!$AL119,IF(AND($Z112&lt;&gt;"b",Inventory!$AM119="Tons"),Inventory!$AL119*12000,0))))</f>
        <v>0</v>
      </c>
      <c r="BJ112" s="760">
        <f t="shared" si="47"/>
        <v>0</v>
      </c>
      <c r="BK112" s="598">
        <f t="shared" si="78"/>
        <v>0</v>
      </c>
      <c r="BL112" s="759" t="s">
        <v>567</v>
      </c>
      <c r="BM112" s="477" t="str">
        <f t="shared" si="57"/>
        <v>No</v>
      </c>
      <c r="BN112" s="477" t="str">
        <f>IF(OR(Inventory!$H119="",$BM112="No"),"-",Inventory!$H119)</f>
        <v>-</v>
      </c>
      <c r="BO112" s="477" t="str">
        <f>IFERROR(VLOOKUP(BN112,'Early Retirement'!$B$6:$C$33,2,FALSE),"-")</f>
        <v>-</v>
      </c>
      <c r="BP112" s="477" t="str">
        <f>IF(Inventory!$J119="Centrifugal","Yes","No")</f>
        <v>No</v>
      </c>
      <c r="BQ112" s="477">
        <f t="shared" si="79"/>
        <v>0</v>
      </c>
      <c r="BR112" s="477" t="str">
        <f t="shared" si="80"/>
        <v>-</v>
      </c>
      <c r="BS112" s="479">
        <f>IFERROR(INDEX('Early Retirement'!$C$4:$AC$33,$BO112,$BR112),0)</f>
        <v>0</v>
      </c>
      <c r="BT112" s="477">
        <f>IFERROR(HLOOKUP($BR112,'Early Retirement'!$D$4:$AC$5,2,FALSE),0)</f>
        <v>0</v>
      </c>
      <c r="BU112" s="761">
        <f>IFERROR(INDEX('Early Retirement'!$AE$4:$BE$33,$BO112,$BR112),0)</f>
        <v>0</v>
      </c>
      <c r="BV112" s="759">
        <f>IFERROR(HLOOKUP($BR112,'Early Retirement'!$AF$4:$BE$5,2,FALSE),0)</f>
        <v>0</v>
      </c>
      <c r="BW112" s="479">
        <f t="shared" si="87"/>
        <v>0</v>
      </c>
      <c r="BX112" s="761">
        <f t="shared" si="81"/>
        <v>0</v>
      </c>
      <c r="BY112" s="477" t="s">
        <v>46</v>
      </c>
      <c r="BZ112" s="598">
        <f>IFERROR(INDEX('Early Retirement'!$BG$4:$CG$33,$BO112,$BR112),0)</f>
        <v>0</v>
      </c>
      <c r="CA112" s="759">
        <f>IFERROR(HLOOKUP($BR112,'Early Retirement'!$BH$4:$CH$5,2,FALSE),0)</f>
        <v>0</v>
      </c>
      <c r="CB112" s="598">
        <f t="shared" si="82"/>
        <v>0</v>
      </c>
      <c r="CC112" s="759" t="s">
        <v>567</v>
      </c>
      <c r="CD112" s="477" t="str">
        <f t="shared" si="58"/>
        <v>Yes</v>
      </c>
      <c r="CE112" s="479">
        <f t="shared" si="59"/>
        <v>0</v>
      </c>
      <c r="CF112" s="761">
        <f t="shared" si="60"/>
        <v>0</v>
      </c>
      <c r="CG112" s="759" t="s">
        <v>46</v>
      </c>
      <c r="CH112" s="598">
        <f t="shared" si="83"/>
        <v>0</v>
      </c>
      <c r="CI112" s="759" t="s">
        <v>567</v>
      </c>
      <c r="CJ112" s="480">
        <f t="shared" si="84"/>
        <v>0</v>
      </c>
      <c r="CK112" s="583">
        <f t="shared" si="85"/>
        <v>0</v>
      </c>
      <c r="CL112" s="596" t="s">
        <v>46</v>
      </c>
      <c r="CM112" s="581">
        <f t="shared" si="86"/>
        <v>0</v>
      </c>
      <c r="CN112" s="762" t="s">
        <v>567</v>
      </c>
      <c r="CP112" s="90" t="s">
        <v>519</v>
      </c>
      <c r="CQ112" s="124">
        <v>9.5619999999999994</v>
      </c>
      <c r="CR112" s="307" t="s">
        <v>50</v>
      </c>
      <c r="CS112" s="645">
        <v>12.75</v>
      </c>
      <c r="CT112" s="551" t="s">
        <v>559</v>
      </c>
      <c r="CU112" s="645">
        <f t="shared" si="93"/>
        <v>1.2549675800041833</v>
      </c>
      <c r="CV112" s="645">
        <f t="shared" si="94"/>
        <v>0.94117647058823528</v>
      </c>
      <c r="CW112" s="633" t="s">
        <v>46</v>
      </c>
      <c r="CX112" s="606"/>
      <c r="CY112" s="589"/>
      <c r="CZ112" s="606"/>
      <c r="DA112" s="609"/>
      <c r="DB112" s="562"/>
      <c r="DC112" s="562"/>
      <c r="DD112" s="562"/>
      <c r="DE112" s="562"/>
      <c r="DF112" s="562"/>
      <c r="DG112" s="562"/>
      <c r="DH112" s="562"/>
      <c r="DI112" s="562"/>
      <c r="DJ112" s="562"/>
      <c r="DK112" s="562"/>
      <c r="DL112" s="562"/>
      <c r="DM112" s="562"/>
      <c r="DN112" s="562"/>
      <c r="DO112" s="562"/>
      <c r="DP112" s="562"/>
      <c r="DQ112" s="562"/>
      <c r="DR112" s="562"/>
      <c r="DS112" s="562"/>
      <c r="DT112" s="562"/>
      <c r="DU112" s="562"/>
      <c r="DV112" s="562"/>
      <c r="DW112" s="562"/>
      <c r="DX112" s="562"/>
      <c r="DY112" s="562"/>
      <c r="DZ112" s="562"/>
      <c r="EA112" s="562"/>
      <c r="EB112" s="562"/>
      <c r="EC112" s="562"/>
      <c r="ED112" s="562"/>
      <c r="EE112" s="562"/>
      <c r="EF112" s="562"/>
      <c r="EG112" s="562"/>
      <c r="EH112" s="562"/>
      <c r="EI112" s="562"/>
      <c r="EJ112" s="562"/>
      <c r="EK112" s="562"/>
      <c r="EL112" s="562"/>
    </row>
    <row r="113" spans="2:142" s="78" customFormat="1" ht="15" customHeight="1" x14ac:dyDescent="0.25">
      <c r="B113" s="77"/>
      <c r="E113" s="77"/>
      <c r="H113" s="77"/>
      <c r="Y113" s="90">
        <v>111</v>
      </c>
      <c r="Z113" s="559" t="str">
        <f>IF(Inventory!$C120="","",VLOOKUP(Inventory!$C120,$B$3:$C$5,2,FALSE))</f>
        <v/>
      </c>
      <c r="AA113" s="559" t="str">
        <f>IF($Z113="","",IF(AND($Z113="b",Inventory!$G120=""),"",IF(AND($Z113="b",Inventory!$G120&lt;&gt;""),VLOOKUP(Inventory!$G120,$E$3:$F$10,2,FALSE),IF(AND($Z113="a",Inventory!$Z120=""),"",IF(AND($Z113="a",Inventory!$Z120&lt;&gt;""),VLOOKUP(Inventory!$Z120,$E$3:$F$10,2,FALSE),IF(AND($Z113="c",Inventory!$Z120=""),"",IF(AND($Z113="c",Inventory!$Z120&lt;&gt;""),VLOOKUP(Inventory!$Z120,$E$3:$F$10,2,FALSE),"")))))))</f>
        <v/>
      </c>
      <c r="AB113" s="559" t="str">
        <f>IF($Z113="","a",IF(AND($Z113="b",Inventory!$J120=""),"a",IF(AND($Z113="b",Inventory!$J120&lt;&gt;""),VLOOKUP(Inventory!$J120,$H$4:$I$6,2,FALSE),IF(AND($Z113="a",Inventory!$AA120=""),"a",IF(AND($Z113="a",Inventory!$AA120&lt;&gt;""),VLOOKUP(Inventory!$AA120,$H$4:$I$6,2,FALSE),IF(AND($Z113="c",Inventory!$AA120=""),"a",IF(AND($Z113="c",Inventory!$AA120&lt;&gt;""),VLOOKUP(Inventory!$AA120,$H$4:$I$6,2,FALSE),"a")))))))</f>
        <v>a</v>
      </c>
      <c r="AC113" s="559" t="str">
        <f t="shared" si="61"/>
        <v>a</v>
      </c>
      <c r="AD113" s="473" t="str">
        <f>IF($Z113="","a",IF(AND($Z113="b",Inventory!$L120=""),"a",IF(AND($Z113="b",Inventory!$L120&lt;&gt;""),VLOOKUP(Inventory!$L120,$N$4:$O$5,2,FALSE),IF(AND($Z113="a",Inventory!$AC120=""),"a",IF(AND($Z113="a",Inventory!$AC120&lt;&gt;""),VLOOKUP(Inventory!$AC120,$N$4:$O$5,2,FALSE),IF(AND($Z113="c",Inventory!$AC120=""),"a",IF(AND($Z113="c",Inventory!$AC120&lt;&gt;""),VLOOKUP(Inventory!$AC120,$N$4:$O$5,2,FALSE),"a")))))))</f>
        <v>a</v>
      </c>
      <c r="AE113" s="474">
        <f>IF(OR(Inventory!C120="New Construction",Inventory!C120="Replace-on-Burnout"),Inventory!AF120,IF(Inventory!C120="Early Retirement",MIN(Inventory!AE120,Inventory!AF120),0))</f>
        <v>0</v>
      </c>
      <c r="AF113" s="475" t="str">
        <f t="shared" si="62"/>
        <v/>
      </c>
      <c r="AG113" s="475" t="str">
        <f t="shared" si="50"/>
        <v/>
      </c>
      <c r="AH113" s="475" t="str">
        <f t="shared" si="51"/>
        <v/>
      </c>
      <c r="AI113" s="475" t="str">
        <f t="shared" si="52"/>
        <v/>
      </c>
      <c r="AJ113" s="475" t="str">
        <f t="shared" si="53"/>
        <v/>
      </c>
      <c r="AK113" s="475" t="str">
        <f t="shared" si="63"/>
        <v/>
      </c>
      <c r="AL113" s="475" t="str">
        <f t="shared" si="64"/>
        <v/>
      </c>
      <c r="AM113" s="475" t="str">
        <f t="shared" si="65"/>
        <v/>
      </c>
      <c r="AN113" s="475" t="str">
        <f t="shared" si="66"/>
        <v/>
      </c>
      <c r="AO113" s="475" t="str">
        <f t="shared" si="67"/>
        <v/>
      </c>
      <c r="AP113" s="475" t="str">
        <f t="shared" si="68"/>
        <v/>
      </c>
      <c r="AQ113" s="475" t="str">
        <f t="shared" si="69"/>
        <v/>
      </c>
      <c r="AR113" s="475" t="str">
        <f t="shared" si="70"/>
        <v/>
      </c>
      <c r="AS113" s="475" t="str">
        <f t="shared" si="71"/>
        <v/>
      </c>
      <c r="AT113" s="475" t="str">
        <f t="shared" si="72"/>
        <v/>
      </c>
      <c r="AU113" s="475" t="str">
        <f t="shared" si="73"/>
        <v/>
      </c>
      <c r="AV113" s="475" t="str">
        <f t="shared" si="54"/>
        <v/>
      </c>
      <c r="AW113" s="473">
        <f t="shared" si="55"/>
        <v>0</v>
      </c>
      <c r="AX113" s="473" t="str">
        <f>IF(AND($Z113="b",OR($AA113="a",$AA113="b"),Inventory!$I120="",$AE113&lt;(65000/12000)),"x",IF(AND($Z113="b",OR($AA113="a",$AA113="b"),Inventory!$I120&lt;&gt;"",$AE113&lt;(65000/12000)),VLOOKUP(Inventory!$I120,$V$4:$W$5,2,FALSE),"x"))</f>
        <v>x</v>
      </c>
      <c r="AY113" s="476" t="str">
        <f t="shared" si="74"/>
        <v>aaa0</v>
      </c>
      <c r="AZ113" s="477" t="str">
        <f t="shared" si="75"/>
        <v>No</v>
      </c>
      <c r="BA113" s="759" t="str">
        <f t="shared" si="76"/>
        <v>No</v>
      </c>
      <c r="BB113" s="477">
        <f>IF($Z113="c",Inventory!$AB120,Inventory!$K120)</f>
        <v>0</v>
      </c>
      <c r="BC113" s="478">
        <f>IF(AND($Z113="b",Inventory!$N120="Btu/hr"),Inventory!$M120,IF(AND($Z113="b",Inventory!$N120="Tons"),Inventory!$M120*12000,IF(AND($Z113&lt;&gt;"b",Inventory!$AK120="Btu/hr"),Inventory!$AD120,IF(AND($Z113&lt;&gt;"b",Inventory!$AK120="Tons"),Inventory!$AD120*12000,0))))</f>
        <v>0</v>
      </c>
      <c r="BD113" s="478">
        <f t="shared" si="46"/>
        <v>0</v>
      </c>
      <c r="BE113" s="479">
        <f t="shared" si="77"/>
        <v>0</v>
      </c>
      <c r="BF113" s="477" t="s">
        <v>50</v>
      </c>
      <c r="BG113" s="479">
        <f t="shared" si="56"/>
        <v>0</v>
      </c>
      <c r="BH113" s="477" t="s">
        <v>46</v>
      </c>
      <c r="BI113" s="760">
        <f>IF(AND($Z113="b",Inventory!$P120="Btu/hr"),Inventory!$O120,IF(AND($Z113="b",Inventory!$P120="Tons"),Inventory!$O120*12000,IF(AND($Z113&lt;&gt;"b",Inventory!$AM120="Btu/hr"),Inventory!$AL120,IF(AND($Z113&lt;&gt;"b",Inventory!$AM120="Tons"),Inventory!$AL120*12000,0))))</f>
        <v>0</v>
      </c>
      <c r="BJ113" s="760">
        <f t="shared" si="47"/>
        <v>0</v>
      </c>
      <c r="BK113" s="598">
        <f t="shared" si="78"/>
        <v>0</v>
      </c>
      <c r="BL113" s="759" t="s">
        <v>567</v>
      </c>
      <c r="BM113" s="477" t="str">
        <f t="shared" si="57"/>
        <v>No</v>
      </c>
      <c r="BN113" s="477" t="str">
        <f>IF(OR(Inventory!$H120="",$BM113="No"),"-",Inventory!$H120)</f>
        <v>-</v>
      </c>
      <c r="BO113" s="477" t="str">
        <f>IFERROR(VLOOKUP(BN113,'Early Retirement'!$B$6:$C$33,2,FALSE),"-")</f>
        <v>-</v>
      </c>
      <c r="BP113" s="477" t="str">
        <f>IF(Inventory!$J120="Centrifugal","Yes","No")</f>
        <v>No</v>
      </c>
      <c r="BQ113" s="477">
        <f t="shared" si="79"/>
        <v>0</v>
      </c>
      <c r="BR113" s="477" t="str">
        <f t="shared" si="80"/>
        <v>-</v>
      </c>
      <c r="BS113" s="479">
        <f>IFERROR(INDEX('Early Retirement'!$C$4:$AC$33,$BO113,$BR113),0)</f>
        <v>0</v>
      </c>
      <c r="BT113" s="477">
        <f>IFERROR(HLOOKUP($BR113,'Early Retirement'!$D$4:$AC$5,2,FALSE),0)</f>
        <v>0</v>
      </c>
      <c r="BU113" s="761">
        <f>IFERROR(INDEX('Early Retirement'!$AE$4:$BE$33,$BO113,$BR113),0)</f>
        <v>0</v>
      </c>
      <c r="BV113" s="759">
        <f>IFERROR(HLOOKUP($BR113,'Early Retirement'!$AF$4:$BE$5,2,FALSE),0)</f>
        <v>0</v>
      </c>
      <c r="BW113" s="479">
        <f t="shared" si="87"/>
        <v>0</v>
      </c>
      <c r="BX113" s="761">
        <f t="shared" si="81"/>
        <v>0</v>
      </c>
      <c r="BY113" s="477" t="s">
        <v>46</v>
      </c>
      <c r="BZ113" s="598">
        <f>IFERROR(INDEX('Early Retirement'!$BG$4:$CG$33,$BO113,$BR113),0)</f>
        <v>0</v>
      </c>
      <c r="CA113" s="759">
        <f>IFERROR(HLOOKUP($BR113,'Early Retirement'!$BH$4:$CH$5,2,FALSE),0)</f>
        <v>0</v>
      </c>
      <c r="CB113" s="598">
        <f t="shared" si="82"/>
        <v>0</v>
      </c>
      <c r="CC113" s="759" t="s">
        <v>567</v>
      </c>
      <c r="CD113" s="477" t="str">
        <f t="shared" si="58"/>
        <v>Yes</v>
      </c>
      <c r="CE113" s="479">
        <f t="shared" si="59"/>
        <v>0</v>
      </c>
      <c r="CF113" s="761">
        <f t="shared" si="60"/>
        <v>0</v>
      </c>
      <c r="CG113" s="759" t="s">
        <v>46</v>
      </c>
      <c r="CH113" s="598">
        <f t="shared" si="83"/>
        <v>0</v>
      </c>
      <c r="CI113" s="759" t="s">
        <v>567</v>
      </c>
      <c r="CJ113" s="480">
        <f t="shared" si="84"/>
        <v>0</v>
      </c>
      <c r="CK113" s="583">
        <f t="shared" si="85"/>
        <v>0</v>
      </c>
      <c r="CL113" s="596" t="s">
        <v>46</v>
      </c>
      <c r="CM113" s="581">
        <f t="shared" si="86"/>
        <v>0</v>
      </c>
      <c r="CN113" s="762" t="s">
        <v>567</v>
      </c>
      <c r="CP113" s="90" t="s">
        <v>520</v>
      </c>
      <c r="CQ113" s="124">
        <v>9.5619999999999994</v>
      </c>
      <c r="CR113" s="307" t="s">
        <v>50</v>
      </c>
      <c r="CS113" s="645">
        <v>12.75</v>
      </c>
      <c r="CT113" s="551" t="s">
        <v>559</v>
      </c>
      <c r="CU113" s="645">
        <f t="shared" si="93"/>
        <v>1.2549675800041833</v>
      </c>
      <c r="CV113" s="645">
        <f t="shared" si="94"/>
        <v>0.94117647058823528</v>
      </c>
      <c r="CW113" s="633" t="s">
        <v>46</v>
      </c>
      <c r="CX113" s="606"/>
      <c r="CY113" s="589"/>
      <c r="CZ113" s="606"/>
      <c r="DA113" s="609"/>
      <c r="DB113" s="562"/>
      <c r="DC113" s="562"/>
      <c r="DD113" s="562"/>
      <c r="DE113" s="562"/>
      <c r="DF113" s="562"/>
      <c r="DG113" s="562"/>
      <c r="DH113" s="562"/>
      <c r="DI113" s="562"/>
      <c r="DJ113" s="562"/>
      <c r="DK113" s="562"/>
      <c r="DL113" s="562"/>
      <c r="DM113" s="562"/>
      <c r="DN113" s="562"/>
      <c r="DO113" s="562"/>
      <c r="DP113" s="562"/>
      <c r="DQ113" s="562"/>
      <c r="DR113" s="562"/>
      <c r="DS113" s="562"/>
      <c r="DT113" s="562"/>
      <c r="DU113" s="562"/>
      <c r="DV113" s="562"/>
      <c r="DW113" s="562"/>
      <c r="DX113" s="562"/>
      <c r="DY113" s="562"/>
      <c r="DZ113" s="562"/>
      <c r="EA113" s="562"/>
      <c r="EB113" s="562"/>
      <c r="EC113" s="562"/>
      <c r="ED113" s="562"/>
      <c r="EE113" s="562"/>
      <c r="EF113" s="562"/>
      <c r="EG113" s="562"/>
      <c r="EH113" s="562"/>
      <c r="EI113" s="562"/>
      <c r="EJ113" s="562"/>
      <c r="EK113" s="562"/>
      <c r="EL113" s="562"/>
    </row>
    <row r="114" spans="2:142" s="78" customFormat="1" ht="15" customHeight="1" x14ac:dyDescent="0.25">
      <c r="B114" s="77"/>
      <c r="E114" s="77"/>
      <c r="H114" s="77"/>
      <c r="Y114" s="90">
        <v>112</v>
      </c>
      <c r="Z114" s="559" t="str">
        <f>IF(Inventory!$C121="","",VLOOKUP(Inventory!$C121,$B$3:$C$5,2,FALSE))</f>
        <v/>
      </c>
      <c r="AA114" s="559" t="str">
        <f>IF($Z114="","",IF(AND($Z114="b",Inventory!$G121=""),"",IF(AND($Z114="b",Inventory!$G121&lt;&gt;""),VLOOKUP(Inventory!$G121,$E$3:$F$10,2,FALSE),IF(AND($Z114="a",Inventory!$Z121=""),"",IF(AND($Z114="a",Inventory!$Z121&lt;&gt;""),VLOOKUP(Inventory!$Z121,$E$3:$F$10,2,FALSE),IF(AND($Z114="c",Inventory!$Z121=""),"",IF(AND($Z114="c",Inventory!$Z121&lt;&gt;""),VLOOKUP(Inventory!$Z121,$E$3:$F$10,2,FALSE),"")))))))</f>
        <v/>
      </c>
      <c r="AB114" s="559" t="str">
        <f>IF($Z114="","a",IF(AND($Z114="b",Inventory!$J121=""),"a",IF(AND($Z114="b",Inventory!$J121&lt;&gt;""),VLOOKUP(Inventory!$J121,$H$4:$I$6,2,FALSE),IF(AND($Z114="a",Inventory!$AA121=""),"a",IF(AND($Z114="a",Inventory!$AA121&lt;&gt;""),VLOOKUP(Inventory!$AA121,$H$4:$I$6,2,FALSE),IF(AND($Z114="c",Inventory!$AA121=""),"a",IF(AND($Z114="c",Inventory!$AA121&lt;&gt;""),VLOOKUP(Inventory!$AA121,$H$4:$I$6,2,FALSE),"a")))))))</f>
        <v>a</v>
      </c>
      <c r="AC114" s="559" t="str">
        <f t="shared" si="61"/>
        <v>a</v>
      </c>
      <c r="AD114" s="473" t="str">
        <f>IF($Z114="","a",IF(AND($Z114="b",Inventory!$L121=""),"a",IF(AND($Z114="b",Inventory!$L121&lt;&gt;""),VLOOKUP(Inventory!$L121,$N$4:$O$5,2,FALSE),IF(AND($Z114="a",Inventory!$AC121=""),"a",IF(AND($Z114="a",Inventory!$AC121&lt;&gt;""),VLOOKUP(Inventory!$AC121,$N$4:$O$5,2,FALSE),IF(AND($Z114="c",Inventory!$AC121=""),"a",IF(AND($Z114="c",Inventory!$AC121&lt;&gt;""),VLOOKUP(Inventory!$AC121,$N$4:$O$5,2,FALSE),"a")))))))</f>
        <v>a</v>
      </c>
      <c r="AE114" s="474">
        <f>IF(OR(Inventory!C121="New Construction",Inventory!C121="Replace-on-Burnout"),Inventory!AF121,IF(Inventory!C121="Early Retirement",MIN(Inventory!AE121,Inventory!AF121),0))</f>
        <v>0</v>
      </c>
      <c r="AF114" s="475" t="str">
        <f t="shared" si="62"/>
        <v/>
      </c>
      <c r="AG114" s="475" t="str">
        <f t="shared" si="50"/>
        <v/>
      </c>
      <c r="AH114" s="475" t="str">
        <f t="shared" si="51"/>
        <v/>
      </c>
      <c r="AI114" s="475" t="str">
        <f t="shared" si="52"/>
        <v/>
      </c>
      <c r="AJ114" s="475" t="str">
        <f t="shared" si="53"/>
        <v/>
      </c>
      <c r="AK114" s="475" t="str">
        <f t="shared" si="63"/>
        <v/>
      </c>
      <c r="AL114" s="475" t="str">
        <f t="shared" si="64"/>
        <v/>
      </c>
      <c r="AM114" s="475" t="str">
        <f t="shared" si="65"/>
        <v/>
      </c>
      <c r="AN114" s="475" t="str">
        <f t="shared" si="66"/>
        <v/>
      </c>
      <c r="AO114" s="475" t="str">
        <f t="shared" si="67"/>
        <v/>
      </c>
      <c r="AP114" s="475" t="str">
        <f t="shared" si="68"/>
        <v/>
      </c>
      <c r="AQ114" s="475" t="str">
        <f t="shared" si="69"/>
        <v/>
      </c>
      <c r="AR114" s="475" t="str">
        <f t="shared" si="70"/>
        <v/>
      </c>
      <c r="AS114" s="475" t="str">
        <f t="shared" si="71"/>
        <v/>
      </c>
      <c r="AT114" s="475" t="str">
        <f t="shared" si="72"/>
        <v/>
      </c>
      <c r="AU114" s="475" t="str">
        <f t="shared" si="73"/>
        <v/>
      </c>
      <c r="AV114" s="475" t="str">
        <f t="shared" si="54"/>
        <v/>
      </c>
      <c r="AW114" s="473">
        <f t="shared" si="55"/>
        <v>0</v>
      </c>
      <c r="AX114" s="473" t="str">
        <f>IF(AND($Z114="b",OR($AA114="a",$AA114="b"),Inventory!$I121="",$AE114&lt;(65000/12000)),"x",IF(AND($Z114="b",OR($AA114="a",$AA114="b"),Inventory!$I121&lt;&gt;"",$AE114&lt;(65000/12000)),VLOOKUP(Inventory!$I121,$V$4:$W$5,2,FALSE),"x"))</f>
        <v>x</v>
      </c>
      <c r="AY114" s="476" t="str">
        <f t="shared" si="74"/>
        <v>aaa0</v>
      </c>
      <c r="AZ114" s="477" t="str">
        <f t="shared" si="75"/>
        <v>No</v>
      </c>
      <c r="BA114" s="759" t="str">
        <f t="shared" si="76"/>
        <v>No</v>
      </c>
      <c r="BB114" s="477">
        <f>IF($Z114="c",Inventory!$AB121,Inventory!$K121)</f>
        <v>0</v>
      </c>
      <c r="BC114" s="478">
        <f>IF(AND($Z114="b",Inventory!$N121="Btu/hr"),Inventory!$M121,IF(AND($Z114="b",Inventory!$N121="Tons"),Inventory!$M121*12000,IF(AND($Z114&lt;&gt;"b",Inventory!$AK121="Btu/hr"),Inventory!$AD121,IF(AND($Z114&lt;&gt;"b",Inventory!$AK121="Tons"),Inventory!$AD121*12000,0))))</f>
        <v>0</v>
      </c>
      <c r="BD114" s="478">
        <f t="shared" si="46"/>
        <v>0</v>
      </c>
      <c r="BE114" s="479">
        <f t="shared" si="77"/>
        <v>0</v>
      </c>
      <c r="BF114" s="477" t="s">
        <v>50</v>
      </c>
      <c r="BG114" s="479">
        <f t="shared" si="56"/>
        <v>0</v>
      </c>
      <c r="BH114" s="477" t="s">
        <v>46</v>
      </c>
      <c r="BI114" s="760">
        <f>IF(AND($Z114="b",Inventory!$P121="Btu/hr"),Inventory!$O121,IF(AND($Z114="b",Inventory!$P121="Tons"),Inventory!$O121*12000,IF(AND($Z114&lt;&gt;"b",Inventory!$AM121="Btu/hr"),Inventory!$AL121,IF(AND($Z114&lt;&gt;"b",Inventory!$AM121="Tons"),Inventory!$AL121*12000,0))))</f>
        <v>0</v>
      </c>
      <c r="BJ114" s="760">
        <f t="shared" si="47"/>
        <v>0</v>
      </c>
      <c r="BK114" s="598">
        <f t="shared" si="78"/>
        <v>0</v>
      </c>
      <c r="BL114" s="759" t="s">
        <v>567</v>
      </c>
      <c r="BM114" s="477" t="str">
        <f t="shared" si="57"/>
        <v>No</v>
      </c>
      <c r="BN114" s="477" t="str">
        <f>IF(OR(Inventory!$H121="",$BM114="No"),"-",Inventory!$H121)</f>
        <v>-</v>
      </c>
      <c r="BO114" s="477" t="str">
        <f>IFERROR(VLOOKUP(BN114,'Early Retirement'!$B$6:$C$33,2,FALSE),"-")</f>
        <v>-</v>
      </c>
      <c r="BP114" s="477" t="str">
        <f>IF(Inventory!$J121="Centrifugal","Yes","No")</f>
        <v>No</v>
      </c>
      <c r="BQ114" s="477">
        <f t="shared" si="79"/>
        <v>0</v>
      </c>
      <c r="BR114" s="477" t="str">
        <f t="shared" si="80"/>
        <v>-</v>
      </c>
      <c r="BS114" s="479">
        <f>IFERROR(INDEX('Early Retirement'!$C$4:$AC$33,$BO114,$BR114),0)</f>
        <v>0</v>
      </c>
      <c r="BT114" s="477">
        <f>IFERROR(HLOOKUP($BR114,'Early Retirement'!$D$4:$AC$5,2,FALSE),0)</f>
        <v>0</v>
      </c>
      <c r="BU114" s="761">
        <f>IFERROR(INDEX('Early Retirement'!$AE$4:$BE$33,$BO114,$BR114),0)</f>
        <v>0</v>
      </c>
      <c r="BV114" s="759">
        <f>IFERROR(HLOOKUP($BR114,'Early Retirement'!$AF$4:$BE$5,2,FALSE),0)</f>
        <v>0</v>
      </c>
      <c r="BW114" s="479">
        <f t="shared" si="87"/>
        <v>0</v>
      </c>
      <c r="BX114" s="761">
        <f t="shared" si="81"/>
        <v>0</v>
      </c>
      <c r="BY114" s="477" t="s">
        <v>46</v>
      </c>
      <c r="BZ114" s="598">
        <f>IFERROR(INDEX('Early Retirement'!$BG$4:$CG$33,$BO114,$BR114),0)</f>
        <v>0</v>
      </c>
      <c r="CA114" s="759">
        <f>IFERROR(HLOOKUP($BR114,'Early Retirement'!$BH$4:$CH$5,2,FALSE),0)</f>
        <v>0</v>
      </c>
      <c r="CB114" s="598">
        <f t="shared" si="82"/>
        <v>0</v>
      </c>
      <c r="CC114" s="759" t="s">
        <v>567</v>
      </c>
      <c r="CD114" s="477" t="str">
        <f t="shared" si="58"/>
        <v>Yes</v>
      </c>
      <c r="CE114" s="479">
        <f t="shared" si="59"/>
        <v>0</v>
      </c>
      <c r="CF114" s="761">
        <f t="shared" si="60"/>
        <v>0</v>
      </c>
      <c r="CG114" s="759" t="s">
        <v>46</v>
      </c>
      <c r="CH114" s="598">
        <f t="shared" si="83"/>
        <v>0</v>
      </c>
      <c r="CI114" s="759" t="s">
        <v>567</v>
      </c>
      <c r="CJ114" s="480">
        <f t="shared" si="84"/>
        <v>0</v>
      </c>
      <c r="CK114" s="583">
        <f t="shared" si="85"/>
        <v>0</v>
      </c>
      <c r="CL114" s="596" t="s">
        <v>46</v>
      </c>
      <c r="CM114" s="581">
        <f t="shared" si="86"/>
        <v>0</v>
      </c>
      <c r="CN114" s="762" t="s">
        <v>567</v>
      </c>
      <c r="CP114" s="90" t="s">
        <v>201</v>
      </c>
      <c r="CQ114" s="124">
        <v>9.5619999999999994</v>
      </c>
      <c r="CR114" s="307" t="s">
        <v>50</v>
      </c>
      <c r="CS114" s="645">
        <v>12.75</v>
      </c>
      <c r="CT114" s="551" t="s">
        <v>559</v>
      </c>
      <c r="CU114" s="645">
        <f t="shared" si="93"/>
        <v>1.2549675800041833</v>
      </c>
      <c r="CV114" s="645">
        <f t="shared" si="94"/>
        <v>0.94117647058823528</v>
      </c>
      <c r="CW114" s="633" t="s">
        <v>46</v>
      </c>
      <c r="CX114" s="606"/>
      <c r="CY114" s="589"/>
      <c r="CZ114" s="606"/>
      <c r="DA114" s="609"/>
      <c r="DB114" s="562"/>
      <c r="DC114" s="562"/>
      <c r="DD114" s="562"/>
      <c r="DE114" s="562"/>
      <c r="DF114" s="562"/>
      <c r="DG114" s="562"/>
      <c r="DH114" s="562"/>
      <c r="DI114" s="562"/>
      <c r="DJ114" s="562"/>
      <c r="DK114" s="562"/>
      <c r="DL114" s="562"/>
      <c r="DM114" s="562"/>
      <c r="DN114" s="562"/>
      <c r="DO114" s="562"/>
      <c r="DP114" s="562"/>
      <c r="DQ114" s="562"/>
      <c r="DR114" s="562"/>
      <c r="DS114" s="562"/>
      <c r="DT114" s="562"/>
      <c r="DU114" s="562"/>
      <c r="DV114" s="562"/>
      <c r="DW114" s="562"/>
      <c r="DX114" s="562"/>
      <c r="DY114" s="562"/>
      <c r="DZ114" s="562"/>
      <c r="EA114" s="562"/>
      <c r="EB114" s="562"/>
      <c r="EC114" s="562"/>
      <c r="ED114" s="562"/>
      <c r="EE114" s="562"/>
      <c r="EF114" s="562"/>
      <c r="EG114" s="562"/>
      <c r="EH114" s="562"/>
      <c r="EI114" s="562"/>
      <c r="EJ114" s="562"/>
      <c r="EK114" s="562"/>
      <c r="EL114" s="562"/>
    </row>
    <row r="115" spans="2:142" s="78" customFormat="1" ht="15" customHeight="1" x14ac:dyDescent="0.25">
      <c r="B115" s="77"/>
      <c r="E115" s="77"/>
      <c r="H115" s="77"/>
      <c r="Y115" s="90">
        <v>113</v>
      </c>
      <c r="Z115" s="559" t="str">
        <f>IF(Inventory!$C122="","",VLOOKUP(Inventory!$C122,$B$3:$C$5,2,FALSE))</f>
        <v/>
      </c>
      <c r="AA115" s="559" t="str">
        <f>IF($Z115="","",IF(AND($Z115="b",Inventory!$G122=""),"",IF(AND($Z115="b",Inventory!$G122&lt;&gt;""),VLOOKUP(Inventory!$G122,$E$3:$F$10,2,FALSE),IF(AND($Z115="a",Inventory!$Z122=""),"",IF(AND($Z115="a",Inventory!$Z122&lt;&gt;""),VLOOKUP(Inventory!$Z122,$E$3:$F$10,2,FALSE),IF(AND($Z115="c",Inventory!$Z122=""),"",IF(AND($Z115="c",Inventory!$Z122&lt;&gt;""),VLOOKUP(Inventory!$Z122,$E$3:$F$10,2,FALSE),"")))))))</f>
        <v/>
      </c>
      <c r="AB115" s="559" t="str">
        <f>IF($Z115="","a",IF(AND($Z115="b",Inventory!$J122=""),"a",IF(AND($Z115="b",Inventory!$J122&lt;&gt;""),VLOOKUP(Inventory!$J122,$H$4:$I$6,2,FALSE),IF(AND($Z115="a",Inventory!$AA122=""),"a",IF(AND($Z115="a",Inventory!$AA122&lt;&gt;""),VLOOKUP(Inventory!$AA122,$H$4:$I$6,2,FALSE),IF(AND($Z115="c",Inventory!$AA122=""),"a",IF(AND($Z115="c",Inventory!$AA122&lt;&gt;""),VLOOKUP(Inventory!$AA122,$H$4:$I$6,2,FALSE),"a")))))))</f>
        <v>a</v>
      </c>
      <c r="AC115" s="559" t="str">
        <f t="shared" si="61"/>
        <v>a</v>
      </c>
      <c r="AD115" s="473" t="str">
        <f>IF($Z115="","a",IF(AND($Z115="b",Inventory!$L122=""),"a",IF(AND($Z115="b",Inventory!$L122&lt;&gt;""),VLOOKUP(Inventory!$L122,$N$4:$O$5,2,FALSE),IF(AND($Z115="a",Inventory!$AC122=""),"a",IF(AND($Z115="a",Inventory!$AC122&lt;&gt;""),VLOOKUP(Inventory!$AC122,$N$4:$O$5,2,FALSE),IF(AND($Z115="c",Inventory!$AC122=""),"a",IF(AND($Z115="c",Inventory!$AC122&lt;&gt;""),VLOOKUP(Inventory!$AC122,$N$4:$O$5,2,FALSE),"a")))))))</f>
        <v>a</v>
      </c>
      <c r="AE115" s="474">
        <f>IF(OR(Inventory!C122="New Construction",Inventory!C122="Replace-on-Burnout"),Inventory!AF122,IF(Inventory!C122="Early Retirement",MIN(Inventory!AE122,Inventory!AF122),0))</f>
        <v>0</v>
      </c>
      <c r="AF115" s="475" t="str">
        <f t="shared" si="62"/>
        <v/>
      </c>
      <c r="AG115" s="475" t="str">
        <f t="shared" si="50"/>
        <v/>
      </c>
      <c r="AH115" s="475" t="str">
        <f t="shared" si="51"/>
        <v/>
      </c>
      <c r="AI115" s="475" t="str">
        <f t="shared" si="52"/>
        <v/>
      </c>
      <c r="AJ115" s="475" t="str">
        <f t="shared" si="53"/>
        <v/>
      </c>
      <c r="AK115" s="475" t="str">
        <f t="shared" si="63"/>
        <v/>
      </c>
      <c r="AL115" s="475" t="str">
        <f t="shared" si="64"/>
        <v/>
      </c>
      <c r="AM115" s="475" t="str">
        <f t="shared" si="65"/>
        <v/>
      </c>
      <c r="AN115" s="475" t="str">
        <f t="shared" si="66"/>
        <v/>
      </c>
      <c r="AO115" s="475" t="str">
        <f t="shared" si="67"/>
        <v/>
      </c>
      <c r="AP115" s="475" t="str">
        <f t="shared" si="68"/>
        <v/>
      </c>
      <c r="AQ115" s="475" t="str">
        <f t="shared" si="69"/>
        <v/>
      </c>
      <c r="AR115" s="475" t="str">
        <f t="shared" si="70"/>
        <v/>
      </c>
      <c r="AS115" s="475" t="str">
        <f t="shared" si="71"/>
        <v/>
      </c>
      <c r="AT115" s="475" t="str">
        <f t="shared" si="72"/>
        <v/>
      </c>
      <c r="AU115" s="475" t="str">
        <f t="shared" si="73"/>
        <v/>
      </c>
      <c r="AV115" s="475" t="str">
        <f t="shared" si="54"/>
        <v/>
      </c>
      <c r="AW115" s="473">
        <f t="shared" si="55"/>
        <v>0</v>
      </c>
      <c r="AX115" s="473" t="str">
        <f>IF(AND($Z115="b",OR($AA115="a",$AA115="b"),Inventory!$I122="",$AE115&lt;(65000/12000)),"x",IF(AND($Z115="b",OR($AA115="a",$AA115="b"),Inventory!$I122&lt;&gt;"",$AE115&lt;(65000/12000)),VLOOKUP(Inventory!$I122,$V$4:$W$5,2,FALSE),"x"))</f>
        <v>x</v>
      </c>
      <c r="AY115" s="476" t="str">
        <f t="shared" si="74"/>
        <v>aaa0</v>
      </c>
      <c r="AZ115" s="477" t="str">
        <f t="shared" si="75"/>
        <v>No</v>
      </c>
      <c r="BA115" s="759" t="str">
        <f t="shared" si="76"/>
        <v>No</v>
      </c>
      <c r="BB115" s="477">
        <f>IF($Z115="c",Inventory!$AB122,Inventory!$K122)</f>
        <v>0</v>
      </c>
      <c r="BC115" s="478">
        <f>IF(AND($Z115="b",Inventory!$N122="Btu/hr"),Inventory!$M122,IF(AND($Z115="b",Inventory!$N122="Tons"),Inventory!$M122*12000,IF(AND($Z115&lt;&gt;"b",Inventory!$AK122="Btu/hr"),Inventory!$AD122,IF(AND($Z115&lt;&gt;"b",Inventory!$AK122="Tons"),Inventory!$AD122*12000,0))))</f>
        <v>0</v>
      </c>
      <c r="BD115" s="478">
        <f t="shared" si="46"/>
        <v>0</v>
      </c>
      <c r="BE115" s="479">
        <f t="shared" si="77"/>
        <v>0</v>
      </c>
      <c r="BF115" s="477" t="s">
        <v>50</v>
      </c>
      <c r="BG115" s="479">
        <f t="shared" si="56"/>
        <v>0</v>
      </c>
      <c r="BH115" s="477" t="s">
        <v>46</v>
      </c>
      <c r="BI115" s="760">
        <f>IF(AND($Z115="b",Inventory!$P122="Btu/hr"),Inventory!$O122,IF(AND($Z115="b",Inventory!$P122="Tons"),Inventory!$O122*12000,IF(AND($Z115&lt;&gt;"b",Inventory!$AM122="Btu/hr"),Inventory!$AL122,IF(AND($Z115&lt;&gt;"b",Inventory!$AM122="Tons"),Inventory!$AL122*12000,0))))</f>
        <v>0</v>
      </c>
      <c r="BJ115" s="760">
        <f t="shared" si="47"/>
        <v>0</v>
      </c>
      <c r="BK115" s="598">
        <f t="shared" si="78"/>
        <v>0</v>
      </c>
      <c r="BL115" s="759" t="s">
        <v>567</v>
      </c>
      <c r="BM115" s="477" t="str">
        <f t="shared" si="57"/>
        <v>No</v>
      </c>
      <c r="BN115" s="477" t="str">
        <f>IF(OR(Inventory!$H122="",$BM115="No"),"-",Inventory!$H122)</f>
        <v>-</v>
      </c>
      <c r="BO115" s="477" t="str">
        <f>IFERROR(VLOOKUP(BN115,'Early Retirement'!$B$6:$C$33,2,FALSE),"-")</f>
        <v>-</v>
      </c>
      <c r="BP115" s="477" t="str">
        <f>IF(Inventory!$J122="Centrifugal","Yes","No")</f>
        <v>No</v>
      </c>
      <c r="BQ115" s="477">
        <f t="shared" si="79"/>
        <v>0</v>
      </c>
      <c r="BR115" s="477" t="str">
        <f t="shared" si="80"/>
        <v>-</v>
      </c>
      <c r="BS115" s="479">
        <f>IFERROR(INDEX('Early Retirement'!$C$4:$AC$33,$BO115,$BR115),0)</f>
        <v>0</v>
      </c>
      <c r="BT115" s="477">
        <f>IFERROR(HLOOKUP($BR115,'Early Retirement'!$D$4:$AC$5,2,FALSE),0)</f>
        <v>0</v>
      </c>
      <c r="BU115" s="761">
        <f>IFERROR(INDEX('Early Retirement'!$AE$4:$BE$33,$BO115,$BR115),0)</f>
        <v>0</v>
      </c>
      <c r="BV115" s="759">
        <f>IFERROR(HLOOKUP($BR115,'Early Retirement'!$AF$4:$BE$5,2,FALSE),0)</f>
        <v>0</v>
      </c>
      <c r="BW115" s="479">
        <f t="shared" si="87"/>
        <v>0</v>
      </c>
      <c r="BX115" s="761">
        <f t="shared" si="81"/>
        <v>0</v>
      </c>
      <c r="BY115" s="477" t="s">
        <v>46</v>
      </c>
      <c r="BZ115" s="598">
        <f>IFERROR(INDEX('Early Retirement'!$BG$4:$CG$33,$BO115,$BR115),0)</f>
        <v>0</v>
      </c>
      <c r="CA115" s="759">
        <f>IFERROR(HLOOKUP($BR115,'Early Retirement'!$BH$4:$CH$5,2,FALSE),0)</f>
        <v>0</v>
      </c>
      <c r="CB115" s="598">
        <f t="shared" si="82"/>
        <v>0</v>
      </c>
      <c r="CC115" s="759" t="s">
        <v>567</v>
      </c>
      <c r="CD115" s="477" t="str">
        <f t="shared" si="58"/>
        <v>Yes</v>
      </c>
      <c r="CE115" s="479">
        <f t="shared" si="59"/>
        <v>0</v>
      </c>
      <c r="CF115" s="761">
        <f t="shared" si="60"/>
        <v>0</v>
      </c>
      <c r="CG115" s="759" t="s">
        <v>46</v>
      </c>
      <c r="CH115" s="598">
        <f t="shared" si="83"/>
        <v>0</v>
      </c>
      <c r="CI115" s="759" t="s">
        <v>567</v>
      </c>
      <c r="CJ115" s="480">
        <f t="shared" si="84"/>
        <v>0</v>
      </c>
      <c r="CK115" s="583">
        <f t="shared" si="85"/>
        <v>0</v>
      </c>
      <c r="CL115" s="596" t="s">
        <v>46</v>
      </c>
      <c r="CM115" s="581">
        <f t="shared" si="86"/>
        <v>0</v>
      </c>
      <c r="CN115" s="762" t="s">
        <v>567</v>
      </c>
      <c r="CP115" s="90" t="s">
        <v>202</v>
      </c>
      <c r="CQ115" s="124">
        <v>9.5619999999999994</v>
      </c>
      <c r="CR115" s="307" t="s">
        <v>50</v>
      </c>
      <c r="CS115" s="645">
        <v>12.75</v>
      </c>
      <c r="CT115" s="551" t="s">
        <v>559</v>
      </c>
      <c r="CU115" s="645">
        <f t="shared" si="93"/>
        <v>1.2549675800041833</v>
      </c>
      <c r="CV115" s="645">
        <f t="shared" si="94"/>
        <v>0.94117647058823528</v>
      </c>
      <c r="CW115" s="633" t="s">
        <v>46</v>
      </c>
      <c r="CX115" s="606"/>
      <c r="CY115" s="589"/>
      <c r="CZ115" s="606"/>
      <c r="DA115" s="609"/>
      <c r="DB115" s="562"/>
      <c r="DC115" s="562"/>
      <c r="DD115" s="562"/>
      <c r="DE115" s="562"/>
      <c r="DF115" s="562"/>
      <c r="DG115" s="562"/>
      <c r="DH115" s="562"/>
      <c r="DI115" s="562"/>
      <c r="DJ115" s="562"/>
      <c r="DK115" s="562"/>
      <c r="DL115" s="562"/>
      <c r="DM115" s="562"/>
      <c r="DN115" s="562"/>
      <c r="DO115" s="562"/>
      <c r="DP115" s="562"/>
      <c r="DQ115" s="562"/>
      <c r="DR115" s="562"/>
      <c r="DS115" s="562"/>
      <c r="DT115" s="562"/>
      <c r="DU115" s="562"/>
      <c r="DV115" s="562"/>
      <c r="DW115" s="562"/>
      <c r="DX115" s="562"/>
      <c r="DY115" s="562"/>
      <c r="DZ115" s="562"/>
      <c r="EA115" s="562"/>
      <c r="EB115" s="562"/>
      <c r="EC115" s="562"/>
      <c r="ED115" s="562"/>
      <c r="EE115" s="562"/>
      <c r="EF115" s="562"/>
      <c r="EG115" s="562"/>
      <c r="EH115" s="562"/>
      <c r="EI115" s="562"/>
      <c r="EJ115" s="562"/>
      <c r="EK115" s="562"/>
      <c r="EL115" s="562"/>
    </row>
    <row r="116" spans="2:142" s="78" customFormat="1" ht="15" customHeight="1" x14ac:dyDescent="0.25">
      <c r="B116" s="77"/>
      <c r="E116" s="77"/>
      <c r="H116" s="77"/>
      <c r="Y116" s="90">
        <v>114</v>
      </c>
      <c r="Z116" s="559" t="str">
        <f>IF(Inventory!$C123="","",VLOOKUP(Inventory!$C123,$B$3:$C$5,2,FALSE))</f>
        <v/>
      </c>
      <c r="AA116" s="559" t="str">
        <f>IF($Z116="","",IF(AND($Z116="b",Inventory!$G123=""),"",IF(AND($Z116="b",Inventory!$G123&lt;&gt;""),VLOOKUP(Inventory!$G123,$E$3:$F$10,2,FALSE),IF(AND($Z116="a",Inventory!$Z123=""),"",IF(AND($Z116="a",Inventory!$Z123&lt;&gt;""),VLOOKUP(Inventory!$Z123,$E$3:$F$10,2,FALSE),IF(AND($Z116="c",Inventory!$Z123=""),"",IF(AND($Z116="c",Inventory!$Z123&lt;&gt;""),VLOOKUP(Inventory!$Z123,$E$3:$F$10,2,FALSE),"")))))))</f>
        <v/>
      </c>
      <c r="AB116" s="559" t="str">
        <f>IF($Z116="","a",IF(AND($Z116="b",Inventory!$J123=""),"a",IF(AND($Z116="b",Inventory!$J123&lt;&gt;""),VLOOKUP(Inventory!$J123,$H$4:$I$6,2,FALSE),IF(AND($Z116="a",Inventory!$AA123=""),"a",IF(AND($Z116="a",Inventory!$AA123&lt;&gt;""),VLOOKUP(Inventory!$AA123,$H$4:$I$6,2,FALSE),IF(AND($Z116="c",Inventory!$AA123=""),"a",IF(AND($Z116="c",Inventory!$AA123&lt;&gt;""),VLOOKUP(Inventory!$AA123,$H$4:$I$6,2,FALSE),"a")))))))</f>
        <v>a</v>
      </c>
      <c r="AC116" s="559" t="str">
        <f t="shared" si="61"/>
        <v>a</v>
      </c>
      <c r="AD116" s="473" t="str">
        <f>IF($Z116="","a",IF(AND($Z116="b",Inventory!$L123=""),"a",IF(AND($Z116="b",Inventory!$L123&lt;&gt;""),VLOOKUP(Inventory!$L123,$N$4:$O$5,2,FALSE),IF(AND($Z116="a",Inventory!$AC123=""),"a",IF(AND($Z116="a",Inventory!$AC123&lt;&gt;""),VLOOKUP(Inventory!$AC123,$N$4:$O$5,2,FALSE),IF(AND($Z116="c",Inventory!$AC123=""),"a",IF(AND($Z116="c",Inventory!$AC123&lt;&gt;""),VLOOKUP(Inventory!$AC123,$N$4:$O$5,2,FALSE),"a")))))))</f>
        <v>a</v>
      </c>
      <c r="AE116" s="474">
        <f>IF(OR(Inventory!C123="New Construction",Inventory!C123="Replace-on-Burnout"),Inventory!AF123,IF(Inventory!C123="Early Retirement",MIN(Inventory!AE123,Inventory!AF123),0))</f>
        <v>0</v>
      </c>
      <c r="AF116" s="475" t="str">
        <f t="shared" si="62"/>
        <v/>
      </c>
      <c r="AG116" s="475" t="str">
        <f t="shared" si="50"/>
        <v/>
      </c>
      <c r="AH116" s="475" t="str">
        <f t="shared" si="51"/>
        <v/>
      </c>
      <c r="AI116" s="475" t="str">
        <f t="shared" si="52"/>
        <v/>
      </c>
      <c r="AJ116" s="475" t="str">
        <f t="shared" si="53"/>
        <v/>
      </c>
      <c r="AK116" s="475" t="str">
        <f t="shared" si="63"/>
        <v/>
      </c>
      <c r="AL116" s="475" t="str">
        <f t="shared" si="64"/>
        <v/>
      </c>
      <c r="AM116" s="475" t="str">
        <f t="shared" si="65"/>
        <v/>
      </c>
      <c r="AN116" s="475" t="str">
        <f t="shared" si="66"/>
        <v/>
      </c>
      <c r="AO116" s="475" t="str">
        <f t="shared" si="67"/>
        <v/>
      </c>
      <c r="AP116" s="475" t="str">
        <f t="shared" si="68"/>
        <v/>
      </c>
      <c r="AQ116" s="475" t="str">
        <f t="shared" si="69"/>
        <v/>
      </c>
      <c r="AR116" s="475" t="str">
        <f t="shared" si="70"/>
        <v/>
      </c>
      <c r="AS116" s="475" t="str">
        <f t="shared" si="71"/>
        <v/>
      </c>
      <c r="AT116" s="475" t="str">
        <f t="shared" si="72"/>
        <v/>
      </c>
      <c r="AU116" s="475" t="str">
        <f t="shared" si="73"/>
        <v/>
      </c>
      <c r="AV116" s="475" t="str">
        <f t="shared" si="54"/>
        <v/>
      </c>
      <c r="AW116" s="473">
        <f t="shared" si="55"/>
        <v>0</v>
      </c>
      <c r="AX116" s="473" t="str">
        <f>IF(AND($Z116="b",OR($AA116="a",$AA116="b"),Inventory!$I123="",$AE116&lt;(65000/12000)),"x",IF(AND($Z116="b",OR($AA116="a",$AA116="b"),Inventory!$I123&lt;&gt;"",$AE116&lt;(65000/12000)),VLOOKUP(Inventory!$I123,$V$4:$W$5,2,FALSE),"x"))</f>
        <v>x</v>
      </c>
      <c r="AY116" s="476" t="str">
        <f t="shared" si="74"/>
        <v>aaa0</v>
      </c>
      <c r="AZ116" s="477" t="str">
        <f t="shared" si="75"/>
        <v>No</v>
      </c>
      <c r="BA116" s="759" t="str">
        <f t="shared" si="76"/>
        <v>No</v>
      </c>
      <c r="BB116" s="477">
        <f>IF($Z116="c",Inventory!$AB123,Inventory!$K123)</f>
        <v>0</v>
      </c>
      <c r="BC116" s="478">
        <f>IF(AND($Z116="b",Inventory!$N123="Btu/hr"),Inventory!$M123,IF(AND($Z116="b",Inventory!$N123="Tons"),Inventory!$M123*12000,IF(AND($Z116&lt;&gt;"b",Inventory!$AK123="Btu/hr"),Inventory!$AD123,IF(AND($Z116&lt;&gt;"b",Inventory!$AK123="Tons"),Inventory!$AD123*12000,0))))</f>
        <v>0</v>
      </c>
      <c r="BD116" s="478">
        <f t="shared" ref="BD116:BD179" si="95">IF(BC116=0,0,IF($BC116&lt;7000,7000,IF($BC116&gt;15000,15000,$BC116)))</f>
        <v>0</v>
      </c>
      <c r="BE116" s="479">
        <f t="shared" si="77"/>
        <v>0</v>
      </c>
      <c r="BF116" s="477" t="s">
        <v>50</v>
      </c>
      <c r="BG116" s="479">
        <f t="shared" si="56"/>
        <v>0</v>
      </c>
      <c r="BH116" s="477" t="s">
        <v>46</v>
      </c>
      <c r="BI116" s="760">
        <f>IF(AND($Z116="b",Inventory!$P123="Btu/hr"),Inventory!$O123,IF(AND($Z116="b",Inventory!$P123="Tons"),Inventory!$O123*12000,IF(AND($Z116&lt;&gt;"b",Inventory!$AM123="Btu/hr"),Inventory!$AL123,IF(AND($Z116&lt;&gt;"b",Inventory!$AM123="Tons"),Inventory!$AL123*12000,0))))</f>
        <v>0</v>
      </c>
      <c r="BJ116" s="760">
        <f t="shared" ref="BJ116:BJ179" si="96">IF(BI116=0,0,IF($BI116&lt;7000,7000,IF($BI116&gt;15000,15000,$BI116)))</f>
        <v>0</v>
      </c>
      <c r="BK116" s="598">
        <f t="shared" si="78"/>
        <v>0</v>
      </c>
      <c r="BL116" s="759" t="s">
        <v>567</v>
      </c>
      <c r="BM116" s="477" t="str">
        <f t="shared" si="57"/>
        <v>No</v>
      </c>
      <c r="BN116" s="477" t="str">
        <f>IF(OR(Inventory!$H123="",$BM116="No"),"-",Inventory!$H123)</f>
        <v>-</v>
      </c>
      <c r="BO116" s="477" t="str">
        <f>IFERROR(VLOOKUP(BN116,'Early Retirement'!$B$6:$C$33,2,FALSE),"-")</f>
        <v>-</v>
      </c>
      <c r="BP116" s="477" t="str">
        <f>IF(Inventory!$J123="Centrifugal","Yes","No")</f>
        <v>No</v>
      </c>
      <c r="BQ116" s="477">
        <f t="shared" si="79"/>
        <v>0</v>
      </c>
      <c r="BR116" s="477" t="str">
        <f t="shared" si="80"/>
        <v>-</v>
      </c>
      <c r="BS116" s="479">
        <f>IFERROR(INDEX('Early Retirement'!$C$4:$AC$33,$BO116,$BR116),0)</f>
        <v>0</v>
      </c>
      <c r="BT116" s="477">
        <f>IFERROR(HLOOKUP($BR116,'Early Retirement'!$D$4:$AC$5,2,FALSE),0)</f>
        <v>0</v>
      </c>
      <c r="BU116" s="761">
        <f>IFERROR(INDEX('Early Retirement'!$AE$4:$BE$33,$BO116,$BR116),0)</f>
        <v>0</v>
      </c>
      <c r="BV116" s="759">
        <f>IFERROR(HLOOKUP($BR116,'Early Retirement'!$AF$4:$BE$5,2,FALSE),0)</f>
        <v>0</v>
      </c>
      <c r="BW116" s="479">
        <f t="shared" si="87"/>
        <v>0</v>
      </c>
      <c r="BX116" s="761">
        <f t="shared" si="81"/>
        <v>0</v>
      </c>
      <c r="BY116" s="477" t="s">
        <v>46</v>
      </c>
      <c r="BZ116" s="598">
        <f>IFERROR(INDEX('Early Retirement'!$BG$4:$CG$33,$BO116,$BR116),0)</f>
        <v>0</v>
      </c>
      <c r="CA116" s="759">
        <f>IFERROR(HLOOKUP($BR116,'Early Retirement'!$BH$4:$CH$5,2,FALSE),0)</f>
        <v>0</v>
      </c>
      <c r="CB116" s="598">
        <f t="shared" si="82"/>
        <v>0</v>
      </c>
      <c r="CC116" s="759" t="s">
        <v>567</v>
      </c>
      <c r="CD116" s="477" t="str">
        <f t="shared" si="58"/>
        <v>Yes</v>
      </c>
      <c r="CE116" s="479">
        <f t="shared" si="59"/>
        <v>0</v>
      </c>
      <c r="CF116" s="761">
        <f t="shared" si="60"/>
        <v>0</v>
      </c>
      <c r="CG116" s="759" t="s">
        <v>46</v>
      </c>
      <c r="CH116" s="598">
        <f t="shared" si="83"/>
        <v>0</v>
      </c>
      <c r="CI116" s="759" t="s">
        <v>567</v>
      </c>
      <c r="CJ116" s="480">
        <f t="shared" si="84"/>
        <v>0</v>
      </c>
      <c r="CK116" s="583">
        <f t="shared" si="85"/>
        <v>0</v>
      </c>
      <c r="CL116" s="596" t="s">
        <v>46</v>
      </c>
      <c r="CM116" s="581">
        <f t="shared" si="86"/>
        <v>0</v>
      </c>
      <c r="CN116" s="762" t="s">
        <v>567</v>
      </c>
      <c r="CP116" s="90" t="s">
        <v>203</v>
      </c>
      <c r="CQ116" s="124">
        <v>9.5619999999999994</v>
      </c>
      <c r="CR116" s="307" t="s">
        <v>50</v>
      </c>
      <c r="CS116" s="645">
        <v>12.75</v>
      </c>
      <c r="CT116" s="551" t="s">
        <v>559</v>
      </c>
      <c r="CU116" s="645">
        <f t="shared" si="93"/>
        <v>1.2549675800041833</v>
      </c>
      <c r="CV116" s="645">
        <f t="shared" si="94"/>
        <v>0.94117647058823528</v>
      </c>
      <c r="CW116" s="633" t="s">
        <v>46</v>
      </c>
      <c r="CX116" s="606"/>
      <c r="CY116" s="589"/>
      <c r="CZ116" s="606"/>
      <c r="DA116" s="609"/>
      <c r="DB116" s="562"/>
      <c r="DC116" s="562"/>
      <c r="DD116" s="562"/>
      <c r="DE116" s="562"/>
      <c r="DF116" s="562"/>
      <c r="DG116" s="562"/>
      <c r="DH116" s="562"/>
      <c r="DI116" s="562"/>
      <c r="DJ116" s="562"/>
      <c r="DK116" s="562"/>
      <c r="DL116" s="562"/>
      <c r="DM116" s="562"/>
      <c r="DN116" s="562"/>
      <c r="DO116" s="562"/>
      <c r="DP116" s="562"/>
      <c r="DQ116" s="562"/>
      <c r="DR116" s="562"/>
      <c r="DS116" s="562"/>
      <c r="DT116" s="562"/>
      <c r="DU116" s="562"/>
      <c r="DV116" s="562"/>
      <c r="DW116" s="562"/>
      <c r="DX116" s="562"/>
      <c r="DY116" s="562"/>
      <c r="DZ116" s="562"/>
      <c r="EA116" s="562"/>
      <c r="EB116" s="562"/>
      <c r="EC116" s="562"/>
      <c r="ED116" s="562"/>
      <c r="EE116" s="562"/>
      <c r="EF116" s="562"/>
      <c r="EG116" s="562"/>
      <c r="EH116" s="562"/>
      <c r="EI116" s="562"/>
      <c r="EJ116" s="562"/>
      <c r="EK116" s="562"/>
      <c r="EL116" s="562"/>
    </row>
    <row r="117" spans="2:142" s="78" customFormat="1" ht="15" customHeight="1" x14ac:dyDescent="0.25">
      <c r="B117" s="77"/>
      <c r="E117" s="77"/>
      <c r="H117" s="77"/>
      <c r="Y117" s="90">
        <v>115</v>
      </c>
      <c r="Z117" s="559" t="str">
        <f>IF(Inventory!$C124="","",VLOOKUP(Inventory!$C124,$B$3:$C$5,2,FALSE))</f>
        <v/>
      </c>
      <c r="AA117" s="559" t="str">
        <f>IF($Z117="","",IF(AND($Z117="b",Inventory!$G124=""),"",IF(AND($Z117="b",Inventory!$G124&lt;&gt;""),VLOOKUP(Inventory!$G124,$E$3:$F$10,2,FALSE),IF(AND($Z117="a",Inventory!$Z124=""),"",IF(AND($Z117="a",Inventory!$Z124&lt;&gt;""),VLOOKUP(Inventory!$Z124,$E$3:$F$10,2,FALSE),IF(AND($Z117="c",Inventory!$Z124=""),"",IF(AND($Z117="c",Inventory!$Z124&lt;&gt;""),VLOOKUP(Inventory!$Z124,$E$3:$F$10,2,FALSE),"")))))))</f>
        <v/>
      </c>
      <c r="AB117" s="559" t="str">
        <f>IF($Z117="","a",IF(AND($Z117="b",Inventory!$J124=""),"a",IF(AND($Z117="b",Inventory!$J124&lt;&gt;""),VLOOKUP(Inventory!$J124,$H$4:$I$6,2,FALSE),IF(AND($Z117="a",Inventory!$AA124=""),"a",IF(AND($Z117="a",Inventory!$AA124&lt;&gt;""),VLOOKUP(Inventory!$AA124,$H$4:$I$6,2,FALSE),IF(AND($Z117="c",Inventory!$AA124=""),"a",IF(AND($Z117="c",Inventory!$AA124&lt;&gt;""),VLOOKUP(Inventory!$AA124,$H$4:$I$6,2,FALSE),"a")))))))</f>
        <v>a</v>
      </c>
      <c r="AC117" s="559" t="str">
        <f t="shared" si="61"/>
        <v>a</v>
      </c>
      <c r="AD117" s="473" t="str">
        <f>IF($Z117="","a",IF(AND($Z117="b",Inventory!$L124=""),"a",IF(AND($Z117="b",Inventory!$L124&lt;&gt;""),VLOOKUP(Inventory!$L124,$N$4:$O$5,2,FALSE),IF(AND($Z117="a",Inventory!$AC124=""),"a",IF(AND($Z117="a",Inventory!$AC124&lt;&gt;""),VLOOKUP(Inventory!$AC124,$N$4:$O$5,2,FALSE),IF(AND($Z117="c",Inventory!$AC124=""),"a",IF(AND($Z117="c",Inventory!$AC124&lt;&gt;""),VLOOKUP(Inventory!$AC124,$N$4:$O$5,2,FALSE),"a")))))))</f>
        <v>a</v>
      </c>
      <c r="AE117" s="474">
        <f>IF(OR(Inventory!C124="New Construction",Inventory!C124="Replace-on-Burnout"),Inventory!AF124,IF(Inventory!C124="Early Retirement",MIN(Inventory!AE124,Inventory!AF124),0))</f>
        <v>0</v>
      </c>
      <c r="AF117" s="475" t="str">
        <f t="shared" si="62"/>
        <v/>
      </c>
      <c r="AG117" s="475" t="str">
        <f t="shared" si="50"/>
        <v/>
      </c>
      <c r="AH117" s="475" t="str">
        <f t="shared" si="51"/>
        <v/>
      </c>
      <c r="AI117" s="475" t="str">
        <f t="shared" si="52"/>
        <v/>
      </c>
      <c r="AJ117" s="475" t="str">
        <f t="shared" si="53"/>
        <v/>
      </c>
      <c r="AK117" s="475" t="str">
        <f t="shared" si="63"/>
        <v/>
      </c>
      <c r="AL117" s="475" t="str">
        <f t="shared" si="64"/>
        <v/>
      </c>
      <c r="AM117" s="475" t="str">
        <f t="shared" si="65"/>
        <v/>
      </c>
      <c r="AN117" s="475" t="str">
        <f t="shared" si="66"/>
        <v/>
      </c>
      <c r="AO117" s="475" t="str">
        <f t="shared" si="67"/>
        <v/>
      </c>
      <c r="AP117" s="475" t="str">
        <f t="shared" si="68"/>
        <v/>
      </c>
      <c r="AQ117" s="475" t="str">
        <f t="shared" si="69"/>
        <v/>
      </c>
      <c r="AR117" s="475" t="str">
        <f t="shared" si="70"/>
        <v/>
      </c>
      <c r="AS117" s="475" t="str">
        <f t="shared" si="71"/>
        <v/>
      </c>
      <c r="AT117" s="475" t="str">
        <f t="shared" si="72"/>
        <v/>
      </c>
      <c r="AU117" s="475" t="str">
        <f t="shared" si="73"/>
        <v/>
      </c>
      <c r="AV117" s="475" t="str">
        <f t="shared" si="54"/>
        <v/>
      </c>
      <c r="AW117" s="473">
        <f t="shared" si="55"/>
        <v>0</v>
      </c>
      <c r="AX117" s="473" t="str">
        <f>IF(AND($Z117="b",OR($AA117="a",$AA117="b"),Inventory!$I124="",$AE117&lt;(65000/12000)),"x",IF(AND($Z117="b",OR($AA117="a",$AA117="b"),Inventory!$I124&lt;&gt;"",$AE117&lt;(65000/12000)),VLOOKUP(Inventory!$I124,$V$4:$W$5,2,FALSE),"x"))</f>
        <v>x</v>
      </c>
      <c r="AY117" s="476" t="str">
        <f t="shared" si="74"/>
        <v>aaa0</v>
      </c>
      <c r="AZ117" s="477" t="str">
        <f t="shared" si="75"/>
        <v>No</v>
      </c>
      <c r="BA117" s="759" t="str">
        <f t="shared" si="76"/>
        <v>No</v>
      </c>
      <c r="BB117" s="477">
        <f>IF($Z117="c",Inventory!$AB124,Inventory!$K124)</f>
        <v>0</v>
      </c>
      <c r="BC117" s="478">
        <f>IF(AND($Z117="b",Inventory!$N124="Btu/hr"),Inventory!$M124,IF(AND($Z117="b",Inventory!$N124="Tons"),Inventory!$M124*12000,IF(AND($Z117&lt;&gt;"b",Inventory!$AK124="Btu/hr"),Inventory!$AD124,IF(AND($Z117&lt;&gt;"b",Inventory!$AK124="Tons"),Inventory!$AD124*12000,0))))</f>
        <v>0</v>
      </c>
      <c r="BD117" s="478">
        <f t="shared" si="95"/>
        <v>0</v>
      </c>
      <c r="BE117" s="479">
        <f t="shared" si="77"/>
        <v>0</v>
      </c>
      <c r="BF117" s="477" t="s">
        <v>50</v>
      </c>
      <c r="BG117" s="479">
        <f t="shared" si="56"/>
        <v>0</v>
      </c>
      <c r="BH117" s="477" t="s">
        <v>46</v>
      </c>
      <c r="BI117" s="760">
        <f>IF(AND($Z117="b",Inventory!$P124="Btu/hr"),Inventory!$O124,IF(AND($Z117="b",Inventory!$P124="Tons"),Inventory!$O124*12000,IF(AND($Z117&lt;&gt;"b",Inventory!$AM124="Btu/hr"),Inventory!$AL124,IF(AND($Z117&lt;&gt;"b",Inventory!$AM124="Tons"),Inventory!$AL124*12000,0))))</f>
        <v>0</v>
      </c>
      <c r="BJ117" s="760">
        <f t="shared" si="96"/>
        <v>0</v>
      </c>
      <c r="BK117" s="598">
        <f t="shared" si="78"/>
        <v>0</v>
      </c>
      <c r="BL117" s="759" t="s">
        <v>567</v>
      </c>
      <c r="BM117" s="477" t="str">
        <f t="shared" si="57"/>
        <v>No</v>
      </c>
      <c r="BN117" s="477" t="str">
        <f>IF(OR(Inventory!$H124="",$BM117="No"),"-",Inventory!$H124)</f>
        <v>-</v>
      </c>
      <c r="BO117" s="477" t="str">
        <f>IFERROR(VLOOKUP(BN117,'Early Retirement'!$B$6:$C$33,2,FALSE),"-")</f>
        <v>-</v>
      </c>
      <c r="BP117" s="477" t="str">
        <f>IF(Inventory!$J124="Centrifugal","Yes","No")</f>
        <v>No</v>
      </c>
      <c r="BQ117" s="477">
        <f t="shared" si="79"/>
        <v>0</v>
      </c>
      <c r="BR117" s="477" t="str">
        <f t="shared" si="80"/>
        <v>-</v>
      </c>
      <c r="BS117" s="479">
        <f>IFERROR(INDEX('Early Retirement'!$C$4:$AC$33,$BO117,$BR117),0)</f>
        <v>0</v>
      </c>
      <c r="BT117" s="477">
        <f>IFERROR(HLOOKUP($BR117,'Early Retirement'!$D$4:$AC$5,2,FALSE),0)</f>
        <v>0</v>
      </c>
      <c r="BU117" s="761">
        <f>IFERROR(INDEX('Early Retirement'!$AE$4:$BE$33,$BO117,$BR117),0)</f>
        <v>0</v>
      </c>
      <c r="BV117" s="759">
        <f>IFERROR(HLOOKUP($BR117,'Early Retirement'!$AF$4:$BE$5,2,FALSE),0)</f>
        <v>0</v>
      </c>
      <c r="BW117" s="479">
        <f t="shared" si="87"/>
        <v>0</v>
      </c>
      <c r="BX117" s="761">
        <f t="shared" si="81"/>
        <v>0</v>
      </c>
      <c r="BY117" s="477" t="s">
        <v>46</v>
      </c>
      <c r="BZ117" s="598">
        <f>IFERROR(INDEX('Early Retirement'!$BG$4:$CG$33,$BO117,$BR117),0)</f>
        <v>0</v>
      </c>
      <c r="CA117" s="759">
        <f>IFERROR(HLOOKUP($BR117,'Early Retirement'!$BH$4:$CH$5,2,FALSE),0)</f>
        <v>0</v>
      </c>
      <c r="CB117" s="598">
        <f t="shared" si="82"/>
        <v>0</v>
      </c>
      <c r="CC117" s="759" t="s">
        <v>567</v>
      </c>
      <c r="CD117" s="477" t="str">
        <f t="shared" si="58"/>
        <v>Yes</v>
      </c>
      <c r="CE117" s="479">
        <f t="shared" si="59"/>
        <v>0</v>
      </c>
      <c r="CF117" s="761">
        <f t="shared" si="60"/>
        <v>0</v>
      </c>
      <c r="CG117" s="759" t="s">
        <v>46</v>
      </c>
      <c r="CH117" s="598">
        <f t="shared" si="83"/>
        <v>0</v>
      </c>
      <c r="CI117" s="759" t="s">
        <v>567</v>
      </c>
      <c r="CJ117" s="480">
        <f t="shared" si="84"/>
        <v>0</v>
      </c>
      <c r="CK117" s="583">
        <f t="shared" si="85"/>
        <v>0</v>
      </c>
      <c r="CL117" s="596" t="s">
        <v>46</v>
      </c>
      <c r="CM117" s="581">
        <f t="shared" si="86"/>
        <v>0</v>
      </c>
      <c r="CN117" s="762" t="s">
        <v>567</v>
      </c>
      <c r="CP117" s="90" t="s">
        <v>521</v>
      </c>
      <c r="CQ117" s="124">
        <v>9.5619999999999994</v>
      </c>
      <c r="CR117" s="307" t="s">
        <v>50</v>
      </c>
      <c r="CS117" s="645">
        <v>12.75</v>
      </c>
      <c r="CT117" s="551" t="s">
        <v>559</v>
      </c>
      <c r="CU117" s="645">
        <f t="shared" si="93"/>
        <v>1.2549675800041833</v>
      </c>
      <c r="CV117" s="645">
        <f t="shared" si="94"/>
        <v>0.94117647058823528</v>
      </c>
      <c r="CW117" s="633" t="s">
        <v>46</v>
      </c>
      <c r="CX117" s="606"/>
      <c r="CY117" s="589"/>
      <c r="CZ117" s="606"/>
      <c r="DA117" s="609"/>
      <c r="DB117" s="562"/>
      <c r="DC117" s="562"/>
      <c r="DD117" s="562"/>
      <c r="DE117" s="562"/>
      <c r="DF117" s="562"/>
      <c r="DG117" s="562"/>
      <c r="DH117" s="562"/>
      <c r="DI117" s="562"/>
      <c r="DJ117" s="562"/>
      <c r="DK117" s="562"/>
      <c r="DL117" s="562"/>
      <c r="DM117" s="562"/>
      <c r="DN117" s="562"/>
      <c r="DO117" s="562"/>
      <c r="DP117" s="562"/>
      <c r="DQ117" s="562"/>
      <c r="DR117" s="562"/>
      <c r="DS117" s="562"/>
      <c r="DT117" s="562"/>
      <c r="DU117" s="562"/>
      <c r="DV117" s="562"/>
      <c r="DW117" s="562"/>
      <c r="DX117" s="562"/>
      <c r="DY117" s="562"/>
      <c r="DZ117" s="562"/>
      <c r="EA117" s="562"/>
      <c r="EB117" s="562"/>
      <c r="EC117" s="562"/>
      <c r="ED117" s="562"/>
      <c r="EE117" s="562"/>
      <c r="EF117" s="562"/>
      <c r="EG117" s="562"/>
      <c r="EH117" s="562"/>
      <c r="EI117" s="562"/>
      <c r="EJ117" s="562"/>
      <c r="EK117" s="562"/>
      <c r="EL117" s="562"/>
    </row>
    <row r="118" spans="2:142" s="78" customFormat="1" ht="15" customHeight="1" x14ac:dyDescent="0.25">
      <c r="B118" s="77"/>
      <c r="E118" s="77"/>
      <c r="H118" s="77"/>
      <c r="Y118" s="90">
        <v>116</v>
      </c>
      <c r="Z118" s="559" t="str">
        <f>IF(Inventory!$C125="","",VLOOKUP(Inventory!$C125,$B$3:$C$5,2,FALSE))</f>
        <v/>
      </c>
      <c r="AA118" s="559" t="str">
        <f>IF($Z118="","",IF(AND($Z118="b",Inventory!$G125=""),"",IF(AND($Z118="b",Inventory!$G125&lt;&gt;""),VLOOKUP(Inventory!$G125,$E$3:$F$10,2,FALSE),IF(AND($Z118="a",Inventory!$Z125=""),"",IF(AND($Z118="a",Inventory!$Z125&lt;&gt;""),VLOOKUP(Inventory!$Z125,$E$3:$F$10,2,FALSE),IF(AND($Z118="c",Inventory!$Z125=""),"",IF(AND($Z118="c",Inventory!$Z125&lt;&gt;""),VLOOKUP(Inventory!$Z125,$E$3:$F$10,2,FALSE),"")))))))</f>
        <v/>
      </c>
      <c r="AB118" s="559" t="str">
        <f>IF($Z118="","a",IF(AND($Z118="b",Inventory!$J125=""),"a",IF(AND($Z118="b",Inventory!$J125&lt;&gt;""),VLOOKUP(Inventory!$J125,$H$4:$I$6,2,FALSE),IF(AND($Z118="a",Inventory!$AA125=""),"a",IF(AND($Z118="a",Inventory!$AA125&lt;&gt;""),VLOOKUP(Inventory!$AA125,$H$4:$I$6,2,FALSE),IF(AND($Z118="c",Inventory!$AA125=""),"a",IF(AND($Z118="c",Inventory!$AA125&lt;&gt;""),VLOOKUP(Inventory!$AA125,$H$4:$I$6,2,FALSE),"a")))))))</f>
        <v>a</v>
      </c>
      <c r="AC118" s="559" t="str">
        <f t="shared" si="61"/>
        <v>a</v>
      </c>
      <c r="AD118" s="473" t="str">
        <f>IF($Z118="","a",IF(AND($Z118="b",Inventory!$L125=""),"a",IF(AND($Z118="b",Inventory!$L125&lt;&gt;""),VLOOKUP(Inventory!$L125,$N$4:$O$5,2,FALSE),IF(AND($Z118="a",Inventory!$AC125=""),"a",IF(AND($Z118="a",Inventory!$AC125&lt;&gt;""),VLOOKUP(Inventory!$AC125,$N$4:$O$5,2,FALSE),IF(AND($Z118="c",Inventory!$AC125=""),"a",IF(AND($Z118="c",Inventory!$AC125&lt;&gt;""),VLOOKUP(Inventory!$AC125,$N$4:$O$5,2,FALSE),"a")))))))</f>
        <v>a</v>
      </c>
      <c r="AE118" s="474">
        <f>IF(OR(Inventory!C125="New Construction",Inventory!C125="Replace-on-Burnout"),Inventory!AF125,IF(Inventory!C125="Early Retirement",MIN(Inventory!AE125,Inventory!AF125),0))</f>
        <v>0</v>
      </c>
      <c r="AF118" s="475" t="str">
        <f t="shared" si="62"/>
        <v/>
      </c>
      <c r="AG118" s="475" t="str">
        <f t="shared" si="50"/>
        <v/>
      </c>
      <c r="AH118" s="475" t="str">
        <f t="shared" si="51"/>
        <v/>
      </c>
      <c r="AI118" s="475" t="str">
        <f t="shared" si="52"/>
        <v/>
      </c>
      <c r="AJ118" s="475" t="str">
        <f t="shared" si="53"/>
        <v/>
      </c>
      <c r="AK118" s="475" t="str">
        <f t="shared" si="63"/>
        <v/>
      </c>
      <c r="AL118" s="475" t="str">
        <f t="shared" si="64"/>
        <v/>
      </c>
      <c r="AM118" s="475" t="str">
        <f t="shared" si="65"/>
        <v/>
      </c>
      <c r="AN118" s="475" t="str">
        <f t="shared" si="66"/>
        <v/>
      </c>
      <c r="AO118" s="475" t="str">
        <f t="shared" si="67"/>
        <v/>
      </c>
      <c r="AP118" s="475" t="str">
        <f t="shared" si="68"/>
        <v/>
      </c>
      <c r="AQ118" s="475" t="str">
        <f t="shared" si="69"/>
        <v/>
      </c>
      <c r="AR118" s="475" t="str">
        <f t="shared" si="70"/>
        <v/>
      </c>
      <c r="AS118" s="475" t="str">
        <f t="shared" si="71"/>
        <v/>
      </c>
      <c r="AT118" s="475" t="str">
        <f t="shared" si="72"/>
        <v/>
      </c>
      <c r="AU118" s="475" t="str">
        <f t="shared" si="73"/>
        <v/>
      </c>
      <c r="AV118" s="475" t="str">
        <f t="shared" si="54"/>
        <v/>
      </c>
      <c r="AW118" s="473">
        <f t="shared" si="55"/>
        <v>0</v>
      </c>
      <c r="AX118" s="473" t="str">
        <f>IF(AND($Z118="b",OR($AA118="a",$AA118="b"),Inventory!$I125="",$AE118&lt;(65000/12000)),"x",IF(AND($Z118="b",OR($AA118="a",$AA118="b"),Inventory!$I125&lt;&gt;"",$AE118&lt;(65000/12000)),VLOOKUP(Inventory!$I125,$V$4:$W$5,2,FALSE),"x"))</f>
        <v>x</v>
      </c>
      <c r="AY118" s="476" t="str">
        <f t="shared" si="74"/>
        <v>aaa0</v>
      </c>
      <c r="AZ118" s="477" t="str">
        <f t="shared" si="75"/>
        <v>No</v>
      </c>
      <c r="BA118" s="759" t="str">
        <f t="shared" si="76"/>
        <v>No</v>
      </c>
      <c r="BB118" s="477">
        <f>IF($Z118="c",Inventory!$AB125,Inventory!$K125)</f>
        <v>0</v>
      </c>
      <c r="BC118" s="478">
        <f>IF(AND($Z118="b",Inventory!$N125="Btu/hr"),Inventory!$M125,IF(AND($Z118="b",Inventory!$N125="Tons"),Inventory!$M125*12000,IF(AND($Z118&lt;&gt;"b",Inventory!$AK125="Btu/hr"),Inventory!$AD125,IF(AND($Z118&lt;&gt;"b",Inventory!$AK125="Tons"),Inventory!$AD125*12000,0))))</f>
        <v>0</v>
      </c>
      <c r="BD118" s="478">
        <f t="shared" si="95"/>
        <v>0</v>
      </c>
      <c r="BE118" s="479">
        <f t="shared" si="77"/>
        <v>0</v>
      </c>
      <c r="BF118" s="477" t="s">
        <v>50</v>
      </c>
      <c r="BG118" s="479">
        <f t="shared" si="56"/>
        <v>0</v>
      </c>
      <c r="BH118" s="477" t="s">
        <v>46</v>
      </c>
      <c r="BI118" s="760">
        <f>IF(AND($Z118="b",Inventory!$P125="Btu/hr"),Inventory!$O125,IF(AND($Z118="b",Inventory!$P125="Tons"),Inventory!$O125*12000,IF(AND($Z118&lt;&gt;"b",Inventory!$AM125="Btu/hr"),Inventory!$AL125,IF(AND($Z118&lt;&gt;"b",Inventory!$AM125="Tons"),Inventory!$AL125*12000,0))))</f>
        <v>0</v>
      </c>
      <c r="BJ118" s="760">
        <f t="shared" si="96"/>
        <v>0</v>
      </c>
      <c r="BK118" s="598">
        <f t="shared" si="78"/>
        <v>0</v>
      </c>
      <c r="BL118" s="759" t="s">
        <v>567</v>
      </c>
      <c r="BM118" s="477" t="str">
        <f t="shared" si="57"/>
        <v>No</v>
      </c>
      <c r="BN118" s="477" t="str">
        <f>IF(OR(Inventory!$H125="",$BM118="No"),"-",Inventory!$H125)</f>
        <v>-</v>
      </c>
      <c r="BO118" s="477" t="str">
        <f>IFERROR(VLOOKUP(BN118,'Early Retirement'!$B$6:$C$33,2,FALSE),"-")</f>
        <v>-</v>
      </c>
      <c r="BP118" s="477" t="str">
        <f>IF(Inventory!$J125="Centrifugal","Yes","No")</f>
        <v>No</v>
      </c>
      <c r="BQ118" s="477">
        <f t="shared" si="79"/>
        <v>0</v>
      </c>
      <c r="BR118" s="477" t="str">
        <f t="shared" si="80"/>
        <v>-</v>
      </c>
      <c r="BS118" s="479">
        <f>IFERROR(INDEX('Early Retirement'!$C$4:$AC$33,$BO118,$BR118),0)</f>
        <v>0</v>
      </c>
      <c r="BT118" s="477">
        <f>IFERROR(HLOOKUP($BR118,'Early Retirement'!$D$4:$AC$5,2,FALSE),0)</f>
        <v>0</v>
      </c>
      <c r="BU118" s="761">
        <f>IFERROR(INDEX('Early Retirement'!$AE$4:$BE$33,$BO118,$BR118),0)</f>
        <v>0</v>
      </c>
      <c r="BV118" s="759">
        <f>IFERROR(HLOOKUP($BR118,'Early Retirement'!$AF$4:$BE$5,2,FALSE),0)</f>
        <v>0</v>
      </c>
      <c r="BW118" s="479">
        <f t="shared" si="87"/>
        <v>0</v>
      </c>
      <c r="BX118" s="761">
        <f t="shared" si="81"/>
        <v>0</v>
      </c>
      <c r="BY118" s="477" t="s">
        <v>46</v>
      </c>
      <c r="BZ118" s="598">
        <f>IFERROR(INDEX('Early Retirement'!$BG$4:$CG$33,$BO118,$BR118),0)</f>
        <v>0</v>
      </c>
      <c r="CA118" s="759">
        <f>IFERROR(HLOOKUP($BR118,'Early Retirement'!$BH$4:$CH$5,2,FALSE),0)</f>
        <v>0</v>
      </c>
      <c r="CB118" s="598">
        <f t="shared" si="82"/>
        <v>0</v>
      </c>
      <c r="CC118" s="759" t="s">
        <v>567</v>
      </c>
      <c r="CD118" s="477" t="str">
        <f t="shared" si="58"/>
        <v>Yes</v>
      </c>
      <c r="CE118" s="479">
        <f t="shared" si="59"/>
        <v>0</v>
      </c>
      <c r="CF118" s="761">
        <f t="shared" si="60"/>
        <v>0</v>
      </c>
      <c r="CG118" s="759" t="s">
        <v>46</v>
      </c>
      <c r="CH118" s="598">
        <f t="shared" si="83"/>
        <v>0</v>
      </c>
      <c r="CI118" s="759" t="s">
        <v>567</v>
      </c>
      <c r="CJ118" s="480">
        <f t="shared" si="84"/>
        <v>0</v>
      </c>
      <c r="CK118" s="583">
        <f t="shared" si="85"/>
        <v>0</v>
      </c>
      <c r="CL118" s="596" t="s">
        <v>46</v>
      </c>
      <c r="CM118" s="581">
        <f t="shared" si="86"/>
        <v>0</v>
      </c>
      <c r="CN118" s="762" t="s">
        <v>567</v>
      </c>
      <c r="CP118" s="90" t="s">
        <v>522</v>
      </c>
      <c r="CQ118" s="124">
        <v>9.5619999999999994</v>
      </c>
      <c r="CR118" s="307" t="s">
        <v>50</v>
      </c>
      <c r="CS118" s="645">
        <v>12.75</v>
      </c>
      <c r="CT118" s="551" t="s">
        <v>559</v>
      </c>
      <c r="CU118" s="645">
        <f t="shared" si="93"/>
        <v>1.2549675800041833</v>
      </c>
      <c r="CV118" s="645">
        <f t="shared" si="94"/>
        <v>0.94117647058823528</v>
      </c>
      <c r="CW118" s="633" t="s">
        <v>46</v>
      </c>
      <c r="CX118" s="606"/>
      <c r="CY118" s="589"/>
      <c r="CZ118" s="606"/>
      <c r="DA118" s="609"/>
      <c r="DB118" s="562"/>
      <c r="DC118" s="562"/>
      <c r="DD118" s="562"/>
      <c r="DE118" s="562"/>
      <c r="DF118" s="562"/>
      <c r="DG118" s="562"/>
      <c r="DH118" s="562"/>
      <c r="DI118" s="562"/>
      <c r="DJ118" s="562"/>
      <c r="DK118" s="562"/>
      <c r="DL118" s="562"/>
      <c r="DM118" s="562"/>
      <c r="DN118" s="562"/>
      <c r="DO118" s="562"/>
      <c r="DP118" s="562"/>
      <c r="DQ118" s="562"/>
      <c r="DR118" s="562"/>
      <c r="DS118" s="562"/>
      <c r="DT118" s="562"/>
      <c r="DU118" s="562"/>
      <c r="DV118" s="562"/>
      <c r="DW118" s="562"/>
      <c r="DX118" s="562"/>
      <c r="DY118" s="562"/>
      <c r="DZ118" s="562"/>
      <c r="EA118" s="562"/>
      <c r="EB118" s="562"/>
      <c r="EC118" s="562"/>
      <c r="ED118" s="562"/>
      <c r="EE118" s="562"/>
      <c r="EF118" s="562"/>
      <c r="EG118" s="562"/>
      <c r="EH118" s="562"/>
      <c r="EI118" s="562"/>
      <c r="EJ118" s="562"/>
      <c r="EK118" s="562"/>
      <c r="EL118" s="562"/>
    </row>
    <row r="119" spans="2:142" s="78" customFormat="1" ht="15" customHeight="1" x14ac:dyDescent="0.25">
      <c r="B119" s="77"/>
      <c r="E119" s="77"/>
      <c r="H119" s="77"/>
      <c r="Y119" s="90">
        <v>117</v>
      </c>
      <c r="Z119" s="559" t="str">
        <f>IF(Inventory!$C126="","",VLOOKUP(Inventory!$C126,$B$3:$C$5,2,FALSE))</f>
        <v/>
      </c>
      <c r="AA119" s="559" t="str">
        <f>IF($Z119="","",IF(AND($Z119="b",Inventory!$G126=""),"",IF(AND($Z119="b",Inventory!$G126&lt;&gt;""),VLOOKUP(Inventory!$G126,$E$3:$F$10,2,FALSE),IF(AND($Z119="a",Inventory!$Z126=""),"",IF(AND($Z119="a",Inventory!$Z126&lt;&gt;""),VLOOKUP(Inventory!$Z126,$E$3:$F$10,2,FALSE),IF(AND($Z119="c",Inventory!$Z126=""),"",IF(AND($Z119="c",Inventory!$Z126&lt;&gt;""),VLOOKUP(Inventory!$Z126,$E$3:$F$10,2,FALSE),"")))))))</f>
        <v/>
      </c>
      <c r="AB119" s="559" t="str">
        <f>IF($Z119="","a",IF(AND($Z119="b",Inventory!$J126=""),"a",IF(AND($Z119="b",Inventory!$J126&lt;&gt;""),VLOOKUP(Inventory!$J126,$H$4:$I$6,2,FALSE),IF(AND($Z119="a",Inventory!$AA126=""),"a",IF(AND($Z119="a",Inventory!$AA126&lt;&gt;""),VLOOKUP(Inventory!$AA126,$H$4:$I$6,2,FALSE),IF(AND($Z119="c",Inventory!$AA126=""),"a",IF(AND($Z119="c",Inventory!$AA126&lt;&gt;""),VLOOKUP(Inventory!$AA126,$H$4:$I$6,2,FALSE),"a")))))))</f>
        <v>a</v>
      </c>
      <c r="AC119" s="559" t="str">
        <f t="shared" si="61"/>
        <v>a</v>
      </c>
      <c r="AD119" s="473" t="str">
        <f>IF($Z119="","a",IF(AND($Z119="b",Inventory!$L126=""),"a",IF(AND($Z119="b",Inventory!$L126&lt;&gt;""),VLOOKUP(Inventory!$L126,$N$4:$O$5,2,FALSE),IF(AND($Z119="a",Inventory!$AC126=""),"a",IF(AND($Z119="a",Inventory!$AC126&lt;&gt;""),VLOOKUP(Inventory!$AC126,$N$4:$O$5,2,FALSE),IF(AND($Z119="c",Inventory!$AC126=""),"a",IF(AND($Z119="c",Inventory!$AC126&lt;&gt;""),VLOOKUP(Inventory!$AC126,$N$4:$O$5,2,FALSE),"a")))))))</f>
        <v>a</v>
      </c>
      <c r="AE119" s="474">
        <f>IF(OR(Inventory!C126="New Construction",Inventory!C126="Replace-on-Burnout"),Inventory!AF126,IF(Inventory!C126="Early Retirement",MIN(Inventory!AE126,Inventory!AF126),0))</f>
        <v>0</v>
      </c>
      <c r="AF119" s="475" t="str">
        <f t="shared" si="62"/>
        <v/>
      </c>
      <c r="AG119" s="475" t="str">
        <f t="shared" si="50"/>
        <v/>
      </c>
      <c r="AH119" s="475" t="str">
        <f t="shared" si="51"/>
        <v/>
      </c>
      <c r="AI119" s="475" t="str">
        <f t="shared" si="52"/>
        <v/>
      </c>
      <c r="AJ119" s="475" t="str">
        <f t="shared" si="53"/>
        <v/>
      </c>
      <c r="AK119" s="475" t="str">
        <f t="shared" si="63"/>
        <v/>
      </c>
      <c r="AL119" s="475" t="str">
        <f t="shared" si="64"/>
        <v/>
      </c>
      <c r="AM119" s="475" t="str">
        <f t="shared" si="65"/>
        <v/>
      </c>
      <c r="AN119" s="475" t="str">
        <f t="shared" si="66"/>
        <v/>
      </c>
      <c r="AO119" s="475" t="str">
        <f t="shared" si="67"/>
        <v/>
      </c>
      <c r="AP119" s="475" t="str">
        <f t="shared" si="68"/>
        <v/>
      </c>
      <c r="AQ119" s="475" t="str">
        <f t="shared" si="69"/>
        <v/>
      </c>
      <c r="AR119" s="475" t="str">
        <f t="shared" si="70"/>
        <v/>
      </c>
      <c r="AS119" s="475" t="str">
        <f t="shared" si="71"/>
        <v/>
      </c>
      <c r="AT119" s="475" t="str">
        <f t="shared" si="72"/>
        <v/>
      </c>
      <c r="AU119" s="475" t="str">
        <f t="shared" si="73"/>
        <v/>
      </c>
      <c r="AV119" s="475" t="str">
        <f t="shared" si="54"/>
        <v/>
      </c>
      <c r="AW119" s="473">
        <f t="shared" si="55"/>
        <v>0</v>
      </c>
      <c r="AX119" s="473" t="str">
        <f>IF(AND($Z119="b",OR($AA119="a",$AA119="b"),Inventory!$I126="",$AE119&lt;(65000/12000)),"x",IF(AND($Z119="b",OR($AA119="a",$AA119="b"),Inventory!$I126&lt;&gt;"",$AE119&lt;(65000/12000)),VLOOKUP(Inventory!$I126,$V$4:$W$5,2,FALSE),"x"))</f>
        <v>x</v>
      </c>
      <c r="AY119" s="476" t="str">
        <f t="shared" si="74"/>
        <v>aaa0</v>
      </c>
      <c r="AZ119" s="477" t="str">
        <f t="shared" si="75"/>
        <v>No</v>
      </c>
      <c r="BA119" s="759" t="str">
        <f t="shared" si="76"/>
        <v>No</v>
      </c>
      <c r="BB119" s="477">
        <f>IF($Z119="c",Inventory!$AB126,Inventory!$K126)</f>
        <v>0</v>
      </c>
      <c r="BC119" s="478">
        <f>IF(AND($Z119="b",Inventory!$N126="Btu/hr"),Inventory!$M126,IF(AND($Z119="b",Inventory!$N126="Tons"),Inventory!$M126*12000,IF(AND($Z119&lt;&gt;"b",Inventory!$AK126="Btu/hr"),Inventory!$AD126,IF(AND($Z119&lt;&gt;"b",Inventory!$AK126="Tons"),Inventory!$AD126*12000,0))))</f>
        <v>0</v>
      </c>
      <c r="BD119" s="478">
        <f t="shared" si="95"/>
        <v>0</v>
      </c>
      <c r="BE119" s="479">
        <f t="shared" si="77"/>
        <v>0</v>
      </c>
      <c r="BF119" s="477" t="s">
        <v>50</v>
      </c>
      <c r="BG119" s="479">
        <f t="shared" si="56"/>
        <v>0</v>
      </c>
      <c r="BH119" s="477" t="s">
        <v>46</v>
      </c>
      <c r="BI119" s="760">
        <f>IF(AND($Z119="b",Inventory!$P126="Btu/hr"),Inventory!$O126,IF(AND($Z119="b",Inventory!$P126="Tons"),Inventory!$O126*12000,IF(AND($Z119&lt;&gt;"b",Inventory!$AM126="Btu/hr"),Inventory!$AL126,IF(AND($Z119&lt;&gt;"b",Inventory!$AM126="Tons"),Inventory!$AL126*12000,0))))</f>
        <v>0</v>
      </c>
      <c r="BJ119" s="760">
        <f t="shared" si="96"/>
        <v>0</v>
      </c>
      <c r="BK119" s="598">
        <f t="shared" si="78"/>
        <v>0</v>
      </c>
      <c r="BL119" s="759" t="s">
        <v>567</v>
      </c>
      <c r="BM119" s="477" t="str">
        <f t="shared" si="57"/>
        <v>No</v>
      </c>
      <c r="BN119" s="477" t="str">
        <f>IF(OR(Inventory!$H126="",$BM119="No"),"-",Inventory!$H126)</f>
        <v>-</v>
      </c>
      <c r="BO119" s="477" t="str">
        <f>IFERROR(VLOOKUP(BN119,'Early Retirement'!$B$6:$C$33,2,FALSE),"-")</f>
        <v>-</v>
      </c>
      <c r="BP119" s="477" t="str">
        <f>IF(Inventory!$J126="Centrifugal","Yes","No")</f>
        <v>No</v>
      </c>
      <c r="BQ119" s="477">
        <f t="shared" si="79"/>
        <v>0</v>
      </c>
      <c r="BR119" s="477" t="str">
        <f t="shared" si="80"/>
        <v>-</v>
      </c>
      <c r="BS119" s="479">
        <f>IFERROR(INDEX('Early Retirement'!$C$4:$AC$33,$BO119,$BR119),0)</f>
        <v>0</v>
      </c>
      <c r="BT119" s="477">
        <f>IFERROR(HLOOKUP($BR119,'Early Retirement'!$D$4:$AC$5,2,FALSE),0)</f>
        <v>0</v>
      </c>
      <c r="BU119" s="761">
        <f>IFERROR(INDEX('Early Retirement'!$AE$4:$BE$33,$BO119,$BR119),0)</f>
        <v>0</v>
      </c>
      <c r="BV119" s="759">
        <f>IFERROR(HLOOKUP($BR119,'Early Retirement'!$AF$4:$BE$5,2,FALSE),0)</f>
        <v>0</v>
      </c>
      <c r="BW119" s="479">
        <f t="shared" si="87"/>
        <v>0</v>
      </c>
      <c r="BX119" s="761">
        <f t="shared" si="81"/>
        <v>0</v>
      </c>
      <c r="BY119" s="477" t="s">
        <v>46</v>
      </c>
      <c r="BZ119" s="598">
        <f>IFERROR(INDEX('Early Retirement'!$BG$4:$CG$33,$BO119,$BR119),0)</f>
        <v>0</v>
      </c>
      <c r="CA119" s="759">
        <f>IFERROR(HLOOKUP($BR119,'Early Retirement'!$BH$4:$CH$5,2,FALSE),0)</f>
        <v>0</v>
      </c>
      <c r="CB119" s="598">
        <f t="shared" si="82"/>
        <v>0</v>
      </c>
      <c r="CC119" s="759" t="s">
        <v>567</v>
      </c>
      <c r="CD119" s="477" t="str">
        <f t="shared" si="58"/>
        <v>Yes</v>
      </c>
      <c r="CE119" s="479">
        <f t="shared" si="59"/>
        <v>0</v>
      </c>
      <c r="CF119" s="761">
        <f t="shared" si="60"/>
        <v>0</v>
      </c>
      <c r="CG119" s="759" t="s">
        <v>46</v>
      </c>
      <c r="CH119" s="598">
        <f t="shared" si="83"/>
        <v>0</v>
      </c>
      <c r="CI119" s="759" t="s">
        <v>567</v>
      </c>
      <c r="CJ119" s="480">
        <f t="shared" si="84"/>
        <v>0</v>
      </c>
      <c r="CK119" s="583">
        <f t="shared" si="85"/>
        <v>0</v>
      </c>
      <c r="CL119" s="596" t="s">
        <v>46</v>
      </c>
      <c r="CM119" s="581">
        <f t="shared" si="86"/>
        <v>0</v>
      </c>
      <c r="CN119" s="762" t="s">
        <v>567</v>
      </c>
      <c r="CP119" s="90" t="s">
        <v>217</v>
      </c>
      <c r="CQ119" s="124">
        <v>9.5619999999999994</v>
      </c>
      <c r="CR119" s="307" t="s">
        <v>50</v>
      </c>
      <c r="CS119" s="645">
        <v>12.75</v>
      </c>
      <c r="CT119" s="551" t="s">
        <v>559</v>
      </c>
      <c r="CU119" s="645">
        <f t="shared" si="93"/>
        <v>1.2549675800041833</v>
      </c>
      <c r="CV119" s="645">
        <f t="shared" si="94"/>
        <v>0.94117647058823528</v>
      </c>
      <c r="CW119" s="633" t="s">
        <v>46</v>
      </c>
      <c r="CX119" s="606"/>
      <c r="CY119" s="589"/>
      <c r="CZ119" s="606"/>
      <c r="DA119" s="609"/>
      <c r="DB119" s="562"/>
      <c r="DC119" s="562"/>
      <c r="DD119" s="562"/>
      <c r="DE119" s="562"/>
      <c r="DF119" s="562"/>
      <c r="DG119" s="562"/>
      <c r="DH119" s="562"/>
      <c r="DI119" s="562"/>
      <c r="DJ119" s="562"/>
      <c r="DK119" s="562"/>
      <c r="DL119" s="562"/>
      <c r="DM119" s="562"/>
      <c r="DN119" s="562"/>
      <c r="DO119" s="562"/>
      <c r="DP119" s="562"/>
      <c r="DQ119" s="562"/>
      <c r="DR119" s="562"/>
      <c r="DS119" s="562"/>
      <c r="DT119" s="562"/>
      <c r="DU119" s="562"/>
      <c r="DV119" s="562"/>
      <c r="DW119" s="562"/>
      <c r="DX119" s="562"/>
      <c r="DY119" s="562"/>
      <c r="DZ119" s="562"/>
      <c r="EA119" s="562"/>
      <c r="EB119" s="562"/>
      <c r="EC119" s="562"/>
      <c r="ED119" s="562"/>
      <c r="EE119" s="562"/>
      <c r="EF119" s="562"/>
      <c r="EG119" s="562"/>
      <c r="EH119" s="562"/>
      <c r="EI119" s="562"/>
      <c r="EJ119" s="562"/>
      <c r="EK119" s="562"/>
      <c r="EL119" s="562"/>
    </row>
    <row r="120" spans="2:142" s="78" customFormat="1" ht="15" customHeight="1" x14ac:dyDescent="0.25">
      <c r="B120" s="77"/>
      <c r="E120" s="77"/>
      <c r="H120" s="77"/>
      <c r="Y120" s="90">
        <v>118</v>
      </c>
      <c r="Z120" s="559" t="str">
        <f>IF(Inventory!$C127="","",VLOOKUP(Inventory!$C127,$B$3:$C$5,2,FALSE))</f>
        <v/>
      </c>
      <c r="AA120" s="559" t="str">
        <f>IF($Z120="","",IF(AND($Z120="b",Inventory!$G127=""),"",IF(AND($Z120="b",Inventory!$G127&lt;&gt;""),VLOOKUP(Inventory!$G127,$E$3:$F$10,2,FALSE),IF(AND($Z120="a",Inventory!$Z127=""),"",IF(AND($Z120="a",Inventory!$Z127&lt;&gt;""),VLOOKUP(Inventory!$Z127,$E$3:$F$10,2,FALSE),IF(AND($Z120="c",Inventory!$Z127=""),"",IF(AND($Z120="c",Inventory!$Z127&lt;&gt;""),VLOOKUP(Inventory!$Z127,$E$3:$F$10,2,FALSE),"")))))))</f>
        <v/>
      </c>
      <c r="AB120" s="559" t="str">
        <f>IF($Z120="","a",IF(AND($Z120="b",Inventory!$J127=""),"a",IF(AND($Z120="b",Inventory!$J127&lt;&gt;""),VLOOKUP(Inventory!$J127,$H$4:$I$6,2,FALSE),IF(AND($Z120="a",Inventory!$AA127=""),"a",IF(AND($Z120="a",Inventory!$AA127&lt;&gt;""),VLOOKUP(Inventory!$AA127,$H$4:$I$6,2,FALSE),IF(AND($Z120="c",Inventory!$AA127=""),"a",IF(AND($Z120="c",Inventory!$AA127&lt;&gt;""),VLOOKUP(Inventory!$AA127,$H$4:$I$6,2,FALSE),"a")))))))</f>
        <v>a</v>
      </c>
      <c r="AC120" s="559" t="str">
        <f t="shared" si="61"/>
        <v>a</v>
      </c>
      <c r="AD120" s="473" t="str">
        <f>IF($Z120="","a",IF(AND($Z120="b",Inventory!$L127=""),"a",IF(AND($Z120="b",Inventory!$L127&lt;&gt;""),VLOOKUP(Inventory!$L127,$N$4:$O$5,2,FALSE),IF(AND($Z120="a",Inventory!$AC127=""),"a",IF(AND($Z120="a",Inventory!$AC127&lt;&gt;""),VLOOKUP(Inventory!$AC127,$N$4:$O$5,2,FALSE),IF(AND($Z120="c",Inventory!$AC127=""),"a",IF(AND($Z120="c",Inventory!$AC127&lt;&gt;""),VLOOKUP(Inventory!$AC127,$N$4:$O$5,2,FALSE),"a")))))))</f>
        <v>a</v>
      </c>
      <c r="AE120" s="474">
        <f>IF(OR(Inventory!C127="New Construction",Inventory!C127="Replace-on-Burnout"),Inventory!AF127,IF(Inventory!C127="Early Retirement",MIN(Inventory!AE127,Inventory!AF127),0))</f>
        <v>0</v>
      </c>
      <c r="AF120" s="475" t="str">
        <f t="shared" si="62"/>
        <v/>
      </c>
      <c r="AG120" s="475" t="str">
        <f t="shared" si="50"/>
        <v/>
      </c>
      <c r="AH120" s="475" t="str">
        <f t="shared" si="51"/>
        <v/>
      </c>
      <c r="AI120" s="475" t="str">
        <f t="shared" si="52"/>
        <v/>
      </c>
      <c r="AJ120" s="475" t="str">
        <f t="shared" si="53"/>
        <v/>
      </c>
      <c r="AK120" s="475" t="str">
        <f t="shared" si="63"/>
        <v/>
      </c>
      <c r="AL120" s="475" t="str">
        <f t="shared" si="64"/>
        <v/>
      </c>
      <c r="AM120" s="475" t="str">
        <f t="shared" si="65"/>
        <v/>
      </c>
      <c r="AN120" s="475" t="str">
        <f t="shared" si="66"/>
        <v/>
      </c>
      <c r="AO120" s="475" t="str">
        <f t="shared" si="67"/>
        <v/>
      </c>
      <c r="AP120" s="475" t="str">
        <f t="shared" si="68"/>
        <v/>
      </c>
      <c r="AQ120" s="475" t="str">
        <f t="shared" si="69"/>
        <v/>
      </c>
      <c r="AR120" s="475" t="str">
        <f t="shared" si="70"/>
        <v/>
      </c>
      <c r="AS120" s="475" t="str">
        <f t="shared" si="71"/>
        <v/>
      </c>
      <c r="AT120" s="475" t="str">
        <f t="shared" si="72"/>
        <v/>
      </c>
      <c r="AU120" s="475" t="str">
        <f t="shared" si="73"/>
        <v/>
      </c>
      <c r="AV120" s="475" t="str">
        <f t="shared" si="54"/>
        <v/>
      </c>
      <c r="AW120" s="473">
        <f t="shared" si="55"/>
        <v>0</v>
      </c>
      <c r="AX120" s="473" t="str">
        <f>IF(AND($Z120="b",OR($AA120="a",$AA120="b"),Inventory!$I127="",$AE120&lt;(65000/12000)),"x",IF(AND($Z120="b",OR($AA120="a",$AA120="b"),Inventory!$I127&lt;&gt;"",$AE120&lt;(65000/12000)),VLOOKUP(Inventory!$I127,$V$4:$W$5,2,FALSE),"x"))</f>
        <v>x</v>
      </c>
      <c r="AY120" s="476" t="str">
        <f t="shared" si="74"/>
        <v>aaa0</v>
      </c>
      <c r="AZ120" s="477" t="str">
        <f t="shared" si="75"/>
        <v>No</v>
      </c>
      <c r="BA120" s="759" t="str">
        <f t="shared" si="76"/>
        <v>No</v>
      </c>
      <c r="BB120" s="477">
        <f>IF($Z120="c",Inventory!$AB127,Inventory!$K127)</f>
        <v>0</v>
      </c>
      <c r="BC120" s="478">
        <f>IF(AND($Z120="b",Inventory!$N127="Btu/hr"),Inventory!$M127,IF(AND($Z120="b",Inventory!$N127="Tons"),Inventory!$M127*12000,IF(AND($Z120&lt;&gt;"b",Inventory!$AK127="Btu/hr"),Inventory!$AD127,IF(AND($Z120&lt;&gt;"b",Inventory!$AK127="Tons"),Inventory!$AD127*12000,0))))</f>
        <v>0</v>
      </c>
      <c r="BD120" s="478">
        <f t="shared" si="95"/>
        <v>0</v>
      </c>
      <c r="BE120" s="479">
        <f t="shared" si="77"/>
        <v>0</v>
      </c>
      <c r="BF120" s="477" t="s">
        <v>50</v>
      </c>
      <c r="BG120" s="479">
        <f t="shared" si="56"/>
        <v>0</v>
      </c>
      <c r="BH120" s="477" t="s">
        <v>46</v>
      </c>
      <c r="BI120" s="760">
        <f>IF(AND($Z120="b",Inventory!$P127="Btu/hr"),Inventory!$O127,IF(AND($Z120="b",Inventory!$P127="Tons"),Inventory!$O127*12000,IF(AND($Z120&lt;&gt;"b",Inventory!$AM127="Btu/hr"),Inventory!$AL127,IF(AND($Z120&lt;&gt;"b",Inventory!$AM127="Tons"),Inventory!$AL127*12000,0))))</f>
        <v>0</v>
      </c>
      <c r="BJ120" s="760">
        <f t="shared" si="96"/>
        <v>0</v>
      </c>
      <c r="BK120" s="598">
        <f t="shared" si="78"/>
        <v>0</v>
      </c>
      <c r="BL120" s="759" t="s">
        <v>567</v>
      </c>
      <c r="BM120" s="477" t="str">
        <f t="shared" si="57"/>
        <v>No</v>
      </c>
      <c r="BN120" s="477" t="str">
        <f>IF(OR(Inventory!$H127="",$BM120="No"),"-",Inventory!$H127)</f>
        <v>-</v>
      </c>
      <c r="BO120" s="477" t="str">
        <f>IFERROR(VLOOKUP(BN120,'Early Retirement'!$B$6:$C$33,2,FALSE),"-")</f>
        <v>-</v>
      </c>
      <c r="BP120" s="477" t="str">
        <f>IF(Inventory!$J127="Centrifugal","Yes","No")</f>
        <v>No</v>
      </c>
      <c r="BQ120" s="477">
        <f t="shared" si="79"/>
        <v>0</v>
      </c>
      <c r="BR120" s="477" t="str">
        <f t="shared" si="80"/>
        <v>-</v>
      </c>
      <c r="BS120" s="479">
        <f>IFERROR(INDEX('Early Retirement'!$C$4:$AC$33,$BO120,$BR120),0)</f>
        <v>0</v>
      </c>
      <c r="BT120" s="477">
        <f>IFERROR(HLOOKUP($BR120,'Early Retirement'!$D$4:$AC$5,2,FALSE),0)</f>
        <v>0</v>
      </c>
      <c r="BU120" s="761">
        <f>IFERROR(INDEX('Early Retirement'!$AE$4:$BE$33,$BO120,$BR120),0)</f>
        <v>0</v>
      </c>
      <c r="BV120" s="759">
        <f>IFERROR(HLOOKUP($BR120,'Early Retirement'!$AF$4:$BE$5,2,FALSE),0)</f>
        <v>0</v>
      </c>
      <c r="BW120" s="479">
        <f t="shared" si="87"/>
        <v>0</v>
      </c>
      <c r="BX120" s="761">
        <f t="shared" si="81"/>
        <v>0</v>
      </c>
      <c r="BY120" s="477" t="s">
        <v>46</v>
      </c>
      <c r="BZ120" s="598">
        <f>IFERROR(INDEX('Early Retirement'!$BG$4:$CG$33,$BO120,$BR120),0)</f>
        <v>0</v>
      </c>
      <c r="CA120" s="759">
        <f>IFERROR(HLOOKUP($BR120,'Early Retirement'!$BH$4:$CH$5,2,FALSE),0)</f>
        <v>0</v>
      </c>
      <c r="CB120" s="598">
        <f t="shared" si="82"/>
        <v>0</v>
      </c>
      <c r="CC120" s="759" t="s">
        <v>567</v>
      </c>
      <c r="CD120" s="477" t="str">
        <f t="shared" si="58"/>
        <v>Yes</v>
      </c>
      <c r="CE120" s="479">
        <f t="shared" si="59"/>
        <v>0</v>
      </c>
      <c r="CF120" s="761">
        <f t="shared" si="60"/>
        <v>0</v>
      </c>
      <c r="CG120" s="759" t="s">
        <v>46</v>
      </c>
      <c r="CH120" s="598">
        <f t="shared" si="83"/>
        <v>0</v>
      </c>
      <c r="CI120" s="759" t="s">
        <v>567</v>
      </c>
      <c r="CJ120" s="480">
        <f t="shared" si="84"/>
        <v>0</v>
      </c>
      <c r="CK120" s="583">
        <f t="shared" si="85"/>
        <v>0</v>
      </c>
      <c r="CL120" s="596" t="s">
        <v>46</v>
      </c>
      <c r="CM120" s="581">
        <f t="shared" si="86"/>
        <v>0</v>
      </c>
      <c r="CN120" s="762" t="s">
        <v>567</v>
      </c>
      <c r="CP120" s="90" t="s">
        <v>218</v>
      </c>
      <c r="CQ120" s="124">
        <v>9.5619999999999994</v>
      </c>
      <c r="CR120" s="307" t="s">
        <v>50</v>
      </c>
      <c r="CS120" s="645">
        <v>12.75</v>
      </c>
      <c r="CT120" s="551" t="s">
        <v>559</v>
      </c>
      <c r="CU120" s="645">
        <f t="shared" si="93"/>
        <v>1.2549675800041833</v>
      </c>
      <c r="CV120" s="645">
        <f t="shared" si="94"/>
        <v>0.94117647058823528</v>
      </c>
      <c r="CW120" s="633" t="s">
        <v>46</v>
      </c>
      <c r="CX120" s="606"/>
      <c r="CY120" s="589"/>
      <c r="CZ120" s="606"/>
      <c r="DA120" s="609"/>
      <c r="DB120" s="562"/>
      <c r="DC120" s="562"/>
      <c r="DD120" s="562"/>
      <c r="DE120" s="562"/>
      <c r="DF120" s="562"/>
      <c r="DG120" s="562"/>
      <c r="DH120" s="562"/>
      <c r="DI120" s="562"/>
      <c r="DJ120" s="562"/>
      <c r="DK120" s="562"/>
      <c r="DL120" s="562"/>
      <c r="DM120" s="562"/>
      <c r="DN120" s="562"/>
      <c r="DO120" s="562"/>
      <c r="DP120" s="562"/>
      <c r="DQ120" s="562"/>
      <c r="DR120" s="562"/>
      <c r="DS120" s="562"/>
      <c r="DT120" s="562"/>
      <c r="DU120" s="562"/>
      <c r="DV120" s="562"/>
      <c r="DW120" s="562"/>
      <c r="DX120" s="562"/>
      <c r="DY120" s="562"/>
      <c r="DZ120" s="562"/>
      <c r="EA120" s="562"/>
      <c r="EB120" s="562"/>
      <c r="EC120" s="562"/>
      <c r="ED120" s="562"/>
      <c r="EE120" s="562"/>
      <c r="EF120" s="562"/>
      <c r="EG120" s="562"/>
      <c r="EH120" s="562"/>
      <c r="EI120" s="562"/>
      <c r="EJ120" s="562"/>
      <c r="EK120" s="562"/>
      <c r="EL120" s="562"/>
    </row>
    <row r="121" spans="2:142" s="78" customFormat="1" ht="15" customHeight="1" x14ac:dyDescent="0.25">
      <c r="B121" s="77"/>
      <c r="E121" s="77"/>
      <c r="H121" s="77"/>
      <c r="Y121" s="90">
        <v>119</v>
      </c>
      <c r="Z121" s="559" t="str">
        <f>IF(Inventory!$C128="","",VLOOKUP(Inventory!$C128,$B$3:$C$5,2,FALSE))</f>
        <v/>
      </c>
      <c r="AA121" s="559" t="str">
        <f>IF($Z121="","",IF(AND($Z121="b",Inventory!$G128=""),"",IF(AND($Z121="b",Inventory!$G128&lt;&gt;""),VLOOKUP(Inventory!$G128,$E$3:$F$10,2,FALSE),IF(AND($Z121="a",Inventory!$Z128=""),"",IF(AND($Z121="a",Inventory!$Z128&lt;&gt;""),VLOOKUP(Inventory!$Z128,$E$3:$F$10,2,FALSE),IF(AND($Z121="c",Inventory!$Z128=""),"",IF(AND($Z121="c",Inventory!$Z128&lt;&gt;""),VLOOKUP(Inventory!$Z128,$E$3:$F$10,2,FALSE),"")))))))</f>
        <v/>
      </c>
      <c r="AB121" s="559" t="str">
        <f>IF($Z121="","a",IF(AND($Z121="b",Inventory!$J128=""),"a",IF(AND($Z121="b",Inventory!$J128&lt;&gt;""),VLOOKUP(Inventory!$J128,$H$4:$I$6,2,FALSE),IF(AND($Z121="a",Inventory!$AA128=""),"a",IF(AND($Z121="a",Inventory!$AA128&lt;&gt;""),VLOOKUP(Inventory!$AA128,$H$4:$I$6,2,FALSE),IF(AND($Z121="c",Inventory!$AA128=""),"a",IF(AND($Z121="c",Inventory!$AA128&lt;&gt;""),VLOOKUP(Inventory!$AA128,$H$4:$I$6,2,FALSE),"a")))))))</f>
        <v>a</v>
      </c>
      <c r="AC121" s="559" t="str">
        <f t="shared" si="61"/>
        <v>a</v>
      </c>
      <c r="AD121" s="473" t="str">
        <f>IF($Z121="","a",IF(AND($Z121="b",Inventory!$L128=""),"a",IF(AND($Z121="b",Inventory!$L128&lt;&gt;""),VLOOKUP(Inventory!$L128,$N$4:$O$5,2,FALSE),IF(AND($Z121="a",Inventory!$AC128=""),"a",IF(AND($Z121="a",Inventory!$AC128&lt;&gt;""),VLOOKUP(Inventory!$AC128,$N$4:$O$5,2,FALSE),IF(AND($Z121="c",Inventory!$AC128=""),"a",IF(AND($Z121="c",Inventory!$AC128&lt;&gt;""),VLOOKUP(Inventory!$AC128,$N$4:$O$5,2,FALSE),"a")))))))</f>
        <v>a</v>
      </c>
      <c r="AE121" s="474">
        <f>IF(OR(Inventory!C128="New Construction",Inventory!C128="Replace-on-Burnout"),Inventory!AF128,IF(Inventory!C128="Early Retirement",MIN(Inventory!AE128,Inventory!AF128),0))</f>
        <v>0</v>
      </c>
      <c r="AF121" s="475" t="str">
        <f t="shared" si="62"/>
        <v/>
      </c>
      <c r="AG121" s="475" t="str">
        <f t="shared" si="50"/>
        <v/>
      </c>
      <c r="AH121" s="475" t="str">
        <f t="shared" si="51"/>
        <v/>
      </c>
      <c r="AI121" s="475" t="str">
        <f t="shared" si="52"/>
        <v/>
      </c>
      <c r="AJ121" s="475" t="str">
        <f t="shared" si="53"/>
        <v/>
      </c>
      <c r="AK121" s="475" t="str">
        <f t="shared" si="63"/>
        <v/>
      </c>
      <c r="AL121" s="475" t="str">
        <f t="shared" si="64"/>
        <v/>
      </c>
      <c r="AM121" s="475" t="str">
        <f t="shared" si="65"/>
        <v/>
      </c>
      <c r="AN121" s="475" t="str">
        <f t="shared" si="66"/>
        <v/>
      </c>
      <c r="AO121" s="475" t="str">
        <f t="shared" si="67"/>
        <v/>
      </c>
      <c r="AP121" s="475" t="str">
        <f t="shared" si="68"/>
        <v/>
      </c>
      <c r="AQ121" s="475" t="str">
        <f t="shared" si="69"/>
        <v/>
      </c>
      <c r="AR121" s="475" t="str">
        <f t="shared" si="70"/>
        <v/>
      </c>
      <c r="AS121" s="475" t="str">
        <f t="shared" si="71"/>
        <v/>
      </c>
      <c r="AT121" s="475" t="str">
        <f t="shared" si="72"/>
        <v/>
      </c>
      <c r="AU121" s="475" t="str">
        <f t="shared" si="73"/>
        <v/>
      </c>
      <c r="AV121" s="475" t="str">
        <f t="shared" si="54"/>
        <v/>
      </c>
      <c r="AW121" s="473">
        <f t="shared" si="55"/>
        <v>0</v>
      </c>
      <c r="AX121" s="473" t="str">
        <f>IF(AND($Z121="b",OR($AA121="a",$AA121="b"),Inventory!$I128="",$AE121&lt;(65000/12000)),"x",IF(AND($Z121="b",OR($AA121="a",$AA121="b"),Inventory!$I128&lt;&gt;"",$AE121&lt;(65000/12000)),VLOOKUP(Inventory!$I128,$V$4:$W$5,2,FALSE),"x"))</f>
        <v>x</v>
      </c>
      <c r="AY121" s="476" t="str">
        <f t="shared" si="74"/>
        <v>aaa0</v>
      </c>
      <c r="AZ121" s="477" t="str">
        <f t="shared" si="75"/>
        <v>No</v>
      </c>
      <c r="BA121" s="759" t="str">
        <f t="shared" si="76"/>
        <v>No</v>
      </c>
      <c r="BB121" s="477">
        <f>IF($Z121="c",Inventory!$AB128,Inventory!$K128)</f>
        <v>0</v>
      </c>
      <c r="BC121" s="478">
        <f>IF(AND($Z121="b",Inventory!$N128="Btu/hr"),Inventory!$M128,IF(AND($Z121="b",Inventory!$N128="Tons"),Inventory!$M128*12000,IF(AND($Z121&lt;&gt;"b",Inventory!$AK128="Btu/hr"),Inventory!$AD128,IF(AND($Z121&lt;&gt;"b",Inventory!$AK128="Tons"),Inventory!$AD128*12000,0))))</f>
        <v>0</v>
      </c>
      <c r="BD121" s="478">
        <f t="shared" si="95"/>
        <v>0</v>
      </c>
      <c r="BE121" s="479">
        <f t="shared" si="77"/>
        <v>0</v>
      </c>
      <c r="BF121" s="477" t="s">
        <v>50</v>
      </c>
      <c r="BG121" s="479">
        <f t="shared" si="56"/>
        <v>0</v>
      </c>
      <c r="BH121" s="477" t="s">
        <v>46</v>
      </c>
      <c r="BI121" s="760">
        <f>IF(AND($Z121="b",Inventory!$P128="Btu/hr"),Inventory!$O128,IF(AND($Z121="b",Inventory!$P128="Tons"),Inventory!$O128*12000,IF(AND($Z121&lt;&gt;"b",Inventory!$AM128="Btu/hr"),Inventory!$AL128,IF(AND($Z121&lt;&gt;"b",Inventory!$AM128="Tons"),Inventory!$AL128*12000,0))))</f>
        <v>0</v>
      </c>
      <c r="BJ121" s="760">
        <f t="shared" si="96"/>
        <v>0</v>
      </c>
      <c r="BK121" s="598">
        <f t="shared" si="78"/>
        <v>0</v>
      </c>
      <c r="BL121" s="759" t="s">
        <v>567</v>
      </c>
      <c r="BM121" s="477" t="str">
        <f t="shared" si="57"/>
        <v>No</v>
      </c>
      <c r="BN121" s="477" t="str">
        <f>IF(OR(Inventory!$H128="",$BM121="No"),"-",Inventory!$H128)</f>
        <v>-</v>
      </c>
      <c r="BO121" s="477" t="str">
        <f>IFERROR(VLOOKUP(BN121,'Early Retirement'!$B$6:$C$33,2,FALSE),"-")</f>
        <v>-</v>
      </c>
      <c r="BP121" s="477" t="str">
        <f>IF(Inventory!$J128="Centrifugal","Yes","No")</f>
        <v>No</v>
      </c>
      <c r="BQ121" s="477">
        <f t="shared" si="79"/>
        <v>0</v>
      </c>
      <c r="BR121" s="477" t="str">
        <f t="shared" si="80"/>
        <v>-</v>
      </c>
      <c r="BS121" s="479">
        <f>IFERROR(INDEX('Early Retirement'!$C$4:$AC$33,$BO121,$BR121),0)</f>
        <v>0</v>
      </c>
      <c r="BT121" s="477">
        <f>IFERROR(HLOOKUP($BR121,'Early Retirement'!$D$4:$AC$5,2,FALSE),0)</f>
        <v>0</v>
      </c>
      <c r="BU121" s="761">
        <f>IFERROR(INDEX('Early Retirement'!$AE$4:$BE$33,$BO121,$BR121),0)</f>
        <v>0</v>
      </c>
      <c r="BV121" s="759">
        <f>IFERROR(HLOOKUP($BR121,'Early Retirement'!$AF$4:$BE$5,2,FALSE),0)</f>
        <v>0</v>
      </c>
      <c r="BW121" s="479">
        <f t="shared" si="87"/>
        <v>0</v>
      </c>
      <c r="BX121" s="761">
        <f t="shared" si="81"/>
        <v>0</v>
      </c>
      <c r="BY121" s="477" t="s">
        <v>46</v>
      </c>
      <c r="BZ121" s="598">
        <f>IFERROR(INDEX('Early Retirement'!$BG$4:$CG$33,$BO121,$BR121),0)</f>
        <v>0</v>
      </c>
      <c r="CA121" s="759">
        <f>IFERROR(HLOOKUP($BR121,'Early Retirement'!$BH$4:$CH$5,2,FALSE),0)</f>
        <v>0</v>
      </c>
      <c r="CB121" s="598">
        <f t="shared" si="82"/>
        <v>0</v>
      </c>
      <c r="CC121" s="759" t="s">
        <v>567</v>
      </c>
      <c r="CD121" s="477" t="str">
        <f t="shared" si="58"/>
        <v>Yes</v>
      </c>
      <c r="CE121" s="479">
        <f t="shared" si="59"/>
        <v>0</v>
      </c>
      <c r="CF121" s="761">
        <f t="shared" si="60"/>
        <v>0</v>
      </c>
      <c r="CG121" s="759" t="s">
        <v>46</v>
      </c>
      <c r="CH121" s="598">
        <f t="shared" si="83"/>
        <v>0</v>
      </c>
      <c r="CI121" s="759" t="s">
        <v>567</v>
      </c>
      <c r="CJ121" s="480">
        <f t="shared" si="84"/>
        <v>0</v>
      </c>
      <c r="CK121" s="583">
        <f t="shared" si="85"/>
        <v>0</v>
      </c>
      <c r="CL121" s="596" t="s">
        <v>46</v>
      </c>
      <c r="CM121" s="581">
        <f t="shared" si="86"/>
        <v>0</v>
      </c>
      <c r="CN121" s="762" t="s">
        <v>567</v>
      </c>
      <c r="CP121" s="90" t="s">
        <v>219</v>
      </c>
      <c r="CQ121" s="124">
        <v>9.5619999999999994</v>
      </c>
      <c r="CR121" s="307" t="s">
        <v>50</v>
      </c>
      <c r="CS121" s="645">
        <v>12.75</v>
      </c>
      <c r="CT121" s="551" t="s">
        <v>559</v>
      </c>
      <c r="CU121" s="645">
        <f t="shared" si="93"/>
        <v>1.2549675800041833</v>
      </c>
      <c r="CV121" s="645">
        <f t="shared" si="94"/>
        <v>0.94117647058823528</v>
      </c>
      <c r="CW121" s="633" t="s">
        <v>46</v>
      </c>
      <c r="CX121" s="606"/>
      <c r="CY121" s="589"/>
      <c r="CZ121" s="606"/>
      <c r="DA121" s="609"/>
      <c r="DB121" s="562"/>
      <c r="DC121" s="562"/>
      <c r="DD121" s="562"/>
      <c r="DE121" s="562"/>
      <c r="DF121" s="562"/>
      <c r="DG121" s="562"/>
      <c r="DH121" s="562"/>
      <c r="DI121" s="562"/>
      <c r="DJ121" s="562"/>
      <c r="DK121" s="562"/>
      <c r="DL121" s="562"/>
      <c r="DM121" s="562"/>
      <c r="DN121" s="562"/>
      <c r="DO121" s="562"/>
      <c r="DP121" s="562"/>
      <c r="DQ121" s="562"/>
      <c r="DR121" s="562"/>
      <c r="DS121" s="562"/>
      <c r="DT121" s="562"/>
      <c r="DU121" s="562"/>
      <c r="DV121" s="562"/>
      <c r="DW121" s="562"/>
      <c r="DX121" s="562"/>
      <c r="DY121" s="562"/>
      <c r="DZ121" s="562"/>
      <c r="EA121" s="562"/>
      <c r="EB121" s="562"/>
      <c r="EC121" s="562"/>
      <c r="ED121" s="562"/>
      <c r="EE121" s="562"/>
      <c r="EF121" s="562"/>
      <c r="EG121" s="562"/>
      <c r="EH121" s="562"/>
      <c r="EI121" s="562"/>
      <c r="EJ121" s="562"/>
      <c r="EK121" s="562"/>
      <c r="EL121" s="562"/>
    </row>
    <row r="122" spans="2:142" s="78" customFormat="1" ht="15" customHeight="1" x14ac:dyDescent="0.25">
      <c r="B122" s="77"/>
      <c r="E122" s="77"/>
      <c r="H122" s="77"/>
      <c r="Y122" s="90">
        <v>120</v>
      </c>
      <c r="Z122" s="559" t="str">
        <f>IF(Inventory!$C129="","",VLOOKUP(Inventory!$C129,$B$3:$C$5,2,FALSE))</f>
        <v/>
      </c>
      <c r="AA122" s="559" t="str">
        <f>IF($Z122="","",IF(AND($Z122="b",Inventory!$G129=""),"",IF(AND($Z122="b",Inventory!$G129&lt;&gt;""),VLOOKUP(Inventory!$G129,$E$3:$F$10,2,FALSE),IF(AND($Z122="a",Inventory!$Z129=""),"",IF(AND($Z122="a",Inventory!$Z129&lt;&gt;""),VLOOKUP(Inventory!$Z129,$E$3:$F$10,2,FALSE),IF(AND($Z122="c",Inventory!$Z129=""),"",IF(AND($Z122="c",Inventory!$Z129&lt;&gt;""),VLOOKUP(Inventory!$Z129,$E$3:$F$10,2,FALSE),"")))))))</f>
        <v/>
      </c>
      <c r="AB122" s="559" t="str">
        <f>IF($Z122="","a",IF(AND($Z122="b",Inventory!$J129=""),"a",IF(AND($Z122="b",Inventory!$J129&lt;&gt;""),VLOOKUP(Inventory!$J129,$H$4:$I$6,2,FALSE),IF(AND($Z122="a",Inventory!$AA129=""),"a",IF(AND($Z122="a",Inventory!$AA129&lt;&gt;""),VLOOKUP(Inventory!$AA129,$H$4:$I$6,2,FALSE),IF(AND($Z122="c",Inventory!$AA129=""),"a",IF(AND($Z122="c",Inventory!$AA129&lt;&gt;""),VLOOKUP(Inventory!$AA129,$H$4:$I$6,2,FALSE),"a")))))))</f>
        <v>a</v>
      </c>
      <c r="AC122" s="559" t="str">
        <f t="shared" si="61"/>
        <v>a</v>
      </c>
      <c r="AD122" s="473" t="str">
        <f>IF($Z122="","a",IF(AND($Z122="b",Inventory!$L129=""),"a",IF(AND($Z122="b",Inventory!$L129&lt;&gt;""),VLOOKUP(Inventory!$L129,$N$4:$O$5,2,FALSE),IF(AND($Z122="a",Inventory!$AC129=""),"a",IF(AND($Z122="a",Inventory!$AC129&lt;&gt;""),VLOOKUP(Inventory!$AC129,$N$4:$O$5,2,FALSE),IF(AND($Z122="c",Inventory!$AC129=""),"a",IF(AND($Z122="c",Inventory!$AC129&lt;&gt;""),VLOOKUP(Inventory!$AC129,$N$4:$O$5,2,FALSE),"a")))))))</f>
        <v>a</v>
      </c>
      <c r="AE122" s="474">
        <f>IF(OR(Inventory!C129="New Construction",Inventory!C129="Replace-on-Burnout"),Inventory!AF129,IF(Inventory!C129="Early Retirement",MIN(Inventory!AE129,Inventory!AF129),0))</f>
        <v>0</v>
      </c>
      <c r="AF122" s="475" t="str">
        <f t="shared" si="62"/>
        <v/>
      </c>
      <c r="AG122" s="475" t="str">
        <f t="shared" si="50"/>
        <v/>
      </c>
      <c r="AH122" s="475" t="str">
        <f t="shared" si="51"/>
        <v/>
      </c>
      <c r="AI122" s="475" t="str">
        <f t="shared" si="52"/>
        <v/>
      </c>
      <c r="AJ122" s="475" t="str">
        <f t="shared" si="53"/>
        <v/>
      </c>
      <c r="AK122" s="475" t="str">
        <f t="shared" si="63"/>
        <v/>
      </c>
      <c r="AL122" s="475" t="str">
        <f t="shared" si="64"/>
        <v/>
      </c>
      <c r="AM122" s="475" t="str">
        <f t="shared" si="65"/>
        <v/>
      </c>
      <c r="AN122" s="475" t="str">
        <f t="shared" si="66"/>
        <v/>
      </c>
      <c r="AO122" s="475" t="str">
        <f t="shared" si="67"/>
        <v/>
      </c>
      <c r="AP122" s="475" t="str">
        <f t="shared" si="68"/>
        <v/>
      </c>
      <c r="AQ122" s="475" t="str">
        <f t="shared" si="69"/>
        <v/>
      </c>
      <c r="AR122" s="475" t="str">
        <f t="shared" si="70"/>
        <v/>
      </c>
      <c r="AS122" s="475" t="str">
        <f t="shared" si="71"/>
        <v/>
      </c>
      <c r="AT122" s="475" t="str">
        <f t="shared" si="72"/>
        <v/>
      </c>
      <c r="AU122" s="475" t="str">
        <f t="shared" si="73"/>
        <v/>
      </c>
      <c r="AV122" s="475" t="str">
        <f t="shared" si="54"/>
        <v/>
      </c>
      <c r="AW122" s="473">
        <f t="shared" si="55"/>
        <v>0</v>
      </c>
      <c r="AX122" s="473" t="str">
        <f>IF(AND($Z122="b",OR($AA122="a",$AA122="b"),Inventory!$I129="",$AE122&lt;(65000/12000)),"x",IF(AND($Z122="b",OR($AA122="a",$AA122="b"),Inventory!$I129&lt;&gt;"",$AE122&lt;(65000/12000)),VLOOKUP(Inventory!$I129,$V$4:$W$5,2,FALSE),"x"))</f>
        <v>x</v>
      </c>
      <c r="AY122" s="476" t="str">
        <f t="shared" si="74"/>
        <v>aaa0</v>
      </c>
      <c r="AZ122" s="477" t="str">
        <f t="shared" si="75"/>
        <v>No</v>
      </c>
      <c r="BA122" s="759" t="str">
        <f t="shared" si="76"/>
        <v>No</v>
      </c>
      <c r="BB122" s="477">
        <f>IF($Z122="c",Inventory!$AB129,Inventory!$K129)</f>
        <v>0</v>
      </c>
      <c r="BC122" s="478">
        <f>IF(AND($Z122="b",Inventory!$N129="Btu/hr"),Inventory!$M129,IF(AND($Z122="b",Inventory!$N129="Tons"),Inventory!$M129*12000,IF(AND($Z122&lt;&gt;"b",Inventory!$AK129="Btu/hr"),Inventory!$AD129,IF(AND($Z122&lt;&gt;"b",Inventory!$AK129="Tons"),Inventory!$AD129*12000,0))))</f>
        <v>0</v>
      </c>
      <c r="BD122" s="478">
        <f t="shared" si="95"/>
        <v>0</v>
      </c>
      <c r="BE122" s="479">
        <f t="shared" si="77"/>
        <v>0</v>
      </c>
      <c r="BF122" s="477" t="s">
        <v>50</v>
      </c>
      <c r="BG122" s="479">
        <f t="shared" si="56"/>
        <v>0</v>
      </c>
      <c r="BH122" s="477" t="s">
        <v>46</v>
      </c>
      <c r="BI122" s="760">
        <f>IF(AND($Z122="b",Inventory!$P129="Btu/hr"),Inventory!$O129,IF(AND($Z122="b",Inventory!$P129="Tons"),Inventory!$O129*12000,IF(AND($Z122&lt;&gt;"b",Inventory!$AM129="Btu/hr"),Inventory!$AL129,IF(AND($Z122&lt;&gt;"b",Inventory!$AM129="Tons"),Inventory!$AL129*12000,0))))</f>
        <v>0</v>
      </c>
      <c r="BJ122" s="760">
        <f t="shared" si="96"/>
        <v>0</v>
      </c>
      <c r="BK122" s="598">
        <f t="shared" si="78"/>
        <v>0</v>
      </c>
      <c r="BL122" s="759" t="s">
        <v>567</v>
      </c>
      <c r="BM122" s="477" t="str">
        <f t="shared" si="57"/>
        <v>No</v>
      </c>
      <c r="BN122" s="477" t="str">
        <f>IF(OR(Inventory!$H129="",$BM122="No"),"-",Inventory!$H129)</f>
        <v>-</v>
      </c>
      <c r="BO122" s="477" t="str">
        <f>IFERROR(VLOOKUP(BN122,'Early Retirement'!$B$6:$C$33,2,FALSE),"-")</f>
        <v>-</v>
      </c>
      <c r="BP122" s="477" t="str">
        <f>IF(Inventory!$J129="Centrifugal","Yes","No")</f>
        <v>No</v>
      </c>
      <c r="BQ122" s="477">
        <f t="shared" si="79"/>
        <v>0</v>
      </c>
      <c r="BR122" s="477" t="str">
        <f t="shared" si="80"/>
        <v>-</v>
      </c>
      <c r="BS122" s="479">
        <f>IFERROR(INDEX('Early Retirement'!$C$4:$AC$33,$BO122,$BR122),0)</f>
        <v>0</v>
      </c>
      <c r="BT122" s="477">
        <f>IFERROR(HLOOKUP($BR122,'Early Retirement'!$D$4:$AC$5,2,FALSE),0)</f>
        <v>0</v>
      </c>
      <c r="BU122" s="761">
        <f>IFERROR(INDEX('Early Retirement'!$AE$4:$BE$33,$BO122,$BR122),0)</f>
        <v>0</v>
      </c>
      <c r="BV122" s="759">
        <f>IFERROR(HLOOKUP($BR122,'Early Retirement'!$AF$4:$BE$5,2,FALSE),0)</f>
        <v>0</v>
      </c>
      <c r="BW122" s="479">
        <f t="shared" si="87"/>
        <v>0</v>
      </c>
      <c r="BX122" s="761">
        <f t="shared" si="81"/>
        <v>0</v>
      </c>
      <c r="BY122" s="477" t="s">
        <v>46</v>
      </c>
      <c r="BZ122" s="598">
        <f>IFERROR(INDEX('Early Retirement'!$BG$4:$CG$33,$BO122,$BR122),0)</f>
        <v>0</v>
      </c>
      <c r="CA122" s="759">
        <f>IFERROR(HLOOKUP($BR122,'Early Retirement'!$BH$4:$CH$5,2,FALSE),0)</f>
        <v>0</v>
      </c>
      <c r="CB122" s="598">
        <f t="shared" si="82"/>
        <v>0</v>
      </c>
      <c r="CC122" s="759" t="s">
        <v>567</v>
      </c>
      <c r="CD122" s="477" t="str">
        <f t="shared" si="58"/>
        <v>Yes</v>
      </c>
      <c r="CE122" s="479">
        <f t="shared" si="59"/>
        <v>0</v>
      </c>
      <c r="CF122" s="761">
        <f t="shared" si="60"/>
        <v>0</v>
      </c>
      <c r="CG122" s="759" t="s">
        <v>46</v>
      </c>
      <c r="CH122" s="598">
        <f t="shared" si="83"/>
        <v>0</v>
      </c>
      <c r="CI122" s="759" t="s">
        <v>567</v>
      </c>
      <c r="CJ122" s="480">
        <f t="shared" si="84"/>
        <v>0</v>
      </c>
      <c r="CK122" s="583">
        <f t="shared" si="85"/>
        <v>0</v>
      </c>
      <c r="CL122" s="596" t="s">
        <v>46</v>
      </c>
      <c r="CM122" s="581">
        <f t="shared" si="86"/>
        <v>0</v>
      </c>
      <c r="CN122" s="762" t="s">
        <v>567</v>
      </c>
      <c r="CP122" s="90" t="s">
        <v>523</v>
      </c>
      <c r="CQ122" s="124">
        <v>9.5619999999999994</v>
      </c>
      <c r="CR122" s="307" t="s">
        <v>50</v>
      </c>
      <c r="CS122" s="645">
        <v>12.75</v>
      </c>
      <c r="CT122" s="551" t="s">
        <v>559</v>
      </c>
      <c r="CU122" s="645">
        <f t="shared" si="93"/>
        <v>1.2549675800041833</v>
      </c>
      <c r="CV122" s="645">
        <f t="shared" si="94"/>
        <v>0.94117647058823528</v>
      </c>
      <c r="CW122" s="633" t="s">
        <v>46</v>
      </c>
      <c r="CX122" s="606"/>
      <c r="CY122" s="589"/>
      <c r="CZ122" s="606"/>
      <c r="DA122" s="609"/>
      <c r="DB122" s="562"/>
      <c r="DC122" s="562"/>
      <c r="DD122" s="562"/>
      <c r="DE122" s="562"/>
      <c r="DF122" s="562"/>
      <c r="DG122" s="562"/>
      <c r="DH122" s="562"/>
      <c r="DI122" s="562"/>
      <c r="DJ122" s="562"/>
      <c r="DK122" s="562"/>
      <c r="DL122" s="562"/>
      <c r="DM122" s="562"/>
      <c r="DN122" s="562"/>
      <c r="DO122" s="562"/>
      <c r="DP122" s="562"/>
      <c r="DQ122" s="562"/>
      <c r="DR122" s="562"/>
      <c r="DS122" s="562"/>
      <c r="DT122" s="562"/>
      <c r="DU122" s="562"/>
      <c r="DV122" s="562"/>
      <c r="DW122" s="562"/>
      <c r="DX122" s="562"/>
      <c r="DY122" s="562"/>
      <c r="DZ122" s="562"/>
      <c r="EA122" s="562"/>
      <c r="EB122" s="562"/>
      <c r="EC122" s="562"/>
      <c r="ED122" s="562"/>
      <c r="EE122" s="562"/>
      <c r="EF122" s="562"/>
      <c r="EG122" s="562"/>
      <c r="EH122" s="562"/>
      <c r="EI122" s="562"/>
      <c r="EJ122" s="562"/>
      <c r="EK122" s="562"/>
      <c r="EL122" s="562"/>
    </row>
    <row r="123" spans="2:142" s="78" customFormat="1" ht="15" customHeight="1" x14ac:dyDescent="0.25">
      <c r="B123" s="77"/>
      <c r="E123" s="77"/>
      <c r="H123" s="77"/>
      <c r="Y123" s="90">
        <v>121</v>
      </c>
      <c r="Z123" s="559" t="str">
        <f>IF(Inventory!$C130="","",VLOOKUP(Inventory!$C130,$B$3:$C$5,2,FALSE))</f>
        <v/>
      </c>
      <c r="AA123" s="559" t="str">
        <f>IF($Z123="","",IF(AND($Z123="b",Inventory!$G130=""),"",IF(AND($Z123="b",Inventory!$G130&lt;&gt;""),VLOOKUP(Inventory!$G130,$E$3:$F$10,2,FALSE),IF(AND($Z123="a",Inventory!$Z130=""),"",IF(AND($Z123="a",Inventory!$Z130&lt;&gt;""),VLOOKUP(Inventory!$Z130,$E$3:$F$10,2,FALSE),IF(AND($Z123="c",Inventory!$Z130=""),"",IF(AND($Z123="c",Inventory!$Z130&lt;&gt;""),VLOOKUP(Inventory!$Z130,$E$3:$F$10,2,FALSE),"")))))))</f>
        <v/>
      </c>
      <c r="AB123" s="559" t="str">
        <f>IF($Z123="","a",IF(AND($Z123="b",Inventory!$J130=""),"a",IF(AND($Z123="b",Inventory!$J130&lt;&gt;""),VLOOKUP(Inventory!$J130,$H$4:$I$6,2,FALSE),IF(AND($Z123="a",Inventory!$AA130=""),"a",IF(AND($Z123="a",Inventory!$AA130&lt;&gt;""),VLOOKUP(Inventory!$AA130,$H$4:$I$6,2,FALSE),IF(AND($Z123="c",Inventory!$AA130=""),"a",IF(AND($Z123="c",Inventory!$AA130&lt;&gt;""),VLOOKUP(Inventory!$AA130,$H$4:$I$6,2,FALSE),"a")))))))</f>
        <v>a</v>
      </c>
      <c r="AC123" s="559" t="str">
        <f t="shared" si="61"/>
        <v>a</v>
      </c>
      <c r="AD123" s="473" t="str">
        <f>IF($Z123="","a",IF(AND($Z123="b",Inventory!$L130=""),"a",IF(AND($Z123="b",Inventory!$L130&lt;&gt;""),VLOOKUP(Inventory!$L130,$N$4:$O$5,2,FALSE),IF(AND($Z123="a",Inventory!$AC130=""),"a",IF(AND($Z123="a",Inventory!$AC130&lt;&gt;""),VLOOKUP(Inventory!$AC130,$N$4:$O$5,2,FALSE),IF(AND($Z123="c",Inventory!$AC130=""),"a",IF(AND($Z123="c",Inventory!$AC130&lt;&gt;""),VLOOKUP(Inventory!$AC130,$N$4:$O$5,2,FALSE),"a")))))))</f>
        <v>a</v>
      </c>
      <c r="AE123" s="474">
        <f>IF(OR(Inventory!C130="New Construction",Inventory!C130="Replace-on-Burnout"),Inventory!AF130,IF(Inventory!C130="Early Retirement",MIN(Inventory!AE130,Inventory!AF130),0))</f>
        <v>0</v>
      </c>
      <c r="AF123" s="475" t="str">
        <f t="shared" si="62"/>
        <v/>
      </c>
      <c r="AG123" s="475" t="str">
        <f t="shared" si="50"/>
        <v/>
      </c>
      <c r="AH123" s="475" t="str">
        <f t="shared" si="51"/>
        <v/>
      </c>
      <c r="AI123" s="475" t="str">
        <f t="shared" si="52"/>
        <v/>
      </c>
      <c r="AJ123" s="475" t="str">
        <f t="shared" si="53"/>
        <v/>
      </c>
      <c r="AK123" s="475" t="str">
        <f t="shared" si="63"/>
        <v/>
      </c>
      <c r="AL123" s="475" t="str">
        <f t="shared" si="64"/>
        <v/>
      </c>
      <c r="AM123" s="475" t="str">
        <f t="shared" si="65"/>
        <v/>
      </c>
      <c r="AN123" s="475" t="str">
        <f t="shared" si="66"/>
        <v/>
      </c>
      <c r="AO123" s="475" t="str">
        <f t="shared" si="67"/>
        <v/>
      </c>
      <c r="AP123" s="475" t="str">
        <f t="shared" si="68"/>
        <v/>
      </c>
      <c r="AQ123" s="475" t="str">
        <f t="shared" si="69"/>
        <v/>
      </c>
      <c r="AR123" s="475" t="str">
        <f t="shared" si="70"/>
        <v/>
      </c>
      <c r="AS123" s="475" t="str">
        <f t="shared" si="71"/>
        <v/>
      </c>
      <c r="AT123" s="475" t="str">
        <f t="shared" si="72"/>
        <v/>
      </c>
      <c r="AU123" s="475" t="str">
        <f t="shared" si="73"/>
        <v/>
      </c>
      <c r="AV123" s="475" t="str">
        <f t="shared" si="54"/>
        <v/>
      </c>
      <c r="AW123" s="473">
        <f t="shared" si="55"/>
        <v>0</v>
      </c>
      <c r="AX123" s="473" t="str">
        <f>IF(AND($Z123="b",OR($AA123="a",$AA123="b"),Inventory!$I130="",$AE123&lt;(65000/12000)),"x",IF(AND($Z123="b",OR($AA123="a",$AA123="b"),Inventory!$I130&lt;&gt;"",$AE123&lt;(65000/12000)),VLOOKUP(Inventory!$I130,$V$4:$W$5,2,FALSE),"x"))</f>
        <v>x</v>
      </c>
      <c r="AY123" s="476" t="str">
        <f t="shared" si="74"/>
        <v>aaa0</v>
      </c>
      <c r="AZ123" s="477" t="str">
        <f t="shared" si="75"/>
        <v>No</v>
      </c>
      <c r="BA123" s="759" t="str">
        <f t="shared" si="76"/>
        <v>No</v>
      </c>
      <c r="BB123" s="477">
        <f>IF($Z123="c",Inventory!$AB130,Inventory!$K130)</f>
        <v>0</v>
      </c>
      <c r="BC123" s="478">
        <f>IF(AND($Z123="b",Inventory!$N130="Btu/hr"),Inventory!$M130,IF(AND($Z123="b",Inventory!$N130="Tons"),Inventory!$M130*12000,IF(AND($Z123&lt;&gt;"b",Inventory!$AK130="Btu/hr"),Inventory!$AD130,IF(AND($Z123&lt;&gt;"b",Inventory!$AK130="Tons"),Inventory!$AD130*12000,0))))</f>
        <v>0</v>
      </c>
      <c r="BD123" s="478">
        <f t="shared" si="95"/>
        <v>0</v>
      </c>
      <c r="BE123" s="479">
        <f t="shared" si="77"/>
        <v>0</v>
      </c>
      <c r="BF123" s="477" t="s">
        <v>50</v>
      </c>
      <c r="BG123" s="479">
        <f t="shared" si="56"/>
        <v>0</v>
      </c>
      <c r="BH123" s="477" t="s">
        <v>46</v>
      </c>
      <c r="BI123" s="760">
        <f>IF(AND($Z123="b",Inventory!$P130="Btu/hr"),Inventory!$O130,IF(AND($Z123="b",Inventory!$P130="Tons"),Inventory!$O130*12000,IF(AND($Z123&lt;&gt;"b",Inventory!$AM130="Btu/hr"),Inventory!$AL130,IF(AND($Z123&lt;&gt;"b",Inventory!$AM130="Tons"),Inventory!$AL130*12000,0))))</f>
        <v>0</v>
      </c>
      <c r="BJ123" s="760">
        <f t="shared" si="96"/>
        <v>0</v>
      </c>
      <c r="BK123" s="598">
        <f t="shared" si="78"/>
        <v>0</v>
      </c>
      <c r="BL123" s="759" t="s">
        <v>567</v>
      </c>
      <c r="BM123" s="477" t="str">
        <f t="shared" si="57"/>
        <v>No</v>
      </c>
      <c r="BN123" s="477" t="str">
        <f>IF(OR(Inventory!$H130="",$BM123="No"),"-",Inventory!$H130)</f>
        <v>-</v>
      </c>
      <c r="BO123" s="477" t="str">
        <f>IFERROR(VLOOKUP(BN123,'Early Retirement'!$B$6:$C$33,2,FALSE),"-")</f>
        <v>-</v>
      </c>
      <c r="BP123" s="477" t="str">
        <f>IF(Inventory!$J130="Centrifugal","Yes","No")</f>
        <v>No</v>
      </c>
      <c r="BQ123" s="477">
        <f t="shared" si="79"/>
        <v>0</v>
      </c>
      <c r="BR123" s="477" t="str">
        <f t="shared" si="80"/>
        <v>-</v>
      </c>
      <c r="BS123" s="479">
        <f>IFERROR(INDEX('Early Retirement'!$C$4:$AC$33,$BO123,$BR123),0)</f>
        <v>0</v>
      </c>
      <c r="BT123" s="477">
        <f>IFERROR(HLOOKUP($BR123,'Early Retirement'!$D$4:$AC$5,2,FALSE),0)</f>
        <v>0</v>
      </c>
      <c r="BU123" s="761">
        <f>IFERROR(INDEX('Early Retirement'!$AE$4:$BE$33,$BO123,$BR123),0)</f>
        <v>0</v>
      </c>
      <c r="BV123" s="759">
        <f>IFERROR(HLOOKUP($BR123,'Early Retirement'!$AF$4:$BE$5,2,FALSE),0)</f>
        <v>0</v>
      </c>
      <c r="BW123" s="479">
        <f t="shared" si="87"/>
        <v>0</v>
      </c>
      <c r="BX123" s="761">
        <f t="shared" si="81"/>
        <v>0</v>
      </c>
      <c r="BY123" s="477" t="s">
        <v>46</v>
      </c>
      <c r="BZ123" s="598">
        <f>IFERROR(INDEX('Early Retirement'!$BG$4:$CG$33,$BO123,$BR123),0)</f>
        <v>0</v>
      </c>
      <c r="CA123" s="759">
        <f>IFERROR(HLOOKUP($BR123,'Early Retirement'!$BH$4:$CH$5,2,FALSE),0)</f>
        <v>0</v>
      </c>
      <c r="CB123" s="598">
        <f t="shared" si="82"/>
        <v>0</v>
      </c>
      <c r="CC123" s="759" t="s">
        <v>567</v>
      </c>
      <c r="CD123" s="477" t="str">
        <f t="shared" si="58"/>
        <v>Yes</v>
      </c>
      <c r="CE123" s="479">
        <f t="shared" si="59"/>
        <v>0</v>
      </c>
      <c r="CF123" s="761">
        <f t="shared" si="60"/>
        <v>0</v>
      </c>
      <c r="CG123" s="759" t="s">
        <v>46</v>
      </c>
      <c r="CH123" s="598">
        <f t="shared" si="83"/>
        <v>0</v>
      </c>
      <c r="CI123" s="759" t="s">
        <v>567</v>
      </c>
      <c r="CJ123" s="480">
        <f t="shared" si="84"/>
        <v>0</v>
      </c>
      <c r="CK123" s="583">
        <f t="shared" si="85"/>
        <v>0</v>
      </c>
      <c r="CL123" s="596" t="s">
        <v>46</v>
      </c>
      <c r="CM123" s="581">
        <f t="shared" si="86"/>
        <v>0</v>
      </c>
      <c r="CN123" s="762" t="s">
        <v>567</v>
      </c>
      <c r="CP123" s="90" t="s">
        <v>524</v>
      </c>
      <c r="CQ123" s="124">
        <v>9.5619999999999994</v>
      </c>
      <c r="CR123" s="307" t="s">
        <v>50</v>
      </c>
      <c r="CS123" s="645">
        <v>12.75</v>
      </c>
      <c r="CT123" s="551" t="s">
        <v>559</v>
      </c>
      <c r="CU123" s="645">
        <f t="shared" si="93"/>
        <v>1.2549675800041833</v>
      </c>
      <c r="CV123" s="645">
        <f t="shared" si="94"/>
        <v>0.94117647058823528</v>
      </c>
      <c r="CW123" s="633" t="s">
        <v>46</v>
      </c>
      <c r="CX123" s="606"/>
      <c r="CY123" s="589"/>
      <c r="CZ123" s="606"/>
      <c r="DA123" s="609"/>
      <c r="DB123" s="562"/>
      <c r="DC123" s="562"/>
      <c r="DD123" s="562"/>
      <c r="DE123" s="562"/>
      <c r="DF123" s="562"/>
      <c r="DG123" s="562"/>
      <c r="DH123" s="562"/>
      <c r="DI123" s="562"/>
      <c r="DJ123" s="562"/>
      <c r="DK123" s="562"/>
      <c r="DL123" s="562"/>
      <c r="DM123" s="562"/>
      <c r="DN123" s="562"/>
      <c r="DO123" s="562"/>
      <c r="DP123" s="562"/>
      <c r="DQ123" s="562"/>
      <c r="DR123" s="562"/>
      <c r="DS123" s="562"/>
      <c r="DT123" s="562"/>
      <c r="DU123" s="562"/>
      <c r="DV123" s="562"/>
      <c r="DW123" s="562"/>
      <c r="DX123" s="562"/>
      <c r="DY123" s="562"/>
      <c r="DZ123" s="562"/>
      <c r="EA123" s="562"/>
      <c r="EB123" s="562"/>
      <c r="EC123" s="562"/>
      <c r="ED123" s="562"/>
      <c r="EE123" s="562"/>
      <c r="EF123" s="562"/>
      <c r="EG123" s="562"/>
      <c r="EH123" s="562"/>
      <c r="EI123" s="562"/>
      <c r="EJ123" s="562"/>
      <c r="EK123" s="562"/>
      <c r="EL123" s="562"/>
    </row>
    <row r="124" spans="2:142" s="78" customFormat="1" ht="15" customHeight="1" x14ac:dyDescent="0.25">
      <c r="B124" s="77"/>
      <c r="E124" s="77"/>
      <c r="H124" s="77"/>
      <c r="Y124" s="90">
        <v>122</v>
      </c>
      <c r="Z124" s="559" t="str">
        <f>IF(Inventory!$C131="","",VLOOKUP(Inventory!$C131,$B$3:$C$5,2,FALSE))</f>
        <v/>
      </c>
      <c r="AA124" s="559" t="str">
        <f>IF($Z124="","",IF(AND($Z124="b",Inventory!$G131=""),"",IF(AND($Z124="b",Inventory!$G131&lt;&gt;""),VLOOKUP(Inventory!$G131,$E$3:$F$10,2,FALSE),IF(AND($Z124="a",Inventory!$Z131=""),"",IF(AND($Z124="a",Inventory!$Z131&lt;&gt;""),VLOOKUP(Inventory!$Z131,$E$3:$F$10,2,FALSE),IF(AND($Z124="c",Inventory!$Z131=""),"",IF(AND($Z124="c",Inventory!$Z131&lt;&gt;""),VLOOKUP(Inventory!$Z131,$E$3:$F$10,2,FALSE),"")))))))</f>
        <v/>
      </c>
      <c r="AB124" s="559" t="str">
        <f>IF($Z124="","a",IF(AND($Z124="b",Inventory!$J131=""),"a",IF(AND($Z124="b",Inventory!$J131&lt;&gt;""),VLOOKUP(Inventory!$J131,$H$4:$I$6,2,FALSE),IF(AND($Z124="a",Inventory!$AA131=""),"a",IF(AND($Z124="a",Inventory!$AA131&lt;&gt;""),VLOOKUP(Inventory!$AA131,$H$4:$I$6,2,FALSE),IF(AND($Z124="c",Inventory!$AA131=""),"a",IF(AND($Z124="c",Inventory!$AA131&lt;&gt;""),VLOOKUP(Inventory!$AA131,$H$4:$I$6,2,FALSE),"a")))))))</f>
        <v>a</v>
      </c>
      <c r="AC124" s="559" t="str">
        <f t="shared" si="61"/>
        <v>a</v>
      </c>
      <c r="AD124" s="473" t="str">
        <f>IF($Z124="","a",IF(AND($Z124="b",Inventory!$L131=""),"a",IF(AND($Z124="b",Inventory!$L131&lt;&gt;""),VLOOKUP(Inventory!$L131,$N$4:$O$5,2,FALSE),IF(AND($Z124="a",Inventory!$AC131=""),"a",IF(AND($Z124="a",Inventory!$AC131&lt;&gt;""),VLOOKUP(Inventory!$AC131,$N$4:$O$5,2,FALSE),IF(AND($Z124="c",Inventory!$AC131=""),"a",IF(AND($Z124="c",Inventory!$AC131&lt;&gt;""),VLOOKUP(Inventory!$AC131,$N$4:$O$5,2,FALSE),"a")))))))</f>
        <v>a</v>
      </c>
      <c r="AE124" s="474">
        <f>IF(OR(Inventory!C131="New Construction",Inventory!C131="Replace-on-Burnout"),Inventory!AF131,IF(Inventory!C131="Early Retirement",MIN(Inventory!AE131,Inventory!AF131),0))</f>
        <v>0</v>
      </c>
      <c r="AF124" s="475" t="str">
        <f t="shared" si="62"/>
        <v/>
      </c>
      <c r="AG124" s="475" t="str">
        <f t="shared" si="50"/>
        <v/>
      </c>
      <c r="AH124" s="475" t="str">
        <f t="shared" si="51"/>
        <v/>
      </c>
      <c r="AI124" s="475" t="str">
        <f t="shared" si="52"/>
        <v/>
      </c>
      <c r="AJ124" s="475" t="str">
        <f t="shared" si="53"/>
        <v/>
      </c>
      <c r="AK124" s="475" t="str">
        <f t="shared" si="63"/>
        <v/>
      </c>
      <c r="AL124" s="475" t="str">
        <f t="shared" si="64"/>
        <v/>
      </c>
      <c r="AM124" s="475" t="str">
        <f t="shared" si="65"/>
        <v/>
      </c>
      <c r="AN124" s="475" t="str">
        <f t="shared" si="66"/>
        <v/>
      </c>
      <c r="AO124" s="475" t="str">
        <f t="shared" si="67"/>
        <v/>
      </c>
      <c r="AP124" s="475" t="str">
        <f t="shared" si="68"/>
        <v/>
      </c>
      <c r="AQ124" s="475" t="str">
        <f t="shared" si="69"/>
        <v/>
      </c>
      <c r="AR124" s="475" t="str">
        <f t="shared" si="70"/>
        <v/>
      </c>
      <c r="AS124" s="475" t="str">
        <f t="shared" si="71"/>
        <v/>
      </c>
      <c r="AT124" s="475" t="str">
        <f t="shared" si="72"/>
        <v/>
      </c>
      <c r="AU124" s="475" t="str">
        <f t="shared" si="73"/>
        <v/>
      </c>
      <c r="AV124" s="475" t="str">
        <f t="shared" si="54"/>
        <v/>
      </c>
      <c r="AW124" s="473">
        <f t="shared" si="55"/>
        <v>0</v>
      </c>
      <c r="AX124" s="473" t="str">
        <f>IF(AND($Z124="b",OR($AA124="a",$AA124="b"),Inventory!$I131="",$AE124&lt;(65000/12000)),"x",IF(AND($Z124="b",OR($AA124="a",$AA124="b"),Inventory!$I131&lt;&gt;"",$AE124&lt;(65000/12000)),VLOOKUP(Inventory!$I131,$V$4:$W$5,2,FALSE),"x"))</f>
        <v>x</v>
      </c>
      <c r="AY124" s="476" t="str">
        <f t="shared" si="74"/>
        <v>aaa0</v>
      </c>
      <c r="AZ124" s="477" t="str">
        <f t="shared" si="75"/>
        <v>No</v>
      </c>
      <c r="BA124" s="759" t="str">
        <f t="shared" si="76"/>
        <v>No</v>
      </c>
      <c r="BB124" s="477">
        <f>IF($Z124="c",Inventory!$AB131,Inventory!$K131)</f>
        <v>0</v>
      </c>
      <c r="BC124" s="478">
        <f>IF(AND($Z124="b",Inventory!$N131="Btu/hr"),Inventory!$M131,IF(AND($Z124="b",Inventory!$N131="Tons"),Inventory!$M131*12000,IF(AND($Z124&lt;&gt;"b",Inventory!$AK131="Btu/hr"),Inventory!$AD131,IF(AND($Z124&lt;&gt;"b",Inventory!$AK131="Tons"),Inventory!$AD131*12000,0))))</f>
        <v>0</v>
      </c>
      <c r="BD124" s="478">
        <f t="shared" si="95"/>
        <v>0</v>
      </c>
      <c r="BE124" s="479">
        <f t="shared" si="77"/>
        <v>0</v>
      </c>
      <c r="BF124" s="477" t="s">
        <v>50</v>
      </c>
      <c r="BG124" s="479">
        <f t="shared" si="56"/>
        <v>0</v>
      </c>
      <c r="BH124" s="477" t="s">
        <v>46</v>
      </c>
      <c r="BI124" s="760">
        <f>IF(AND($Z124="b",Inventory!$P131="Btu/hr"),Inventory!$O131,IF(AND($Z124="b",Inventory!$P131="Tons"),Inventory!$O131*12000,IF(AND($Z124&lt;&gt;"b",Inventory!$AM131="Btu/hr"),Inventory!$AL131,IF(AND($Z124&lt;&gt;"b",Inventory!$AM131="Tons"),Inventory!$AL131*12000,0))))</f>
        <v>0</v>
      </c>
      <c r="BJ124" s="760">
        <f t="shared" si="96"/>
        <v>0</v>
      </c>
      <c r="BK124" s="598">
        <f t="shared" si="78"/>
        <v>0</v>
      </c>
      <c r="BL124" s="759" t="s">
        <v>567</v>
      </c>
      <c r="BM124" s="477" t="str">
        <f t="shared" si="57"/>
        <v>No</v>
      </c>
      <c r="BN124" s="477" t="str">
        <f>IF(OR(Inventory!$H131="",$BM124="No"),"-",Inventory!$H131)</f>
        <v>-</v>
      </c>
      <c r="BO124" s="477" t="str">
        <f>IFERROR(VLOOKUP(BN124,'Early Retirement'!$B$6:$C$33,2,FALSE),"-")</f>
        <v>-</v>
      </c>
      <c r="BP124" s="477" t="str">
        <f>IF(Inventory!$J131="Centrifugal","Yes","No")</f>
        <v>No</v>
      </c>
      <c r="BQ124" s="477">
        <f t="shared" si="79"/>
        <v>0</v>
      </c>
      <c r="BR124" s="477" t="str">
        <f t="shared" si="80"/>
        <v>-</v>
      </c>
      <c r="BS124" s="479">
        <f>IFERROR(INDEX('Early Retirement'!$C$4:$AC$33,$BO124,$BR124),0)</f>
        <v>0</v>
      </c>
      <c r="BT124" s="477">
        <f>IFERROR(HLOOKUP($BR124,'Early Retirement'!$D$4:$AC$5,2,FALSE),0)</f>
        <v>0</v>
      </c>
      <c r="BU124" s="761">
        <f>IFERROR(INDEX('Early Retirement'!$AE$4:$BE$33,$BO124,$BR124),0)</f>
        <v>0</v>
      </c>
      <c r="BV124" s="759">
        <f>IFERROR(HLOOKUP($BR124,'Early Retirement'!$AF$4:$BE$5,2,FALSE),0)</f>
        <v>0</v>
      </c>
      <c r="BW124" s="479">
        <f t="shared" si="87"/>
        <v>0</v>
      </c>
      <c r="BX124" s="761">
        <f t="shared" si="81"/>
        <v>0</v>
      </c>
      <c r="BY124" s="477" t="s">
        <v>46</v>
      </c>
      <c r="BZ124" s="598">
        <f>IFERROR(INDEX('Early Retirement'!$BG$4:$CG$33,$BO124,$BR124),0)</f>
        <v>0</v>
      </c>
      <c r="CA124" s="759">
        <f>IFERROR(HLOOKUP($BR124,'Early Retirement'!$BH$4:$CH$5,2,FALSE),0)</f>
        <v>0</v>
      </c>
      <c r="CB124" s="598">
        <f t="shared" si="82"/>
        <v>0</v>
      </c>
      <c r="CC124" s="759" t="s">
        <v>567</v>
      </c>
      <c r="CD124" s="477" t="str">
        <f t="shared" si="58"/>
        <v>Yes</v>
      </c>
      <c r="CE124" s="479">
        <f t="shared" si="59"/>
        <v>0</v>
      </c>
      <c r="CF124" s="761">
        <f t="shared" si="60"/>
        <v>0</v>
      </c>
      <c r="CG124" s="759" t="s">
        <v>46</v>
      </c>
      <c r="CH124" s="598">
        <f t="shared" si="83"/>
        <v>0</v>
      </c>
      <c r="CI124" s="759" t="s">
        <v>567</v>
      </c>
      <c r="CJ124" s="480">
        <f t="shared" si="84"/>
        <v>0</v>
      </c>
      <c r="CK124" s="583">
        <f t="shared" si="85"/>
        <v>0</v>
      </c>
      <c r="CL124" s="596" t="s">
        <v>46</v>
      </c>
      <c r="CM124" s="581">
        <f t="shared" si="86"/>
        <v>0</v>
      </c>
      <c r="CN124" s="762" t="s">
        <v>567</v>
      </c>
      <c r="CP124" s="90" t="s">
        <v>220</v>
      </c>
      <c r="CQ124" s="124">
        <v>0.63400000000000001</v>
      </c>
      <c r="CR124" s="307" t="s">
        <v>46</v>
      </c>
      <c r="CS124" s="645">
        <v>0.59599999999999997</v>
      </c>
      <c r="CT124" s="551" t="s">
        <v>559</v>
      </c>
      <c r="CU124" s="645">
        <f t="shared" ref="CU124:CU138" si="97">$CQ124</f>
        <v>0.63400000000000001</v>
      </c>
      <c r="CV124" s="645">
        <f t="shared" si="92"/>
        <v>0.59599999999999997</v>
      </c>
      <c r="CW124" s="633" t="s">
        <v>46</v>
      </c>
      <c r="CX124" s="606"/>
      <c r="CY124" s="589"/>
      <c r="CZ124" s="606"/>
      <c r="DA124" s="609"/>
      <c r="DB124" s="562"/>
      <c r="DC124" s="562"/>
      <c r="DD124" s="562"/>
      <c r="DE124" s="562"/>
      <c r="DF124" s="562"/>
      <c r="DG124" s="562"/>
      <c r="DH124" s="562"/>
      <c r="DI124" s="562"/>
      <c r="DJ124" s="562"/>
      <c r="DK124" s="562"/>
      <c r="DL124" s="562"/>
      <c r="DM124" s="562"/>
      <c r="DN124" s="562"/>
      <c r="DO124" s="562"/>
      <c r="DP124" s="562"/>
      <c r="DQ124" s="562"/>
      <c r="DR124" s="562"/>
      <c r="DS124" s="562"/>
      <c r="DT124" s="562"/>
      <c r="DU124" s="562"/>
      <c r="DV124" s="562"/>
      <c r="DW124" s="562"/>
      <c r="DX124" s="562"/>
      <c r="DY124" s="562"/>
      <c r="DZ124" s="562"/>
      <c r="EA124" s="562"/>
      <c r="EB124" s="562"/>
      <c r="EC124" s="562"/>
      <c r="ED124" s="562"/>
      <c r="EE124" s="562"/>
      <c r="EF124" s="562"/>
      <c r="EG124" s="562"/>
      <c r="EH124" s="562"/>
      <c r="EI124" s="562"/>
      <c r="EJ124" s="562"/>
      <c r="EK124" s="562"/>
      <c r="EL124" s="562"/>
    </row>
    <row r="125" spans="2:142" s="78" customFormat="1" ht="15" customHeight="1" x14ac:dyDescent="0.25">
      <c r="B125" s="77"/>
      <c r="E125" s="77"/>
      <c r="H125" s="77"/>
      <c r="Y125" s="90">
        <v>123</v>
      </c>
      <c r="Z125" s="559" t="str">
        <f>IF(Inventory!$C132="","",VLOOKUP(Inventory!$C132,$B$3:$C$5,2,FALSE))</f>
        <v/>
      </c>
      <c r="AA125" s="559" t="str">
        <f>IF($Z125="","",IF(AND($Z125="b",Inventory!$G132=""),"",IF(AND($Z125="b",Inventory!$G132&lt;&gt;""),VLOOKUP(Inventory!$G132,$E$3:$F$10,2,FALSE),IF(AND($Z125="a",Inventory!$Z132=""),"",IF(AND($Z125="a",Inventory!$Z132&lt;&gt;""),VLOOKUP(Inventory!$Z132,$E$3:$F$10,2,FALSE),IF(AND($Z125="c",Inventory!$Z132=""),"",IF(AND($Z125="c",Inventory!$Z132&lt;&gt;""),VLOOKUP(Inventory!$Z132,$E$3:$F$10,2,FALSE),"")))))))</f>
        <v/>
      </c>
      <c r="AB125" s="559" t="str">
        <f>IF($Z125="","a",IF(AND($Z125="b",Inventory!$J132=""),"a",IF(AND($Z125="b",Inventory!$J132&lt;&gt;""),VLOOKUP(Inventory!$J132,$H$4:$I$6,2,FALSE),IF(AND($Z125="a",Inventory!$AA132=""),"a",IF(AND($Z125="a",Inventory!$AA132&lt;&gt;""),VLOOKUP(Inventory!$AA132,$H$4:$I$6,2,FALSE),IF(AND($Z125="c",Inventory!$AA132=""),"a",IF(AND($Z125="c",Inventory!$AA132&lt;&gt;""),VLOOKUP(Inventory!$AA132,$H$4:$I$6,2,FALSE),"a")))))))</f>
        <v>a</v>
      </c>
      <c r="AC125" s="559" t="str">
        <f t="shared" si="61"/>
        <v>a</v>
      </c>
      <c r="AD125" s="473" t="str">
        <f>IF($Z125="","a",IF(AND($Z125="b",Inventory!$L132=""),"a",IF(AND($Z125="b",Inventory!$L132&lt;&gt;""),VLOOKUP(Inventory!$L132,$N$4:$O$5,2,FALSE),IF(AND($Z125="a",Inventory!$AC132=""),"a",IF(AND($Z125="a",Inventory!$AC132&lt;&gt;""),VLOOKUP(Inventory!$AC132,$N$4:$O$5,2,FALSE),IF(AND($Z125="c",Inventory!$AC132=""),"a",IF(AND($Z125="c",Inventory!$AC132&lt;&gt;""),VLOOKUP(Inventory!$AC132,$N$4:$O$5,2,FALSE),"a")))))))</f>
        <v>a</v>
      </c>
      <c r="AE125" s="474">
        <f>IF(OR(Inventory!C132="New Construction",Inventory!C132="Replace-on-Burnout"),Inventory!AF132,IF(Inventory!C132="Early Retirement",MIN(Inventory!AE132,Inventory!AF132),0))</f>
        <v>0</v>
      </c>
      <c r="AF125" s="475" t="str">
        <f t="shared" si="62"/>
        <v/>
      </c>
      <c r="AG125" s="475" t="str">
        <f t="shared" si="50"/>
        <v/>
      </c>
      <c r="AH125" s="475" t="str">
        <f t="shared" si="51"/>
        <v/>
      </c>
      <c r="AI125" s="475" t="str">
        <f t="shared" si="52"/>
        <v/>
      </c>
      <c r="AJ125" s="475" t="str">
        <f t="shared" si="53"/>
        <v/>
      </c>
      <c r="AK125" s="475" t="str">
        <f t="shared" si="63"/>
        <v/>
      </c>
      <c r="AL125" s="475" t="str">
        <f t="shared" si="64"/>
        <v/>
      </c>
      <c r="AM125" s="475" t="str">
        <f t="shared" si="65"/>
        <v/>
      </c>
      <c r="AN125" s="475" t="str">
        <f t="shared" si="66"/>
        <v/>
      </c>
      <c r="AO125" s="475" t="str">
        <f t="shared" si="67"/>
        <v/>
      </c>
      <c r="AP125" s="475" t="str">
        <f t="shared" si="68"/>
        <v/>
      </c>
      <c r="AQ125" s="475" t="str">
        <f t="shared" si="69"/>
        <v/>
      </c>
      <c r="AR125" s="475" t="str">
        <f t="shared" si="70"/>
        <v/>
      </c>
      <c r="AS125" s="475" t="str">
        <f t="shared" si="71"/>
        <v/>
      </c>
      <c r="AT125" s="475" t="str">
        <f t="shared" si="72"/>
        <v/>
      </c>
      <c r="AU125" s="475" t="str">
        <f t="shared" si="73"/>
        <v/>
      </c>
      <c r="AV125" s="475" t="str">
        <f t="shared" si="54"/>
        <v/>
      </c>
      <c r="AW125" s="473">
        <f t="shared" si="55"/>
        <v>0</v>
      </c>
      <c r="AX125" s="473" t="str">
        <f>IF(AND($Z125="b",OR($AA125="a",$AA125="b"),Inventory!$I132="",$AE125&lt;(65000/12000)),"x",IF(AND($Z125="b",OR($AA125="a",$AA125="b"),Inventory!$I132&lt;&gt;"",$AE125&lt;(65000/12000)),VLOOKUP(Inventory!$I132,$V$4:$W$5,2,FALSE),"x"))</f>
        <v>x</v>
      </c>
      <c r="AY125" s="476" t="str">
        <f t="shared" si="74"/>
        <v>aaa0</v>
      </c>
      <c r="AZ125" s="477" t="str">
        <f t="shared" si="75"/>
        <v>No</v>
      </c>
      <c r="BA125" s="759" t="str">
        <f t="shared" si="76"/>
        <v>No</v>
      </c>
      <c r="BB125" s="477">
        <f>IF($Z125="c",Inventory!$AB132,Inventory!$K132)</f>
        <v>0</v>
      </c>
      <c r="BC125" s="478">
        <f>IF(AND($Z125="b",Inventory!$N132="Btu/hr"),Inventory!$M132,IF(AND($Z125="b",Inventory!$N132="Tons"),Inventory!$M132*12000,IF(AND($Z125&lt;&gt;"b",Inventory!$AK132="Btu/hr"),Inventory!$AD132,IF(AND($Z125&lt;&gt;"b",Inventory!$AK132="Tons"),Inventory!$AD132*12000,0))))</f>
        <v>0</v>
      </c>
      <c r="BD125" s="478">
        <f t="shared" si="95"/>
        <v>0</v>
      </c>
      <c r="BE125" s="479">
        <f t="shared" si="77"/>
        <v>0</v>
      </c>
      <c r="BF125" s="477" t="s">
        <v>50</v>
      </c>
      <c r="BG125" s="479">
        <f t="shared" si="56"/>
        <v>0</v>
      </c>
      <c r="BH125" s="477" t="s">
        <v>46</v>
      </c>
      <c r="BI125" s="760">
        <f>IF(AND($Z125="b",Inventory!$P132="Btu/hr"),Inventory!$O132,IF(AND($Z125="b",Inventory!$P132="Tons"),Inventory!$O132*12000,IF(AND($Z125&lt;&gt;"b",Inventory!$AM132="Btu/hr"),Inventory!$AL132,IF(AND($Z125&lt;&gt;"b",Inventory!$AM132="Tons"),Inventory!$AL132*12000,0))))</f>
        <v>0</v>
      </c>
      <c r="BJ125" s="760">
        <f t="shared" si="96"/>
        <v>0</v>
      </c>
      <c r="BK125" s="598">
        <f t="shared" si="78"/>
        <v>0</v>
      </c>
      <c r="BL125" s="759" t="s">
        <v>567</v>
      </c>
      <c r="BM125" s="477" t="str">
        <f t="shared" si="57"/>
        <v>No</v>
      </c>
      <c r="BN125" s="477" t="str">
        <f>IF(OR(Inventory!$H132="",$BM125="No"),"-",Inventory!$H132)</f>
        <v>-</v>
      </c>
      <c r="BO125" s="477" t="str">
        <f>IFERROR(VLOOKUP(BN125,'Early Retirement'!$B$6:$C$33,2,FALSE),"-")</f>
        <v>-</v>
      </c>
      <c r="BP125" s="477" t="str">
        <f>IF(Inventory!$J132="Centrifugal","Yes","No")</f>
        <v>No</v>
      </c>
      <c r="BQ125" s="477">
        <f t="shared" si="79"/>
        <v>0</v>
      </c>
      <c r="BR125" s="477" t="str">
        <f t="shared" si="80"/>
        <v>-</v>
      </c>
      <c r="BS125" s="479">
        <f>IFERROR(INDEX('Early Retirement'!$C$4:$AC$33,$BO125,$BR125),0)</f>
        <v>0</v>
      </c>
      <c r="BT125" s="477">
        <f>IFERROR(HLOOKUP($BR125,'Early Retirement'!$D$4:$AC$5,2,FALSE),0)</f>
        <v>0</v>
      </c>
      <c r="BU125" s="761">
        <f>IFERROR(INDEX('Early Retirement'!$AE$4:$BE$33,$BO125,$BR125),0)</f>
        <v>0</v>
      </c>
      <c r="BV125" s="759">
        <f>IFERROR(HLOOKUP($BR125,'Early Retirement'!$AF$4:$BE$5,2,FALSE),0)</f>
        <v>0</v>
      </c>
      <c r="BW125" s="479">
        <f t="shared" si="87"/>
        <v>0</v>
      </c>
      <c r="BX125" s="761">
        <f t="shared" si="81"/>
        <v>0</v>
      </c>
      <c r="BY125" s="477" t="s">
        <v>46</v>
      </c>
      <c r="BZ125" s="598">
        <f>IFERROR(INDEX('Early Retirement'!$BG$4:$CG$33,$BO125,$BR125),0)</f>
        <v>0</v>
      </c>
      <c r="CA125" s="759">
        <f>IFERROR(HLOOKUP($BR125,'Early Retirement'!$BH$4:$CH$5,2,FALSE),0)</f>
        <v>0</v>
      </c>
      <c r="CB125" s="598">
        <f t="shared" si="82"/>
        <v>0</v>
      </c>
      <c r="CC125" s="759" t="s">
        <v>567</v>
      </c>
      <c r="CD125" s="477" t="str">
        <f t="shared" si="58"/>
        <v>Yes</v>
      </c>
      <c r="CE125" s="479">
        <f t="shared" si="59"/>
        <v>0</v>
      </c>
      <c r="CF125" s="761">
        <f t="shared" si="60"/>
        <v>0</v>
      </c>
      <c r="CG125" s="759" t="s">
        <v>46</v>
      </c>
      <c r="CH125" s="598">
        <f t="shared" si="83"/>
        <v>0</v>
      </c>
      <c r="CI125" s="759" t="s">
        <v>567</v>
      </c>
      <c r="CJ125" s="480">
        <f t="shared" si="84"/>
        <v>0</v>
      </c>
      <c r="CK125" s="583">
        <f t="shared" si="85"/>
        <v>0</v>
      </c>
      <c r="CL125" s="596" t="s">
        <v>46</v>
      </c>
      <c r="CM125" s="581">
        <f t="shared" si="86"/>
        <v>0</v>
      </c>
      <c r="CN125" s="762" t="s">
        <v>567</v>
      </c>
      <c r="CP125" s="90" t="s">
        <v>221</v>
      </c>
      <c r="CQ125" s="124">
        <v>0.63400000000000001</v>
      </c>
      <c r="CR125" s="307" t="s">
        <v>46</v>
      </c>
      <c r="CS125" s="645">
        <v>0.59599999999999997</v>
      </c>
      <c r="CT125" s="551" t="s">
        <v>559</v>
      </c>
      <c r="CU125" s="645">
        <f t="shared" si="97"/>
        <v>0.63400000000000001</v>
      </c>
      <c r="CV125" s="645">
        <f t="shared" si="92"/>
        <v>0.59599999999999997</v>
      </c>
      <c r="CW125" s="633" t="s">
        <v>46</v>
      </c>
      <c r="CX125" s="606"/>
      <c r="CY125" s="589"/>
      <c r="CZ125" s="606"/>
      <c r="DA125" s="609"/>
      <c r="DB125" s="562"/>
      <c r="DC125" s="562"/>
      <c r="DD125" s="562"/>
      <c r="DE125" s="562"/>
      <c r="DF125" s="562"/>
      <c r="DG125" s="562"/>
      <c r="DH125" s="562"/>
      <c r="DI125" s="562"/>
      <c r="DJ125" s="562"/>
      <c r="DK125" s="562"/>
      <c r="DL125" s="562"/>
      <c r="DM125" s="562"/>
      <c r="DN125" s="562"/>
      <c r="DO125" s="562"/>
      <c r="DP125" s="562"/>
      <c r="DQ125" s="562"/>
      <c r="DR125" s="562"/>
      <c r="DS125" s="562"/>
      <c r="DT125" s="562"/>
      <c r="DU125" s="562"/>
      <c r="DV125" s="562"/>
      <c r="DW125" s="562"/>
      <c r="DX125" s="562"/>
      <c r="DY125" s="562"/>
      <c r="DZ125" s="562"/>
      <c r="EA125" s="562"/>
      <c r="EB125" s="562"/>
      <c r="EC125" s="562"/>
      <c r="ED125" s="562"/>
      <c r="EE125" s="562"/>
      <c r="EF125" s="562"/>
      <c r="EG125" s="562"/>
      <c r="EH125" s="562"/>
      <c r="EI125" s="562"/>
      <c r="EJ125" s="562"/>
      <c r="EK125" s="562"/>
      <c r="EL125" s="562"/>
    </row>
    <row r="126" spans="2:142" s="78" customFormat="1" ht="15" customHeight="1" x14ac:dyDescent="0.25">
      <c r="B126" s="77"/>
      <c r="E126" s="77"/>
      <c r="H126" s="77"/>
      <c r="Y126" s="90">
        <v>124</v>
      </c>
      <c r="Z126" s="559" t="str">
        <f>IF(Inventory!$C133="","",VLOOKUP(Inventory!$C133,$B$3:$C$5,2,FALSE))</f>
        <v/>
      </c>
      <c r="AA126" s="559" t="str">
        <f>IF($Z126="","",IF(AND($Z126="b",Inventory!$G133=""),"",IF(AND($Z126="b",Inventory!$G133&lt;&gt;""),VLOOKUP(Inventory!$G133,$E$3:$F$10,2,FALSE),IF(AND($Z126="a",Inventory!$Z133=""),"",IF(AND($Z126="a",Inventory!$Z133&lt;&gt;""),VLOOKUP(Inventory!$Z133,$E$3:$F$10,2,FALSE),IF(AND($Z126="c",Inventory!$Z133=""),"",IF(AND($Z126="c",Inventory!$Z133&lt;&gt;""),VLOOKUP(Inventory!$Z133,$E$3:$F$10,2,FALSE),"")))))))</f>
        <v/>
      </c>
      <c r="AB126" s="559" t="str">
        <f>IF($Z126="","a",IF(AND($Z126="b",Inventory!$J133=""),"a",IF(AND($Z126="b",Inventory!$J133&lt;&gt;""),VLOOKUP(Inventory!$J133,$H$4:$I$6,2,FALSE),IF(AND($Z126="a",Inventory!$AA133=""),"a",IF(AND($Z126="a",Inventory!$AA133&lt;&gt;""),VLOOKUP(Inventory!$AA133,$H$4:$I$6,2,FALSE),IF(AND($Z126="c",Inventory!$AA133=""),"a",IF(AND($Z126="c",Inventory!$AA133&lt;&gt;""),VLOOKUP(Inventory!$AA133,$H$4:$I$6,2,FALSE),"a")))))))</f>
        <v>a</v>
      </c>
      <c r="AC126" s="559" t="str">
        <f t="shared" si="61"/>
        <v>a</v>
      </c>
      <c r="AD126" s="473" t="str">
        <f>IF($Z126="","a",IF(AND($Z126="b",Inventory!$L133=""),"a",IF(AND($Z126="b",Inventory!$L133&lt;&gt;""),VLOOKUP(Inventory!$L133,$N$4:$O$5,2,FALSE),IF(AND($Z126="a",Inventory!$AC133=""),"a",IF(AND($Z126="a",Inventory!$AC133&lt;&gt;""),VLOOKUP(Inventory!$AC133,$N$4:$O$5,2,FALSE),IF(AND($Z126="c",Inventory!$AC133=""),"a",IF(AND($Z126="c",Inventory!$AC133&lt;&gt;""),VLOOKUP(Inventory!$AC133,$N$4:$O$5,2,FALSE),"a")))))))</f>
        <v>a</v>
      </c>
      <c r="AE126" s="474">
        <f>IF(OR(Inventory!C133="New Construction",Inventory!C133="Replace-on-Burnout"),Inventory!AF133,IF(Inventory!C133="Early Retirement",MIN(Inventory!AE133,Inventory!AF133),0))</f>
        <v>0</v>
      </c>
      <c r="AF126" s="475" t="str">
        <f t="shared" si="62"/>
        <v/>
      </c>
      <c r="AG126" s="475" t="str">
        <f t="shared" si="50"/>
        <v/>
      </c>
      <c r="AH126" s="475" t="str">
        <f t="shared" si="51"/>
        <v/>
      </c>
      <c r="AI126" s="475" t="str">
        <f t="shared" si="52"/>
        <v/>
      </c>
      <c r="AJ126" s="475" t="str">
        <f t="shared" si="53"/>
        <v/>
      </c>
      <c r="AK126" s="475" t="str">
        <f t="shared" si="63"/>
        <v/>
      </c>
      <c r="AL126" s="475" t="str">
        <f t="shared" si="64"/>
        <v/>
      </c>
      <c r="AM126" s="475" t="str">
        <f t="shared" si="65"/>
        <v/>
      </c>
      <c r="AN126" s="475" t="str">
        <f t="shared" si="66"/>
        <v/>
      </c>
      <c r="AO126" s="475" t="str">
        <f t="shared" si="67"/>
        <v/>
      </c>
      <c r="AP126" s="475" t="str">
        <f t="shared" si="68"/>
        <v/>
      </c>
      <c r="AQ126" s="475" t="str">
        <f t="shared" si="69"/>
        <v/>
      </c>
      <c r="AR126" s="475" t="str">
        <f t="shared" si="70"/>
        <v/>
      </c>
      <c r="AS126" s="475" t="str">
        <f t="shared" si="71"/>
        <v/>
      </c>
      <c r="AT126" s="475" t="str">
        <f t="shared" si="72"/>
        <v/>
      </c>
      <c r="AU126" s="475" t="str">
        <f t="shared" si="73"/>
        <v/>
      </c>
      <c r="AV126" s="475" t="str">
        <f t="shared" si="54"/>
        <v/>
      </c>
      <c r="AW126" s="473">
        <f t="shared" si="55"/>
        <v>0</v>
      </c>
      <c r="AX126" s="473" t="str">
        <f>IF(AND($Z126="b",OR($AA126="a",$AA126="b"),Inventory!$I133="",$AE126&lt;(65000/12000)),"x",IF(AND($Z126="b",OR($AA126="a",$AA126="b"),Inventory!$I133&lt;&gt;"",$AE126&lt;(65000/12000)),VLOOKUP(Inventory!$I133,$V$4:$W$5,2,FALSE),"x"))</f>
        <v>x</v>
      </c>
      <c r="AY126" s="476" t="str">
        <f t="shared" si="74"/>
        <v>aaa0</v>
      </c>
      <c r="AZ126" s="477" t="str">
        <f t="shared" si="75"/>
        <v>No</v>
      </c>
      <c r="BA126" s="759" t="str">
        <f t="shared" si="76"/>
        <v>No</v>
      </c>
      <c r="BB126" s="477">
        <f>IF($Z126="c",Inventory!$AB133,Inventory!$K133)</f>
        <v>0</v>
      </c>
      <c r="BC126" s="478">
        <f>IF(AND($Z126="b",Inventory!$N133="Btu/hr"),Inventory!$M133,IF(AND($Z126="b",Inventory!$N133="Tons"),Inventory!$M133*12000,IF(AND($Z126&lt;&gt;"b",Inventory!$AK133="Btu/hr"),Inventory!$AD133,IF(AND($Z126&lt;&gt;"b",Inventory!$AK133="Tons"),Inventory!$AD133*12000,0))))</f>
        <v>0</v>
      </c>
      <c r="BD126" s="478">
        <f t="shared" si="95"/>
        <v>0</v>
      </c>
      <c r="BE126" s="479">
        <f t="shared" si="77"/>
        <v>0</v>
      </c>
      <c r="BF126" s="477" t="s">
        <v>50</v>
      </c>
      <c r="BG126" s="479">
        <f t="shared" si="56"/>
        <v>0</v>
      </c>
      <c r="BH126" s="477" t="s">
        <v>46</v>
      </c>
      <c r="BI126" s="760">
        <f>IF(AND($Z126="b",Inventory!$P133="Btu/hr"),Inventory!$O133,IF(AND($Z126="b",Inventory!$P133="Tons"),Inventory!$O133*12000,IF(AND($Z126&lt;&gt;"b",Inventory!$AM133="Btu/hr"),Inventory!$AL133,IF(AND($Z126&lt;&gt;"b",Inventory!$AM133="Tons"),Inventory!$AL133*12000,0))))</f>
        <v>0</v>
      </c>
      <c r="BJ126" s="760">
        <f t="shared" si="96"/>
        <v>0</v>
      </c>
      <c r="BK126" s="598">
        <f t="shared" si="78"/>
        <v>0</v>
      </c>
      <c r="BL126" s="759" t="s">
        <v>567</v>
      </c>
      <c r="BM126" s="477" t="str">
        <f t="shared" si="57"/>
        <v>No</v>
      </c>
      <c r="BN126" s="477" t="str">
        <f>IF(OR(Inventory!$H133="",$BM126="No"),"-",Inventory!$H133)</f>
        <v>-</v>
      </c>
      <c r="BO126" s="477" t="str">
        <f>IFERROR(VLOOKUP(BN126,'Early Retirement'!$B$6:$C$33,2,FALSE),"-")</f>
        <v>-</v>
      </c>
      <c r="BP126" s="477" t="str">
        <f>IF(Inventory!$J133="Centrifugal","Yes","No")</f>
        <v>No</v>
      </c>
      <c r="BQ126" s="477">
        <f t="shared" si="79"/>
        <v>0</v>
      </c>
      <c r="BR126" s="477" t="str">
        <f t="shared" si="80"/>
        <v>-</v>
      </c>
      <c r="BS126" s="479">
        <f>IFERROR(INDEX('Early Retirement'!$C$4:$AC$33,$BO126,$BR126),0)</f>
        <v>0</v>
      </c>
      <c r="BT126" s="477">
        <f>IFERROR(HLOOKUP($BR126,'Early Retirement'!$D$4:$AC$5,2,FALSE),0)</f>
        <v>0</v>
      </c>
      <c r="BU126" s="761">
        <f>IFERROR(INDEX('Early Retirement'!$AE$4:$BE$33,$BO126,$BR126),0)</f>
        <v>0</v>
      </c>
      <c r="BV126" s="759">
        <f>IFERROR(HLOOKUP($BR126,'Early Retirement'!$AF$4:$BE$5,2,FALSE),0)</f>
        <v>0</v>
      </c>
      <c r="BW126" s="479">
        <f t="shared" si="87"/>
        <v>0</v>
      </c>
      <c r="BX126" s="761">
        <f t="shared" si="81"/>
        <v>0</v>
      </c>
      <c r="BY126" s="477" t="s">
        <v>46</v>
      </c>
      <c r="BZ126" s="598">
        <f>IFERROR(INDEX('Early Retirement'!$BG$4:$CG$33,$BO126,$BR126),0)</f>
        <v>0</v>
      </c>
      <c r="CA126" s="759">
        <f>IFERROR(HLOOKUP($BR126,'Early Retirement'!$BH$4:$CH$5,2,FALSE),0)</f>
        <v>0</v>
      </c>
      <c r="CB126" s="598">
        <f t="shared" si="82"/>
        <v>0</v>
      </c>
      <c r="CC126" s="759" t="s">
        <v>567</v>
      </c>
      <c r="CD126" s="477" t="str">
        <f t="shared" si="58"/>
        <v>Yes</v>
      </c>
      <c r="CE126" s="479">
        <f t="shared" si="59"/>
        <v>0</v>
      </c>
      <c r="CF126" s="761">
        <f t="shared" si="60"/>
        <v>0</v>
      </c>
      <c r="CG126" s="759" t="s">
        <v>46</v>
      </c>
      <c r="CH126" s="598">
        <f t="shared" si="83"/>
        <v>0</v>
      </c>
      <c r="CI126" s="759" t="s">
        <v>567</v>
      </c>
      <c r="CJ126" s="480">
        <f t="shared" si="84"/>
        <v>0</v>
      </c>
      <c r="CK126" s="583">
        <f t="shared" si="85"/>
        <v>0</v>
      </c>
      <c r="CL126" s="596" t="s">
        <v>46</v>
      </c>
      <c r="CM126" s="581">
        <f t="shared" si="86"/>
        <v>0</v>
      </c>
      <c r="CN126" s="762" t="s">
        <v>567</v>
      </c>
      <c r="CP126" s="90" t="s">
        <v>222</v>
      </c>
      <c r="CQ126" s="124">
        <v>0.63400000000000001</v>
      </c>
      <c r="CR126" s="307" t="s">
        <v>46</v>
      </c>
      <c r="CS126" s="645">
        <v>0.59599999999999997</v>
      </c>
      <c r="CT126" s="551" t="s">
        <v>559</v>
      </c>
      <c r="CU126" s="645">
        <f t="shared" si="97"/>
        <v>0.63400000000000001</v>
      </c>
      <c r="CV126" s="645">
        <f t="shared" si="92"/>
        <v>0.59599999999999997</v>
      </c>
      <c r="CW126" s="633" t="s">
        <v>46</v>
      </c>
      <c r="CX126" s="606"/>
      <c r="CY126" s="589"/>
      <c r="CZ126" s="606"/>
      <c r="DA126" s="609"/>
      <c r="DB126" s="562"/>
      <c r="DC126" s="562"/>
      <c r="DD126" s="562"/>
      <c r="DE126" s="562"/>
      <c r="DF126" s="562"/>
      <c r="DG126" s="562"/>
      <c r="DH126" s="562"/>
      <c r="DI126" s="562"/>
      <c r="DJ126" s="562"/>
      <c r="DK126" s="562"/>
      <c r="DL126" s="562"/>
      <c r="DM126" s="562"/>
      <c r="DN126" s="562"/>
      <c r="DO126" s="562"/>
      <c r="DP126" s="562"/>
      <c r="DQ126" s="562"/>
      <c r="DR126" s="562"/>
      <c r="DS126" s="562"/>
      <c r="DT126" s="562"/>
      <c r="DU126" s="562"/>
      <c r="DV126" s="562"/>
      <c r="DW126" s="562"/>
      <c r="DX126" s="562"/>
      <c r="DY126" s="562"/>
      <c r="DZ126" s="562"/>
      <c r="EA126" s="562"/>
      <c r="EB126" s="562"/>
      <c r="EC126" s="562"/>
      <c r="ED126" s="562"/>
      <c r="EE126" s="562"/>
      <c r="EF126" s="562"/>
      <c r="EG126" s="562"/>
      <c r="EH126" s="562"/>
      <c r="EI126" s="562"/>
      <c r="EJ126" s="562"/>
      <c r="EK126" s="562"/>
      <c r="EL126" s="562"/>
    </row>
    <row r="127" spans="2:142" s="78" customFormat="1" ht="15" customHeight="1" x14ac:dyDescent="0.25">
      <c r="B127" s="77"/>
      <c r="E127" s="77"/>
      <c r="H127" s="77"/>
      <c r="Y127" s="90">
        <v>125</v>
      </c>
      <c r="Z127" s="559" t="str">
        <f>IF(Inventory!$C134="","",VLOOKUP(Inventory!$C134,$B$3:$C$5,2,FALSE))</f>
        <v/>
      </c>
      <c r="AA127" s="559" t="str">
        <f>IF($Z127="","",IF(AND($Z127="b",Inventory!$G134=""),"",IF(AND($Z127="b",Inventory!$G134&lt;&gt;""),VLOOKUP(Inventory!$G134,$E$3:$F$10,2,FALSE),IF(AND($Z127="a",Inventory!$Z134=""),"",IF(AND($Z127="a",Inventory!$Z134&lt;&gt;""),VLOOKUP(Inventory!$Z134,$E$3:$F$10,2,FALSE),IF(AND($Z127="c",Inventory!$Z134=""),"",IF(AND($Z127="c",Inventory!$Z134&lt;&gt;""),VLOOKUP(Inventory!$Z134,$E$3:$F$10,2,FALSE),"")))))))</f>
        <v/>
      </c>
      <c r="AB127" s="559" t="str">
        <f>IF($Z127="","a",IF(AND($Z127="b",Inventory!$J134=""),"a",IF(AND($Z127="b",Inventory!$J134&lt;&gt;""),VLOOKUP(Inventory!$J134,$H$4:$I$6,2,FALSE),IF(AND($Z127="a",Inventory!$AA134=""),"a",IF(AND($Z127="a",Inventory!$AA134&lt;&gt;""),VLOOKUP(Inventory!$AA134,$H$4:$I$6,2,FALSE),IF(AND($Z127="c",Inventory!$AA134=""),"a",IF(AND($Z127="c",Inventory!$AA134&lt;&gt;""),VLOOKUP(Inventory!$AA134,$H$4:$I$6,2,FALSE),"a")))))))</f>
        <v>a</v>
      </c>
      <c r="AC127" s="559" t="str">
        <f t="shared" si="61"/>
        <v>a</v>
      </c>
      <c r="AD127" s="473" t="str">
        <f>IF($Z127="","a",IF(AND($Z127="b",Inventory!$L134=""),"a",IF(AND($Z127="b",Inventory!$L134&lt;&gt;""),VLOOKUP(Inventory!$L134,$N$4:$O$5,2,FALSE),IF(AND($Z127="a",Inventory!$AC134=""),"a",IF(AND($Z127="a",Inventory!$AC134&lt;&gt;""),VLOOKUP(Inventory!$AC134,$N$4:$O$5,2,FALSE),IF(AND($Z127="c",Inventory!$AC134=""),"a",IF(AND($Z127="c",Inventory!$AC134&lt;&gt;""),VLOOKUP(Inventory!$AC134,$N$4:$O$5,2,FALSE),"a")))))))</f>
        <v>a</v>
      </c>
      <c r="AE127" s="474">
        <f>IF(OR(Inventory!C134="New Construction",Inventory!C134="Replace-on-Burnout"),Inventory!AF134,IF(Inventory!C134="Early Retirement",MIN(Inventory!AE134,Inventory!AF134),0))</f>
        <v>0</v>
      </c>
      <c r="AF127" s="475" t="str">
        <f t="shared" si="62"/>
        <v/>
      </c>
      <c r="AG127" s="475" t="str">
        <f t="shared" si="50"/>
        <v/>
      </c>
      <c r="AH127" s="475" t="str">
        <f t="shared" si="51"/>
        <v/>
      </c>
      <c r="AI127" s="475" t="str">
        <f t="shared" si="52"/>
        <v/>
      </c>
      <c r="AJ127" s="475" t="str">
        <f t="shared" si="53"/>
        <v/>
      </c>
      <c r="AK127" s="475" t="str">
        <f t="shared" si="63"/>
        <v/>
      </c>
      <c r="AL127" s="475" t="str">
        <f t="shared" si="64"/>
        <v/>
      </c>
      <c r="AM127" s="475" t="str">
        <f t="shared" si="65"/>
        <v/>
      </c>
      <c r="AN127" s="475" t="str">
        <f t="shared" si="66"/>
        <v/>
      </c>
      <c r="AO127" s="475" t="str">
        <f t="shared" si="67"/>
        <v/>
      </c>
      <c r="AP127" s="475" t="str">
        <f t="shared" si="68"/>
        <v/>
      </c>
      <c r="AQ127" s="475" t="str">
        <f t="shared" si="69"/>
        <v/>
      </c>
      <c r="AR127" s="475" t="str">
        <f t="shared" si="70"/>
        <v/>
      </c>
      <c r="AS127" s="475" t="str">
        <f t="shared" si="71"/>
        <v/>
      </c>
      <c r="AT127" s="475" t="str">
        <f t="shared" si="72"/>
        <v/>
      </c>
      <c r="AU127" s="475" t="str">
        <f t="shared" si="73"/>
        <v/>
      </c>
      <c r="AV127" s="475" t="str">
        <f t="shared" si="54"/>
        <v/>
      </c>
      <c r="AW127" s="473">
        <f t="shared" si="55"/>
        <v>0</v>
      </c>
      <c r="AX127" s="473" t="str">
        <f>IF(AND($Z127="b",OR($AA127="a",$AA127="b"),Inventory!$I134="",$AE127&lt;(65000/12000)),"x",IF(AND($Z127="b",OR($AA127="a",$AA127="b"),Inventory!$I134&lt;&gt;"",$AE127&lt;(65000/12000)),VLOOKUP(Inventory!$I134,$V$4:$W$5,2,FALSE),"x"))</f>
        <v>x</v>
      </c>
      <c r="AY127" s="476" t="str">
        <f t="shared" si="74"/>
        <v>aaa0</v>
      </c>
      <c r="AZ127" s="477" t="str">
        <f t="shared" si="75"/>
        <v>No</v>
      </c>
      <c r="BA127" s="759" t="str">
        <f t="shared" si="76"/>
        <v>No</v>
      </c>
      <c r="BB127" s="477">
        <f>IF($Z127="c",Inventory!$AB134,Inventory!$K134)</f>
        <v>0</v>
      </c>
      <c r="BC127" s="478">
        <f>IF(AND($Z127="b",Inventory!$N134="Btu/hr"),Inventory!$M134,IF(AND($Z127="b",Inventory!$N134="Tons"),Inventory!$M134*12000,IF(AND($Z127&lt;&gt;"b",Inventory!$AK134="Btu/hr"),Inventory!$AD134,IF(AND($Z127&lt;&gt;"b",Inventory!$AK134="Tons"),Inventory!$AD134*12000,0))))</f>
        <v>0</v>
      </c>
      <c r="BD127" s="478">
        <f t="shared" si="95"/>
        <v>0</v>
      </c>
      <c r="BE127" s="479">
        <f t="shared" si="77"/>
        <v>0</v>
      </c>
      <c r="BF127" s="477" t="s">
        <v>50</v>
      </c>
      <c r="BG127" s="479">
        <f t="shared" si="56"/>
        <v>0</v>
      </c>
      <c r="BH127" s="477" t="s">
        <v>46</v>
      </c>
      <c r="BI127" s="760">
        <f>IF(AND($Z127="b",Inventory!$P134="Btu/hr"),Inventory!$O134,IF(AND($Z127="b",Inventory!$P134="Tons"),Inventory!$O134*12000,IF(AND($Z127&lt;&gt;"b",Inventory!$AM134="Btu/hr"),Inventory!$AL134,IF(AND($Z127&lt;&gt;"b",Inventory!$AM134="Tons"),Inventory!$AL134*12000,0))))</f>
        <v>0</v>
      </c>
      <c r="BJ127" s="760">
        <f t="shared" si="96"/>
        <v>0</v>
      </c>
      <c r="BK127" s="598">
        <f t="shared" si="78"/>
        <v>0</v>
      </c>
      <c r="BL127" s="759" t="s">
        <v>567</v>
      </c>
      <c r="BM127" s="477" t="str">
        <f t="shared" si="57"/>
        <v>No</v>
      </c>
      <c r="BN127" s="477" t="str">
        <f>IF(OR(Inventory!$H134="",$BM127="No"),"-",Inventory!$H134)</f>
        <v>-</v>
      </c>
      <c r="BO127" s="477" t="str">
        <f>IFERROR(VLOOKUP(BN127,'Early Retirement'!$B$6:$C$33,2,FALSE),"-")</f>
        <v>-</v>
      </c>
      <c r="BP127" s="477" t="str">
        <f>IF(Inventory!$J134="Centrifugal","Yes","No")</f>
        <v>No</v>
      </c>
      <c r="BQ127" s="477">
        <f t="shared" si="79"/>
        <v>0</v>
      </c>
      <c r="BR127" s="477" t="str">
        <f t="shared" si="80"/>
        <v>-</v>
      </c>
      <c r="BS127" s="479">
        <f>IFERROR(INDEX('Early Retirement'!$C$4:$AC$33,$BO127,$BR127),0)</f>
        <v>0</v>
      </c>
      <c r="BT127" s="477">
        <f>IFERROR(HLOOKUP($BR127,'Early Retirement'!$D$4:$AC$5,2,FALSE),0)</f>
        <v>0</v>
      </c>
      <c r="BU127" s="761">
        <f>IFERROR(INDEX('Early Retirement'!$AE$4:$BE$33,$BO127,$BR127),0)</f>
        <v>0</v>
      </c>
      <c r="BV127" s="759">
        <f>IFERROR(HLOOKUP($BR127,'Early Retirement'!$AF$4:$BE$5,2,FALSE),0)</f>
        <v>0</v>
      </c>
      <c r="BW127" s="479">
        <f t="shared" si="87"/>
        <v>0</v>
      </c>
      <c r="BX127" s="761">
        <f t="shared" si="81"/>
        <v>0</v>
      </c>
      <c r="BY127" s="477" t="s">
        <v>46</v>
      </c>
      <c r="BZ127" s="598">
        <f>IFERROR(INDEX('Early Retirement'!$BG$4:$CG$33,$BO127,$BR127),0)</f>
        <v>0</v>
      </c>
      <c r="CA127" s="759">
        <f>IFERROR(HLOOKUP($BR127,'Early Retirement'!$BH$4:$CH$5,2,FALSE),0)</f>
        <v>0</v>
      </c>
      <c r="CB127" s="598">
        <f t="shared" si="82"/>
        <v>0</v>
      </c>
      <c r="CC127" s="759" t="s">
        <v>567</v>
      </c>
      <c r="CD127" s="477" t="str">
        <f t="shared" si="58"/>
        <v>Yes</v>
      </c>
      <c r="CE127" s="479">
        <f t="shared" si="59"/>
        <v>0</v>
      </c>
      <c r="CF127" s="761">
        <f t="shared" si="60"/>
        <v>0</v>
      </c>
      <c r="CG127" s="759" t="s">
        <v>46</v>
      </c>
      <c r="CH127" s="598">
        <f t="shared" si="83"/>
        <v>0</v>
      </c>
      <c r="CI127" s="759" t="s">
        <v>567</v>
      </c>
      <c r="CJ127" s="480">
        <f t="shared" si="84"/>
        <v>0</v>
      </c>
      <c r="CK127" s="583">
        <f t="shared" si="85"/>
        <v>0</v>
      </c>
      <c r="CL127" s="596" t="s">
        <v>46</v>
      </c>
      <c r="CM127" s="581">
        <f t="shared" si="86"/>
        <v>0</v>
      </c>
      <c r="CN127" s="762" t="s">
        <v>567</v>
      </c>
      <c r="CP127" s="90" t="s">
        <v>525</v>
      </c>
      <c r="CQ127" s="124">
        <v>0.57599999999999996</v>
      </c>
      <c r="CR127" s="307" t="s">
        <v>46</v>
      </c>
      <c r="CS127" s="645">
        <v>0.54900000000000004</v>
      </c>
      <c r="CT127" s="551" t="s">
        <v>559</v>
      </c>
      <c r="CU127" s="645">
        <f t="shared" si="97"/>
        <v>0.57599999999999996</v>
      </c>
      <c r="CV127" s="645">
        <f t="shared" si="92"/>
        <v>0.54900000000000004</v>
      </c>
      <c r="CW127" s="633" t="s">
        <v>46</v>
      </c>
      <c r="CX127" s="606"/>
      <c r="CY127" s="589"/>
      <c r="CZ127" s="606"/>
      <c r="DA127" s="609"/>
      <c r="DB127" s="562"/>
      <c r="DC127" s="562"/>
      <c r="DD127" s="562"/>
      <c r="DE127" s="562"/>
      <c r="DF127" s="562"/>
      <c r="DG127" s="562"/>
      <c r="DH127" s="562"/>
      <c r="DI127" s="562"/>
      <c r="DJ127" s="562"/>
      <c r="DK127" s="562"/>
      <c r="DL127" s="562"/>
      <c r="DM127" s="562"/>
      <c r="DN127" s="562"/>
      <c r="DO127" s="562"/>
      <c r="DP127" s="562"/>
      <c r="DQ127" s="562"/>
      <c r="DR127" s="562"/>
      <c r="DS127" s="562"/>
      <c r="DT127" s="562"/>
      <c r="DU127" s="562"/>
      <c r="DV127" s="562"/>
      <c r="DW127" s="562"/>
      <c r="DX127" s="562"/>
      <c r="DY127" s="562"/>
      <c r="DZ127" s="562"/>
      <c r="EA127" s="562"/>
      <c r="EB127" s="562"/>
      <c r="EC127" s="562"/>
      <c r="ED127" s="562"/>
      <c r="EE127" s="562"/>
      <c r="EF127" s="562"/>
      <c r="EG127" s="562"/>
      <c r="EH127" s="562"/>
      <c r="EI127" s="562"/>
      <c r="EJ127" s="562"/>
      <c r="EK127" s="562"/>
      <c r="EL127" s="562"/>
    </row>
    <row r="128" spans="2:142" s="78" customFormat="1" ht="15" customHeight="1" x14ac:dyDescent="0.25">
      <c r="B128" s="77"/>
      <c r="E128" s="77"/>
      <c r="H128" s="77"/>
      <c r="Y128" s="90">
        <v>126</v>
      </c>
      <c r="Z128" s="559" t="str">
        <f>IF(Inventory!$C135="","",VLOOKUP(Inventory!$C135,$B$3:$C$5,2,FALSE))</f>
        <v/>
      </c>
      <c r="AA128" s="559" t="str">
        <f>IF($Z128="","",IF(AND($Z128="b",Inventory!$G135=""),"",IF(AND($Z128="b",Inventory!$G135&lt;&gt;""),VLOOKUP(Inventory!$G135,$E$3:$F$10,2,FALSE),IF(AND($Z128="a",Inventory!$Z135=""),"",IF(AND($Z128="a",Inventory!$Z135&lt;&gt;""),VLOOKUP(Inventory!$Z135,$E$3:$F$10,2,FALSE),IF(AND($Z128="c",Inventory!$Z135=""),"",IF(AND($Z128="c",Inventory!$Z135&lt;&gt;""),VLOOKUP(Inventory!$Z135,$E$3:$F$10,2,FALSE),"")))))))</f>
        <v/>
      </c>
      <c r="AB128" s="559" t="str">
        <f>IF($Z128="","a",IF(AND($Z128="b",Inventory!$J135=""),"a",IF(AND($Z128="b",Inventory!$J135&lt;&gt;""),VLOOKUP(Inventory!$J135,$H$4:$I$6,2,FALSE),IF(AND($Z128="a",Inventory!$AA135=""),"a",IF(AND($Z128="a",Inventory!$AA135&lt;&gt;""),VLOOKUP(Inventory!$AA135,$H$4:$I$6,2,FALSE),IF(AND($Z128="c",Inventory!$AA135=""),"a",IF(AND($Z128="c",Inventory!$AA135&lt;&gt;""),VLOOKUP(Inventory!$AA135,$H$4:$I$6,2,FALSE),"a")))))))</f>
        <v>a</v>
      </c>
      <c r="AC128" s="559" t="str">
        <f t="shared" si="61"/>
        <v>a</v>
      </c>
      <c r="AD128" s="473" t="str">
        <f>IF($Z128="","a",IF(AND($Z128="b",Inventory!$L135=""),"a",IF(AND($Z128="b",Inventory!$L135&lt;&gt;""),VLOOKUP(Inventory!$L135,$N$4:$O$5,2,FALSE),IF(AND($Z128="a",Inventory!$AC135=""),"a",IF(AND($Z128="a",Inventory!$AC135&lt;&gt;""),VLOOKUP(Inventory!$AC135,$N$4:$O$5,2,FALSE),IF(AND($Z128="c",Inventory!$AC135=""),"a",IF(AND($Z128="c",Inventory!$AC135&lt;&gt;""),VLOOKUP(Inventory!$AC135,$N$4:$O$5,2,FALSE),"a")))))))</f>
        <v>a</v>
      </c>
      <c r="AE128" s="474">
        <f>IF(OR(Inventory!C135="New Construction",Inventory!C135="Replace-on-Burnout"),Inventory!AF135,IF(Inventory!C135="Early Retirement",MIN(Inventory!AE135,Inventory!AF135),0))</f>
        <v>0</v>
      </c>
      <c r="AF128" s="475" t="str">
        <f t="shared" si="62"/>
        <v/>
      </c>
      <c r="AG128" s="475" t="str">
        <f t="shared" si="50"/>
        <v/>
      </c>
      <c r="AH128" s="475" t="str">
        <f t="shared" si="51"/>
        <v/>
      </c>
      <c r="AI128" s="475" t="str">
        <f t="shared" si="52"/>
        <v/>
      </c>
      <c r="AJ128" s="475" t="str">
        <f t="shared" si="53"/>
        <v/>
      </c>
      <c r="AK128" s="475" t="str">
        <f t="shared" si="63"/>
        <v/>
      </c>
      <c r="AL128" s="475" t="str">
        <f t="shared" si="64"/>
        <v/>
      </c>
      <c r="AM128" s="475" t="str">
        <f t="shared" si="65"/>
        <v/>
      </c>
      <c r="AN128" s="475" t="str">
        <f t="shared" si="66"/>
        <v/>
      </c>
      <c r="AO128" s="475" t="str">
        <f t="shared" si="67"/>
        <v/>
      </c>
      <c r="AP128" s="475" t="str">
        <f t="shared" si="68"/>
        <v/>
      </c>
      <c r="AQ128" s="475" t="str">
        <f t="shared" si="69"/>
        <v/>
      </c>
      <c r="AR128" s="475" t="str">
        <f t="shared" si="70"/>
        <v/>
      </c>
      <c r="AS128" s="475" t="str">
        <f t="shared" si="71"/>
        <v/>
      </c>
      <c r="AT128" s="475" t="str">
        <f t="shared" si="72"/>
        <v/>
      </c>
      <c r="AU128" s="475" t="str">
        <f t="shared" si="73"/>
        <v/>
      </c>
      <c r="AV128" s="475" t="str">
        <f t="shared" si="54"/>
        <v/>
      </c>
      <c r="AW128" s="473">
        <f t="shared" si="55"/>
        <v>0</v>
      </c>
      <c r="AX128" s="473" t="str">
        <f>IF(AND($Z128="b",OR($AA128="a",$AA128="b"),Inventory!$I135="",$AE128&lt;(65000/12000)),"x",IF(AND($Z128="b",OR($AA128="a",$AA128="b"),Inventory!$I135&lt;&gt;"",$AE128&lt;(65000/12000)),VLOOKUP(Inventory!$I135,$V$4:$W$5,2,FALSE),"x"))</f>
        <v>x</v>
      </c>
      <c r="AY128" s="476" t="str">
        <f t="shared" si="74"/>
        <v>aaa0</v>
      </c>
      <c r="AZ128" s="477" t="str">
        <f t="shared" si="75"/>
        <v>No</v>
      </c>
      <c r="BA128" s="759" t="str">
        <f t="shared" si="76"/>
        <v>No</v>
      </c>
      <c r="BB128" s="477">
        <f>IF($Z128="c",Inventory!$AB135,Inventory!$K135)</f>
        <v>0</v>
      </c>
      <c r="BC128" s="478">
        <f>IF(AND($Z128="b",Inventory!$N135="Btu/hr"),Inventory!$M135,IF(AND($Z128="b",Inventory!$N135="Tons"),Inventory!$M135*12000,IF(AND($Z128&lt;&gt;"b",Inventory!$AK135="Btu/hr"),Inventory!$AD135,IF(AND($Z128&lt;&gt;"b",Inventory!$AK135="Tons"),Inventory!$AD135*12000,0))))</f>
        <v>0</v>
      </c>
      <c r="BD128" s="478">
        <f t="shared" si="95"/>
        <v>0</v>
      </c>
      <c r="BE128" s="479">
        <f t="shared" si="77"/>
        <v>0</v>
      </c>
      <c r="BF128" s="477" t="s">
        <v>50</v>
      </c>
      <c r="BG128" s="479">
        <f t="shared" si="56"/>
        <v>0</v>
      </c>
      <c r="BH128" s="477" t="s">
        <v>46</v>
      </c>
      <c r="BI128" s="760">
        <f>IF(AND($Z128="b",Inventory!$P135="Btu/hr"),Inventory!$O135,IF(AND($Z128="b",Inventory!$P135="Tons"),Inventory!$O135*12000,IF(AND($Z128&lt;&gt;"b",Inventory!$AM135="Btu/hr"),Inventory!$AL135,IF(AND($Z128&lt;&gt;"b",Inventory!$AM135="Tons"),Inventory!$AL135*12000,0))))</f>
        <v>0</v>
      </c>
      <c r="BJ128" s="760">
        <f t="shared" si="96"/>
        <v>0</v>
      </c>
      <c r="BK128" s="598">
        <f t="shared" si="78"/>
        <v>0</v>
      </c>
      <c r="BL128" s="759" t="s">
        <v>567</v>
      </c>
      <c r="BM128" s="477" t="str">
        <f t="shared" si="57"/>
        <v>No</v>
      </c>
      <c r="BN128" s="477" t="str">
        <f>IF(OR(Inventory!$H135="",$BM128="No"),"-",Inventory!$H135)</f>
        <v>-</v>
      </c>
      <c r="BO128" s="477" t="str">
        <f>IFERROR(VLOOKUP(BN128,'Early Retirement'!$B$6:$C$33,2,FALSE),"-")</f>
        <v>-</v>
      </c>
      <c r="BP128" s="477" t="str">
        <f>IF(Inventory!$J135="Centrifugal","Yes","No")</f>
        <v>No</v>
      </c>
      <c r="BQ128" s="477">
        <f t="shared" si="79"/>
        <v>0</v>
      </c>
      <c r="BR128" s="477" t="str">
        <f t="shared" si="80"/>
        <v>-</v>
      </c>
      <c r="BS128" s="479">
        <f>IFERROR(INDEX('Early Retirement'!$C$4:$AC$33,$BO128,$BR128),0)</f>
        <v>0</v>
      </c>
      <c r="BT128" s="477">
        <f>IFERROR(HLOOKUP($BR128,'Early Retirement'!$D$4:$AC$5,2,FALSE),0)</f>
        <v>0</v>
      </c>
      <c r="BU128" s="761">
        <f>IFERROR(INDEX('Early Retirement'!$AE$4:$BE$33,$BO128,$BR128),0)</f>
        <v>0</v>
      </c>
      <c r="BV128" s="759">
        <f>IFERROR(HLOOKUP($BR128,'Early Retirement'!$AF$4:$BE$5,2,FALSE),0)</f>
        <v>0</v>
      </c>
      <c r="BW128" s="479">
        <f t="shared" si="87"/>
        <v>0</v>
      </c>
      <c r="BX128" s="761">
        <f t="shared" si="81"/>
        <v>0</v>
      </c>
      <c r="BY128" s="477" t="s">
        <v>46</v>
      </c>
      <c r="BZ128" s="598">
        <f>IFERROR(INDEX('Early Retirement'!$BG$4:$CG$33,$BO128,$BR128),0)</f>
        <v>0</v>
      </c>
      <c r="CA128" s="759">
        <f>IFERROR(HLOOKUP($BR128,'Early Retirement'!$BH$4:$CH$5,2,FALSE),0)</f>
        <v>0</v>
      </c>
      <c r="CB128" s="598">
        <f t="shared" si="82"/>
        <v>0</v>
      </c>
      <c r="CC128" s="759" t="s">
        <v>567</v>
      </c>
      <c r="CD128" s="477" t="str">
        <f t="shared" si="58"/>
        <v>Yes</v>
      </c>
      <c r="CE128" s="479">
        <f t="shared" si="59"/>
        <v>0</v>
      </c>
      <c r="CF128" s="761">
        <f t="shared" si="60"/>
        <v>0</v>
      </c>
      <c r="CG128" s="759" t="s">
        <v>46</v>
      </c>
      <c r="CH128" s="598">
        <f t="shared" si="83"/>
        <v>0</v>
      </c>
      <c r="CI128" s="759" t="s">
        <v>567</v>
      </c>
      <c r="CJ128" s="480">
        <f t="shared" si="84"/>
        <v>0</v>
      </c>
      <c r="CK128" s="583">
        <f t="shared" si="85"/>
        <v>0</v>
      </c>
      <c r="CL128" s="596" t="s">
        <v>46</v>
      </c>
      <c r="CM128" s="581">
        <f t="shared" si="86"/>
        <v>0</v>
      </c>
      <c r="CN128" s="762" t="s">
        <v>567</v>
      </c>
      <c r="CP128" s="90" t="s">
        <v>526</v>
      </c>
      <c r="CQ128" s="124">
        <v>0.56999999999999995</v>
      </c>
      <c r="CR128" s="307" t="s">
        <v>46</v>
      </c>
      <c r="CS128" s="645">
        <v>0.53900000000000003</v>
      </c>
      <c r="CT128" s="551" t="s">
        <v>559</v>
      </c>
      <c r="CU128" s="645">
        <f t="shared" si="97"/>
        <v>0.56999999999999995</v>
      </c>
      <c r="CV128" s="645">
        <f t="shared" si="92"/>
        <v>0.53900000000000003</v>
      </c>
      <c r="CW128" s="633" t="s">
        <v>46</v>
      </c>
      <c r="CX128" s="606"/>
      <c r="CY128" s="589"/>
      <c r="CZ128" s="606"/>
      <c r="DA128" s="609"/>
      <c r="DB128" s="562"/>
      <c r="DC128" s="562"/>
      <c r="DD128" s="562"/>
      <c r="DE128" s="562"/>
      <c r="DF128" s="562"/>
      <c r="DG128" s="562"/>
      <c r="DH128" s="562"/>
      <c r="DI128" s="562"/>
      <c r="DJ128" s="562"/>
      <c r="DK128" s="562"/>
      <c r="DL128" s="562"/>
      <c r="DM128" s="562"/>
      <c r="DN128" s="562"/>
      <c r="DO128" s="562"/>
      <c r="DP128" s="562"/>
      <c r="DQ128" s="562"/>
      <c r="DR128" s="562"/>
      <c r="DS128" s="562"/>
      <c r="DT128" s="562"/>
      <c r="DU128" s="562"/>
      <c r="DV128" s="562"/>
      <c r="DW128" s="562"/>
      <c r="DX128" s="562"/>
      <c r="DY128" s="562"/>
      <c r="DZ128" s="562"/>
      <c r="EA128" s="562"/>
      <c r="EB128" s="562"/>
      <c r="EC128" s="562"/>
      <c r="ED128" s="562"/>
      <c r="EE128" s="562"/>
      <c r="EF128" s="562"/>
      <c r="EG128" s="562"/>
      <c r="EH128" s="562"/>
      <c r="EI128" s="562"/>
      <c r="EJ128" s="562"/>
      <c r="EK128" s="562"/>
      <c r="EL128" s="562"/>
    </row>
    <row r="129" spans="2:142" s="78" customFormat="1" ht="15" customHeight="1" x14ac:dyDescent="0.25">
      <c r="B129" s="77"/>
      <c r="E129" s="77"/>
      <c r="H129" s="77"/>
      <c r="Y129" s="90">
        <v>127</v>
      </c>
      <c r="Z129" s="559" t="str">
        <f>IF(Inventory!$C136="","",VLOOKUP(Inventory!$C136,$B$3:$C$5,2,FALSE))</f>
        <v/>
      </c>
      <c r="AA129" s="559" t="str">
        <f>IF($Z129="","",IF(AND($Z129="b",Inventory!$G136=""),"",IF(AND($Z129="b",Inventory!$G136&lt;&gt;""),VLOOKUP(Inventory!$G136,$E$3:$F$10,2,FALSE),IF(AND($Z129="a",Inventory!$Z136=""),"",IF(AND($Z129="a",Inventory!$Z136&lt;&gt;""),VLOOKUP(Inventory!$Z136,$E$3:$F$10,2,FALSE),IF(AND($Z129="c",Inventory!$Z136=""),"",IF(AND($Z129="c",Inventory!$Z136&lt;&gt;""),VLOOKUP(Inventory!$Z136,$E$3:$F$10,2,FALSE),"")))))))</f>
        <v/>
      </c>
      <c r="AB129" s="559" t="str">
        <f>IF($Z129="","a",IF(AND($Z129="b",Inventory!$J136=""),"a",IF(AND($Z129="b",Inventory!$J136&lt;&gt;""),VLOOKUP(Inventory!$J136,$H$4:$I$6,2,FALSE),IF(AND($Z129="a",Inventory!$AA136=""),"a",IF(AND($Z129="a",Inventory!$AA136&lt;&gt;""),VLOOKUP(Inventory!$AA136,$H$4:$I$6,2,FALSE),IF(AND($Z129="c",Inventory!$AA136=""),"a",IF(AND($Z129="c",Inventory!$AA136&lt;&gt;""),VLOOKUP(Inventory!$AA136,$H$4:$I$6,2,FALSE),"a")))))))</f>
        <v>a</v>
      </c>
      <c r="AC129" s="559" t="str">
        <f t="shared" si="61"/>
        <v>a</v>
      </c>
      <c r="AD129" s="473" t="str">
        <f>IF($Z129="","a",IF(AND($Z129="b",Inventory!$L136=""),"a",IF(AND($Z129="b",Inventory!$L136&lt;&gt;""),VLOOKUP(Inventory!$L136,$N$4:$O$5,2,FALSE),IF(AND($Z129="a",Inventory!$AC136=""),"a",IF(AND($Z129="a",Inventory!$AC136&lt;&gt;""),VLOOKUP(Inventory!$AC136,$N$4:$O$5,2,FALSE),IF(AND($Z129="c",Inventory!$AC136=""),"a",IF(AND($Z129="c",Inventory!$AC136&lt;&gt;""),VLOOKUP(Inventory!$AC136,$N$4:$O$5,2,FALSE),"a")))))))</f>
        <v>a</v>
      </c>
      <c r="AE129" s="474">
        <f>IF(OR(Inventory!C136="New Construction",Inventory!C136="Replace-on-Burnout"),Inventory!AF136,IF(Inventory!C136="Early Retirement",MIN(Inventory!AE136,Inventory!AF136),0))</f>
        <v>0</v>
      </c>
      <c r="AF129" s="475" t="str">
        <f t="shared" si="62"/>
        <v/>
      </c>
      <c r="AG129" s="475" t="str">
        <f t="shared" si="50"/>
        <v/>
      </c>
      <c r="AH129" s="475" t="str">
        <f t="shared" si="51"/>
        <v/>
      </c>
      <c r="AI129" s="475" t="str">
        <f t="shared" si="52"/>
        <v/>
      </c>
      <c r="AJ129" s="475" t="str">
        <f t="shared" si="53"/>
        <v/>
      </c>
      <c r="AK129" s="475" t="str">
        <f t="shared" si="63"/>
        <v/>
      </c>
      <c r="AL129" s="475" t="str">
        <f t="shared" si="64"/>
        <v/>
      </c>
      <c r="AM129" s="475" t="str">
        <f t="shared" si="65"/>
        <v/>
      </c>
      <c r="AN129" s="475" t="str">
        <f t="shared" si="66"/>
        <v/>
      </c>
      <c r="AO129" s="475" t="str">
        <f t="shared" si="67"/>
        <v/>
      </c>
      <c r="AP129" s="475" t="str">
        <f t="shared" si="68"/>
        <v/>
      </c>
      <c r="AQ129" s="475" t="str">
        <f t="shared" si="69"/>
        <v/>
      </c>
      <c r="AR129" s="475" t="str">
        <f t="shared" si="70"/>
        <v/>
      </c>
      <c r="AS129" s="475" t="str">
        <f t="shared" si="71"/>
        <v/>
      </c>
      <c r="AT129" s="475" t="str">
        <f t="shared" si="72"/>
        <v/>
      </c>
      <c r="AU129" s="475" t="str">
        <f t="shared" si="73"/>
        <v/>
      </c>
      <c r="AV129" s="475" t="str">
        <f t="shared" si="54"/>
        <v/>
      </c>
      <c r="AW129" s="473">
        <f t="shared" si="55"/>
        <v>0</v>
      </c>
      <c r="AX129" s="473" t="str">
        <f>IF(AND($Z129="b",OR($AA129="a",$AA129="b"),Inventory!$I136="",$AE129&lt;(65000/12000)),"x",IF(AND($Z129="b",OR($AA129="a",$AA129="b"),Inventory!$I136&lt;&gt;"",$AE129&lt;(65000/12000)),VLOOKUP(Inventory!$I136,$V$4:$W$5,2,FALSE),"x"))</f>
        <v>x</v>
      </c>
      <c r="AY129" s="476" t="str">
        <f t="shared" si="74"/>
        <v>aaa0</v>
      </c>
      <c r="AZ129" s="477" t="str">
        <f t="shared" si="75"/>
        <v>No</v>
      </c>
      <c r="BA129" s="759" t="str">
        <f t="shared" si="76"/>
        <v>No</v>
      </c>
      <c r="BB129" s="477">
        <f>IF($Z129="c",Inventory!$AB136,Inventory!$K136)</f>
        <v>0</v>
      </c>
      <c r="BC129" s="478">
        <f>IF(AND($Z129="b",Inventory!$N136="Btu/hr"),Inventory!$M136,IF(AND($Z129="b",Inventory!$N136="Tons"),Inventory!$M136*12000,IF(AND($Z129&lt;&gt;"b",Inventory!$AK136="Btu/hr"),Inventory!$AD136,IF(AND($Z129&lt;&gt;"b",Inventory!$AK136="Tons"),Inventory!$AD136*12000,0))))</f>
        <v>0</v>
      </c>
      <c r="BD129" s="478">
        <f t="shared" si="95"/>
        <v>0</v>
      </c>
      <c r="BE129" s="479">
        <f t="shared" si="77"/>
        <v>0</v>
      </c>
      <c r="BF129" s="477" t="s">
        <v>50</v>
      </c>
      <c r="BG129" s="479">
        <f t="shared" si="56"/>
        <v>0</v>
      </c>
      <c r="BH129" s="477" t="s">
        <v>46</v>
      </c>
      <c r="BI129" s="760">
        <f>IF(AND($Z129="b",Inventory!$P136="Btu/hr"),Inventory!$O136,IF(AND($Z129="b",Inventory!$P136="Tons"),Inventory!$O136*12000,IF(AND($Z129&lt;&gt;"b",Inventory!$AM136="Btu/hr"),Inventory!$AL136,IF(AND($Z129&lt;&gt;"b",Inventory!$AM136="Tons"),Inventory!$AL136*12000,0))))</f>
        <v>0</v>
      </c>
      <c r="BJ129" s="760">
        <f t="shared" si="96"/>
        <v>0</v>
      </c>
      <c r="BK129" s="598">
        <f t="shared" si="78"/>
        <v>0</v>
      </c>
      <c r="BL129" s="759" t="s">
        <v>567</v>
      </c>
      <c r="BM129" s="477" t="str">
        <f t="shared" si="57"/>
        <v>No</v>
      </c>
      <c r="BN129" s="477" t="str">
        <f>IF(OR(Inventory!$H136="",$BM129="No"),"-",Inventory!$H136)</f>
        <v>-</v>
      </c>
      <c r="BO129" s="477" t="str">
        <f>IFERROR(VLOOKUP(BN129,'Early Retirement'!$B$6:$C$33,2,FALSE),"-")</f>
        <v>-</v>
      </c>
      <c r="BP129" s="477" t="str">
        <f>IF(Inventory!$J136="Centrifugal","Yes","No")</f>
        <v>No</v>
      </c>
      <c r="BQ129" s="477">
        <f t="shared" si="79"/>
        <v>0</v>
      </c>
      <c r="BR129" s="477" t="str">
        <f t="shared" si="80"/>
        <v>-</v>
      </c>
      <c r="BS129" s="479">
        <f>IFERROR(INDEX('Early Retirement'!$C$4:$AC$33,$BO129,$BR129),0)</f>
        <v>0</v>
      </c>
      <c r="BT129" s="477">
        <f>IFERROR(HLOOKUP($BR129,'Early Retirement'!$D$4:$AC$5,2,FALSE),0)</f>
        <v>0</v>
      </c>
      <c r="BU129" s="761">
        <f>IFERROR(INDEX('Early Retirement'!$AE$4:$BE$33,$BO129,$BR129),0)</f>
        <v>0</v>
      </c>
      <c r="BV129" s="759">
        <f>IFERROR(HLOOKUP($BR129,'Early Retirement'!$AF$4:$BE$5,2,FALSE),0)</f>
        <v>0</v>
      </c>
      <c r="BW129" s="479">
        <f t="shared" si="87"/>
        <v>0</v>
      </c>
      <c r="BX129" s="761">
        <f t="shared" si="81"/>
        <v>0</v>
      </c>
      <c r="BY129" s="477" t="s">
        <v>46</v>
      </c>
      <c r="BZ129" s="598">
        <f>IFERROR(INDEX('Early Retirement'!$BG$4:$CG$33,$BO129,$BR129),0)</f>
        <v>0</v>
      </c>
      <c r="CA129" s="759">
        <f>IFERROR(HLOOKUP($BR129,'Early Retirement'!$BH$4:$CH$5,2,FALSE),0)</f>
        <v>0</v>
      </c>
      <c r="CB129" s="598">
        <f t="shared" si="82"/>
        <v>0</v>
      </c>
      <c r="CC129" s="759" t="s">
        <v>567</v>
      </c>
      <c r="CD129" s="477" t="str">
        <f t="shared" si="58"/>
        <v>Yes</v>
      </c>
      <c r="CE129" s="479">
        <f t="shared" si="59"/>
        <v>0</v>
      </c>
      <c r="CF129" s="761">
        <f t="shared" si="60"/>
        <v>0</v>
      </c>
      <c r="CG129" s="759" t="s">
        <v>46</v>
      </c>
      <c r="CH129" s="598">
        <f t="shared" si="83"/>
        <v>0</v>
      </c>
      <c r="CI129" s="759" t="s">
        <v>567</v>
      </c>
      <c r="CJ129" s="480">
        <f t="shared" si="84"/>
        <v>0</v>
      </c>
      <c r="CK129" s="583">
        <f t="shared" si="85"/>
        <v>0</v>
      </c>
      <c r="CL129" s="596" t="s">
        <v>46</v>
      </c>
      <c r="CM129" s="581">
        <f t="shared" si="86"/>
        <v>0</v>
      </c>
      <c r="CN129" s="762" t="s">
        <v>567</v>
      </c>
      <c r="CP129" s="90" t="s">
        <v>223</v>
      </c>
      <c r="CQ129" s="124">
        <v>0.78</v>
      </c>
      <c r="CR129" s="307" t="s">
        <v>46</v>
      </c>
      <c r="CS129" s="645">
        <v>0.63</v>
      </c>
      <c r="CT129" s="551" t="s">
        <v>559</v>
      </c>
      <c r="CU129" s="645">
        <f t="shared" si="97"/>
        <v>0.78</v>
      </c>
      <c r="CV129" s="645">
        <f t="shared" si="92"/>
        <v>0.63</v>
      </c>
      <c r="CW129" s="633" t="s">
        <v>46</v>
      </c>
      <c r="CX129" s="606"/>
      <c r="CY129" s="589"/>
      <c r="CZ129" s="606"/>
      <c r="DA129" s="609"/>
      <c r="DB129" s="562"/>
      <c r="DC129" s="562"/>
      <c r="DD129" s="562"/>
      <c r="DE129" s="562"/>
      <c r="DF129" s="562"/>
      <c r="DG129" s="562"/>
      <c r="DH129" s="562"/>
      <c r="DI129" s="562"/>
      <c r="DJ129" s="562"/>
      <c r="DK129" s="562"/>
      <c r="DL129" s="562"/>
      <c r="DM129" s="562"/>
      <c r="DN129" s="562"/>
      <c r="DO129" s="562"/>
      <c r="DP129" s="562"/>
      <c r="DQ129" s="562"/>
      <c r="DR129" s="562"/>
      <c r="DS129" s="562"/>
      <c r="DT129" s="562"/>
      <c r="DU129" s="562"/>
      <c r="DV129" s="562"/>
      <c r="DW129" s="562"/>
      <c r="DX129" s="562"/>
      <c r="DY129" s="562"/>
      <c r="DZ129" s="562"/>
      <c r="EA129" s="562"/>
      <c r="EB129" s="562"/>
      <c r="EC129" s="562"/>
      <c r="ED129" s="562"/>
      <c r="EE129" s="562"/>
      <c r="EF129" s="562"/>
      <c r="EG129" s="562"/>
      <c r="EH129" s="562"/>
      <c r="EI129" s="562"/>
      <c r="EJ129" s="562"/>
      <c r="EK129" s="562"/>
      <c r="EL129" s="562"/>
    </row>
    <row r="130" spans="2:142" s="78" customFormat="1" ht="15" customHeight="1" x14ac:dyDescent="0.25">
      <c r="B130" s="77"/>
      <c r="E130" s="77"/>
      <c r="H130" s="77"/>
      <c r="Y130" s="90">
        <v>128</v>
      </c>
      <c r="Z130" s="559" t="str">
        <f>IF(Inventory!$C137="","",VLOOKUP(Inventory!$C137,$B$3:$C$5,2,FALSE))</f>
        <v/>
      </c>
      <c r="AA130" s="559" t="str">
        <f>IF($Z130="","",IF(AND($Z130="b",Inventory!$G137=""),"",IF(AND($Z130="b",Inventory!$G137&lt;&gt;""),VLOOKUP(Inventory!$G137,$E$3:$F$10,2,FALSE),IF(AND($Z130="a",Inventory!$Z137=""),"",IF(AND($Z130="a",Inventory!$Z137&lt;&gt;""),VLOOKUP(Inventory!$Z137,$E$3:$F$10,2,FALSE),IF(AND($Z130="c",Inventory!$Z137=""),"",IF(AND($Z130="c",Inventory!$Z137&lt;&gt;""),VLOOKUP(Inventory!$Z137,$E$3:$F$10,2,FALSE),"")))))))</f>
        <v/>
      </c>
      <c r="AB130" s="559" t="str">
        <f>IF($Z130="","a",IF(AND($Z130="b",Inventory!$J137=""),"a",IF(AND($Z130="b",Inventory!$J137&lt;&gt;""),VLOOKUP(Inventory!$J137,$H$4:$I$6,2,FALSE),IF(AND($Z130="a",Inventory!$AA137=""),"a",IF(AND($Z130="a",Inventory!$AA137&lt;&gt;""),VLOOKUP(Inventory!$AA137,$H$4:$I$6,2,FALSE),IF(AND($Z130="c",Inventory!$AA137=""),"a",IF(AND($Z130="c",Inventory!$AA137&lt;&gt;""),VLOOKUP(Inventory!$AA137,$H$4:$I$6,2,FALSE),"a")))))))</f>
        <v>a</v>
      </c>
      <c r="AC130" s="559" t="str">
        <f t="shared" si="61"/>
        <v>a</v>
      </c>
      <c r="AD130" s="473" t="str">
        <f>IF($Z130="","a",IF(AND($Z130="b",Inventory!$L137=""),"a",IF(AND($Z130="b",Inventory!$L137&lt;&gt;""),VLOOKUP(Inventory!$L137,$N$4:$O$5,2,FALSE),IF(AND($Z130="a",Inventory!$AC137=""),"a",IF(AND($Z130="a",Inventory!$AC137&lt;&gt;""),VLOOKUP(Inventory!$AC137,$N$4:$O$5,2,FALSE),IF(AND($Z130="c",Inventory!$AC137=""),"a",IF(AND($Z130="c",Inventory!$AC137&lt;&gt;""),VLOOKUP(Inventory!$AC137,$N$4:$O$5,2,FALSE),"a")))))))</f>
        <v>a</v>
      </c>
      <c r="AE130" s="474">
        <f>IF(OR(Inventory!C137="New Construction",Inventory!C137="Replace-on-Burnout"),Inventory!AF137,IF(Inventory!C137="Early Retirement",MIN(Inventory!AE137,Inventory!AF137),0))</f>
        <v>0</v>
      </c>
      <c r="AF130" s="475" t="str">
        <f t="shared" si="62"/>
        <v/>
      </c>
      <c r="AG130" s="475" t="str">
        <f t="shared" si="50"/>
        <v/>
      </c>
      <c r="AH130" s="475" t="str">
        <f t="shared" si="51"/>
        <v/>
      </c>
      <c r="AI130" s="475" t="str">
        <f t="shared" si="52"/>
        <v/>
      </c>
      <c r="AJ130" s="475" t="str">
        <f t="shared" si="53"/>
        <v/>
      </c>
      <c r="AK130" s="475" t="str">
        <f t="shared" si="63"/>
        <v/>
      </c>
      <c r="AL130" s="475" t="str">
        <f t="shared" si="64"/>
        <v/>
      </c>
      <c r="AM130" s="475" t="str">
        <f t="shared" si="65"/>
        <v/>
      </c>
      <c r="AN130" s="475" t="str">
        <f t="shared" si="66"/>
        <v/>
      </c>
      <c r="AO130" s="475" t="str">
        <f t="shared" si="67"/>
        <v/>
      </c>
      <c r="AP130" s="475" t="str">
        <f t="shared" si="68"/>
        <v/>
      </c>
      <c r="AQ130" s="475" t="str">
        <f t="shared" si="69"/>
        <v/>
      </c>
      <c r="AR130" s="475" t="str">
        <f t="shared" si="70"/>
        <v/>
      </c>
      <c r="AS130" s="475" t="str">
        <f t="shared" si="71"/>
        <v/>
      </c>
      <c r="AT130" s="475" t="str">
        <f t="shared" si="72"/>
        <v/>
      </c>
      <c r="AU130" s="475" t="str">
        <f t="shared" si="73"/>
        <v/>
      </c>
      <c r="AV130" s="475" t="str">
        <f t="shared" si="54"/>
        <v/>
      </c>
      <c r="AW130" s="473">
        <f t="shared" si="55"/>
        <v>0</v>
      </c>
      <c r="AX130" s="473" t="str">
        <f>IF(AND($Z130="b",OR($AA130="a",$AA130="b"),Inventory!$I137="",$AE130&lt;(65000/12000)),"x",IF(AND($Z130="b",OR($AA130="a",$AA130="b"),Inventory!$I137&lt;&gt;"",$AE130&lt;(65000/12000)),VLOOKUP(Inventory!$I137,$V$4:$W$5,2,FALSE),"x"))</f>
        <v>x</v>
      </c>
      <c r="AY130" s="476" t="str">
        <f t="shared" si="74"/>
        <v>aaa0</v>
      </c>
      <c r="AZ130" s="477" t="str">
        <f t="shared" si="75"/>
        <v>No</v>
      </c>
      <c r="BA130" s="759" t="str">
        <f t="shared" si="76"/>
        <v>No</v>
      </c>
      <c r="BB130" s="477">
        <f>IF($Z130="c",Inventory!$AB137,Inventory!$K137)</f>
        <v>0</v>
      </c>
      <c r="BC130" s="478">
        <f>IF(AND($Z130="b",Inventory!$N137="Btu/hr"),Inventory!$M137,IF(AND($Z130="b",Inventory!$N137="Tons"),Inventory!$M137*12000,IF(AND($Z130&lt;&gt;"b",Inventory!$AK137="Btu/hr"),Inventory!$AD137,IF(AND($Z130&lt;&gt;"b",Inventory!$AK137="Tons"),Inventory!$AD137*12000,0))))</f>
        <v>0</v>
      </c>
      <c r="BD130" s="478">
        <f t="shared" si="95"/>
        <v>0</v>
      </c>
      <c r="BE130" s="479">
        <f t="shared" si="77"/>
        <v>0</v>
      </c>
      <c r="BF130" s="477" t="s">
        <v>50</v>
      </c>
      <c r="BG130" s="479">
        <f t="shared" si="56"/>
        <v>0</v>
      </c>
      <c r="BH130" s="477" t="s">
        <v>46</v>
      </c>
      <c r="BI130" s="760">
        <f>IF(AND($Z130="b",Inventory!$P137="Btu/hr"),Inventory!$O137,IF(AND($Z130="b",Inventory!$P137="Tons"),Inventory!$O137*12000,IF(AND($Z130&lt;&gt;"b",Inventory!$AM137="Btu/hr"),Inventory!$AL137,IF(AND($Z130&lt;&gt;"b",Inventory!$AM137="Tons"),Inventory!$AL137*12000,0))))</f>
        <v>0</v>
      </c>
      <c r="BJ130" s="760">
        <f t="shared" si="96"/>
        <v>0</v>
      </c>
      <c r="BK130" s="598">
        <f t="shared" si="78"/>
        <v>0</v>
      </c>
      <c r="BL130" s="759" t="s">
        <v>567</v>
      </c>
      <c r="BM130" s="477" t="str">
        <f t="shared" si="57"/>
        <v>No</v>
      </c>
      <c r="BN130" s="477" t="str">
        <f>IF(OR(Inventory!$H137="",$BM130="No"),"-",Inventory!$H137)</f>
        <v>-</v>
      </c>
      <c r="BO130" s="477" t="str">
        <f>IFERROR(VLOOKUP(BN130,'Early Retirement'!$B$6:$C$33,2,FALSE),"-")</f>
        <v>-</v>
      </c>
      <c r="BP130" s="477" t="str">
        <f>IF(Inventory!$J137="Centrifugal","Yes","No")</f>
        <v>No</v>
      </c>
      <c r="BQ130" s="477">
        <f t="shared" si="79"/>
        <v>0</v>
      </c>
      <c r="BR130" s="477" t="str">
        <f t="shared" si="80"/>
        <v>-</v>
      </c>
      <c r="BS130" s="479">
        <f>IFERROR(INDEX('Early Retirement'!$C$4:$AC$33,$BO130,$BR130),0)</f>
        <v>0</v>
      </c>
      <c r="BT130" s="477">
        <f>IFERROR(HLOOKUP($BR130,'Early Retirement'!$D$4:$AC$5,2,FALSE),0)</f>
        <v>0</v>
      </c>
      <c r="BU130" s="761">
        <f>IFERROR(INDEX('Early Retirement'!$AE$4:$BE$33,$BO130,$BR130),0)</f>
        <v>0</v>
      </c>
      <c r="BV130" s="759">
        <f>IFERROR(HLOOKUP($BR130,'Early Retirement'!$AF$4:$BE$5,2,FALSE),0)</f>
        <v>0</v>
      </c>
      <c r="BW130" s="479">
        <f t="shared" si="87"/>
        <v>0</v>
      </c>
      <c r="BX130" s="761">
        <f t="shared" si="81"/>
        <v>0</v>
      </c>
      <c r="BY130" s="477" t="s">
        <v>46</v>
      </c>
      <c r="BZ130" s="598">
        <f>IFERROR(INDEX('Early Retirement'!$BG$4:$CG$33,$BO130,$BR130),0)</f>
        <v>0</v>
      </c>
      <c r="CA130" s="759">
        <f>IFERROR(HLOOKUP($BR130,'Early Retirement'!$BH$4:$CH$5,2,FALSE),0)</f>
        <v>0</v>
      </c>
      <c r="CB130" s="598">
        <f t="shared" si="82"/>
        <v>0</v>
      </c>
      <c r="CC130" s="759" t="s">
        <v>567</v>
      </c>
      <c r="CD130" s="477" t="str">
        <f t="shared" si="58"/>
        <v>Yes</v>
      </c>
      <c r="CE130" s="479">
        <f t="shared" si="59"/>
        <v>0</v>
      </c>
      <c r="CF130" s="761">
        <f t="shared" si="60"/>
        <v>0</v>
      </c>
      <c r="CG130" s="759" t="s">
        <v>46</v>
      </c>
      <c r="CH130" s="598">
        <f t="shared" si="83"/>
        <v>0</v>
      </c>
      <c r="CI130" s="759" t="s">
        <v>567</v>
      </c>
      <c r="CJ130" s="480">
        <f t="shared" si="84"/>
        <v>0</v>
      </c>
      <c r="CK130" s="583">
        <f t="shared" si="85"/>
        <v>0</v>
      </c>
      <c r="CL130" s="596" t="s">
        <v>46</v>
      </c>
      <c r="CM130" s="581">
        <f t="shared" si="86"/>
        <v>0</v>
      </c>
      <c r="CN130" s="762" t="s">
        <v>567</v>
      </c>
      <c r="CP130" s="90" t="s">
        <v>224</v>
      </c>
      <c r="CQ130" s="124">
        <v>0.77500000000000002</v>
      </c>
      <c r="CR130" s="307" t="s">
        <v>46</v>
      </c>
      <c r="CS130" s="645">
        <v>0.61499999999999999</v>
      </c>
      <c r="CT130" s="551" t="s">
        <v>559</v>
      </c>
      <c r="CU130" s="645">
        <f t="shared" si="97"/>
        <v>0.77500000000000002</v>
      </c>
      <c r="CV130" s="645">
        <f t="shared" si="92"/>
        <v>0.61499999999999999</v>
      </c>
      <c r="CW130" s="633" t="s">
        <v>46</v>
      </c>
      <c r="CX130" s="606"/>
      <c r="CY130" s="589"/>
      <c r="CZ130" s="606"/>
      <c r="DA130" s="609"/>
      <c r="DB130" s="562"/>
      <c r="DC130" s="562"/>
      <c r="DD130" s="562"/>
      <c r="DE130" s="562"/>
      <c r="DF130" s="562"/>
      <c r="DG130" s="562"/>
      <c r="DH130" s="562"/>
      <c r="DI130" s="562"/>
      <c r="DJ130" s="562"/>
      <c r="DK130" s="562"/>
      <c r="DL130" s="562"/>
      <c r="DM130" s="562"/>
      <c r="DN130" s="562"/>
      <c r="DO130" s="562"/>
      <c r="DP130" s="562"/>
      <c r="DQ130" s="562"/>
      <c r="DR130" s="562"/>
      <c r="DS130" s="562"/>
      <c r="DT130" s="562"/>
      <c r="DU130" s="562"/>
      <c r="DV130" s="562"/>
      <c r="DW130" s="562"/>
      <c r="DX130" s="562"/>
      <c r="DY130" s="562"/>
      <c r="DZ130" s="562"/>
      <c r="EA130" s="562"/>
      <c r="EB130" s="562"/>
      <c r="EC130" s="562"/>
      <c r="ED130" s="562"/>
      <c r="EE130" s="562"/>
      <c r="EF130" s="562"/>
      <c r="EG130" s="562"/>
      <c r="EH130" s="562"/>
      <c r="EI130" s="562"/>
      <c r="EJ130" s="562"/>
      <c r="EK130" s="562"/>
      <c r="EL130" s="562"/>
    </row>
    <row r="131" spans="2:142" s="78" customFormat="1" ht="15" customHeight="1" x14ac:dyDescent="0.25">
      <c r="B131" s="77"/>
      <c r="E131" s="77"/>
      <c r="H131" s="77"/>
      <c r="Y131" s="90">
        <v>129</v>
      </c>
      <c r="Z131" s="559" t="str">
        <f>IF(Inventory!$C138="","",VLOOKUP(Inventory!$C138,$B$3:$C$5,2,FALSE))</f>
        <v/>
      </c>
      <c r="AA131" s="559" t="str">
        <f>IF($Z131="","",IF(AND($Z131="b",Inventory!$G138=""),"",IF(AND($Z131="b",Inventory!$G138&lt;&gt;""),VLOOKUP(Inventory!$G138,$E$3:$F$10,2,FALSE),IF(AND($Z131="a",Inventory!$Z138=""),"",IF(AND($Z131="a",Inventory!$Z138&lt;&gt;""),VLOOKUP(Inventory!$Z138,$E$3:$F$10,2,FALSE),IF(AND($Z131="c",Inventory!$Z138=""),"",IF(AND($Z131="c",Inventory!$Z138&lt;&gt;""),VLOOKUP(Inventory!$Z138,$E$3:$F$10,2,FALSE),"")))))))</f>
        <v/>
      </c>
      <c r="AB131" s="559" t="str">
        <f>IF($Z131="","a",IF(AND($Z131="b",Inventory!$J138=""),"a",IF(AND($Z131="b",Inventory!$J138&lt;&gt;""),VLOOKUP(Inventory!$J138,$H$4:$I$6,2,FALSE),IF(AND($Z131="a",Inventory!$AA138=""),"a",IF(AND($Z131="a",Inventory!$AA138&lt;&gt;""),VLOOKUP(Inventory!$AA138,$H$4:$I$6,2,FALSE),IF(AND($Z131="c",Inventory!$AA138=""),"a",IF(AND($Z131="c",Inventory!$AA138&lt;&gt;""),VLOOKUP(Inventory!$AA138,$H$4:$I$6,2,FALSE),"a")))))))</f>
        <v>a</v>
      </c>
      <c r="AC131" s="559" t="str">
        <f t="shared" si="61"/>
        <v>a</v>
      </c>
      <c r="AD131" s="473" t="str">
        <f>IF($Z131="","a",IF(AND($Z131="b",Inventory!$L138=""),"a",IF(AND($Z131="b",Inventory!$L138&lt;&gt;""),VLOOKUP(Inventory!$L138,$N$4:$O$5,2,FALSE),IF(AND($Z131="a",Inventory!$AC138=""),"a",IF(AND($Z131="a",Inventory!$AC138&lt;&gt;""),VLOOKUP(Inventory!$AC138,$N$4:$O$5,2,FALSE),IF(AND($Z131="c",Inventory!$AC138=""),"a",IF(AND($Z131="c",Inventory!$AC138&lt;&gt;""),VLOOKUP(Inventory!$AC138,$N$4:$O$5,2,FALSE),"a")))))))</f>
        <v>a</v>
      </c>
      <c r="AE131" s="474">
        <f>IF(OR(Inventory!C138="New Construction",Inventory!C138="Replace-on-Burnout"),Inventory!AF138,IF(Inventory!C138="Early Retirement",MIN(Inventory!AE138,Inventory!AF138),0))</f>
        <v>0</v>
      </c>
      <c r="AF131" s="475" t="str">
        <f t="shared" si="62"/>
        <v/>
      </c>
      <c r="AG131" s="475" t="str">
        <f t="shared" ref="AG131:AG194" si="98">IF(OR(AND($AA131&lt;&gt;"a",$AA131&lt;&gt;"b"),$AE131="",$AF131&lt;&gt;0),"",IF(AND($AE131&gt;=$AG$2,$AA131="a"),4,IF(AND($AE131&gt;=$AG$2,$AA131="b"),9,0)))</f>
        <v/>
      </c>
      <c r="AH131" s="475" t="str">
        <f t="shared" ref="AH131:AH194" si="99">IF(OR(AND($AA131&lt;&gt;"a",$AA131&lt;&gt;"b"),$AE131="",$AG131&lt;&gt;0),"",IF(AND($AE131&gt;=$AH$2,$AA131="a"),3,IF(AND($AE131&gt;=$AH$2,$AA131="b"),8,0)))</f>
        <v/>
      </c>
      <c r="AI131" s="475" t="str">
        <f t="shared" ref="AI131:AI194" si="100">IF(OR(AND($AA131&lt;&gt;"a",$AA131&lt;&gt;"b"),$AE131="",$AH131&lt;&gt;0),"",IF(AND($AE131&gt;=$AI$2,$AA131="a"),2,IF(AND($AE131&gt;=$AI$2,$AA131="b"),7,0)))</f>
        <v/>
      </c>
      <c r="AJ131" s="475" t="str">
        <f t="shared" ref="AJ131:AJ194" si="101">IF(OR(AND($AA131&lt;&gt;"a",$AA131&lt;&gt;"b"),$AE131="",$AI131&lt;&gt;0),"",IF(AND($AE131&gt;=$AJ$2,$AA131="a"),1,IF(AND($AE131&gt;=$AJ$2,$AA131="b"),6,0)))</f>
        <v/>
      </c>
      <c r="AK131" s="475" t="str">
        <f t="shared" si="63"/>
        <v/>
      </c>
      <c r="AL131" s="475" t="str">
        <f t="shared" si="64"/>
        <v/>
      </c>
      <c r="AM131" s="475" t="str">
        <f t="shared" si="65"/>
        <v/>
      </c>
      <c r="AN131" s="475" t="str">
        <f t="shared" si="66"/>
        <v/>
      </c>
      <c r="AO131" s="475" t="str">
        <f t="shared" si="67"/>
        <v/>
      </c>
      <c r="AP131" s="475" t="str">
        <f t="shared" si="68"/>
        <v/>
      </c>
      <c r="AQ131" s="475" t="str">
        <f t="shared" si="69"/>
        <v/>
      </c>
      <c r="AR131" s="475" t="str">
        <f t="shared" si="70"/>
        <v/>
      </c>
      <c r="AS131" s="475" t="str">
        <f t="shared" si="71"/>
        <v/>
      </c>
      <c r="AT131" s="475" t="str">
        <f t="shared" si="72"/>
        <v/>
      </c>
      <c r="AU131" s="475" t="str">
        <f t="shared" si="73"/>
        <v/>
      </c>
      <c r="AV131" s="475" t="str">
        <f t="shared" ref="AV131:AV194" si="102">IF($AE131="","",IF(AND($Z131="c",$AA131="c"),10,IF(AND($Z131="a",$AA131="c"),11,IF(AND($Z131="c",$AA131="d"),12,IF(AND($Z131="a",$AA131="d"),13,"")))))</f>
        <v/>
      </c>
      <c r="AW131" s="473">
        <f t="shared" ref="AW131:AW194" si="103">SUM($AF131:$AV131)</f>
        <v>0</v>
      </c>
      <c r="AX131" s="473" t="str">
        <f>IF(AND($Z131="b",OR($AA131="a",$AA131="b"),Inventory!$I138="",$AE131&lt;(65000/12000)),"x",IF(AND($Z131="b",OR($AA131="a",$AA131="b"),Inventory!$I138&lt;&gt;"",$AE131&lt;(65000/12000)),VLOOKUP(Inventory!$I138,$V$4:$W$5,2,FALSE),"x"))</f>
        <v>x</v>
      </c>
      <c r="AY131" s="476" t="str">
        <f t="shared" si="74"/>
        <v>aaa0</v>
      </c>
      <c r="AZ131" s="477" t="str">
        <f t="shared" si="75"/>
        <v>No</v>
      </c>
      <c r="BA131" s="759" t="str">
        <f t="shared" si="76"/>
        <v>No</v>
      </c>
      <c r="BB131" s="477">
        <f>IF($Z131="c",Inventory!$AB138,Inventory!$K138)</f>
        <v>0</v>
      </c>
      <c r="BC131" s="478">
        <f>IF(AND($Z131="b",Inventory!$N138="Btu/hr"),Inventory!$M138,IF(AND($Z131="b",Inventory!$N138="Tons"),Inventory!$M138*12000,IF(AND($Z131&lt;&gt;"b",Inventory!$AK138="Btu/hr"),Inventory!$AD138,IF(AND($Z131&lt;&gt;"b",Inventory!$AK138="Tons"),Inventory!$AD138*12000,0))))</f>
        <v>0</v>
      </c>
      <c r="BD131" s="478">
        <f t="shared" si="95"/>
        <v>0</v>
      </c>
      <c r="BE131" s="479">
        <f t="shared" si="77"/>
        <v>0</v>
      </c>
      <c r="BF131" s="477" t="s">
        <v>50</v>
      </c>
      <c r="BG131" s="479">
        <f t="shared" ref="BG131:BG194" si="104">IFERROR(12/$BE131,0)</f>
        <v>0</v>
      </c>
      <c r="BH131" s="477" t="s">
        <v>46</v>
      </c>
      <c r="BI131" s="760">
        <f>IF(AND($Z131="b",Inventory!$P138="Btu/hr"),Inventory!$O138,IF(AND($Z131="b",Inventory!$P138="Tons"),Inventory!$O138*12000,IF(AND($Z131&lt;&gt;"b",Inventory!$AM138="Btu/hr"),Inventory!$AL138,IF(AND($Z131&lt;&gt;"b",Inventory!$AM138="Tons"),Inventory!$AL138*12000,0))))</f>
        <v>0</v>
      </c>
      <c r="BJ131" s="760">
        <f t="shared" si="96"/>
        <v>0</v>
      </c>
      <c r="BK131" s="598">
        <f t="shared" si="78"/>
        <v>0</v>
      </c>
      <c r="BL131" s="759" t="s">
        <v>567</v>
      </c>
      <c r="BM131" s="477" t="str">
        <f t="shared" ref="BM131:BM194" si="105">IF($Z131="b","Yes","No")</f>
        <v>No</v>
      </c>
      <c r="BN131" s="477" t="str">
        <f>IF(OR(Inventory!$H138="",$BM131="No"),"-",Inventory!$H138)</f>
        <v>-</v>
      </c>
      <c r="BO131" s="477" t="str">
        <f>IFERROR(VLOOKUP(BN131,'Early Retirement'!$B$6:$C$33,2,FALSE),"-")</f>
        <v>-</v>
      </c>
      <c r="BP131" s="477" t="str">
        <f>IF(Inventory!$J138="Centrifugal","Yes","No")</f>
        <v>No</v>
      </c>
      <c r="BQ131" s="477">
        <f t="shared" si="79"/>
        <v>0</v>
      </c>
      <c r="BR131" s="477" t="str">
        <f t="shared" si="80"/>
        <v>-</v>
      </c>
      <c r="BS131" s="479">
        <f>IFERROR(INDEX('Early Retirement'!$C$4:$AC$33,$BO131,$BR131),0)</f>
        <v>0</v>
      </c>
      <c r="BT131" s="477">
        <f>IFERROR(HLOOKUP($BR131,'Early Retirement'!$D$4:$AC$5,2,FALSE),0)</f>
        <v>0</v>
      </c>
      <c r="BU131" s="761">
        <f>IFERROR(INDEX('Early Retirement'!$AE$4:$BE$33,$BO131,$BR131),0)</f>
        <v>0</v>
      </c>
      <c r="BV131" s="759">
        <f>IFERROR(HLOOKUP($BR131,'Early Retirement'!$AF$4:$BE$5,2,FALSE),0)</f>
        <v>0</v>
      </c>
      <c r="BW131" s="479">
        <f t="shared" si="87"/>
        <v>0</v>
      </c>
      <c r="BX131" s="761">
        <f t="shared" si="81"/>
        <v>0</v>
      </c>
      <c r="BY131" s="477" t="s">
        <v>46</v>
      </c>
      <c r="BZ131" s="598">
        <f>IFERROR(INDEX('Early Retirement'!$BG$4:$CG$33,$BO131,$BR131),0)</f>
        <v>0</v>
      </c>
      <c r="CA131" s="759">
        <f>IFERROR(HLOOKUP($BR131,'Early Retirement'!$BH$4:$CH$5,2,FALSE),0)</f>
        <v>0</v>
      </c>
      <c r="CB131" s="598">
        <f t="shared" si="82"/>
        <v>0</v>
      </c>
      <c r="CC131" s="759" t="s">
        <v>567</v>
      </c>
      <c r="CD131" s="477" t="str">
        <f t="shared" ref="CD131:CD194" si="106">IF(AND($AZ131="No",$BM131="No"),"Yes","No")</f>
        <v>Yes</v>
      </c>
      <c r="CE131" s="479">
        <f t="shared" ref="CE131:CE194" si="107">IF($CD131="Yes",IFERROR(VLOOKUP($AY131,$CP:$CW,6,FALSE),0),0)</f>
        <v>0</v>
      </c>
      <c r="CF131" s="761">
        <f t="shared" ref="CF131:CF194" si="108">IF($CD131="Yes",IFERROR(VLOOKUP($AY131,$CP:$CW,7,FALSE),0),0)</f>
        <v>0</v>
      </c>
      <c r="CG131" s="759" t="s">
        <v>46</v>
      </c>
      <c r="CH131" s="598">
        <f t="shared" si="83"/>
        <v>0</v>
      </c>
      <c r="CI131" s="759" t="s">
        <v>567</v>
      </c>
      <c r="CJ131" s="480">
        <f t="shared" si="84"/>
        <v>0</v>
      </c>
      <c r="CK131" s="583">
        <f t="shared" si="85"/>
        <v>0</v>
      </c>
      <c r="CL131" s="596" t="s">
        <v>46</v>
      </c>
      <c r="CM131" s="581">
        <f t="shared" si="86"/>
        <v>0</v>
      </c>
      <c r="CN131" s="762" t="s">
        <v>567</v>
      </c>
      <c r="CP131" s="90" t="s">
        <v>225</v>
      </c>
      <c r="CQ131" s="124">
        <v>0.68</v>
      </c>
      <c r="CR131" s="307" t="s">
        <v>46</v>
      </c>
      <c r="CS131" s="645">
        <v>0.57999999999999996</v>
      </c>
      <c r="CT131" s="551" t="s">
        <v>559</v>
      </c>
      <c r="CU131" s="645">
        <f t="shared" si="97"/>
        <v>0.68</v>
      </c>
      <c r="CV131" s="645">
        <f t="shared" si="92"/>
        <v>0.57999999999999996</v>
      </c>
      <c r="CW131" s="633" t="s">
        <v>46</v>
      </c>
      <c r="CX131" s="606"/>
      <c r="CY131" s="589"/>
      <c r="CZ131" s="606"/>
      <c r="DA131" s="609"/>
      <c r="DB131" s="562"/>
      <c r="DC131" s="562"/>
      <c r="DD131" s="562"/>
      <c r="DE131" s="562"/>
      <c r="DF131" s="562"/>
      <c r="DG131" s="562"/>
      <c r="DH131" s="562"/>
      <c r="DI131" s="562"/>
      <c r="DJ131" s="562"/>
      <c r="DK131" s="562"/>
      <c r="DL131" s="562"/>
      <c r="DM131" s="562"/>
      <c r="DN131" s="562"/>
      <c r="DO131" s="562"/>
      <c r="DP131" s="562"/>
      <c r="DQ131" s="562"/>
      <c r="DR131" s="562"/>
      <c r="DS131" s="562"/>
      <c r="DT131" s="562"/>
      <c r="DU131" s="562"/>
      <c r="DV131" s="562"/>
      <c r="DW131" s="562"/>
      <c r="DX131" s="562"/>
      <c r="DY131" s="562"/>
      <c r="DZ131" s="562"/>
      <c r="EA131" s="562"/>
      <c r="EB131" s="562"/>
      <c r="EC131" s="562"/>
      <c r="ED131" s="562"/>
      <c r="EE131" s="562"/>
      <c r="EF131" s="562"/>
      <c r="EG131" s="562"/>
      <c r="EH131" s="562"/>
      <c r="EI131" s="562"/>
      <c r="EJ131" s="562"/>
      <c r="EK131" s="562"/>
      <c r="EL131" s="562"/>
    </row>
    <row r="132" spans="2:142" s="78" customFormat="1" ht="15" customHeight="1" x14ac:dyDescent="0.25">
      <c r="B132" s="77"/>
      <c r="E132" s="77"/>
      <c r="H132" s="77"/>
      <c r="Y132" s="90">
        <v>130</v>
      </c>
      <c r="Z132" s="559" t="str">
        <f>IF(Inventory!$C139="","",VLOOKUP(Inventory!$C139,$B$3:$C$5,2,FALSE))</f>
        <v/>
      </c>
      <c r="AA132" s="559" t="str">
        <f>IF($Z132="","",IF(AND($Z132="b",Inventory!$G139=""),"",IF(AND($Z132="b",Inventory!$G139&lt;&gt;""),VLOOKUP(Inventory!$G139,$E$3:$F$10,2,FALSE),IF(AND($Z132="a",Inventory!$Z139=""),"",IF(AND($Z132="a",Inventory!$Z139&lt;&gt;""),VLOOKUP(Inventory!$Z139,$E$3:$F$10,2,FALSE),IF(AND($Z132="c",Inventory!$Z139=""),"",IF(AND($Z132="c",Inventory!$Z139&lt;&gt;""),VLOOKUP(Inventory!$Z139,$E$3:$F$10,2,FALSE),"")))))))</f>
        <v/>
      </c>
      <c r="AB132" s="559" t="str">
        <f>IF($Z132="","a",IF(AND($Z132="b",Inventory!$J139=""),"a",IF(AND($Z132="b",Inventory!$J139&lt;&gt;""),VLOOKUP(Inventory!$J139,$H$4:$I$6,2,FALSE),IF(AND($Z132="a",Inventory!$AA139=""),"a",IF(AND($Z132="a",Inventory!$AA139&lt;&gt;""),VLOOKUP(Inventory!$AA139,$H$4:$I$6,2,FALSE),IF(AND($Z132="c",Inventory!$AA139=""),"a",IF(AND($Z132="c",Inventory!$AA139&lt;&gt;""),VLOOKUP(Inventory!$AA139,$H$4:$I$6,2,FALSE),"a")))))))</f>
        <v>a</v>
      </c>
      <c r="AC132" s="559" t="str">
        <f t="shared" ref="AC132:AC195" si="109">IF($AA132="f","b",IF($AA132="e","c","a"))</f>
        <v>a</v>
      </c>
      <c r="AD132" s="473" t="str">
        <f>IF($Z132="","a",IF(AND($Z132="b",Inventory!$L139=""),"a",IF(AND($Z132="b",Inventory!$L139&lt;&gt;""),VLOOKUP(Inventory!$L139,$N$4:$O$5,2,FALSE),IF(AND($Z132="a",Inventory!$AC139=""),"a",IF(AND($Z132="a",Inventory!$AC139&lt;&gt;""),VLOOKUP(Inventory!$AC139,$N$4:$O$5,2,FALSE),IF(AND($Z132="c",Inventory!$AC139=""),"a",IF(AND($Z132="c",Inventory!$AC139&lt;&gt;""),VLOOKUP(Inventory!$AC139,$N$4:$O$5,2,FALSE),"a")))))))</f>
        <v>a</v>
      </c>
      <c r="AE132" s="474">
        <f>IF(OR(Inventory!C139="New Construction",Inventory!C139="Replace-on-Burnout"),Inventory!AF139,IF(Inventory!C139="Early Retirement",MIN(Inventory!AE139,Inventory!AF139),0))</f>
        <v>0</v>
      </c>
      <c r="AF132" s="475" t="str">
        <f t="shared" ref="AF132:AF195" si="110">IF(OR(AND($AA132&lt;&gt;"a",$AA132&lt;&gt;"b"),$AE132=""),"",IF(AND($AE132&gt;=$AF$2,$AA132="a"),5,IF(AND($AE132&gt;=$AF$2,$AA132="b"),10,0)))</f>
        <v/>
      </c>
      <c r="AG132" s="475" t="str">
        <f t="shared" si="98"/>
        <v/>
      </c>
      <c r="AH132" s="475" t="str">
        <f t="shared" si="99"/>
        <v/>
      </c>
      <c r="AI132" s="475" t="str">
        <f t="shared" si="100"/>
        <v/>
      </c>
      <c r="AJ132" s="475" t="str">
        <f t="shared" si="101"/>
        <v/>
      </c>
      <c r="AK132" s="475" t="str">
        <f t="shared" ref="AK132:AK195" si="111">IF(OR(AND($AA132&lt;&gt;"e",$AA132&lt;&gt;"f"),$AE132=""),"",IF(AND($AE132&gt;=$AK$2,OR($AA132="e",$AA132="f"),$AC132="b",$AD132="b"),26,IF(AND($AE132&gt;$AK$2,OR($AA132="e",$AA132="f"),$AC132="b",$AD132="c"),28,IF(AND($AE132&gt;$AK$2,OR($AA132="e",$AA132="f"),$AC132="c",$AD132="b"),19,IF(AND($AE132&gt;$AK$2,OR($AA132="e",$AA132="f"),$AC132="c",$AD132="c"),24,0)))))</f>
        <v/>
      </c>
      <c r="AL132" s="475" t="str">
        <f t="shared" ref="AL132:AL195" si="112">IF(OR(AND($AA132&lt;&gt;"e",$AA132&lt;&gt;"f"),$AE132="",$AK132&lt;&gt;0),"",IF(AND($AE132&gt;=$AL$2,OR($AA132="e",$AA132="f"),$AC132="b",$AD132="b"),26,IF(AND($AE132&gt;$AL$2,OR($AA132="e",$AA132="f"),$AC132="b",$AD132="c"),28,IF(AND($AE132&gt;$AL$2,OR($AA132="e",$AA132="f"),$AC132="c",$AD132="b"),18,IF(AND($AE132&gt;$AL$2,OR($AA132="e",$AA132="f"),$AC132="c",$AD132="c"),24,0)))))</f>
        <v/>
      </c>
      <c r="AM132" s="475" t="str">
        <f t="shared" ref="AM132:AM195" si="113">IF(OR(AND($AA132&lt;&gt;"e",$AA132&lt;&gt;"f"),$AE132="",$AL132&lt;&gt;0),"",IF(AND($AE132&gt;=$AM$2,OR($AA132="e",$AA132="f"),$AC132="b",$AD132="b"),25,IF(AND($AE132&gt;$AM$2,OR($AA132="e",$AA132="f"),$AC132="b",$AD132="c"),28,IF(AND($AE132&gt;$AM$2,OR($AA132="e",$AA132="f"),$AC132="c",$AD132="b"),17,IF(AND($AE132&gt;$AM$2,OR($AA132="e",$AA132="f"),$AC132="c",$AD132="c"),23,0)))))</f>
        <v/>
      </c>
      <c r="AN132" s="475" t="str">
        <f t="shared" ref="AN132:AN195" si="114">IF(OR(AND($AA132&lt;&gt;"e",$AA132&lt;&gt;"f"),$AE132="",$AM132&lt;&gt;0),"",IF(AND($AE132&gt;=$AN$2,OR($AA132="e",$AA132="f"),$AC132="b",$AD132="b"),25,IF(AND($AE132&gt;$AN$2,OR($AA132="e",$AA132="f"),$AC132="b",$AD132="c"),27,IF(AND($AE132&gt;$AN$2,OR($AA132="e",$AA132="f"),$AC132="c",$AD132="b"),16,IF(AND($AE132&gt;$AN$2,OR($AA132="e",$AA132="f"),$AC132="c",$AD132="c"),22,0)))))</f>
        <v/>
      </c>
      <c r="AO132" s="475" t="str">
        <f t="shared" ref="AO132:AO195" si="115">IF(OR(AND($AA132&lt;&gt;"e",$AA132&lt;&gt;"f"),$AE132="",$AN132&lt;&gt;0),"",IF(AND($AE132&gt;=$AO$2,OR($AA132="e",$AA132="f"),$AC132="b",$AD132="b"),25,IF(AND($AE132&gt;$AO$2,OR($AA132="e",$AA132="f"),$AC132="b",$AD132="c"),27,IF(AND($AE132&gt;$AO$2,OR($AA132="e",$AA132="f"),$AC132="c",$AD132="b"),16,IF(AND($AE132&gt;$AO$2,OR($AA132="e",$AA132="f"),$AC132="c",$AD132="c"),21,0)))))</f>
        <v/>
      </c>
      <c r="AP132" s="475" t="str">
        <f t="shared" ref="AP132:AP195" si="116">IF(OR(AND($AA132&lt;&gt;"e",$AA132&lt;&gt;"f"),$AE132="",$AO132&lt;&gt;0),"",IF(AND($AE132&gt;=$AP$2,OR($AA132="e",$AA132="f"),$AC132="b",$AD132="b"),25,IF(AND($AE132&gt;$AP$2,OR($AA132="e",$AA132="f"),$AC132="b",$AD132="c"),27,IF(AND($AE132&gt;$AP$2,OR($AA132="e",$AA132="f"),$AC132="c",$AD132="b"),15,IF(AND($AE132&gt;$AP$2,OR($AA132="e",$AA132="f"),$AC132="c",$AD132="c"),20,0)))))</f>
        <v/>
      </c>
      <c r="AQ132" s="475" t="str">
        <f t="shared" ref="AQ132:AQ195" si="117">IF(OR(AND($AA132&lt;&gt;"g",$AA132&lt;&gt;"h"),$AE132=""),"",IF(AND($AE132&gt;=$AQ$2,$AA132="g"),33,IF(AND($AE132&gt;=$AQ$2,$AA132="h",$AB132="b"),38,IF(AND($AE132&gt;=$AQ$2,$AA132="h",$AB132&lt;&gt;"b"),43,0))))</f>
        <v/>
      </c>
      <c r="AR132" s="475" t="str">
        <f t="shared" ref="AR132:AR195" si="118">IF(OR(AND($AA132&lt;&gt;"g",$AA132&lt;&gt;"h"),$AE132="",$AQ132&lt;&gt;0),"",IF(AND($AE132&gt;=$AR$2,$AA132="g"),32,IF(AND($AE132&gt;=$AR$2,$AA132="h",$AB132="b"),37,IF(AND($AE132&gt;=$AR$2,$AA132="h",$AB132&lt;&gt;"b"),42,0))))</f>
        <v/>
      </c>
      <c r="AS132" s="475" t="str">
        <f t="shared" ref="AS132:AS195" si="119">IF(OR(AND($AA132&lt;&gt;"g",$AA132&lt;&gt;"h"),$AE132="",$AR132&lt;&gt;0),"",IF(AND($AE132&gt;=$AS$2,$AA132="g"),31,IF(AND($AE132&gt;=$AS$2,$AA132="h",$AB132="b"),36,IF(AND($AE132&gt;=$AS$2,$AA132="h",$AB132&lt;&gt;"b"),41,0))))</f>
        <v/>
      </c>
      <c r="AT132" s="475" t="str">
        <f t="shared" ref="AT132:AT195" si="120">IF(OR(AND($AA132&lt;&gt;"g",$AA132&lt;&gt;"h"),$AE132="",$AS132&lt;&gt;0),"",IF(AND($AE132&gt;=$AT$2,$AA132="g"),30,IF(AND($AE132&gt;=$AT$2,$AA132="h",$AB132="b"),35,IF(AND($AE132&gt;=$AT$2,$AA132="h",$AB132&lt;&gt;"b"),40,0))))</f>
        <v/>
      </c>
      <c r="AU132" s="475" t="str">
        <f t="shared" ref="AU132:AU195" si="121">IF(OR(AND($AA132&lt;&gt;"g",$AA132&lt;&gt;"h"),$AE132="",$AT132&lt;&gt;0),"",IF(AND($AE132&gt;=$AU$2,$AA132="g"),29,IF(AND($AE132&gt;=$AU$2,$AA132="h",$AB132="b"),34,IF(AND($AE132&gt;=$AU$2,$AA132="h",$AB132&lt;&gt;"b"),39,0))))</f>
        <v/>
      </c>
      <c r="AV132" s="475" t="str">
        <f t="shared" si="102"/>
        <v/>
      </c>
      <c r="AW132" s="473">
        <f t="shared" si="103"/>
        <v>0</v>
      </c>
      <c r="AX132" s="473" t="str">
        <f>IF(AND($Z132="b",OR($AA132="a",$AA132="b"),Inventory!$I139="",$AE132&lt;(65000/12000)),"x",IF(AND($Z132="b",OR($AA132="a",$AA132="b"),Inventory!$I139&lt;&gt;"",$AE132&lt;(65000/12000)),VLOOKUP(Inventory!$I139,$V$4:$W$5,2,FALSE),"x"))</f>
        <v>x</v>
      </c>
      <c r="AY132" s="476" t="str">
        <f t="shared" ref="AY132:AY195" si="122">CONCATENATE($Z132,$AA132,$AB132,$AC132,$AD132,$AW132)</f>
        <v>aaa0</v>
      </c>
      <c r="AZ132" s="477" t="str">
        <f t="shared" ref="AZ132:AZ195" si="123">IF($AA132="c","Yes","No")</f>
        <v>No</v>
      </c>
      <c r="BA132" s="759" t="str">
        <f t="shared" ref="BA132:BA195" si="124">IF($AA132="d","Yes","No")</f>
        <v>No</v>
      </c>
      <c r="BB132" s="477">
        <f>IF($Z132="c",Inventory!$AB139,Inventory!$K139)</f>
        <v>0</v>
      </c>
      <c r="BC132" s="478">
        <f>IF(AND($Z132="b",Inventory!$N139="Btu/hr"),Inventory!$M139,IF(AND($Z132="b",Inventory!$N139="Tons"),Inventory!$M139*12000,IF(AND($Z132&lt;&gt;"b",Inventory!$AK139="Btu/hr"),Inventory!$AD139,IF(AND($Z132&lt;&gt;"b",Inventory!$AK139="Tons"),Inventory!$AD139*12000,0))))</f>
        <v>0</v>
      </c>
      <c r="BD132" s="478">
        <f t="shared" si="95"/>
        <v>0</v>
      </c>
      <c r="BE132" s="479">
        <f t="shared" ref="BE132:BE195" si="125">IF(OR(AND($AZ132="No",$BA132="No"),$BC132=0),0,IF(AND($Z132&lt;&gt;"b",$AZ132="Yes",$BB132="Yes"),13.8-(0.3*$BD132/1000),IF(AND($Z132&lt;&gt;"b",$AZ132="Yes",$BB132="No"),10.9-(0.213*$BD132/1000),IF(AND($Z132="b",$AZ132="Yes"),12.5-(0.213*$BD132/1000),IF(AND($Z132&lt;&gt;"b",$BA132="Yes",$BB132="Yes"),14-(0.3*$BD132/1000),IF(AND($Z132&lt;&gt;"b",$BA132="Yes",$BB132="No"),10.8-(0.213*$BD132/1000),IF(AND($Z132="b",$BA132="Yes"),12.3-(0.213*$BD132/1000),0)))))))</f>
        <v>0</v>
      </c>
      <c r="BF132" s="477" t="s">
        <v>50</v>
      </c>
      <c r="BG132" s="479">
        <f t="shared" si="104"/>
        <v>0</v>
      </c>
      <c r="BH132" s="477" t="s">
        <v>46</v>
      </c>
      <c r="BI132" s="760">
        <f>IF(AND($Z132="b",Inventory!$P139="Btu/hr"),Inventory!$O139,IF(AND($Z132="b",Inventory!$P139="Tons"),Inventory!$O139*12000,IF(AND($Z132&lt;&gt;"b",Inventory!$AM139="Btu/hr"),Inventory!$AL139,IF(AND($Z132&lt;&gt;"b",Inventory!$AM139="Tons"),Inventory!$AL139*12000,0))))</f>
        <v>0</v>
      </c>
      <c r="BJ132" s="760">
        <f t="shared" si="96"/>
        <v>0</v>
      </c>
      <c r="BK132" s="598">
        <f t="shared" ref="BK132:BK195" si="126">IF(OR($BA132="No",$BI132=0),0,IF(AND($Z132&lt;&gt;"b",$BA132="Yes",$BB132="Yes"),3.7-(0.052*$BJ132/1000),IF(AND($Z132&lt;&gt;"b",$BA132="Yes",$BB132="No"),2.9-(0.026*$BJ132/1000),IF(AND($Z132="b",$BA132="Yes"),3.2-(0.026*$BJ132/1000),0))))</f>
        <v>0</v>
      </c>
      <c r="BL132" s="759" t="s">
        <v>567</v>
      </c>
      <c r="BM132" s="477" t="str">
        <f t="shared" si="105"/>
        <v>No</v>
      </c>
      <c r="BN132" s="477" t="str">
        <f>IF(OR(Inventory!$H139="",$BM132="No"),"-",Inventory!$H139)</f>
        <v>-</v>
      </c>
      <c r="BO132" s="477" t="str">
        <f>IFERROR(VLOOKUP(BN132,'Early Retirement'!$B$6:$C$33,2,FALSE),"-")</f>
        <v>-</v>
      </c>
      <c r="BP132" s="477" t="str">
        <f>IF(Inventory!$J139="Centrifugal","Yes","No")</f>
        <v>No</v>
      </c>
      <c r="BQ132" s="477">
        <f t="shared" ref="BQ132:BQ195" si="127">IF($BM132="No",0,IF($BP132="Yes",CONCATENATE($AW132,$AX132,"c"),CONCATENATE($AW132,$AX132)))</f>
        <v>0</v>
      </c>
      <c r="BR132" s="477" t="str">
        <f t="shared" ref="BR132:BR195" si="128">IFERROR(VLOOKUP($BQ132,$BQ$506:$BR$537,2,FALSE),"-")</f>
        <v>-</v>
      </c>
      <c r="BS132" s="479">
        <f>IFERROR(INDEX('Early Retirement'!$C$4:$AC$33,$BO132,$BR132),0)</f>
        <v>0</v>
      </c>
      <c r="BT132" s="477">
        <f>IFERROR(HLOOKUP($BR132,'Early Retirement'!$D$4:$AC$5,2,FALSE),0)</f>
        <v>0</v>
      </c>
      <c r="BU132" s="761">
        <f>IFERROR(INDEX('Early Retirement'!$AE$4:$BE$33,$BO132,$BR132),0)</f>
        <v>0</v>
      </c>
      <c r="BV132" s="759">
        <f>IFERROR(HLOOKUP($BR132,'Early Retirement'!$AF$4:$BE$5,2,FALSE),0)</f>
        <v>0</v>
      </c>
      <c r="BW132" s="479">
        <f t="shared" si="87"/>
        <v>0</v>
      </c>
      <c r="BX132" s="761">
        <f t="shared" ref="BX132:BX195" si="129">IF(OR($BV132="SEER",$BV132="IEER (EER)",$BV132="IPLV (EER)"),12/$BU132,IF($BV132="IPLV (kW/ton)",$BU132,0))</f>
        <v>0</v>
      </c>
      <c r="BY132" s="477" t="s">
        <v>46</v>
      </c>
      <c r="BZ132" s="598">
        <f>IFERROR(INDEX('Early Retirement'!$BG$4:$CG$33,$BO132,$BR132),0)</f>
        <v>0</v>
      </c>
      <c r="CA132" s="759">
        <f>IFERROR(HLOOKUP($BR132,'Early Retirement'!$BH$4:$CH$5,2,FALSE),0)</f>
        <v>0</v>
      </c>
      <c r="CB132" s="598">
        <f t="shared" ref="CB132:CB195" si="130">IF($CA132="HSPF",$BZ132/3.412,IF($CA132="COP",$BZ132,0))</f>
        <v>0</v>
      </c>
      <c r="CC132" s="759" t="s">
        <v>567</v>
      </c>
      <c r="CD132" s="477" t="str">
        <f t="shared" si="106"/>
        <v>Yes</v>
      </c>
      <c r="CE132" s="479">
        <f t="shared" si="107"/>
        <v>0</v>
      </c>
      <c r="CF132" s="761">
        <f t="shared" si="108"/>
        <v>0</v>
      </c>
      <c r="CG132" s="759" t="s">
        <v>46</v>
      </c>
      <c r="CH132" s="598">
        <f t="shared" ref="CH132:CH195" si="131">IF($CD132="Yes",IFERROR(VLOOKUP($AY132,$CP:$DA,11,FALSE),0),0)</f>
        <v>0</v>
      </c>
      <c r="CI132" s="759" t="s">
        <v>567</v>
      </c>
      <c r="CJ132" s="480">
        <f t="shared" ref="CJ132:CJ195" si="132">MAX($BG132,$BW132,$CE132)</f>
        <v>0</v>
      </c>
      <c r="CK132" s="583">
        <f t="shared" ref="CK132:CK195" si="133">MAX($BG132,$BX132,$CF132)</f>
        <v>0</v>
      </c>
      <c r="CL132" s="596" t="s">
        <v>46</v>
      </c>
      <c r="CM132" s="581">
        <f t="shared" ref="CM132:CM195" si="134">MAX($BK132,$CB132,$CH132)</f>
        <v>0</v>
      </c>
      <c r="CN132" s="762" t="s">
        <v>567</v>
      </c>
      <c r="CP132" s="90" t="s">
        <v>527</v>
      </c>
      <c r="CQ132" s="124">
        <v>0.62</v>
      </c>
      <c r="CR132" s="307" t="s">
        <v>46</v>
      </c>
      <c r="CS132" s="645">
        <v>0.54</v>
      </c>
      <c r="CT132" s="551" t="s">
        <v>559</v>
      </c>
      <c r="CU132" s="645">
        <f t="shared" si="97"/>
        <v>0.62</v>
      </c>
      <c r="CV132" s="645">
        <f t="shared" si="92"/>
        <v>0.54</v>
      </c>
      <c r="CW132" s="633" t="s">
        <v>46</v>
      </c>
      <c r="CX132" s="606"/>
      <c r="CY132" s="589"/>
      <c r="CZ132" s="606"/>
      <c r="DA132" s="609"/>
      <c r="DB132" s="562"/>
      <c r="DC132" s="562"/>
      <c r="DD132" s="562"/>
      <c r="DE132" s="562"/>
      <c r="DF132" s="562"/>
      <c r="DG132" s="562"/>
      <c r="DH132" s="562"/>
      <c r="DI132" s="562"/>
      <c r="DJ132" s="562"/>
      <c r="DK132" s="562"/>
      <c r="DL132" s="562"/>
      <c r="DM132" s="562"/>
      <c r="DN132" s="562"/>
      <c r="DO132" s="562"/>
      <c r="DP132" s="562"/>
      <c r="DQ132" s="562"/>
      <c r="DR132" s="562"/>
      <c r="DS132" s="562"/>
      <c r="DT132" s="562"/>
      <c r="DU132" s="562"/>
      <c r="DV132" s="562"/>
      <c r="DW132" s="562"/>
      <c r="DX132" s="562"/>
      <c r="DY132" s="562"/>
      <c r="DZ132" s="562"/>
      <c r="EA132" s="562"/>
      <c r="EB132" s="562"/>
      <c r="EC132" s="562"/>
      <c r="ED132" s="562"/>
      <c r="EE132" s="562"/>
      <c r="EF132" s="562"/>
      <c r="EG132" s="562"/>
      <c r="EH132" s="562"/>
      <c r="EI132" s="562"/>
      <c r="EJ132" s="562"/>
      <c r="EK132" s="562"/>
      <c r="EL132" s="562"/>
    </row>
    <row r="133" spans="2:142" s="78" customFormat="1" ht="15" customHeight="1" x14ac:dyDescent="0.25">
      <c r="B133" s="77"/>
      <c r="E133" s="77"/>
      <c r="H133" s="77"/>
      <c r="Y133" s="90">
        <v>131</v>
      </c>
      <c r="Z133" s="559" t="str">
        <f>IF(Inventory!$C140="","",VLOOKUP(Inventory!$C140,$B$3:$C$5,2,FALSE))</f>
        <v/>
      </c>
      <c r="AA133" s="559" t="str">
        <f>IF($Z133="","",IF(AND($Z133="b",Inventory!$G140=""),"",IF(AND($Z133="b",Inventory!$G140&lt;&gt;""),VLOOKUP(Inventory!$G140,$E$3:$F$10,2,FALSE),IF(AND($Z133="a",Inventory!$Z140=""),"",IF(AND($Z133="a",Inventory!$Z140&lt;&gt;""),VLOOKUP(Inventory!$Z140,$E$3:$F$10,2,FALSE),IF(AND($Z133="c",Inventory!$Z140=""),"",IF(AND($Z133="c",Inventory!$Z140&lt;&gt;""),VLOOKUP(Inventory!$Z140,$E$3:$F$10,2,FALSE),"")))))))</f>
        <v/>
      </c>
      <c r="AB133" s="559" t="str">
        <f>IF($Z133="","a",IF(AND($Z133="b",Inventory!$J140=""),"a",IF(AND($Z133="b",Inventory!$J140&lt;&gt;""),VLOOKUP(Inventory!$J140,$H$4:$I$6,2,FALSE),IF(AND($Z133="a",Inventory!$AA140=""),"a",IF(AND($Z133="a",Inventory!$AA140&lt;&gt;""),VLOOKUP(Inventory!$AA140,$H$4:$I$6,2,FALSE),IF(AND($Z133="c",Inventory!$AA140=""),"a",IF(AND($Z133="c",Inventory!$AA140&lt;&gt;""),VLOOKUP(Inventory!$AA140,$H$4:$I$6,2,FALSE),"a")))))))</f>
        <v>a</v>
      </c>
      <c r="AC133" s="559" t="str">
        <f t="shared" si="109"/>
        <v>a</v>
      </c>
      <c r="AD133" s="473" t="str">
        <f>IF($Z133="","a",IF(AND($Z133="b",Inventory!$L140=""),"a",IF(AND($Z133="b",Inventory!$L140&lt;&gt;""),VLOOKUP(Inventory!$L140,$N$4:$O$5,2,FALSE),IF(AND($Z133="a",Inventory!$AC140=""),"a",IF(AND($Z133="a",Inventory!$AC140&lt;&gt;""),VLOOKUP(Inventory!$AC140,$N$4:$O$5,2,FALSE),IF(AND($Z133="c",Inventory!$AC140=""),"a",IF(AND($Z133="c",Inventory!$AC140&lt;&gt;""),VLOOKUP(Inventory!$AC140,$N$4:$O$5,2,FALSE),"a")))))))</f>
        <v>a</v>
      </c>
      <c r="AE133" s="474">
        <f>IF(OR(Inventory!C140="New Construction",Inventory!C140="Replace-on-Burnout"),Inventory!AF140,IF(Inventory!C140="Early Retirement",MIN(Inventory!AE140,Inventory!AF140),0))</f>
        <v>0</v>
      </c>
      <c r="AF133" s="475" t="str">
        <f t="shared" si="110"/>
        <v/>
      </c>
      <c r="AG133" s="475" t="str">
        <f t="shared" si="98"/>
        <v/>
      </c>
      <c r="AH133" s="475" t="str">
        <f t="shared" si="99"/>
        <v/>
      </c>
      <c r="AI133" s="475" t="str">
        <f t="shared" si="100"/>
        <v/>
      </c>
      <c r="AJ133" s="475" t="str">
        <f t="shared" si="101"/>
        <v/>
      </c>
      <c r="AK133" s="475" t="str">
        <f t="shared" si="111"/>
        <v/>
      </c>
      <c r="AL133" s="475" t="str">
        <f t="shared" si="112"/>
        <v/>
      </c>
      <c r="AM133" s="475" t="str">
        <f t="shared" si="113"/>
        <v/>
      </c>
      <c r="AN133" s="475" t="str">
        <f t="shared" si="114"/>
        <v/>
      </c>
      <c r="AO133" s="475" t="str">
        <f t="shared" si="115"/>
        <v/>
      </c>
      <c r="AP133" s="475" t="str">
        <f t="shared" si="116"/>
        <v/>
      </c>
      <c r="AQ133" s="475" t="str">
        <f t="shared" si="117"/>
        <v/>
      </c>
      <c r="AR133" s="475" t="str">
        <f t="shared" si="118"/>
        <v/>
      </c>
      <c r="AS133" s="475" t="str">
        <f t="shared" si="119"/>
        <v/>
      </c>
      <c r="AT133" s="475" t="str">
        <f t="shared" si="120"/>
        <v/>
      </c>
      <c r="AU133" s="475" t="str">
        <f t="shared" si="121"/>
        <v/>
      </c>
      <c r="AV133" s="475" t="str">
        <f t="shared" si="102"/>
        <v/>
      </c>
      <c r="AW133" s="473">
        <f t="shared" si="103"/>
        <v>0</v>
      </c>
      <c r="AX133" s="473" t="str">
        <f>IF(AND($Z133="b",OR($AA133="a",$AA133="b"),Inventory!$I140="",$AE133&lt;(65000/12000)),"x",IF(AND($Z133="b",OR($AA133="a",$AA133="b"),Inventory!$I140&lt;&gt;"",$AE133&lt;(65000/12000)),VLOOKUP(Inventory!$I140,$V$4:$W$5,2,FALSE),"x"))</f>
        <v>x</v>
      </c>
      <c r="AY133" s="476" t="str">
        <f t="shared" si="122"/>
        <v>aaa0</v>
      </c>
      <c r="AZ133" s="477" t="str">
        <f t="shared" si="123"/>
        <v>No</v>
      </c>
      <c r="BA133" s="759" t="str">
        <f t="shared" si="124"/>
        <v>No</v>
      </c>
      <c r="BB133" s="477">
        <f>IF($Z133="c",Inventory!$AB140,Inventory!$K140)</f>
        <v>0</v>
      </c>
      <c r="BC133" s="478">
        <f>IF(AND($Z133="b",Inventory!$N140="Btu/hr"),Inventory!$M140,IF(AND($Z133="b",Inventory!$N140="Tons"),Inventory!$M140*12000,IF(AND($Z133&lt;&gt;"b",Inventory!$AK140="Btu/hr"),Inventory!$AD140,IF(AND($Z133&lt;&gt;"b",Inventory!$AK140="Tons"),Inventory!$AD140*12000,0))))</f>
        <v>0</v>
      </c>
      <c r="BD133" s="478">
        <f t="shared" si="95"/>
        <v>0</v>
      </c>
      <c r="BE133" s="479">
        <f t="shared" si="125"/>
        <v>0</v>
      </c>
      <c r="BF133" s="477" t="s">
        <v>50</v>
      </c>
      <c r="BG133" s="479">
        <f t="shared" si="104"/>
        <v>0</v>
      </c>
      <c r="BH133" s="477" t="s">
        <v>46</v>
      </c>
      <c r="BI133" s="760">
        <f>IF(AND($Z133="b",Inventory!$P140="Btu/hr"),Inventory!$O140,IF(AND($Z133="b",Inventory!$P140="Tons"),Inventory!$O140*12000,IF(AND($Z133&lt;&gt;"b",Inventory!$AM140="Btu/hr"),Inventory!$AL140,IF(AND($Z133&lt;&gt;"b",Inventory!$AM140="Tons"),Inventory!$AL140*12000,0))))</f>
        <v>0</v>
      </c>
      <c r="BJ133" s="760">
        <f t="shared" si="96"/>
        <v>0</v>
      </c>
      <c r="BK133" s="598">
        <f t="shared" si="126"/>
        <v>0</v>
      </c>
      <c r="BL133" s="759" t="s">
        <v>567</v>
      </c>
      <c r="BM133" s="477" t="str">
        <f t="shared" si="105"/>
        <v>No</v>
      </c>
      <c r="BN133" s="477" t="str">
        <f>IF(OR(Inventory!$H140="",$BM133="No"),"-",Inventory!$H140)</f>
        <v>-</v>
      </c>
      <c r="BO133" s="477" t="str">
        <f>IFERROR(VLOOKUP(BN133,'Early Retirement'!$B$6:$C$33,2,FALSE),"-")</f>
        <v>-</v>
      </c>
      <c r="BP133" s="477" t="str">
        <f>IF(Inventory!$J140="Centrifugal","Yes","No")</f>
        <v>No</v>
      </c>
      <c r="BQ133" s="477">
        <f t="shared" si="127"/>
        <v>0</v>
      </c>
      <c r="BR133" s="477" t="str">
        <f t="shared" si="128"/>
        <v>-</v>
      </c>
      <c r="BS133" s="479">
        <f>IFERROR(INDEX('Early Retirement'!$C$4:$AC$33,$BO133,$BR133),0)</f>
        <v>0</v>
      </c>
      <c r="BT133" s="477">
        <f>IFERROR(HLOOKUP($BR133,'Early Retirement'!$D$4:$AC$5,2,FALSE),0)</f>
        <v>0</v>
      </c>
      <c r="BU133" s="761">
        <f>IFERROR(INDEX('Early Retirement'!$AE$4:$BE$33,$BO133,$BR133),0)</f>
        <v>0</v>
      </c>
      <c r="BV133" s="759">
        <f>IFERROR(HLOOKUP($BR133,'Early Retirement'!$AF$4:$BE$5,2,FALSE),0)</f>
        <v>0</v>
      </c>
      <c r="BW133" s="479">
        <f t="shared" ref="BW133:BW196" si="135">IF($BT133="SEER",12/($BS133*0.697+2.0394),IF($BT133="EER",12/$BS133,IF($BT133="kW/ton",$BS133,0)))</f>
        <v>0</v>
      </c>
      <c r="BX133" s="761">
        <f t="shared" si="129"/>
        <v>0</v>
      </c>
      <c r="BY133" s="477" t="s">
        <v>46</v>
      </c>
      <c r="BZ133" s="598">
        <f>IFERROR(INDEX('Early Retirement'!$BG$4:$CG$33,$BO133,$BR133),0)</f>
        <v>0</v>
      </c>
      <c r="CA133" s="759">
        <f>IFERROR(HLOOKUP($BR133,'Early Retirement'!$BH$4:$CH$5,2,FALSE),0)</f>
        <v>0</v>
      </c>
      <c r="CB133" s="598">
        <f t="shared" si="130"/>
        <v>0</v>
      </c>
      <c r="CC133" s="759" t="s">
        <v>567</v>
      </c>
      <c r="CD133" s="477" t="str">
        <f t="shared" si="106"/>
        <v>Yes</v>
      </c>
      <c r="CE133" s="479">
        <f t="shared" si="107"/>
        <v>0</v>
      </c>
      <c r="CF133" s="761">
        <f t="shared" si="108"/>
        <v>0</v>
      </c>
      <c r="CG133" s="759" t="s">
        <v>46</v>
      </c>
      <c r="CH133" s="598">
        <f t="shared" si="131"/>
        <v>0</v>
      </c>
      <c r="CI133" s="759" t="s">
        <v>567</v>
      </c>
      <c r="CJ133" s="480">
        <f t="shared" si="132"/>
        <v>0</v>
      </c>
      <c r="CK133" s="583">
        <f t="shared" si="133"/>
        <v>0</v>
      </c>
      <c r="CL133" s="596" t="s">
        <v>46</v>
      </c>
      <c r="CM133" s="581">
        <f t="shared" si="134"/>
        <v>0</v>
      </c>
      <c r="CN133" s="762" t="s">
        <v>567</v>
      </c>
      <c r="CP133" s="90" t="s">
        <v>528</v>
      </c>
      <c r="CQ133" s="124">
        <v>0.62</v>
      </c>
      <c r="CR133" s="307" t="s">
        <v>46</v>
      </c>
      <c r="CS133" s="645">
        <v>0.54</v>
      </c>
      <c r="CT133" s="551" t="s">
        <v>559</v>
      </c>
      <c r="CU133" s="645">
        <f t="shared" si="97"/>
        <v>0.62</v>
      </c>
      <c r="CV133" s="645">
        <f t="shared" si="92"/>
        <v>0.54</v>
      </c>
      <c r="CW133" s="633" t="s">
        <v>46</v>
      </c>
      <c r="CX133" s="606"/>
      <c r="CY133" s="589"/>
      <c r="CZ133" s="606"/>
      <c r="DA133" s="609"/>
      <c r="DB133" s="562"/>
      <c r="DC133" s="562"/>
      <c r="DD133" s="562"/>
      <c r="DE133" s="562"/>
      <c r="DF133" s="562"/>
      <c r="DG133" s="562"/>
      <c r="DH133" s="562"/>
      <c r="DI133" s="562"/>
      <c r="DJ133" s="562"/>
      <c r="DK133" s="562"/>
      <c r="DL133" s="562"/>
      <c r="DM133" s="562"/>
      <c r="DN133" s="562"/>
      <c r="DO133" s="562"/>
      <c r="DP133" s="562"/>
      <c r="DQ133" s="562"/>
      <c r="DR133" s="562"/>
      <c r="DS133" s="562"/>
      <c r="DT133" s="562"/>
      <c r="DU133" s="562"/>
      <c r="DV133" s="562"/>
      <c r="DW133" s="562"/>
      <c r="DX133" s="562"/>
      <c r="DY133" s="562"/>
      <c r="DZ133" s="562"/>
      <c r="EA133" s="562"/>
      <c r="EB133" s="562"/>
      <c r="EC133" s="562"/>
      <c r="ED133" s="562"/>
      <c r="EE133" s="562"/>
      <c r="EF133" s="562"/>
      <c r="EG133" s="562"/>
      <c r="EH133" s="562"/>
      <c r="EI133" s="562"/>
      <c r="EJ133" s="562"/>
      <c r="EK133" s="562"/>
      <c r="EL133" s="562"/>
    </row>
    <row r="134" spans="2:142" s="78" customFormat="1" ht="15" customHeight="1" x14ac:dyDescent="0.25">
      <c r="B134" s="77"/>
      <c r="E134" s="77"/>
      <c r="H134" s="77"/>
      <c r="Y134" s="90">
        <v>132</v>
      </c>
      <c r="Z134" s="559" t="str">
        <f>IF(Inventory!$C141="","",VLOOKUP(Inventory!$C141,$B$3:$C$5,2,FALSE))</f>
        <v/>
      </c>
      <c r="AA134" s="559" t="str">
        <f>IF($Z134="","",IF(AND($Z134="b",Inventory!$G141=""),"",IF(AND($Z134="b",Inventory!$G141&lt;&gt;""),VLOOKUP(Inventory!$G141,$E$3:$F$10,2,FALSE),IF(AND($Z134="a",Inventory!$Z141=""),"",IF(AND($Z134="a",Inventory!$Z141&lt;&gt;""),VLOOKUP(Inventory!$Z141,$E$3:$F$10,2,FALSE),IF(AND($Z134="c",Inventory!$Z141=""),"",IF(AND($Z134="c",Inventory!$Z141&lt;&gt;""),VLOOKUP(Inventory!$Z141,$E$3:$F$10,2,FALSE),"")))))))</f>
        <v/>
      </c>
      <c r="AB134" s="559" t="str">
        <f>IF($Z134="","a",IF(AND($Z134="b",Inventory!$J141=""),"a",IF(AND($Z134="b",Inventory!$J141&lt;&gt;""),VLOOKUP(Inventory!$J141,$H$4:$I$6,2,FALSE),IF(AND($Z134="a",Inventory!$AA141=""),"a",IF(AND($Z134="a",Inventory!$AA141&lt;&gt;""),VLOOKUP(Inventory!$AA141,$H$4:$I$6,2,FALSE),IF(AND($Z134="c",Inventory!$AA141=""),"a",IF(AND($Z134="c",Inventory!$AA141&lt;&gt;""),VLOOKUP(Inventory!$AA141,$H$4:$I$6,2,FALSE),"a")))))))</f>
        <v>a</v>
      </c>
      <c r="AC134" s="559" t="str">
        <f t="shared" si="109"/>
        <v>a</v>
      </c>
      <c r="AD134" s="473" t="str">
        <f>IF($Z134="","a",IF(AND($Z134="b",Inventory!$L141=""),"a",IF(AND($Z134="b",Inventory!$L141&lt;&gt;""),VLOOKUP(Inventory!$L141,$N$4:$O$5,2,FALSE),IF(AND($Z134="a",Inventory!$AC141=""),"a",IF(AND($Z134="a",Inventory!$AC141&lt;&gt;""),VLOOKUP(Inventory!$AC141,$N$4:$O$5,2,FALSE),IF(AND($Z134="c",Inventory!$AC141=""),"a",IF(AND($Z134="c",Inventory!$AC141&lt;&gt;""),VLOOKUP(Inventory!$AC141,$N$4:$O$5,2,FALSE),"a")))))))</f>
        <v>a</v>
      </c>
      <c r="AE134" s="474">
        <f>IF(OR(Inventory!C141="New Construction",Inventory!C141="Replace-on-Burnout"),Inventory!AF141,IF(Inventory!C141="Early Retirement",MIN(Inventory!AE141,Inventory!AF141),0))</f>
        <v>0</v>
      </c>
      <c r="AF134" s="475" t="str">
        <f t="shared" si="110"/>
        <v/>
      </c>
      <c r="AG134" s="475" t="str">
        <f t="shared" si="98"/>
        <v/>
      </c>
      <c r="AH134" s="475" t="str">
        <f t="shared" si="99"/>
        <v/>
      </c>
      <c r="AI134" s="475" t="str">
        <f t="shared" si="100"/>
        <v/>
      </c>
      <c r="AJ134" s="475" t="str">
        <f t="shared" si="101"/>
        <v/>
      </c>
      <c r="AK134" s="475" t="str">
        <f t="shared" si="111"/>
        <v/>
      </c>
      <c r="AL134" s="475" t="str">
        <f t="shared" si="112"/>
        <v/>
      </c>
      <c r="AM134" s="475" t="str">
        <f t="shared" si="113"/>
        <v/>
      </c>
      <c r="AN134" s="475" t="str">
        <f t="shared" si="114"/>
        <v/>
      </c>
      <c r="AO134" s="475" t="str">
        <f t="shared" si="115"/>
        <v/>
      </c>
      <c r="AP134" s="475" t="str">
        <f t="shared" si="116"/>
        <v/>
      </c>
      <c r="AQ134" s="475" t="str">
        <f t="shared" si="117"/>
        <v/>
      </c>
      <c r="AR134" s="475" t="str">
        <f t="shared" si="118"/>
        <v/>
      </c>
      <c r="AS134" s="475" t="str">
        <f t="shared" si="119"/>
        <v/>
      </c>
      <c r="AT134" s="475" t="str">
        <f t="shared" si="120"/>
        <v/>
      </c>
      <c r="AU134" s="475" t="str">
        <f t="shared" si="121"/>
        <v/>
      </c>
      <c r="AV134" s="475" t="str">
        <f t="shared" si="102"/>
        <v/>
      </c>
      <c r="AW134" s="473">
        <f t="shared" si="103"/>
        <v>0</v>
      </c>
      <c r="AX134" s="473" t="str">
        <f>IF(AND($Z134="b",OR($AA134="a",$AA134="b"),Inventory!$I141="",$AE134&lt;(65000/12000)),"x",IF(AND($Z134="b",OR($AA134="a",$AA134="b"),Inventory!$I141&lt;&gt;"",$AE134&lt;(65000/12000)),VLOOKUP(Inventory!$I141,$V$4:$W$5,2,FALSE),"x"))</f>
        <v>x</v>
      </c>
      <c r="AY134" s="476" t="str">
        <f t="shared" si="122"/>
        <v>aaa0</v>
      </c>
      <c r="AZ134" s="477" t="str">
        <f t="shared" si="123"/>
        <v>No</v>
      </c>
      <c r="BA134" s="759" t="str">
        <f t="shared" si="124"/>
        <v>No</v>
      </c>
      <c r="BB134" s="477">
        <f>IF($Z134="c",Inventory!$AB141,Inventory!$K141)</f>
        <v>0</v>
      </c>
      <c r="BC134" s="478">
        <f>IF(AND($Z134="b",Inventory!$N141="Btu/hr"),Inventory!$M141,IF(AND($Z134="b",Inventory!$N141="Tons"),Inventory!$M141*12000,IF(AND($Z134&lt;&gt;"b",Inventory!$AK141="Btu/hr"),Inventory!$AD141,IF(AND($Z134&lt;&gt;"b",Inventory!$AK141="Tons"),Inventory!$AD141*12000,0))))</f>
        <v>0</v>
      </c>
      <c r="BD134" s="478">
        <f t="shared" si="95"/>
        <v>0</v>
      </c>
      <c r="BE134" s="479">
        <f t="shared" si="125"/>
        <v>0</v>
      </c>
      <c r="BF134" s="477" t="s">
        <v>50</v>
      </c>
      <c r="BG134" s="479">
        <f t="shared" si="104"/>
        <v>0</v>
      </c>
      <c r="BH134" s="477" t="s">
        <v>46</v>
      </c>
      <c r="BI134" s="760">
        <f>IF(AND($Z134="b",Inventory!$P141="Btu/hr"),Inventory!$O141,IF(AND($Z134="b",Inventory!$P141="Tons"),Inventory!$O141*12000,IF(AND($Z134&lt;&gt;"b",Inventory!$AM141="Btu/hr"),Inventory!$AL141,IF(AND($Z134&lt;&gt;"b",Inventory!$AM141="Tons"),Inventory!$AL141*12000,0))))</f>
        <v>0</v>
      </c>
      <c r="BJ134" s="760">
        <f t="shared" si="96"/>
        <v>0</v>
      </c>
      <c r="BK134" s="598">
        <f t="shared" si="126"/>
        <v>0</v>
      </c>
      <c r="BL134" s="759" t="s">
        <v>567</v>
      </c>
      <c r="BM134" s="477" t="str">
        <f t="shared" si="105"/>
        <v>No</v>
      </c>
      <c r="BN134" s="477" t="str">
        <f>IF(OR(Inventory!$H141="",$BM134="No"),"-",Inventory!$H141)</f>
        <v>-</v>
      </c>
      <c r="BO134" s="477" t="str">
        <f>IFERROR(VLOOKUP(BN134,'Early Retirement'!$B$6:$C$33,2,FALSE),"-")</f>
        <v>-</v>
      </c>
      <c r="BP134" s="477" t="str">
        <f>IF(Inventory!$J141="Centrifugal","Yes","No")</f>
        <v>No</v>
      </c>
      <c r="BQ134" s="477">
        <f t="shared" si="127"/>
        <v>0</v>
      </c>
      <c r="BR134" s="477" t="str">
        <f t="shared" si="128"/>
        <v>-</v>
      </c>
      <c r="BS134" s="479">
        <f>IFERROR(INDEX('Early Retirement'!$C$4:$AC$33,$BO134,$BR134),0)</f>
        <v>0</v>
      </c>
      <c r="BT134" s="477">
        <f>IFERROR(HLOOKUP($BR134,'Early Retirement'!$D$4:$AC$5,2,FALSE),0)</f>
        <v>0</v>
      </c>
      <c r="BU134" s="761">
        <f>IFERROR(INDEX('Early Retirement'!$AE$4:$BE$33,$BO134,$BR134),0)</f>
        <v>0</v>
      </c>
      <c r="BV134" s="759">
        <f>IFERROR(HLOOKUP($BR134,'Early Retirement'!$AF$4:$BE$5,2,FALSE),0)</f>
        <v>0</v>
      </c>
      <c r="BW134" s="479">
        <f t="shared" si="135"/>
        <v>0</v>
      </c>
      <c r="BX134" s="761">
        <f t="shared" si="129"/>
        <v>0</v>
      </c>
      <c r="BY134" s="477" t="s">
        <v>46</v>
      </c>
      <c r="BZ134" s="598">
        <f>IFERROR(INDEX('Early Retirement'!$BG$4:$CG$33,$BO134,$BR134),0)</f>
        <v>0</v>
      </c>
      <c r="CA134" s="759">
        <f>IFERROR(HLOOKUP($BR134,'Early Retirement'!$BH$4:$CH$5,2,FALSE),0)</f>
        <v>0</v>
      </c>
      <c r="CB134" s="598">
        <f t="shared" si="130"/>
        <v>0</v>
      </c>
      <c r="CC134" s="759" t="s">
        <v>567</v>
      </c>
      <c r="CD134" s="477" t="str">
        <f t="shared" si="106"/>
        <v>Yes</v>
      </c>
      <c r="CE134" s="479">
        <f t="shared" si="107"/>
        <v>0</v>
      </c>
      <c r="CF134" s="761">
        <f t="shared" si="108"/>
        <v>0</v>
      </c>
      <c r="CG134" s="759" t="s">
        <v>46</v>
      </c>
      <c r="CH134" s="598">
        <f t="shared" si="131"/>
        <v>0</v>
      </c>
      <c r="CI134" s="759" t="s">
        <v>567</v>
      </c>
      <c r="CJ134" s="480">
        <f t="shared" si="132"/>
        <v>0</v>
      </c>
      <c r="CK134" s="583">
        <f t="shared" si="133"/>
        <v>0</v>
      </c>
      <c r="CL134" s="596" t="s">
        <v>46</v>
      </c>
      <c r="CM134" s="581">
        <f t="shared" si="134"/>
        <v>0</v>
      </c>
      <c r="CN134" s="762" t="s">
        <v>567</v>
      </c>
      <c r="CP134" s="90" t="s">
        <v>226</v>
      </c>
      <c r="CQ134" s="124">
        <v>0.78</v>
      </c>
      <c r="CR134" s="307" t="s">
        <v>46</v>
      </c>
      <c r="CS134" s="645">
        <v>0.63</v>
      </c>
      <c r="CT134" s="551" t="s">
        <v>559</v>
      </c>
      <c r="CU134" s="645">
        <f t="shared" si="97"/>
        <v>0.78</v>
      </c>
      <c r="CV134" s="645">
        <f t="shared" si="92"/>
        <v>0.63</v>
      </c>
      <c r="CW134" s="633" t="s">
        <v>46</v>
      </c>
      <c r="CX134" s="606"/>
      <c r="CY134" s="589"/>
      <c r="CZ134" s="606"/>
      <c r="DA134" s="609"/>
      <c r="DB134" s="562"/>
      <c r="DC134" s="562"/>
      <c r="DD134" s="562"/>
      <c r="DE134" s="562"/>
      <c r="DF134" s="562"/>
      <c r="DG134" s="562"/>
      <c r="DH134" s="562"/>
      <c r="DI134" s="562"/>
      <c r="DJ134" s="562"/>
      <c r="DK134" s="562"/>
      <c r="DL134" s="562"/>
      <c r="DM134" s="562"/>
      <c r="DN134" s="562"/>
      <c r="DO134" s="562"/>
      <c r="DP134" s="562"/>
      <c r="DQ134" s="562"/>
      <c r="DR134" s="562"/>
      <c r="DS134" s="562"/>
      <c r="DT134" s="562"/>
      <c r="DU134" s="562"/>
      <c r="DV134" s="562"/>
      <c r="DW134" s="562"/>
      <c r="DX134" s="562"/>
      <c r="DY134" s="562"/>
      <c r="DZ134" s="562"/>
      <c r="EA134" s="562"/>
      <c r="EB134" s="562"/>
      <c r="EC134" s="562"/>
      <c r="ED134" s="562"/>
      <c r="EE134" s="562"/>
      <c r="EF134" s="562"/>
      <c r="EG134" s="562"/>
      <c r="EH134" s="562"/>
      <c r="EI134" s="562"/>
      <c r="EJ134" s="562"/>
      <c r="EK134" s="562"/>
      <c r="EL134" s="562"/>
    </row>
    <row r="135" spans="2:142" s="78" customFormat="1" ht="15" customHeight="1" x14ac:dyDescent="0.25">
      <c r="B135" s="77"/>
      <c r="E135" s="77"/>
      <c r="H135" s="77"/>
      <c r="Y135" s="90">
        <v>133</v>
      </c>
      <c r="Z135" s="559" t="str">
        <f>IF(Inventory!$C142="","",VLOOKUP(Inventory!$C142,$B$3:$C$5,2,FALSE))</f>
        <v/>
      </c>
      <c r="AA135" s="559" t="str">
        <f>IF($Z135="","",IF(AND($Z135="b",Inventory!$G142=""),"",IF(AND($Z135="b",Inventory!$G142&lt;&gt;""),VLOOKUP(Inventory!$G142,$E$3:$F$10,2,FALSE),IF(AND($Z135="a",Inventory!$Z142=""),"",IF(AND($Z135="a",Inventory!$Z142&lt;&gt;""),VLOOKUP(Inventory!$Z142,$E$3:$F$10,2,FALSE),IF(AND($Z135="c",Inventory!$Z142=""),"",IF(AND($Z135="c",Inventory!$Z142&lt;&gt;""),VLOOKUP(Inventory!$Z142,$E$3:$F$10,2,FALSE),"")))))))</f>
        <v/>
      </c>
      <c r="AB135" s="559" t="str">
        <f>IF($Z135="","a",IF(AND($Z135="b",Inventory!$J142=""),"a",IF(AND($Z135="b",Inventory!$J142&lt;&gt;""),VLOOKUP(Inventory!$J142,$H$4:$I$6,2,FALSE),IF(AND($Z135="a",Inventory!$AA142=""),"a",IF(AND($Z135="a",Inventory!$AA142&lt;&gt;""),VLOOKUP(Inventory!$AA142,$H$4:$I$6,2,FALSE),IF(AND($Z135="c",Inventory!$AA142=""),"a",IF(AND($Z135="c",Inventory!$AA142&lt;&gt;""),VLOOKUP(Inventory!$AA142,$H$4:$I$6,2,FALSE),"a")))))))</f>
        <v>a</v>
      </c>
      <c r="AC135" s="559" t="str">
        <f t="shared" si="109"/>
        <v>a</v>
      </c>
      <c r="AD135" s="473" t="str">
        <f>IF($Z135="","a",IF(AND($Z135="b",Inventory!$L142=""),"a",IF(AND($Z135="b",Inventory!$L142&lt;&gt;""),VLOOKUP(Inventory!$L142,$N$4:$O$5,2,FALSE),IF(AND($Z135="a",Inventory!$AC142=""),"a",IF(AND($Z135="a",Inventory!$AC142&lt;&gt;""),VLOOKUP(Inventory!$AC142,$N$4:$O$5,2,FALSE),IF(AND($Z135="c",Inventory!$AC142=""),"a",IF(AND($Z135="c",Inventory!$AC142&lt;&gt;""),VLOOKUP(Inventory!$AC142,$N$4:$O$5,2,FALSE),"a")))))))</f>
        <v>a</v>
      </c>
      <c r="AE135" s="474">
        <f>IF(OR(Inventory!C142="New Construction",Inventory!C142="Replace-on-Burnout"),Inventory!AF142,IF(Inventory!C142="Early Retirement",MIN(Inventory!AE142,Inventory!AF142),0))</f>
        <v>0</v>
      </c>
      <c r="AF135" s="475" t="str">
        <f t="shared" si="110"/>
        <v/>
      </c>
      <c r="AG135" s="475" t="str">
        <f t="shared" si="98"/>
        <v/>
      </c>
      <c r="AH135" s="475" t="str">
        <f t="shared" si="99"/>
        <v/>
      </c>
      <c r="AI135" s="475" t="str">
        <f t="shared" si="100"/>
        <v/>
      </c>
      <c r="AJ135" s="475" t="str">
        <f t="shared" si="101"/>
        <v/>
      </c>
      <c r="AK135" s="475" t="str">
        <f t="shared" si="111"/>
        <v/>
      </c>
      <c r="AL135" s="475" t="str">
        <f t="shared" si="112"/>
        <v/>
      </c>
      <c r="AM135" s="475" t="str">
        <f t="shared" si="113"/>
        <v/>
      </c>
      <c r="AN135" s="475" t="str">
        <f t="shared" si="114"/>
        <v/>
      </c>
      <c r="AO135" s="475" t="str">
        <f t="shared" si="115"/>
        <v/>
      </c>
      <c r="AP135" s="475" t="str">
        <f t="shared" si="116"/>
        <v/>
      </c>
      <c r="AQ135" s="475" t="str">
        <f t="shared" si="117"/>
        <v/>
      </c>
      <c r="AR135" s="475" t="str">
        <f t="shared" si="118"/>
        <v/>
      </c>
      <c r="AS135" s="475" t="str">
        <f t="shared" si="119"/>
        <v/>
      </c>
      <c r="AT135" s="475" t="str">
        <f t="shared" si="120"/>
        <v/>
      </c>
      <c r="AU135" s="475" t="str">
        <f t="shared" si="121"/>
        <v/>
      </c>
      <c r="AV135" s="475" t="str">
        <f t="shared" si="102"/>
        <v/>
      </c>
      <c r="AW135" s="473">
        <f t="shared" si="103"/>
        <v>0</v>
      </c>
      <c r="AX135" s="473" t="str">
        <f>IF(AND($Z135="b",OR($AA135="a",$AA135="b"),Inventory!$I142="",$AE135&lt;(65000/12000)),"x",IF(AND($Z135="b",OR($AA135="a",$AA135="b"),Inventory!$I142&lt;&gt;"",$AE135&lt;(65000/12000)),VLOOKUP(Inventory!$I142,$V$4:$W$5,2,FALSE),"x"))</f>
        <v>x</v>
      </c>
      <c r="AY135" s="476" t="str">
        <f t="shared" si="122"/>
        <v>aaa0</v>
      </c>
      <c r="AZ135" s="477" t="str">
        <f t="shared" si="123"/>
        <v>No</v>
      </c>
      <c r="BA135" s="759" t="str">
        <f t="shared" si="124"/>
        <v>No</v>
      </c>
      <c r="BB135" s="477">
        <f>IF($Z135="c",Inventory!$AB142,Inventory!$K142)</f>
        <v>0</v>
      </c>
      <c r="BC135" s="478">
        <f>IF(AND($Z135="b",Inventory!$N142="Btu/hr"),Inventory!$M142,IF(AND($Z135="b",Inventory!$N142="Tons"),Inventory!$M142*12000,IF(AND($Z135&lt;&gt;"b",Inventory!$AK142="Btu/hr"),Inventory!$AD142,IF(AND($Z135&lt;&gt;"b",Inventory!$AK142="Tons"),Inventory!$AD142*12000,0))))</f>
        <v>0</v>
      </c>
      <c r="BD135" s="478">
        <f t="shared" si="95"/>
        <v>0</v>
      </c>
      <c r="BE135" s="479">
        <f t="shared" si="125"/>
        <v>0</v>
      </c>
      <c r="BF135" s="477" t="s">
        <v>50</v>
      </c>
      <c r="BG135" s="479">
        <f t="shared" si="104"/>
        <v>0</v>
      </c>
      <c r="BH135" s="477" t="s">
        <v>46</v>
      </c>
      <c r="BI135" s="760">
        <f>IF(AND($Z135="b",Inventory!$P142="Btu/hr"),Inventory!$O142,IF(AND($Z135="b",Inventory!$P142="Tons"),Inventory!$O142*12000,IF(AND($Z135&lt;&gt;"b",Inventory!$AM142="Btu/hr"),Inventory!$AL142,IF(AND($Z135&lt;&gt;"b",Inventory!$AM142="Tons"),Inventory!$AL142*12000,0))))</f>
        <v>0</v>
      </c>
      <c r="BJ135" s="760">
        <f t="shared" si="96"/>
        <v>0</v>
      </c>
      <c r="BK135" s="598">
        <f t="shared" si="126"/>
        <v>0</v>
      </c>
      <c r="BL135" s="759" t="s">
        <v>567</v>
      </c>
      <c r="BM135" s="477" t="str">
        <f t="shared" si="105"/>
        <v>No</v>
      </c>
      <c r="BN135" s="477" t="str">
        <f>IF(OR(Inventory!$H142="",$BM135="No"),"-",Inventory!$H142)</f>
        <v>-</v>
      </c>
      <c r="BO135" s="477" t="str">
        <f>IFERROR(VLOOKUP(BN135,'Early Retirement'!$B$6:$C$33,2,FALSE),"-")</f>
        <v>-</v>
      </c>
      <c r="BP135" s="477" t="str">
        <f>IF(Inventory!$J142="Centrifugal","Yes","No")</f>
        <v>No</v>
      </c>
      <c r="BQ135" s="477">
        <f t="shared" si="127"/>
        <v>0</v>
      </c>
      <c r="BR135" s="477" t="str">
        <f t="shared" si="128"/>
        <v>-</v>
      </c>
      <c r="BS135" s="479">
        <f>IFERROR(INDEX('Early Retirement'!$C$4:$AC$33,$BO135,$BR135),0)</f>
        <v>0</v>
      </c>
      <c r="BT135" s="477">
        <f>IFERROR(HLOOKUP($BR135,'Early Retirement'!$D$4:$AC$5,2,FALSE),0)</f>
        <v>0</v>
      </c>
      <c r="BU135" s="761">
        <f>IFERROR(INDEX('Early Retirement'!$AE$4:$BE$33,$BO135,$BR135),0)</f>
        <v>0</v>
      </c>
      <c r="BV135" s="759">
        <f>IFERROR(HLOOKUP($BR135,'Early Retirement'!$AF$4:$BE$5,2,FALSE),0)</f>
        <v>0</v>
      </c>
      <c r="BW135" s="479">
        <f t="shared" si="135"/>
        <v>0</v>
      </c>
      <c r="BX135" s="761">
        <f t="shared" si="129"/>
        <v>0</v>
      </c>
      <c r="BY135" s="477" t="s">
        <v>46</v>
      </c>
      <c r="BZ135" s="598">
        <f>IFERROR(INDEX('Early Retirement'!$BG$4:$CG$33,$BO135,$BR135),0)</f>
        <v>0</v>
      </c>
      <c r="CA135" s="759">
        <f>IFERROR(HLOOKUP($BR135,'Early Retirement'!$BH$4:$CH$5,2,FALSE),0)</f>
        <v>0</v>
      </c>
      <c r="CB135" s="598">
        <f t="shared" si="130"/>
        <v>0</v>
      </c>
      <c r="CC135" s="759" t="s">
        <v>567</v>
      </c>
      <c r="CD135" s="477" t="str">
        <f t="shared" si="106"/>
        <v>Yes</v>
      </c>
      <c r="CE135" s="479">
        <f t="shared" si="107"/>
        <v>0</v>
      </c>
      <c r="CF135" s="761">
        <f t="shared" si="108"/>
        <v>0</v>
      </c>
      <c r="CG135" s="759" t="s">
        <v>46</v>
      </c>
      <c r="CH135" s="598">
        <f t="shared" si="131"/>
        <v>0</v>
      </c>
      <c r="CI135" s="759" t="s">
        <v>567</v>
      </c>
      <c r="CJ135" s="480">
        <f t="shared" si="132"/>
        <v>0</v>
      </c>
      <c r="CK135" s="583">
        <f t="shared" si="133"/>
        <v>0</v>
      </c>
      <c r="CL135" s="596" t="s">
        <v>46</v>
      </c>
      <c r="CM135" s="581">
        <f t="shared" si="134"/>
        <v>0</v>
      </c>
      <c r="CN135" s="762" t="s">
        <v>567</v>
      </c>
      <c r="CP135" s="90" t="s">
        <v>227</v>
      </c>
      <c r="CQ135" s="124">
        <v>0.77500000000000002</v>
      </c>
      <c r="CR135" s="307" t="s">
        <v>46</v>
      </c>
      <c r="CS135" s="645">
        <v>0.61499999999999999</v>
      </c>
      <c r="CT135" s="551" t="s">
        <v>559</v>
      </c>
      <c r="CU135" s="645">
        <f t="shared" si="97"/>
        <v>0.77500000000000002</v>
      </c>
      <c r="CV135" s="645">
        <f t="shared" si="92"/>
        <v>0.61499999999999999</v>
      </c>
      <c r="CW135" s="633" t="s">
        <v>46</v>
      </c>
      <c r="CX135" s="606"/>
      <c r="CY135" s="589"/>
      <c r="CZ135" s="606"/>
      <c r="DA135" s="609"/>
      <c r="DB135" s="562"/>
      <c r="DC135" s="562"/>
      <c r="DD135" s="562"/>
      <c r="DE135" s="562"/>
      <c r="DF135" s="562"/>
      <c r="DG135" s="562"/>
      <c r="DH135" s="562"/>
      <c r="DI135" s="562"/>
      <c r="DJ135" s="562"/>
      <c r="DK135" s="562"/>
      <c r="DL135" s="562"/>
      <c r="DM135" s="562"/>
      <c r="DN135" s="562"/>
      <c r="DO135" s="562"/>
      <c r="DP135" s="562"/>
      <c r="DQ135" s="562"/>
      <c r="DR135" s="562"/>
      <c r="DS135" s="562"/>
      <c r="DT135" s="562"/>
      <c r="DU135" s="562"/>
      <c r="DV135" s="562"/>
      <c r="DW135" s="562"/>
      <c r="DX135" s="562"/>
      <c r="DY135" s="562"/>
      <c r="DZ135" s="562"/>
      <c r="EA135" s="562"/>
      <c r="EB135" s="562"/>
      <c r="EC135" s="562"/>
      <c r="ED135" s="562"/>
      <c r="EE135" s="562"/>
      <c r="EF135" s="562"/>
      <c r="EG135" s="562"/>
      <c r="EH135" s="562"/>
      <c r="EI135" s="562"/>
      <c r="EJ135" s="562"/>
      <c r="EK135" s="562"/>
      <c r="EL135" s="562"/>
    </row>
    <row r="136" spans="2:142" s="78" customFormat="1" ht="15" customHeight="1" x14ac:dyDescent="0.25">
      <c r="B136" s="77"/>
      <c r="E136" s="77"/>
      <c r="H136" s="77"/>
      <c r="Y136" s="90">
        <v>134</v>
      </c>
      <c r="Z136" s="559" t="str">
        <f>IF(Inventory!$C143="","",VLOOKUP(Inventory!$C143,$B$3:$C$5,2,FALSE))</f>
        <v/>
      </c>
      <c r="AA136" s="559" t="str">
        <f>IF($Z136="","",IF(AND($Z136="b",Inventory!$G143=""),"",IF(AND($Z136="b",Inventory!$G143&lt;&gt;""),VLOOKUP(Inventory!$G143,$E$3:$F$10,2,FALSE),IF(AND($Z136="a",Inventory!$Z143=""),"",IF(AND($Z136="a",Inventory!$Z143&lt;&gt;""),VLOOKUP(Inventory!$Z143,$E$3:$F$10,2,FALSE),IF(AND($Z136="c",Inventory!$Z143=""),"",IF(AND($Z136="c",Inventory!$Z143&lt;&gt;""),VLOOKUP(Inventory!$Z143,$E$3:$F$10,2,FALSE),"")))))))</f>
        <v/>
      </c>
      <c r="AB136" s="559" t="str">
        <f>IF($Z136="","a",IF(AND($Z136="b",Inventory!$J143=""),"a",IF(AND($Z136="b",Inventory!$J143&lt;&gt;""),VLOOKUP(Inventory!$J143,$H$4:$I$6,2,FALSE),IF(AND($Z136="a",Inventory!$AA143=""),"a",IF(AND($Z136="a",Inventory!$AA143&lt;&gt;""),VLOOKUP(Inventory!$AA143,$H$4:$I$6,2,FALSE),IF(AND($Z136="c",Inventory!$AA143=""),"a",IF(AND($Z136="c",Inventory!$AA143&lt;&gt;""),VLOOKUP(Inventory!$AA143,$H$4:$I$6,2,FALSE),"a")))))))</f>
        <v>a</v>
      </c>
      <c r="AC136" s="559" t="str">
        <f t="shared" si="109"/>
        <v>a</v>
      </c>
      <c r="AD136" s="473" t="str">
        <f>IF($Z136="","a",IF(AND($Z136="b",Inventory!$L143=""),"a",IF(AND($Z136="b",Inventory!$L143&lt;&gt;""),VLOOKUP(Inventory!$L143,$N$4:$O$5,2,FALSE),IF(AND($Z136="a",Inventory!$AC143=""),"a",IF(AND($Z136="a",Inventory!$AC143&lt;&gt;""),VLOOKUP(Inventory!$AC143,$N$4:$O$5,2,FALSE),IF(AND($Z136="c",Inventory!$AC143=""),"a",IF(AND($Z136="c",Inventory!$AC143&lt;&gt;""),VLOOKUP(Inventory!$AC143,$N$4:$O$5,2,FALSE),"a")))))))</f>
        <v>a</v>
      </c>
      <c r="AE136" s="474">
        <f>IF(OR(Inventory!C143="New Construction",Inventory!C143="Replace-on-Burnout"),Inventory!AF143,IF(Inventory!C143="Early Retirement",MIN(Inventory!AE143,Inventory!AF143),0))</f>
        <v>0</v>
      </c>
      <c r="AF136" s="475" t="str">
        <f t="shared" si="110"/>
        <v/>
      </c>
      <c r="AG136" s="475" t="str">
        <f t="shared" si="98"/>
        <v/>
      </c>
      <c r="AH136" s="475" t="str">
        <f t="shared" si="99"/>
        <v/>
      </c>
      <c r="AI136" s="475" t="str">
        <f t="shared" si="100"/>
        <v/>
      </c>
      <c r="AJ136" s="475" t="str">
        <f t="shared" si="101"/>
        <v/>
      </c>
      <c r="AK136" s="475" t="str">
        <f t="shared" si="111"/>
        <v/>
      </c>
      <c r="AL136" s="475" t="str">
        <f t="shared" si="112"/>
        <v/>
      </c>
      <c r="AM136" s="475" t="str">
        <f t="shared" si="113"/>
        <v/>
      </c>
      <c r="AN136" s="475" t="str">
        <f t="shared" si="114"/>
        <v/>
      </c>
      <c r="AO136" s="475" t="str">
        <f t="shared" si="115"/>
        <v/>
      </c>
      <c r="AP136" s="475" t="str">
        <f t="shared" si="116"/>
        <v/>
      </c>
      <c r="AQ136" s="475" t="str">
        <f t="shared" si="117"/>
        <v/>
      </c>
      <c r="AR136" s="475" t="str">
        <f t="shared" si="118"/>
        <v/>
      </c>
      <c r="AS136" s="475" t="str">
        <f t="shared" si="119"/>
        <v/>
      </c>
      <c r="AT136" s="475" t="str">
        <f t="shared" si="120"/>
        <v/>
      </c>
      <c r="AU136" s="475" t="str">
        <f t="shared" si="121"/>
        <v/>
      </c>
      <c r="AV136" s="475" t="str">
        <f t="shared" si="102"/>
        <v/>
      </c>
      <c r="AW136" s="473">
        <f t="shared" si="103"/>
        <v>0</v>
      </c>
      <c r="AX136" s="473" t="str">
        <f>IF(AND($Z136="b",OR($AA136="a",$AA136="b"),Inventory!$I143="",$AE136&lt;(65000/12000)),"x",IF(AND($Z136="b",OR($AA136="a",$AA136="b"),Inventory!$I143&lt;&gt;"",$AE136&lt;(65000/12000)),VLOOKUP(Inventory!$I143,$V$4:$W$5,2,FALSE),"x"))</f>
        <v>x</v>
      </c>
      <c r="AY136" s="476" t="str">
        <f t="shared" si="122"/>
        <v>aaa0</v>
      </c>
      <c r="AZ136" s="477" t="str">
        <f t="shared" si="123"/>
        <v>No</v>
      </c>
      <c r="BA136" s="759" t="str">
        <f t="shared" si="124"/>
        <v>No</v>
      </c>
      <c r="BB136" s="477">
        <f>IF($Z136="c",Inventory!$AB143,Inventory!$K143)</f>
        <v>0</v>
      </c>
      <c r="BC136" s="478">
        <f>IF(AND($Z136="b",Inventory!$N143="Btu/hr"),Inventory!$M143,IF(AND($Z136="b",Inventory!$N143="Tons"),Inventory!$M143*12000,IF(AND($Z136&lt;&gt;"b",Inventory!$AK143="Btu/hr"),Inventory!$AD143,IF(AND($Z136&lt;&gt;"b",Inventory!$AK143="Tons"),Inventory!$AD143*12000,0))))</f>
        <v>0</v>
      </c>
      <c r="BD136" s="478">
        <f t="shared" si="95"/>
        <v>0</v>
      </c>
      <c r="BE136" s="479">
        <f t="shared" si="125"/>
        <v>0</v>
      </c>
      <c r="BF136" s="477" t="s">
        <v>50</v>
      </c>
      <c r="BG136" s="479">
        <f t="shared" si="104"/>
        <v>0</v>
      </c>
      <c r="BH136" s="477" t="s">
        <v>46</v>
      </c>
      <c r="BI136" s="760">
        <f>IF(AND($Z136="b",Inventory!$P143="Btu/hr"),Inventory!$O143,IF(AND($Z136="b",Inventory!$P143="Tons"),Inventory!$O143*12000,IF(AND($Z136&lt;&gt;"b",Inventory!$AM143="Btu/hr"),Inventory!$AL143,IF(AND($Z136&lt;&gt;"b",Inventory!$AM143="Tons"),Inventory!$AL143*12000,0))))</f>
        <v>0</v>
      </c>
      <c r="BJ136" s="760">
        <f t="shared" si="96"/>
        <v>0</v>
      </c>
      <c r="BK136" s="598">
        <f t="shared" si="126"/>
        <v>0</v>
      </c>
      <c r="BL136" s="759" t="s">
        <v>567</v>
      </c>
      <c r="BM136" s="477" t="str">
        <f t="shared" si="105"/>
        <v>No</v>
      </c>
      <c r="BN136" s="477" t="str">
        <f>IF(OR(Inventory!$H143="",$BM136="No"),"-",Inventory!$H143)</f>
        <v>-</v>
      </c>
      <c r="BO136" s="477" t="str">
        <f>IFERROR(VLOOKUP(BN136,'Early Retirement'!$B$6:$C$33,2,FALSE),"-")</f>
        <v>-</v>
      </c>
      <c r="BP136" s="477" t="str">
        <f>IF(Inventory!$J143="Centrifugal","Yes","No")</f>
        <v>No</v>
      </c>
      <c r="BQ136" s="477">
        <f t="shared" si="127"/>
        <v>0</v>
      </c>
      <c r="BR136" s="477" t="str">
        <f t="shared" si="128"/>
        <v>-</v>
      </c>
      <c r="BS136" s="479">
        <f>IFERROR(INDEX('Early Retirement'!$C$4:$AC$33,$BO136,$BR136),0)</f>
        <v>0</v>
      </c>
      <c r="BT136" s="477">
        <f>IFERROR(HLOOKUP($BR136,'Early Retirement'!$D$4:$AC$5,2,FALSE),0)</f>
        <v>0</v>
      </c>
      <c r="BU136" s="761">
        <f>IFERROR(INDEX('Early Retirement'!$AE$4:$BE$33,$BO136,$BR136),0)</f>
        <v>0</v>
      </c>
      <c r="BV136" s="759">
        <f>IFERROR(HLOOKUP($BR136,'Early Retirement'!$AF$4:$BE$5,2,FALSE),0)</f>
        <v>0</v>
      </c>
      <c r="BW136" s="479">
        <f t="shared" si="135"/>
        <v>0</v>
      </c>
      <c r="BX136" s="761">
        <f t="shared" si="129"/>
        <v>0</v>
      </c>
      <c r="BY136" s="477" t="s">
        <v>46</v>
      </c>
      <c r="BZ136" s="598">
        <f>IFERROR(INDEX('Early Retirement'!$BG$4:$CG$33,$BO136,$BR136),0)</f>
        <v>0</v>
      </c>
      <c r="CA136" s="759">
        <f>IFERROR(HLOOKUP($BR136,'Early Retirement'!$BH$4:$CH$5,2,FALSE),0)</f>
        <v>0</v>
      </c>
      <c r="CB136" s="598">
        <f t="shared" si="130"/>
        <v>0</v>
      </c>
      <c r="CC136" s="759" t="s">
        <v>567</v>
      </c>
      <c r="CD136" s="477" t="str">
        <f t="shared" si="106"/>
        <v>Yes</v>
      </c>
      <c r="CE136" s="479">
        <f t="shared" si="107"/>
        <v>0</v>
      </c>
      <c r="CF136" s="761">
        <f t="shared" si="108"/>
        <v>0</v>
      </c>
      <c r="CG136" s="759" t="s">
        <v>46</v>
      </c>
      <c r="CH136" s="598">
        <f t="shared" si="131"/>
        <v>0</v>
      </c>
      <c r="CI136" s="759" t="s">
        <v>567</v>
      </c>
      <c r="CJ136" s="480">
        <f t="shared" si="132"/>
        <v>0</v>
      </c>
      <c r="CK136" s="583">
        <f t="shared" si="133"/>
        <v>0</v>
      </c>
      <c r="CL136" s="596" t="s">
        <v>46</v>
      </c>
      <c r="CM136" s="581">
        <f t="shared" si="134"/>
        <v>0</v>
      </c>
      <c r="CN136" s="762" t="s">
        <v>567</v>
      </c>
      <c r="CP136" s="90" t="s">
        <v>228</v>
      </c>
      <c r="CQ136" s="124">
        <v>0.68</v>
      </c>
      <c r="CR136" s="307" t="s">
        <v>46</v>
      </c>
      <c r="CS136" s="645">
        <v>0.57999999999999996</v>
      </c>
      <c r="CT136" s="551" t="s">
        <v>559</v>
      </c>
      <c r="CU136" s="645">
        <f t="shared" si="97"/>
        <v>0.68</v>
      </c>
      <c r="CV136" s="645">
        <f t="shared" si="92"/>
        <v>0.57999999999999996</v>
      </c>
      <c r="CW136" s="633" t="s">
        <v>46</v>
      </c>
      <c r="CX136" s="606"/>
      <c r="CY136" s="589"/>
      <c r="CZ136" s="606"/>
      <c r="DA136" s="609"/>
      <c r="DB136" s="562"/>
      <c r="DC136" s="562"/>
      <c r="DD136" s="562"/>
      <c r="DE136" s="562"/>
      <c r="DF136" s="562"/>
      <c r="DG136" s="562"/>
      <c r="DH136" s="562"/>
      <c r="DI136" s="562"/>
      <c r="DJ136" s="562"/>
      <c r="DK136" s="562"/>
      <c r="DL136" s="562"/>
      <c r="DM136" s="562"/>
      <c r="DN136" s="562"/>
      <c r="DO136" s="562"/>
      <c r="DP136" s="562"/>
      <c r="DQ136" s="562"/>
      <c r="DR136" s="562"/>
      <c r="DS136" s="562"/>
      <c r="DT136" s="562"/>
      <c r="DU136" s="562"/>
      <c r="DV136" s="562"/>
      <c r="DW136" s="562"/>
      <c r="DX136" s="562"/>
      <c r="DY136" s="562"/>
      <c r="DZ136" s="562"/>
      <c r="EA136" s="562"/>
      <c r="EB136" s="562"/>
      <c r="EC136" s="562"/>
      <c r="ED136" s="562"/>
      <c r="EE136" s="562"/>
      <c r="EF136" s="562"/>
      <c r="EG136" s="562"/>
      <c r="EH136" s="562"/>
      <c r="EI136" s="562"/>
      <c r="EJ136" s="562"/>
      <c r="EK136" s="562"/>
      <c r="EL136" s="562"/>
    </row>
    <row r="137" spans="2:142" s="78" customFormat="1" ht="15" customHeight="1" x14ac:dyDescent="0.25">
      <c r="B137" s="77"/>
      <c r="E137" s="77"/>
      <c r="H137" s="77"/>
      <c r="Y137" s="90">
        <v>135</v>
      </c>
      <c r="Z137" s="559" t="str">
        <f>IF(Inventory!$C144="","",VLOOKUP(Inventory!$C144,$B$3:$C$5,2,FALSE))</f>
        <v/>
      </c>
      <c r="AA137" s="559" t="str">
        <f>IF($Z137="","",IF(AND($Z137="b",Inventory!$G144=""),"",IF(AND($Z137="b",Inventory!$G144&lt;&gt;""),VLOOKUP(Inventory!$G144,$E$3:$F$10,2,FALSE),IF(AND($Z137="a",Inventory!$Z144=""),"",IF(AND($Z137="a",Inventory!$Z144&lt;&gt;""),VLOOKUP(Inventory!$Z144,$E$3:$F$10,2,FALSE),IF(AND($Z137="c",Inventory!$Z144=""),"",IF(AND($Z137="c",Inventory!$Z144&lt;&gt;""),VLOOKUP(Inventory!$Z144,$E$3:$F$10,2,FALSE),"")))))))</f>
        <v/>
      </c>
      <c r="AB137" s="559" t="str">
        <f>IF($Z137="","a",IF(AND($Z137="b",Inventory!$J144=""),"a",IF(AND($Z137="b",Inventory!$J144&lt;&gt;""),VLOOKUP(Inventory!$J144,$H$4:$I$6,2,FALSE),IF(AND($Z137="a",Inventory!$AA144=""),"a",IF(AND($Z137="a",Inventory!$AA144&lt;&gt;""),VLOOKUP(Inventory!$AA144,$H$4:$I$6,2,FALSE),IF(AND($Z137="c",Inventory!$AA144=""),"a",IF(AND($Z137="c",Inventory!$AA144&lt;&gt;""),VLOOKUP(Inventory!$AA144,$H$4:$I$6,2,FALSE),"a")))))))</f>
        <v>a</v>
      </c>
      <c r="AC137" s="559" t="str">
        <f t="shared" si="109"/>
        <v>a</v>
      </c>
      <c r="AD137" s="473" t="str">
        <f>IF($Z137="","a",IF(AND($Z137="b",Inventory!$L144=""),"a",IF(AND($Z137="b",Inventory!$L144&lt;&gt;""),VLOOKUP(Inventory!$L144,$N$4:$O$5,2,FALSE),IF(AND($Z137="a",Inventory!$AC144=""),"a",IF(AND($Z137="a",Inventory!$AC144&lt;&gt;""),VLOOKUP(Inventory!$AC144,$N$4:$O$5,2,FALSE),IF(AND($Z137="c",Inventory!$AC144=""),"a",IF(AND($Z137="c",Inventory!$AC144&lt;&gt;""),VLOOKUP(Inventory!$AC144,$N$4:$O$5,2,FALSE),"a")))))))</f>
        <v>a</v>
      </c>
      <c r="AE137" s="474">
        <f>IF(OR(Inventory!C144="New Construction",Inventory!C144="Replace-on-Burnout"),Inventory!AF144,IF(Inventory!C144="Early Retirement",MIN(Inventory!AE144,Inventory!AF144),0))</f>
        <v>0</v>
      </c>
      <c r="AF137" s="475" t="str">
        <f t="shared" si="110"/>
        <v/>
      </c>
      <c r="AG137" s="475" t="str">
        <f t="shared" si="98"/>
        <v/>
      </c>
      <c r="AH137" s="475" t="str">
        <f t="shared" si="99"/>
        <v/>
      </c>
      <c r="AI137" s="475" t="str">
        <f t="shared" si="100"/>
        <v/>
      </c>
      <c r="AJ137" s="475" t="str">
        <f t="shared" si="101"/>
        <v/>
      </c>
      <c r="AK137" s="475" t="str">
        <f t="shared" si="111"/>
        <v/>
      </c>
      <c r="AL137" s="475" t="str">
        <f t="shared" si="112"/>
        <v/>
      </c>
      <c r="AM137" s="475" t="str">
        <f t="shared" si="113"/>
        <v/>
      </c>
      <c r="AN137" s="475" t="str">
        <f t="shared" si="114"/>
        <v/>
      </c>
      <c r="AO137" s="475" t="str">
        <f t="shared" si="115"/>
        <v/>
      </c>
      <c r="AP137" s="475" t="str">
        <f t="shared" si="116"/>
        <v/>
      </c>
      <c r="AQ137" s="475" t="str">
        <f t="shared" si="117"/>
        <v/>
      </c>
      <c r="AR137" s="475" t="str">
        <f t="shared" si="118"/>
        <v/>
      </c>
      <c r="AS137" s="475" t="str">
        <f t="shared" si="119"/>
        <v/>
      </c>
      <c r="AT137" s="475" t="str">
        <f t="shared" si="120"/>
        <v/>
      </c>
      <c r="AU137" s="475" t="str">
        <f t="shared" si="121"/>
        <v/>
      </c>
      <c r="AV137" s="475" t="str">
        <f t="shared" si="102"/>
        <v/>
      </c>
      <c r="AW137" s="473">
        <f t="shared" si="103"/>
        <v>0</v>
      </c>
      <c r="AX137" s="473" t="str">
        <f>IF(AND($Z137="b",OR($AA137="a",$AA137="b"),Inventory!$I144="",$AE137&lt;(65000/12000)),"x",IF(AND($Z137="b",OR($AA137="a",$AA137="b"),Inventory!$I144&lt;&gt;"",$AE137&lt;(65000/12000)),VLOOKUP(Inventory!$I144,$V$4:$W$5,2,FALSE),"x"))</f>
        <v>x</v>
      </c>
      <c r="AY137" s="476" t="str">
        <f t="shared" si="122"/>
        <v>aaa0</v>
      </c>
      <c r="AZ137" s="477" t="str">
        <f t="shared" si="123"/>
        <v>No</v>
      </c>
      <c r="BA137" s="759" t="str">
        <f t="shared" si="124"/>
        <v>No</v>
      </c>
      <c r="BB137" s="477">
        <f>IF($Z137="c",Inventory!$AB144,Inventory!$K144)</f>
        <v>0</v>
      </c>
      <c r="BC137" s="478">
        <f>IF(AND($Z137="b",Inventory!$N144="Btu/hr"),Inventory!$M144,IF(AND($Z137="b",Inventory!$N144="Tons"),Inventory!$M144*12000,IF(AND($Z137&lt;&gt;"b",Inventory!$AK144="Btu/hr"),Inventory!$AD144,IF(AND($Z137&lt;&gt;"b",Inventory!$AK144="Tons"),Inventory!$AD144*12000,0))))</f>
        <v>0</v>
      </c>
      <c r="BD137" s="478">
        <f t="shared" si="95"/>
        <v>0</v>
      </c>
      <c r="BE137" s="479">
        <f t="shared" si="125"/>
        <v>0</v>
      </c>
      <c r="BF137" s="477" t="s">
        <v>50</v>
      </c>
      <c r="BG137" s="479">
        <f t="shared" si="104"/>
        <v>0</v>
      </c>
      <c r="BH137" s="477" t="s">
        <v>46</v>
      </c>
      <c r="BI137" s="760">
        <f>IF(AND($Z137="b",Inventory!$P144="Btu/hr"),Inventory!$O144,IF(AND($Z137="b",Inventory!$P144="Tons"),Inventory!$O144*12000,IF(AND($Z137&lt;&gt;"b",Inventory!$AM144="Btu/hr"),Inventory!$AL144,IF(AND($Z137&lt;&gt;"b",Inventory!$AM144="Tons"),Inventory!$AL144*12000,0))))</f>
        <v>0</v>
      </c>
      <c r="BJ137" s="760">
        <f t="shared" si="96"/>
        <v>0</v>
      </c>
      <c r="BK137" s="598">
        <f t="shared" si="126"/>
        <v>0</v>
      </c>
      <c r="BL137" s="759" t="s">
        <v>567</v>
      </c>
      <c r="BM137" s="477" t="str">
        <f t="shared" si="105"/>
        <v>No</v>
      </c>
      <c r="BN137" s="477" t="str">
        <f>IF(OR(Inventory!$H144="",$BM137="No"),"-",Inventory!$H144)</f>
        <v>-</v>
      </c>
      <c r="BO137" s="477" t="str">
        <f>IFERROR(VLOOKUP(BN137,'Early Retirement'!$B$6:$C$33,2,FALSE),"-")</f>
        <v>-</v>
      </c>
      <c r="BP137" s="477" t="str">
        <f>IF(Inventory!$J144="Centrifugal","Yes","No")</f>
        <v>No</v>
      </c>
      <c r="BQ137" s="477">
        <f t="shared" si="127"/>
        <v>0</v>
      </c>
      <c r="BR137" s="477" t="str">
        <f t="shared" si="128"/>
        <v>-</v>
      </c>
      <c r="BS137" s="479">
        <f>IFERROR(INDEX('Early Retirement'!$C$4:$AC$33,$BO137,$BR137),0)</f>
        <v>0</v>
      </c>
      <c r="BT137" s="477">
        <f>IFERROR(HLOOKUP($BR137,'Early Retirement'!$D$4:$AC$5,2,FALSE),0)</f>
        <v>0</v>
      </c>
      <c r="BU137" s="761">
        <f>IFERROR(INDEX('Early Retirement'!$AE$4:$BE$33,$BO137,$BR137),0)</f>
        <v>0</v>
      </c>
      <c r="BV137" s="759">
        <f>IFERROR(HLOOKUP($BR137,'Early Retirement'!$AF$4:$BE$5,2,FALSE),0)</f>
        <v>0</v>
      </c>
      <c r="BW137" s="479">
        <f t="shared" si="135"/>
        <v>0</v>
      </c>
      <c r="BX137" s="761">
        <f t="shared" si="129"/>
        <v>0</v>
      </c>
      <c r="BY137" s="477" t="s">
        <v>46</v>
      </c>
      <c r="BZ137" s="598">
        <f>IFERROR(INDEX('Early Retirement'!$BG$4:$CG$33,$BO137,$BR137),0)</f>
        <v>0</v>
      </c>
      <c r="CA137" s="759">
        <f>IFERROR(HLOOKUP($BR137,'Early Retirement'!$BH$4:$CH$5,2,FALSE),0)</f>
        <v>0</v>
      </c>
      <c r="CB137" s="598">
        <f t="shared" si="130"/>
        <v>0</v>
      </c>
      <c r="CC137" s="759" t="s">
        <v>567</v>
      </c>
      <c r="CD137" s="477" t="str">
        <f t="shared" si="106"/>
        <v>Yes</v>
      </c>
      <c r="CE137" s="479">
        <f t="shared" si="107"/>
        <v>0</v>
      </c>
      <c r="CF137" s="761">
        <f t="shared" si="108"/>
        <v>0</v>
      </c>
      <c r="CG137" s="759" t="s">
        <v>46</v>
      </c>
      <c r="CH137" s="598">
        <f t="shared" si="131"/>
        <v>0</v>
      </c>
      <c r="CI137" s="759" t="s">
        <v>567</v>
      </c>
      <c r="CJ137" s="480">
        <f t="shared" si="132"/>
        <v>0</v>
      </c>
      <c r="CK137" s="583">
        <f t="shared" si="133"/>
        <v>0</v>
      </c>
      <c r="CL137" s="596" t="s">
        <v>46</v>
      </c>
      <c r="CM137" s="581">
        <f t="shared" si="134"/>
        <v>0</v>
      </c>
      <c r="CN137" s="762" t="s">
        <v>567</v>
      </c>
      <c r="CP137" s="90" t="s">
        <v>529</v>
      </c>
      <c r="CQ137" s="124">
        <v>0.62</v>
      </c>
      <c r="CR137" s="307" t="s">
        <v>46</v>
      </c>
      <c r="CS137" s="645">
        <v>0.54</v>
      </c>
      <c r="CT137" s="551" t="s">
        <v>559</v>
      </c>
      <c r="CU137" s="645">
        <f t="shared" si="97"/>
        <v>0.62</v>
      </c>
      <c r="CV137" s="645">
        <f t="shared" si="92"/>
        <v>0.54</v>
      </c>
      <c r="CW137" s="633" t="s">
        <v>46</v>
      </c>
      <c r="CX137" s="606"/>
      <c r="CY137" s="589"/>
      <c r="CZ137" s="606"/>
      <c r="DA137" s="609"/>
      <c r="DB137" s="562"/>
      <c r="DC137" s="562"/>
      <c r="DD137" s="562"/>
      <c r="DE137" s="562"/>
      <c r="DF137" s="562"/>
      <c r="DG137" s="562"/>
      <c r="DH137" s="562"/>
      <c r="DI137" s="562"/>
      <c r="DJ137" s="562"/>
      <c r="DK137" s="562"/>
      <c r="DL137" s="562"/>
      <c r="DM137" s="562"/>
      <c r="DN137" s="562"/>
      <c r="DO137" s="562"/>
      <c r="DP137" s="562"/>
      <c r="DQ137" s="562"/>
      <c r="DR137" s="562"/>
      <c r="DS137" s="562"/>
      <c r="DT137" s="562"/>
      <c r="DU137" s="562"/>
      <c r="DV137" s="562"/>
      <c r="DW137" s="562"/>
      <c r="DX137" s="562"/>
      <c r="DY137" s="562"/>
      <c r="DZ137" s="562"/>
      <c r="EA137" s="562"/>
      <c r="EB137" s="562"/>
      <c r="EC137" s="562"/>
      <c r="ED137" s="562"/>
      <c r="EE137" s="562"/>
      <c r="EF137" s="562"/>
      <c r="EG137" s="562"/>
      <c r="EH137" s="562"/>
      <c r="EI137" s="562"/>
      <c r="EJ137" s="562"/>
      <c r="EK137" s="562"/>
      <c r="EL137" s="562"/>
    </row>
    <row r="138" spans="2:142" s="78" customFormat="1" ht="15" customHeight="1" thickBot="1" x14ac:dyDescent="0.3">
      <c r="B138" s="77"/>
      <c r="E138" s="77"/>
      <c r="H138" s="77"/>
      <c r="Y138" s="90">
        <v>136</v>
      </c>
      <c r="Z138" s="559" t="str">
        <f>IF(Inventory!$C145="","",VLOOKUP(Inventory!$C145,$B$3:$C$5,2,FALSE))</f>
        <v/>
      </c>
      <c r="AA138" s="559" t="str">
        <f>IF($Z138="","",IF(AND($Z138="b",Inventory!$G145=""),"",IF(AND($Z138="b",Inventory!$G145&lt;&gt;""),VLOOKUP(Inventory!$G145,$E$3:$F$10,2,FALSE),IF(AND($Z138="a",Inventory!$Z145=""),"",IF(AND($Z138="a",Inventory!$Z145&lt;&gt;""),VLOOKUP(Inventory!$Z145,$E$3:$F$10,2,FALSE),IF(AND($Z138="c",Inventory!$Z145=""),"",IF(AND($Z138="c",Inventory!$Z145&lt;&gt;""),VLOOKUP(Inventory!$Z145,$E$3:$F$10,2,FALSE),"")))))))</f>
        <v/>
      </c>
      <c r="AB138" s="559" t="str">
        <f>IF($Z138="","a",IF(AND($Z138="b",Inventory!$J145=""),"a",IF(AND($Z138="b",Inventory!$J145&lt;&gt;""),VLOOKUP(Inventory!$J145,$H$4:$I$6,2,FALSE),IF(AND($Z138="a",Inventory!$AA145=""),"a",IF(AND($Z138="a",Inventory!$AA145&lt;&gt;""),VLOOKUP(Inventory!$AA145,$H$4:$I$6,2,FALSE),IF(AND($Z138="c",Inventory!$AA145=""),"a",IF(AND($Z138="c",Inventory!$AA145&lt;&gt;""),VLOOKUP(Inventory!$AA145,$H$4:$I$6,2,FALSE),"a")))))))</f>
        <v>a</v>
      </c>
      <c r="AC138" s="559" t="str">
        <f t="shared" si="109"/>
        <v>a</v>
      </c>
      <c r="AD138" s="473" t="str">
        <f>IF($Z138="","a",IF(AND($Z138="b",Inventory!$L145=""),"a",IF(AND($Z138="b",Inventory!$L145&lt;&gt;""),VLOOKUP(Inventory!$L145,$N$4:$O$5,2,FALSE),IF(AND($Z138="a",Inventory!$AC145=""),"a",IF(AND($Z138="a",Inventory!$AC145&lt;&gt;""),VLOOKUP(Inventory!$AC145,$N$4:$O$5,2,FALSE),IF(AND($Z138="c",Inventory!$AC145=""),"a",IF(AND($Z138="c",Inventory!$AC145&lt;&gt;""),VLOOKUP(Inventory!$AC145,$N$4:$O$5,2,FALSE),"a")))))))</f>
        <v>a</v>
      </c>
      <c r="AE138" s="474">
        <f>IF(OR(Inventory!C145="New Construction",Inventory!C145="Replace-on-Burnout"),Inventory!AF145,IF(Inventory!C145="Early Retirement",MIN(Inventory!AE145,Inventory!AF145),0))</f>
        <v>0</v>
      </c>
      <c r="AF138" s="475" t="str">
        <f t="shared" si="110"/>
        <v/>
      </c>
      <c r="AG138" s="475" t="str">
        <f t="shared" si="98"/>
        <v/>
      </c>
      <c r="AH138" s="475" t="str">
        <f t="shared" si="99"/>
        <v/>
      </c>
      <c r="AI138" s="475" t="str">
        <f t="shared" si="100"/>
        <v/>
      </c>
      <c r="AJ138" s="475" t="str">
        <f t="shared" si="101"/>
        <v/>
      </c>
      <c r="AK138" s="475" t="str">
        <f t="shared" si="111"/>
        <v/>
      </c>
      <c r="AL138" s="475" t="str">
        <f t="shared" si="112"/>
        <v/>
      </c>
      <c r="AM138" s="475" t="str">
        <f t="shared" si="113"/>
        <v/>
      </c>
      <c r="AN138" s="475" t="str">
        <f t="shared" si="114"/>
        <v/>
      </c>
      <c r="AO138" s="475" t="str">
        <f t="shared" si="115"/>
        <v/>
      </c>
      <c r="AP138" s="475" t="str">
        <f t="shared" si="116"/>
        <v/>
      </c>
      <c r="AQ138" s="475" t="str">
        <f t="shared" si="117"/>
        <v/>
      </c>
      <c r="AR138" s="475" t="str">
        <f t="shared" si="118"/>
        <v/>
      </c>
      <c r="AS138" s="475" t="str">
        <f t="shared" si="119"/>
        <v/>
      </c>
      <c r="AT138" s="475" t="str">
        <f t="shared" si="120"/>
        <v/>
      </c>
      <c r="AU138" s="475" t="str">
        <f t="shared" si="121"/>
        <v/>
      </c>
      <c r="AV138" s="475" t="str">
        <f t="shared" si="102"/>
        <v/>
      </c>
      <c r="AW138" s="473">
        <f t="shared" si="103"/>
        <v>0</v>
      </c>
      <c r="AX138" s="473" t="str">
        <f>IF(AND($Z138="b",OR($AA138="a",$AA138="b"),Inventory!$I145="",$AE138&lt;(65000/12000)),"x",IF(AND($Z138="b",OR($AA138="a",$AA138="b"),Inventory!$I145&lt;&gt;"",$AE138&lt;(65000/12000)),VLOOKUP(Inventory!$I145,$V$4:$W$5,2,FALSE),"x"))</f>
        <v>x</v>
      </c>
      <c r="AY138" s="476" t="str">
        <f t="shared" si="122"/>
        <v>aaa0</v>
      </c>
      <c r="AZ138" s="477" t="str">
        <f t="shared" si="123"/>
        <v>No</v>
      </c>
      <c r="BA138" s="759" t="str">
        <f t="shared" si="124"/>
        <v>No</v>
      </c>
      <c r="BB138" s="477">
        <f>IF($Z138="c",Inventory!$AB145,Inventory!$K145)</f>
        <v>0</v>
      </c>
      <c r="BC138" s="478">
        <f>IF(AND($Z138="b",Inventory!$N145="Btu/hr"),Inventory!$M145,IF(AND($Z138="b",Inventory!$N145="Tons"),Inventory!$M145*12000,IF(AND($Z138&lt;&gt;"b",Inventory!$AK145="Btu/hr"),Inventory!$AD145,IF(AND($Z138&lt;&gt;"b",Inventory!$AK145="Tons"),Inventory!$AD145*12000,0))))</f>
        <v>0</v>
      </c>
      <c r="BD138" s="478">
        <f t="shared" si="95"/>
        <v>0</v>
      </c>
      <c r="BE138" s="479">
        <f t="shared" si="125"/>
        <v>0</v>
      </c>
      <c r="BF138" s="477" t="s">
        <v>50</v>
      </c>
      <c r="BG138" s="479">
        <f t="shared" si="104"/>
        <v>0</v>
      </c>
      <c r="BH138" s="477" t="s">
        <v>46</v>
      </c>
      <c r="BI138" s="760">
        <f>IF(AND($Z138="b",Inventory!$P145="Btu/hr"),Inventory!$O145,IF(AND($Z138="b",Inventory!$P145="Tons"),Inventory!$O145*12000,IF(AND($Z138&lt;&gt;"b",Inventory!$AM145="Btu/hr"),Inventory!$AL145,IF(AND($Z138&lt;&gt;"b",Inventory!$AM145="Tons"),Inventory!$AL145*12000,0))))</f>
        <v>0</v>
      </c>
      <c r="BJ138" s="760">
        <f t="shared" si="96"/>
        <v>0</v>
      </c>
      <c r="BK138" s="598">
        <f t="shared" si="126"/>
        <v>0</v>
      </c>
      <c r="BL138" s="759" t="s">
        <v>567</v>
      </c>
      <c r="BM138" s="477" t="str">
        <f t="shared" si="105"/>
        <v>No</v>
      </c>
      <c r="BN138" s="477" t="str">
        <f>IF(OR(Inventory!$H145="",$BM138="No"),"-",Inventory!$H145)</f>
        <v>-</v>
      </c>
      <c r="BO138" s="477" t="str">
        <f>IFERROR(VLOOKUP(BN138,'Early Retirement'!$B$6:$C$33,2,FALSE),"-")</f>
        <v>-</v>
      </c>
      <c r="BP138" s="477" t="str">
        <f>IF(Inventory!$J145="Centrifugal","Yes","No")</f>
        <v>No</v>
      </c>
      <c r="BQ138" s="477">
        <f t="shared" si="127"/>
        <v>0</v>
      </c>
      <c r="BR138" s="477" t="str">
        <f t="shared" si="128"/>
        <v>-</v>
      </c>
      <c r="BS138" s="479">
        <f>IFERROR(INDEX('Early Retirement'!$C$4:$AC$33,$BO138,$BR138),0)</f>
        <v>0</v>
      </c>
      <c r="BT138" s="477">
        <f>IFERROR(HLOOKUP($BR138,'Early Retirement'!$D$4:$AC$5,2,FALSE),0)</f>
        <v>0</v>
      </c>
      <c r="BU138" s="761">
        <f>IFERROR(INDEX('Early Retirement'!$AE$4:$BE$33,$BO138,$BR138),0)</f>
        <v>0</v>
      </c>
      <c r="BV138" s="759">
        <f>IFERROR(HLOOKUP($BR138,'Early Retirement'!$AF$4:$BE$5,2,FALSE),0)</f>
        <v>0</v>
      </c>
      <c r="BW138" s="479">
        <f t="shared" si="135"/>
        <v>0</v>
      </c>
      <c r="BX138" s="761">
        <f t="shared" si="129"/>
        <v>0</v>
      </c>
      <c r="BY138" s="477" t="s">
        <v>46</v>
      </c>
      <c r="BZ138" s="598">
        <f>IFERROR(INDEX('Early Retirement'!$BG$4:$CG$33,$BO138,$BR138),0)</f>
        <v>0</v>
      </c>
      <c r="CA138" s="759">
        <f>IFERROR(HLOOKUP($BR138,'Early Retirement'!$BH$4:$CH$5,2,FALSE),0)</f>
        <v>0</v>
      </c>
      <c r="CB138" s="598">
        <f t="shared" si="130"/>
        <v>0</v>
      </c>
      <c r="CC138" s="759" t="s">
        <v>567</v>
      </c>
      <c r="CD138" s="477" t="str">
        <f t="shared" si="106"/>
        <v>Yes</v>
      </c>
      <c r="CE138" s="479">
        <f t="shared" si="107"/>
        <v>0</v>
      </c>
      <c r="CF138" s="761">
        <f t="shared" si="108"/>
        <v>0</v>
      </c>
      <c r="CG138" s="759" t="s">
        <v>46</v>
      </c>
      <c r="CH138" s="598">
        <f t="shared" si="131"/>
        <v>0</v>
      </c>
      <c r="CI138" s="759" t="s">
        <v>567</v>
      </c>
      <c r="CJ138" s="480">
        <f t="shared" si="132"/>
        <v>0</v>
      </c>
      <c r="CK138" s="583">
        <f t="shared" si="133"/>
        <v>0</v>
      </c>
      <c r="CL138" s="596" t="s">
        <v>46</v>
      </c>
      <c r="CM138" s="581">
        <f t="shared" si="134"/>
        <v>0</v>
      </c>
      <c r="CN138" s="762" t="s">
        <v>567</v>
      </c>
      <c r="CP138" s="96" t="s">
        <v>530</v>
      </c>
      <c r="CQ138" s="125">
        <v>0.62</v>
      </c>
      <c r="CR138" s="101" t="s">
        <v>46</v>
      </c>
      <c r="CS138" s="646">
        <v>0.54</v>
      </c>
      <c r="CT138" s="101" t="s">
        <v>559</v>
      </c>
      <c r="CU138" s="646">
        <f t="shared" si="97"/>
        <v>0.62</v>
      </c>
      <c r="CV138" s="646">
        <f t="shared" si="92"/>
        <v>0.54</v>
      </c>
      <c r="CW138" s="634" t="s">
        <v>46</v>
      </c>
      <c r="CX138" s="585"/>
      <c r="CY138" s="612"/>
      <c r="CZ138" s="585"/>
      <c r="DA138" s="594"/>
      <c r="DB138" s="562"/>
      <c r="DC138" s="562"/>
      <c r="DD138" s="562"/>
      <c r="DE138" s="562"/>
      <c r="DF138" s="562"/>
      <c r="DG138" s="562"/>
      <c r="DH138" s="562"/>
      <c r="DI138" s="562"/>
      <c r="DJ138" s="562"/>
      <c r="DK138" s="562"/>
      <c r="DL138" s="562"/>
      <c r="DM138" s="562"/>
      <c r="DN138" s="562"/>
      <c r="DO138" s="562"/>
      <c r="DP138" s="562"/>
      <c r="DQ138" s="562"/>
      <c r="DR138" s="562"/>
      <c r="DS138" s="562"/>
      <c r="DT138" s="562"/>
      <c r="DU138" s="562"/>
      <c r="DV138" s="562"/>
      <c r="DW138" s="562"/>
      <c r="DX138" s="562"/>
      <c r="DY138" s="562"/>
      <c r="DZ138" s="562"/>
      <c r="EA138" s="562"/>
      <c r="EB138" s="562"/>
      <c r="EC138" s="562"/>
      <c r="ED138" s="562"/>
      <c r="EE138" s="562"/>
      <c r="EF138" s="562"/>
      <c r="EG138" s="562"/>
      <c r="EH138" s="562"/>
      <c r="EI138" s="562"/>
      <c r="EJ138" s="562"/>
      <c r="EK138" s="562"/>
      <c r="EL138" s="562"/>
    </row>
    <row r="139" spans="2:142" s="78" customFormat="1" ht="15" customHeight="1" x14ac:dyDescent="0.25">
      <c r="B139" s="77"/>
      <c r="E139" s="77"/>
      <c r="H139" s="77"/>
      <c r="Y139" s="90">
        <v>137</v>
      </c>
      <c r="Z139" s="559" t="str">
        <f>IF(Inventory!$C146="","",VLOOKUP(Inventory!$C146,$B$3:$C$5,2,FALSE))</f>
        <v/>
      </c>
      <c r="AA139" s="559" t="str">
        <f>IF($Z139="","",IF(AND($Z139="b",Inventory!$G146=""),"",IF(AND($Z139="b",Inventory!$G146&lt;&gt;""),VLOOKUP(Inventory!$G146,$E$3:$F$10,2,FALSE),IF(AND($Z139="a",Inventory!$Z146=""),"",IF(AND($Z139="a",Inventory!$Z146&lt;&gt;""),VLOOKUP(Inventory!$Z146,$E$3:$F$10,2,FALSE),IF(AND($Z139="c",Inventory!$Z146=""),"",IF(AND($Z139="c",Inventory!$Z146&lt;&gt;""),VLOOKUP(Inventory!$Z146,$E$3:$F$10,2,FALSE),"")))))))</f>
        <v/>
      </c>
      <c r="AB139" s="559" t="str">
        <f>IF($Z139="","a",IF(AND($Z139="b",Inventory!$J146=""),"a",IF(AND($Z139="b",Inventory!$J146&lt;&gt;""),VLOOKUP(Inventory!$J146,$H$4:$I$6,2,FALSE),IF(AND($Z139="a",Inventory!$AA146=""),"a",IF(AND($Z139="a",Inventory!$AA146&lt;&gt;""),VLOOKUP(Inventory!$AA146,$H$4:$I$6,2,FALSE),IF(AND($Z139="c",Inventory!$AA146=""),"a",IF(AND($Z139="c",Inventory!$AA146&lt;&gt;""),VLOOKUP(Inventory!$AA146,$H$4:$I$6,2,FALSE),"a")))))))</f>
        <v>a</v>
      </c>
      <c r="AC139" s="559" t="str">
        <f t="shared" si="109"/>
        <v>a</v>
      </c>
      <c r="AD139" s="473" t="str">
        <f>IF($Z139="","a",IF(AND($Z139="b",Inventory!$L146=""),"a",IF(AND($Z139="b",Inventory!$L146&lt;&gt;""),VLOOKUP(Inventory!$L146,$N$4:$O$5,2,FALSE),IF(AND($Z139="a",Inventory!$AC146=""),"a",IF(AND($Z139="a",Inventory!$AC146&lt;&gt;""),VLOOKUP(Inventory!$AC146,$N$4:$O$5,2,FALSE),IF(AND($Z139="c",Inventory!$AC146=""),"a",IF(AND($Z139="c",Inventory!$AC146&lt;&gt;""),VLOOKUP(Inventory!$AC146,$N$4:$O$5,2,FALSE),"a")))))))</f>
        <v>a</v>
      </c>
      <c r="AE139" s="474">
        <f>IF(OR(Inventory!C146="New Construction",Inventory!C146="Replace-on-Burnout"),Inventory!AF146,IF(Inventory!C146="Early Retirement",MIN(Inventory!AE146,Inventory!AF146),0))</f>
        <v>0</v>
      </c>
      <c r="AF139" s="475" t="str">
        <f t="shared" si="110"/>
        <v/>
      </c>
      <c r="AG139" s="475" t="str">
        <f t="shared" si="98"/>
        <v/>
      </c>
      <c r="AH139" s="475" t="str">
        <f t="shared" si="99"/>
        <v/>
      </c>
      <c r="AI139" s="475" t="str">
        <f t="shared" si="100"/>
        <v/>
      </c>
      <c r="AJ139" s="475" t="str">
        <f t="shared" si="101"/>
        <v/>
      </c>
      <c r="AK139" s="475" t="str">
        <f t="shared" si="111"/>
        <v/>
      </c>
      <c r="AL139" s="475" t="str">
        <f t="shared" si="112"/>
        <v/>
      </c>
      <c r="AM139" s="475" t="str">
        <f t="shared" si="113"/>
        <v/>
      </c>
      <c r="AN139" s="475" t="str">
        <f t="shared" si="114"/>
        <v/>
      </c>
      <c r="AO139" s="475" t="str">
        <f t="shared" si="115"/>
        <v/>
      </c>
      <c r="AP139" s="475" t="str">
        <f t="shared" si="116"/>
        <v/>
      </c>
      <c r="AQ139" s="475" t="str">
        <f t="shared" si="117"/>
        <v/>
      </c>
      <c r="AR139" s="475" t="str">
        <f t="shared" si="118"/>
        <v/>
      </c>
      <c r="AS139" s="475" t="str">
        <f t="shared" si="119"/>
        <v/>
      </c>
      <c r="AT139" s="475" t="str">
        <f t="shared" si="120"/>
        <v/>
      </c>
      <c r="AU139" s="475" t="str">
        <f t="shared" si="121"/>
        <v/>
      </c>
      <c r="AV139" s="475" t="str">
        <f t="shared" si="102"/>
        <v/>
      </c>
      <c r="AW139" s="473">
        <f t="shared" si="103"/>
        <v>0</v>
      </c>
      <c r="AX139" s="473" t="str">
        <f>IF(AND($Z139="b",OR($AA139="a",$AA139="b"),Inventory!$I146="",$AE139&lt;(65000/12000)),"x",IF(AND($Z139="b",OR($AA139="a",$AA139="b"),Inventory!$I146&lt;&gt;"",$AE139&lt;(65000/12000)),VLOOKUP(Inventory!$I146,$V$4:$W$5,2,FALSE),"x"))</f>
        <v>x</v>
      </c>
      <c r="AY139" s="476" t="str">
        <f t="shared" si="122"/>
        <v>aaa0</v>
      </c>
      <c r="AZ139" s="477" t="str">
        <f t="shared" si="123"/>
        <v>No</v>
      </c>
      <c r="BA139" s="759" t="str">
        <f t="shared" si="124"/>
        <v>No</v>
      </c>
      <c r="BB139" s="477">
        <f>IF($Z139="c",Inventory!$AB146,Inventory!$K146)</f>
        <v>0</v>
      </c>
      <c r="BC139" s="478">
        <f>IF(AND($Z139="b",Inventory!$N146="Btu/hr"),Inventory!$M146,IF(AND($Z139="b",Inventory!$N146="Tons"),Inventory!$M146*12000,IF(AND($Z139&lt;&gt;"b",Inventory!$AK146="Btu/hr"),Inventory!$AD146,IF(AND($Z139&lt;&gt;"b",Inventory!$AK146="Tons"),Inventory!$AD146*12000,0))))</f>
        <v>0</v>
      </c>
      <c r="BD139" s="478">
        <f t="shared" si="95"/>
        <v>0</v>
      </c>
      <c r="BE139" s="479">
        <f t="shared" si="125"/>
        <v>0</v>
      </c>
      <c r="BF139" s="477" t="s">
        <v>50</v>
      </c>
      <c r="BG139" s="479">
        <f t="shared" si="104"/>
        <v>0</v>
      </c>
      <c r="BH139" s="477" t="s">
        <v>46</v>
      </c>
      <c r="BI139" s="760">
        <f>IF(AND($Z139="b",Inventory!$P146="Btu/hr"),Inventory!$O146,IF(AND($Z139="b",Inventory!$P146="Tons"),Inventory!$O146*12000,IF(AND($Z139&lt;&gt;"b",Inventory!$AM146="Btu/hr"),Inventory!$AL146,IF(AND($Z139&lt;&gt;"b",Inventory!$AM146="Tons"),Inventory!$AL146*12000,0))))</f>
        <v>0</v>
      </c>
      <c r="BJ139" s="760">
        <f t="shared" si="96"/>
        <v>0</v>
      </c>
      <c r="BK139" s="598">
        <f t="shared" si="126"/>
        <v>0</v>
      </c>
      <c r="BL139" s="759" t="s">
        <v>567</v>
      </c>
      <c r="BM139" s="477" t="str">
        <f t="shared" si="105"/>
        <v>No</v>
      </c>
      <c r="BN139" s="477" t="str">
        <f>IF(OR(Inventory!$H146="",$BM139="No"),"-",Inventory!$H146)</f>
        <v>-</v>
      </c>
      <c r="BO139" s="477" t="str">
        <f>IFERROR(VLOOKUP(BN139,'Early Retirement'!$B$6:$C$33,2,FALSE),"-")</f>
        <v>-</v>
      </c>
      <c r="BP139" s="477" t="str">
        <f>IF(Inventory!$J146="Centrifugal","Yes","No")</f>
        <v>No</v>
      </c>
      <c r="BQ139" s="477">
        <f t="shared" si="127"/>
        <v>0</v>
      </c>
      <c r="BR139" s="477" t="str">
        <f t="shared" si="128"/>
        <v>-</v>
      </c>
      <c r="BS139" s="479">
        <f>IFERROR(INDEX('Early Retirement'!$C$4:$AC$33,$BO139,$BR139),0)</f>
        <v>0</v>
      </c>
      <c r="BT139" s="477">
        <f>IFERROR(HLOOKUP($BR139,'Early Retirement'!$D$4:$AC$5,2,FALSE),0)</f>
        <v>0</v>
      </c>
      <c r="BU139" s="761">
        <f>IFERROR(INDEX('Early Retirement'!$AE$4:$BE$33,$BO139,$BR139),0)</f>
        <v>0</v>
      </c>
      <c r="BV139" s="759">
        <f>IFERROR(HLOOKUP($BR139,'Early Retirement'!$AF$4:$BE$5,2,FALSE),0)</f>
        <v>0</v>
      </c>
      <c r="BW139" s="479">
        <f t="shared" si="135"/>
        <v>0</v>
      </c>
      <c r="BX139" s="761">
        <f t="shared" si="129"/>
        <v>0</v>
      </c>
      <c r="BY139" s="477" t="s">
        <v>46</v>
      </c>
      <c r="BZ139" s="598">
        <f>IFERROR(INDEX('Early Retirement'!$BG$4:$CG$33,$BO139,$BR139),0)</f>
        <v>0</v>
      </c>
      <c r="CA139" s="759">
        <f>IFERROR(HLOOKUP($BR139,'Early Retirement'!$BH$4:$CH$5,2,FALSE),0)</f>
        <v>0</v>
      </c>
      <c r="CB139" s="598">
        <f t="shared" si="130"/>
        <v>0</v>
      </c>
      <c r="CC139" s="759" t="s">
        <v>567</v>
      </c>
      <c r="CD139" s="477" t="str">
        <f t="shared" si="106"/>
        <v>Yes</v>
      </c>
      <c r="CE139" s="479">
        <f t="shared" si="107"/>
        <v>0</v>
      </c>
      <c r="CF139" s="761">
        <f t="shared" si="108"/>
        <v>0</v>
      </c>
      <c r="CG139" s="759" t="s">
        <v>46</v>
      </c>
      <c r="CH139" s="598">
        <f t="shared" si="131"/>
        <v>0</v>
      </c>
      <c r="CI139" s="759" t="s">
        <v>567</v>
      </c>
      <c r="CJ139" s="480">
        <f t="shared" si="132"/>
        <v>0</v>
      </c>
      <c r="CK139" s="583">
        <f t="shared" si="133"/>
        <v>0</v>
      </c>
      <c r="CL139" s="596" t="s">
        <v>46</v>
      </c>
      <c r="CM139" s="581">
        <f t="shared" si="134"/>
        <v>0</v>
      </c>
      <c r="CN139" s="762" t="s">
        <v>567</v>
      </c>
      <c r="CW139" s="630"/>
      <c r="CX139" s="630"/>
      <c r="CY139" s="630"/>
      <c r="CZ139" s="630"/>
      <c r="DA139" s="630"/>
      <c r="DB139" s="562"/>
      <c r="DC139" s="562"/>
      <c r="DD139" s="562"/>
      <c r="DE139" s="562"/>
      <c r="DF139" s="562"/>
      <c r="DG139" s="562"/>
      <c r="DH139" s="562"/>
      <c r="DI139" s="562"/>
      <c r="DJ139" s="562"/>
      <c r="DK139" s="562"/>
      <c r="DL139" s="562"/>
      <c r="DM139" s="562"/>
      <c r="DN139" s="562"/>
      <c r="DO139" s="562"/>
      <c r="DP139" s="562"/>
      <c r="DQ139" s="562"/>
      <c r="DR139" s="562"/>
      <c r="DS139" s="562"/>
      <c r="DT139" s="562"/>
      <c r="DU139" s="562"/>
      <c r="DV139" s="562"/>
      <c r="DW139" s="562"/>
      <c r="DX139" s="562"/>
      <c r="DY139" s="562"/>
      <c r="DZ139" s="562"/>
      <c r="EA139" s="562"/>
      <c r="EB139" s="562"/>
      <c r="EC139" s="562"/>
      <c r="ED139" s="562"/>
      <c r="EE139" s="562"/>
      <c r="EF139" s="562"/>
      <c r="EG139" s="562"/>
      <c r="EH139" s="562"/>
      <c r="EI139" s="562"/>
      <c r="EJ139" s="562"/>
      <c r="EK139" s="562"/>
      <c r="EL139" s="562"/>
    </row>
    <row r="140" spans="2:142" s="78" customFormat="1" ht="15" customHeight="1" x14ac:dyDescent="0.25">
      <c r="B140" s="77"/>
      <c r="E140" s="77"/>
      <c r="H140" s="77"/>
      <c r="Y140" s="90">
        <v>138</v>
      </c>
      <c r="Z140" s="559" t="str">
        <f>IF(Inventory!$C147="","",VLOOKUP(Inventory!$C147,$B$3:$C$5,2,FALSE))</f>
        <v/>
      </c>
      <c r="AA140" s="559" t="str">
        <f>IF($Z140="","",IF(AND($Z140="b",Inventory!$G147=""),"",IF(AND($Z140="b",Inventory!$G147&lt;&gt;""),VLOOKUP(Inventory!$G147,$E$3:$F$10,2,FALSE),IF(AND($Z140="a",Inventory!$Z147=""),"",IF(AND($Z140="a",Inventory!$Z147&lt;&gt;""),VLOOKUP(Inventory!$Z147,$E$3:$F$10,2,FALSE),IF(AND($Z140="c",Inventory!$Z147=""),"",IF(AND($Z140="c",Inventory!$Z147&lt;&gt;""),VLOOKUP(Inventory!$Z147,$E$3:$F$10,2,FALSE),"")))))))</f>
        <v/>
      </c>
      <c r="AB140" s="559" t="str">
        <f>IF($Z140="","a",IF(AND($Z140="b",Inventory!$J147=""),"a",IF(AND($Z140="b",Inventory!$J147&lt;&gt;""),VLOOKUP(Inventory!$J147,$H$4:$I$6,2,FALSE),IF(AND($Z140="a",Inventory!$AA147=""),"a",IF(AND($Z140="a",Inventory!$AA147&lt;&gt;""),VLOOKUP(Inventory!$AA147,$H$4:$I$6,2,FALSE),IF(AND($Z140="c",Inventory!$AA147=""),"a",IF(AND($Z140="c",Inventory!$AA147&lt;&gt;""),VLOOKUP(Inventory!$AA147,$H$4:$I$6,2,FALSE),"a")))))))</f>
        <v>a</v>
      </c>
      <c r="AC140" s="559" t="str">
        <f t="shared" si="109"/>
        <v>a</v>
      </c>
      <c r="AD140" s="473" t="str">
        <f>IF($Z140="","a",IF(AND($Z140="b",Inventory!$L147=""),"a",IF(AND($Z140="b",Inventory!$L147&lt;&gt;""),VLOOKUP(Inventory!$L147,$N$4:$O$5,2,FALSE),IF(AND($Z140="a",Inventory!$AC147=""),"a",IF(AND($Z140="a",Inventory!$AC147&lt;&gt;""),VLOOKUP(Inventory!$AC147,$N$4:$O$5,2,FALSE),IF(AND($Z140="c",Inventory!$AC147=""),"a",IF(AND($Z140="c",Inventory!$AC147&lt;&gt;""),VLOOKUP(Inventory!$AC147,$N$4:$O$5,2,FALSE),"a")))))))</f>
        <v>a</v>
      </c>
      <c r="AE140" s="474">
        <f>IF(OR(Inventory!C147="New Construction",Inventory!C147="Replace-on-Burnout"),Inventory!AF147,IF(Inventory!C147="Early Retirement",MIN(Inventory!AE147,Inventory!AF147),0))</f>
        <v>0</v>
      </c>
      <c r="AF140" s="475" t="str">
        <f t="shared" si="110"/>
        <v/>
      </c>
      <c r="AG140" s="475" t="str">
        <f t="shared" si="98"/>
        <v/>
      </c>
      <c r="AH140" s="475" t="str">
        <f t="shared" si="99"/>
        <v/>
      </c>
      <c r="AI140" s="475" t="str">
        <f t="shared" si="100"/>
        <v/>
      </c>
      <c r="AJ140" s="475" t="str">
        <f t="shared" si="101"/>
        <v/>
      </c>
      <c r="AK140" s="475" t="str">
        <f t="shared" si="111"/>
        <v/>
      </c>
      <c r="AL140" s="475" t="str">
        <f t="shared" si="112"/>
        <v/>
      </c>
      <c r="AM140" s="475" t="str">
        <f t="shared" si="113"/>
        <v/>
      </c>
      <c r="AN140" s="475" t="str">
        <f t="shared" si="114"/>
        <v/>
      </c>
      <c r="AO140" s="475" t="str">
        <f t="shared" si="115"/>
        <v/>
      </c>
      <c r="AP140" s="475" t="str">
        <f t="shared" si="116"/>
        <v/>
      </c>
      <c r="AQ140" s="475" t="str">
        <f t="shared" si="117"/>
        <v/>
      </c>
      <c r="AR140" s="475" t="str">
        <f t="shared" si="118"/>
        <v/>
      </c>
      <c r="AS140" s="475" t="str">
        <f t="shared" si="119"/>
        <v/>
      </c>
      <c r="AT140" s="475" t="str">
        <f t="shared" si="120"/>
        <v/>
      </c>
      <c r="AU140" s="475" t="str">
        <f t="shared" si="121"/>
        <v/>
      </c>
      <c r="AV140" s="475" t="str">
        <f t="shared" si="102"/>
        <v/>
      </c>
      <c r="AW140" s="473">
        <f t="shared" si="103"/>
        <v>0</v>
      </c>
      <c r="AX140" s="473" t="str">
        <f>IF(AND($Z140="b",OR($AA140="a",$AA140="b"),Inventory!$I147="",$AE140&lt;(65000/12000)),"x",IF(AND($Z140="b",OR($AA140="a",$AA140="b"),Inventory!$I147&lt;&gt;"",$AE140&lt;(65000/12000)),VLOOKUP(Inventory!$I147,$V$4:$W$5,2,FALSE),"x"))</f>
        <v>x</v>
      </c>
      <c r="AY140" s="476" t="str">
        <f t="shared" si="122"/>
        <v>aaa0</v>
      </c>
      <c r="AZ140" s="477" t="str">
        <f t="shared" si="123"/>
        <v>No</v>
      </c>
      <c r="BA140" s="759" t="str">
        <f t="shared" si="124"/>
        <v>No</v>
      </c>
      <c r="BB140" s="477">
        <f>IF($Z140="c",Inventory!$AB147,Inventory!$K147)</f>
        <v>0</v>
      </c>
      <c r="BC140" s="478">
        <f>IF(AND($Z140="b",Inventory!$N147="Btu/hr"),Inventory!$M147,IF(AND($Z140="b",Inventory!$N147="Tons"),Inventory!$M147*12000,IF(AND($Z140&lt;&gt;"b",Inventory!$AK147="Btu/hr"),Inventory!$AD147,IF(AND($Z140&lt;&gt;"b",Inventory!$AK147="Tons"),Inventory!$AD147*12000,0))))</f>
        <v>0</v>
      </c>
      <c r="BD140" s="478">
        <f t="shared" si="95"/>
        <v>0</v>
      </c>
      <c r="BE140" s="479">
        <f t="shared" si="125"/>
        <v>0</v>
      </c>
      <c r="BF140" s="477" t="s">
        <v>50</v>
      </c>
      <c r="BG140" s="479">
        <f t="shared" si="104"/>
        <v>0</v>
      </c>
      <c r="BH140" s="477" t="s">
        <v>46</v>
      </c>
      <c r="BI140" s="760">
        <f>IF(AND($Z140="b",Inventory!$P147="Btu/hr"),Inventory!$O147,IF(AND($Z140="b",Inventory!$P147="Tons"),Inventory!$O147*12000,IF(AND($Z140&lt;&gt;"b",Inventory!$AM147="Btu/hr"),Inventory!$AL147,IF(AND($Z140&lt;&gt;"b",Inventory!$AM147="Tons"),Inventory!$AL147*12000,0))))</f>
        <v>0</v>
      </c>
      <c r="BJ140" s="760">
        <f t="shared" si="96"/>
        <v>0</v>
      </c>
      <c r="BK140" s="598">
        <f t="shared" si="126"/>
        <v>0</v>
      </c>
      <c r="BL140" s="759" t="s">
        <v>567</v>
      </c>
      <c r="BM140" s="477" t="str">
        <f t="shared" si="105"/>
        <v>No</v>
      </c>
      <c r="BN140" s="477" t="str">
        <f>IF(OR(Inventory!$H147="",$BM140="No"),"-",Inventory!$H147)</f>
        <v>-</v>
      </c>
      <c r="BO140" s="477" t="str">
        <f>IFERROR(VLOOKUP(BN140,'Early Retirement'!$B$6:$C$33,2,FALSE),"-")</f>
        <v>-</v>
      </c>
      <c r="BP140" s="477" t="str">
        <f>IF(Inventory!$J147="Centrifugal","Yes","No")</f>
        <v>No</v>
      </c>
      <c r="BQ140" s="477">
        <f t="shared" si="127"/>
        <v>0</v>
      </c>
      <c r="BR140" s="477" t="str">
        <f t="shared" si="128"/>
        <v>-</v>
      </c>
      <c r="BS140" s="479">
        <f>IFERROR(INDEX('Early Retirement'!$C$4:$AC$33,$BO140,$BR140),0)</f>
        <v>0</v>
      </c>
      <c r="BT140" s="477">
        <f>IFERROR(HLOOKUP($BR140,'Early Retirement'!$D$4:$AC$5,2,FALSE),0)</f>
        <v>0</v>
      </c>
      <c r="BU140" s="761">
        <f>IFERROR(INDEX('Early Retirement'!$AE$4:$BE$33,$BO140,$BR140),0)</f>
        <v>0</v>
      </c>
      <c r="BV140" s="759">
        <f>IFERROR(HLOOKUP($BR140,'Early Retirement'!$AF$4:$BE$5,2,FALSE),0)</f>
        <v>0</v>
      </c>
      <c r="BW140" s="479">
        <f t="shared" si="135"/>
        <v>0</v>
      </c>
      <c r="BX140" s="761">
        <f t="shared" si="129"/>
        <v>0</v>
      </c>
      <c r="BY140" s="477" t="s">
        <v>46</v>
      </c>
      <c r="BZ140" s="598">
        <f>IFERROR(INDEX('Early Retirement'!$BG$4:$CG$33,$BO140,$BR140),0)</f>
        <v>0</v>
      </c>
      <c r="CA140" s="759">
        <f>IFERROR(HLOOKUP($BR140,'Early Retirement'!$BH$4:$CH$5,2,FALSE),0)</f>
        <v>0</v>
      </c>
      <c r="CB140" s="598">
        <f t="shared" si="130"/>
        <v>0</v>
      </c>
      <c r="CC140" s="759" t="s">
        <v>567</v>
      </c>
      <c r="CD140" s="477" t="str">
        <f t="shared" si="106"/>
        <v>Yes</v>
      </c>
      <c r="CE140" s="479">
        <f t="shared" si="107"/>
        <v>0</v>
      </c>
      <c r="CF140" s="761">
        <f t="shared" si="108"/>
        <v>0</v>
      </c>
      <c r="CG140" s="759" t="s">
        <v>46</v>
      </c>
      <c r="CH140" s="598">
        <f t="shared" si="131"/>
        <v>0</v>
      </c>
      <c r="CI140" s="759" t="s">
        <v>567</v>
      </c>
      <c r="CJ140" s="480">
        <f t="shared" si="132"/>
        <v>0</v>
      </c>
      <c r="CK140" s="583">
        <f t="shared" si="133"/>
        <v>0</v>
      </c>
      <c r="CL140" s="596" t="s">
        <v>46</v>
      </c>
      <c r="CM140" s="581">
        <f t="shared" si="134"/>
        <v>0</v>
      </c>
      <c r="CN140" s="762" t="s">
        <v>567</v>
      </c>
      <c r="CW140" s="630"/>
      <c r="CX140" s="630"/>
      <c r="CY140" s="630"/>
      <c r="CZ140" s="630"/>
      <c r="DA140" s="630"/>
      <c r="DB140" s="562"/>
      <c r="DC140" s="562"/>
      <c r="DD140" s="562"/>
      <c r="DE140" s="562"/>
      <c r="DF140" s="562"/>
      <c r="DG140" s="562"/>
      <c r="DH140" s="562"/>
      <c r="DI140" s="562"/>
      <c r="DJ140" s="562"/>
      <c r="DK140" s="562"/>
      <c r="DL140" s="562"/>
      <c r="DM140" s="562"/>
      <c r="DN140" s="562"/>
      <c r="DO140" s="562"/>
      <c r="DP140" s="562"/>
      <c r="DQ140" s="562"/>
      <c r="DR140" s="562"/>
      <c r="DS140" s="562"/>
      <c r="DT140" s="562"/>
      <c r="DU140" s="562"/>
      <c r="DV140" s="562"/>
      <c r="DW140" s="562"/>
      <c r="DX140" s="562"/>
      <c r="DY140" s="562"/>
      <c r="DZ140" s="562"/>
      <c r="EA140" s="562"/>
      <c r="EB140" s="562"/>
      <c r="EC140" s="562"/>
      <c r="ED140" s="562"/>
      <c r="EE140" s="562"/>
      <c r="EF140" s="562"/>
      <c r="EG140" s="562"/>
      <c r="EH140" s="562"/>
      <c r="EI140" s="562"/>
      <c r="EJ140" s="562"/>
      <c r="EK140" s="562"/>
      <c r="EL140" s="562"/>
    </row>
    <row r="141" spans="2:142" s="78" customFormat="1" ht="15" customHeight="1" x14ac:dyDescent="0.25">
      <c r="B141" s="77"/>
      <c r="E141" s="77"/>
      <c r="H141" s="77"/>
      <c r="Y141" s="90">
        <v>139</v>
      </c>
      <c r="Z141" s="559" t="str">
        <f>IF(Inventory!$C148="","",VLOOKUP(Inventory!$C148,$B$3:$C$5,2,FALSE))</f>
        <v/>
      </c>
      <c r="AA141" s="559" t="str">
        <f>IF($Z141="","",IF(AND($Z141="b",Inventory!$G148=""),"",IF(AND($Z141="b",Inventory!$G148&lt;&gt;""),VLOOKUP(Inventory!$G148,$E$3:$F$10,2,FALSE),IF(AND($Z141="a",Inventory!$Z148=""),"",IF(AND($Z141="a",Inventory!$Z148&lt;&gt;""),VLOOKUP(Inventory!$Z148,$E$3:$F$10,2,FALSE),IF(AND($Z141="c",Inventory!$Z148=""),"",IF(AND($Z141="c",Inventory!$Z148&lt;&gt;""),VLOOKUP(Inventory!$Z148,$E$3:$F$10,2,FALSE),"")))))))</f>
        <v/>
      </c>
      <c r="AB141" s="559" t="str">
        <f>IF($Z141="","a",IF(AND($Z141="b",Inventory!$J148=""),"a",IF(AND($Z141="b",Inventory!$J148&lt;&gt;""),VLOOKUP(Inventory!$J148,$H$4:$I$6,2,FALSE),IF(AND($Z141="a",Inventory!$AA148=""),"a",IF(AND($Z141="a",Inventory!$AA148&lt;&gt;""),VLOOKUP(Inventory!$AA148,$H$4:$I$6,2,FALSE),IF(AND($Z141="c",Inventory!$AA148=""),"a",IF(AND($Z141="c",Inventory!$AA148&lt;&gt;""),VLOOKUP(Inventory!$AA148,$H$4:$I$6,2,FALSE),"a")))))))</f>
        <v>a</v>
      </c>
      <c r="AC141" s="559" t="str">
        <f t="shared" si="109"/>
        <v>a</v>
      </c>
      <c r="AD141" s="473" t="str">
        <f>IF($Z141="","a",IF(AND($Z141="b",Inventory!$L148=""),"a",IF(AND($Z141="b",Inventory!$L148&lt;&gt;""),VLOOKUP(Inventory!$L148,$N$4:$O$5,2,FALSE),IF(AND($Z141="a",Inventory!$AC148=""),"a",IF(AND($Z141="a",Inventory!$AC148&lt;&gt;""),VLOOKUP(Inventory!$AC148,$N$4:$O$5,2,FALSE),IF(AND($Z141="c",Inventory!$AC148=""),"a",IF(AND($Z141="c",Inventory!$AC148&lt;&gt;""),VLOOKUP(Inventory!$AC148,$N$4:$O$5,2,FALSE),"a")))))))</f>
        <v>a</v>
      </c>
      <c r="AE141" s="474">
        <f>IF(OR(Inventory!C148="New Construction",Inventory!C148="Replace-on-Burnout"),Inventory!AF148,IF(Inventory!C148="Early Retirement",MIN(Inventory!AE148,Inventory!AF148),0))</f>
        <v>0</v>
      </c>
      <c r="AF141" s="475" t="str">
        <f t="shared" si="110"/>
        <v/>
      </c>
      <c r="AG141" s="475" t="str">
        <f t="shared" si="98"/>
        <v/>
      </c>
      <c r="AH141" s="475" t="str">
        <f t="shared" si="99"/>
        <v/>
      </c>
      <c r="AI141" s="475" t="str">
        <f t="shared" si="100"/>
        <v/>
      </c>
      <c r="AJ141" s="475" t="str">
        <f t="shared" si="101"/>
        <v/>
      </c>
      <c r="AK141" s="475" t="str">
        <f t="shared" si="111"/>
        <v/>
      </c>
      <c r="AL141" s="475" t="str">
        <f t="shared" si="112"/>
        <v/>
      </c>
      <c r="AM141" s="475" t="str">
        <f t="shared" si="113"/>
        <v/>
      </c>
      <c r="AN141" s="475" t="str">
        <f t="shared" si="114"/>
        <v/>
      </c>
      <c r="AO141" s="475" t="str">
        <f t="shared" si="115"/>
        <v/>
      </c>
      <c r="AP141" s="475" t="str">
        <f t="shared" si="116"/>
        <v/>
      </c>
      <c r="AQ141" s="475" t="str">
        <f t="shared" si="117"/>
        <v/>
      </c>
      <c r="AR141" s="475" t="str">
        <f t="shared" si="118"/>
        <v/>
      </c>
      <c r="AS141" s="475" t="str">
        <f t="shared" si="119"/>
        <v/>
      </c>
      <c r="AT141" s="475" t="str">
        <f t="shared" si="120"/>
        <v/>
      </c>
      <c r="AU141" s="475" t="str">
        <f t="shared" si="121"/>
        <v/>
      </c>
      <c r="AV141" s="475" t="str">
        <f t="shared" si="102"/>
        <v/>
      </c>
      <c r="AW141" s="473">
        <f t="shared" si="103"/>
        <v>0</v>
      </c>
      <c r="AX141" s="473" t="str">
        <f>IF(AND($Z141="b",OR($AA141="a",$AA141="b"),Inventory!$I148="",$AE141&lt;(65000/12000)),"x",IF(AND($Z141="b",OR($AA141="a",$AA141="b"),Inventory!$I148&lt;&gt;"",$AE141&lt;(65000/12000)),VLOOKUP(Inventory!$I148,$V$4:$W$5,2,FALSE),"x"))</f>
        <v>x</v>
      </c>
      <c r="AY141" s="476" t="str">
        <f t="shared" si="122"/>
        <v>aaa0</v>
      </c>
      <c r="AZ141" s="477" t="str">
        <f t="shared" si="123"/>
        <v>No</v>
      </c>
      <c r="BA141" s="759" t="str">
        <f t="shared" si="124"/>
        <v>No</v>
      </c>
      <c r="BB141" s="477">
        <f>IF($Z141="c",Inventory!$AB148,Inventory!$K148)</f>
        <v>0</v>
      </c>
      <c r="BC141" s="478">
        <f>IF(AND($Z141="b",Inventory!$N148="Btu/hr"),Inventory!$M148,IF(AND($Z141="b",Inventory!$N148="Tons"),Inventory!$M148*12000,IF(AND($Z141&lt;&gt;"b",Inventory!$AK148="Btu/hr"),Inventory!$AD148,IF(AND($Z141&lt;&gt;"b",Inventory!$AK148="Tons"),Inventory!$AD148*12000,0))))</f>
        <v>0</v>
      </c>
      <c r="BD141" s="478">
        <f t="shared" si="95"/>
        <v>0</v>
      </c>
      <c r="BE141" s="479">
        <f t="shared" si="125"/>
        <v>0</v>
      </c>
      <c r="BF141" s="477" t="s">
        <v>50</v>
      </c>
      <c r="BG141" s="479">
        <f t="shared" si="104"/>
        <v>0</v>
      </c>
      <c r="BH141" s="477" t="s">
        <v>46</v>
      </c>
      <c r="BI141" s="760">
        <f>IF(AND($Z141="b",Inventory!$P148="Btu/hr"),Inventory!$O148,IF(AND($Z141="b",Inventory!$P148="Tons"),Inventory!$O148*12000,IF(AND($Z141&lt;&gt;"b",Inventory!$AM148="Btu/hr"),Inventory!$AL148,IF(AND($Z141&lt;&gt;"b",Inventory!$AM148="Tons"),Inventory!$AL148*12000,0))))</f>
        <v>0</v>
      </c>
      <c r="BJ141" s="760">
        <f t="shared" si="96"/>
        <v>0</v>
      </c>
      <c r="BK141" s="598">
        <f t="shared" si="126"/>
        <v>0</v>
      </c>
      <c r="BL141" s="759" t="s">
        <v>567</v>
      </c>
      <c r="BM141" s="477" t="str">
        <f t="shared" si="105"/>
        <v>No</v>
      </c>
      <c r="BN141" s="477" t="str">
        <f>IF(OR(Inventory!$H148="",$BM141="No"),"-",Inventory!$H148)</f>
        <v>-</v>
      </c>
      <c r="BO141" s="477" t="str">
        <f>IFERROR(VLOOKUP(BN141,'Early Retirement'!$B$6:$C$33,2,FALSE),"-")</f>
        <v>-</v>
      </c>
      <c r="BP141" s="477" t="str">
        <f>IF(Inventory!$J148="Centrifugal","Yes","No")</f>
        <v>No</v>
      </c>
      <c r="BQ141" s="477">
        <f t="shared" si="127"/>
        <v>0</v>
      </c>
      <c r="BR141" s="477" t="str">
        <f t="shared" si="128"/>
        <v>-</v>
      </c>
      <c r="BS141" s="479">
        <f>IFERROR(INDEX('Early Retirement'!$C$4:$AC$33,$BO141,$BR141),0)</f>
        <v>0</v>
      </c>
      <c r="BT141" s="477">
        <f>IFERROR(HLOOKUP($BR141,'Early Retirement'!$D$4:$AC$5,2,FALSE),0)</f>
        <v>0</v>
      </c>
      <c r="BU141" s="761">
        <f>IFERROR(INDEX('Early Retirement'!$AE$4:$BE$33,$BO141,$BR141),0)</f>
        <v>0</v>
      </c>
      <c r="BV141" s="759">
        <f>IFERROR(HLOOKUP($BR141,'Early Retirement'!$AF$4:$BE$5,2,FALSE),0)</f>
        <v>0</v>
      </c>
      <c r="BW141" s="479">
        <f t="shared" si="135"/>
        <v>0</v>
      </c>
      <c r="BX141" s="761">
        <f t="shared" si="129"/>
        <v>0</v>
      </c>
      <c r="BY141" s="477" t="s">
        <v>46</v>
      </c>
      <c r="BZ141" s="598">
        <f>IFERROR(INDEX('Early Retirement'!$BG$4:$CG$33,$BO141,$BR141),0)</f>
        <v>0</v>
      </c>
      <c r="CA141" s="759">
        <f>IFERROR(HLOOKUP($BR141,'Early Retirement'!$BH$4:$CH$5,2,FALSE),0)</f>
        <v>0</v>
      </c>
      <c r="CB141" s="598">
        <f t="shared" si="130"/>
        <v>0</v>
      </c>
      <c r="CC141" s="759" t="s">
        <v>567</v>
      </c>
      <c r="CD141" s="477" t="str">
        <f t="shared" si="106"/>
        <v>Yes</v>
      </c>
      <c r="CE141" s="479">
        <f t="shared" si="107"/>
        <v>0</v>
      </c>
      <c r="CF141" s="761">
        <f t="shared" si="108"/>
        <v>0</v>
      </c>
      <c r="CG141" s="759" t="s">
        <v>46</v>
      </c>
      <c r="CH141" s="598">
        <f t="shared" si="131"/>
        <v>0</v>
      </c>
      <c r="CI141" s="759" t="s">
        <v>567</v>
      </c>
      <c r="CJ141" s="480">
        <f t="shared" si="132"/>
        <v>0</v>
      </c>
      <c r="CK141" s="583">
        <f t="shared" si="133"/>
        <v>0</v>
      </c>
      <c r="CL141" s="596" t="s">
        <v>46</v>
      </c>
      <c r="CM141" s="581">
        <f t="shared" si="134"/>
        <v>0</v>
      </c>
      <c r="CN141" s="762" t="s">
        <v>567</v>
      </c>
      <c r="CW141" s="630"/>
      <c r="CX141" s="630"/>
      <c r="CY141" s="630"/>
      <c r="CZ141" s="630"/>
      <c r="DA141" s="630"/>
      <c r="DB141" s="562"/>
      <c r="DC141" s="562"/>
      <c r="DD141" s="562"/>
      <c r="DE141" s="562"/>
      <c r="DF141" s="562"/>
      <c r="DG141" s="562"/>
      <c r="DH141" s="562"/>
      <c r="DI141" s="562"/>
      <c r="DJ141" s="562"/>
      <c r="DK141" s="562"/>
      <c r="DL141" s="562"/>
      <c r="DM141" s="562"/>
      <c r="DN141" s="562"/>
      <c r="DO141" s="562"/>
      <c r="DP141" s="562"/>
      <c r="DQ141" s="562"/>
      <c r="DR141" s="562"/>
      <c r="DS141" s="562"/>
      <c r="DT141" s="562"/>
      <c r="DU141" s="562"/>
      <c r="DV141" s="562"/>
      <c r="DW141" s="562"/>
      <c r="DX141" s="562"/>
      <c r="DY141" s="562"/>
      <c r="DZ141" s="562"/>
      <c r="EA141" s="562"/>
      <c r="EB141" s="562"/>
      <c r="EC141" s="562"/>
      <c r="ED141" s="562"/>
      <c r="EE141" s="562"/>
      <c r="EF141" s="562"/>
      <c r="EG141" s="562"/>
      <c r="EH141" s="562"/>
      <c r="EI141" s="562"/>
      <c r="EJ141" s="562"/>
      <c r="EK141" s="562"/>
      <c r="EL141" s="562"/>
    </row>
    <row r="142" spans="2:142" s="78" customFormat="1" ht="15" customHeight="1" x14ac:dyDescent="0.25">
      <c r="B142" s="77"/>
      <c r="E142" s="77"/>
      <c r="H142" s="77"/>
      <c r="Y142" s="90">
        <v>140</v>
      </c>
      <c r="Z142" s="559" t="str">
        <f>IF(Inventory!$C149="","",VLOOKUP(Inventory!$C149,$B$3:$C$5,2,FALSE))</f>
        <v/>
      </c>
      <c r="AA142" s="559" t="str">
        <f>IF($Z142="","",IF(AND($Z142="b",Inventory!$G149=""),"",IF(AND($Z142="b",Inventory!$G149&lt;&gt;""),VLOOKUP(Inventory!$G149,$E$3:$F$10,2,FALSE),IF(AND($Z142="a",Inventory!$Z149=""),"",IF(AND($Z142="a",Inventory!$Z149&lt;&gt;""),VLOOKUP(Inventory!$Z149,$E$3:$F$10,2,FALSE),IF(AND($Z142="c",Inventory!$Z149=""),"",IF(AND($Z142="c",Inventory!$Z149&lt;&gt;""),VLOOKUP(Inventory!$Z149,$E$3:$F$10,2,FALSE),"")))))))</f>
        <v/>
      </c>
      <c r="AB142" s="559" t="str">
        <f>IF($Z142="","a",IF(AND($Z142="b",Inventory!$J149=""),"a",IF(AND($Z142="b",Inventory!$J149&lt;&gt;""),VLOOKUP(Inventory!$J149,$H$4:$I$6,2,FALSE),IF(AND($Z142="a",Inventory!$AA149=""),"a",IF(AND($Z142="a",Inventory!$AA149&lt;&gt;""),VLOOKUP(Inventory!$AA149,$H$4:$I$6,2,FALSE),IF(AND($Z142="c",Inventory!$AA149=""),"a",IF(AND($Z142="c",Inventory!$AA149&lt;&gt;""),VLOOKUP(Inventory!$AA149,$H$4:$I$6,2,FALSE),"a")))))))</f>
        <v>a</v>
      </c>
      <c r="AC142" s="559" t="str">
        <f t="shared" si="109"/>
        <v>a</v>
      </c>
      <c r="AD142" s="473" t="str">
        <f>IF($Z142="","a",IF(AND($Z142="b",Inventory!$L149=""),"a",IF(AND($Z142="b",Inventory!$L149&lt;&gt;""),VLOOKUP(Inventory!$L149,$N$4:$O$5,2,FALSE),IF(AND($Z142="a",Inventory!$AC149=""),"a",IF(AND($Z142="a",Inventory!$AC149&lt;&gt;""),VLOOKUP(Inventory!$AC149,$N$4:$O$5,2,FALSE),IF(AND($Z142="c",Inventory!$AC149=""),"a",IF(AND($Z142="c",Inventory!$AC149&lt;&gt;""),VLOOKUP(Inventory!$AC149,$N$4:$O$5,2,FALSE),"a")))))))</f>
        <v>a</v>
      </c>
      <c r="AE142" s="474">
        <f>IF(OR(Inventory!C149="New Construction",Inventory!C149="Replace-on-Burnout"),Inventory!AF149,IF(Inventory!C149="Early Retirement",MIN(Inventory!AE149,Inventory!AF149),0))</f>
        <v>0</v>
      </c>
      <c r="AF142" s="475" t="str">
        <f t="shared" si="110"/>
        <v/>
      </c>
      <c r="AG142" s="475" t="str">
        <f t="shared" si="98"/>
        <v/>
      </c>
      <c r="AH142" s="475" t="str">
        <f t="shared" si="99"/>
        <v/>
      </c>
      <c r="AI142" s="475" t="str">
        <f t="shared" si="100"/>
        <v/>
      </c>
      <c r="AJ142" s="475" t="str">
        <f t="shared" si="101"/>
        <v/>
      </c>
      <c r="AK142" s="475" t="str">
        <f t="shared" si="111"/>
        <v/>
      </c>
      <c r="AL142" s="475" t="str">
        <f t="shared" si="112"/>
        <v/>
      </c>
      <c r="AM142" s="475" t="str">
        <f t="shared" si="113"/>
        <v/>
      </c>
      <c r="AN142" s="475" t="str">
        <f t="shared" si="114"/>
        <v/>
      </c>
      <c r="AO142" s="475" t="str">
        <f t="shared" si="115"/>
        <v/>
      </c>
      <c r="AP142" s="475" t="str">
        <f t="shared" si="116"/>
        <v/>
      </c>
      <c r="AQ142" s="475" t="str">
        <f t="shared" si="117"/>
        <v/>
      </c>
      <c r="AR142" s="475" t="str">
        <f t="shared" si="118"/>
        <v/>
      </c>
      <c r="AS142" s="475" t="str">
        <f t="shared" si="119"/>
        <v/>
      </c>
      <c r="AT142" s="475" t="str">
        <f t="shared" si="120"/>
        <v/>
      </c>
      <c r="AU142" s="475" t="str">
        <f t="shared" si="121"/>
        <v/>
      </c>
      <c r="AV142" s="475" t="str">
        <f t="shared" si="102"/>
        <v/>
      </c>
      <c r="AW142" s="473">
        <f t="shared" si="103"/>
        <v>0</v>
      </c>
      <c r="AX142" s="473" t="str">
        <f>IF(AND($Z142="b",OR($AA142="a",$AA142="b"),Inventory!$I149="",$AE142&lt;(65000/12000)),"x",IF(AND($Z142="b",OR($AA142="a",$AA142="b"),Inventory!$I149&lt;&gt;"",$AE142&lt;(65000/12000)),VLOOKUP(Inventory!$I149,$V$4:$W$5,2,FALSE),"x"))</f>
        <v>x</v>
      </c>
      <c r="AY142" s="476" t="str">
        <f t="shared" si="122"/>
        <v>aaa0</v>
      </c>
      <c r="AZ142" s="477" t="str">
        <f t="shared" si="123"/>
        <v>No</v>
      </c>
      <c r="BA142" s="759" t="str">
        <f t="shared" si="124"/>
        <v>No</v>
      </c>
      <c r="BB142" s="477">
        <f>IF($Z142="c",Inventory!$AB149,Inventory!$K149)</f>
        <v>0</v>
      </c>
      <c r="BC142" s="478">
        <f>IF(AND($Z142="b",Inventory!$N149="Btu/hr"),Inventory!$M149,IF(AND($Z142="b",Inventory!$N149="Tons"),Inventory!$M149*12000,IF(AND($Z142&lt;&gt;"b",Inventory!$AK149="Btu/hr"),Inventory!$AD149,IF(AND($Z142&lt;&gt;"b",Inventory!$AK149="Tons"),Inventory!$AD149*12000,0))))</f>
        <v>0</v>
      </c>
      <c r="BD142" s="478">
        <f t="shared" si="95"/>
        <v>0</v>
      </c>
      <c r="BE142" s="479">
        <f t="shared" si="125"/>
        <v>0</v>
      </c>
      <c r="BF142" s="477" t="s">
        <v>50</v>
      </c>
      <c r="BG142" s="479">
        <f t="shared" si="104"/>
        <v>0</v>
      </c>
      <c r="BH142" s="477" t="s">
        <v>46</v>
      </c>
      <c r="BI142" s="760">
        <f>IF(AND($Z142="b",Inventory!$P149="Btu/hr"),Inventory!$O149,IF(AND($Z142="b",Inventory!$P149="Tons"),Inventory!$O149*12000,IF(AND($Z142&lt;&gt;"b",Inventory!$AM149="Btu/hr"),Inventory!$AL149,IF(AND($Z142&lt;&gt;"b",Inventory!$AM149="Tons"),Inventory!$AL149*12000,0))))</f>
        <v>0</v>
      </c>
      <c r="BJ142" s="760">
        <f t="shared" si="96"/>
        <v>0</v>
      </c>
      <c r="BK142" s="598">
        <f t="shared" si="126"/>
        <v>0</v>
      </c>
      <c r="BL142" s="759" t="s">
        <v>567</v>
      </c>
      <c r="BM142" s="477" t="str">
        <f t="shared" si="105"/>
        <v>No</v>
      </c>
      <c r="BN142" s="477" t="str">
        <f>IF(OR(Inventory!$H149="",$BM142="No"),"-",Inventory!$H149)</f>
        <v>-</v>
      </c>
      <c r="BO142" s="477" t="str">
        <f>IFERROR(VLOOKUP(BN142,'Early Retirement'!$B$6:$C$33,2,FALSE),"-")</f>
        <v>-</v>
      </c>
      <c r="BP142" s="477" t="str">
        <f>IF(Inventory!$J149="Centrifugal","Yes","No")</f>
        <v>No</v>
      </c>
      <c r="BQ142" s="477">
        <f t="shared" si="127"/>
        <v>0</v>
      </c>
      <c r="BR142" s="477" t="str">
        <f t="shared" si="128"/>
        <v>-</v>
      </c>
      <c r="BS142" s="479">
        <f>IFERROR(INDEX('Early Retirement'!$C$4:$AC$33,$BO142,$BR142),0)</f>
        <v>0</v>
      </c>
      <c r="BT142" s="477">
        <f>IFERROR(HLOOKUP($BR142,'Early Retirement'!$D$4:$AC$5,2,FALSE),0)</f>
        <v>0</v>
      </c>
      <c r="BU142" s="761">
        <f>IFERROR(INDEX('Early Retirement'!$AE$4:$BE$33,$BO142,$BR142),0)</f>
        <v>0</v>
      </c>
      <c r="BV142" s="759">
        <f>IFERROR(HLOOKUP($BR142,'Early Retirement'!$AF$4:$BE$5,2,FALSE),0)</f>
        <v>0</v>
      </c>
      <c r="BW142" s="479">
        <f t="shared" si="135"/>
        <v>0</v>
      </c>
      <c r="BX142" s="761">
        <f t="shared" si="129"/>
        <v>0</v>
      </c>
      <c r="BY142" s="477" t="s">
        <v>46</v>
      </c>
      <c r="BZ142" s="598">
        <f>IFERROR(INDEX('Early Retirement'!$BG$4:$CG$33,$BO142,$BR142),0)</f>
        <v>0</v>
      </c>
      <c r="CA142" s="759">
        <f>IFERROR(HLOOKUP($BR142,'Early Retirement'!$BH$4:$CH$5,2,FALSE),0)</f>
        <v>0</v>
      </c>
      <c r="CB142" s="598">
        <f t="shared" si="130"/>
        <v>0</v>
      </c>
      <c r="CC142" s="759" t="s">
        <v>567</v>
      </c>
      <c r="CD142" s="477" t="str">
        <f t="shared" si="106"/>
        <v>Yes</v>
      </c>
      <c r="CE142" s="479">
        <f t="shared" si="107"/>
        <v>0</v>
      </c>
      <c r="CF142" s="761">
        <f t="shared" si="108"/>
        <v>0</v>
      </c>
      <c r="CG142" s="759" t="s">
        <v>46</v>
      </c>
      <c r="CH142" s="598">
        <f t="shared" si="131"/>
        <v>0</v>
      </c>
      <c r="CI142" s="759" t="s">
        <v>567</v>
      </c>
      <c r="CJ142" s="480">
        <f t="shared" si="132"/>
        <v>0</v>
      </c>
      <c r="CK142" s="583">
        <f t="shared" si="133"/>
        <v>0</v>
      </c>
      <c r="CL142" s="596" t="s">
        <v>46</v>
      </c>
      <c r="CM142" s="581">
        <f t="shared" si="134"/>
        <v>0</v>
      </c>
      <c r="CN142" s="762" t="s">
        <v>567</v>
      </c>
      <c r="CW142" s="630"/>
      <c r="CX142" s="630"/>
      <c r="CY142" s="630"/>
      <c r="CZ142" s="630"/>
      <c r="DA142" s="630"/>
      <c r="DB142" s="562"/>
      <c r="DC142" s="562"/>
      <c r="DD142" s="562"/>
      <c r="DE142" s="562"/>
      <c r="DF142" s="562"/>
      <c r="DG142" s="562"/>
      <c r="DH142" s="562"/>
      <c r="DI142" s="562"/>
      <c r="DJ142" s="562"/>
      <c r="DK142" s="562"/>
      <c r="DL142" s="562"/>
      <c r="DM142" s="562"/>
      <c r="DN142" s="562"/>
      <c r="DO142" s="562"/>
      <c r="DP142" s="562"/>
      <c r="DQ142" s="562"/>
      <c r="DR142" s="562"/>
      <c r="DS142" s="562"/>
      <c r="DT142" s="562"/>
      <c r="DU142" s="562"/>
      <c r="DV142" s="562"/>
      <c r="DW142" s="562"/>
      <c r="DX142" s="562"/>
      <c r="DY142" s="562"/>
      <c r="DZ142" s="562"/>
      <c r="EA142" s="562"/>
      <c r="EB142" s="562"/>
      <c r="EC142" s="562"/>
      <c r="ED142" s="562"/>
      <c r="EE142" s="562"/>
      <c r="EF142" s="562"/>
      <c r="EG142" s="562"/>
      <c r="EH142" s="562"/>
      <c r="EI142" s="562"/>
      <c r="EJ142" s="562"/>
      <c r="EK142" s="562"/>
      <c r="EL142" s="562"/>
    </row>
    <row r="143" spans="2:142" s="78" customFormat="1" ht="15" customHeight="1" x14ac:dyDescent="0.25">
      <c r="B143" s="77"/>
      <c r="E143" s="77"/>
      <c r="H143" s="77"/>
      <c r="Y143" s="90">
        <v>141</v>
      </c>
      <c r="Z143" s="559" t="str">
        <f>IF(Inventory!$C150="","",VLOOKUP(Inventory!$C150,$B$3:$C$5,2,FALSE))</f>
        <v/>
      </c>
      <c r="AA143" s="559" t="str">
        <f>IF($Z143="","",IF(AND($Z143="b",Inventory!$G150=""),"",IF(AND($Z143="b",Inventory!$G150&lt;&gt;""),VLOOKUP(Inventory!$G150,$E$3:$F$10,2,FALSE),IF(AND($Z143="a",Inventory!$Z150=""),"",IF(AND($Z143="a",Inventory!$Z150&lt;&gt;""),VLOOKUP(Inventory!$Z150,$E$3:$F$10,2,FALSE),IF(AND($Z143="c",Inventory!$Z150=""),"",IF(AND($Z143="c",Inventory!$Z150&lt;&gt;""),VLOOKUP(Inventory!$Z150,$E$3:$F$10,2,FALSE),"")))))))</f>
        <v/>
      </c>
      <c r="AB143" s="559" t="str">
        <f>IF($Z143="","a",IF(AND($Z143="b",Inventory!$J150=""),"a",IF(AND($Z143="b",Inventory!$J150&lt;&gt;""),VLOOKUP(Inventory!$J150,$H$4:$I$6,2,FALSE),IF(AND($Z143="a",Inventory!$AA150=""),"a",IF(AND($Z143="a",Inventory!$AA150&lt;&gt;""),VLOOKUP(Inventory!$AA150,$H$4:$I$6,2,FALSE),IF(AND($Z143="c",Inventory!$AA150=""),"a",IF(AND($Z143="c",Inventory!$AA150&lt;&gt;""),VLOOKUP(Inventory!$AA150,$H$4:$I$6,2,FALSE),"a")))))))</f>
        <v>a</v>
      </c>
      <c r="AC143" s="559" t="str">
        <f t="shared" si="109"/>
        <v>a</v>
      </c>
      <c r="AD143" s="473" t="str">
        <f>IF($Z143="","a",IF(AND($Z143="b",Inventory!$L150=""),"a",IF(AND($Z143="b",Inventory!$L150&lt;&gt;""),VLOOKUP(Inventory!$L150,$N$4:$O$5,2,FALSE),IF(AND($Z143="a",Inventory!$AC150=""),"a",IF(AND($Z143="a",Inventory!$AC150&lt;&gt;""),VLOOKUP(Inventory!$AC150,$N$4:$O$5,2,FALSE),IF(AND($Z143="c",Inventory!$AC150=""),"a",IF(AND($Z143="c",Inventory!$AC150&lt;&gt;""),VLOOKUP(Inventory!$AC150,$N$4:$O$5,2,FALSE),"a")))))))</f>
        <v>a</v>
      </c>
      <c r="AE143" s="474">
        <f>IF(OR(Inventory!C150="New Construction",Inventory!C150="Replace-on-Burnout"),Inventory!AF150,IF(Inventory!C150="Early Retirement",MIN(Inventory!AE150,Inventory!AF150),0))</f>
        <v>0</v>
      </c>
      <c r="AF143" s="475" t="str">
        <f t="shared" si="110"/>
        <v/>
      </c>
      <c r="AG143" s="475" t="str">
        <f t="shared" si="98"/>
        <v/>
      </c>
      <c r="AH143" s="475" t="str">
        <f t="shared" si="99"/>
        <v/>
      </c>
      <c r="AI143" s="475" t="str">
        <f t="shared" si="100"/>
        <v/>
      </c>
      <c r="AJ143" s="475" t="str">
        <f t="shared" si="101"/>
        <v/>
      </c>
      <c r="AK143" s="475" t="str">
        <f t="shared" si="111"/>
        <v/>
      </c>
      <c r="AL143" s="475" t="str">
        <f t="shared" si="112"/>
        <v/>
      </c>
      <c r="AM143" s="475" t="str">
        <f t="shared" si="113"/>
        <v/>
      </c>
      <c r="AN143" s="475" t="str">
        <f t="shared" si="114"/>
        <v/>
      </c>
      <c r="AO143" s="475" t="str">
        <f t="shared" si="115"/>
        <v/>
      </c>
      <c r="AP143" s="475" t="str">
        <f t="shared" si="116"/>
        <v/>
      </c>
      <c r="AQ143" s="475" t="str">
        <f t="shared" si="117"/>
        <v/>
      </c>
      <c r="AR143" s="475" t="str">
        <f t="shared" si="118"/>
        <v/>
      </c>
      <c r="AS143" s="475" t="str">
        <f t="shared" si="119"/>
        <v/>
      </c>
      <c r="AT143" s="475" t="str">
        <f t="shared" si="120"/>
        <v/>
      </c>
      <c r="AU143" s="475" t="str">
        <f t="shared" si="121"/>
        <v/>
      </c>
      <c r="AV143" s="475" t="str">
        <f t="shared" si="102"/>
        <v/>
      </c>
      <c r="AW143" s="473">
        <f t="shared" si="103"/>
        <v>0</v>
      </c>
      <c r="AX143" s="473" t="str">
        <f>IF(AND($Z143="b",OR($AA143="a",$AA143="b"),Inventory!$I150="",$AE143&lt;(65000/12000)),"x",IF(AND($Z143="b",OR($AA143="a",$AA143="b"),Inventory!$I150&lt;&gt;"",$AE143&lt;(65000/12000)),VLOOKUP(Inventory!$I150,$V$4:$W$5,2,FALSE),"x"))</f>
        <v>x</v>
      </c>
      <c r="AY143" s="476" t="str">
        <f t="shared" si="122"/>
        <v>aaa0</v>
      </c>
      <c r="AZ143" s="477" t="str">
        <f t="shared" si="123"/>
        <v>No</v>
      </c>
      <c r="BA143" s="759" t="str">
        <f t="shared" si="124"/>
        <v>No</v>
      </c>
      <c r="BB143" s="477">
        <f>IF($Z143="c",Inventory!$AB150,Inventory!$K150)</f>
        <v>0</v>
      </c>
      <c r="BC143" s="478">
        <f>IF(AND($Z143="b",Inventory!$N150="Btu/hr"),Inventory!$M150,IF(AND($Z143="b",Inventory!$N150="Tons"),Inventory!$M150*12000,IF(AND($Z143&lt;&gt;"b",Inventory!$AK150="Btu/hr"),Inventory!$AD150,IF(AND($Z143&lt;&gt;"b",Inventory!$AK150="Tons"),Inventory!$AD150*12000,0))))</f>
        <v>0</v>
      </c>
      <c r="BD143" s="478">
        <f t="shared" si="95"/>
        <v>0</v>
      </c>
      <c r="BE143" s="479">
        <f t="shared" si="125"/>
        <v>0</v>
      </c>
      <c r="BF143" s="477" t="s">
        <v>50</v>
      </c>
      <c r="BG143" s="479">
        <f t="shared" si="104"/>
        <v>0</v>
      </c>
      <c r="BH143" s="477" t="s">
        <v>46</v>
      </c>
      <c r="BI143" s="760">
        <f>IF(AND($Z143="b",Inventory!$P150="Btu/hr"),Inventory!$O150,IF(AND($Z143="b",Inventory!$P150="Tons"),Inventory!$O150*12000,IF(AND($Z143&lt;&gt;"b",Inventory!$AM150="Btu/hr"),Inventory!$AL150,IF(AND($Z143&lt;&gt;"b",Inventory!$AM150="Tons"),Inventory!$AL150*12000,0))))</f>
        <v>0</v>
      </c>
      <c r="BJ143" s="760">
        <f t="shared" si="96"/>
        <v>0</v>
      </c>
      <c r="BK143" s="598">
        <f t="shared" si="126"/>
        <v>0</v>
      </c>
      <c r="BL143" s="759" t="s">
        <v>567</v>
      </c>
      <c r="BM143" s="477" t="str">
        <f t="shared" si="105"/>
        <v>No</v>
      </c>
      <c r="BN143" s="477" t="str">
        <f>IF(OR(Inventory!$H150="",$BM143="No"),"-",Inventory!$H150)</f>
        <v>-</v>
      </c>
      <c r="BO143" s="477" t="str">
        <f>IFERROR(VLOOKUP(BN143,'Early Retirement'!$B$6:$C$33,2,FALSE),"-")</f>
        <v>-</v>
      </c>
      <c r="BP143" s="477" t="str">
        <f>IF(Inventory!$J150="Centrifugal","Yes","No")</f>
        <v>No</v>
      </c>
      <c r="BQ143" s="477">
        <f t="shared" si="127"/>
        <v>0</v>
      </c>
      <c r="BR143" s="477" t="str">
        <f t="shared" si="128"/>
        <v>-</v>
      </c>
      <c r="BS143" s="479">
        <f>IFERROR(INDEX('Early Retirement'!$C$4:$AC$33,$BO143,$BR143),0)</f>
        <v>0</v>
      </c>
      <c r="BT143" s="477">
        <f>IFERROR(HLOOKUP($BR143,'Early Retirement'!$D$4:$AC$5,2,FALSE),0)</f>
        <v>0</v>
      </c>
      <c r="BU143" s="761">
        <f>IFERROR(INDEX('Early Retirement'!$AE$4:$BE$33,$BO143,$BR143),0)</f>
        <v>0</v>
      </c>
      <c r="BV143" s="759">
        <f>IFERROR(HLOOKUP($BR143,'Early Retirement'!$AF$4:$BE$5,2,FALSE),0)</f>
        <v>0</v>
      </c>
      <c r="BW143" s="479">
        <f t="shared" si="135"/>
        <v>0</v>
      </c>
      <c r="BX143" s="761">
        <f t="shared" si="129"/>
        <v>0</v>
      </c>
      <c r="BY143" s="477" t="s">
        <v>46</v>
      </c>
      <c r="BZ143" s="598">
        <f>IFERROR(INDEX('Early Retirement'!$BG$4:$CG$33,$BO143,$BR143),0)</f>
        <v>0</v>
      </c>
      <c r="CA143" s="759">
        <f>IFERROR(HLOOKUP($BR143,'Early Retirement'!$BH$4:$CH$5,2,FALSE),0)</f>
        <v>0</v>
      </c>
      <c r="CB143" s="598">
        <f t="shared" si="130"/>
        <v>0</v>
      </c>
      <c r="CC143" s="759" t="s">
        <v>567</v>
      </c>
      <c r="CD143" s="477" t="str">
        <f t="shared" si="106"/>
        <v>Yes</v>
      </c>
      <c r="CE143" s="479">
        <f t="shared" si="107"/>
        <v>0</v>
      </c>
      <c r="CF143" s="761">
        <f t="shared" si="108"/>
        <v>0</v>
      </c>
      <c r="CG143" s="759" t="s">
        <v>46</v>
      </c>
      <c r="CH143" s="598">
        <f t="shared" si="131"/>
        <v>0</v>
      </c>
      <c r="CI143" s="759" t="s">
        <v>567</v>
      </c>
      <c r="CJ143" s="480">
        <f t="shared" si="132"/>
        <v>0</v>
      </c>
      <c r="CK143" s="583">
        <f t="shared" si="133"/>
        <v>0</v>
      </c>
      <c r="CL143" s="596" t="s">
        <v>46</v>
      </c>
      <c r="CM143" s="581">
        <f t="shared" si="134"/>
        <v>0</v>
      </c>
      <c r="CN143" s="762" t="s">
        <v>567</v>
      </c>
      <c r="CW143" s="630"/>
      <c r="CX143" s="630"/>
      <c r="CY143" s="630"/>
      <c r="CZ143" s="630"/>
      <c r="DA143" s="630"/>
      <c r="DB143" s="562"/>
      <c r="DC143" s="562"/>
      <c r="DD143" s="562"/>
      <c r="DE143" s="562"/>
      <c r="DF143" s="562"/>
      <c r="DG143" s="562"/>
      <c r="DH143" s="562"/>
      <c r="DI143" s="562"/>
      <c r="DJ143" s="562"/>
      <c r="DK143" s="562"/>
      <c r="DL143" s="562"/>
      <c r="DM143" s="562"/>
      <c r="DN143" s="562"/>
      <c r="DO143" s="562"/>
      <c r="DP143" s="562"/>
      <c r="DQ143" s="562"/>
      <c r="DR143" s="562"/>
      <c r="DS143" s="562"/>
      <c r="DT143" s="562"/>
      <c r="DU143" s="562"/>
      <c r="DV143" s="562"/>
      <c r="DW143" s="562"/>
      <c r="DX143" s="562"/>
      <c r="DY143" s="562"/>
      <c r="DZ143" s="562"/>
      <c r="EA143" s="562"/>
      <c r="EB143" s="562"/>
      <c r="EC143" s="562"/>
      <c r="ED143" s="562"/>
      <c r="EE143" s="562"/>
      <c r="EF143" s="562"/>
      <c r="EG143" s="562"/>
      <c r="EH143" s="562"/>
      <c r="EI143" s="562"/>
      <c r="EJ143" s="562"/>
      <c r="EK143" s="562"/>
      <c r="EL143" s="562"/>
    </row>
    <row r="144" spans="2:142" s="78" customFormat="1" ht="15" customHeight="1" x14ac:dyDescent="0.25">
      <c r="B144" s="77"/>
      <c r="E144" s="77"/>
      <c r="H144" s="77"/>
      <c r="Y144" s="90">
        <v>142</v>
      </c>
      <c r="Z144" s="559" t="str">
        <f>IF(Inventory!$C151="","",VLOOKUP(Inventory!$C151,$B$3:$C$5,2,FALSE))</f>
        <v/>
      </c>
      <c r="AA144" s="559" t="str">
        <f>IF($Z144="","",IF(AND($Z144="b",Inventory!$G151=""),"",IF(AND($Z144="b",Inventory!$G151&lt;&gt;""),VLOOKUP(Inventory!$G151,$E$3:$F$10,2,FALSE),IF(AND($Z144="a",Inventory!$Z151=""),"",IF(AND($Z144="a",Inventory!$Z151&lt;&gt;""),VLOOKUP(Inventory!$Z151,$E$3:$F$10,2,FALSE),IF(AND($Z144="c",Inventory!$Z151=""),"",IF(AND($Z144="c",Inventory!$Z151&lt;&gt;""),VLOOKUP(Inventory!$Z151,$E$3:$F$10,2,FALSE),"")))))))</f>
        <v/>
      </c>
      <c r="AB144" s="559" t="str">
        <f>IF($Z144="","a",IF(AND($Z144="b",Inventory!$J151=""),"a",IF(AND($Z144="b",Inventory!$J151&lt;&gt;""),VLOOKUP(Inventory!$J151,$H$4:$I$6,2,FALSE),IF(AND($Z144="a",Inventory!$AA151=""),"a",IF(AND($Z144="a",Inventory!$AA151&lt;&gt;""),VLOOKUP(Inventory!$AA151,$H$4:$I$6,2,FALSE),IF(AND($Z144="c",Inventory!$AA151=""),"a",IF(AND($Z144="c",Inventory!$AA151&lt;&gt;""),VLOOKUP(Inventory!$AA151,$H$4:$I$6,2,FALSE),"a")))))))</f>
        <v>a</v>
      </c>
      <c r="AC144" s="559" t="str">
        <f t="shared" si="109"/>
        <v>a</v>
      </c>
      <c r="AD144" s="473" t="str">
        <f>IF($Z144="","a",IF(AND($Z144="b",Inventory!$L151=""),"a",IF(AND($Z144="b",Inventory!$L151&lt;&gt;""),VLOOKUP(Inventory!$L151,$N$4:$O$5,2,FALSE),IF(AND($Z144="a",Inventory!$AC151=""),"a",IF(AND($Z144="a",Inventory!$AC151&lt;&gt;""),VLOOKUP(Inventory!$AC151,$N$4:$O$5,2,FALSE),IF(AND($Z144="c",Inventory!$AC151=""),"a",IF(AND($Z144="c",Inventory!$AC151&lt;&gt;""),VLOOKUP(Inventory!$AC151,$N$4:$O$5,2,FALSE),"a")))))))</f>
        <v>a</v>
      </c>
      <c r="AE144" s="474">
        <f>IF(OR(Inventory!C151="New Construction",Inventory!C151="Replace-on-Burnout"),Inventory!AF151,IF(Inventory!C151="Early Retirement",MIN(Inventory!AE151,Inventory!AF151),0))</f>
        <v>0</v>
      </c>
      <c r="AF144" s="475" t="str">
        <f t="shared" si="110"/>
        <v/>
      </c>
      <c r="AG144" s="475" t="str">
        <f t="shared" si="98"/>
        <v/>
      </c>
      <c r="AH144" s="475" t="str">
        <f t="shared" si="99"/>
        <v/>
      </c>
      <c r="AI144" s="475" t="str">
        <f t="shared" si="100"/>
        <v/>
      </c>
      <c r="AJ144" s="475" t="str">
        <f t="shared" si="101"/>
        <v/>
      </c>
      <c r="AK144" s="475" t="str">
        <f t="shared" si="111"/>
        <v/>
      </c>
      <c r="AL144" s="475" t="str">
        <f t="shared" si="112"/>
        <v/>
      </c>
      <c r="AM144" s="475" t="str">
        <f t="shared" si="113"/>
        <v/>
      </c>
      <c r="AN144" s="475" t="str">
        <f t="shared" si="114"/>
        <v/>
      </c>
      <c r="AO144" s="475" t="str">
        <f t="shared" si="115"/>
        <v/>
      </c>
      <c r="AP144" s="475" t="str">
        <f t="shared" si="116"/>
        <v/>
      </c>
      <c r="AQ144" s="475" t="str">
        <f t="shared" si="117"/>
        <v/>
      </c>
      <c r="AR144" s="475" t="str">
        <f t="shared" si="118"/>
        <v/>
      </c>
      <c r="AS144" s="475" t="str">
        <f t="shared" si="119"/>
        <v/>
      </c>
      <c r="AT144" s="475" t="str">
        <f t="shared" si="120"/>
        <v/>
      </c>
      <c r="AU144" s="475" t="str">
        <f t="shared" si="121"/>
        <v/>
      </c>
      <c r="AV144" s="475" t="str">
        <f t="shared" si="102"/>
        <v/>
      </c>
      <c r="AW144" s="473">
        <f t="shared" si="103"/>
        <v>0</v>
      </c>
      <c r="AX144" s="473" t="str">
        <f>IF(AND($Z144="b",OR($AA144="a",$AA144="b"),Inventory!$I151="",$AE144&lt;(65000/12000)),"x",IF(AND($Z144="b",OR($AA144="a",$AA144="b"),Inventory!$I151&lt;&gt;"",$AE144&lt;(65000/12000)),VLOOKUP(Inventory!$I151,$V$4:$W$5,2,FALSE),"x"))</f>
        <v>x</v>
      </c>
      <c r="AY144" s="476" t="str">
        <f t="shared" si="122"/>
        <v>aaa0</v>
      </c>
      <c r="AZ144" s="477" t="str">
        <f t="shared" si="123"/>
        <v>No</v>
      </c>
      <c r="BA144" s="759" t="str">
        <f t="shared" si="124"/>
        <v>No</v>
      </c>
      <c r="BB144" s="477">
        <f>IF($Z144="c",Inventory!$AB151,Inventory!$K151)</f>
        <v>0</v>
      </c>
      <c r="BC144" s="478">
        <f>IF(AND($Z144="b",Inventory!$N151="Btu/hr"),Inventory!$M151,IF(AND($Z144="b",Inventory!$N151="Tons"),Inventory!$M151*12000,IF(AND($Z144&lt;&gt;"b",Inventory!$AK151="Btu/hr"),Inventory!$AD151,IF(AND($Z144&lt;&gt;"b",Inventory!$AK151="Tons"),Inventory!$AD151*12000,0))))</f>
        <v>0</v>
      </c>
      <c r="BD144" s="478">
        <f t="shared" si="95"/>
        <v>0</v>
      </c>
      <c r="BE144" s="479">
        <f t="shared" si="125"/>
        <v>0</v>
      </c>
      <c r="BF144" s="477" t="s">
        <v>50</v>
      </c>
      <c r="BG144" s="479">
        <f t="shared" si="104"/>
        <v>0</v>
      </c>
      <c r="BH144" s="477" t="s">
        <v>46</v>
      </c>
      <c r="BI144" s="760">
        <f>IF(AND($Z144="b",Inventory!$P151="Btu/hr"),Inventory!$O151,IF(AND($Z144="b",Inventory!$P151="Tons"),Inventory!$O151*12000,IF(AND($Z144&lt;&gt;"b",Inventory!$AM151="Btu/hr"),Inventory!$AL151,IF(AND($Z144&lt;&gt;"b",Inventory!$AM151="Tons"),Inventory!$AL151*12000,0))))</f>
        <v>0</v>
      </c>
      <c r="BJ144" s="760">
        <f t="shared" si="96"/>
        <v>0</v>
      </c>
      <c r="BK144" s="598">
        <f t="shared" si="126"/>
        <v>0</v>
      </c>
      <c r="BL144" s="759" t="s">
        <v>567</v>
      </c>
      <c r="BM144" s="477" t="str">
        <f t="shared" si="105"/>
        <v>No</v>
      </c>
      <c r="BN144" s="477" t="str">
        <f>IF(OR(Inventory!$H151="",$BM144="No"),"-",Inventory!$H151)</f>
        <v>-</v>
      </c>
      <c r="BO144" s="477" t="str">
        <f>IFERROR(VLOOKUP(BN144,'Early Retirement'!$B$6:$C$33,2,FALSE),"-")</f>
        <v>-</v>
      </c>
      <c r="BP144" s="477" t="str">
        <f>IF(Inventory!$J151="Centrifugal","Yes","No")</f>
        <v>No</v>
      </c>
      <c r="BQ144" s="477">
        <f t="shared" si="127"/>
        <v>0</v>
      </c>
      <c r="BR144" s="477" t="str">
        <f t="shared" si="128"/>
        <v>-</v>
      </c>
      <c r="BS144" s="479">
        <f>IFERROR(INDEX('Early Retirement'!$C$4:$AC$33,$BO144,$BR144),0)</f>
        <v>0</v>
      </c>
      <c r="BT144" s="477">
        <f>IFERROR(HLOOKUP($BR144,'Early Retirement'!$D$4:$AC$5,2,FALSE),0)</f>
        <v>0</v>
      </c>
      <c r="BU144" s="761">
        <f>IFERROR(INDEX('Early Retirement'!$AE$4:$BE$33,$BO144,$BR144),0)</f>
        <v>0</v>
      </c>
      <c r="BV144" s="759">
        <f>IFERROR(HLOOKUP($BR144,'Early Retirement'!$AF$4:$BE$5,2,FALSE),0)</f>
        <v>0</v>
      </c>
      <c r="BW144" s="479">
        <f t="shared" si="135"/>
        <v>0</v>
      </c>
      <c r="BX144" s="761">
        <f t="shared" si="129"/>
        <v>0</v>
      </c>
      <c r="BY144" s="477" t="s">
        <v>46</v>
      </c>
      <c r="BZ144" s="598">
        <f>IFERROR(INDEX('Early Retirement'!$BG$4:$CG$33,$BO144,$BR144),0)</f>
        <v>0</v>
      </c>
      <c r="CA144" s="759">
        <f>IFERROR(HLOOKUP($BR144,'Early Retirement'!$BH$4:$CH$5,2,FALSE),0)</f>
        <v>0</v>
      </c>
      <c r="CB144" s="598">
        <f t="shared" si="130"/>
        <v>0</v>
      </c>
      <c r="CC144" s="759" t="s">
        <v>567</v>
      </c>
      <c r="CD144" s="477" t="str">
        <f t="shared" si="106"/>
        <v>Yes</v>
      </c>
      <c r="CE144" s="479">
        <f t="shared" si="107"/>
        <v>0</v>
      </c>
      <c r="CF144" s="761">
        <f t="shared" si="108"/>
        <v>0</v>
      </c>
      <c r="CG144" s="759" t="s">
        <v>46</v>
      </c>
      <c r="CH144" s="598">
        <f t="shared" si="131"/>
        <v>0</v>
      </c>
      <c r="CI144" s="759" t="s">
        <v>567</v>
      </c>
      <c r="CJ144" s="480">
        <f t="shared" si="132"/>
        <v>0</v>
      </c>
      <c r="CK144" s="583">
        <f t="shared" si="133"/>
        <v>0</v>
      </c>
      <c r="CL144" s="596" t="s">
        <v>46</v>
      </c>
      <c r="CM144" s="581">
        <f t="shared" si="134"/>
        <v>0</v>
      </c>
      <c r="CN144" s="762" t="s">
        <v>567</v>
      </c>
      <c r="CW144" s="630"/>
      <c r="CX144" s="630"/>
      <c r="CY144" s="630"/>
      <c r="CZ144" s="630"/>
      <c r="DA144" s="630"/>
      <c r="DB144" s="562"/>
      <c r="DC144" s="562"/>
      <c r="DD144" s="562"/>
      <c r="DE144" s="562"/>
      <c r="DF144" s="562"/>
      <c r="DG144" s="562"/>
      <c r="DH144" s="562"/>
      <c r="DI144" s="562"/>
      <c r="DJ144" s="562"/>
      <c r="DK144" s="562"/>
      <c r="DL144" s="562"/>
      <c r="DM144" s="562"/>
      <c r="DN144" s="562"/>
      <c r="DO144" s="562"/>
      <c r="DP144" s="562"/>
      <c r="DQ144" s="562"/>
      <c r="DR144" s="562"/>
      <c r="DS144" s="562"/>
      <c r="DT144" s="562"/>
      <c r="DU144" s="562"/>
      <c r="DV144" s="562"/>
      <c r="DW144" s="562"/>
      <c r="DX144" s="562"/>
      <c r="DY144" s="562"/>
      <c r="DZ144" s="562"/>
      <c r="EA144" s="562"/>
      <c r="EB144" s="562"/>
      <c r="EC144" s="562"/>
      <c r="ED144" s="562"/>
      <c r="EE144" s="562"/>
      <c r="EF144" s="562"/>
      <c r="EG144" s="562"/>
      <c r="EH144" s="562"/>
      <c r="EI144" s="562"/>
      <c r="EJ144" s="562"/>
      <c r="EK144" s="562"/>
      <c r="EL144" s="562"/>
    </row>
    <row r="145" spans="2:142" s="78" customFormat="1" ht="15" customHeight="1" x14ac:dyDescent="0.25">
      <c r="B145" s="77"/>
      <c r="E145" s="77"/>
      <c r="H145" s="77"/>
      <c r="Y145" s="90">
        <v>143</v>
      </c>
      <c r="Z145" s="559" t="str">
        <f>IF(Inventory!$C152="","",VLOOKUP(Inventory!$C152,$B$3:$C$5,2,FALSE))</f>
        <v/>
      </c>
      <c r="AA145" s="559" t="str">
        <f>IF($Z145="","",IF(AND($Z145="b",Inventory!$G152=""),"",IF(AND($Z145="b",Inventory!$G152&lt;&gt;""),VLOOKUP(Inventory!$G152,$E$3:$F$10,2,FALSE),IF(AND($Z145="a",Inventory!$Z152=""),"",IF(AND($Z145="a",Inventory!$Z152&lt;&gt;""),VLOOKUP(Inventory!$Z152,$E$3:$F$10,2,FALSE),IF(AND($Z145="c",Inventory!$Z152=""),"",IF(AND($Z145="c",Inventory!$Z152&lt;&gt;""),VLOOKUP(Inventory!$Z152,$E$3:$F$10,2,FALSE),"")))))))</f>
        <v/>
      </c>
      <c r="AB145" s="559" t="str">
        <f>IF($Z145="","a",IF(AND($Z145="b",Inventory!$J152=""),"a",IF(AND($Z145="b",Inventory!$J152&lt;&gt;""),VLOOKUP(Inventory!$J152,$H$4:$I$6,2,FALSE),IF(AND($Z145="a",Inventory!$AA152=""),"a",IF(AND($Z145="a",Inventory!$AA152&lt;&gt;""),VLOOKUP(Inventory!$AA152,$H$4:$I$6,2,FALSE),IF(AND($Z145="c",Inventory!$AA152=""),"a",IF(AND($Z145="c",Inventory!$AA152&lt;&gt;""),VLOOKUP(Inventory!$AA152,$H$4:$I$6,2,FALSE),"a")))))))</f>
        <v>a</v>
      </c>
      <c r="AC145" s="559" t="str">
        <f t="shared" si="109"/>
        <v>a</v>
      </c>
      <c r="AD145" s="473" t="str">
        <f>IF($Z145="","a",IF(AND($Z145="b",Inventory!$L152=""),"a",IF(AND($Z145="b",Inventory!$L152&lt;&gt;""),VLOOKUP(Inventory!$L152,$N$4:$O$5,2,FALSE),IF(AND($Z145="a",Inventory!$AC152=""),"a",IF(AND($Z145="a",Inventory!$AC152&lt;&gt;""),VLOOKUP(Inventory!$AC152,$N$4:$O$5,2,FALSE),IF(AND($Z145="c",Inventory!$AC152=""),"a",IF(AND($Z145="c",Inventory!$AC152&lt;&gt;""),VLOOKUP(Inventory!$AC152,$N$4:$O$5,2,FALSE),"a")))))))</f>
        <v>a</v>
      </c>
      <c r="AE145" s="474">
        <f>IF(OR(Inventory!C152="New Construction",Inventory!C152="Replace-on-Burnout"),Inventory!AF152,IF(Inventory!C152="Early Retirement",MIN(Inventory!AE152,Inventory!AF152),0))</f>
        <v>0</v>
      </c>
      <c r="AF145" s="475" t="str">
        <f t="shared" si="110"/>
        <v/>
      </c>
      <c r="AG145" s="475" t="str">
        <f t="shared" si="98"/>
        <v/>
      </c>
      <c r="AH145" s="475" t="str">
        <f t="shared" si="99"/>
        <v/>
      </c>
      <c r="AI145" s="475" t="str">
        <f t="shared" si="100"/>
        <v/>
      </c>
      <c r="AJ145" s="475" t="str">
        <f t="shared" si="101"/>
        <v/>
      </c>
      <c r="AK145" s="475" t="str">
        <f t="shared" si="111"/>
        <v/>
      </c>
      <c r="AL145" s="475" t="str">
        <f t="shared" si="112"/>
        <v/>
      </c>
      <c r="AM145" s="475" t="str">
        <f t="shared" si="113"/>
        <v/>
      </c>
      <c r="AN145" s="475" t="str">
        <f t="shared" si="114"/>
        <v/>
      </c>
      <c r="AO145" s="475" t="str">
        <f t="shared" si="115"/>
        <v/>
      </c>
      <c r="AP145" s="475" t="str">
        <f t="shared" si="116"/>
        <v/>
      </c>
      <c r="AQ145" s="475" t="str">
        <f t="shared" si="117"/>
        <v/>
      </c>
      <c r="AR145" s="475" t="str">
        <f t="shared" si="118"/>
        <v/>
      </c>
      <c r="AS145" s="475" t="str">
        <f t="shared" si="119"/>
        <v/>
      </c>
      <c r="AT145" s="475" t="str">
        <f t="shared" si="120"/>
        <v/>
      </c>
      <c r="AU145" s="475" t="str">
        <f t="shared" si="121"/>
        <v/>
      </c>
      <c r="AV145" s="475" t="str">
        <f t="shared" si="102"/>
        <v/>
      </c>
      <c r="AW145" s="473">
        <f t="shared" si="103"/>
        <v>0</v>
      </c>
      <c r="AX145" s="473" t="str">
        <f>IF(AND($Z145="b",OR($AA145="a",$AA145="b"),Inventory!$I152="",$AE145&lt;(65000/12000)),"x",IF(AND($Z145="b",OR($AA145="a",$AA145="b"),Inventory!$I152&lt;&gt;"",$AE145&lt;(65000/12000)),VLOOKUP(Inventory!$I152,$V$4:$W$5,2,FALSE),"x"))</f>
        <v>x</v>
      </c>
      <c r="AY145" s="476" t="str">
        <f t="shared" si="122"/>
        <v>aaa0</v>
      </c>
      <c r="AZ145" s="477" t="str">
        <f t="shared" si="123"/>
        <v>No</v>
      </c>
      <c r="BA145" s="759" t="str">
        <f t="shared" si="124"/>
        <v>No</v>
      </c>
      <c r="BB145" s="477">
        <f>IF($Z145="c",Inventory!$AB152,Inventory!$K152)</f>
        <v>0</v>
      </c>
      <c r="BC145" s="478">
        <f>IF(AND($Z145="b",Inventory!$N152="Btu/hr"),Inventory!$M152,IF(AND($Z145="b",Inventory!$N152="Tons"),Inventory!$M152*12000,IF(AND($Z145&lt;&gt;"b",Inventory!$AK152="Btu/hr"),Inventory!$AD152,IF(AND($Z145&lt;&gt;"b",Inventory!$AK152="Tons"),Inventory!$AD152*12000,0))))</f>
        <v>0</v>
      </c>
      <c r="BD145" s="478">
        <f t="shared" si="95"/>
        <v>0</v>
      </c>
      <c r="BE145" s="479">
        <f t="shared" si="125"/>
        <v>0</v>
      </c>
      <c r="BF145" s="477" t="s">
        <v>50</v>
      </c>
      <c r="BG145" s="479">
        <f t="shared" si="104"/>
        <v>0</v>
      </c>
      <c r="BH145" s="477" t="s">
        <v>46</v>
      </c>
      <c r="BI145" s="760">
        <f>IF(AND($Z145="b",Inventory!$P152="Btu/hr"),Inventory!$O152,IF(AND($Z145="b",Inventory!$P152="Tons"),Inventory!$O152*12000,IF(AND($Z145&lt;&gt;"b",Inventory!$AM152="Btu/hr"),Inventory!$AL152,IF(AND($Z145&lt;&gt;"b",Inventory!$AM152="Tons"),Inventory!$AL152*12000,0))))</f>
        <v>0</v>
      </c>
      <c r="BJ145" s="760">
        <f t="shared" si="96"/>
        <v>0</v>
      </c>
      <c r="BK145" s="598">
        <f t="shared" si="126"/>
        <v>0</v>
      </c>
      <c r="BL145" s="759" t="s">
        <v>567</v>
      </c>
      <c r="BM145" s="477" t="str">
        <f t="shared" si="105"/>
        <v>No</v>
      </c>
      <c r="BN145" s="477" t="str">
        <f>IF(OR(Inventory!$H152="",$BM145="No"),"-",Inventory!$H152)</f>
        <v>-</v>
      </c>
      <c r="BO145" s="477" t="str">
        <f>IFERROR(VLOOKUP(BN145,'Early Retirement'!$B$6:$C$33,2,FALSE),"-")</f>
        <v>-</v>
      </c>
      <c r="BP145" s="477" t="str">
        <f>IF(Inventory!$J152="Centrifugal","Yes","No")</f>
        <v>No</v>
      </c>
      <c r="BQ145" s="477">
        <f t="shared" si="127"/>
        <v>0</v>
      </c>
      <c r="BR145" s="477" t="str">
        <f t="shared" si="128"/>
        <v>-</v>
      </c>
      <c r="BS145" s="479">
        <f>IFERROR(INDEX('Early Retirement'!$C$4:$AC$33,$BO145,$BR145),0)</f>
        <v>0</v>
      </c>
      <c r="BT145" s="477">
        <f>IFERROR(HLOOKUP($BR145,'Early Retirement'!$D$4:$AC$5,2,FALSE),0)</f>
        <v>0</v>
      </c>
      <c r="BU145" s="761">
        <f>IFERROR(INDEX('Early Retirement'!$AE$4:$BE$33,$BO145,$BR145),0)</f>
        <v>0</v>
      </c>
      <c r="BV145" s="759">
        <f>IFERROR(HLOOKUP($BR145,'Early Retirement'!$AF$4:$BE$5,2,FALSE),0)</f>
        <v>0</v>
      </c>
      <c r="BW145" s="479">
        <f t="shared" si="135"/>
        <v>0</v>
      </c>
      <c r="BX145" s="761">
        <f t="shared" si="129"/>
        <v>0</v>
      </c>
      <c r="BY145" s="477" t="s">
        <v>46</v>
      </c>
      <c r="BZ145" s="598">
        <f>IFERROR(INDEX('Early Retirement'!$BG$4:$CG$33,$BO145,$BR145),0)</f>
        <v>0</v>
      </c>
      <c r="CA145" s="759">
        <f>IFERROR(HLOOKUP($BR145,'Early Retirement'!$BH$4:$CH$5,2,FALSE),0)</f>
        <v>0</v>
      </c>
      <c r="CB145" s="598">
        <f t="shared" si="130"/>
        <v>0</v>
      </c>
      <c r="CC145" s="759" t="s">
        <v>567</v>
      </c>
      <c r="CD145" s="477" t="str">
        <f t="shared" si="106"/>
        <v>Yes</v>
      </c>
      <c r="CE145" s="479">
        <f t="shared" si="107"/>
        <v>0</v>
      </c>
      <c r="CF145" s="761">
        <f t="shared" si="108"/>
        <v>0</v>
      </c>
      <c r="CG145" s="759" t="s">
        <v>46</v>
      </c>
      <c r="CH145" s="598">
        <f t="shared" si="131"/>
        <v>0</v>
      </c>
      <c r="CI145" s="759" t="s">
        <v>567</v>
      </c>
      <c r="CJ145" s="480">
        <f t="shared" si="132"/>
        <v>0</v>
      </c>
      <c r="CK145" s="583">
        <f t="shared" si="133"/>
        <v>0</v>
      </c>
      <c r="CL145" s="596" t="s">
        <v>46</v>
      </c>
      <c r="CM145" s="581">
        <f t="shared" si="134"/>
        <v>0</v>
      </c>
      <c r="CN145" s="762" t="s">
        <v>567</v>
      </c>
      <c r="CW145" s="630"/>
      <c r="CX145" s="630"/>
      <c r="CY145" s="630"/>
      <c r="CZ145" s="630"/>
      <c r="DA145" s="630"/>
      <c r="DB145" s="562"/>
      <c r="DC145" s="562"/>
      <c r="DD145" s="562"/>
      <c r="DE145" s="562"/>
      <c r="DF145" s="562"/>
      <c r="DG145" s="562"/>
      <c r="DH145" s="562"/>
      <c r="DI145" s="562"/>
      <c r="DJ145" s="562"/>
      <c r="DK145" s="562"/>
      <c r="DL145" s="562"/>
      <c r="DM145" s="562"/>
      <c r="DN145" s="562"/>
      <c r="DO145" s="562"/>
      <c r="DP145" s="562"/>
      <c r="DQ145" s="562"/>
      <c r="DR145" s="562"/>
      <c r="DS145" s="562"/>
      <c r="DT145" s="562"/>
      <c r="DU145" s="562"/>
      <c r="DV145" s="562"/>
      <c r="DW145" s="562"/>
      <c r="DX145" s="562"/>
      <c r="DY145" s="562"/>
      <c r="DZ145" s="562"/>
      <c r="EA145" s="562"/>
      <c r="EB145" s="562"/>
      <c r="EC145" s="562"/>
      <c r="ED145" s="562"/>
      <c r="EE145" s="562"/>
      <c r="EF145" s="562"/>
      <c r="EG145" s="562"/>
      <c r="EH145" s="562"/>
      <c r="EI145" s="562"/>
      <c r="EJ145" s="562"/>
      <c r="EK145" s="562"/>
      <c r="EL145" s="562"/>
    </row>
    <row r="146" spans="2:142" s="78" customFormat="1" ht="15" customHeight="1" x14ac:dyDescent="0.25">
      <c r="B146" s="77"/>
      <c r="E146" s="77"/>
      <c r="H146" s="77"/>
      <c r="Y146" s="90">
        <v>144</v>
      </c>
      <c r="Z146" s="559" t="str">
        <f>IF(Inventory!$C153="","",VLOOKUP(Inventory!$C153,$B$3:$C$5,2,FALSE))</f>
        <v/>
      </c>
      <c r="AA146" s="559" t="str">
        <f>IF($Z146="","",IF(AND($Z146="b",Inventory!$G153=""),"",IF(AND($Z146="b",Inventory!$G153&lt;&gt;""),VLOOKUP(Inventory!$G153,$E$3:$F$10,2,FALSE),IF(AND($Z146="a",Inventory!$Z153=""),"",IF(AND($Z146="a",Inventory!$Z153&lt;&gt;""),VLOOKUP(Inventory!$Z153,$E$3:$F$10,2,FALSE),IF(AND($Z146="c",Inventory!$Z153=""),"",IF(AND($Z146="c",Inventory!$Z153&lt;&gt;""),VLOOKUP(Inventory!$Z153,$E$3:$F$10,2,FALSE),"")))))))</f>
        <v/>
      </c>
      <c r="AB146" s="559" t="str">
        <f>IF($Z146="","a",IF(AND($Z146="b",Inventory!$J153=""),"a",IF(AND($Z146="b",Inventory!$J153&lt;&gt;""),VLOOKUP(Inventory!$J153,$H$4:$I$6,2,FALSE),IF(AND($Z146="a",Inventory!$AA153=""),"a",IF(AND($Z146="a",Inventory!$AA153&lt;&gt;""),VLOOKUP(Inventory!$AA153,$H$4:$I$6,2,FALSE),IF(AND($Z146="c",Inventory!$AA153=""),"a",IF(AND($Z146="c",Inventory!$AA153&lt;&gt;""),VLOOKUP(Inventory!$AA153,$H$4:$I$6,2,FALSE),"a")))))))</f>
        <v>a</v>
      </c>
      <c r="AC146" s="559" t="str">
        <f t="shared" si="109"/>
        <v>a</v>
      </c>
      <c r="AD146" s="473" t="str">
        <f>IF($Z146="","a",IF(AND($Z146="b",Inventory!$L153=""),"a",IF(AND($Z146="b",Inventory!$L153&lt;&gt;""),VLOOKUP(Inventory!$L153,$N$4:$O$5,2,FALSE),IF(AND($Z146="a",Inventory!$AC153=""),"a",IF(AND($Z146="a",Inventory!$AC153&lt;&gt;""),VLOOKUP(Inventory!$AC153,$N$4:$O$5,2,FALSE),IF(AND($Z146="c",Inventory!$AC153=""),"a",IF(AND($Z146="c",Inventory!$AC153&lt;&gt;""),VLOOKUP(Inventory!$AC153,$N$4:$O$5,2,FALSE),"a")))))))</f>
        <v>a</v>
      </c>
      <c r="AE146" s="474">
        <f>IF(OR(Inventory!C153="New Construction",Inventory!C153="Replace-on-Burnout"),Inventory!AF153,IF(Inventory!C153="Early Retirement",MIN(Inventory!AE153,Inventory!AF153),0))</f>
        <v>0</v>
      </c>
      <c r="AF146" s="475" t="str">
        <f t="shared" si="110"/>
        <v/>
      </c>
      <c r="AG146" s="475" t="str">
        <f t="shared" si="98"/>
        <v/>
      </c>
      <c r="AH146" s="475" t="str">
        <f t="shared" si="99"/>
        <v/>
      </c>
      <c r="AI146" s="475" t="str">
        <f t="shared" si="100"/>
        <v/>
      </c>
      <c r="AJ146" s="475" t="str">
        <f t="shared" si="101"/>
        <v/>
      </c>
      <c r="AK146" s="475" t="str">
        <f t="shared" si="111"/>
        <v/>
      </c>
      <c r="AL146" s="475" t="str">
        <f t="shared" si="112"/>
        <v/>
      </c>
      <c r="AM146" s="475" t="str">
        <f t="shared" si="113"/>
        <v/>
      </c>
      <c r="AN146" s="475" t="str">
        <f t="shared" si="114"/>
        <v/>
      </c>
      <c r="AO146" s="475" t="str">
        <f t="shared" si="115"/>
        <v/>
      </c>
      <c r="AP146" s="475" t="str">
        <f t="shared" si="116"/>
        <v/>
      </c>
      <c r="AQ146" s="475" t="str">
        <f t="shared" si="117"/>
        <v/>
      </c>
      <c r="AR146" s="475" t="str">
        <f t="shared" si="118"/>
        <v/>
      </c>
      <c r="AS146" s="475" t="str">
        <f t="shared" si="119"/>
        <v/>
      </c>
      <c r="AT146" s="475" t="str">
        <f t="shared" si="120"/>
        <v/>
      </c>
      <c r="AU146" s="475" t="str">
        <f t="shared" si="121"/>
        <v/>
      </c>
      <c r="AV146" s="475" t="str">
        <f t="shared" si="102"/>
        <v/>
      </c>
      <c r="AW146" s="473">
        <f t="shared" si="103"/>
        <v>0</v>
      </c>
      <c r="AX146" s="473" t="str">
        <f>IF(AND($Z146="b",OR($AA146="a",$AA146="b"),Inventory!$I153="",$AE146&lt;(65000/12000)),"x",IF(AND($Z146="b",OR($AA146="a",$AA146="b"),Inventory!$I153&lt;&gt;"",$AE146&lt;(65000/12000)),VLOOKUP(Inventory!$I153,$V$4:$W$5,2,FALSE),"x"))</f>
        <v>x</v>
      </c>
      <c r="AY146" s="476" t="str">
        <f t="shared" si="122"/>
        <v>aaa0</v>
      </c>
      <c r="AZ146" s="477" t="str">
        <f t="shared" si="123"/>
        <v>No</v>
      </c>
      <c r="BA146" s="759" t="str">
        <f t="shared" si="124"/>
        <v>No</v>
      </c>
      <c r="BB146" s="477">
        <f>IF($Z146="c",Inventory!$AB153,Inventory!$K153)</f>
        <v>0</v>
      </c>
      <c r="BC146" s="478">
        <f>IF(AND($Z146="b",Inventory!$N153="Btu/hr"),Inventory!$M153,IF(AND($Z146="b",Inventory!$N153="Tons"),Inventory!$M153*12000,IF(AND($Z146&lt;&gt;"b",Inventory!$AK153="Btu/hr"),Inventory!$AD153,IF(AND($Z146&lt;&gt;"b",Inventory!$AK153="Tons"),Inventory!$AD153*12000,0))))</f>
        <v>0</v>
      </c>
      <c r="BD146" s="478">
        <f t="shared" si="95"/>
        <v>0</v>
      </c>
      <c r="BE146" s="479">
        <f t="shared" si="125"/>
        <v>0</v>
      </c>
      <c r="BF146" s="477" t="s">
        <v>50</v>
      </c>
      <c r="BG146" s="479">
        <f t="shared" si="104"/>
        <v>0</v>
      </c>
      <c r="BH146" s="477" t="s">
        <v>46</v>
      </c>
      <c r="BI146" s="760">
        <f>IF(AND($Z146="b",Inventory!$P153="Btu/hr"),Inventory!$O153,IF(AND($Z146="b",Inventory!$P153="Tons"),Inventory!$O153*12000,IF(AND($Z146&lt;&gt;"b",Inventory!$AM153="Btu/hr"),Inventory!$AL153,IF(AND($Z146&lt;&gt;"b",Inventory!$AM153="Tons"),Inventory!$AL153*12000,0))))</f>
        <v>0</v>
      </c>
      <c r="BJ146" s="760">
        <f t="shared" si="96"/>
        <v>0</v>
      </c>
      <c r="BK146" s="598">
        <f t="shared" si="126"/>
        <v>0</v>
      </c>
      <c r="BL146" s="759" t="s">
        <v>567</v>
      </c>
      <c r="BM146" s="477" t="str">
        <f t="shared" si="105"/>
        <v>No</v>
      </c>
      <c r="BN146" s="477" t="str">
        <f>IF(OR(Inventory!$H153="",$BM146="No"),"-",Inventory!$H153)</f>
        <v>-</v>
      </c>
      <c r="BO146" s="477" t="str">
        <f>IFERROR(VLOOKUP(BN146,'Early Retirement'!$B$6:$C$33,2,FALSE),"-")</f>
        <v>-</v>
      </c>
      <c r="BP146" s="477" t="str">
        <f>IF(Inventory!$J153="Centrifugal","Yes","No")</f>
        <v>No</v>
      </c>
      <c r="BQ146" s="477">
        <f t="shared" si="127"/>
        <v>0</v>
      </c>
      <c r="BR146" s="477" t="str">
        <f t="shared" si="128"/>
        <v>-</v>
      </c>
      <c r="BS146" s="479">
        <f>IFERROR(INDEX('Early Retirement'!$C$4:$AC$33,$BO146,$BR146),0)</f>
        <v>0</v>
      </c>
      <c r="BT146" s="477">
        <f>IFERROR(HLOOKUP($BR146,'Early Retirement'!$D$4:$AC$5,2,FALSE),0)</f>
        <v>0</v>
      </c>
      <c r="BU146" s="761">
        <f>IFERROR(INDEX('Early Retirement'!$AE$4:$BE$33,$BO146,$BR146),0)</f>
        <v>0</v>
      </c>
      <c r="BV146" s="759">
        <f>IFERROR(HLOOKUP($BR146,'Early Retirement'!$AF$4:$BE$5,2,FALSE),0)</f>
        <v>0</v>
      </c>
      <c r="BW146" s="479">
        <f t="shared" si="135"/>
        <v>0</v>
      </c>
      <c r="BX146" s="761">
        <f t="shared" si="129"/>
        <v>0</v>
      </c>
      <c r="BY146" s="477" t="s">
        <v>46</v>
      </c>
      <c r="BZ146" s="598">
        <f>IFERROR(INDEX('Early Retirement'!$BG$4:$CG$33,$BO146,$BR146),0)</f>
        <v>0</v>
      </c>
      <c r="CA146" s="759">
        <f>IFERROR(HLOOKUP($BR146,'Early Retirement'!$BH$4:$CH$5,2,FALSE),0)</f>
        <v>0</v>
      </c>
      <c r="CB146" s="598">
        <f t="shared" si="130"/>
        <v>0</v>
      </c>
      <c r="CC146" s="759" t="s">
        <v>567</v>
      </c>
      <c r="CD146" s="477" t="str">
        <f t="shared" si="106"/>
        <v>Yes</v>
      </c>
      <c r="CE146" s="479">
        <f t="shared" si="107"/>
        <v>0</v>
      </c>
      <c r="CF146" s="761">
        <f t="shared" si="108"/>
        <v>0</v>
      </c>
      <c r="CG146" s="759" t="s">
        <v>46</v>
      </c>
      <c r="CH146" s="598">
        <f t="shared" si="131"/>
        <v>0</v>
      </c>
      <c r="CI146" s="759" t="s">
        <v>567</v>
      </c>
      <c r="CJ146" s="480">
        <f t="shared" si="132"/>
        <v>0</v>
      </c>
      <c r="CK146" s="583">
        <f t="shared" si="133"/>
        <v>0</v>
      </c>
      <c r="CL146" s="596" t="s">
        <v>46</v>
      </c>
      <c r="CM146" s="581">
        <f t="shared" si="134"/>
        <v>0</v>
      </c>
      <c r="CN146" s="762" t="s">
        <v>567</v>
      </c>
      <c r="CW146" s="630"/>
      <c r="CX146" s="630"/>
      <c r="CY146" s="630"/>
      <c r="CZ146" s="630"/>
      <c r="DA146" s="630"/>
      <c r="DB146" s="562"/>
      <c r="DC146" s="562"/>
      <c r="DD146" s="562"/>
      <c r="DE146" s="562"/>
      <c r="DF146" s="562"/>
      <c r="DG146" s="562"/>
      <c r="DH146" s="562"/>
      <c r="DI146" s="562"/>
      <c r="DJ146" s="562"/>
      <c r="DK146" s="562"/>
      <c r="DL146" s="562"/>
      <c r="DM146" s="562"/>
      <c r="DN146" s="562"/>
      <c r="DO146" s="562"/>
      <c r="DP146" s="562"/>
      <c r="DQ146" s="562"/>
      <c r="DR146" s="562"/>
      <c r="DS146" s="562"/>
      <c r="DT146" s="562"/>
      <c r="DU146" s="562"/>
      <c r="DV146" s="562"/>
      <c r="DW146" s="562"/>
      <c r="DX146" s="562"/>
      <c r="DY146" s="562"/>
      <c r="DZ146" s="562"/>
      <c r="EA146" s="562"/>
      <c r="EB146" s="562"/>
      <c r="EC146" s="562"/>
      <c r="ED146" s="562"/>
      <c r="EE146" s="562"/>
      <c r="EF146" s="562"/>
      <c r="EG146" s="562"/>
      <c r="EH146" s="562"/>
      <c r="EI146" s="562"/>
      <c r="EJ146" s="562"/>
      <c r="EK146" s="562"/>
      <c r="EL146" s="562"/>
    </row>
    <row r="147" spans="2:142" s="78" customFormat="1" ht="15" customHeight="1" x14ac:dyDescent="0.25">
      <c r="B147" s="77"/>
      <c r="E147" s="77"/>
      <c r="H147" s="77"/>
      <c r="Y147" s="90">
        <v>145</v>
      </c>
      <c r="Z147" s="559" t="str">
        <f>IF(Inventory!$C154="","",VLOOKUP(Inventory!$C154,$B$3:$C$5,2,FALSE))</f>
        <v/>
      </c>
      <c r="AA147" s="559" t="str">
        <f>IF($Z147="","",IF(AND($Z147="b",Inventory!$G154=""),"",IF(AND($Z147="b",Inventory!$G154&lt;&gt;""),VLOOKUP(Inventory!$G154,$E$3:$F$10,2,FALSE),IF(AND($Z147="a",Inventory!$Z154=""),"",IF(AND($Z147="a",Inventory!$Z154&lt;&gt;""),VLOOKUP(Inventory!$Z154,$E$3:$F$10,2,FALSE),IF(AND($Z147="c",Inventory!$Z154=""),"",IF(AND($Z147="c",Inventory!$Z154&lt;&gt;""),VLOOKUP(Inventory!$Z154,$E$3:$F$10,2,FALSE),"")))))))</f>
        <v/>
      </c>
      <c r="AB147" s="559" t="str">
        <f>IF($Z147="","a",IF(AND($Z147="b",Inventory!$J154=""),"a",IF(AND($Z147="b",Inventory!$J154&lt;&gt;""),VLOOKUP(Inventory!$J154,$H$4:$I$6,2,FALSE),IF(AND($Z147="a",Inventory!$AA154=""),"a",IF(AND($Z147="a",Inventory!$AA154&lt;&gt;""),VLOOKUP(Inventory!$AA154,$H$4:$I$6,2,FALSE),IF(AND($Z147="c",Inventory!$AA154=""),"a",IF(AND($Z147="c",Inventory!$AA154&lt;&gt;""),VLOOKUP(Inventory!$AA154,$H$4:$I$6,2,FALSE),"a")))))))</f>
        <v>a</v>
      </c>
      <c r="AC147" s="559" t="str">
        <f t="shared" si="109"/>
        <v>a</v>
      </c>
      <c r="AD147" s="473" t="str">
        <f>IF($Z147="","a",IF(AND($Z147="b",Inventory!$L154=""),"a",IF(AND($Z147="b",Inventory!$L154&lt;&gt;""),VLOOKUP(Inventory!$L154,$N$4:$O$5,2,FALSE),IF(AND($Z147="a",Inventory!$AC154=""),"a",IF(AND($Z147="a",Inventory!$AC154&lt;&gt;""),VLOOKUP(Inventory!$AC154,$N$4:$O$5,2,FALSE),IF(AND($Z147="c",Inventory!$AC154=""),"a",IF(AND($Z147="c",Inventory!$AC154&lt;&gt;""),VLOOKUP(Inventory!$AC154,$N$4:$O$5,2,FALSE),"a")))))))</f>
        <v>a</v>
      </c>
      <c r="AE147" s="474">
        <f>IF(OR(Inventory!C154="New Construction",Inventory!C154="Replace-on-Burnout"),Inventory!AF154,IF(Inventory!C154="Early Retirement",MIN(Inventory!AE154,Inventory!AF154),0))</f>
        <v>0</v>
      </c>
      <c r="AF147" s="475" t="str">
        <f t="shared" si="110"/>
        <v/>
      </c>
      <c r="AG147" s="475" t="str">
        <f t="shared" si="98"/>
        <v/>
      </c>
      <c r="AH147" s="475" t="str">
        <f t="shared" si="99"/>
        <v/>
      </c>
      <c r="AI147" s="475" t="str">
        <f t="shared" si="100"/>
        <v/>
      </c>
      <c r="AJ147" s="475" t="str">
        <f t="shared" si="101"/>
        <v/>
      </c>
      <c r="AK147" s="475" t="str">
        <f t="shared" si="111"/>
        <v/>
      </c>
      <c r="AL147" s="475" t="str">
        <f t="shared" si="112"/>
        <v/>
      </c>
      <c r="AM147" s="475" t="str">
        <f t="shared" si="113"/>
        <v/>
      </c>
      <c r="AN147" s="475" t="str">
        <f t="shared" si="114"/>
        <v/>
      </c>
      <c r="AO147" s="475" t="str">
        <f t="shared" si="115"/>
        <v/>
      </c>
      <c r="AP147" s="475" t="str">
        <f t="shared" si="116"/>
        <v/>
      </c>
      <c r="AQ147" s="475" t="str">
        <f t="shared" si="117"/>
        <v/>
      </c>
      <c r="AR147" s="475" t="str">
        <f t="shared" si="118"/>
        <v/>
      </c>
      <c r="AS147" s="475" t="str">
        <f t="shared" si="119"/>
        <v/>
      </c>
      <c r="AT147" s="475" t="str">
        <f t="shared" si="120"/>
        <v/>
      </c>
      <c r="AU147" s="475" t="str">
        <f t="shared" si="121"/>
        <v/>
      </c>
      <c r="AV147" s="475" t="str">
        <f t="shared" si="102"/>
        <v/>
      </c>
      <c r="AW147" s="473">
        <f t="shared" si="103"/>
        <v>0</v>
      </c>
      <c r="AX147" s="473" t="str">
        <f>IF(AND($Z147="b",OR($AA147="a",$AA147="b"),Inventory!$I154="",$AE147&lt;(65000/12000)),"x",IF(AND($Z147="b",OR($AA147="a",$AA147="b"),Inventory!$I154&lt;&gt;"",$AE147&lt;(65000/12000)),VLOOKUP(Inventory!$I154,$V$4:$W$5,2,FALSE),"x"))</f>
        <v>x</v>
      </c>
      <c r="AY147" s="476" t="str">
        <f t="shared" si="122"/>
        <v>aaa0</v>
      </c>
      <c r="AZ147" s="477" t="str">
        <f t="shared" si="123"/>
        <v>No</v>
      </c>
      <c r="BA147" s="759" t="str">
        <f t="shared" si="124"/>
        <v>No</v>
      </c>
      <c r="BB147" s="477">
        <f>IF($Z147="c",Inventory!$AB154,Inventory!$K154)</f>
        <v>0</v>
      </c>
      <c r="BC147" s="478">
        <f>IF(AND($Z147="b",Inventory!$N154="Btu/hr"),Inventory!$M154,IF(AND($Z147="b",Inventory!$N154="Tons"),Inventory!$M154*12000,IF(AND($Z147&lt;&gt;"b",Inventory!$AK154="Btu/hr"),Inventory!$AD154,IF(AND($Z147&lt;&gt;"b",Inventory!$AK154="Tons"),Inventory!$AD154*12000,0))))</f>
        <v>0</v>
      </c>
      <c r="BD147" s="478">
        <f t="shared" si="95"/>
        <v>0</v>
      </c>
      <c r="BE147" s="479">
        <f t="shared" si="125"/>
        <v>0</v>
      </c>
      <c r="BF147" s="477" t="s">
        <v>50</v>
      </c>
      <c r="BG147" s="479">
        <f t="shared" si="104"/>
        <v>0</v>
      </c>
      <c r="BH147" s="477" t="s">
        <v>46</v>
      </c>
      <c r="BI147" s="760">
        <f>IF(AND($Z147="b",Inventory!$P154="Btu/hr"),Inventory!$O154,IF(AND($Z147="b",Inventory!$P154="Tons"),Inventory!$O154*12000,IF(AND($Z147&lt;&gt;"b",Inventory!$AM154="Btu/hr"),Inventory!$AL154,IF(AND($Z147&lt;&gt;"b",Inventory!$AM154="Tons"),Inventory!$AL154*12000,0))))</f>
        <v>0</v>
      </c>
      <c r="BJ147" s="760">
        <f t="shared" si="96"/>
        <v>0</v>
      </c>
      <c r="BK147" s="598">
        <f t="shared" si="126"/>
        <v>0</v>
      </c>
      <c r="BL147" s="759" t="s">
        <v>567</v>
      </c>
      <c r="BM147" s="477" t="str">
        <f t="shared" si="105"/>
        <v>No</v>
      </c>
      <c r="BN147" s="477" t="str">
        <f>IF(OR(Inventory!$H154="",$BM147="No"),"-",Inventory!$H154)</f>
        <v>-</v>
      </c>
      <c r="BO147" s="477" t="str">
        <f>IFERROR(VLOOKUP(BN147,'Early Retirement'!$B$6:$C$33,2,FALSE),"-")</f>
        <v>-</v>
      </c>
      <c r="BP147" s="477" t="str">
        <f>IF(Inventory!$J154="Centrifugal","Yes","No")</f>
        <v>No</v>
      </c>
      <c r="BQ147" s="477">
        <f t="shared" si="127"/>
        <v>0</v>
      </c>
      <c r="BR147" s="477" t="str">
        <f t="shared" si="128"/>
        <v>-</v>
      </c>
      <c r="BS147" s="479">
        <f>IFERROR(INDEX('Early Retirement'!$C$4:$AC$33,$BO147,$BR147),0)</f>
        <v>0</v>
      </c>
      <c r="BT147" s="477">
        <f>IFERROR(HLOOKUP($BR147,'Early Retirement'!$D$4:$AC$5,2,FALSE),0)</f>
        <v>0</v>
      </c>
      <c r="BU147" s="761">
        <f>IFERROR(INDEX('Early Retirement'!$AE$4:$BE$33,$BO147,$BR147),0)</f>
        <v>0</v>
      </c>
      <c r="BV147" s="759">
        <f>IFERROR(HLOOKUP($BR147,'Early Retirement'!$AF$4:$BE$5,2,FALSE),0)</f>
        <v>0</v>
      </c>
      <c r="BW147" s="479">
        <f t="shared" si="135"/>
        <v>0</v>
      </c>
      <c r="BX147" s="761">
        <f t="shared" si="129"/>
        <v>0</v>
      </c>
      <c r="BY147" s="477" t="s">
        <v>46</v>
      </c>
      <c r="BZ147" s="598">
        <f>IFERROR(INDEX('Early Retirement'!$BG$4:$CG$33,$BO147,$BR147),0)</f>
        <v>0</v>
      </c>
      <c r="CA147" s="759">
        <f>IFERROR(HLOOKUP($BR147,'Early Retirement'!$BH$4:$CH$5,2,FALSE),0)</f>
        <v>0</v>
      </c>
      <c r="CB147" s="598">
        <f t="shared" si="130"/>
        <v>0</v>
      </c>
      <c r="CC147" s="759" t="s">
        <v>567</v>
      </c>
      <c r="CD147" s="477" t="str">
        <f t="shared" si="106"/>
        <v>Yes</v>
      </c>
      <c r="CE147" s="479">
        <f t="shared" si="107"/>
        <v>0</v>
      </c>
      <c r="CF147" s="761">
        <f t="shared" si="108"/>
        <v>0</v>
      </c>
      <c r="CG147" s="759" t="s">
        <v>46</v>
      </c>
      <c r="CH147" s="598">
        <f t="shared" si="131"/>
        <v>0</v>
      </c>
      <c r="CI147" s="759" t="s">
        <v>567</v>
      </c>
      <c r="CJ147" s="480">
        <f t="shared" si="132"/>
        <v>0</v>
      </c>
      <c r="CK147" s="583">
        <f t="shared" si="133"/>
        <v>0</v>
      </c>
      <c r="CL147" s="596" t="s">
        <v>46</v>
      </c>
      <c r="CM147" s="581">
        <f t="shared" si="134"/>
        <v>0</v>
      </c>
      <c r="CN147" s="762" t="s">
        <v>567</v>
      </c>
      <c r="CW147" s="630"/>
      <c r="CX147" s="630"/>
      <c r="CY147" s="630"/>
      <c r="CZ147" s="630"/>
      <c r="DA147" s="630"/>
      <c r="DB147" s="562"/>
      <c r="DC147" s="562"/>
      <c r="DD147" s="562"/>
      <c r="DE147" s="562"/>
      <c r="DF147" s="562"/>
      <c r="DG147" s="562"/>
      <c r="DH147" s="562"/>
      <c r="DI147" s="562"/>
      <c r="DJ147" s="562"/>
      <c r="DK147" s="562"/>
      <c r="DL147" s="562"/>
      <c r="DM147" s="562"/>
      <c r="DN147" s="562"/>
      <c r="DO147" s="562"/>
      <c r="DP147" s="562"/>
      <c r="DQ147" s="562"/>
      <c r="DR147" s="562"/>
      <c r="DS147" s="562"/>
      <c r="DT147" s="562"/>
      <c r="DU147" s="562"/>
      <c r="DV147" s="562"/>
      <c r="DW147" s="562"/>
      <c r="DX147" s="562"/>
      <c r="DY147" s="562"/>
      <c r="DZ147" s="562"/>
      <c r="EA147" s="562"/>
      <c r="EB147" s="562"/>
      <c r="EC147" s="562"/>
      <c r="ED147" s="562"/>
      <c r="EE147" s="562"/>
      <c r="EF147" s="562"/>
      <c r="EG147" s="562"/>
      <c r="EH147" s="562"/>
      <c r="EI147" s="562"/>
      <c r="EJ147" s="562"/>
      <c r="EK147" s="562"/>
      <c r="EL147" s="562"/>
    </row>
    <row r="148" spans="2:142" s="78" customFormat="1" ht="15" customHeight="1" x14ac:dyDescent="0.25">
      <c r="B148" s="77"/>
      <c r="E148" s="77"/>
      <c r="H148" s="77"/>
      <c r="Y148" s="90">
        <v>146</v>
      </c>
      <c r="Z148" s="559" t="str">
        <f>IF(Inventory!$C155="","",VLOOKUP(Inventory!$C155,$B$3:$C$5,2,FALSE))</f>
        <v/>
      </c>
      <c r="AA148" s="559" t="str">
        <f>IF($Z148="","",IF(AND($Z148="b",Inventory!$G155=""),"",IF(AND($Z148="b",Inventory!$G155&lt;&gt;""),VLOOKUP(Inventory!$G155,$E$3:$F$10,2,FALSE),IF(AND($Z148="a",Inventory!$Z155=""),"",IF(AND($Z148="a",Inventory!$Z155&lt;&gt;""),VLOOKUP(Inventory!$Z155,$E$3:$F$10,2,FALSE),IF(AND($Z148="c",Inventory!$Z155=""),"",IF(AND($Z148="c",Inventory!$Z155&lt;&gt;""),VLOOKUP(Inventory!$Z155,$E$3:$F$10,2,FALSE),"")))))))</f>
        <v/>
      </c>
      <c r="AB148" s="559" t="str">
        <f>IF($Z148="","a",IF(AND($Z148="b",Inventory!$J155=""),"a",IF(AND($Z148="b",Inventory!$J155&lt;&gt;""),VLOOKUP(Inventory!$J155,$H$4:$I$6,2,FALSE),IF(AND($Z148="a",Inventory!$AA155=""),"a",IF(AND($Z148="a",Inventory!$AA155&lt;&gt;""),VLOOKUP(Inventory!$AA155,$H$4:$I$6,2,FALSE),IF(AND($Z148="c",Inventory!$AA155=""),"a",IF(AND($Z148="c",Inventory!$AA155&lt;&gt;""),VLOOKUP(Inventory!$AA155,$H$4:$I$6,2,FALSE),"a")))))))</f>
        <v>a</v>
      </c>
      <c r="AC148" s="559" t="str">
        <f t="shared" si="109"/>
        <v>a</v>
      </c>
      <c r="AD148" s="473" t="str">
        <f>IF($Z148="","a",IF(AND($Z148="b",Inventory!$L155=""),"a",IF(AND($Z148="b",Inventory!$L155&lt;&gt;""),VLOOKUP(Inventory!$L155,$N$4:$O$5,2,FALSE),IF(AND($Z148="a",Inventory!$AC155=""),"a",IF(AND($Z148="a",Inventory!$AC155&lt;&gt;""),VLOOKUP(Inventory!$AC155,$N$4:$O$5,2,FALSE),IF(AND($Z148="c",Inventory!$AC155=""),"a",IF(AND($Z148="c",Inventory!$AC155&lt;&gt;""),VLOOKUP(Inventory!$AC155,$N$4:$O$5,2,FALSE),"a")))))))</f>
        <v>a</v>
      </c>
      <c r="AE148" s="474">
        <f>IF(OR(Inventory!C155="New Construction",Inventory!C155="Replace-on-Burnout"),Inventory!AF155,IF(Inventory!C155="Early Retirement",MIN(Inventory!AE155,Inventory!AF155),0))</f>
        <v>0</v>
      </c>
      <c r="AF148" s="475" t="str">
        <f t="shared" si="110"/>
        <v/>
      </c>
      <c r="AG148" s="475" t="str">
        <f t="shared" si="98"/>
        <v/>
      </c>
      <c r="AH148" s="475" t="str">
        <f t="shared" si="99"/>
        <v/>
      </c>
      <c r="AI148" s="475" t="str">
        <f t="shared" si="100"/>
        <v/>
      </c>
      <c r="AJ148" s="475" t="str">
        <f t="shared" si="101"/>
        <v/>
      </c>
      <c r="AK148" s="475" t="str">
        <f t="shared" si="111"/>
        <v/>
      </c>
      <c r="AL148" s="475" t="str">
        <f t="shared" si="112"/>
        <v/>
      </c>
      <c r="AM148" s="475" t="str">
        <f t="shared" si="113"/>
        <v/>
      </c>
      <c r="AN148" s="475" t="str">
        <f t="shared" si="114"/>
        <v/>
      </c>
      <c r="AO148" s="475" t="str">
        <f t="shared" si="115"/>
        <v/>
      </c>
      <c r="AP148" s="475" t="str">
        <f t="shared" si="116"/>
        <v/>
      </c>
      <c r="AQ148" s="475" t="str">
        <f t="shared" si="117"/>
        <v/>
      </c>
      <c r="AR148" s="475" t="str">
        <f t="shared" si="118"/>
        <v/>
      </c>
      <c r="AS148" s="475" t="str">
        <f t="shared" si="119"/>
        <v/>
      </c>
      <c r="AT148" s="475" t="str">
        <f t="shared" si="120"/>
        <v/>
      </c>
      <c r="AU148" s="475" t="str">
        <f t="shared" si="121"/>
        <v/>
      </c>
      <c r="AV148" s="475" t="str">
        <f t="shared" si="102"/>
        <v/>
      </c>
      <c r="AW148" s="473">
        <f t="shared" si="103"/>
        <v>0</v>
      </c>
      <c r="AX148" s="473" t="str">
        <f>IF(AND($Z148="b",OR($AA148="a",$AA148="b"),Inventory!$I155="",$AE148&lt;(65000/12000)),"x",IF(AND($Z148="b",OR($AA148="a",$AA148="b"),Inventory!$I155&lt;&gt;"",$AE148&lt;(65000/12000)),VLOOKUP(Inventory!$I155,$V$4:$W$5,2,FALSE),"x"))</f>
        <v>x</v>
      </c>
      <c r="AY148" s="476" t="str">
        <f t="shared" si="122"/>
        <v>aaa0</v>
      </c>
      <c r="AZ148" s="477" t="str">
        <f t="shared" si="123"/>
        <v>No</v>
      </c>
      <c r="BA148" s="759" t="str">
        <f t="shared" si="124"/>
        <v>No</v>
      </c>
      <c r="BB148" s="477">
        <f>IF($Z148="c",Inventory!$AB155,Inventory!$K155)</f>
        <v>0</v>
      </c>
      <c r="BC148" s="478">
        <f>IF(AND($Z148="b",Inventory!$N155="Btu/hr"),Inventory!$M155,IF(AND($Z148="b",Inventory!$N155="Tons"),Inventory!$M155*12000,IF(AND($Z148&lt;&gt;"b",Inventory!$AK155="Btu/hr"),Inventory!$AD155,IF(AND($Z148&lt;&gt;"b",Inventory!$AK155="Tons"),Inventory!$AD155*12000,0))))</f>
        <v>0</v>
      </c>
      <c r="BD148" s="478">
        <f t="shared" si="95"/>
        <v>0</v>
      </c>
      <c r="BE148" s="479">
        <f t="shared" si="125"/>
        <v>0</v>
      </c>
      <c r="BF148" s="477" t="s">
        <v>50</v>
      </c>
      <c r="BG148" s="479">
        <f t="shared" si="104"/>
        <v>0</v>
      </c>
      <c r="BH148" s="477" t="s">
        <v>46</v>
      </c>
      <c r="BI148" s="760">
        <f>IF(AND($Z148="b",Inventory!$P155="Btu/hr"),Inventory!$O155,IF(AND($Z148="b",Inventory!$P155="Tons"),Inventory!$O155*12000,IF(AND($Z148&lt;&gt;"b",Inventory!$AM155="Btu/hr"),Inventory!$AL155,IF(AND($Z148&lt;&gt;"b",Inventory!$AM155="Tons"),Inventory!$AL155*12000,0))))</f>
        <v>0</v>
      </c>
      <c r="BJ148" s="760">
        <f t="shared" si="96"/>
        <v>0</v>
      </c>
      <c r="BK148" s="598">
        <f t="shared" si="126"/>
        <v>0</v>
      </c>
      <c r="BL148" s="759" t="s">
        <v>567</v>
      </c>
      <c r="BM148" s="477" t="str">
        <f t="shared" si="105"/>
        <v>No</v>
      </c>
      <c r="BN148" s="477" t="str">
        <f>IF(OR(Inventory!$H155="",$BM148="No"),"-",Inventory!$H155)</f>
        <v>-</v>
      </c>
      <c r="BO148" s="477" t="str">
        <f>IFERROR(VLOOKUP(BN148,'Early Retirement'!$B$6:$C$33,2,FALSE),"-")</f>
        <v>-</v>
      </c>
      <c r="BP148" s="477" t="str">
        <f>IF(Inventory!$J155="Centrifugal","Yes","No")</f>
        <v>No</v>
      </c>
      <c r="BQ148" s="477">
        <f t="shared" si="127"/>
        <v>0</v>
      </c>
      <c r="BR148" s="477" t="str">
        <f t="shared" si="128"/>
        <v>-</v>
      </c>
      <c r="BS148" s="479">
        <f>IFERROR(INDEX('Early Retirement'!$C$4:$AC$33,$BO148,$BR148),0)</f>
        <v>0</v>
      </c>
      <c r="BT148" s="477">
        <f>IFERROR(HLOOKUP($BR148,'Early Retirement'!$D$4:$AC$5,2,FALSE),0)</f>
        <v>0</v>
      </c>
      <c r="BU148" s="761">
        <f>IFERROR(INDEX('Early Retirement'!$AE$4:$BE$33,$BO148,$BR148),0)</f>
        <v>0</v>
      </c>
      <c r="BV148" s="759">
        <f>IFERROR(HLOOKUP($BR148,'Early Retirement'!$AF$4:$BE$5,2,FALSE),0)</f>
        <v>0</v>
      </c>
      <c r="BW148" s="479">
        <f t="shared" si="135"/>
        <v>0</v>
      </c>
      <c r="BX148" s="761">
        <f t="shared" si="129"/>
        <v>0</v>
      </c>
      <c r="BY148" s="477" t="s">
        <v>46</v>
      </c>
      <c r="BZ148" s="598">
        <f>IFERROR(INDEX('Early Retirement'!$BG$4:$CG$33,$BO148,$BR148),0)</f>
        <v>0</v>
      </c>
      <c r="CA148" s="759">
        <f>IFERROR(HLOOKUP($BR148,'Early Retirement'!$BH$4:$CH$5,2,FALSE),0)</f>
        <v>0</v>
      </c>
      <c r="CB148" s="598">
        <f t="shared" si="130"/>
        <v>0</v>
      </c>
      <c r="CC148" s="759" t="s">
        <v>567</v>
      </c>
      <c r="CD148" s="477" t="str">
        <f t="shared" si="106"/>
        <v>Yes</v>
      </c>
      <c r="CE148" s="479">
        <f t="shared" si="107"/>
        <v>0</v>
      </c>
      <c r="CF148" s="761">
        <f t="shared" si="108"/>
        <v>0</v>
      </c>
      <c r="CG148" s="759" t="s">
        <v>46</v>
      </c>
      <c r="CH148" s="598">
        <f t="shared" si="131"/>
        <v>0</v>
      </c>
      <c r="CI148" s="759" t="s">
        <v>567</v>
      </c>
      <c r="CJ148" s="480">
        <f t="shared" si="132"/>
        <v>0</v>
      </c>
      <c r="CK148" s="583">
        <f t="shared" si="133"/>
        <v>0</v>
      </c>
      <c r="CL148" s="596" t="s">
        <v>46</v>
      </c>
      <c r="CM148" s="581">
        <f t="shared" si="134"/>
        <v>0</v>
      </c>
      <c r="CN148" s="762" t="s">
        <v>567</v>
      </c>
      <c r="CW148" s="630"/>
      <c r="CX148" s="630"/>
      <c r="CY148" s="630"/>
      <c r="CZ148" s="630"/>
      <c r="DA148" s="630"/>
      <c r="DB148" s="562"/>
      <c r="DC148" s="562"/>
      <c r="DD148" s="562"/>
      <c r="DE148" s="562"/>
      <c r="DF148" s="562"/>
      <c r="DG148" s="562"/>
      <c r="DH148" s="562"/>
      <c r="DI148" s="562"/>
      <c r="DJ148" s="562"/>
      <c r="DK148" s="562"/>
      <c r="DL148" s="562"/>
      <c r="DM148" s="562"/>
      <c r="DN148" s="562"/>
      <c r="DO148" s="562"/>
      <c r="DP148" s="562"/>
      <c r="DQ148" s="562"/>
      <c r="DR148" s="562"/>
      <c r="DS148" s="562"/>
      <c r="DT148" s="562"/>
      <c r="DU148" s="562"/>
      <c r="DV148" s="562"/>
      <c r="DW148" s="562"/>
      <c r="DX148" s="562"/>
      <c r="DY148" s="562"/>
      <c r="DZ148" s="562"/>
      <c r="EA148" s="562"/>
      <c r="EB148" s="562"/>
      <c r="EC148" s="562"/>
      <c r="ED148" s="562"/>
      <c r="EE148" s="562"/>
      <c r="EF148" s="562"/>
      <c r="EG148" s="562"/>
      <c r="EH148" s="562"/>
      <c r="EI148" s="562"/>
      <c r="EJ148" s="562"/>
      <c r="EK148" s="562"/>
      <c r="EL148" s="562"/>
    </row>
    <row r="149" spans="2:142" s="78" customFormat="1" ht="15" customHeight="1" x14ac:dyDescent="0.25">
      <c r="B149" s="77"/>
      <c r="E149" s="77"/>
      <c r="H149" s="77"/>
      <c r="Y149" s="90">
        <v>147</v>
      </c>
      <c r="Z149" s="559" t="str">
        <f>IF(Inventory!$C156="","",VLOOKUP(Inventory!$C156,$B$3:$C$5,2,FALSE))</f>
        <v/>
      </c>
      <c r="AA149" s="559" t="str">
        <f>IF($Z149="","",IF(AND($Z149="b",Inventory!$G156=""),"",IF(AND($Z149="b",Inventory!$G156&lt;&gt;""),VLOOKUP(Inventory!$G156,$E$3:$F$10,2,FALSE),IF(AND($Z149="a",Inventory!$Z156=""),"",IF(AND($Z149="a",Inventory!$Z156&lt;&gt;""),VLOOKUP(Inventory!$Z156,$E$3:$F$10,2,FALSE),IF(AND($Z149="c",Inventory!$Z156=""),"",IF(AND($Z149="c",Inventory!$Z156&lt;&gt;""),VLOOKUP(Inventory!$Z156,$E$3:$F$10,2,FALSE),"")))))))</f>
        <v/>
      </c>
      <c r="AB149" s="559" t="str">
        <f>IF($Z149="","a",IF(AND($Z149="b",Inventory!$J156=""),"a",IF(AND($Z149="b",Inventory!$J156&lt;&gt;""),VLOOKUP(Inventory!$J156,$H$4:$I$6,2,FALSE),IF(AND($Z149="a",Inventory!$AA156=""),"a",IF(AND($Z149="a",Inventory!$AA156&lt;&gt;""),VLOOKUP(Inventory!$AA156,$H$4:$I$6,2,FALSE),IF(AND($Z149="c",Inventory!$AA156=""),"a",IF(AND($Z149="c",Inventory!$AA156&lt;&gt;""),VLOOKUP(Inventory!$AA156,$H$4:$I$6,2,FALSE),"a")))))))</f>
        <v>a</v>
      </c>
      <c r="AC149" s="559" t="str">
        <f t="shared" si="109"/>
        <v>a</v>
      </c>
      <c r="AD149" s="473" t="str">
        <f>IF($Z149="","a",IF(AND($Z149="b",Inventory!$L156=""),"a",IF(AND($Z149="b",Inventory!$L156&lt;&gt;""),VLOOKUP(Inventory!$L156,$N$4:$O$5,2,FALSE),IF(AND($Z149="a",Inventory!$AC156=""),"a",IF(AND($Z149="a",Inventory!$AC156&lt;&gt;""),VLOOKUP(Inventory!$AC156,$N$4:$O$5,2,FALSE),IF(AND($Z149="c",Inventory!$AC156=""),"a",IF(AND($Z149="c",Inventory!$AC156&lt;&gt;""),VLOOKUP(Inventory!$AC156,$N$4:$O$5,2,FALSE),"a")))))))</f>
        <v>a</v>
      </c>
      <c r="AE149" s="474">
        <f>IF(OR(Inventory!C156="New Construction",Inventory!C156="Replace-on-Burnout"),Inventory!AF156,IF(Inventory!C156="Early Retirement",MIN(Inventory!AE156,Inventory!AF156),0))</f>
        <v>0</v>
      </c>
      <c r="AF149" s="475" t="str">
        <f t="shared" si="110"/>
        <v/>
      </c>
      <c r="AG149" s="475" t="str">
        <f t="shared" si="98"/>
        <v/>
      </c>
      <c r="AH149" s="475" t="str">
        <f t="shared" si="99"/>
        <v/>
      </c>
      <c r="AI149" s="475" t="str">
        <f t="shared" si="100"/>
        <v/>
      </c>
      <c r="AJ149" s="475" t="str">
        <f t="shared" si="101"/>
        <v/>
      </c>
      <c r="AK149" s="475" t="str">
        <f t="shared" si="111"/>
        <v/>
      </c>
      <c r="AL149" s="475" t="str">
        <f t="shared" si="112"/>
        <v/>
      </c>
      <c r="AM149" s="475" t="str">
        <f t="shared" si="113"/>
        <v/>
      </c>
      <c r="AN149" s="475" t="str">
        <f t="shared" si="114"/>
        <v/>
      </c>
      <c r="AO149" s="475" t="str">
        <f t="shared" si="115"/>
        <v/>
      </c>
      <c r="AP149" s="475" t="str">
        <f t="shared" si="116"/>
        <v/>
      </c>
      <c r="AQ149" s="475" t="str">
        <f t="shared" si="117"/>
        <v/>
      </c>
      <c r="AR149" s="475" t="str">
        <f t="shared" si="118"/>
        <v/>
      </c>
      <c r="AS149" s="475" t="str">
        <f t="shared" si="119"/>
        <v/>
      </c>
      <c r="AT149" s="475" t="str">
        <f t="shared" si="120"/>
        <v/>
      </c>
      <c r="AU149" s="475" t="str">
        <f t="shared" si="121"/>
        <v/>
      </c>
      <c r="AV149" s="475" t="str">
        <f t="shared" si="102"/>
        <v/>
      </c>
      <c r="AW149" s="473">
        <f t="shared" si="103"/>
        <v>0</v>
      </c>
      <c r="AX149" s="473" t="str">
        <f>IF(AND($Z149="b",OR($AA149="a",$AA149="b"),Inventory!$I156="",$AE149&lt;(65000/12000)),"x",IF(AND($Z149="b",OR($AA149="a",$AA149="b"),Inventory!$I156&lt;&gt;"",$AE149&lt;(65000/12000)),VLOOKUP(Inventory!$I156,$V$4:$W$5,2,FALSE),"x"))</f>
        <v>x</v>
      </c>
      <c r="AY149" s="476" t="str">
        <f t="shared" si="122"/>
        <v>aaa0</v>
      </c>
      <c r="AZ149" s="477" t="str">
        <f t="shared" si="123"/>
        <v>No</v>
      </c>
      <c r="BA149" s="759" t="str">
        <f t="shared" si="124"/>
        <v>No</v>
      </c>
      <c r="BB149" s="477">
        <f>IF($Z149="c",Inventory!$AB156,Inventory!$K156)</f>
        <v>0</v>
      </c>
      <c r="BC149" s="478">
        <f>IF(AND($Z149="b",Inventory!$N156="Btu/hr"),Inventory!$M156,IF(AND($Z149="b",Inventory!$N156="Tons"),Inventory!$M156*12000,IF(AND($Z149&lt;&gt;"b",Inventory!$AK156="Btu/hr"),Inventory!$AD156,IF(AND($Z149&lt;&gt;"b",Inventory!$AK156="Tons"),Inventory!$AD156*12000,0))))</f>
        <v>0</v>
      </c>
      <c r="BD149" s="478">
        <f t="shared" si="95"/>
        <v>0</v>
      </c>
      <c r="BE149" s="479">
        <f t="shared" si="125"/>
        <v>0</v>
      </c>
      <c r="BF149" s="477" t="s">
        <v>50</v>
      </c>
      <c r="BG149" s="479">
        <f t="shared" si="104"/>
        <v>0</v>
      </c>
      <c r="BH149" s="477" t="s">
        <v>46</v>
      </c>
      <c r="BI149" s="760">
        <f>IF(AND($Z149="b",Inventory!$P156="Btu/hr"),Inventory!$O156,IF(AND($Z149="b",Inventory!$P156="Tons"),Inventory!$O156*12000,IF(AND($Z149&lt;&gt;"b",Inventory!$AM156="Btu/hr"),Inventory!$AL156,IF(AND($Z149&lt;&gt;"b",Inventory!$AM156="Tons"),Inventory!$AL156*12000,0))))</f>
        <v>0</v>
      </c>
      <c r="BJ149" s="760">
        <f t="shared" si="96"/>
        <v>0</v>
      </c>
      <c r="BK149" s="598">
        <f t="shared" si="126"/>
        <v>0</v>
      </c>
      <c r="BL149" s="759" t="s">
        <v>567</v>
      </c>
      <c r="BM149" s="477" t="str">
        <f t="shared" si="105"/>
        <v>No</v>
      </c>
      <c r="BN149" s="477" t="str">
        <f>IF(OR(Inventory!$H156="",$BM149="No"),"-",Inventory!$H156)</f>
        <v>-</v>
      </c>
      <c r="BO149" s="477" t="str">
        <f>IFERROR(VLOOKUP(BN149,'Early Retirement'!$B$6:$C$33,2,FALSE),"-")</f>
        <v>-</v>
      </c>
      <c r="BP149" s="477" t="str">
        <f>IF(Inventory!$J156="Centrifugal","Yes","No")</f>
        <v>No</v>
      </c>
      <c r="BQ149" s="477">
        <f t="shared" si="127"/>
        <v>0</v>
      </c>
      <c r="BR149" s="477" t="str">
        <f t="shared" si="128"/>
        <v>-</v>
      </c>
      <c r="BS149" s="479">
        <f>IFERROR(INDEX('Early Retirement'!$C$4:$AC$33,$BO149,$BR149),0)</f>
        <v>0</v>
      </c>
      <c r="BT149" s="477">
        <f>IFERROR(HLOOKUP($BR149,'Early Retirement'!$D$4:$AC$5,2,FALSE),0)</f>
        <v>0</v>
      </c>
      <c r="BU149" s="761">
        <f>IFERROR(INDEX('Early Retirement'!$AE$4:$BE$33,$BO149,$BR149),0)</f>
        <v>0</v>
      </c>
      <c r="BV149" s="759">
        <f>IFERROR(HLOOKUP($BR149,'Early Retirement'!$AF$4:$BE$5,2,FALSE),0)</f>
        <v>0</v>
      </c>
      <c r="BW149" s="479">
        <f t="shared" si="135"/>
        <v>0</v>
      </c>
      <c r="BX149" s="761">
        <f t="shared" si="129"/>
        <v>0</v>
      </c>
      <c r="BY149" s="477" t="s">
        <v>46</v>
      </c>
      <c r="BZ149" s="598">
        <f>IFERROR(INDEX('Early Retirement'!$BG$4:$CG$33,$BO149,$BR149),0)</f>
        <v>0</v>
      </c>
      <c r="CA149" s="759">
        <f>IFERROR(HLOOKUP($BR149,'Early Retirement'!$BH$4:$CH$5,2,FALSE),0)</f>
        <v>0</v>
      </c>
      <c r="CB149" s="598">
        <f t="shared" si="130"/>
        <v>0</v>
      </c>
      <c r="CC149" s="759" t="s">
        <v>567</v>
      </c>
      <c r="CD149" s="477" t="str">
        <f t="shared" si="106"/>
        <v>Yes</v>
      </c>
      <c r="CE149" s="479">
        <f t="shared" si="107"/>
        <v>0</v>
      </c>
      <c r="CF149" s="761">
        <f t="shared" si="108"/>
        <v>0</v>
      </c>
      <c r="CG149" s="759" t="s">
        <v>46</v>
      </c>
      <c r="CH149" s="598">
        <f t="shared" si="131"/>
        <v>0</v>
      </c>
      <c r="CI149" s="759" t="s">
        <v>567</v>
      </c>
      <c r="CJ149" s="480">
        <f t="shared" si="132"/>
        <v>0</v>
      </c>
      <c r="CK149" s="583">
        <f t="shared" si="133"/>
        <v>0</v>
      </c>
      <c r="CL149" s="596" t="s">
        <v>46</v>
      </c>
      <c r="CM149" s="581">
        <f t="shared" si="134"/>
        <v>0</v>
      </c>
      <c r="CN149" s="762" t="s">
        <v>567</v>
      </c>
      <c r="CW149" s="630"/>
      <c r="CX149" s="630"/>
      <c r="CY149" s="630"/>
      <c r="CZ149" s="630"/>
      <c r="DA149" s="630"/>
      <c r="DB149" s="562"/>
      <c r="DC149" s="562"/>
      <c r="DD149" s="562"/>
      <c r="DE149" s="562"/>
      <c r="DF149" s="562"/>
      <c r="DG149" s="562"/>
      <c r="DH149" s="562"/>
      <c r="DI149" s="562"/>
      <c r="DJ149" s="562"/>
      <c r="DK149" s="562"/>
      <c r="DL149" s="562"/>
      <c r="DM149" s="562"/>
      <c r="DN149" s="562"/>
      <c r="DO149" s="562"/>
      <c r="DP149" s="562"/>
      <c r="DQ149" s="562"/>
      <c r="DR149" s="562"/>
      <c r="DS149" s="562"/>
      <c r="DT149" s="562"/>
      <c r="DU149" s="562"/>
      <c r="DV149" s="562"/>
      <c r="DW149" s="562"/>
      <c r="DX149" s="562"/>
      <c r="DY149" s="562"/>
      <c r="DZ149" s="562"/>
      <c r="EA149" s="562"/>
      <c r="EB149" s="562"/>
      <c r="EC149" s="562"/>
      <c r="ED149" s="562"/>
      <c r="EE149" s="562"/>
      <c r="EF149" s="562"/>
      <c r="EG149" s="562"/>
      <c r="EH149" s="562"/>
      <c r="EI149" s="562"/>
      <c r="EJ149" s="562"/>
      <c r="EK149" s="562"/>
      <c r="EL149" s="562"/>
    </row>
    <row r="150" spans="2:142" s="78" customFormat="1" ht="15" customHeight="1" x14ac:dyDescent="0.25">
      <c r="B150" s="77"/>
      <c r="E150" s="77"/>
      <c r="H150" s="77"/>
      <c r="Y150" s="90">
        <v>148</v>
      </c>
      <c r="Z150" s="559" t="str">
        <f>IF(Inventory!$C157="","",VLOOKUP(Inventory!$C157,$B$3:$C$5,2,FALSE))</f>
        <v/>
      </c>
      <c r="AA150" s="559" t="str">
        <f>IF($Z150="","",IF(AND($Z150="b",Inventory!$G157=""),"",IF(AND($Z150="b",Inventory!$G157&lt;&gt;""),VLOOKUP(Inventory!$G157,$E$3:$F$10,2,FALSE),IF(AND($Z150="a",Inventory!$Z157=""),"",IF(AND($Z150="a",Inventory!$Z157&lt;&gt;""),VLOOKUP(Inventory!$Z157,$E$3:$F$10,2,FALSE),IF(AND($Z150="c",Inventory!$Z157=""),"",IF(AND($Z150="c",Inventory!$Z157&lt;&gt;""),VLOOKUP(Inventory!$Z157,$E$3:$F$10,2,FALSE),"")))))))</f>
        <v/>
      </c>
      <c r="AB150" s="559" t="str">
        <f>IF($Z150="","a",IF(AND($Z150="b",Inventory!$J157=""),"a",IF(AND($Z150="b",Inventory!$J157&lt;&gt;""),VLOOKUP(Inventory!$J157,$H$4:$I$6,2,FALSE),IF(AND($Z150="a",Inventory!$AA157=""),"a",IF(AND($Z150="a",Inventory!$AA157&lt;&gt;""),VLOOKUP(Inventory!$AA157,$H$4:$I$6,2,FALSE),IF(AND($Z150="c",Inventory!$AA157=""),"a",IF(AND($Z150="c",Inventory!$AA157&lt;&gt;""),VLOOKUP(Inventory!$AA157,$H$4:$I$6,2,FALSE),"a")))))))</f>
        <v>a</v>
      </c>
      <c r="AC150" s="559" t="str">
        <f t="shared" si="109"/>
        <v>a</v>
      </c>
      <c r="AD150" s="473" t="str">
        <f>IF($Z150="","a",IF(AND($Z150="b",Inventory!$L157=""),"a",IF(AND($Z150="b",Inventory!$L157&lt;&gt;""),VLOOKUP(Inventory!$L157,$N$4:$O$5,2,FALSE),IF(AND($Z150="a",Inventory!$AC157=""),"a",IF(AND($Z150="a",Inventory!$AC157&lt;&gt;""),VLOOKUP(Inventory!$AC157,$N$4:$O$5,2,FALSE),IF(AND($Z150="c",Inventory!$AC157=""),"a",IF(AND($Z150="c",Inventory!$AC157&lt;&gt;""),VLOOKUP(Inventory!$AC157,$N$4:$O$5,2,FALSE),"a")))))))</f>
        <v>a</v>
      </c>
      <c r="AE150" s="474">
        <f>IF(OR(Inventory!C157="New Construction",Inventory!C157="Replace-on-Burnout"),Inventory!AF157,IF(Inventory!C157="Early Retirement",MIN(Inventory!AE157,Inventory!AF157),0))</f>
        <v>0</v>
      </c>
      <c r="AF150" s="475" t="str">
        <f t="shared" si="110"/>
        <v/>
      </c>
      <c r="AG150" s="475" t="str">
        <f t="shared" si="98"/>
        <v/>
      </c>
      <c r="AH150" s="475" t="str">
        <f t="shared" si="99"/>
        <v/>
      </c>
      <c r="AI150" s="475" t="str">
        <f t="shared" si="100"/>
        <v/>
      </c>
      <c r="AJ150" s="475" t="str">
        <f t="shared" si="101"/>
        <v/>
      </c>
      <c r="AK150" s="475" t="str">
        <f t="shared" si="111"/>
        <v/>
      </c>
      <c r="AL150" s="475" t="str">
        <f t="shared" si="112"/>
        <v/>
      </c>
      <c r="AM150" s="475" t="str">
        <f t="shared" si="113"/>
        <v/>
      </c>
      <c r="AN150" s="475" t="str">
        <f t="shared" si="114"/>
        <v/>
      </c>
      <c r="AO150" s="475" t="str">
        <f t="shared" si="115"/>
        <v/>
      </c>
      <c r="AP150" s="475" t="str">
        <f t="shared" si="116"/>
        <v/>
      </c>
      <c r="AQ150" s="475" t="str">
        <f t="shared" si="117"/>
        <v/>
      </c>
      <c r="AR150" s="475" t="str">
        <f t="shared" si="118"/>
        <v/>
      </c>
      <c r="AS150" s="475" t="str">
        <f t="shared" si="119"/>
        <v/>
      </c>
      <c r="AT150" s="475" t="str">
        <f t="shared" si="120"/>
        <v/>
      </c>
      <c r="AU150" s="475" t="str">
        <f t="shared" si="121"/>
        <v/>
      </c>
      <c r="AV150" s="475" t="str">
        <f t="shared" si="102"/>
        <v/>
      </c>
      <c r="AW150" s="473">
        <f t="shared" si="103"/>
        <v>0</v>
      </c>
      <c r="AX150" s="473" t="str">
        <f>IF(AND($Z150="b",OR($AA150="a",$AA150="b"),Inventory!$I157="",$AE150&lt;(65000/12000)),"x",IF(AND($Z150="b",OR($AA150="a",$AA150="b"),Inventory!$I157&lt;&gt;"",$AE150&lt;(65000/12000)),VLOOKUP(Inventory!$I157,$V$4:$W$5,2,FALSE),"x"))</f>
        <v>x</v>
      </c>
      <c r="AY150" s="476" t="str">
        <f t="shared" si="122"/>
        <v>aaa0</v>
      </c>
      <c r="AZ150" s="477" t="str">
        <f t="shared" si="123"/>
        <v>No</v>
      </c>
      <c r="BA150" s="759" t="str">
        <f t="shared" si="124"/>
        <v>No</v>
      </c>
      <c r="BB150" s="477">
        <f>IF($Z150="c",Inventory!$AB157,Inventory!$K157)</f>
        <v>0</v>
      </c>
      <c r="BC150" s="478">
        <f>IF(AND($Z150="b",Inventory!$N157="Btu/hr"),Inventory!$M157,IF(AND($Z150="b",Inventory!$N157="Tons"),Inventory!$M157*12000,IF(AND($Z150&lt;&gt;"b",Inventory!$AK157="Btu/hr"),Inventory!$AD157,IF(AND($Z150&lt;&gt;"b",Inventory!$AK157="Tons"),Inventory!$AD157*12000,0))))</f>
        <v>0</v>
      </c>
      <c r="BD150" s="478">
        <f t="shared" si="95"/>
        <v>0</v>
      </c>
      <c r="BE150" s="479">
        <f t="shared" si="125"/>
        <v>0</v>
      </c>
      <c r="BF150" s="477" t="s">
        <v>50</v>
      </c>
      <c r="BG150" s="479">
        <f t="shared" si="104"/>
        <v>0</v>
      </c>
      <c r="BH150" s="477" t="s">
        <v>46</v>
      </c>
      <c r="BI150" s="760">
        <f>IF(AND($Z150="b",Inventory!$P157="Btu/hr"),Inventory!$O157,IF(AND($Z150="b",Inventory!$P157="Tons"),Inventory!$O157*12000,IF(AND($Z150&lt;&gt;"b",Inventory!$AM157="Btu/hr"),Inventory!$AL157,IF(AND($Z150&lt;&gt;"b",Inventory!$AM157="Tons"),Inventory!$AL157*12000,0))))</f>
        <v>0</v>
      </c>
      <c r="BJ150" s="760">
        <f t="shared" si="96"/>
        <v>0</v>
      </c>
      <c r="BK150" s="598">
        <f t="shared" si="126"/>
        <v>0</v>
      </c>
      <c r="BL150" s="759" t="s">
        <v>567</v>
      </c>
      <c r="BM150" s="477" t="str">
        <f t="shared" si="105"/>
        <v>No</v>
      </c>
      <c r="BN150" s="477" t="str">
        <f>IF(OR(Inventory!$H157="",$BM150="No"),"-",Inventory!$H157)</f>
        <v>-</v>
      </c>
      <c r="BO150" s="477" t="str">
        <f>IFERROR(VLOOKUP(BN150,'Early Retirement'!$B$6:$C$33,2,FALSE),"-")</f>
        <v>-</v>
      </c>
      <c r="BP150" s="477" t="str">
        <f>IF(Inventory!$J157="Centrifugal","Yes","No")</f>
        <v>No</v>
      </c>
      <c r="BQ150" s="477">
        <f t="shared" si="127"/>
        <v>0</v>
      </c>
      <c r="BR150" s="477" t="str">
        <f t="shared" si="128"/>
        <v>-</v>
      </c>
      <c r="BS150" s="479">
        <f>IFERROR(INDEX('Early Retirement'!$C$4:$AC$33,$BO150,$BR150),0)</f>
        <v>0</v>
      </c>
      <c r="BT150" s="477">
        <f>IFERROR(HLOOKUP($BR150,'Early Retirement'!$D$4:$AC$5,2,FALSE),0)</f>
        <v>0</v>
      </c>
      <c r="BU150" s="761">
        <f>IFERROR(INDEX('Early Retirement'!$AE$4:$BE$33,$BO150,$BR150),0)</f>
        <v>0</v>
      </c>
      <c r="BV150" s="759">
        <f>IFERROR(HLOOKUP($BR150,'Early Retirement'!$AF$4:$BE$5,2,FALSE),0)</f>
        <v>0</v>
      </c>
      <c r="BW150" s="479">
        <f t="shared" si="135"/>
        <v>0</v>
      </c>
      <c r="BX150" s="761">
        <f t="shared" si="129"/>
        <v>0</v>
      </c>
      <c r="BY150" s="477" t="s">
        <v>46</v>
      </c>
      <c r="BZ150" s="598">
        <f>IFERROR(INDEX('Early Retirement'!$BG$4:$CG$33,$BO150,$BR150),0)</f>
        <v>0</v>
      </c>
      <c r="CA150" s="759">
        <f>IFERROR(HLOOKUP($BR150,'Early Retirement'!$BH$4:$CH$5,2,FALSE),0)</f>
        <v>0</v>
      </c>
      <c r="CB150" s="598">
        <f t="shared" si="130"/>
        <v>0</v>
      </c>
      <c r="CC150" s="759" t="s">
        <v>567</v>
      </c>
      <c r="CD150" s="477" t="str">
        <f t="shared" si="106"/>
        <v>Yes</v>
      </c>
      <c r="CE150" s="479">
        <f t="shared" si="107"/>
        <v>0</v>
      </c>
      <c r="CF150" s="761">
        <f t="shared" si="108"/>
        <v>0</v>
      </c>
      <c r="CG150" s="759" t="s">
        <v>46</v>
      </c>
      <c r="CH150" s="598">
        <f t="shared" si="131"/>
        <v>0</v>
      </c>
      <c r="CI150" s="759" t="s">
        <v>567</v>
      </c>
      <c r="CJ150" s="480">
        <f t="shared" si="132"/>
        <v>0</v>
      </c>
      <c r="CK150" s="583">
        <f t="shared" si="133"/>
        <v>0</v>
      </c>
      <c r="CL150" s="596" t="s">
        <v>46</v>
      </c>
      <c r="CM150" s="581">
        <f t="shared" si="134"/>
        <v>0</v>
      </c>
      <c r="CN150" s="762" t="s">
        <v>567</v>
      </c>
      <c r="CW150" s="630"/>
      <c r="CX150" s="630"/>
      <c r="CY150" s="630"/>
      <c r="CZ150" s="630"/>
      <c r="DA150" s="630"/>
      <c r="DB150" s="562"/>
      <c r="DC150" s="562"/>
      <c r="DD150" s="562"/>
      <c r="DE150" s="562"/>
      <c r="DF150" s="562"/>
      <c r="DG150" s="562"/>
      <c r="DH150" s="562"/>
      <c r="DI150" s="562"/>
      <c r="DJ150" s="562"/>
      <c r="DK150" s="562"/>
      <c r="DL150" s="562"/>
      <c r="DM150" s="562"/>
      <c r="DN150" s="562"/>
      <c r="DO150" s="562"/>
      <c r="DP150" s="562"/>
      <c r="DQ150" s="562"/>
      <c r="DR150" s="562"/>
      <c r="DS150" s="562"/>
      <c r="DT150" s="562"/>
      <c r="DU150" s="562"/>
      <c r="DV150" s="562"/>
      <c r="DW150" s="562"/>
      <c r="DX150" s="562"/>
      <c r="DY150" s="562"/>
      <c r="DZ150" s="562"/>
      <c r="EA150" s="562"/>
      <c r="EB150" s="562"/>
      <c r="EC150" s="562"/>
      <c r="ED150" s="562"/>
      <c r="EE150" s="562"/>
      <c r="EF150" s="562"/>
      <c r="EG150" s="562"/>
      <c r="EH150" s="562"/>
      <c r="EI150" s="562"/>
      <c r="EJ150" s="562"/>
      <c r="EK150" s="562"/>
      <c r="EL150" s="562"/>
    </row>
    <row r="151" spans="2:142" s="78" customFormat="1" ht="15" customHeight="1" x14ac:dyDescent="0.25">
      <c r="B151" s="77"/>
      <c r="E151" s="77"/>
      <c r="H151" s="77"/>
      <c r="Y151" s="90">
        <v>149</v>
      </c>
      <c r="Z151" s="559" t="str">
        <f>IF(Inventory!$C158="","",VLOOKUP(Inventory!$C158,$B$3:$C$5,2,FALSE))</f>
        <v/>
      </c>
      <c r="AA151" s="559" t="str">
        <f>IF($Z151="","",IF(AND($Z151="b",Inventory!$G158=""),"",IF(AND($Z151="b",Inventory!$G158&lt;&gt;""),VLOOKUP(Inventory!$G158,$E$3:$F$10,2,FALSE),IF(AND($Z151="a",Inventory!$Z158=""),"",IF(AND($Z151="a",Inventory!$Z158&lt;&gt;""),VLOOKUP(Inventory!$Z158,$E$3:$F$10,2,FALSE),IF(AND($Z151="c",Inventory!$Z158=""),"",IF(AND($Z151="c",Inventory!$Z158&lt;&gt;""),VLOOKUP(Inventory!$Z158,$E$3:$F$10,2,FALSE),"")))))))</f>
        <v/>
      </c>
      <c r="AB151" s="559" t="str">
        <f>IF($Z151="","a",IF(AND($Z151="b",Inventory!$J158=""),"a",IF(AND($Z151="b",Inventory!$J158&lt;&gt;""),VLOOKUP(Inventory!$J158,$H$4:$I$6,2,FALSE),IF(AND($Z151="a",Inventory!$AA158=""),"a",IF(AND($Z151="a",Inventory!$AA158&lt;&gt;""),VLOOKUP(Inventory!$AA158,$H$4:$I$6,2,FALSE),IF(AND($Z151="c",Inventory!$AA158=""),"a",IF(AND($Z151="c",Inventory!$AA158&lt;&gt;""),VLOOKUP(Inventory!$AA158,$H$4:$I$6,2,FALSE),"a")))))))</f>
        <v>a</v>
      </c>
      <c r="AC151" s="559" t="str">
        <f t="shared" si="109"/>
        <v>a</v>
      </c>
      <c r="AD151" s="473" t="str">
        <f>IF($Z151="","a",IF(AND($Z151="b",Inventory!$L158=""),"a",IF(AND($Z151="b",Inventory!$L158&lt;&gt;""),VLOOKUP(Inventory!$L158,$N$4:$O$5,2,FALSE),IF(AND($Z151="a",Inventory!$AC158=""),"a",IF(AND($Z151="a",Inventory!$AC158&lt;&gt;""),VLOOKUP(Inventory!$AC158,$N$4:$O$5,2,FALSE),IF(AND($Z151="c",Inventory!$AC158=""),"a",IF(AND($Z151="c",Inventory!$AC158&lt;&gt;""),VLOOKUP(Inventory!$AC158,$N$4:$O$5,2,FALSE),"a")))))))</f>
        <v>a</v>
      </c>
      <c r="AE151" s="474">
        <f>IF(OR(Inventory!C158="New Construction",Inventory!C158="Replace-on-Burnout"),Inventory!AF158,IF(Inventory!C158="Early Retirement",MIN(Inventory!AE158,Inventory!AF158),0))</f>
        <v>0</v>
      </c>
      <c r="AF151" s="475" t="str">
        <f t="shared" si="110"/>
        <v/>
      </c>
      <c r="AG151" s="475" t="str">
        <f t="shared" si="98"/>
        <v/>
      </c>
      <c r="AH151" s="475" t="str">
        <f t="shared" si="99"/>
        <v/>
      </c>
      <c r="AI151" s="475" t="str">
        <f t="shared" si="100"/>
        <v/>
      </c>
      <c r="AJ151" s="475" t="str">
        <f t="shared" si="101"/>
        <v/>
      </c>
      <c r="AK151" s="475" t="str">
        <f t="shared" si="111"/>
        <v/>
      </c>
      <c r="AL151" s="475" t="str">
        <f t="shared" si="112"/>
        <v/>
      </c>
      <c r="AM151" s="475" t="str">
        <f t="shared" si="113"/>
        <v/>
      </c>
      <c r="AN151" s="475" t="str">
        <f t="shared" si="114"/>
        <v/>
      </c>
      <c r="AO151" s="475" t="str">
        <f t="shared" si="115"/>
        <v/>
      </c>
      <c r="AP151" s="475" t="str">
        <f t="shared" si="116"/>
        <v/>
      </c>
      <c r="AQ151" s="475" t="str">
        <f t="shared" si="117"/>
        <v/>
      </c>
      <c r="AR151" s="475" t="str">
        <f t="shared" si="118"/>
        <v/>
      </c>
      <c r="AS151" s="475" t="str">
        <f t="shared" si="119"/>
        <v/>
      </c>
      <c r="AT151" s="475" t="str">
        <f t="shared" si="120"/>
        <v/>
      </c>
      <c r="AU151" s="475" t="str">
        <f t="shared" si="121"/>
        <v/>
      </c>
      <c r="AV151" s="475" t="str">
        <f t="shared" si="102"/>
        <v/>
      </c>
      <c r="AW151" s="473">
        <f t="shared" si="103"/>
        <v>0</v>
      </c>
      <c r="AX151" s="473" t="str">
        <f>IF(AND($Z151="b",OR($AA151="a",$AA151="b"),Inventory!$I158="",$AE151&lt;(65000/12000)),"x",IF(AND($Z151="b",OR($AA151="a",$AA151="b"),Inventory!$I158&lt;&gt;"",$AE151&lt;(65000/12000)),VLOOKUP(Inventory!$I158,$V$4:$W$5,2,FALSE),"x"))</f>
        <v>x</v>
      </c>
      <c r="AY151" s="476" t="str">
        <f t="shared" si="122"/>
        <v>aaa0</v>
      </c>
      <c r="AZ151" s="477" t="str">
        <f t="shared" si="123"/>
        <v>No</v>
      </c>
      <c r="BA151" s="759" t="str">
        <f t="shared" si="124"/>
        <v>No</v>
      </c>
      <c r="BB151" s="477">
        <f>IF($Z151="c",Inventory!$AB158,Inventory!$K158)</f>
        <v>0</v>
      </c>
      <c r="BC151" s="478">
        <f>IF(AND($Z151="b",Inventory!$N158="Btu/hr"),Inventory!$M158,IF(AND($Z151="b",Inventory!$N158="Tons"),Inventory!$M158*12000,IF(AND($Z151&lt;&gt;"b",Inventory!$AK158="Btu/hr"),Inventory!$AD158,IF(AND($Z151&lt;&gt;"b",Inventory!$AK158="Tons"),Inventory!$AD158*12000,0))))</f>
        <v>0</v>
      </c>
      <c r="BD151" s="478">
        <f t="shared" si="95"/>
        <v>0</v>
      </c>
      <c r="BE151" s="479">
        <f t="shared" si="125"/>
        <v>0</v>
      </c>
      <c r="BF151" s="477" t="s">
        <v>50</v>
      </c>
      <c r="BG151" s="479">
        <f t="shared" si="104"/>
        <v>0</v>
      </c>
      <c r="BH151" s="477" t="s">
        <v>46</v>
      </c>
      <c r="BI151" s="760">
        <f>IF(AND($Z151="b",Inventory!$P158="Btu/hr"),Inventory!$O158,IF(AND($Z151="b",Inventory!$P158="Tons"),Inventory!$O158*12000,IF(AND($Z151&lt;&gt;"b",Inventory!$AM158="Btu/hr"),Inventory!$AL158,IF(AND($Z151&lt;&gt;"b",Inventory!$AM158="Tons"),Inventory!$AL158*12000,0))))</f>
        <v>0</v>
      </c>
      <c r="BJ151" s="760">
        <f t="shared" si="96"/>
        <v>0</v>
      </c>
      <c r="BK151" s="598">
        <f t="shared" si="126"/>
        <v>0</v>
      </c>
      <c r="BL151" s="759" t="s">
        <v>567</v>
      </c>
      <c r="BM151" s="477" t="str">
        <f t="shared" si="105"/>
        <v>No</v>
      </c>
      <c r="BN151" s="477" t="str">
        <f>IF(OR(Inventory!$H158="",$BM151="No"),"-",Inventory!$H158)</f>
        <v>-</v>
      </c>
      <c r="BO151" s="477" t="str">
        <f>IFERROR(VLOOKUP(BN151,'Early Retirement'!$B$6:$C$33,2,FALSE),"-")</f>
        <v>-</v>
      </c>
      <c r="BP151" s="477" t="str">
        <f>IF(Inventory!$J158="Centrifugal","Yes","No")</f>
        <v>No</v>
      </c>
      <c r="BQ151" s="477">
        <f t="shared" si="127"/>
        <v>0</v>
      </c>
      <c r="BR151" s="477" t="str">
        <f t="shared" si="128"/>
        <v>-</v>
      </c>
      <c r="BS151" s="479">
        <f>IFERROR(INDEX('Early Retirement'!$C$4:$AC$33,$BO151,$BR151),0)</f>
        <v>0</v>
      </c>
      <c r="BT151" s="477">
        <f>IFERROR(HLOOKUP($BR151,'Early Retirement'!$D$4:$AC$5,2,FALSE),0)</f>
        <v>0</v>
      </c>
      <c r="BU151" s="761">
        <f>IFERROR(INDEX('Early Retirement'!$AE$4:$BE$33,$BO151,$BR151),0)</f>
        <v>0</v>
      </c>
      <c r="BV151" s="759">
        <f>IFERROR(HLOOKUP($BR151,'Early Retirement'!$AF$4:$BE$5,2,FALSE),0)</f>
        <v>0</v>
      </c>
      <c r="BW151" s="479">
        <f t="shared" si="135"/>
        <v>0</v>
      </c>
      <c r="BX151" s="761">
        <f t="shared" si="129"/>
        <v>0</v>
      </c>
      <c r="BY151" s="477" t="s">
        <v>46</v>
      </c>
      <c r="BZ151" s="598">
        <f>IFERROR(INDEX('Early Retirement'!$BG$4:$CG$33,$BO151,$BR151),0)</f>
        <v>0</v>
      </c>
      <c r="CA151" s="759">
        <f>IFERROR(HLOOKUP($BR151,'Early Retirement'!$BH$4:$CH$5,2,FALSE),0)</f>
        <v>0</v>
      </c>
      <c r="CB151" s="598">
        <f t="shared" si="130"/>
        <v>0</v>
      </c>
      <c r="CC151" s="759" t="s">
        <v>567</v>
      </c>
      <c r="CD151" s="477" t="str">
        <f t="shared" si="106"/>
        <v>Yes</v>
      </c>
      <c r="CE151" s="479">
        <f t="shared" si="107"/>
        <v>0</v>
      </c>
      <c r="CF151" s="761">
        <f t="shared" si="108"/>
        <v>0</v>
      </c>
      <c r="CG151" s="759" t="s">
        <v>46</v>
      </c>
      <c r="CH151" s="598">
        <f t="shared" si="131"/>
        <v>0</v>
      </c>
      <c r="CI151" s="759" t="s">
        <v>567</v>
      </c>
      <c r="CJ151" s="480">
        <f t="shared" si="132"/>
        <v>0</v>
      </c>
      <c r="CK151" s="583">
        <f t="shared" si="133"/>
        <v>0</v>
      </c>
      <c r="CL151" s="596" t="s">
        <v>46</v>
      </c>
      <c r="CM151" s="581">
        <f t="shared" si="134"/>
        <v>0</v>
      </c>
      <c r="CN151" s="762" t="s">
        <v>567</v>
      </c>
      <c r="CW151" s="630"/>
      <c r="CX151" s="630"/>
      <c r="CY151" s="630"/>
      <c r="CZ151" s="630"/>
      <c r="DA151" s="630"/>
      <c r="DB151" s="562"/>
      <c r="DC151" s="562"/>
      <c r="DD151" s="562"/>
      <c r="DE151" s="562"/>
      <c r="DF151" s="562"/>
      <c r="DG151" s="562"/>
      <c r="DH151" s="562"/>
      <c r="DI151" s="562"/>
      <c r="DJ151" s="562"/>
      <c r="DK151" s="562"/>
      <c r="DL151" s="562"/>
      <c r="DM151" s="562"/>
      <c r="DN151" s="562"/>
      <c r="DO151" s="562"/>
      <c r="DP151" s="562"/>
      <c r="DQ151" s="562"/>
      <c r="DR151" s="562"/>
      <c r="DS151" s="562"/>
      <c r="DT151" s="562"/>
      <c r="DU151" s="562"/>
      <c r="DV151" s="562"/>
      <c r="DW151" s="562"/>
      <c r="DX151" s="562"/>
      <c r="DY151" s="562"/>
      <c r="DZ151" s="562"/>
      <c r="EA151" s="562"/>
      <c r="EB151" s="562"/>
      <c r="EC151" s="562"/>
      <c r="ED151" s="562"/>
      <c r="EE151" s="562"/>
      <c r="EF151" s="562"/>
      <c r="EG151" s="562"/>
      <c r="EH151" s="562"/>
      <c r="EI151" s="562"/>
      <c r="EJ151" s="562"/>
      <c r="EK151" s="562"/>
      <c r="EL151" s="562"/>
    </row>
    <row r="152" spans="2:142" s="78" customFormat="1" ht="15" customHeight="1" x14ac:dyDescent="0.25">
      <c r="B152" s="77"/>
      <c r="E152" s="77"/>
      <c r="H152" s="77"/>
      <c r="Y152" s="90">
        <v>150</v>
      </c>
      <c r="Z152" s="559" t="str">
        <f>IF(Inventory!$C159="","",VLOOKUP(Inventory!$C159,$B$3:$C$5,2,FALSE))</f>
        <v/>
      </c>
      <c r="AA152" s="559" t="str">
        <f>IF($Z152="","",IF(AND($Z152="b",Inventory!$G159=""),"",IF(AND($Z152="b",Inventory!$G159&lt;&gt;""),VLOOKUP(Inventory!$G159,$E$3:$F$10,2,FALSE),IF(AND($Z152="a",Inventory!$Z159=""),"",IF(AND($Z152="a",Inventory!$Z159&lt;&gt;""),VLOOKUP(Inventory!$Z159,$E$3:$F$10,2,FALSE),IF(AND($Z152="c",Inventory!$Z159=""),"",IF(AND($Z152="c",Inventory!$Z159&lt;&gt;""),VLOOKUP(Inventory!$Z159,$E$3:$F$10,2,FALSE),"")))))))</f>
        <v/>
      </c>
      <c r="AB152" s="559" t="str">
        <f>IF($Z152="","a",IF(AND($Z152="b",Inventory!$J159=""),"a",IF(AND($Z152="b",Inventory!$J159&lt;&gt;""),VLOOKUP(Inventory!$J159,$H$4:$I$6,2,FALSE),IF(AND($Z152="a",Inventory!$AA159=""),"a",IF(AND($Z152="a",Inventory!$AA159&lt;&gt;""),VLOOKUP(Inventory!$AA159,$H$4:$I$6,2,FALSE),IF(AND($Z152="c",Inventory!$AA159=""),"a",IF(AND($Z152="c",Inventory!$AA159&lt;&gt;""),VLOOKUP(Inventory!$AA159,$H$4:$I$6,2,FALSE),"a")))))))</f>
        <v>a</v>
      </c>
      <c r="AC152" s="559" t="str">
        <f t="shared" si="109"/>
        <v>a</v>
      </c>
      <c r="AD152" s="473" t="str">
        <f>IF($Z152="","a",IF(AND($Z152="b",Inventory!$L159=""),"a",IF(AND($Z152="b",Inventory!$L159&lt;&gt;""),VLOOKUP(Inventory!$L159,$N$4:$O$5,2,FALSE),IF(AND($Z152="a",Inventory!$AC159=""),"a",IF(AND($Z152="a",Inventory!$AC159&lt;&gt;""),VLOOKUP(Inventory!$AC159,$N$4:$O$5,2,FALSE),IF(AND($Z152="c",Inventory!$AC159=""),"a",IF(AND($Z152="c",Inventory!$AC159&lt;&gt;""),VLOOKUP(Inventory!$AC159,$N$4:$O$5,2,FALSE),"a")))))))</f>
        <v>a</v>
      </c>
      <c r="AE152" s="474">
        <f>IF(OR(Inventory!C159="New Construction",Inventory!C159="Replace-on-Burnout"),Inventory!AF159,IF(Inventory!C159="Early Retirement",MIN(Inventory!AE159,Inventory!AF159),0))</f>
        <v>0</v>
      </c>
      <c r="AF152" s="475" t="str">
        <f t="shared" si="110"/>
        <v/>
      </c>
      <c r="AG152" s="475" t="str">
        <f t="shared" si="98"/>
        <v/>
      </c>
      <c r="AH152" s="475" t="str">
        <f t="shared" si="99"/>
        <v/>
      </c>
      <c r="AI152" s="475" t="str">
        <f t="shared" si="100"/>
        <v/>
      </c>
      <c r="AJ152" s="475" t="str">
        <f t="shared" si="101"/>
        <v/>
      </c>
      <c r="AK152" s="475" t="str">
        <f t="shared" si="111"/>
        <v/>
      </c>
      <c r="AL152" s="475" t="str">
        <f t="shared" si="112"/>
        <v/>
      </c>
      <c r="AM152" s="475" t="str">
        <f t="shared" si="113"/>
        <v/>
      </c>
      <c r="AN152" s="475" t="str">
        <f t="shared" si="114"/>
        <v/>
      </c>
      <c r="AO152" s="475" t="str">
        <f t="shared" si="115"/>
        <v/>
      </c>
      <c r="AP152" s="475" t="str">
        <f t="shared" si="116"/>
        <v/>
      </c>
      <c r="AQ152" s="475" t="str">
        <f t="shared" si="117"/>
        <v/>
      </c>
      <c r="AR152" s="475" t="str">
        <f t="shared" si="118"/>
        <v/>
      </c>
      <c r="AS152" s="475" t="str">
        <f t="shared" si="119"/>
        <v/>
      </c>
      <c r="AT152" s="475" t="str">
        <f t="shared" si="120"/>
        <v/>
      </c>
      <c r="AU152" s="475" t="str">
        <f t="shared" si="121"/>
        <v/>
      </c>
      <c r="AV152" s="475" t="str">
        <f t="shared" si="102"/>
        <v/>
      </c>
      <c r="AW152" s="473">
        <f t="shared" si="103"/>
        <v>0</v>
      </c>
      <c r="AX152" s="473" t="str">
        <f>IF(AND($Z152="b",OR($AA152="a",$AA152="b"),Inventory!$I159="",$AE152&lt;(65000/12000)),"x",IF(AND($Z152="b",OR($AA152="a",$AA152="b"),Inventory!$I159&lt;&gt;"",$AE152&lt;(65000/12000)),VLOOKUP(Inventory!$I159,$V$4:$W$5,2,FALSE),"x"))</f>
        <v>x</v>
      </c>
      <c r="AY152" s="476" t="str">
        <f t="shared" si="122"/>
        <v>aaa0</v>
      </c>
      <c r="AZ152" s="477" t="str">
        <f t="shared" si="123"/>
        <v>No</v>
      </c>
      <c r="BA152" s="759" t="str">
        <f t="shared" si="124"/>
        <v>No</v>
      </c>
      <c r="BB152" s="477">
        <f>IF($Z152="c",Inventory!$AB159,Inventory!$K159)</f>
        <v>0</v>
      </c>
      <c r="BC152" s="478">
        <f>IF(AND($Z152="b",Inventory!$N159="Btu/hr"),Inventory!$M159,IF(AND($Z152="b",Inventory!$N159="Tons"),Inventory!$M159*12000,IF(AND($Z152&lt;&gt;"b",Inventory!$AK159="Btu/hr"),Inventory!$AD159,IF(AND($Z152&lt;&gt;"b",Inventory!$AK159="Tons"),Inventory!$AD159*12000,0))))</f>
        <v>0</v>
      </c>
      <c r="BD152" s="478">
        <f t="shared" si="95"/>
        <v>0</v>
      </c>
      <c r="BE152" s="479">
        <f t="shared" si="125"/>
        <v>0</v>
      </c>
      <c r="BF152" s="477" t="s">
        <v>50</v>
      </c>
      <c r="BG152" s="479">
        <f t="shared" si="104"/>
        <v>0</v>
      </c>
      <c r="BH152" s="477" t="s">
        <v>46</v>
      </c>
      <c r="BI152" s="760">
        <f>IF(AND($Z152="b",Inventory!$P159="Btu/hr"),Inventory!$O159,IF(AND($Z152="b",Inventory!$P159="Tons"),Inventory!$O159*12000,IF(AND($Z152&lt;&gt;"b",Inventory!$AM159="Btu/hr"),Inventory!$AL159,IF(AND($Z152&lt;&gt;"b",Inventory!$AM159="Tons"),Inventory!$AL159*12000,0))))</f>
        <v>0</v>
      </c>
      <c r="BJ152" s="760">
        <f t="shared" si="96"/>
        <v>0</v>
      </c>
      <c r="BK152" s="598">
        <f t="shared" si="126"/>
        <v>0</v>
      </c>
      <c r="BL152" s="759" t="s">
        <v>567</v>
      </c>
      <c r="BM152" s="477" t="str">
        <f t="shared" si="105"/>
        <v>No</v>
      </c>
      <c r="BN152" s="477" t="str">
        <f>IF(OR(Inventory!$H159="",$BM152="No"),"-",Inventory!$H159)</f>
        <v>-</v>
      </c>
      <c r="BO152" s="477" t="str">
        <f>IFERROR(VLOOKUP(BN152,'Early Retirement'!$B$6:$C$33,2,FALSE),"-")</f>
        <v>-</v>
      </c>
      <c r="BP152" s="477" t="str">
        <f>IF(Inventory!$J159="Centrifugal","Yes","No")</f>
        <v>No</v>
      </c>
      <c r="BQ152" s="477">
        <f t="shared" si="127"/>
        <v>0</v>
      </c>
      <c r="BR152" s="477" t="str">
        <f t="shared" si="128"/>
        <v>-</v>
      </c>
      <c r="BS152" s="479">
        <f>IFERROR(INDEX('Early Retirement'!$C$4:$AC$33,$BO152,$BR152),0)</f>
        <v>0</v>
      </c>
      <c r="BT152" s="477">
        <f>IFERROR(HLOOKUP($BR152,'Early Retirement'!$D$4:$AC$5,2,FALSE),0)</f>
        <v>0</v>
      </c>
      <c r="BU152" s="761">
        <f>IFERROR(INDEX('Early Retirement'!$AE$4:$BE$33,$BO152,$BR152),0)</f>
        <v>0</v>
      </c>
      <c r="BV152" s="759">
        <f>IFERROR(HLOOKUP($BR152,'Early Retirement'!$AF$4:$BE$5,2,FALSE),0)</f>
        <v>0</v>
      </c>
      <c r="BW152" s="479">
        <f t="shared" si="135"/>
        <v>0</v>
      </c>
      <c r="BX152" s="761">
        <f t="shared" si="129"/>
        <v>0</v>
      </c>
      <c r="BY152" s="477" t="s">
        <v>46</v>
      </c>
      <c r="BZ152" s="598">
        <f>IFERROR(INDEX('Early Retirement'!$BG$4:$CG$33,$BO152,$BR152),0)</f>
        <v>0</v>
      </c>
      <c r="CA152" s="759">
        <f>IFERROR(HLOOKUP($BR152,'Early Retirement'!$BH$4:$CH$5,2,FALSE),0)</f>
        <v>0</v>
      </c>
      <c r="CB152" s="598">
        <f t="shared" si="130"/>
        <v>0</v>
      </c>
      <c r="CC152" s="759" t="s">
        <v>567</v>
      </c>
      <c r="CD152" s="477" t="str">
        <f t="shared" si="106"/>
        <v>Yes</v>
      </c>
      <c r="CE152" s="479">
        <f t="shared" si="107"/>
        <v>0</v>
      </c>
      <c r="CF152" s="761">
        <f t="shared" si="108"/>
        <v>0</v>
      </c>
      <c r="CG152" s="759" t="s">
        <v>46</v>
      </c>
      <c r="CH152" s="598">
        <f t="shared" si="131"/>
        <v>0</v>
      </c>
      <c r="CI152" s="759" t="s">
        <v>567</v>
      </c>
      <c r="CJ152" s="480">
        <f t="shared" si="132"/>
        <v>0</v>
      </c>
      <c r="CK152" s="583">
        <f t="shared" si="133"/>
        <v>0</v>
      </c>
      <c r="CL152" s="596" t="s">
        <v>46</v>
      </c>
      <c r="CM152" s="581">
        <f t="shared" si="134"/>
        <v>0</v>
      </c>
      <c r="CN152" s="762" t="s">
        <v>567</v>
      </c>
      <c r="CW152" s="630"/>
      <c r="CX152" s="630"/>
      <c r="CY152" s="630"/>
      <c r="CZ152" s="630"/>
      <c r="DA152" s="630"/>
      <c r="DB152" s="562"/>
      <c r="DC152" s="562"/>
      <c r="DD152" s="562"/>
      <c r="DE152" s="562"/>
      <c r="DF152" s="562"/>
      <c r="DG152" s="562"/>
      <c r="DH152" s="562"/>
      <c r="DI152" s="562"/>
      <c r="DJ152" s="562"/>
      <c r="DK152" s="562"/>
      <c r="DL152" s="562"/>
      <c r="DM152" s="562"/>
      <c r="DN152" s="562"/>
      <c r="DO152" s="562"/>
      <c r="DP152" s="562"/>
      <c r="DQ152" s="562"/>
      <c r="DR152" s="562"/>
      <c r="DS152" s="562"/>
      <c r="DT152" s="562"/>
      <c r="DU152" s="562"/>
      <c r="DV152" s="562"/>
      <c r="DW152" s="562"/>
      <c r="DX152" s="562"/>
      <c r="DY152" s="562"/>
      <c r="DZ152" s="562"/>
      <c r="EA152" s="562"/>
      <c r="EB152" s="562"/>
      <c r="EC152" s="562"/>
      <c r="ED152" s="562"/>
      <c r="EE152" s="562"/>
      <c r="EF152" s="562"/>
      <c r="EG152" s="562"/>
      <c r="EH152" s="562"/>
      <c r="EI152" s="562"/>
      <c r="EJ152" s="562"/>
      <c r="EK152" s="562"/>
      <c r="EL152" s="562"/>
    </row>
    <row r="153" spans="2:142" s="78" customFormat="1" ht="15" customHeight="1" x14ac:dyDescent="0.25">
      <c r="B153" s="77"/>
      <c r="E153" s="77"/>
      <c r="H153" s="77"/>
      <c r="Y153" s="90">
        <v>151</v>
      </c>
      <c r="Z153" s="559" t="str">
        <f>IF(Inventory!$C160="","",VLOOKUP(Inventory!$C160,$B$3:$C$5,2,FALSE))</f>
        <v/>
      </c>
      <c r="AA153" s="559" t="str">
        <f>IF($Z153="","",IF(AND($Z153="b",Inventory!$G160=""),"",IF(AND($Z153="b",Inventory!$G160&lt;&gt;""),VLOOKUP(Inventory!$G160,$E$3:$F$10,2,FALSE),IF(AND($Z153="a",Inventory!$Z160=""),"",IF(AND($Z153="a",Inventory!$Z160&lt;&gt;""),VLOOKUP(Inventory!$Z160,$E$3:$F$10,2,FALSE),IF(AND($Z153="c",Inventory!$Z160=""),"",IF(AND($Z153="c",Inventory!$Z160&lt;&gt;""),VLOOKUP(Inventory!$Z160,$E$3:$F$10,2,FALSE),"")))))))</f>
        <v/>
      </c>
      <c r="AB153" s="559" t="str">
        <f>IF($Z153="","a",IF(AND($Z153="b",Inventory!$J160=""),"a",IF(AND($Z153="b",Inventory!$J160&lt;&gt;""),VLOOKUP(Inventory!$J160,$H$4:$I$6,2,FALSE),IF(AND($Z153="a",Inventory!$AA160=""),"a",IF(AND($Z153="a",Inventory!$AA160&lt;&gt;""),VLOOKUP(Inventory!$AA160,$H$4:$I$6,2,FALSE),IF(AND($Z153="c",Inventory!$AA160=""),"a",IF(AND($Z153="c",Inventory!$AA160&lt;&gt;""),VLOOKUP(Inventory!$AA160,$H$4:$I$6,2,FALSE),"a")))))))</f>
        <v>a</v>
      </c>
      <c r="AC153" s="559" t="str">
        <f t="shared" si="109"/>
        <v>a</v>
      </c>
      <c r="AD153" s="473" t="str">
        <f>IF($Z153="","a",IF(AND($Z153="b",Inventory!$L160=""),"a",IF(AND($Z153="b",Inventory!$L160&lt;&gt;""),VLOOKUP(Inventory!$L160,$N$4:$O$5,2,FALSE),IF(AND($Z153="a",Inventory!$AC160=""),"a",IF(AND($Z153="a",Inventory!$AC160&lt;&gt;""),VLOOKUP(Inventory!$AC160,$N$4:$O$5,2,FALSE),IF(AND($Z153="c",Inventory!$AC160=""),"a",IF(AND($Z153="c",Inventory!$AC160&lt;&gt;""),VLOOKUP(Inventory!$AC160,$N$4:$O$5,2,FALSE),"a")))))))</f>
        <v>a</v>
      </c>
      <c r="AE153" s="474">
        <f>IF(OR(Inventory!C160="New Construction",Inventory!C160="Replace-on-Burnout"),Inventory!AF160,IF(Inventory!C160="Early Retirement",MIN(Inventory!AE160,Inventory!AF160),0))</f>
        <v>0</v>
      </c>
      <c r="AF153" s="475" t="str">
        <f t="shared" si="110"/>
        <v/>
      </c>
      <c r="AG153" s="475" t="str">
        <f t="shared" si="98"/>
        <v/>
      </c>
      <c r="AH153" s="475" t="str">
        <f t="shared" si="99"/>
        <v/>
      </c>
      <c r="AI153" s="475" t="str">
        <f t="shared" si="100"/>
        <v/>
      </c>
      <c r="AJ153" s="475" t="str">
        <f t="shared" si="101"/>
        <v/>
      </c>
      <c r="AK153" s="475" t="str">
        <f t="shared" si="111"/>
        <v/>
      </c>
      <c r="AL153" s="475" t="str">
        <f t="shared" si="112"/>
        <v/>
      </c>
      <c r="AM153" s="475" t="str">
        <f t="shared" si="113"/>
        <v/>
      </c>
      <c r="AN153" s="475" t="str">
        <f t="shared" si="114"/>
        <v/>
      </c>
      <c r="AO153" s="475" t="str">
        <f t="shared" si="115"/>
        <v/>
      </c>
      <c r="AP153" s="475" t="str">
        <f t="shared" si="116"/>
        <v/>
      </c>
      <c r="AQ153" s="475" t="str">
        <f t="shared" si="117"/>
        <v/>
      </c>
      <c r="AR153" s="475" t="str">
        <f t="shared" si="118"/>
        <v/>
      </c>
      <c r="AS153" s="475" t="str">
        <f t="shared" si="119"/>
        <v/>
      </c>
      <c r="AT153" s="475" t="str">
        <f t="shared" si="120"/>
        <v/>
      </c>
      <c r="AU153" s="475" t="str">
        <f t="shared" si="121"/>
        <v/>
      </c>
      <c r="AV153" s="475" t="str">
        <f t="shared" si="102"/>
        <v/>
      </c>
      <c r="AW153" s="473">
        <f t="shared" si="103"/>
        <v>0</v>
      </c>
      <c r="AX153" s="473" t="str">
        <f>IF(AND($Z153="b",OR($AA153="a",$AA153="b"),Inventory!$I160="",$AE153&lt;(65000/12000)),"x",IF(AND($Z153="b",OR($AA153="a",$AA153="b"),Inventory!$I160&lt;&gt;"",$AE153&lt;(65000/12000)),VLOOKUP(Inventory!$I160,$V$4:$W$5,2,FALSE),"x"))</f>
        <v>x</v>
      </c>
      <c r="AY153" s="476" t="str">
        <f t="shared" si="122"/>
        <v>aaa0</v>
      </c>
      <c r="AZ153" s="477" t="str">
        <f t="shared" si="123"/>
        <v>No</v>
      </c>
      <c r="BA153" s="759" t="str">
        <f t="shared" si="124"/>
        <v>No</v>
      </c>
      <c r="BB153" s="477">
        <f>IF($Z153="c",Inventory!$AB160,Inventory!$K160)</f>
        <v>0</v>
      </c>
      <c r="BC153" s="478">
        <f>IF(AND($Z153="b",Inventory!$N160="Btu/hr"),Inventory!$M160,IF(AND($Z153="b",Inventory!$N160="Tons"),Inventory!$M160*12000,IF(AND($Z153&lt;&gt;"b",Inventory!$AK160="Btu/hr"),Inventory!$AD160,IF(AND($Z153&lt;&gt;"b",Inventory!$AK160="Tons"),Inventory!$AD160*12000,0))))</f>
        <v>0</v>
      </c>
      <c r="BD153" s="478">
        <f t="shared" si="95"/>
        <v>0</v>
      </c>
      <c r="BE153" s="479">
        <f t="shared" si="125"/>
        <v>0</v>
      </c>
      <c r="BF153" s="477" t="s">
        <v>50</v>
      </c>
      <c r="BG153" s="479">
        <f t="shared" si="104"/>
        <v>0</v>
      </c>
      <c r="BH153" s="477" t="s">
        <v>46</v>
      </c>
      <c r="BI153" s="760">
        <f>IF(AND($Z153="b",Inventory!$P160="Btu/hr"),Inventory!$O160,IF(AND($Z153="b",Inventory!$P160="Tons"),Inventory!$O160*12000,IF(AND($Z153&lt;&gt;"b",Inventory!$AM160="Btu/hr"),Inventory!$AL160,IF(AND($Z153&lt;&gt;"b",Inventory!$AM160="Tons"),Inventory!$AL160*12000,0))))</f>
        <v>0</v>
      </c>
      <c r="BJ153" s="760">
        <f t="shared" si="96"/>
        <v>0</v>
      </c>
      <c r="BK153" s="598">
        <f t="shared" si="126"/>
        <v>0</v>
      </c>
      <c r="BL153" s="759" t="s">
        <v>567</v>
      </c>
      <c r="BM153" s="477" t="str">
        <f t="shared" si="105"/>
        <v>No</v>
      </c>
      <c r="BN153" s="477" t="str">
        <f>IF(OR(Inventory!$H160="",$BM153="No"),"-",Inventory!$H160)</f>
        <v>-</v>
      </c>
      <c r="BO153" s="477" t="str">
        <f>IFERROR(VLOOKUP(BN153,'Early Retirement'!$B$6:$C$33,2,FALSE),"-")</f>
        <v>-</v>
      </c>
      <c r="BP153" s="477" t="str">
        <f>IF(Inventory!$J160="Centrifugal","Yes","No")</f>
        <v>No</v>
      </c>
      <c r="BQ153" s="477">
        <f t="shared" si="127"/>
        <v>0</v>
      </c>
      <c r="BR153" s="477" t="str">
        <f t="shared" si="128"/>
        <v>-</v>
      </c>
      <c r="BS153" s="479">
        <f>IFERROR(INDEX('Early Retirement'!$C$4:$AC$33,$BO153,$BR153),0)</f>
        <v>0</v>
      </c>
      <c r="BT153" s="477">
        <f>IFERROR(HLOOKUP($BR153,'Early Retirement'!$D$4:$AC$5,2,FALSE),0)</f>
        <v>0</v>
      </c>
      <c r="BU153" s="761">
        <f>IFERROR(INDEX('Early Retirement'!$AE$4:$BE$33,$BO153,$BR153),0)</f>
        <v>0</v>
      </c>
      <c r="BV153" s="759">
        <f>IFERROR(HLOOKUP($BR153,'Early Retirement'!$AF$4:$BE$5,2,FALSE),0)</f>
        <v>0</v>
      </c>
      <c r="BW153" s="479">
        <f t="shared" si="135"/>
        <v>0</v>
      </c>
      <c r="BX153" s="761">
        <f t="shared" si="129"/>
        <v>0</v>
      </c>
      <c r="BY153" s="477" t="s">
        <v>46</v>
      </c>
      <c r="BZ153" s="598">
        <f>IFERROR(INDEX('Early Retirement'!$BG$4:$CG$33,$BO153,$BR153),0)</f>
        <v>0</v>
      </c>
      <c r="CA153" s="759">
        <f>IFERROR(HLOOKUP($BR153,'Early Retirement'!$BH$4:$CH$5,2,FALSE),0)</f>
        <v>0</v>
      </c>
      <c r="CB153" s="598">
        <f t="shared" si="130"/>
        <v>0</v>
      </c>
      <c r="CC153" s="759" t="s">
        <v>567</v>
      </c>
      <c r="CD153" s="477" t="str">
        <f t="shared" si="106"/>
        <v>Yes</v>
      </c>
      <c r="CE153" s="479">
        <f t="shared" si="107"/>
        <v>0</v>
      </c>
      <c r="CF153" s="761">
        <f t="shared" si="108"/>
        <v>0</v>
      </c>
      <c r="CG153" s="759" t="s">
        <v>46</v>
      </c>
      <c r="CH153" s="598">
        <f t="shared" si="131"/>
        <v>0</v>
      </c>
      <c r="CI153" s="759" t="s">
        <v>567</v>
      </c>
      <c r="CJ153" s="480">
        <f t="shared" si="132"/>
        <v>0</v>
      </c>
      <c r="CK153" s="583">
        <f t="shared" si="133"/>
        <v>0</v>
      </c>
      <c r="CL153" s="596" t="s">
        <v>46</v>
      </c>
      <c r="CM153" s="581">
        <f t="shared" si="134"/>
        <v>0</v>
      </c>
      <c r="CN153" s="762" t="s">
        <v>567</v>
      </c>
      <c r="CW153" s="630"/>
      <c r="CX153" s="630"/>
      <c r="CY153" s="630"/>
      <c r="CZ153" s="630"/>
      <c r="DA153" s="630"/>
      <c r="DB153" s="562"/>
      <c r="DC153" s="562"/>
      <c r="DD153" s="562"/>
      <c r="DE153" s="562"/>
      <c r="DF153" s="562"/>
      <c r="DG153" s="562"/>
      <c r="DH153" s="562"/>
      <c r="DI153" s="562"/>
      <c r="DJ153" s="562"/>
      <c r="DK153" s="562"/>
      <c r="DL153" s="562"/>
      <c r="DM153" s="562"/>
      <c r="DN153" s="562"/>
      <c r="DO153" s="562"/>
      <c r="DP153" s="562"/>
      <c r="DQ153" s="562"/>
      <c r="DR153" s="562"/>
      <c r="DS153" s="562"/>
      <c r="DT153" s="562"/>
      <c r="DU153" s="562"/>
      <c r="DV153" s="562"/>
      <c r="DW153" s="562"/>
      <c r="DX153" s="562"/>
      <c r="DY153" s="562"/>
      <c r="DZ153" s="562"/>
      <c r="EA153" s="562"/>
      <c r="EB153" s="562"/>
      <c r="EC153" s="562"/>
      <c r="ED153" s="562"/>
      <c r="EE153" s="562"/>
      <c r="EF153" s="562"/>
      <c r="EG153" s="562"/>
      <c r="EH153" s="562"/>
      <c r="EI153" s="562"/>
      <c r="EJ153" s="562"/>
      <c r="EK153" s="562"/>
      <c r="EL153" s="562"/>
    </row>
    <row r="154" spans="2:142" s="78" customFormat="1" ht="15" customHeight="1" x14ac:dyDescent="0.25">
      <c r="B154" s="77"/>
      <c r="E154" s="77"/>
      <c r="H154" s="77"/>
      <c r="Y154" s="90">
        <v>152</v>
      </c>
      <c r="Z154" s="559" t="str">
        <f>IF(Inventory!$C161="","",VLOOKUP(Inventory!$C161,$B$3:$C$5,2,FALSE))</f>
        <v/>
      </c>
      <c r="AA154" s="559" t="str">
        <f>IF($Z154="","",IF(AND($Z154="b",Inventory!$G161=""),"",IF(AND($Z154="b",Inventory!$G161&lt;&gt;""),VLOOKUP(Inventory!$G161,$E$3:$F$10,2,FALSE),IF(AND($Z154="a",Inventory!$Z161=""),"",IF(AND($Z154="a",Inventory!$Z161&lt;&gt;""),VLOOKUP(Inventory!$Z161,$E$3:$F$10,2,FALSE),IF(AND($Z154="c",Inventory!$Z161=""),"",IF(AND($Z154="c",Inventory!$Z161&lt;&gt;""),VLOOKUP(Inventory!$Z161,$E$3:$F$10,2,FALSE),"")))))))</f>
        <v/>
      </c>
      <c r="AB154" s="559" t="str">
        <f>IF($Z154="","a",IF(AND($Z154="b",Inventory!$J161=""),"a",IF(AND($Z154="b",Inventory!$J161&lt;&gt;""),VLOOKUP(Inventory!$J161,$H$4:$I$6,2,FALSE),IF(AND($Z154="a",Inventory!$AA161=""),"a",IF(AND($Z154="a",Inventory!$AA161&lt;&gt;""),VLOOKUP(Inventory!$AA161,$H$4:$I$6,2,FALSE),IF(AND($Z154="c",Inventory!$AA161=""),"a",IF(AND($Z154="c",Inventory!$AA161&lt;&gt;""),VLOOKUP(Inventory!$AA161,$H$4:$I$6,2,FALSE),"a")))))))</f>
        <v>a</v>
      </c>
      <c r="AC154" s="559" t="str">
        <f t="shared" si="109"/>
        <v>a</v>
      </c>
      <c r="AD154" s="473" t="str">
        <f>IF($Z154="","a",IF(AND($Z154="b",Inventory!$L161=""),"a",IF(AND($Z154="b",Inventory!$L161&lt;&gt;""),VLOOKUP(Inventory!$L161,$N$4:$O$5,2,FALSE),IF(AND($Z154="a",Inventory!$AC161=""),"a",IF(AND($Z154="a",Inventory!$AC161&lt;&gt;""),VLOOKUP(Inventory!$AC161,$N$4:$O$5,2,FALSE),IF(AND($Z154="c",Inventory!$AC161=""),"a",IF(AND($Z154="c",Inventory!$AC161&lt;&gt;""),VLOOKUP(Inventory!$AC161,$N$4:$O$5,2,FALSE),"a")))))))</f>
        <v>a</v>
      </c>
      <c r="AE154" s="474">
        <f>IF(OR(Inventory!C161="New Construction",Inventory!C161="Replace-on-Burnout"),Inventory!AF161,IF(Inventory!C161="Early Retirement",MIN(Inventory!AE161,Inventory!AF161),0))</f>
        <v>0</v>
      </c>
      <c r="AF154" s="475" t="str">
        <f t="shared" si="110"/>
        <v/>
      </c>
      <c r="AG154" s="475" t="str">
        <f t="shared" si="98"/>
        <v/>
      </c>
      <c r="AH154" s="475" t="str">
        <f t="shared" si="99"/>
        <v/>
      </c>
      <c r="AI154" s="475" t="str">
        <f t="shared" si="100"/>
        <v/>
      </c>
      <c r="AJ154" s="475" t="str">
        <f t="shared" si="101"/>
        <v/>
      </c>
      <c r="AK154" s="475" t="str">
        <f t="shared" si="111"/>
        <v/>
      </c>
      <c r="AL154" s="475" t="str">
        <f t="shared" si="112"/>
        <v/>
      </c>
      <c r="AM154" s="475" t="str">
        <f t="shared" si="113"/>
        <v/>
      </c>
      <c r="AN154" s="475" t="str">
        <f t="shared" si="114"/>
        <v/>
      </c>
      <c r="AO154" s="475" t="str">
        <f t="shared" si="115"/>
        <v/>
      </c>
      <c r="AP154" s="475" t="str">
        <f t="shared" si="116"/>
        <v/>
      </c>
      <c r="AQ154" s="475" t="str">
        <f t="shared" si="117"/>
        <v/>
      </c>
      <c r="AR154" s="475" t="str">
        <f t="shared" si="118"/>
        <v/>
      </c>
      <c r="AS154" s="475" t="str">
        <f t="shared" si="119"/>
        <v/>
      </c>
      <c r="AT154" s="475" t="str">
        <f t="shared" si="120"/>
        <v/>
      </c>
      <c r="AU154" s="475" t="str">
        <f t="shared" si="121"/>
        <v/>
      </c>
      <c r="AV154" s="475" t="str">
        <f t="shared" si="102"/>
        <v/>
      </c>
      <c r="AW154" s="473">
        <f t="shared" si="103"/>
        <v>0</v>
      </c>
      <c r="AX154" s="473" t="str">
        <f>IF(AND($Z154="b",OR($AA154="a",$AA154="b"),Inventory!$I161="",$AE154&lt;(65000/12000)),"x",IF(AND($Z154="b",OR($AA154="a",$AA154="b"),Inventory!$I161&lt;&gt;"",$AE154&lt;(65000/12000)),VLOOKUP(Inventory!$I161,$V$4:$W$5,2,FALSE),"x"))</f>
        <v>x</v>
      </c>
      <c r="AY154" s="476" t="str">
        <f t="shared" si="122"/>
        <v>aaa0</v>
      </c>
      <c r="AZ154" s="477" t="str">
        <f t="shared" si="123"/>
        <v>No</v>
      </c>
      <c r="BA154" s="759" t="str">
        <f t="shared" si="124"/>
        <v>No</v>
      </c>
      <c r="BB154" s="477">
        <f>IF($Z154="c",Inventory!$AB161,Inventory!$K161)</f>
        <v>0</v>
      </c>
      <c r="BC154" s="478">
        <f>IF(AND($Z154="b",Inventory!$N161="Btu/hr"),Inventory!$M161,IF(AND($Z154="b",Inventory!$N161="Tons"),Inventory!$M161*12000,IF(AND($Z154&lt;&gt;"b",Inventory!$AK161="Btu/hr"),Inventory!$AD161,IF(AND($Z154&lt;&gt;"b",Inventory!$AK161="Tons"),Inventory!$AD161*12000,0))))</f>
        <v>0</v>
      </c>
      <c r="BD154" s="478">
        <f t="shared" si="95"/>
        <v>0</v>
      </c>
      <c r="BE154" s="479">
        <f t="shared" si="125"/>
        <v>0</v>
      </c>
      <c r="BF154" s="477" t="s">
        <v>50</v>
      </c>
      <c r="BG154" s="479">
        <f t="shared" si="104"/>
        <v>0</v>
      </c>
      <c r="BH154" s="477" t="s">
        <v>46</v>
      </c>
      <c r="BI154" s="760">
        <f>IF(AND($Z154="b",Inventory!$P161="Btu/hr"),Inventory!$O161,IF(AND($Z154="b",Inventory!$P161="Tons"),Inventory!$O161*12000,IF(AND($Z154&lt;&gt;"b",Inventory!$AM161="Btu/hr"),Inventory!$AL161,IF(AND($Z154&lt;&gt;"b",Inventory!$AM161="Tons"),Inventory!$AL161*12000,0))))</f>
        <v>0</v>
      </c>
      <c r="BJ154" s="760">
        <f t="shared" si="96"/>
        <v>0</v>
      </c>
      <c r="BK154" s="598">
        <f t="shared" si="126"/>
        <v>0</v>
      </c>
      <c r="BL154" s="759" t="s">
        <v>567</v>
      </c>
      <c r="BM154" s="477" t="str">
        <f t="shared" si="105"/>
        <v>No</v>
      </c>
      <c r="BN154" s="477" t="str">
        <f>IF(OR(Inventory!$H161="",$BM154="No"),"-",Inventory!$H161)</f>
        <v>-</v>
      </c>
      <c r="BO154" s="477" t="str">
        <f>IFERROR(VLOOKUP(BN154,'Early Retirement'!$B$6:$C$33,2,FALSE),"-")</f>
        <v>-</v>
      </c>
      <c r="BP154" s="477" t="str">
        <f>IF(Inventory!$J161="Centrifugal","Yes","No")</f>
        <v>No</v>
      </c>
      <c r="BQ154" s="477">
        <f t="shared" si="127"/>
        <v>0</v>
      </c>
      <c r="BR154" s="477" t="str">
        <f t="shared" si="128"/>
        <v>-</v>
      </c>
      <c r="BS154" s="479">
        <f>IFERROR(INDEX('Early Retirement'!$C$4:$AC$33,$BO154,$BR154),0)</f>
        <v>0</v>
      </c>
      <c r="BT154" s="477">
        <f>IFERROR(HLOOKUP($BR154,'Early Retirement'!$D$4:$AC$5,2,FALSE),0)</f>
        <v>0</v>
      </c>
      <c r="BU154" s="761">
        <f>IFERROR(INDEX('Early Retirement'!$AE$4:$BE$33,$BO154,$BR154),0)</f>
        <v>0</v>
      </c>
      <c r="BV154" s="759">
        <f>IFERROR(HLOOKUP($BR154,'Early Retirement'!$AF$4:$BE$5,2,FALSE),0)</f>
        <v>0</v>
      </c>
      <c r="BW154" s="479">
        <f t="shared" si="135"/>
        <v>0</v>
      </c>
      <c r="BX154" s="761">
        <f t="shared" si="129"/>
        <v>0</v>
      </c>
      <c r="BY154" s="477" t="s">
        <v>46</v>
      </c>
      <c r="BZ154" s="598">
        <f>IFERROR(INDEX('Early Retirement'!$BG$4:$CG$33,$BO154,$BR154),0)</f>
        <v>0</v>
      </c>
      <c r="CA154" s="759">
        <f>IFERROR(HLOOKUP($BR154,'Early Retirement'!$BH$4:$CH$5,2,FALSE),0)</f>
        <v>0</v>
      </c>
      <c r="CB154" s="598">
        <f t="shared" si="130"/>
        <v>0</v>
      </c>
      <c r="CC154" s="759" t="s">
        <v>567</v>
      </c>
      <c r="CD154" s="477" t="str">
        <f t="shared" si="106"/>
        <v>Yes</v>
      </c>
      <c r="CE154" s="479">
        <f t="shared" si="107"/>
        <v>0</v>
      </c>
      <c r="CF154" s="761">
        <f t="shared" si="108"/>
        <v>0</v>
      </c>
      <c r="CG154" s="759" t="s">
        <v>46</v>
      </c>
      <c r="CH154" s="598">
        <f t="shared" si="131"/>
        <v>0</v>
      </c>
      <c r="CI154" s="759" t="s">
        <v>567</v>
      </c>
      <c r="CJ154" s="480">
        <f t="shared" si="132"/>
        <v>0</v>
      </c>
      <c r="CK154" s="583">
        <f t="shared" si="133"/>
        <v>0</v>
      </c>
      <c r="CL154" s="596" t="s">
        <v>46</v>
      </c>
      <c r="CM154" s="581">
        <f t="shared" si="134"/>
        <v>0</v>
      </c>
      <c r="CN154" s="762" t="s">
        <v>567</v>
      </c>
      <c r="CW154" s="630"/>
      <c r="CX154" s="630"/>
      <c r="CY154" s="630"/>
      <c r="CZ154" s="630"/>
      <c r="DA154" s="630"/>
      <c r="DB154" s="562"/>
      <c r="DC154" s="562"/>
      <c r="DD154" s="562"/>
      <c r="DE154" s="562"/>
      <c r="DF154" s="562"/>
      <c r="DG154" s="562"/>
      <c r="DH154" s="562"/>
      <c r="DI154" s="562"/>
      <c r="DJ154" s="562"/>
      <c r="DK154" s="562"/>
      <c r="DL154" s="562"/>
      <c r="DM154" s="562"/>
      <c r="DN154" s="562"/>
      <c r="DO154" s="562"/>
      <c r="DP154" s="562"/>
      <c r="DQ154" s="562"/>
      <c r="DR154" s="562"/>
      <c r="DS154" s="562"/>
      <c r="DT154" s="562"/>
      <c r="DU154" s="562"/>
      <c r="DV154" s="562"/>
      <c r="DW154" s="562"/>
      <c r="DX154" s="562"/>
      <c r="DY154" s="562"/>
      <c r="DZ154" s="562"/>
      <c r="EA154" s="562"/>
      <c r="EB154" s="562"/>
      <c r="EC154" s="562"/>
      <c r="ED154" s="562"/>
      <c r="EE154" s="562"/>
      <c r="EF154" s="562"/>
      <c r="EG154" s="562"/>
      <c r="EH154" s="562"/>
      <c r="EI154" s="562"/>
      <c r="EJ154" s="562"/>
      <c r="EK154" s="562"/>
      <c r="EL154" s="562"/>
    </row>
    <row r="155" spans="2:142" s="78" customFormat="1" ht="15" customHeight="1" x14ac:dyDescent="0.25">
      <c r="B155" s="77"/>
      <c r="E155" s="77"/>
      <c r="H155" s="77"/>
      <c r="Y155" s="90">
        <v>153</v>
      </c>
      <c r="Z155" s="559" t="str">
        <f>IF(Inventory!$C162="","",VLOOKUP(Inventory!$C162,$B$3:$C$5,2,FALSE))</f>
        <v/>
      </c>
      <c r="AA155" s="559" t="str">
        <f>IF($Z155="","",IF(AND($Z155="b",Inventory!$G162=""),"",IF(AND($Z155="b",Inventory!$G162&lt;&gt;""),VLOOKUP(Inventory!$G162,$E$3:$F$10,2,FALSE),IF(AND($Z155="a",Inventory!$Z162=""),"",IF(AND($Z155="a",Inventory!$Z162&lt;&gt;""),VLOOKUP(Inventory!$Z162,$E$3:$F$10,2,FALSE),IF(AND($Z155="c",Inventory!$Z162=""),"",IF(AND($Z155="c",Inventory!$Z162&lt;&gt;""),VLOOKUP(Inventory!$Z162,$E$3:$F$10,2,FALSE),"")))))))</f>
        <v/>
      </c>
      <c r="AB155" s="559" t="str">
        <f>IF($Z155="","a",IF(AND($Z155="b",Inventory!$J162=""),"a",IF(AND($Z155="b",Inventory!$J162&lt;&gt;""),VLOOKUP(Inventory!$J162,$H$4:$I$6,2,FALSE),IF(AND($Z155="a",Inventory!$AA162=""),"a",IF(AND($Z155="a",Inventory!$AA162&lt;&gt;""),VLOOKUP(Inventory!$AA162,$H$4:$I$6,2,FALSE),IF(AND($Z155="c",Inventory!$AA162=""),"a",IF(AND($Z155="c",Inventory!$AA162&lt;&gt;""),VLOOKUP(Inventory!$AA162,$H$4:$I$6,2,FALSE),"a")))))))</f>
        <v>a</v>
      </c>
      <c r="AC155" s="559" t="str">
        <f t="shared" si="109"/>
        <v>a</v>
      </c>
      <c r="AD155" s="473" t="str">
        <f>IF($Z155="","a",IF(AND($Z155="b",Inventory!$L162=""),"a",IF(AND($Z155="b",Inventory!$L162&lt;&gt;""),VLOOKUP(Inventory!$L162,$N$4:$O$5,2,FALSE),IF(AND($Z155="a",Inventory!$AC162=""),"a",IF(AND($Z155="a",Inventory!$AC162&lt;&gt;""),VLOOKUP(Inventory!$AC162,$N$4:$O$5,2,FALSE),IF(AND($Z155="c",Inventory!$AC162=""),"a",IF(AND($Z155="c",Inventory!$AC162&lt;&gt;""),VLOOKUP(Inventory!$AC162,$N$4:$O$5,2,FALSE),"a")))))))</f>
        <v>a</v>
      </c>
      <c r="AE155" s="474">
        <f>IF(OR(Inventory!C162="New Construction",Inventory!C162="Replace-on-Burnout"),Inventory!AF162,IF(Inventory!C162="Early Retirement",MIN(Inventory!AE162,Inventory!AF162),0))</f>
        <v>0</v>
      </c>
      <c r="AF155" s="475" t="str">
        <f t="shared" si="110"/>
        <v/>
      </c>
      <c r="AG155" s="475" t="str">
        <f t="shared" si="98"/>
        <v/>
      </c>
      <c r="AH155" s="475" t="str">
        <f t="shared" si="99"/>
        <v/>
      </c>
      <c r="AI155" s="475" t="str">
        <f t="shared" si="100"/>
        <v/>
      </c>
      <c r="AJ155" s="475" t="str">
        <f t="shared" si="101"/>
        <v/>
      </c>
      <c r="AK155" s="475" t="str">
        <f t="shared" si="111"/>
        <v/>
      </c>
      <c r="AL155" s="475" t="str">
        <f t="shared" si="112"/>
        <v/>
      </c>
      <c r="AM155" s="475" t="str">
        <f t="shared" si="113"/>
        <v/>
      </c>
      <c r="AN155" s="475" t="str">
        <f t="shared" si="114"/>
        <v/>
      </c>
      <c r="AO155" s="475" t="str">
        <f t="shared" si="115"/>
        <v/>
      </c>
      <c r="AP155" s="475" t="str">
        <f t="shared" si="116"/>
        <v/>
      </c>
      <c r="AQ155" s="475" t="str">
        <f t="shared" si="117"/>
        <v/>
      </c>
      <c r="AR155" s="475" t="str">
        <f t="shared" si="118"/>
        <v/>
      </c>
      <c r="AS155" s="475" t="str">
        <f t="shared" si="119"/>
        <v/>
      </c>
      <c r="AT155" s="475" t="str">
        <f t="shared" si="120"/>
        <v/>
      </c>
      <c r="AU155" s="475" t="str">
        <f t="shared" si="121"/>
        <v/>
      </c>
      <c r="AV155" s="475" t="str">
        <f t="shared" si="102"/>
        <v/>
      </c>
      <c r="AW155" s="473">
        <f t="shared" si="103"/>
        <v>0</v>
      </c>
      <c r="AX155" s="473" t="str">
        <f>IF(AND($Z155="b",OR($AA155="a",$AA155="b"),Inventory!$I162="",$AE155&lt;(65000/12000)),"x",IF(AND($Z155="b",OR($AA155="a",$AA155="b"),Inventory!$I162&lt;&gt;"",$AE155&lt;(65000/12000)),VLOOKUP(Inventory!$I162,$V$4:$W$5,2,FALSE),"x"))</f>
        <v>x</v>
      </c>
      <c r="AY155" s="476" t="str">
        <f t="shared" si="122"/>
        <v>aaa0</v>
      </c>
      <c r="AZ155" s="477" t="str">
        <f t="shared" si="123"/>
        <v>No</v>
      </c>
      <c r="BA155" s="759" t="str">
        <f t="shared" si="124"/>
        <v>No</v>
      </c>
      <c r="BB155" s="477">
        <f>IF($Z155="c",Inventory!$AB162,Inventory!$K162)</f>
        <v>0</v>
      </c>
      <c r="BC155" s="478">
        <f>IF(AND($Z155="b",Inventory!$N162="Btu/hr"),Inventory!$M162,IF(AND($Z155="b",Inventory!$N162="Tons"),Inventory!$M162*12000,IF(AND($Z155&lt;&gt;"b",Inventory!$AK162="Btu/hr"),Inventory!$AD162,IF(AND($Z155&lt;&gt;"b",Inventory!$AK162="Tons"),Inventory!$AD162*12000,0))))</f>
        <v>0</v>
      </c>
      <c r="BD155" s="478">
        <f t="shared" si="95"/>
        <v>0</v>
      </c>
      <c r="BE155" s="479">
        <f t="shared" si="125"/>
        <v>0</v>
      </c>
      <c r="BF155" s="477" t="s">
        <v>50</v>
      </c>
      <c r="BG155" s="479">
        <f t="shared" si="104"/>
        <v>0</v>
      </c>
      <c r="BH155" s="477" t="s">
        <v>46</v>
      </c>
      <c r="BI155" s="760">
        <f>IF(AND($Z155="b",Inventory!$P162="Btu/hr"),Inventory!$O162,IF(AND($Z155="b",Inventory!$P162="Tons"),Inventory!$O162*12000,IF(AND($Z155&lt;&gt;"b",Inventory!$AM162="Btu/hr"),Inventory!$AL162,IF(AND($Z155&lt;&gt;"b",Inventory!$AM162="Tons"),Inventory!$AL162*12000,0))))</f>
        <v>0</v>
      </c>
      <c r="BJ155" s="760">
        <f t="shared" si="96"/>
        <v>0</v>
      </c>
      <c r="BK155" s="598">
        <f t="shared" si="126"/>
        <v>0</v>
      </c>
      <c r="BL155" s="759" t="s">
        <v>567</v>
      </c>
      <c r="BM155" s="477" t="str">
        <f t="shared" si="105"/>
        <v>No</v>
      </c>
      <c r="BN155" s="477" t="str">
        <f>IF(OR(Inventory!$H162="",$BM155="No"),"-",Inventory!$H162)</f>
        <v>-</v>
      </c>
      <c r="BO155" s="477" t="str">
        <f>IFERROR(VLOOKUP(BN155,'Early Retirement'!$B$6:$C$33,2,FALSE),"-")</f>
        <v>-</v>
      </c>
      <c r="BP155" s="477" t="str">
        <f>IF(Inventory!$J162="Centrifugal","Yes","No")</f>
        <v>No</v>
      </c>
      <c r="BQ155" s="477">
        <f t="shared" si="127"/>
        <v>0</v>
      </c>
      <c r="BR155" s="477" t="str">
        <f t="shared" si="128"/>
        <v>-</v>
      </c>
      <c r="BS155" s="479">
        <f>IFERROR(INDEX('Early Retirement'!$C$4:$AC$33,$BO155,$BR155),0)</f>
        <v>0</v>
      </c>
      <c r="BT155" s="477">
        <f>IFERROR(HLOOKUP($BR155,'Early Retirement'!$D$4:$AC$5,2,FALSE),0)</f>
        <v>0</v>
      </c>
      <c r="BU155" s="761">
        <f>IFERROR(INDEX('Early Retirement'!$AE$4:$BE$33,$BO155,$BR155),0)</f>
        <v>0</v>
      </c>
      <c r="BV155" s="759">
        <f>IFERROR(HLOOKUP($BR155,'Early Retirement'!$AF$4:$BE$5,2,FALSE),0)</f>
        <v>0</v>
      </c>
      <c r="BW155" s="479">
        <f t="shared" si="135"/>
        <v>0</v>
      </c>
      <c r="BX155" s="761">
        <f t="shared" si="129"/>
        <v>0</v>
      </c>
      <c r="BY155" s="477" t="s">
        <v>46</v>
      </c>
      <c r="BZ155" s="598">
        <f>IFERROR(INDEX('Early Retirement'!$BG$4:$CG$33,$BO155,$BR155),0)</f>
        <v>0</v>
      </c>
      <c r="CA155" s="759">
        <f>IFERROR(HLOOKUP($BR155,'Early Retirement'!$BH$4:$CH$5,2,FALSE),0)</f>
        <v>0</v>
      </c>
      <c r="CB155" s="598">
        <f t="shared" si="130"/>
        <v>0</v>
      </c>
      <c r="CC155" s="759" t="s">
        <v>567</v>
      </c>
      <c r="CD155" s="477" t="str">
        <f t="shared" si="106"/>
        <v>Yes</v>
      </c>
      <c r="CE155" s="479">
        <f t="shared" si="107"/>
        <v>0</v>
      </c>
      <c r="CF155" s="761">
        <f t="shared" si="108"/>
        <v>0</v>
      </c>
      <c r="CG155" s="759" t="s">
        <v>46</v>
      </c>
      <c r="CH155" s="598">
        <f t="shared" si="131"/>
        <v>0</v>
      </c>
      <c r="CI155" s="759" t="s">
        <v>567</v>
      </c>
      <c r="CJ155" s="480">
        <f t="shared" si="132"/>
        <v>0</v>
      </c>
      <c r="CK155" s="583">
        <f t="shared" si="133"/>
        <v>0</v>
      </c>
      <c r="CL155" s="596" t="s">
        <v>46</v>
      </c>
      <c r="CM155" s="581">
        <f t="shared" si="134"/>
        <v>0</v>
      </c>
      <c r="CN155" s="762" t="s">
        <v>567</v>
      </c>
      <c r="CW155" s="630"/>
      <c r="CX155" s="630"/>
      <c r="CY155" s="630"/>
      <c r="CZ155" s="630"/>
      <c r="DA155" s="630"/>
      <c r="DB155" s="562"/>
      <c r="DC155" s="562"/>
      <c r="DD155" s="562"/>
      <c r="DE155" s="562"/>
      <c r="DF155" s="562"/>
      <c r="DG155" s="562"/>
      <c r="DH155" s="562"/>
      <c r="DI155" s="562"/>
      <c r="DJ155" s="562"/>
      <c r="DK155" s="562"/>
      <c r="DL155" s="562"/>
      <c r="DM155" s="562"/>
      <c r="DN155" s="562"/>
      <c r="DO155" s="562"/>
      <c r="DP155" s="562"/>
      <c r="DQ155" s="562"/>
      <c r="DR155" s="562"/>
      <c r="DS155" s="562"/>
      <c r="DT155" s="562"/>
      <c r="DU155" s="562"/>
      <c r="DV155" s="562"/>
      <c r="DW155" s="562"/>
      <c r="DX155" s="562"/>
      <c r="DY155" s="562"/>
      <c r="DZ155" s="562"/>
      <c r="EA155" s="562"/>
      <c r="EB155" s="562"/>
      <c r="EC155" s="562"/>
      <c r="ED155" s="562"/>
      <c r="EE155" s="562"/>
      <c r="EF155" s="562"/>
      <c r="EG155" s="562"/>
      <c r="EH155" s="562"/>
      <c r="EI155" s="562"/>
      <c r="EJ155" s="562"/>
      <c r="EK155" s="562"/>
      <c r="EL155" s="562"/>
    </row>
    <row r="156" spans="2:142" s="78" customFormat="1" ht="15" customHeight="1" x14ac:dyDescent="0.25">
      <c r="B156" s="77"/>
      <c r="E156" s="77"/>
      <c r="H156" s="77"/>
      <c r="Y156" s="90">
        <v>154</v>
      </c>
      <c r="Z156" s="559" t="str">
        <f>IF(Inventory!$C163="","",VLOOKUP(Inventory!$C163,$B$3:$C$5,2,FALSE))</f>
        <v/>
      </c>
      <c r="AA156" s="559" t="str">
        <f>IF($Z156="","",IF(AND($Z156="b",Inventory!$G163=""),"",IF(AND($Z156="b",Inventory!$G163&lt;&gt;""),VLOOKUP(Inventory!$G163,$E$3:$F$10,2,FALSE),IF(AND($Z156="a",Inventory!$Z163=""),"",IF(AND($Z156="a",Inventory!$Z163&lt;&gt;""),VLOOKUP(Inventory!$Z163,$E$3:$F$10,2,FALSE),IF(AND($Z156="c",Inventory!$Z163=""),"",IF(AND($Z156="c",Inventory!$Z163&lt;&gt;""),VLOOKUP(Inventory!$Z163,$E$3:$F$10,2,FALSE),"")))))))</f>
        <v/>
      </c>
      <c r="AB156" s="559" t="str">
        <f>IF($Z156="","a",IF(AND($Z156="b",Inventory!$J163=""),"a",IF(AND($Z156="b",Inventory!$J163&lt;&gt;""),VLOOKUP(Inventory!$J163,$H$4:$I$6,2,FALSE),IF(AND($Z156="a",Inventory!$AA163=""),"a",IF(AND($Z156="a",Inventory!$AA163&lt;&gt;""),VLOOKUP(Inventory!$AA163,$H$4:$I$6,2,FALSE),IF(AND($Z156="c",Inventory!$AA163=""),"a",IF(AND($Z156="c",Inventory!$AA163&lt;&gt;""),VLOOKUP(Inventory!$AA163,$H$4:$I$6,2,FALSE),"a")))))))</f>
        <v>a</v>
      </c>
      <c r="AC156" s="559" t="str">
        <f t="shared" si="109"/>
        <v>a</v>
      </c>
      <c r="AD156" s="473" t="str">
        <f>IF($Z156="","a",IF(AND($Z156="b",Inventory!$L163=""),"a",IF(AND($Z156="b",Inventory!$L163&lt;&gt;""),VLOOKUP(Inventory!$L163,$N$4:$O$5,2,FALSE),IF(AND($Z156="a",Inventory!$AC163=""),"a",IF(AND($Z156="a",Inventory!$AC163&lt;&gt;""),VLOOKUP(Inventory!$AC163,$N$4:$O$5,2,FALSE),IF(AND($Z156="c",Inventory!$AC163=""),"a",IF(AND($Z156="c",Inventory!$AC163&lt;&gt;""),VLOOKUP(Inventory!$AC163,$N$4:$O$5,2,FALSE),"a")))))))</f>
        <v>a</v>
      </c>
      <c r="AE156" s="474">
        <f>IF(OR(Inventory!C163="New Construction",Inventory!C163="Replace-on-Burnout"),Inventory!AF163,IF(Inventory!C163="Early Retirement",MIN(Inventory!AE163,Inventory!AF163),0))</f>
        <v>0</v>
      </c>
      <c r="AF156" s="475" t="str">
        <f t="shared" si="110"/>
        <v/>
      </c>
      <c r="AG156" s="475" t="str">
        <f t="shared" si="98"/>
        <v/>
      </c>
      <c r="AH156" s="475" t="str">
        <f t="shared" si="99"/>
        <v/>
      </c>
      <c r="AI156" s="475" t="str">
        <f t="shared" si="100"/>
        <v/>
      </c>
      <c r="AJ156" s="475" t="str">
        <f t="shared" si="101"/>
        <v/>
      </c>
      <c r="AK156" s="475" t="str">
        <f t="shared" si="111"/>
        <v/>
      </c>
      <c r="AL156" s="475" t="str">
        <f t="shared" si="112"/>
        <v/>
      </c>
      <c r="AM156" s="475" t="str">
        <f t="shared" si="113"/>
        <v/>
      </c>
      <c r="AN156" s="475" t="str">
        <f t="shared" si="114"/>
        <v/>
      </c>
      <c r="AO156" s="475" t="str">
        <f t="shared" si="115"/>
        <v/>
      </c>
      <c r="AP156" s="475" t="str">
        <f t="shared" si="116"/>
        <v/>
      </c>
      <c r="AQ156" s="475" t="str">
        <f t="shared" si="117"/>
        <v/>
      </c>
      <c r="AR156" s="475" t="str">
        <f t="shared" si="118"/>
        <v/>
      </c>
      <c r="AS156" s="475" t="str">
        <f t="shared" si="119"/>
        <v/>
      </c>
      <c r="AT156" s="475" t="str">
        <f t="shared" si="120"/>
        <v/>
      </c>
      <c r="AU156" s="475" t="str">
        <f t="shared" si="121"/>
        <v/>
      </c>
      <c r="AV156" s="475" t="str">
        <f t="shared" si="102"/>
        <v/>
      </c>
      <c r="AW156" s="473">
        <f t="shared" si="103"/>
        <v>0</v>
      </c>
      <c r="AX156" s="473" t="str">
        <f>IF(AND($Z156="b",OR($AA156="a",$AA156="b"),Inventory!$I163="",$AE156&lt;(65000/12000)),"x",IF(AND($Z156="b",OR($AA156="a",$AA156="b"),Inventory!$I163&lt;&gt;"",$AE156&lt;(65000/12000)),VLOOKUP(Inventory!$I163,$V$4:$W$5,2,FALSE),"x"))</f>
        <v>x</v>
      </c>
      <c r="AY156" s="476" t="str">
        <f t="shared" si="122"/>
        <v>aaa0</v>
      </c>
      <c r="AZ156" s="477" t="str">
        <f t="shared" si="123"/>
        <v>No</v>
      </c>
      <c r="BA156" s="759" t="str">
        <f t="shared" si="124"/>
        <v>No</v>
      </c>
      <c r="BB156" s="477">
        <f>IF($Z156="c",Inventory!$AB163,Inventory!$K163)</f>
        <v>0</v>
      </c>
      <c r="BC156" s="478">
        <f>IF(AND($Z156="b",Inventory!$N163="Btu/hr"),Inventory!$M163,IF(AND($Z156="b",Inventory!$N163="Tons"),Inventory!$M163*12000,IF(AND($Z156&lt;&gt;"b",Inventory!$AK163="Btu/hr"),Inventory!$AD163,IF(AND($Z156&lt;&gt;"b",Inventory!$AK163="Tons"),Inventory!$AD163*12000,0))))</f>
        <v>0</v>
      </c>
      <c r="BD156" s="478">
        <f t="shared" si="95"/>
        <v>0</v>
      </c>
      <c r="BE156" s="479">
        <f t="shared" si="125"/>
        <v>0</v>
      </c>
      <c r="BF156" s="477" t="s">
        <v>50</v>
      </c>
      <c r="BG156" s="479">
        <f t="shared" si="104"/>
        <v>0</v>
      </c>
      <c r="BH156" s="477" t="s">
        <v>46</v>
      </c>
      <c r="BI156" s="760">
        <f>IF(AND($Z156="b",Inventory!$P163="Btu/hr"),Inventory!$O163,IF(AND($Z156="b",Inventory!$P163="Tons"),Inventory!$O163*12000,IF(AND($Z156&lt;&gt;"b",Inventory!$AM163="Btu/hr"),Inventory!$AL163,IF(AND($Z156&lt;&gt;"b",Inventory!$AM163="Tons"),Inventory!$AL163*12000,0))))</f>
        <v>0</v>
      </c>
      <c r="BJ156" s="760">
        <f t="shared" si="96"/>
        <v>0</v>
      </c>
      <c r="BK156" s="598">
        <f t="shared" si="126"/>
        <v>0</v>
      </c>
      <c r="BL156" s="759" t="s">
        <v>567</v>
      </c>
      <c r="BM156" s="477" t="str">
        <f t="shared" si="105"/>
        <v>No</v>
      </c>
      <c r="BN156" s="477" t="str">
        <f>IF(OR(Inventory!$H163="",$BM156="No"),"-",Inventory!$H163)</f>
        <v>-</v>
      </c>
      <c r="BO156" s="477" t="str">
        <f>IFERROR(VLOOKUP(BN156,'Early Retirement'!$B$6:$C$33,2,FALSE),"-")</f>
        <v>-</v>
      </c>
      <c r="BP156" s="477" t="str">
        <f>IF(Inventory!$J163="Centrifugal","Yes","No")</f>
        <v>No</v>
      </c>
      <c r="BQ156" s="477">
        <f t="shared" si="127"/>
        <v>0</v>
      </c>
      <c r="BR156" s="477" t="str">
        <f t="shared" si="128"/>
        <v>-</v>
      </c>
      <c r="BS156" s="479">
        <f>IFERROR(INDEX('Early Retirement'!$C$4:$AC$33,$BO156,$BR156),0)</f>
        <v>0</v>
      </c>
      <c r="BT156" s="477">
        <f>IFERROR(HLOOKUP($BR156,'Early Retirement'!$D$4:$AC$5,2,FALSE),0)</f>
        <v>0</v>
      </c>
      <c r="BU156" s="761">
        <f>IFERROR(INDEX('Early Retirement'!$AE$4:$BE$33,$BO156,$BR156),0)</f>
        <v>0</v>
      </c>
      <c r="BV156" s="759">
        <f>IFERROR(HLOOKUP($BR156,'Early Retirement'!$AF$4:$BE$5,2,FALSE),0)</f>
        <v>0</v>
      </c>
      <c r="BW156" s="479">
        <f t="shared" si="135"/>
        <v>0</v>
      </c>
      <c r="BX156" s="761">
        <f t="shared" si="129"/>
        <v>0</v>
      </c>
      <c r="BY156" s="477" t="s">
        <v>46</v>
      </c>
      <c r="BZ156" s="598">
        <f>IFERROR(INDEX('Early Retirement'!$BG$4:$CG$33,$BO156,$BR156),0)</f>
        <v>0</v>
      </c>
      <c r="CA156" s="759">
        <f>IFERROR(HLOOKUP($BR156,'Early Retirement'!$BH$4:$CH$5,2,FALSE),0)</f>
        <v>0</v>
      </c>
      <c r="CB156" s="598">
        <f t="shared" si="130"/>
        <v>0</v>
      </c>
      <c r="CC156" s="759" t="s">
        <v>567</v>
      </c>
      <c r="CD156" s="477" t="str">
        <f t="shared" si="106"/>
        <v>Yes</v>
      </c>
      <c r="CE156" s="479">
        <f t="shared" si="107"/>
        <v>0</v>
      </c>
      <c r="CF156" s="761">
        <f t="shared" si="108"/>
        <v>0</v>
      </c>
      <c r="CG156" s="759" t="s">
        <v>46</v>
      </c>
      <c r="CH156" s="598">
        <f t="shared" si="131"/>
        <v>0</v>
      </c>
      <c r="CI156" s="759" t="s">
        <v>567</v>
      </c>
      <c r="CJ156" s="480">
        <f t="shared" si="132"/>
        <v>0</v>
      </c>
      <c r="CK156" s="583">
        <f t="shared" si="133"/>
        <v>0</v>
      </c>
      <c r="CL156" s="596" t="s">
        <v>46</v>
      </c>
      <c r="CM156" s="581">
        <f t="shared" si="134"/>
        <v>0</v>
      </c>
      <c r="CN156" s="762" t="s">
        <v>567</v>
      </c>
      <c r="CW156" s="630"/>
      <c r="CX156" s="630"/>
      <c r="CY156" s="630"/>
      <c r="CZ156" s="630"/>
      <c r="DA156" s="630"/>
      <c r="DB156" s="562"/>
      <c r="DC156" s="562"/>
      <c r="DD156" s="562"/>
      <c r="DE156" s="562"/>
      <c r="DF156" s="562"/>
      <c r="DG156" s="562"/>
      <c r="DH156" s="562"/>
      <c r="DI156" s="562"/>
      <c r="DJ156" s="562"/>
      <c r="DK156" s="562"/>
      <c r="DL156" s="562"/>
      <c r="DM156" s="562"/>
      <c r="DN156" s="562"/>
      <c r="DO156" s="562"/>
      <c r="DP156" s="562"/>
      <c r="DQ156" s="562"/>
      <c r="DR156" s="562"/>
      <c r="DS156" s="562"/>
      <c r="DT156" s="562"/>
      <c r="DU156" s="562"/>
      <c r="DV156" s="562"/>
      <c r="DW156" s="562"/>
      <c r="DX156" s="562"/>
      <c r="DY156" s="562"/>
      <c r="DZ156" s="562"/>
      <c r="EA156" s="562"/>
      <c r="EB156" s="562"/>
      <c r="EC156" s="562"/>
      <c r="ED156" s="562"/>
      <c r="EE156" s="562"/>
      <c r="EF156" s="562"/>
      <c r="EG156" s="562"/>
      <c r="EH156" s="562"/>
      <c r="EI156" s="562"/>
      <c r="EJ156" s="562"/>
      <c r="EK156" s="562"/>
      <c r="EL156" s="562"/>
    </row>
    <row r="157" spans="2:142" s="78" customFormat="1" ht="15" customHeight="1" x14ac:dyDescent="0.25">
      <c r="B157" s="77"/>
      <c r="E157" s="77"/>
      <c r="H157" s="77"/>
      <c r="Y157" s="90">
        <v>155</v>
      </c>
      <c r="Z157" s="559" t="str">
        <f>IF(Inventory!$C164="","",VLOOKUP(Inventory!$C164,$B$3:$C$5,2,FALSE))</f>
        <v/>
      </c>
      <c r="AA157" s="559" t="str">
        <f>IF($Z157="","",IF(AND($Z157="b",Inventory!$G164=""),"",IF(AND($Z157="b",Inventory!$G164&lt;&gt;""),VLOOKUP(Inventory!$G164,$E$3:$F$10,2,FALSE),IF(AND($Z157="a",Inventory!$Z164=""),"",IF(AND($Z157="a",Inventory!$Z164&lt;&gt;""),VLOOKUP(Inventory!$Z164,$E$3:$F$10,2,FALSE),IF(AND($Z157="c",Inventory!$Z164=""),"",IF(AND($Z157="c",Inventory!$Z164&lt;&gt;""),VLOOKUP(Inventory!$Z164,$E$3:$F$10,2,FALSE),"")))))))</f>
        <v/>
      </c>
      <c r="AB157" s="559" t="str">
        <f>IF($Z157="","a",IF(AND($Z157="b",Inventory!$J164=""),"a",IF(AND($Z157="b",Inventory!$J164&lt;&gt;""),VLOOKUP(Inventory!$J164,$H$4:$I$6,2,FALSE),IF(AND($Z157="a",Inventory!$AA164=""),"a",IF(AND($Z157="a",Inventory!$AA164&lt;&gt;""),VLOOKUP(Inventory!$AA164,$H$4:$I$6,2,FALSE),IF(AND($Z157="c",Inventory!$AA164=""),"a",IF(AND($Z157="c",Inventory!$AA164&lt;&gt;""),VLOOKUP(Inventory!$AA164,$H$4:$I$6,2,FALSE),"a")))))))</f>
        <v>a</v>
      </c>
      <c r="AC157" s="559" t="str">
        <f t="shared" si="109"/>
        <v>a</v>
      </c>
      <c r="AD157" s="473" t="str">
        <f>IF($Z157="","a",IF(AND($Z157="b",Inventory!$L164=""),"a",IF(AND($Z157="b",Inventory!$L164&lt;&gt;""),VLOOKUP(Inventory!$L164,$N$4:$O$5,2,FALSE),IF(AND($Z157="a",Inventory!$AC164=""),"a",IF(AND($Z157="a",Inventory!$AC164&lt;&gt;""),VLOOKUP(Inventory!$AC164,$N$4:$O$5,2,FALSE),IF(AND($Z157="c",Inventory!$AC164=""),"a",IF(AND($Z157="c",Inventory!$AC164&lt;&gt;""),VLOOKUP(Inventory!$AC164,$N$4:$O$5,2,FALSE),"a")))))))</f>
        <v>a</v>
      </c>
      <c r="AE157" s="474">
        <f>IF(OR(Inventory!C164="New Construction",Inventory!C164="Replace-on-Burnout"),Inventory!AF164,IF(Inventory!C164="Early Retirement",MIN(Inventory!AE164,Inventory!AF164),0))</f>
        <v>0</v>
      </c>
      <c r="AF157" s="475" t="str">
        <f t="shared" si="110"/>
        <v/>
      </c>
      <c r="AG157" s="475" t="str">
        <f t="shared" si="98"/>
        <v/>
      </c>
      <c r="AH157" s="475" t="str">
        <f t="shared" si="99"/>
        <v/>
      </c>
      <c r="AI157" s="475" t="str">
        <f t="shared" si="100"/>
        <v/>
      </c>
      <c r="AJ157" s="475" t="str">
        <f t="shared" si="101"/>
        <v/>
      </c>
      <c r="AK157" s="475" t="str">
        <f t="shared" si="111"/>
        <v/>
      </c>
      <c r="AL157" s="475" t="str">
        <f t="shared" si="112"/>
        <v/>
      </c>
      <c r="AM157" s="475" t="str">
        <f t="shared" si="113"/>
        <v/>
      </c>
      <c r="AN157" s="475" t="str">
        <f t="shared" si="114"/>
        <v/>
      </c>
      <c r="AO157" s="475" t="str">
        <f t="shared" si="115"/>
        <v/>
      </c>
      <c r="AP157" s="475" t="str">
        <f t="shared" si="116"/>
        <v/>
      </c>
      <c r="AQ157" s="475" t="str">
        <f t="shared" si="117"/>
        <v/>
      </c>
      <c r="AR157" s="475" t="str">
        <f t="shared" si="118"/>
        <v/>
      </c>
      <c r="AS157" s="475" t="str">
        <f t="shared" si="119"/>
        <v/>
      </c>
      <c r="AT157" s="475" t="str">
        <f t="shared" si="120"/>
        <v/>
      </c>
      <c r="AU157" s="475" t="str">
        <f t="shared" si="121"/>
        <v/>
      </c>
      <c r="AV157" s="475" t="str">
        <f t="shared" si="102"/>
        <v/>
      </c>
      <c r="AW157" s="473">
        <f t="shared" si="103"/>
        <v>0</v>
      </c>
      <c r="AX157" s="473" t="str">
        <f>IF(AND($Z157="b",OR($AA157="a",$AA157="b"),Inventory!$I164="",$AE157&lt;(65000/12000)),"x",IF(AND($Z157="b",OR($AA157="a",$AA157="b"),Inventory!$I164&lt;&gt;"",$AE157&lt;(65000/12000)),VLOOKUP(Inventory!$I164,$V$4:$W$5,2,FALSE),"x"))</f>
        <v>x</v>
      </c>
      <c r="AY157" s="476" t="str">
        <f t="shared" si="122"/>
        <v>aaa0</v>
      </c>
      <c r="AZ157" s="477" t="str">
        <f t="shared" si="123"/>
        <v>No</v>
      </c>
      <c r="BA157" s="759" t="str">
        <f t="shared" si="124"/>
        <v>No</v>
      </c>
      <c r="BB157" s="477">
        <f>IF($Z157="c",Inventory!$AB164,Inventory!$K164)</f>
        <v>0</v>
      </c>
      <c r="BC157" s="478">
        <f>IF(AND($Z157="b",Inventory!$N164="Btu/hr"),Inventory!$M164,IF(AND($Z157="b",Inventory!$N164="Tons"),Inventory!$M164*12000,IF(AND($Z157&lt;&gt;"b",Inventory!$AK164="Btu/hr"),Inventory!$AD164,IF(AND($Z157&lt;&gt;"b",Inventory!$AK164="Tons"),Inventory!$AD164*12000,0))))</f>
        <v>0</v>
      </c>
      <c r="BD157" s="478">
        <f t="shared" si="95"/>
        <v>0</v>
      </c>
      <c r="BE157" s="479">
        <f t="shared" si="125"/>
        <v>0</v>
      </c>
      <c r="BF157" s="477" t="s">
        <v>50</v>
      </c>
      <c r="BG157" s="479">
        <f t="shared" si="104"/>
        <v>0</v>
      </c>
      <c r="BH157" s="477" t="s">
        <v>46</v>
      </c>
      <c r="BI157" s="760">
        <f>IF(AND($Z157="b",Inventory!$P164="Btu/hr"),Inventory!$O164,IF(AND($Z157="b",Inventory!$P164="Tons"),Inventory!$O164*12000,IF(AND($Z157&lt;&gt;"b",Inventory!$AM164="Btu/hr"),Inventory!$AL164,IF(AND($Z157&lt;&gt;"b",Inventory!$AM164="Tons"),Inventory!$AL164*12000,0))))</f>
        <v>0</v>
      </c>
      <c r="BJ157" s="760">
        <f t="shared" si="96"/>
        <v>0</v>
      </c>
      <c r="BK157" s="598">
        <f t="shared" si="126"/>
        <v>0</v>
      </c>
      <c r="BL157" s="759" t="s">
        <v>567</v>
      </c>
      <c r="BM157" s="477" t="str">
        <f t="shared" si="105"/>
        <v>No</v>
      </c>
      <c r="BN157" s="477" t="str">
        <f>IF(OR(Inventory!$H164="",$BM157="No"),"-",Inventory!$H164)</f>
        <v>-</v>
      </c>
      <c r="BO157" s="477" t="str">
        <f>IFERROR(VLOOKUP(BN157,'Early Retirement'!$B$6:$C$33,2,FALSE),"-")</f>
        <v>-</v>
      </c>
      <c r="BP157" s="477" t="str">
        <f>IF(Inventory!$J164="Centrifugal","Yes","No")</f>
        <v>No</v>
      </c>
      <c r="BQ157" s="477">
        <f t="shared" si="127"/>
        <v>0</v>
      </c>
      <c r="BR157" s="477" t="str">
        <f t="shared" si="128"/>
        <v>-</v>
      </c>
      <c r="BS157" s="479">
        <f>IFERROR(INDEX('Early Retirement'!$C$4:$AC$33,$BO157,$BR157),0)</f>
        <v>0</v>
      </c>
      <c r="BT157" s="477">
        <f>IFERROR(HLOOKUP($BR157,'Early Retirement'!$D$4:$AC$5,2,FALSE),0)</f>
        <v>0</v>
      </c>
      <c r="BU157" s="761">
        <f>IFERROR(INDEX('Early Retirement'!$AE$4:$BE$33,$BO157,$BR157),0)</f>
        <v>0</v>
      </c>
      <c r="BV157" s="759">
        <f>IFERROR(HLOOKUP($BR157,'Early Retirement'!$AF$4:$BE$5,2,FALSE),0)</f>
        <v>0</v>
      </c>
      <c r="BW157" s="479">
        <f t="shared" si="135"/>
        <v>0</v>
      </c>
      <c r="BX157" s="761">
        <f t="shared" si="129"/>
        <v>0</v>
      </c>
      <c r="BY157" s="477" t="s">
        <v>46</v>
      </c>
      <c r="BZ157" s="598">
        <f>IFERROR(INDEX('Early Retirement'!$BG$4:$CG$33,$BO157,$BR157),0)</f>
        <v>0</v>
      </c>
      <c r="CA157" s="759">
        <f>IFERROR(HLOOKUP($BR157,'Early Retirement'!$BH$4:$CH$5,2,FALSE),0)</f>
        <v>0</v>
      </c>
      <c r="CB157" s="598">
        <f t="shared" si="130"/>
        <v>0</v>
      </c>
      <c r="CC157" s="759" t="s">
        <v>567</v>
      </c>
      <c r="CD157" s="477" t="str">
        <f t="shared" si="106"/>
        <v>Yes</v>
      </c>
      <c r="CE157" s="479">
        <f t="shared" si="107"/>
        <v>0</v>
      </c>
      <c r="CF157" s="761">
        <f t="shared" si="108"/>
        <v>0</v>
      </c>
      <c r="CG157" s="759" t="s">
        <v>46</v>
      </c>
      <c r="CH157" s="598">
        <f t="shared" si="131"/>
        <v>0</v>
      </c>
      <c r="CI157" s="759" t="s">
        <v>567</v>
      </c>
      <c r="CJ157" s="480">
        <f t="shared" si="132"/>
        <v>0</v>
      </c>
      <c r="CK157" s="583">
        <f t="shared" si="133"/>
        <v>0</v>
      </c>
      <c r="CL157" s="596" t="s">
        <v>46</v>
      </c>
      <c r="CM157" s="581">
        <f t="shared" si="134"/>
        <v>0</v>
      </c>
      <c r="CN157" s="762" t="s">
        <v>567</v>
      </c>
      <c r="CW157" s="630"/>
      <c r="CX157" s="630"/>
      <c r="CY157" s="630"/>
      <c r="CZ157" s="630"/>
      <c r="DA157" s="630"/>
      <c r="DB157" s="562"/>
      <c r="DC157" s="562"/>
      <c r="DD157" s="562"/>
      <c r="DE157" s="562"/>
      <c r="DF157" s="562"/>
      <c r="DG157" s="562"/>
      <c r="DH157" s="562"/>
      <c r="DI157" s="562"/>
      <c r="DJ157" s="562"/>
      <c r="DK157" s="562"/>
      <c r="DL157" s="562"/>
      <c r="DM157" s="562"/>
      <c r="DN157" s="562"/>
      <c r="DO157" s="562"/>
      <c r="DP157" s="562"/>
      <c r="DQ157" s="562"/>
      <c r="DR157" s="562"/>
      <c r="DS157" s="562"/>
      <c r="DT157" s="562"/>
      <c r="DU157" s="562"/>
      <c r="DV157" s="562"/>
      <c r="DW157" s="562"/>
      <c r="DX157" s="562"/>
      <c r="DY157" s="562"/>
      <c r="DZ157" s="562"/>
      <c r="EA157" s="562"/>
      <c r="EB157" s="562"/>
      <c r="EC157" s="562"/>
      <c r="ED157" s="562"/>
      <c r="EE157" s="562"/>
      <c r="EF157" s="562"/>
      <c r="EG157" s="562"/>
      <c r="EH157" s="562"/>
      <c r="EI157" s="562"/>
      <c r="EJ157" s="562"/>
      <c r="EK157" s="562"/>
      <c r="EL157" s="562"/>
    </row>
    <row r="158" spans="2:142" s="78" customFormat="1" ht="15" customHeight="1" x14ac:dyDescent="0.25">
      <c r="B158" s="77"/>
      <c r="E158" s="77"/>
      <c r="H158" s="77"/>
      <c r="Y158" s="90">
        <v>156</v>
      </c>
      <c r="Z158" s="559" t="str">
        <f>IF(Inventory!$C165="","",VLOOKUP(Inventory!$C165,$B$3:$C$5,2,FALSE))</f>
        <v/>
      </c>
      <c r="AA158" s="559" t="str">
        <f>IF($Z158="","",IF(AND($Z158="b",Inventory!$G165=""),"",IF(AND($Z158="b",Inventory!$G165&lt;&gt;""),VLOOKUP(Inventory!$G165,$E$3:$F$10,2,FALSE),IF(AND($Z158="a",Inventory!$Z165=""),"",IF(AND($Z158="a",Inventory!$Z165&lt;&gt;""),VLOOKUP(Inventory!$Z165,$E$3:$F$10,2,FALSE),IF(AND($Z158="c",Inventory!$Z165=""),"",IF(AND($Z158="c",Inventory!$Z165&lt;&gt;""),VLOOKUP(Inventory!$Z165,$E$3:$F$10,2,FALSE),"")))))))</f>
        <v/>
      </c>
      <c r="AB158" s="559" t="str">
        <f>IF($Z158="","a",IF(AND($Z158="b",Inventory!$J165=""),"a",IF(AND($Z158="b",Inventory!$J165&lt;&gt;""),VLOOKUP(Inventory!$J165,$H$4:$I$6,2,FALSE),IF(AND($Z158="a",Inventory!$AA165=""),"a",IF(AND($Z158="a",Inventory!$AA165&lt;&gt;""),VLOOKUP(Inventory!$AA165,$H$4:$I$6,2,FALSE),IF(AND($Z158="c",Inventory!$AA165=""),"a",IF(AND($Z158="c",Inventory!$AA165&lt;&gt;""),VLOOKUP(Inventory!$AA165,$H$4:$I$6,2,FALSE),"a")))))))</f>
        <v>a</v>
      </c>
      <c r="AC158" s="559" t="str">
        <f t="shared" si="109"/>
        <v>a</v>
      </c>
      <c r="AD158" s="473" t="str">
        <f>IF($Z158="","a",IF(AND($Z158="b",Inventory!$L165=""),"a",IF(AND($Z158="b",Inventory!$L165&lt;&gt;""),VLOOKUP(Inventory!$L165,$N$4:$O$5,2,FALSE),IF(AND($Z158="a",Inventory!$AC165=""),"a",IF(AND($Z158="a",Inventory!$AC165&lt;&gt;""),VLOOKUP(Inventory!$AC165,$N$4:$O$5,2,FALSE),IF(AND($Z158="c",Inventory!$AC165=""),"a",IF(AND($Z158="c",Inventory!$AC165&lt;&gt;""),VLOOKUP(Inventory!$AC165,$N$4:$O$5,2,FALSE),"a")))))))</f>
        <v>a</v>
      </c>
      <c r="AE158" s="474">
        <f>IF(OR(Inventory!C165="New Construction",Inventory!C165="Replace-on-Burnout"),Inventory!AF165,IF(Inventory!C165="Early Retirement",MIN(Inventory!AE165,Inventory!AF165),0))</f>
        <v>0</v>
      </c>
      <c r="AF158" s="475" t="str">
        <f t="shared" si="110"/>
        <v/>
      </c>
      <c r="AG158" s="475" t="str">
        <f t="shared" si="98"/>
        <v/>
      </c>
      <c r="AH158" s="475" t="str">
        <f t="shared" si="99"/>
        <v/>
      </c>
      <c r="AI158" s="475" t="str">
        <f t="shared" si="100"/>
        <v/>
      </c>
      <c r="AJ158" s="475" t="str">
        <f t="shared" si="101"/>
        <v/>
      </c>
      <c r="AK158" s="475" t="str">
        <f t="shared" si="111"/>
        <v/>
      </c>
      <c r="AL158" s="475" t="str">
        <f t="shared" si="112"/>
        <v/>
      </c>
      <c r="AM158" s="475" t="str">
        <f t="shared" si="113"/>
        <v/>
      </c>
      <c r="AN158" s="475" t="str">
        <f t="shared" si="114"/>
        <v/>
      </c>
      <c r="AO158" s="475" t="str">
        <f t="shared" si="115"/>
        <v/>
      </c>
      <c r="AP158" s="475" t="str">
        <f t="shared" si="116"/>
        <v/>
      </c>
      <c r="AQ158" s="475" t="str">
        <f t="shared" si="117"/>
        <v/>
      </c>
      <c r="AR158" s="475" t="str">
        <f t="shared" si="118"/>
        <v/>
      </c>
      <c r="AS158" s="475" t="str">
        <f t="shared" si="119"/>
        <v/>
      </c>
      <c r="AT158" s="475" t="str">
        <f t="shared" si="120"/>
        <v/>
      </c>
      <c r="AU158" s="475" t="str">
        <f t="shared" si="121"/>
        <v/>
      </c>
      <c r="AV158" s="475" t="str">
        <f t="shared" si="102"/>
        <v/>
      </c>
      <c r="AW158" s="473">
        <f t="shared" si="103"/>
        <v>0</v>
      </c>
      <c r="AX158" s="473" t="str">
        <f>IF(AND($Z158="b",OR($AA158="a",$AA158="b"),Inventory!$I165="",$AE158&lt;(65000/12000)),"x",IF(AND($Z158="b",OR($AA158="a",$AA158="b"),Inventory!$I165&lt;&gt;"",$AE158&lt;(65000/12000)),VLOOKUP(Inventory!$I165,$V$4:$W$5,2,FALSE),"x"))</f>
        <v>x</v>
      </c>
      <c r="AY158" s="476" t="str">
        <f t="shared" si="122"/>
        <v>aaa0</v>
      </c>
      <c r="AZ158" s="477" t="str">
        <f t="shared" si="123"/>
        <v>No</v>
      </c>
      <c r="BA158" s="759" t="str">
        <f t="shared" si="124"/>
        <v>No</v>
      </c>
      <c r="BB158" s="477">
        <f>IF($Z158="c",Inventory!$AB165,Inventory!$K165)</f>
        <v>0</v>
      </c>
      <c r="BC158" s="478">
        <f>IF(AND($Z158="b",Inventory!$N165="Btu/hr"),Inventory!$M165,IF(AND($Z158="b",Inventory!$N165="Tons"),Inventory!$M165*12000,IF(AND($Z158&lt;&gt;"b",Inventory!$AK165="Btu/hr"),Inventory!$AD165,IF(AND($Z158&lt;&gt;"b",Inventory!$AK165="Tons"),Inventory!$AD165*12000,0))))</f>
        <v>0</v>
      </c>
      <c r="BD158" s="478">
        <f t="shared" si="95"/>
        <v>0</v>
      </c>
      <c r="BE158" s="479">
        <f t="shared" si="125"/>
        <v>0</v>
      </c>
      <c r="BF158" s="477" t="s">
        <v>50</v>
      </c>
      <c r="BG158" s="479">
        <f t="shared" si="104"/>
        <v>0</v>
      </c>
      <c r="BH158" s="477" t="s">
        <v>46</v>
      </c>
      <c r="BI158" s="760">
        <f>IF(AND($Z158="b",Inventory!$P165="Btu/hr"),Inventory!$O165,IF(AND($Z158="b",Inventory!$P165="Tons"),Inventory!$O165*12000,IF(AND($Z158&lt;&gt;"b",Inventory!$AM165="Btu/hr"),Inventory!$AL165,IF(AND($Z158&lt;&gt;"b",Inventory!$AM165="Tons"),Inventory!$AL165*12000,0))))</f>
        <v>0</v>
      </c>
      <c r="BJ158" s="760">
        <f t="shared" si="96"/>
        <v>0</v>
      </c>
      <c r="BK158" s="598">
        <f t="shared" si="126"/>
        <v>0</v>
      </c>
      <c r="BL158" s="759" t="s">
        <v>567</v>
      </c>
      <c r="BM158" s="477" t="str">
        <f t="shared" si="105"/>
        <v>No</v>
      </c>
      <c r="BN158" s="477" t="str">
        <f>IF(OR(Inventory!$H165="",$BM158="No"),"-",Inventory!$H165)</f>
        <v>-</v>
      </c>
      <c r="BO158" s="477" t="str">
        <f>IFERROR(VLOOKUP(BN158,'Early Retirement'!$B$6:$C$33,2,FALSE),"-")</f>
        <v>-</v>
      </c>
      <c r="BP158" s="477" t="str">
        <f>IF(Inventory!$J165="Centrifugal","Yes","No")</f>
        <v>No</v>
      </c>
      <c r="BQ158" s="477">
        <f t="shared" si="127"/>
        <v>0</v>
      </c>
      <c r="BR158" s="477" t="str">
        <f t="shared" si="128"/>
        <v>-</v>
      </c>
      <c r="BS158" s="479">
        <f>IFERROR(INDEX('Early Retirement'!$C$4:$AC$33,$BO158,$BR158),0)</f>
        <v>0</v>
      </c>
      <c r="BT158" s="477">
        <f>IFERROR(HLOOKUP($BR158,'Early Retirement'!$D$4:$AC$5,2,FALSE),0)</f>
        <v>0</v>
      </c>
      <c r="BU158" s="761">
        <f>IFERROR(INDEX('Early Retirement'!$AE$4:$BE$33,$BO158,$BR158),0)</f>
        <v>0</v>
      </c>
      <c r="BV158" s="759">
        <f>IFERROR(HLOOKUP($BR158,'Early Retirement'!$AF$4:$BE$5,2,FALSE),0)</f>
        <v>0</v>
      </c>
      <c r="BW158" s="479">
        <f t="shared" si="135"/>
        <v>0</v>
      </c>
      <c r="BX158" s="761">
        <f t="shared" si="129"/>
        <v>0</v>
      </c>
      <c r="BY158" s="477" t="s">
        <v>46</v>
      </c>
      <c r="BZ158" s="598">
        <f>IFERROR(INDEX('Early Retirement'!$BG$4:$CG$33,$BO158,$BR158),0)</f>
        <v>0</v>
      </c>
      <c r="CA158" s="759">
        <f>IFERROR(HLOOKUP($BR158,'Early Retirement'!$BH$4:$CH$5,2,FALSE),0)</f>
        <v>0</v>
      </c>
      <c r="CB158" s="598">
        <f t="shared" si="130"/>
        <v>0</v>
      </c>
      <c r="CC158" s="759" t="s">
        <v>567</v>
      </c>
      <c r="CD158" s="477" t="str">
        <f t="shared" si="106"/>
        <v>Yes</v>
      </c>
      <c r="CE158" s="479">
        <f t="shared" si="107"/>
        <v>0</v>
      </c>
      <c r="CF158" s="761">
        <f t="shared" si="108"/>
        <v>0</v>
      </c>
      <c r="CG158" s="759" t="s">
        <v>46</v>
      </c>
      <c r="CH158" s="598">
        <f t="shared" si="131"/>
        <v>0</v>
      </c>
      <c r="CI158" s="759" t="s">
        <v>567</v>
      </c>
      <c r="CJ158" s="480">
        <f t="shared" si="132"/>
        <v>0</v>
      </c>
      <c r="CK158" s="583">
        <f t="shared" si="133"/>
        <v>0</v>
      </c>
      <c r="CL158" s="596" t="s">
        <v>46</v>
      </c>
      <c r="CM158" s="581">
        <f t="shared" si="134"/>
        <v>0</v>
      </c>
      <c r="CN158" s="762" t="s">
        <v>567</v>
      </c>
      <c r="CW158" s="630"/>
      <c r="CX158" s="630"/>
      <c r="CY158" s="630"/>
      <c r="CZ158" s="630"/>
      <c r="DA158" s="630"/>
      <c r="DB158" s="562"/>
      <c r="DC158" s="562"/>
      <c r="DD158" s="562"/>
      <c r="DE158" s="562"/>
      <c r="DF158" s="562"/>
      <c r="DG158" s="562"/>
      <c r="DH158" s="562"/>
      <c r="DI158" s="562"/>
      <c r="DJ158" s="562"/>
      <c r="DK158" s="562"/>
      <c r="DL158" s="562"/>
      <c r="DM158" s="562"/>
      <c r="DN158" s="562"/>
      <c r="DO158" s="562"/>
      <c r="DP158" s="562"/>
      <c r="DQ158" s="562"/>
      <c r="DR158" s="562"/>
      <c r="DS158" s="562"/>
      <c r="DT158" s="562"/>
      <c r="DU158" s="562"/>
      <c r="DV158" s="562"/>
      <c r="DW158" s="562"/>
      <c r="DX158" s="562"/>
      <c r="DY158" s="562"/>
      <c r="DZ158" s="562"/>
      <c r="EA158" s="562"/>
      <c r="EB158" s="562"/>
      <c r="EC158" s="562"/>
      <c r="ED158" s="562"/>
      <c r="EE158" s="562"/>
      <c r="EF158" s="562"/>
      <c r="EG158" s="562"/>
      <c r="EH158" s="562"/>
      <c r="EI158" s="562"/>
      <c r="EJ158" s="562"/>
      <c r="EK158" s="562"/>
      <c r="EL158" s="562"/>
    </row>
    <row r="159" spans="2:142" s="78" customFormat="1" ht="15" customHeight="1" x14ac:dyDescent="0.25">
      <c r="B159" s="77"/>
      <c r="E159" s="77"/>
      <c r="H159" s="77"/>
      <c r="Y159" s="90">
        <v>157</v>
      </c>
      <c r="Z159" s="559" t="str">
        <f>IF(Inventory!$C166="","",VLOOKUP(Inventory!$C166,$B$3:$C$5,2,FALSE))</f>
        <v/>
      </c>
      <c r="AA159" s="559" t="str">
        <f>IF($Z159="","",IF(AND($Z159="b",Inventory!$G166=""),"",IF(AND($Z159="b",Inventory!$G166&lt;&gt;""),VLOOKUP(Inventory!$G166,$E$3:$F$10,2,FALSE),IF(AND($Z159="a",Inventory!$Z166=""),"",IF(AND($Z159="a",Inventory!$Z166&lt;&gt;""),VLOOKUP(Inventory!$Z166,$E$3:$F$10,2,FALSE),IF(AND($Z159="c",Inventory!$Z166=""),"",IF(AND($Z159="c",Inventory!$Z166&lt;&gt;""),VLOOKUP(Inventory!$Z166,$E$3:$F$10,2,FALSE),"")))))))</f>
        <v/>
      </c>
      <c r="AB159" s="559" t="str">
        <f>IF($Z159="","a",IF(AND($Z159="b",Inventory!$J166=""),"a",IF(AND($Z159="b",Inventory!$J166&lt;&gt;""),VLOOKUP(Inventory!$J166,$H$4:$I$6,2,FALSE),IF(AND($Z159="a",Inventory!$AA166=""),"a",IF(AND($Z159="a",Inventory!$AA166&lt;&gt;""),VLOOKUP(Inventory!$AA166,$H$4:$I$6,2,FALSE),IF(AND($Z159="c",Inventory!$AA166=""),"a",IF(AND($Z159="c",Inventory!$AA166&lt;&gt;""),VLOOKUP(Inventory!$AA166,$H$4:$I$6,2,FALSE),"a")))))))</f>
        <v>a</v>
      </c>
      <c r="AC159" s="559" t="str">
        <f t="shared" si="109"/>
        <v>a</v>
      </c>
      <c r="AD159" s="473" t="str">
        <f>IF($Z159="","a",IF(AND($Z159="b",Inventory!$L166=""),"a",IF(AND($Z159="b",Inventory!$L166&lt;&gt;""),VLOOKUP(Inventory!$L166,$N$4:$O$5,2,FALSE),IF(AND($Z159="a",Inventory!$AC166=""),"a",IF(AND($Z159="a",Inventory!$AC166&lt;&gt;""),VLOOKUP(Inventory!$AC166,$N$4:$O$5,2,FALSE),IF(AND($Z159="c",Inventory!$AC166=""),"a",IF(AND($Z159="c",Inventory!$AC166&lt;&gt;""),VLOOKUP(Inventory!$AC166,$N$4:$O$5,2,FALSE),"a")))))))</f>
        <v>a</v>
      </c>
      <c r="AE159" s="474">
        <f>IF(OR(Inventory!C166="New Construction",Inventory!C166="Replace-on-Burnout"),Inventory!AF166,IF(Inventory!C166="Early Retirement",MIN(Inventory!AE166,Inventory!AF166),0))</f>
        <v>0</v>
      </c>
      <c r="AF159" s="475" t="str">
        <f t="shared" si="110"/>
        <v/>
      </c>
      <c r="AG159" s="475" t="str">
        <f t="shared" si="98"/>
        <v/>
      </c>
      <c r="AH159" s="475" t="str">
        <f t="shared" si="99"/>
        <v/>
      </c>
      <c r="AI159" s="475" t="str">
        <f t="shared" si="100"/>
        <v/>
      </c>
      <c r="AJ159" s="475" t="str">
        <f t="shared" si="101"/>
        <v/>
      </c>
      <c r="AK159" s="475" t="str">
        <f t="shared" si="111"/>
        <v/>
      </c>
      <c r="AL159" s="475" t="str">
        <f t="shared" si="112"/>
        <v/>
      </c>
      <c r="AM159" s="475" t="str">
        <f t="shared" si="113"/>
        <v/>
      </c>
      <c r="AN159" s="475" t="str">
        <f t="shared" si="114"/>
        <v/>
      </c>
      <c r="AO159" s="475" t="str">
        <f t="shared" si="115"/>
        <v/>
      </c>
      <c r="AP159" s="475" t="str">
        <f t="shared" si="116"/>
        <v/>
      </c>
      <c r="AQ159" s="475" t="str">
        <f t="shared" si="117"/>
        <v/>
      </c>
      <c r="AR159" s="475" t="str">
        <f t="shared" si="118"/>
        <v/>
      </c>
      <c r="AS159" s="475" t="str">
        <f t="shared" si="119"/>
        <v/>
      </c>
      <c r="AT159" s="475" t="str">
        <f t="shared" si="120"/>
        <v/>
      </c>
      <c r="AU159" s="475" t="str">
        <f t="shared" si="121"/>
        <v/>
      </c>
      <c r="AV159" s="475" t="str">
        <f t="shared" si="102"/>
        <v/>
      </c>
      <c r="AW159" s="473">
        <f t="shared" si="103"/>
        <v>0</v>
      </c>
      <c r="AX159" s="473" t="str">
        <f>IF(AND($Z159="b",OR($AA159="a",$AA159="b"),Inventory!$I166="",$AE159&lt;(65000/12000)),"x",IF(AND($Z159="b",OR($AA159="a",$AA159="b"),Inventory!$I166&lt;&gt;"",$AE159&lt;(65000/12000)),VLOOKUP(Inventory!$I166,$V$4:$W$5,2,FALSE),"x"))</f>
        <v>x</v>
      </c>
      <c r="AY159" s="476" t="str">
        <f t="shared" si="122"/>
        <v>aaa0</v>
      </c>
      <c r="AZ159" s="477" t="str">
        <f t="shared" si="123"/>
        <v>No</v>
      </c>
      <c r="BA159" s="759" t="str">
        <f t="shared" si="124"/>
        <v>No</v>
      </c>
      <c r="BB159" s="477">
        <f>IF($Z159="c",Inventory!$AB166,Inventory!$K166)</f>
        <v>0</v>
      </c>
      <c r="BC159" s="478">
        <f>IF(AND($Z159="b",Inventory!$N166="Btu/hr"),Inventory!$M166,IF(AND($Z159="b",Inventory!$N166="Tons"),Inventory!$M166*12000,IF(AND($Z159&lt;&gt;"b",Inventory!$AK166="Btu/hr"),Inventory!$AD166,IF(AND($Z159&lt;&gt;"b",Inventory!$AK166="Tons"),Inventory!$AD166*12000,0))))</f>
        <v>0</v>
      </c>
      <c r="BD159" s="478">
        <f t="shared" si="95"/>
        <v>0</v>
      </c>
      <c r="BE159" s="479">
        <f t="shared" si="125"/>
        <v>0</v>
      </c>
      <c r="BF159" s="477" t="s">
        <v>50</v>
      </c>
      <c r="BG159" s="479">
        <f t="shared" si="104"/>
        <v>0</v>
      </c>
      <c r="BH159" s="477" t="s">
        <v>46</v>
      </c>
      <c r="BI159" s="760">
        <f>IF(AND($Z159="b",Inventory!$P166="Btu/hr"),Inventory!$O166,IF(AND($Z159="b",Inventory!$P166="Tons"),Inventory!$O166*12000,IF(AND($Z159&lt;&gt;"b",Inventory!$AM166="Btu/hr"),Inventory!$AL166,IF(AND($Z159&lt;&gt;"b",Inventory!$AM166="Tons"),Inventory!$AL166*12000,0))))</f>
        <v>0</v>
      </c>
      <c r="BJ159" s="760">
        <f t="shared" si="96"/>
        <v>0</v>
      </c>
      <c r="BK159" s="598">
        <f t="shared" si="126"/>
        <v>0</v>
      </c>
      <c r="BL159" s="759" t="s">
        <v>567</v>
      </c>
      <c r="BM159" s="477" t="str">
        <f t="shared" si="105"/>
        <v>No</v>
      </c>
      <c r="BN159" s="477" t="str">
        <f>IF(OR(Inventory!$H166="",$BM159="No"),"-",Inventory!$H166)</f>
        <v>-</v>
      </c>
      <c r="BO159" s="477" t="str">
        <f>IFERROR(VLOOKUP(BN159,'Early Retirement'!$B$6:$C$33,2,FALSE),"-")</f>
        <v>-</v>
      </c>
      <c r="BP159" s="477" t="str">
        <f>IF(Inventory!$J166="Centrifugal","Yes","No")</f>
        <v>No</v>
      </c>
      <c r="BQ159" s="477">
        <f t="shared" si="127"/>
        <v>0</v>
      </c>
      <c r="BR159" s="477" t="str">
        <f t="shared" si="128"/>
        <v>-</v>
      </c>
      <c r="BS159" s="479">
        <f>IFERROR(INDEX('Early Retirement'!$C$4:$AC$33,$BO159,$BR159),0)</f>
        <v>0</v>
      </c>
      <c r="BT159" s="477">
        <f>IFERROR(HLOOKUP($BR159,'Early Retirement'!$D$4:$AC$5,2,FALSE),0)</f>
        <v>0</v>
      </c>
      <c r="BU159" s="761">
        <f>IFERROR(INDEX('Early Retirement'!$AE$4:$BE$33,$BO159,$BR159),0)</f>
        <v>0</v>
      </c>
      <c r="BV159" s="759">
        <f>IFERROR(HLOOKUP($BR159,'Early Retirement'!$AF$4:$BE$5,2,FALSE),0)</f>
        <v>0</v>
      </c>
      <c r="BW159" s="479">
        <f t="shared" si="135"/>
        <v>0</v>
      </c>
      <c r="BX159" s="761">
        <f t="shared" si="129"/>
        <v>0</v>
      </c>
      <c r="BY159" s="477" t="s">
        <v>46</v>
      </c>
      <c r="BZ159" s="598">
        <f>IFERROR(INDEX('Early Retirement'!$BG$4:$CG$33,$BO159,$BR159),0)</f>
        <v>0</v>
      </c>
      <c r="CA159" s="759">
        <f>IFERROR(HLOOKUP($BR159,'Early Retirement'!$BH$4:$CH$5,2,FALSE),0)</f>
        <v>0</v>
      </c>
      <c r="CB159" s="598">
        <f t="shared" si="130"/>
        <v>0</v>
      </c>
      <c r="CC159" s="759" t="s">
        <v>567</v>
      </c>
      <c r="CD159" s="477" t="str">
        <f t="shared" si="106"/>
        <v>Yes</v>
      </c>
      <c r="CE159" s="479">
        <f t="shared" si="107"/>
        <v>0</v>
      </c>
      <c r="CF159" s="761">
        <f t="shared" si="108"/>
        <v>0</v>
      </c>
      <c r="CG159" s="759" t="s">
        <v>46</v>
      </c>
      <c r="CH159" s="598">
        <f t="shared" si="131"/>
        <v>0</v>
      </c>
      <c r="CI159" s="759" t="s">
        <v>567</v>
      </c>
      <c r="CJ159" s="480">
        <f t="shared" si="132"/>
        <v>0</v>
      </c>
      <c r="CK159" s="583">
        <f t="shared" si="133"/>
        <v>0</v>
      </c>
      <c r="CL159" s="596" t="s">
        <v>46</v>
      </c>
      <c r="CM159" s="581">
        <f t="shared" si="134"/>
        <v>0</v>
      </c>
      <c r="CN159" s="762" t="s">
        <v>567</v>
      </c>
      <c r="CW159" s="630"/>
      <c r="CX159" s="630"/>
      <c r="CY159" s="630"/>
      <c r="CZ159" s="630"/>
      <c r="DA159" s="630"/>
      <c r="DB159" s="562"/>
      <c r="DC159" s="562"/>
      <c r="DD159" s="562"/>
      <c r="DE159" s="562"/>
      <c r="DF159" s="562"/>
      <c r="DG159" s="562"/>
      <c r="DH159" s="562"/>
      <c r="DI159" s="562"/>
      <c r="DJ159" s="562"/>
      <c r="DK159" s="562"/>
      <c r="DL159" s="562"/>
      <c r="DM159" s="562"/>
      <c r="DN159" s="562"/>
      <c r="DO159" s="562"/>
      <c r="DP159" s="562"/>
      <c r="DQ159" s="562"/>
      <c r="DR159" s="562"/>
      <c r="DS159" s="562"/>
      <c r="DT159" s="562"/>
      <c r="DU159" s="562"/>
      <c r="DV159" s="562"/>
      <c r="DW159" s="562"/>
      <c r="DX159" s="562"/>
      <c r="DY159" s="562"/>
      <c r="DZ159" s="562"/>
      <c r="EA159" s="562"/>
      <c r="EB159" s="562"/>
      <c r="EC159" s="562"/>
      <c r="ED159" s="562"/>
      <c r="EE159" s="562"/>
      <c r="EF159" s="562"/>
      <c r="EG159" s="562"/>
      <c r="EH159" s="562"/>
      <c r="EI159" s="562"/>
      <c r="EJ159" s="562"/>
      <c r="EK159" s="562"/>
      <c r="EL159" s="562"/>
    </row>
    <row r="160" spans="2:142" s="78" customFormat="1" ht="15" customHeight="1" x14ac:dyDescent="0.25">
      <c r="B160" s="77"/>
      <c r="E160" s="77"/>
      <c r="H160" s="77"/>
      <c r="Y160" s="90">
        <v>158</v>
      </c>
      <c r="Z160" s="559" t="str">
        <f>IF(Inventory!$C167="","",VLOOKUP(Inventory!$C167,$B$3:$C$5,2,FALSE))</f>
        <v/>
      </c>
      <c r="AA160" s="559" t="str">
        <f>IF($Z160="","",IF(AND($Z160="b",Inventory!$G167=""),"",IF(AND($Z160="b",Inventory!$G167&lt;&gt;""),VLOOKUP(Inventory!$G167,$E$3:$F$10,2,FALSE),IF(AND($Z160="a",Inventory!$Z167=""),"",IF(AND($Z160="a",Inventory!$Z167&lt;&gt;""),VLOOKUP(Inventory!$Z167,$E$3:$F$10,2,FALSE),IF(AND($Z160="c",Inventory!$Z167=""),"",IF(AND($Z160="c",Inventory!$Z167&lt;&gt;""),VLOOKUP(Inventory!$Z167,$E$3:$F$10,2,FALSE),"")))))))</f>
        <v/>
      </c>
      <c r="AB160" s="559" t="str">
        <f>IF($Z160="","a",IF(AND($Z160="b",Inventory!$J167=""),"a",IF(AND($Z160="b",Inventory!$J167&lt;&gt;""),VLOOKUP(Inventory!$J167,$H$4:$I$6,2,FALSE),IF(AND($Z160="a",Inventory!$AA167=""),"a",IF(AND($Z160="a",Inventory!$AA167&lt;&gt;""),VLOOKUP(Inventory!$AA167,$H$4:$I$6,2,FALSE),IF(AND($Z160="c",Inventory!$AA167=""),"a",IF(AND($Z160="c",Inventory!$AA167&lt;&gt;""),VLOOKUP(Inventory!$AA167,$H$4:$I$6,2,FALSE),"a")))))))</f>
        <v>a</v>
      </c>
      <c r="AC160" s="559" t="str">
        <f t="shared" si="109"/>
        <v>a</v>
      </c>
      <c r="AD160" s="473" t="str">
        <f>IF($Z160="","a",IF(AND($Z160="b",Inventory!$L167=""),"a",IF(AND($Z160="b",Inventory!$L167&lt;&gt;""),VLOOKUP(Inventory!$L167,$N$4:$O$5,2,FALSE),IF(AND($Z160="a",Inventory!$AC167=""),"a",IF(AND($Z160="a",Inventory!$AC167&lt;&gt;""),VLOOKUP(Inventory!$AC167,$N$4:$O$5,2,FALSE),IF(AND($Z160="c",Inventory!$AC167=""),"a",IF(AND($Z160="c",Inventory!$AC167&lt;&gt;""),VLOOKUP(Inventory!$AC167,$N$4:$O$5,2,FALSE),"a")))))))</f>
        <v>a</v>
      </c>
      <c r="AE160" s="474">
        <f>IF(OR(Inventory!C167="New Construction",Inventory!C167="Replace-on-Burnout"),Inventory!AF167,IF(Inventory!C167="Early Retirement",MIN(Inventory!AE167,Inventory!AF167),0))</f>
        <v>0</v>
      </c>
      <c r="AF160" s="475" t="str">
        <f t="shared" si="110"/>
        <v/>
      </c>
      <c r="AG160" s="475" t="str">
        <f t="shared" si="98"/>
        <v/>
      </c>
      <c r="AH160" s="475" t="str">
        <f t="shared" si="99"/>
        <v/>
      </c>
      <c r="AI160" s="475" t="str">
        <f t="shared" si="100"/>
        <v/>
      </c>
      <c r="AJ160" s="475" t="str">
        <f t="shared" si="101"/>
        <v/>
      </c>
      <c r="AK160" s="475" t="str">
        <f t="shared" si="111"/>
        <v/>
      </c>
      <c r="AL160" s="475" t="str">
        <f t="shared" si="112"/>
        <v/>
      </c>
      <c r="AM160" s="475" t="str">
        <f t="shared" si="113"/>
        <v/>
      </c>
      <c r="AN160" s="475" t="str">
        <f t="shared" si="114"/>
        <v/>
      </c>
      <c r="AO160" s="475" t="str">
        <f t="shared" si="115"/>
        <v/>
      </c>
      <c r="AP160" s="475" t="str">
        <f t="shared" si="116"/>
        <v/>
      </c>
      <c r="AQ160" s="475" t="str">
        <f t="shared" si="117"/>
        <v/>
      </c>
      <c r="AR160" s="475" t="str">
        <f t="shared" si="118"/>
        <v/>
      </c>
      <c r="AS160" s="475" t="str">
        <f t="shared" si="119"/>
        <v/>
      </c>
      <c r="AT160" s="475" t="str">
        <f t="shared" si="120"/>
        <v/>
      </c>
      <c r="AU160" s="475" t="str">
        <f t="shared" si="121"/>
        <v/>
      </c>
      <c r="AV160" s="475" t="str">
        <f t="shared" si="102"/>
        <v/>
      </c>
      <c r="AW160" s="473">
        <f t="shared" si="103"/>
        <v>0</v>
      </c>
      <c r="AX160" s="473" t="str">
        <f>IF(AND($Z160="b",OR($AA160="a",$AA160="b"),Inventory!$I167="",$AE160&lt;(65000/12000)),"x",IF(AND($Z160="b",OR($AA160="a",$AA160="b"),Inventory!$I167&lt;&gt;"",$AE160&lt;(65000/12000)),VLOOKUP(Inventory!$I167,$V$4:$W$5,2,FALSE),"x"))</f>
        <v>x</v>
      </c>
      <c r="AY160" s="476" t="str">
        <f t="shared" si="122"/>
        <v>aaa0</v>
      </c>
      <c r="AZ160" s="477" t="str">
        <f t="shared" si="123"/>
        <v>No</v>
      </c>
      <c r="BA160" s="759" t="str">
        <f t="shared" si="124"/>
        <v>No</v>
      </c>
      <c r="BB160" s="477">
        <f>IF($Z160="c",Inventory!$AB167,Inventory!$K167)</f>
        <v>0</v>
      </c>
      <c r="BC160" s="478">
        <f>IF(AND($Z160="b",Inventory!$N167="Btu/hr"),Inventory!$M167,IF(AND($Z160="b",Inventory!$N167="Tons"),Inventory!$M167*12000,IF(AND($Z160&lt;&gt;"b",Inventory!$AK167="Btu/hr"),Inventory!$AD167,IF(AND($Z160&lt;&gt;"b",Inventory!$AK167="Tons"),Inventory!$AD167*12000,0))))</f>
        <v>0</v>
      </c>
      <c r="BD160" s="478">
        <f t="shared" si="95"/>
        <v>0</v>
      </c>
      <c r="BE160" s="479">
        <f t="shared" si="125"/>
        <v>0</v>
      </c>
      <c r="BF160" s="477" t="s">
        <v>50</v>
      </c>
      <c r="BG160" s="479">
        <f t="shared" si="104"/>
        <v>0</v>
      </c>
      <c r="BH160" s="477" t="s">
        <v>46</v>
      </c>
      <c r="BI160" s="760">
        <f>IF(AND($Z160="b",Inventory!$P167="Btu/hr"),Inventory!$O167,IF(AND($Z160="b",Inventory!$P167="Tons"),Inventory!$O167*12000,IF(AND($Z160&lt;&gt;"b",Inventory!$AM167="Btu/hr"),Inventory!$AL167,IF(AND($Z160&lt;&gt;"b",Inventory!$AM167="Tons"),Inventory!$AL167*12000,0))))</f>
        <v>0</v>
      </c>
      <c r="BJ160" s="760">
        <f t="shared" si="96"/>
        <v>0</v>
      </c>
      <c r="BK160" s="598">
        <f t="shared" si="126"/>
        <v>0</v>
      </c>
      <c r="BL160" s="759" t="s">
        <v>567</v>
      </c>
      <c r="BM160" s="477" t="str">
        <f t="shared" si="105"/>
        <v>No</v>
      </c>
      <c r="BN160" s="477" t="str">
        <f>IF(OR(Inventory!$H167="",$BM160="No"),"-",Inventory!$H167)</f>
        <v>-</v>
      </c>
      <c r="BO160" s="477" t="str">
        <f>IFERROR(VLOOKUP(BN160,'Early Retirement'!$B$6:$C$33,2,FALSE),"-")</f>
        <v>-</v>
      </c>
      <c r="BP160" s="477" t="str">
        <f>IF(Inventory!$J167="Centrifugal","Yes","No")</f>
        <v>No</v>
      </c>
      <c r="BQ160" s="477">
        <f t="shared" si="127"/>
        <v>0</v>
      </c>
      <c r="BR160" s="477" t="str">
        <f t="shared" si="128"/>
        <v>-</v>
      </c>
      <c r="BS160" s="479">
        <f>IFERROR(INDEX('Early Retirement'!$C$4:$AC$33,$BO160,$BR160),0)</f>
        <v>0</v>
      </c>
      <c r="BT160" s="477">
        <f>IFERROR(HLOOKUP($BR160,'Early Retirement'!$D$4:$AC$5,2,FALSE),0)</f>
        <v>0</v>
      </c>
      <c r="BU160" s="761">
        <f>IFERROR(INDEX('Early Retirement'!$AE$4:$BE$33,$BO160,$BR160),0)</f>
        <v>0</v>
      </c>
      <c r="BV160" s="759">
        <f>IFERROR(HLOOKUP($BR160,'Early Retirement'!$AF$4:$BE$5,2,FALSE),0)</f>
        <v>0</v>
      </c>
      <c r="BW160" s="479">
        <f t="shared" si="135"/>
        <v>0</v>
      </c>
      <c r="BX160" s="761">
        <f t="shared" si="129"/>
        <v>0</v>
      </c>
      <c r="BY160" s="477" t="s">
        <v>46</v>
      </c>
      <c r="BZ160" s="598">
        <f>IFERROR(INDEX('Early Retirement'!$BG$4:$CG$33,$BO160,$BR160),0)</f>
        <v>0</v>
      </c>
      <c r="CA160" s="759">
        <f>IFERROR(HLOOKUP($BR160,'Early Retirement'!$BH$4:$CH$5,2,FALSE),0)</f>
        <v>0</v>
      </c>
      <c r="CB160" s="598">
        <f t="shared" si="130"/>
        <v>0</v>
      </c>
      <c r="CC160" s="759" t="s">
        <v>567</v>
      </c>
      <c r="CD160" s="477" t="str">
        <f t="shared" si="106"/>
        <v>Yes</v>
      </c>
      <c r="CE160" s="479">
        <f t="shared" si="107"/>
        <v>0</v>
      </c>
      <c r="CF160" s="761">
        <f t="shared" si="108"/>
        <v>0</v>
      </c>
      <c r="CG160" s="759" t="s">
        <v>46</v>
      </c>
      <c r="CH160" s="598">
        <f t="shared" si="131"/>
        <v>0</v>
      </c>
      <c r="CI160" s="759" t="s">
        <v>567</v>
      </c>
      <c r="CJ160" s="480">
        <f t="shared" si="132"/>
        <v>0</v>
      </c>
      <c r="CK160" s="583">
        <f t="shared" si="133"/>
        <v>0</v>
      </c>
      <c r="CL160" s="596" t="s">
        <v>46</v>
      </c>
      <c r="CM160" s="581">
        <f t="shared" si="134"/>
        <v>0</v>
      </c>
      <c r="CN160" s="762" t="s">
        <v>567</v>
      </c>
      <c r="CW160" s="630"/>
      <c r="CX160" s="630"/>
      <c r="CY160" s="630"/>
      <c r="CZ160" s="630"/>
      <c r="DA160" s="630"/>
      <c r="DB160" s="562"/>
      <c r="DC160" s="562"/>
      <c r="DD160" s="562"/>
      <c r="DE160" s="562"/>
      <c r="DF160" s="562"/>
      <c r="DG160" s="562"/>
      <c r="DH160" s="562"/>
      <c r="DI160" s="562"/>
      <c r="DJ160" s="562"/>
      <c r="DK160" s="562"/>
      <c r="DL160" s="562"/>
      <c r="DM160" s="562"/>
      <c r="DN160" s="562"/>
      <c r="DO160" s="562"/>
      <c r="DP160" s="562"/>
      <c r="DQ160" s="562"/>
      <c r="DR160" s="562"/>
      <c r="DS160" s="562"/>
      <c r="DT160" s="562"/>
      <c r="DU160" s="562"/>
      <c r="DV160" s="562"/>
      <c r="DW160" s="562"/>
      <c r="DX160" s="562"/>
      <c r="DY160" s="562"/>
      <c r="DZ160" s="562"/>
      <c r="EA160" s="562"/>
      <c r="EB160" s="562"/>
      <c r="EC160" s="562"/>
      <c r="ED160" s="562"/>
      <c r="EE160" s="562"/>
      <c r="EF160" s="562"/>
      <c r="EG160" s="562"/>
      <c r="EH160" s="562"/>
      <c r="EI160" s="562"/>
      <c r="EJ160" s="562"/>
      <c r="EK160" s="562"/>
      <c r="EL160" s="562"/>
    </row>
    <row r="161" spans="2:142" s="78" customFormat="1" ht="15" customHeight="1" x14ac:dyDescent="0.25">
      <c r="B161" s="77"/>
      <c r="E161" s="77"/>
      <c r="H161" s="77"/>
      <c r="Y161" s="90">
        <v>159</v>
      </c>
      <c r="Z161" s="559" t="str">
        <f>IF(Inventory!$C168="","",VLOOKUP(Inventory!$C168,$B$3:$C$5,2,FALSE))</f>
        <v/>
      </c>
      <c r="AA161" s="559" t="str">
        <f>IF($Z161="","",IF(AND($Z161="b",Inventory!$G168=""),"",IF(AND($Z161="b",Inventory!$G168&lt;&gt;""),VLOOKUP(Inventory!$G168,$E$3:$F$10,2,FALSE),IF(AND($Z161="a",Inventory!$Z168=""),"",IF(AND($Z161="a",Inventory!$Z168&lt;&gt;""),VLOOKUP(Inventory!$Z168,$E$3:$F$10,2,FALSE),IF(AND($Z161="c",Inventory!$Z168=""),"",IF(AND($Z161="c",Inventory!$Z168&lt;&gt;""),VLOOKUP(Inventory!$Z168,$E$3:$F$10,2,FALSE),"")))))))</f>
        <v/>
      </c>
      <c r="AB161" s="559" t="str">
        <f>IF($Z161="","a",IF(AND($Z161="b",Inventory!$J168=""),"a",IF(AND($Z161="b",Inventory!$J168&lt;&gt;""),VLOOKUP(Inventory!$J168,$H$4:$I$6,2,FALSE),IF(AND($Z161="a",Inventory!$AA168=""),"a",IF(AND($Z161="a",Inventory!$AA168&lt;&gt;""),VLOOKUP(Inventory!$AA168,$H$4:$I$6,2,FALSE),IF(AND($Z161="c",Inventory!$AA168=""),"a",IF(AND($Z161="c",Inventory!$AA168&lt;&gt;""),VLOOKUP(Inventory!$AA168,$H$4:$I$6,2,FALSE),"a")))))))</f>
        <v>a</v>
      </c>
      <c r="AC161" s="559" t="str">
        <f t="shared" si="109"/>
        <v>a</v>
      </c>
      <c r="AD161" s="473" t="str">
        <f>IF($Z161="","a",IF(AND($Z161="b",Inventory!$L168=""),"a",IF(AND($Z161="b",Inventory!$L168&lt;&gt;""),VLOOKUP(Inventory!$L168,$N$4:$O$5,2,FALSE),IF(AND($Z161="a",Inventory!$AC168=""),"a",IF(AND($Z161="a",Inventory!$AC168&lt;&gt;""),VLOOKUP(Inventory!$AC168,$N$4:$O$5,2,FALSE),IF(AND($Z161="c",Inventory!$AC168=""),"a",IF(AND($Z161="c",Inventory!$AC168&lt;&gt;""),VLOOKUP(Inventory!$AC168,$N$4:$O$5,2,FALSE),"a")))))))</f>
        <v>a</v>
      </c>
      <c r="AE161" s="474">
        <f>IF(OR(Inventory!C168="New Construction",Inventory!C168="Replace-on-Burnout"),Inventory!AF168,IF(Inventory!C168="Early Retirement",MIN(Inventory!AE168,Inventory!AF168),0))</f>
        <v>0</v>
      </c>
      <c r="AF161" s="475" t="str">
        <f t="shared" si="110"/>
        <v/>
      </c>
      <c r="AG161" s="475" t="str">
        <f t="shared" si="98"/>
        <v/>
      </c>
      <c r="AH161" s="475" t="str">
        <f t="shared" si="99"/>
        <v/>
      </c>
      <c r="AI161" s="475" t="str">
        <f t="shared" si="100"/>
        <v/>
      </c>
      <c r="AJ161" s="475" t="str">
        <f t="shared" si="101"/>
        <v/>
      </c>
      <c r="AK161" s="475" t="str">
        <f t="shared" si="111"/>
        <v/>
      </c>
      <c r="AL161" s="475" t="str">
        <f t="shared" si="112"/>
        <v/>
      </c>
      <c r="AM161" s="475" t="str">
        <f t="shared" si="113"/>
        <v/>
      </c>
      <c r="AN161" s="475" t="str">
        <f t="shared" si="114"/>
        <v/>
      </c>
      <c r="AO161" s="475" t="str">
        <f t="shared" si="115"/>
        <v/>
      </c>
      <c r="AP161" s="475" t="str">
        <f t="shared" si="116"/>
        <v/>
      </c>
      <c r="AQ161" s="475" t="str">
        <f t="shared" si="117"/>
        <v/>
      </c>
      <c r="AR161" s="475" t="str">
        <f t="shared" si="118"/>
        <v/>
      </c>
      <c r="AS161" s="475" t="str">
        <f t="shared" si="119"/>
        <v/>
      </c>
      <c r="AT161" s="475" t="str">
        <f t="shared" si="120"/>
        <v/>
      </c>
      <c r="AU161" s="475" t="str">
        <f t="shared" si="121"/>
        <v/>
      </c>
      <c r="AV161" s="475" t="str">
        <f t="shared" si="102"/>
        <v/>
      </c>
      <c r="AW161" s="473">
        <f t="shared" si="103"/>
        <v>0</v>
      </c>
      <c r="AX161" s="473" t="str">
        <f>IF(AND($Z161="b",OR($AA161="a",$AA161="b"),Inventory!$I168="",$AE161&lt;(65000/12000)),"x",IF(AND($Z161="b",OR($AA161="a",$AA161="b"),Inventory!$I168&lt;&gt;"",$AE161&lt;(65000/12000)),VLOOKUP(Inventory!$I168,$V$4:$W$5,2,FALSE),"x"))</f>
        <v>x</v>
      </c>
      <c r="AY161" s="476" t="str">
        <f t="shared" si="122"/>
        <v>aaa0</v>
      </c>
      <c r="AZ161" s="477" t="str">
        <f t="shared" si="123"/>
        <v>No</v>
      </c>
      <c r="BA161" s="759" t="str">
        <f t="shared" si="124"/>
        <v>No</v>
      </c>
      <c r="BB161" s="477">
        <f>IF($Z161="c",Inventory!$AB168,Inventory!$K168)</f>
        <v>0</v>
      </c>
      <c r="BC161" s="478">
        <f>IF(AND($Z161="b",Inventory!$N168="Btu/hr"),Inventory!$M168,IF(AND($Z161="b",Inventory!$N168="Tons"),Inventory!$M168*12000,IF(AND($Z161&lt;&gt;"b",Inventory!$AK168="Btu/hr"),Inventory!$AD168,IF(AND($Z161&lt;&gt;"b",Inventory!$AK168="Tons"),Inventory!$AD168*12000,0))))</f>
        <v>0</v>
      </c>
      <c r="BD161" s="478">
        <f t="shared" si="95"/>
        <v>0</v>
      </c>
      <c r="BE161" s="479">
        <f t="shared" si="125"/>
        <v>0</v>
      </c>
      <c r="BF161" s="477" t="s">
        <v>50</v>
      </c>
      <c r="BG161" s="479">
        <f t="shared" si="104"/>
        <v>0</v>
      </c>
      <c r="BH161" s="477" t="s">
        <v>46</v>
      </c>
      <c r="BI161" s="760">
        <f>IF(AND($Z161="b",Inventory!$P168="Btu/hr"),Inventory!$O168,IF(AND($Z161="b",Inventory!$P168="Tons"),Inventory!$O168*12000,IF(AND($Z161&lt;&gt;"b",Inventory!$AM168="Btu/hr"),Inventory!$AL168,IF(AND($Z161&lt;&gt;"b",Inventory!$AM168="Tons"),Inventory!$AL168*12000,0))))</f>
        <v>0</v>
      </c>
      <c r="BJ161" s="760">
        <f t="shared" si="96"/>
        <v>0</v>
      </c>
      <c r="BK161" s="598">
        <f t="shared" si="126"/>
        <v>0</v>
      </c>
      <c r="BL161" s="759" t="s">
        <v>567</v>
      </c>
      <c r="BM161" s="477" t="str">
        <f t="shared" si="105"/>
        <v>No</v>
      </c>
      <c r="BN161" s="477" t="str">
        <f>IF(OR(Inventory!$H168="",$BM161="No"),"-",Inventory!$H168)</f>
        <v>-</v>
      </c>
      <c r="BO161" s="477" t="str">
        <f>IFERROR(VLOOKUP(BN161,'Early Retirement'!$B$6:$C$33,2,FALSE),"-")</f>
        <v>-</v>
      </c>
      <c r="BP161" s="477" t="str">
        <f>IF(Inventory!$J168="Centrifugal","Yes","No")</f>
        <v>No</v>
      </c>
      <c r="BQ161" s="477">
        <f t="shared" si="127"/>
        <v>0</v>
      </c>
      <c r="BR161" s="477" t="str">
        <f t="shared" si="128"/>
        <v>-</v>
      </c>
      <c r="BS161" s="479">
        <f>IFERROR(INDEX('Early Retirement'!$C$4:$AC$33,$BO161,$BR161),0)</f>
        <v>0</v>
      </c>
      <c r="BT161" s="477">
        <f>IFERROR(HLOOKUP($BR161,'Early Retirement'!$D$4:$AC$5,2,FALSE),0)</f>
        <v>0</v>
      </c>
      <c r="BU161" s="761">
        <f>IFERROR(INDEX('Early Retirement'!$AE$4:$BE$33,$BO161,$BR161),0)</f>
        <v>0</v>
      </c>
      <c r="BV161" s="759">
        <f>IFERROR(HLOOKUP($BR161,'Early Retirement'!$AF$4:$BE$5,2,FALSE),0)</f>
        <v>0</v>
      </c>
      <c r="BW161" s="479">
        <f t="shared" si="135"/>
        <v>0</v>
      </c>
      <c r="BX161" s="761">
        <f t="shared" si="129"/>
        <v>0</v>
      </c>
      <c r="BY161" s="477" t="s">
        <v>46</v>
      </c>
      <c r="BZ161" s="598">
        <f>IFERROR(INDEX('Early Retirement'!$BG$4:$CG$33,$BO161,$BR161),0)</f>
        <v>0</v>
      </c>
      <c r="CA161" s="759">
        <f>IFERROR(HLOOKUP($BR161,'Early Retirement'!$BH$4:$CH$5,2,FALSE),0)</f>
        <v>0</v>
      </c>
      <c r="CB161" s="598">
        <f t="shared" si="130"/>
        <v>0</v>
      </c>
      <c r="CC161" s="759" t="s">
        <v>567</v>
      </c>
      <c r="CD161" s="477" t="str">
        <f t="shared" si="106"/>
        <v>Yes</v>
      </c>
      <c r="CE161" s="479">
        <f t="shared" si="107"/>
        <v>0</v>
      </c>
      <c r="CF161" s="761">
        <f t="shared" si="108"/>
        <v>0</v>
      </c>
      <c r="CG161" s="759" t="s">
        <v>46</v>
      </c>
      <c r="CH161" s="598">
        <f t="shared" si="131"/>
        <v>0</v>
      </c>
      <c r="CI161" s="759" t="s">
        <v>567</v>
      </c>
      <c r="CJ161" s="480">
        <f t="shared" si="132"/>
        <v>0</v>
      </c>
      <c r="CK161" s="583">
        <f t="shared" si="133"/>
        <v>0</v>
      </c>
      <c r="CL161" s="596" t="s">
        <v>46</v>
      </c>
      <c r="CM161" s="581">
        <f t="shared" si="134"/>
        <v>0</v>
      </c>
      <c r="CN161" s="762" t="s">
        <v>567</v>
      </c>
      <c r="CW161" s="630"/>
      <c r="CX161" s="630"/>
      <c r="CY161" s="630"/>
      <c r="CZ161" s="630"/>
      <c r="DA161" s="630"/>
      <c r="DB161" s="562"/>
      <c r="DC161" s="562"/>
      <c r="DD161" s="562"/>
      <c r="DE161" s="562"/>
      <c r="DF161" s="562"/>
      <c r="DG161" s="562"/>
      <c r="DH161" s="562"/>
      <c r="DI161" s="562"/>
      <c r="DJ161" s="562"/>
      <c r="DK161" s="562"/>
      <c r="DL161" s="562"/>
      <c r="DM161" s="562"/>
      <c r="DN161" s="562"/>
      <c r="DO161" s="562"/>
      <c r="DP161" s="562"/>
      <c r="DQ161" s="562"/>
      <c r="DR161" s="562"/>
      <c r="DS161" s="562"/>
      <c r="DT161" s="562"/>
      <c r="DU161" s="562"/>
      <c r="DV161" s="562"/>
      <c r="DW161" s="562"/>
      <c r="DX161" s="562"/>
      <c r="DY161" s="562"/>
      <c r="DZ161" s="562"/>
      <c r="EA161" s="562"/>
      <c r="EB161" s="562"/>
      <c r="EC161" s="562"/>
      <c r="ED161" s="562"/>
      <c r="EE161" s="562"/>
      <c r="EF161" s="562"/>
      <c r="EG161" s="562"/>
      <c r="EH161" s="562"/>
      <c r="EI161" s="562"/>
      <c r="EJ161" s="562"/>
      <c r="EK161" s="562"/>
      <c r="EL161" s="562"/>
    </row>
    <row r="162" spans="2:142" s="78" customFormat="1" ht="15" customHeight="1" x14ac:dyDescent="0.25">
      <c r="B162" s="77"/>
      <c r="E162" s="77"/>
      <c r="H162" s="77"/>
      <c r="Y162" s="90">
        <v>160</v>
      </c>
      <c r="Z162" s="559" t="str">
        <f>IF(Inventory!$C169="","",VLOOKUP(Inventory!$C169,$B$3:$C$5,2,FALSE))</f>
        <v/>
      </c>
      <c r="AA162" s="559" t="str">
        <f>IF($Z162="","",IF(AND($Z162="b",Inventory!$G169=""),"",IF(AND($Z162="b",Inventory!$G169&lt;&gt;""),VLOOKUP(Inventory!$G169,$E$3:$F$10,2,FALSE),IF(AND($Z162="a",Inventory!$Z169=""),"",IF(AND($Z162="a",Inventory!$Z169&lt;&gt;""),VLOOKUP(Inventory!$Z169,$E$3:$F$10,2,FALSE),IF(AND($Z162="c",Inventory!$Z169=""),"",IF(AND($Z162="c",Inventory!$Z169&lt;&gt;""),VLOOKUP(Inventory!$Z169,$E$3:$F$10,2,FALSE),"")))))))</f>
        <v/>
      </c>
      <c r="AB162" s="559" t="str">
        <f>IF($Z162="","a",IF(AND($Z162="b",Inventory!$J169=""),"a",IF(AND($Z162="b",Inventory!$J169&lt;&gt;""),VLOOKUP(Inventory!$J169,$H$4:$I$6,2,FALSE),IF(AND($Z162="a",Inventory!$AA169=""),"a",IF(AND($Z162="a",Inventory!$AA169&lt;&gt;""),VLOOKUP(Inventory!$AA169,$H$4:$I$6,2,FALSE),IF(AND($Z162="c",Inventory!$AA169=""),"a",IF(AND($Z162="c",Inventory!$AA169&lt;&gt;""),VLOOKUP(Inventory!$AA169,$H$4:$I$6,2,FALSE),"a")))))))</f>
        <v>a</v>
      </c>
      <c r="AC162" s="559" t="str">
        <f t="shared" si="109"/>
        <v>a</v>
      </c>
      <c r="AD162" s="473" t="str">
        <f>IF($Z162="","a",IF(AND($Z162="b",Inventory!$L169=""),"a",IF(AND($Z162="b",Inventory!$L169&lt;&gt;""),VLOOKUP(Inventory!$L169,$N$4:$O$5,2,FALSE),IF(AND($Z162="a",Inventory!$AC169=""),"a",IF(AND($Z162="a",Inventory!$AC169&lt;&gt;""),VLOOKUP(Inventory!$AC169,$N$4:$O$5,2,FALSE),IF(AND($Z162="c",Inventory!$AC169=""),"a",IF(AND($Z162="c",Inventory!$AC169&lt;&gt;""),VLOOKUP(Inventory!$AC169,$N$4:$O$5,2,FALSE),"a")))))))</f>
        <v>a</v>
      </c>
      <c r="AE162" s="474">
        <f>IF(OR(Inventory!C169="New Construction",Inventory!C169="Replace-on-Burnout"),Inventory!AF169,IF(Inventory!C169="Early Retirement",MIN(Inventory!AE169,Inventory!AF169),0))</f>
        <v>0</v>
      </c>
      <c r="AF162" s="475" t="str">
        <f t="shared" si="110"/>
        <v/>
      </c>
      <c r="AG162" s="475" t="str">
        <f t="shared" si="98"/>
        <v/>
      </c>
      <c r="AH162" s="475" t="str">
        <f t="shared" si="99"/>
        <v/>
      </c>
      <c r="AI162" s="475" t="str">
        <f t="shared" si="100"/>
        <v/>
      </c>
      <c r="AJ162" s="475" t="str">
        <f t="shared" si="101"/>
        <v/>
      </c>
      <c r="AK162" s="475" t="str">
        <f t="shared" si="111"/>
        <v/>
      </c>
      <c r="AL162" s="475" t="str">
        <f t="shared" si="112"/>
        <v/>
      </c>
      <c r="AM162" s="475" t="str">
        <f t="shared" si="113"/>
        <v/>
      </c>
      <c r="AN162" s="475" t="str">
        <f t="shared" si="114"/>
        <v/>
      </c>
      <c r="AO162" s="475" t="str">
        <f t="shared" si="115"/>
        <v/>
      </c>
      <c r="AP162" s="475" t="str">
        <f t="shared" si="116"/>
        <v/>
      </c>
      <c r="AQ162" s="475" t="str">
        <f t="shared" si="117"/>
        <v/>
      </c>
      <c r="AR162" s="475" t="str">
        <f t="shared" si="118"/>
        <v/>
      </c>
      <c r="AS162" s="475" t="str">
        <f t="shared" si="119"/>
        <v/>
      </c>
      <c r="AT162" s="475" t="str">
        <f t="shared" si="120"/>
        <v/>
      </c>
      <c r="AU162" s="475" t="str">
        <f t="shared" si="121"/>
        <v/>
      </c>
      <c r="AV162" s="475" t="str">
        <f t="shared" si="102"/>
        <v/>
      </c>
      <c r="AW162" s="473">
        <f t="shared" si="103"/>
        <v>0</v>
      </c>
      <c r="AX162" s="473" t="str">
        <f>IF(AND($Z162="b",OR($AA162="a",$AA162="b"),Inventory!$I169="",$AE162&lt;(65000/12000)),"x",IF(AND($Z162="b",OR($AA162="a",$AA162="b"),Inventory!$I169&lt;&gt;"",$AE162&lt;(65000/12000)),VLOOKUP(Inventory!$I169,$V$4:$W$5,2,FALSE),"x"))</f>
        <v>x</v>
      </c>
      <c r="AY162" s="476" t="str">
        <f t="shared" si="122"/>
        <v>aaa0</v>
      </c>
      <c r="AZ162" s="477" t="str">
        <f t="shared" si="123"/>
        <v>No</v>
      </c>
      <c r="BA162" s="759" t="str">
        <f t="shared" si="124"/>
        <v>No</v>
      </c>
      <c r="BB162" s="477">
        <f>IF($Z162="c",Inventory!$AB169,Inventory!$K169)</f>
        <v>0</v>
      </c>
      <c r="BC162" s="478">
        <f>IF(AND($Z162="b",Inventory!$N169="Btu/hr"),Inventory!$M169,IF(AND($Z162="b",Inventory!$N169="Tons"),Inventory!$M169*12000,IF(AND($Z162&lt;&gt;"b",Inventory!$AK169="Btu/hr"),Inventory!$AD169,IF(AND($Z162&lt;&gt;"b",Inventory!$AK169="Tons"),Inventory!$AD169*12000,0))))</f>
        <v>0</v>
      </c>
      <c r="BD162" s="478">
        <f t="shared" si="95"/>
        <v>0</v>
      </c>
      <c r="BE162" s="479">
        <f t="shared" si="125"/>
        <v>0</v>
      </c>
      <c r="BF162" s="477" t="s">
        <v>50</v>
      </c>
      <c r="BG162" s="479">
        <f t="shared" si="104"/>
        <v>0</v>
      </c>
      <c r="BH162" s="477" t="s">
        <v>46</v>
      </c>
      <c r="BI162" s="760">
        <f>IF(AND($Z162="b",Inventory!$P169="Btu/hr"),Inventory!$O169,IF(AND($Z162="b",Inventory!$P169="Tons"),Inventory!$O169*12000,IF(AND($Z162&lt;&gt;"b",Inventory!$AM169="Btu/hr"),Inventory!$AL169,IF(AND($Z162&lt;&gt;"b",Inventory!$AM169="Tons"),Inventory!$AL169*12000,0))))</f>
        <v>0</v>
      </c>
      <c r="BJ162" s="760">
        <f t="shared" si="96"/>
        <v>0</v>
      </c>
      <c r="BK162" s="598">
        <f t="shared" si="126"/>
        <v>0</v>
      </c>
      <c r="BL162" s="759" t="s">
        <v>567</v>
      </c>
      <c r="BM162" s="477" t="str">
        <f t="shared" si="105"/>
        <v>No</v>
      </c>
      <c r="BN162" s="477" t="str">
        <f>IF(OR(Inventory!$H169="",$BM162="No"),"-",Inventory!$H169)</f>
        <v>-</v>
      </c>
      <c r="BO162" s="477" t="str">
        <f>IFERROR(VLOOKUP(BN162,'Early Retirement'!$B$6:$C$33,2,FALSE),"-")</f>
        <v>-</v>
      </c>
      <c r="BP162" s="477" t="str">
        <f>IF(Inventory!$J169="Centrifugal","Yes","No")</f>
        <v>No</v>
      </c>
      <c r="BQ162" s="477">
        <f t="shared" si="127"/>
        <v>0</v>
      </c>
      <c r="BR162" s="477" t="str">
        <f t="shared" si="128"/>
        <v>-</v>
      </c>
      <c r="BS162" s="479">
        <f>IFERROR(INDEX('Early Retirement'!$C$4:$AC$33,$BO162,$BR162),0)</f>
        <v>0</v>
      </c>
      <c r="BT162" s="477">
        <f>IFERROR(HLOOKUP($BR162,'Early Retirement'!$D$4:$AC$5,2,FALSE),0)</f>
        <v>0</v>
      </c>
      <c r="BU162" s="761">
        <f>IFERROR(INDEX('Early Retirement'!$AE$4:$BE$33,$BO162,$BR162),0)</f>
        <v>0</v>
      </c>
      <c r="BV162" s="759">
        <f>IFERROR(HLOOKUP($BR162,'Early Retirement'!$AF$4:$BE$5,2,FALSE),0)</f>
        <v>0</v>
      </c>
      <c r="BW162" s="479">
        <f t="shared" si="135"/>
        <v>0</v>
      </c>
      <c r="BX162" s="761">
        <f t="shared" si="129"/>
        <v>0</v>
      </c>
      <c r="BY162" s="477" t="s">
        <v>46</v>
      </c>
      <c r="BZ162" s="598">
        <f>IFERROR(INDEX('Early Retirement'!$BG$4:$CG$33,$BO162,$BR162),0)</f>
        <v>0</v>
      </c>
      <c r="CA162" s="759">
        <f>IFERROR(HLOOKUP($BR162,'Early Retirement'!$BH$4:$CH$5,2,FALSE),0)</f>
        <v>0</v>
      </c>
      <c r="CB162" s="598">
        <f t="shared" si="130"/>
        <v>0</v>
      </c>
      <c r="CC162" s="759" t="s">
        <v>567</v>
      </c>
      <c r="CD162" s="477" t="str">
        <f t="shared" si="106"/>
        <v>Yes</v>
      </c>
      <c r="CE162" s="479">
        <f t="shared" si="107"/>
        <v>0</v>
      </c>
      <c r="CF162" s="761">
        <f t="shared" si="108"/>
        <v>0</v>
      </c>
      <c r="CG162" s="759" t="s">
        <v>46</v>
      </c>
      <c r="CH162" s="598">
        <f t="shared" si="131"/>
        <v>0</v>
      </c>
      <c r="CI162" s="759" t="s">
        <v>567</v>
      </c>
      <c r="CJ162" s="480">
        <f t="shared" si="132"/>
        <v>0</v>
      </c>
      <c r="CK162" s="583">
        <f t="shared" si="133"/>
        <v>0</v>
      </c>
      <c r="CL162" s="596" t="s">
        <v>46</v>
      </c>
      <c r="CM162" s="581">
        <f t="shared" si="134"/>
        <v>0</v>
      </c>
      <c r="CN162" s="762" t="s">
        <v>567</v>
      </c>
      <c r="CW162" s="630"/>
      <c r="CX162" s="630"/>
      <c r="CY162" s="630"/>
      <c r="CZ162" s="630"/>
      <c r="DA162" s="630"/>
    </row>
    <row r="163" spans="2:142" s="78" customFormat="1" ht="15" customHeight="1" x14ac:dyDescent="0.25">
      <c r="B163" s="77"/>
      <c r="E163" s="77"/>
      <c r="H163" s="77"/>
      <c r="Y163" s="90">
        <v>161</v>
      </c>
      <c r="Z163" s="559" t="str">
        <f>IF(Inventory!$C170="","",VLOOKUP(Inventory!$C170,$B$3:$C$5,2,FALSE))</f>
        <v/>
      </c>
      <c r="AA163" s="559" t="str">
        <f>IF($Z163="","",IF(AND($Z163="b",Inventory!$G170=""),"",IF(AND($Z163="b",Inventory!$G170&lt;&gt;""),VLOOKUP(Inventory!$G170,$E$3:$F$10,2,FALSE),IF(AND($Z163="a",Inventory!$Z170=""),"",IF(AND($Z163="a",Inventory!$Z170&lt;&gt;""),VLOOKUP(Inventory!$Z170,$E$3:$F$10,2,FALSE),IF(AND($Z163="c",Inventory!$Z170=""),"",IF(AND($Z163="c",Inventory!$Z170&lt;&gt;""),VLOOKUP(Inventory!$Z170,$E$3:$F$10,2,FALSE),"")))))))</f>
        <v/>
      </c>
      <c r="AB163" s="559" t="str">
        <f>IF($Z163="","a",IF(AND($Z163="b",Inventory!$J170=""),"a",IF(AND($Z163="b",Inventory!$J170&lt;&gt;""),VLOOKUP(Inventory!$J170,$H$4:$I$6,2,FALSE),IF(AND($Z163="a",Inventory!$AA170=""),"a",IF(AND($Z163="a",Inventory!$AA170&lt;&gt;""),VLOOKUP(Inventory!$AA170,$H$4:$I$6,2,FALSE),IF(AND($Z163="c",Inventory!$AA170=""),"a",IF(AND($Z163="c",Inventory!$AA170&lt;&gt;""),VLOOKUP(Inventory!$AA170,$H$4:$I$6,2,FALSE),"a")))))))</f>
        <v>a</v>
      </c>
      <c r="AC163" s="559" t="str">
        <f t="shared" si="109"/>
        <v>a</v>
      </c>
      <c r="AD163" s="473" t="str">
        <f>IF($Z163="","a",IF(AND($Z163="b",Inventory!$L170=""),"a",IF(AND($Z163="b",Inventory!$L170&lt;&gt;""),VLOOKUP(Inventory!$L170,$N$4:$O$5,2,FALSE),IF(AND($Z163="a",Inventory!$AC170=""),"a",IF(AND($Z163="a",Inventory!$AC170&lt;&gt;""),VLOOKUP(Inventory!$AC170,$N$4:$O$5,2,FALSE),IF(AND($Z163="c",Inventory!$AC170=""),"a",IF(AND($Z163="c",Inventory!$AC170&lt;&gt;""),VLOOKUP(Inventory!$AC170,$N$4:$O$5,2,FALSE),"a")))))))</f>
        <v>a</v>
      </c>
      <c r="AE163" s="474">
        <f>IF(OR(Inventory!C170="New Construction",Inventory!C170="Replace-on-Burnout"),Inventory!AF170,IF(Inventory!C170="Early Retirement",MIN(Inventory!AE170,Inventory!AF170),0))</f>
        <v>0</v>
      </c>
      <c r="AF163" s="475" t="str">
        <f t="shared" si="110"/>
        <v/>
      </c>
      <c r="AG163" s="475" t="str">
        <f t="shared" si="98"/>
        <v/>
      </c>
      <c r="AH163" s="475" t="str">
        <f t="shared" si="99"/>
        <v/>
      </c>
      <c r="AI163" s="475" t="str">
        <f t="shared" si="100"/>
        <v/>
      </c>
      <c r="AJ163" s="475" t="str">
        <f t="shared" si="101"/>
        <v/>
      </c>
      <c r="AK163" s="475" t="str">
        <f t="shared" si="111"/>
        <v/>
      </c>
      <c r="AL163" s="475" t="str">
        <f t="shared" si="112"/>
        <v/>
      </c>
      <c r="AM163" s="475" t="str">
        <f t="shared" si="113"/>
        <v/>
      </c>
      <c r="AN163" s="475" t="str">
        <f t="shared" si="114"/>
        <v/>
      </c>
      <c r="AO163" s="475" t="str">
        <f t="shared" si="115"/>
        <v/>
      </c>
      <c r="AP163" s="475" t="str">
        <f t="shared" si="116"/>
        <v/>
      </c>
      <c r="AQ163" s="475" t="str">
        <f t="shared" si="117"/>
        <v/>
      </c>
      <c r="AR163" s="475" t="str">
        <f t="shared" si="118"/>
        <v/>
      </c>
      <c r="AS163" s="475" t="str">
        <f t="shared" si="119"/>
        <v/>
      </c>
      <c r="AT163" s="475" t="str">
        <f t="shared" si="120"/>
        <v/>
      </c>
      <c r="AU163" s="475" t="str">
        <f t="shared" si="121"/>
        <v/>
      </c>
      <c r="AV163" s="475" t="str">
        <f t="shared" si="102"/>
        <v/>
      </c>
      <c r="AW163" s="473">
        <f t="shared" si="103"/>
        <v>0</v>
      </c>
      <c r="AX163" s="473" t="str">
        <f>IF(AND($Z163="b",OR($AA163="a",$AA163="b"),Inventory!$I170="",$AE163&lt;(65000/12000)),"x",IF(AND($Z163="b",OR($AA163="a",$AA163="b"),Inventory!$I170&lt;&gt;"",$AE163&lt;(65000/12000)),VLOOKUP(Inventory!$I170,$V$4:$W$5,2,FALSE),"x"))</f>
        <v>x</v>
      </c>
      <c r="AY163" s="476" t="str">
        <f t="shared" si="122"/>
        <v>aaa0</v>
      </c>
      <c r="AZ163" s="477" t="str">
        <f t="shared" si="123"/>
        <v>No</v>
      </c>
      <c r="BA163" s="759" t="str">
        <f t="shared" si="124"/>
        <v>No</v>
      </c>
      <c r="BB163" s="477">
        <f>IF($Z163="c",Inventory!$AB170,Inventory!$K170)</f>
        <v>0</v>
      </c>
      <c r="BC163" s="478">
        <f>IF(AND($Z163="b",Inventory!$N170="Btu/hr"),Inventory!$M170,IF(AND($Z163="b",Inventory!$N170="Tons"),Inventory!$M170*12000,IF(AND($Z163&lt;&gt;"b",Inventory!$AK170="Btu/hr"),Inventory!$AD170,IF(AND($Z163&lt;&gt;"b",Inventory!$AK170="Tons"),Inventory!$AD170*12000,0))))</f>
        <v>0</v>
      </c>
      <c r="BD163" s="478">
        <f t="shared" si="95"/>
        <v>0</v>
      </c>
      <c r="BE163" s="479">
        <f t="shared" si="125"/>
        <v>0</v>
      </c>
      <c r="BF163" s="477" t="s">
        <v>50</v>
      </c>
      <c r="BG163" s="479">
        <f t="shared" si="104"/>
        <v>0</v>
      </c>
      <c r="BH163" s="477" t="s">
        <v>46</v>
      </c>
      <c r="BI163" s="760">
        <f>IF(AND($Z163="b",Inventory!$P170="Btu/hr"),Inventory!$O170,IF(AND($Z163="b",Inventory!$P170="Tons"),Inventory!$O170*12000,IF(AND($Z163&lt;&gt;"b",Inventory!$AM170="Btu/hr"),Inventory!$AL170,IF(AND($Z163&lt;&gt;"b",Inventory!$AM170="Tons"),Inventory!$AL170*12000,0))))</f>
        <v>0</v>
      </c>
      <c r="BJ163" s="760">
        <f t="shared" si="96"/>
        <v>0</v>
      </c>
      <c r="BK163" s="598">
        <f t="shared" si="126"/>
        <v>0</v>
      </c>
      <c r="BL163" s="759" t="s">
        <v>567</v>
      </c>
      <c r="BM163" s="477" t="str">
        <f t="shared" si="105"/>
        <v>No</v>
      </c>
      <c r="BN163" s="477" t="str">
        <f>IF(OR(Inventory!$H170="",$BM163="No"),"-",Inventory!$H170)</f>
        <v>-</v>
      </c>
      <c r="BO163" s="477" t="str">
        <f>IFERROR(VLOOKUP(BN163,'Early Retirement'!$B$6:$C$33,2,FALSE),"-")</f>
        <v>-</v>
      </c>
      <c r="BP163" s="477" t="str">
        <f>IF(Inventory!$J170="Centrifugal","Yes","No")</f>
        <v>No</v>
      </c>
      <c r="BQ163" s="477">
        <f t="shared" si="127"/>
        <v>0</v>
      </c>
      <c r="BR163" s="477" t="str">
        <f t="shared" si="128"/>
        <v>-</v>
      </c>
      <c r="BS163" s="479">
        <f>IFERROR(INDEX('Early Retirement'!$C$4:$AC$33,$BO163,$BR163),0)</f>
        <v>0</v>
      </c>
      <c r="BT163" s="477">
        <f>IFERROR(HLOOKUP($BR163,'Early Retirement'!$D$4:$AC$5,2,FALSE),0)</f>
        <v>0</v>
      </c>
      <c r="BU163" s="761">
        <f>IFERROR(INDEX('Early Retirement'!$AE$4:$BE$33,$BO163,$BR163),0)</f>
        <v>0</v>
      </c>
      <c r="BV163" s="759">
        <f>IFERROR(HLOOKUP($BR163,'Early Retirement'!$AF$4:$BE$5,2,FALSE),0)</f>
        <v>0</v>
      </c>
      <c r="BW163" s="479">
        <f t="shared" si="135"/>
        <v>0</v>
      </c>
      <c r="BX163" s="761">
        <f t="shared" si="129"/>
        <v>0</v>
      </c>
      <c r="BY163" s="477" t="s">
        <v>46</v>
      </c>
      <c r="BZ163" s="598">
        <f>IFERROR(INDEX('Early Retirement'!$BG$4:$CG$33,$BO163,$BR163),0)</f>
        <v>0</v>
      </c>
      <c r="CA163" s="759">
        <f>IFERROR(HLOOKUP($BR163,'Early Retirement'!$BH$4:$CH$5,2,FALSE),0)</f>
        <v>0</v>
      </c>
      <c r="CB163" s="598">
        <f t="shared" si="130"/>
        <v>0</v>
      </c>
      <c r="CC163" s="759" t="s">
        <v>567</v>
      </c>
      <c r="CD163" s="477" t="str">
        <f t="shared" si="106"/>
        <v>Yes</v>
      </c>
      <c r="CE163" s="479">
        <f t="shared" si="107"/>
        <v>0</v>
      </c>
      <c r="CF163" s="761">
        <f t="shared" si="108"/>
        <v>0</v>
      </c>
      <c r="CG163" s="759" t="s">
        <v>46</v>
      </c>
      <c r="CH163" s="598">
        <f t="shared" si="131"/>
        <v>0</v>
      </c>
      <c r="CI163" s="759" t="s">
        <v>567</v>
      </c>
      <c r="CJ163" s="480">
        <f t="shared" si="132"/>
        <v>0</v>
      </c>
      <c r="CK163" s="583">
        <f t="shared" si="133"/>
        <v>0</v>
      </c>
      <c r="CL163" s="596" t="s">
        <v>46</v>
      </c>
      <c r="CM163" s="581">
        <f t="shared" si="134"/>
        <v>0</v>
      </c>
      <c r="CN163" s="762" t="s">
        <v>567</v>
      </c>
      <c r="CW163" s="630"/>
      <c r="CX163" s="630"/>
      <c r="CY163" s="630"/>
      <c r="CZ163" s="630"/>
      <c r="DA163" s="630"/>
    </row>
    <row r="164" spans="2:142" s="78" customFormat="1" ht="15" customHeight="1" x14ac:dyDescent="0.25">
      <c r="B164" s="77"/>
      <c r="E164" s="77"/>
      <c r="H164" s="77"/>
      <c r="Y164" s="90">
        <v>162</v>
      </c>
      <c r="Z164" s="559" t="str">
        <f>IF(Inventory!$C171="","",VLOOKUP(Inventory!$C171,$B$3:$C$5,2,FALSE))</f>
        <v/>
      </c>
      <c r="AA164" s="559" t="str">
        <f>IF($Z164="","",IF(AND($Z164="b",Inventory!$G171=""),"",IF(AND($Z164="b",Inventory!$G171&lt;&gt;""),VLOOKUP(Inventory!$G171,$E$3:$F$10,2,FALSE),IF(AND($Z164="a",Inventory!$Z171=""),"",IF(AND($Z164="a",Inventory!$Z171&lt;&gt;""),VLOOKUP(Inventory!$Z171,$E$3:$F$10,2,FALSE),IF(AND($Z164="c",Inventory!$Z171=""),"",IF(AND($Z164="c",Inventory!$Z171&lt;&gt;""),VLOOKUP(Inventory!$Z171,$E$3:$F$10,2,FALSE),"")))))))</f>
        <v/>
      </c>
      <c r="AB164" s="559" t="str">
        <f>IF($Z164="","a",IF(AND($Z164="b",Inventory!$J171=""),"a",IF(AND($Z164="b",Inventory!$J171&lt;&gt;""),VLOOKUP(Inventory!$J171,$H$4:$I$6,2,FALSE),IF(AND($Z164="a",Inventory!$AA171=""),"a",IF(AND($Z164="a",Inventory!$AA171&lt;&gt;""),VLOOKUP(Inventory!$AA171,$H$4:$I$6,2,FALSE),IF(AND($Z164="c",Inventory!$AA171=""),"a",IF(AND($Z164="c",Inventory!$AA171&lt;&gt;""),VLOOKUP(Inventory!$AA171,$H$4:$I$6,2,FALSE),"a")))))))</f>
        <v>a</v>
      </c>
      <c r="AC164" s="559" t="str">
        <f t="shared" si="109"/>
        <v>a</v>
      </c>
      <c r="AD164" s="473" t="str">
        <f>IF($Z164="","a",IF(AND($Z164="b",Inventory!$L171=""),"a",IF(AND($Z164="b",Inventory!$L171&lt;&gt;""),VLOOKUP(Inventory!$L171,$N$4:$O$5,2,FALSE),IF(AND($Z164="a",Inventory!$AC171=""),"a",IF(AND($Z164="a",Inventory!$AC171&lt;&gt;""),VLOOKUP(Inventory!$AC171,$N$4:$O$5,2,FALSE),IF(AND($Z164="c",Inventory!$AC171=""),"a",IF(AND($Z164="c",Inventory!$AC171&lt;&gt;""),VLOOKUP(Inventory!$AC171,$N$4:$O$5,2,FALSE),"a")))))))</f>
        <v>a</v>
      </c>
      <c r="AE164" s="474">
        <f>IF(OR(Inventory!C171="New Construction",Inventory!C171="Replace-on-Burnout"),Inventory!AF171,IF(Inventory!C171="Early Retirement",MIN(Inventory!AE171,Inventory!AF171),0))</f>
        <v>0</v>
      </c>
      <c r="AF164" s="475" t="str">
        <f t="shared" si="110"/>
        <v/>
      </c>
      <c r="AG164" s="475" t="str">
        <f t="shared" si="98"/>
        <v/>
      </c>
      <c r="AH164" s="475" t="str">
        <f t="shared" si="99"/>
        <v/>
      </c>
      <c r="AI164" s="475" t="str">
        <f t="shared" si="100"/>
        <v/>
      </c>
      <c r="AJ164" s="475" t="str">
        <f t="shared" si="101"/>
        <v/>
      </c>
      <c r="AK164" s="475" t="str">
        <f t="shared" si="111"/>
        <v/>
      </c>
      <c r="AL164" s="475" t="str">
        <f t="shared" si="112"/>
        <v/>
      </c>
      <c r="AM164" s="475" t="str">
        <f t="shared" si="113"/>
        <v/>
      </c>
      <c r="AN164" s="475" t="str">
        <f t="shared" si="114"/>
        <v/>
      </c>
      <c r="AO164" s="475" t="str">
        <f t="shared" si="115"/>
        <v/>
      </c>
      <c r="AP164" s="475" t="str">
        <f t="shared" si="116"/>
        <v/>
      </c>
      <c r="AQ164" s="475" t="str">
        <f t="shared" si="117"/>
        <v/>
      </c>
      <c r="AR164" s="475" t="str">
        <f t="shared" si="118"/>
        <v/>
      </c>
      <c r="AS164" s="475" t="str">
        <f t="shared" si="119"/>
        <v/>
      </c>
      <c r="AT164" s="475" t="str">
        <f t="shared" si="120"/>
        <v/>
      </c>
      <c r="AU164" s="475" t="str">
        <f t="shared" si="121"/>
        <v/>
      </c>
      <c r="AV164" s="475" t="str">
        <f t="shared" si="102"/>
        <v/>
      </c>
      <c r="AW164" s="473">
        <f t="shared" si="103"/>
        <v>0</v>
      </c>
      <c r="AX164" s="473" t="str">
        <f>IF(AND($Z164="b",OR($AA164="a",$AA164="b"),Inventory!$I171="",$AE164&lt;(65000/12000)),"x",IF(AND($Z164="b",OR($AA164="a",$AA164="b"),Inventory!$I171&lt;&gt;"",$AE164&lt;(65000/12000)),VLOOKUP(Inventory!$I171,$V$4:$W$5,2,FALSE),"x"))</f>
        <v>x</v>
      </c>
      <c r="AY164" s="476" t="str">
        <f t="shared" si="122"/>
        <v>aaa0</v>
      </c>
      <c r="AZ164" s="477" t="str">
        <f t="shared" si="123"/>
        <v>No</v>
      </c>
      <c r="BA164" s="759" t="str">
        <f t="shared" si="124"/>
        <v>No</v>
      </c>
      <c r="BB164" s="477">
        <f>IF($Z164="c",Inventory!$AB171,Inventory!$K171)</f>
        <v>0</v>
      </c>
      <c r="BC164" s="478">
        <f>IF(AND($Z164="b",Inventory!$N171="Btu/hr"),Inventory!$M171,IF(AND($Z164="b",Inventory!$N171="Tons"),Inventory!$M171*12000,IF(AND($Z164&lt;&gt;"b",Inventory!$AK171="Btu/hr"),Inventory!$AD171,IF(AND($Z164&lt;&gt;"b",Inventory!$AK171="Tons"),Inventory!$AD171*12000,0))))</f>
        <v>0</v>
      </c>
      <c r="BD164" s="478">
        <f t="shared" si="95"/>
        <v>0</v>
      </c>
      <c r="BE164" s="479">
        <f t="shared" si="125"/>
        <v>0</v>
      </c>
      <c r="BF164" s="477" t="s">
        <v>50</v>
      </c>
      <c r="BG164" s="479">
        <f t="shared" si="104"/>
        <v>0</v>
      </c>
      <c r="BH164" s="477" t="s">
        <v>46</v>
      </c>
      <c r="BI164" s="760">
        <f>IF(AND($Z164="b",Inventory!$P171="Btu/hr"),Inventory!$O171,IF(AND($Z164="b",Inventory!$P171="Tons"),Inventory!$O171*12000,IF(AND($Z164&lt;&gt;"b",Inventory!$AM171="Btu/hr"),Inventory!$AL171,IF(AND($Z164&lt;&gt;"b",Inventory!$AM171="Tons"),Inventory!$AL171*12000,0))))</f>
        <v>0</v>
      </c>
      <c r="BJ164" s="760">
        <f t="shared" si="96"/>
        <v>0</v>
      </c>
      <c r="BK164" s="598">
        <f t="shared" si="126"/>
        <v>0</v>
      </c>
      <c r="BL164" s="759" t="s">
        <v>567</v>
      </c>
      <c r="BM164" s="477" t="str">
        <f t="shared" si="105"/>
        <v>No</v>
      </c>
      <c r="BN164" s="477" t="str">
        <f>IF(OR(Inventory!$H171="",$BM164="No"),"-",Inventory!$H171)</f>
        <v>-</v>
      </c>
      <c r="BO164" s="477" t="str">
        <f>IFERROR(VLOOKUP(BN164,'Early Retirement'!$B$6:$C$33,2,FALSE),"-")</f>
        <v>-</v>
      </c>
      <c r="BP164" s="477" t="str">
        <f>IF(Inventory!$J171="Centrifugal","Yes","No")</f>
        <v>No</v>
      </c>
      <c r="BQ164" s="477">
        <f t="shared" si="127"/>
        <v>0</v>
      </c>
      <c r="BR164" s="477" t="str">
        <f t="shared" si="128"/>
        <v>-</v>
      </c>
      <c r="BS164" s="479">
        <f>IFERROR(INDEX('Early Retirement'!$C$4:$AC$33,$BO164,$BR164),0)</f>
        <v>0</v>
      </c>
      <c r="BT164" s="477">
        <f>IFERROR(HLOOKUP($BR164,'Early Retirement'!$D$4:$AC$5,2,FALSE),0)</f>
        <v>0</v>
      </c>
      <c r="BU164" s="761">
        <f>IFERROR(INDEX('Early Retirement'!$AE$4:$BE$33,$BO164,$BR164),0)</f>
        <v>0</v>
      </c>
      <c r="BV164" s="759">
        <f>IFERROR(HLOOKUP($BR164,'Early Retirement'!$AF$4:$BE$5,2,FALSE),0)</f>
        <v>0</v>
      </c>
      <c r="BW164" s="479">
        <f t="shared" si="135"/>
        <v>0</v>
      </c>
      <c r="BX164" s="761">
        <f t="shared" si="129"/>
        <v>0</v>
      </c>
      <c r="BY164" s="477" t="s">
        <v>46</v>
      </c>
      <c r="BZ164" s="598">
        <f>IFERROR(INDEX('Early Retirement'!$BG$4:$CG$33,$BO164,$BR164),0)</f>
        <v>0</v>
      </c>
      <c r="CA164" s="759">
        <f>IFERROR(HLOOKUP($BR164,'Early Retirement'!$BH$4:$CH$5,2,FALSE),0)</f>
        <v>0</v>
      </c>
      <c r="CB164" s="598">
        <f t="shared" si="130"/>
        <v>0</v>
      </c>
      <c r="CC164" s="759" t="s">
        <v>567</v>
      </c>
      <c r="CD164" s="477" t="str">
        <f t="shared" si="106"/>
        <v>Yes</v>
      </c>
      <c r="CE164" s="479">
        <f t="shared" si="107"/>
        <v>0</v>
      </c>
      <c r="CF164" s="761">
        <f t="shared" si="108"/>
        <v>0</v>
      </c>
      <c r="CG164" s="759" t="s">
        <v>46</v>
      </c>
      <c r="CH164" s="598">
        <f t="shared" si="131"/>
        <v>0</v>
      </c>
      <c r="CI164" s="759" t="s">
        <v>567</v>
      </c>
      <c r="CJ164" s="480">
        <f t="shared" si="132"/>
        <v>0</v>
      </c>
      <c r="CK164" s="583">
        <f t="shared" si="133"/>
        <v>0</v>
      </c>
      <c r="CL164" s="596" t="s">
        <v>46</v>
      </c>
      <c r="CM164" s="581">
        <f t="shared" si="134"/>
        <v>0</v>
      </c>
      <c r="CN164" s="762" t="s">
        <v>567</v>
      </c>
      <c r="CW164" s="630"/>
      <c r="CX164" s="630"/>
      <c r="CY164" s="630"/>
      <c r="CZ164" s="630"/>
      <c r="DA164" s="630"/>
    </row>
    <row r="165" spans="2:142" s="78" customFormat="1" ht="15" customHeight="1" x14ac:dyDescent="0.25">
      <c r="B165" s="77"/>
      <c r="E165" s="77"/>
      <c r="H165" s="77"/>
      <c r="Y165" s="90">
        <v>163</v>
      </c>
      <c r="Z165" s="559" t="str">
        <f>IF(Inventory!$C172="","",VLOOKUP(Inventory!$C172,$B$3:$C$5,2,FALSE))</f>
        <v/>
      </c>
      <c r="AA165" s="559" t="str">
        <f>IF($Z165="","",IF(AND($Z165="b",Inventory!$G172=""),"",IF(AND($Z165="b",Inventory!$G172&lt;&gt;""),VLOOKUP(Inventory!$G172,$E$3:$F$10,2,FALSE),IF(AND($Z165="a",Inventory!$Z172=""),"",IF(AND($Z165="a",Inventory!$Z172&lt;&gt;""),VLOOKUP(Inventory!$Z172,$E$3:$F$10,2,FALSE),IF(AND($Z165="c",Inventory!$Z172=""),"",IF(AND($Z165="c",Inventory!$Z172&lt;&gt;""),VLOOKUP(Inventory!$Z172,$E$3:$F$10,2,FALSE),"")))))))</f>
        <v/>
      </c>
      <c r="AB165" s="559" t="str">
        <f>IF($Z165="","a",IF(AND($Z165="b",Inventory!$J172=""),"a",IF(AND($Z165="b",Inventory!$J172&lt;&gt;""),VLOOKUP(Inventory!$J172,$H$4:$I$6,2,FALSE),IF(AND($Z165="a",Inventory!$AA172=""),"a",IF(AND($Z165="a",Inventory!$AA172&lt;&gt;""),VLOOKUP(Inventory!$AA172,$H$4:$I$6,2,FALSE),IF(AND($Z165="c",Inventory!$AA172=""),"a",IF(AND($Z165="c",Inventory!$AA172&lt;&gt;""),VLOOKUP(Inventory!$AA172,$H$4:$I$6,2,FALSE),"a")))))))</f>
        <v>a</v>
      </c>
      <c r="AC165" s="559" t="str">
        <f t="shared" si="109"/>
        <v>a</v>
      </c>
      <c r="AD165" s="473" t="str">
        <f>IF($Z165="","a",IF(AND($Z165="b",Inventory!$L172=""),"a",IF(AND($Z165="b",Inventory!$L172&lt;&gt;""),VLOOKUP(Inventory!$L172,$N$4:$O$5,2,FALSE),IF(AND($Z165="a",Inventory!$AC172=""),"a",IF(AND($Z165="a",Inventory!$AC172&lt;&gt;""),VLOOKUP(Inventory!$AC172,$N$4:$O$5,2,FALSE),IF(AND($Z165="c",Inventory!$AC172=""),"a",IF(AND($Z165="c",Inventory!$AC172&lt;&gt;""),VLOOKUP(Inventory!$AC172,$N$4:$O$5,2,FALSE),"a")))))))</f>
        <v>a</v>
      </c>
      <c r="AE165" s="474">
        <f>IF(OR(Inventory!C172="New Construction",Inventory!C172="Replace-on-Burnout"),Inventory!AF172,IF(Inventory!C172="Early Retirement",MIN(Inventory!AE172,Inventory!AF172),0))</f>
        <v>0</v>
      </c>
      <c r="AF165" s="475" t="str">
        <f t="shared" si="110"/>
        <v/>
      </c>
      <c r="AG165" s="475" t="str">
        <f t="shared" si="98"/>
        <v/>
      </c>
      <c r="AH165" s="475" t="str">
        <f t="shared" si="99"/>
        <v/>
      </c>
      <c r="AI165" s="475" t="str">
        <f t="shared" si="100"/>
        <v/>
      </c>
      <c r="AJ165" s="475" t="str">
        <f t="shared" si="101"/>
        <v/>
      </c>
      <c r="AK165" s="475" t="str">
        <f t="shared" si="111"/>
        <v/>
      </c>
      <c r="AL165" s="475" t="str">
        <f t="shared" si="112"/>
        <v/>
      </c>
      <c r="AM165" s="475" t="str">
        <f t="shared" si="113"/>
        <v/>
      </c>
      <c r="AN165" s="475" t="str">
        <f t="shared" si="114"/>
        <v/>
      </c>
      <c r="AO165" s="475" t="str">
        <f t="shared" si="115"/>
        <v/>
      </c>
      <c r="AP165" s="475" t="str">
        <f t="shared" si="116"/>
        <v/>
      </c>
      <c r="AQ165" s="475" t="str">
        <f t="shared" si="117"/>
        <v/>
      </c>
      <c r="AR165" s="475" t="str">
        <f t="shared" si="118"/>
        <v/>
      </c>
      <c r="AS165" s="475" t="str">
        <f t="shared" si="119"/>
        <v/>
      </c>
      <c r="AT165" s="475" t="str">
        <f t="shared" si="120"/>
        <v/>
      </c>
      <c r="AU165" s="475" t="str">
        <f t="shared" si="121"/>
        <v/>
      </c>
      <c r="AV165" s="475" t="str">
        <f t="shared" si="102"/>
        <v/>
      </c>
      <c r="AW165" s="473">
        <f t="shared" si="103"/>
        <v>0</v>
      </c>
      <c r="AX165" s="473" t="str">
        <f>IF(AND($Z165="b",OR($AA165="a",$AA165="b"),Inventory!$I172="",$AE165&lt;(65000/12000)),"x",IF(AND($Z165="b",OR($AA165="a",$AA165="b"),Inventory!$I172&lt;&gt;"",$AE165&lt;(65000/12000)),VLOOKUP(Inventory!$I172,$V$4:$W$5,2,FALSE),"x"))</f>
        <v>x</v>
      </c>
      <c r="AY165" s="476" t="str">
        <f t="shared" si="122"/>
        <v>aaa0</v>
      </c>
      <c r="AZ165" s="477" t="str">
        <f t="shared" si="123"/>
        <v>No</v>
      </c>
      <c r="BA165" s="759" t="str">
        <f t="shared" si="124"/>
        <v>No</v>
      </c>
      <c r="BB165" s="477">
        <f>IF($Z165="c",Inventory!$AB172,Inventory!$K172)</f>
        <v>0</v>
      </c>
      <c r="BC165" s="478">
        <f>IF(AND($Z165="b",Inventory!$N172="Btu/hr"),Inventory!$M172,IF(AND($Z165="b",Inventory!$N172="Tons"),Inventory!$M172*12000,IF(AND($Z165&lt;&gt;"b",Inventory!$AK172="Btu/hr"),Inventory!$AD172,IF(AND($Z165&lt;&gt;"b",Inventory!$AK172="Tons"),Inventory!$AD172*12000,0))))</f>
        <v>0</v>
      </c>
      <c r="BD165" s="478">
        <f t="shared" si="95"/>
        <v>0</v>
      </c>
      <c r="BE165" s="479">
        <f t="shared" si="125"/>
        <v>0</v>
      </c>
      <c r="BF165" s="477" t="s">
        <v>50</v>
      </c>
      <c r="BG165" s="479">
        <f t="shared" si="104"/>
        <v>0</v>
      </c>
      <c r="BH165" s="477" t="s">
        <v>46</v>
      </c>
      <c r="BI165" s="760">
        <f>IF(AND($Z165="b",Inventory!$P172="Btu/hr"),Inventory!$O172,IF(AND($Z165="b",Inventory!$P172="Tons"),Inventory!$O172*12000,IF(AND($Z165&lt;&gt;"b",Inventory!$AM172="Btu/hr"),Inventory!$AL172,IF(AND($Z165&lt;&gt;"b",Inventory!$AM172="Tons"),Inventory!$AL172*12000,0))))</f>
        <v>0</v>
      </c>
      <c r="BJ165" s="760">
        <f t="shared" si="96"/>
        <v>0</v>
      </c>
      <c r="BK165" s="598">
        <f t="shared" si="126"/>
        <v>0</v>
      </c>
      <c r="BL165" s="759" t="s">
        <v>567</v>
      </c>
      <c r="BM165" s="477" t="str">
        <f t="shared" si="105"/>
        <v>No</v>
      </c>
      <c r="BN165" s="477" t="str">
        <f>IF(OR(Inventory!$H172="",$BM165="No"),"-",Inventory!$H172)</f>
        <v>-</v>
      </c>
      <c r="BO165" s="477" t="str">
        <f>IFERROR(VLOOKUP(BN165,'Early Retirement'!$B$6:$C$33,2,FALSE),"-")</f>
        <v>-</v>
      </c>
      <c r="BP165" s="477" t="str">
        <f>IF(Inventory!$J172="Centrifugal","Yes","No")</f>
        <v>No</v>
      </c>
      <c r="BQ165" s="477">
        <f t="shared" si="127"/>
        <v>0</v>
      </c>
      <c r="BR165" s="477" t="str">
        <f t="shared" si="128"/>
        <v>-</v>
      </c>
      <c r="BS165" s="479">
        <f>IFERROR(INDEX('Early Retirement'!$C$4:$AC$33,$BO165,$BR165),0)</f>
        <v>0</v>
      </c>
      <c r="BT165" s="477">
        <f>IFERROR(HLOOKUP($BR165,'Early Retirement'!$D$4:$AC$5,2,FALSE),0)</f>
        <v>0</v>
      </c>
      <c r="BU165" s="761">
        <f>IFERROR(INDEX('Early Retirement'!$AE$4:$BE$33,$BO165,$BR165),0)</f>
        <v>0</v>
      </c>
      <c r="BV165" s="759">
        <f>IFERROR(HLOOKUP($BR165,'Early Retirement'!$AF$4:$BE$5,2,FALSE),0)</f>
        <v>0</v>
      </c>
      <c r="BW165" s="479">
        <f t="shared" si="135"/>
        <v>0</v>
      </c>
      <c r="BX165" s="761">
        <f t="shared" si="129"/>
        <v>0</v>
      </c>
      <c r="BY165" s="477" t="s">
        <v>46</v>
      </c>
      <c r="BZ165" s="598">
        <f>IFERROR(INDEX('Early Retirement'!$BG$4:$CG$33,$BO165,$BR165),0)</f>
        <v>0</v>
      </c>
      <c r="CA165" s="759">
        <f>IFERROR(HLOOKUP($BR165,'Early Retirement'!$BH$4:$CH$5,2,FALSE),0)</f>
        <v>0</v>
      </c>
      <c r="CB165" s="598">
        <f t="shared" si="130"/>
        <v>0</v>
      </c>
      <c r="CC165" s="759" t="s">
        <v>567</v>
      </c>
      <c r="CD165" s="477" t="str">
        <f t="shared" si="106"/>
        <v>Yes</v>
      </c>
      <c r="CE165" s="479">
        <f t="shared" si="107"/>
        <v>0</v>
      </c>
      <c r="CF165" s="761">
        <f t="shared" si="108"/>
        <v>0</v>
      </c>
      <c r="CG165" s="759" t="s">
        <v>46</v>
      </c>
      <c r="CH165" s="598">
        <f t="shared" si="131"/>
        <v>0</v>
      </c>
      <c r="CI165" s="759" t="s">
        <v>567</v>
      </c>
      <c r="CJ165" s="480">
        <f t="shared" si="132"/>
        <v>0</v>
      </c>
      <c r="CK165" s="583">
        <f t="shared" si="133"/>
        <v>0</v>
      </c>
      <c r="CL165" s="596" t="s">
        <v>46</v>
      </c>
      <c r="CM165" s="581">
        <f t="shared" si="134"/>
        <v>0</v>
      </c>
      <c r="CN165" s="762" t="s">
        <v>567</v>
      </c>
      <c r="CW165" s="630"/>
      <c r="CX165" s="630"/>
      <c r="CY165" s="630"/>
      <c r="CZ165" s="630"/>
      <c r="DA165" s="630"/>
    </row>
    <row r="166" spans="2:142" s="78" customFormat="1" ht="15" customHeight="1" x14ac:dyDescent="0.25">
      <c r="B166" s="77"/>
      <c r="E166" s="77"/>
      <c r="H166" s="77"/>
      <c r="Y166" s="90">
        <v>164</v>
      </c>
      <c r="Z166" s="559" t="str">
        <f>IF(Inventory!$C173="","",VLOOKUP(Inventory!$C173,$B$3:$C$5,2,FALSE))</f>
        <v/>
      </c>
      <c r="AA166" s="559" t="str">
        <f>IF($Z166="","",IF(AND($Z166="b",Inventory!$G173=""),"",IF(AND($Z166="b",Inventory!$G173&lt;&gt;""),VLOOKUP(Inventory!$G173,$E$3:$F$10,2,FALSE),IF(AND($Z166="a",Inventory!$Z173=""),"",IF(AND($Z166="a",Inventory!$Z173&lt;&gt;""),VLOOKUP(Inventory!$Z173,$E$3:$F$10,2,FALSE),IF(AND($Z166="c",Inventory!$Z173=""),"",IF(AND($Z166="c",Inventory!$Z173&lt;&gt;""),VLOOKUP(Inventory!$Z173,$E$3:$F$10,2,FALSE),"")))))))</f>
        <v/>
      </c>
      <c r="AB166" s="559" t="str">
        <f>IF($Z166="","a",IF(AND($Z166="b",Inventory!$J173=""),"a",IF(AND($Z166="b",Inventory!$J173&lt;&gt;""),VLOOKUP(Inventory!$J173,$H$4:$I$6,2,FALSE),IF(AND($Z166="a",Inventory!$AA173=""),"a",IF(AND($Z166="a",Inventory!$AA173&lt;&gt;""),VLOOKUP(Inventory!$AA173,$H$4:$I$6,2,FALSE),IF(AND($Z166="c",Inventory!$AA173=""),"a",IF(AND($Z166="c",Inventory!$AA173&lt;&gt;""),VLOOKUP(Inventory!$AA173,$H$4:$I$6,2,FALSE),"a")))))))</f>
        <v>a</v>
      </c>
      <c r="AC166" s="559" t="str">
        <f t="shared" si="109"/>
        <v>a</v>
      </c>
      <c r="AD166" s="473" t="str">
        <f>IF($Z166="","a",IF(AND($Z166="b",Inventory!$L173=""),"a",IF(AND($Z166="b",Inventory!$L173&lt;&gt;""),VLOOKUP(Inventory!$L173,$N$4:$O$5,2,FALSE),IF(AND($Z166="a",Inventory!$AC173=""),"a",IF(AND($Z166="a",Inventory!$AC173&lt;&gt;""),VLOOKUP(Inventory!$AC173,$N$4:$O$5,2,FALSE),IF(AND($Z166="c",Inventory!$AC173=""),"a",IF(AND($Z166="c",Inventory!$AC173&lt;&gt;""),VLOOKUP(Inventory!$AC173,$N$4:$O$5,2,FALSE),"a")))))))</f>
        <v>a</v>
      </c>
      <c r="AE166" s="474">
        <f>IF(OR(Inventory!C173="New Construction",Inventory!C173="Replace-on-Burnout"),Inventory!AF173,IF(Inventory!C173="Early Retirement",MIN(Inventory!AE173,Inventory!AF173),0))</f>
        <v>0</v>
      </c>
      <c r="AF166" s="475" t="str">
        <f t="shared" si="110"/>
        <v/>
      </c>
      <c r="AG166" s="475" t="str">
        <f t="shared" si="98"/>
        <v/>
      </c>
      <c r="AH166" s="475" t="str">
        <f t="shared" si="99"/>
        <v/>
      </c>
      <c r="AI166" s="475" t="str">
        <f t="shared" si="100"/>
        <v/>
      </c>
      <c r="AJ166" s="475" t="str">
        <f t="shared" si="101"/>
        <v/>
      </c>
      <c r="AK166" s="475" t="str">
        <f t="shared" si="111"/>
        <v/>
      </c>
      <c r="AL166" s="475" t="str">
        <f t="shared" si="112"/>
        <v/>
      </c>
      <c r="AM166" s="475" t="str">
        <f t="shared" si="113"/>
        <v/>
      </c>
      <c r="AN166" s="475" t="str">
        <f t="shared" si="114"/>
        <v/>
      </c>
      <c r="AO166" s="475" t="str">
        <f t="shared" si="115"/>
        <v/>
      </c>
      <c r="AP166" s="475" t="str">
        <f t="shared" si="116"/>
        <v/>
      </c>
      <c r="AQ166" s="475" t="str">
        <f t="shared" si="117"/>
        <v/>
      </c>
      <c r="AR166" s="475" t="str">
        <f t="shared" si="118"/>
        <v/>
      </c>
      <c r="AS166" s="475" t="str">
        <f t="shared" si="119"/>
        <v/>
      </c>
      <c r="AT166" s="475" t="str">
        <f t="shared" si="120"/>
        <v/>
      </c>
      <c r="AU166" s="475" t="str">
        <f t="shared" si="121"/>
        <v/>
      </c>
      <c r="AV166" s="475" t="str">
        <f t="shared" si="102"/>
        <v/>
      </c>
      <c r="AW166" s="473">
        <f t="shared" si="103"/>
        <v>0</v>
      </c>
      <c r="AX166" s="473" t="str">
        <f>IF(AND($Z166="b",OR($AA166="a",$AA166="b"),Inventory!$I173="",$AE166&lt;(65000/12000)),"x",IF(AND($Z166="b",OR($AA166="a",$AA166="b"),Inventory!$I173&lt;&gt;"",$AE166&lt;(65000/12000)),VLOOKUP(Inventory!$I173,$V$4:$W$5,2,FALSE),"x"))</f>
        <v>x</v>
      </c>
      <c r="AY166" s="476" t="str">
        <f t="shared" si="122"/>
        <v>aaa0</v>
      </c>
      <c r="AZ166" s="477" t="str">
        <f t="shared" si="123"/>
        <v>No</v>
      </c>
      <c r="BA166" s="759" t="str">
        <f t="shared" si="124"/>
        <v>No</v>
      </c>
      <c r="BB166" s="477">
        <f>IF($Z166="c",Inventory!$AB173,Inventory!$K173)</f>
        <v>0</v>
      </c>
      <c r="BC166" s="478">
        <f>IF(AND($Z166="b",Inventory!$N173="Btu/hr"),Inventory!$M173,IF(AND($Z166="b",Inventory!$N173="Tons"),Inventory!$M173*12000,IF(AND($Z166&lt;&gt;"b",Inventory!$AK173="Btu/hr"),Inventory!$AD173,IF(AND($Z166&lt;&gt;"b",Inventory!$AK173="Tons"),Inventory!$AD173*12000,0))))</f>
        <v>0</v>
      </c>
      <c r="BD166" s="478">
        <f t="shared" si="95"/>
        <v>0</v>
      </c>
      <c r="BE166" s="479">
        <f t="shared" si="125"/>
        <v>0</v>
      </c>
      <c r="BF166" s="477" t="s">
        <v>50</v>
      </c>
      <c r="BG166" s="479">
        <f t="shared" si="104"/>
        <v>0</v>
      </c>
      <c r="BH166" s="477" t="s">
        <v>46</v>
      </c>
      <c r="BI166" s="760">
        <f>IF(AND($Z166="b",Inventory!$P173="Btu/hr"),Inventory!$O173,IF(AND($Z166="b",Inventory!$P173="Tons"),Inventory!$O173*12000,IF(AND($Z166&lt;&gt;"b",Inventory!$AM173="Btu/hr"),Inventory!$AL173,IF(AND($Z166&lt;&gt;"b",Inventory!$AM173="Tons"),Inventory!$AL173*12000,0))))</f>
        <v>0</v>
      </c>
      <c r="BJ166" s="760">
        <f t="shared" si="96"/>
        <v>0</v>
      </c>
      <c r="BK166" s="598">
        <f t="shared" si="126"/>
        <v>0</v>
      </c>
      <c r="BL166" s="759" t="s">
        <v>567</v>
      </c>
      <c r="BM166" s="477" t="str">
        <f t="shared" si="105"/>
        <v>No</v>
      </c>
      <c r="BN166" s="477" t="str">
        <f>IF(OR(Inventory!$H173="",$BM166="No"),"-",Inventory!$H173)</f>
        <v>-</v>
      </c>
      <c r="BO166" s="477" t="str">
        <f>IFERROR(VLOOKUP(BN166,'Early Retirement'!$B$6:$C$33,2,FALSE),"-")</f>
        <v>-</v>
      </c>
      <c r="BP166" s="477" t="str">
        <f>IF(Inventory!$J173="Centrifugal","Yes","No")</f>
        <v>No</v>
      </c>
      <c r="BQ166" s="477">
        <f t="shared" si="127"/>
        <v>0</v>
      </c>
      <c r="BR166" s="477" t="str">
        <f t="shared" si="128"/>
        <v>-</v>
      </c>
      <c r="BS166" s="479">
        <f>IFERROR(INDEX('Early Retirement'!$C$4:$AC$33,$BO166,$BR166),0)</f>
        <v>0</v>
      </c>
      <c r="BT166" s="477">
        <f>IFERROR(HLOOKUP($BR166,'Early Retirement'!$D$4:$AC$5,2,FALSE),0)</f>
        <v>0</v>
      </c>
      <c r="BU166" s="761">
        <f>IFERROR(INDEX('Early Retirement'!$AE$4:$BE$33,$BO166,$BR166),0)</f>
        <v>0</v>
      </c>
      <c r="BV166" s="759">
        <f>IFERROR(HLOOKUP($BR166,'Early Retirement'!$AF$4:$BE$5,2,FALSE),0)</f>
        <v>0</v>
      </c>
      <c r="BW166" s="479">
        <f t="shared" si="135"/>
        <v>0</v>
      </c>
      <c r="BX166" s="761">
        <f t="shared" si="129"/>
        <v>0</v>
      </c>
      <c r="BY166" s="477" t="s">
        <v>46</v>
      </c>
      <c r="BZ166" s="598">
        <f>IFERROR(INDEX('Early Retirement'!$BG$4:$CG$33,$BO166,$BR166),0)</f>
        <v>0</v>
      </c>
      <c r="CA166" s="759">
        <f>IFERROR(HLOOKUP($BR166,'Early Retirement'!$BH$4:$CH$5,2,FALSE),0)</f>
        <v>0</v>
      </c>
      <c r="CB166" s="598">
        <f t="shared" si="130"/>
        <v>0</v>
      </c>
      <c r="CC166" s="759" t="s">
        <v>567</v>
      </c>
      <c r="CD166" s="477" t="str">
        <f t="shared" si="106"/>
        <v>Yes</v>
      </c>
      <c r="CE166" s="479">
        <f t="shared" si="107"/>
        <v>0</v>
      </c>
      <c r="CF166" s="761">
        <f t="shared" si="108"/>
        <v>0</v>
      </c>
      <c r="CG166" s="759" t="s">
        <v>46</v>
      </c>
      <c r="CH166" s="598">
        <f t="shared" si="131"/>
        <v>0</v>
      </c>
      <c r="CI166" s="759" t="s">
        <v>567</v>
      </c>
      <c r="CJ166" s="480">
        <f t="shared" si="132"/>
        <v>0</v>
      </c>
      <c r="CK166" s="583">
        <f t="shared" si="133"/>
        <v>0</v>
      </c>
      <c r="CL166" s="596" t="s">
        <v>46</v>
      </c>
      <c r="CM166" s="581">
        <f t="shared" si="134"/>
        <v>0</v>
      </c>
      <c r="CN166" s="762" t="s">
        <v>567</v>
      </c>
      <c r="CW166" s="630"/>
      <c r="CX166" s="630"/>
      <c r="CY166" s="630"/>
      <c r="CZ166" s="630"/>
      <c r="DA166" s="630"/>
    </row>
    <row r="167" spans="2:142" s="78" customFormat="1" ht="15" customHeight="1" x14ac:dyDescent="0.25">
      <c r="B167" s="77"/>
      <c r="E167" s="77"/>
      <c r="H167" s="77"/>
      <c r="Y167" s="90">
        <v>165</v>
      </c>
      <c r="Z167" s="559" t="str">
        <f>IF(Inventory!$C174="","",VLOOKUP(Inventory!$C174,$B$3:$C$5,2,FALSE))</f>
        <v/>
      </c>
      <c r="AA167" s="559" t="str">
        <f>IF($Z167="","",IF(AND($Z167="b",Inventory!$G174=""),"",IF(AND($Z167="b",Inventory!$G174&lt;&gt;""),VLOOKUP(Inventory!$G174,$E$3:$F$10,2,FALSE),IF(AND($Z167="a",Inventory!$Z174=""),"",IF(AND($Z167="a",Inventory!$Z174&lt;&gt;""),VLOOKUP(Inventory!$Z174,$E$3:$F$10,2,FALSE),IF(AND($Z167="c",Inventory!$Z174=""),"",IF(AND($Z167="c",Inventory!$Z174&lt;&gt;""),VLOOKUP(Inventory!$Z174,$E$3:$F$10,2,FALSE),"")))))))</f>
        <v/>
      </c>
      <c r="AB167" s="559" t="str">
        <f>IF($Z167="","a",IF(AND($Z167="b",Inventory!$J174=""),"a",IF(AND($Z167="b",Inventory!$J174&lt;&gt;""),VLOOKUP(Inventory!$J174,$H$4:$I$6,2,FALSE),IF(AND($Z167="a",Inventory!$AA174=""),"a",IF(AND($Z167="a",Inventory!$AA174&lt;&gt;""),VLOOKUP(Inventory!$AA174,$H$4:$I$6,2,FALSE),IF(AND($Z167="c",Inventory!$AA174=""),"a",IF(AND($Z167="c",Inventory!$AA174&lt;&gt;""),VLOOKUP(Inventory!$AA174,$H$4:$I$6,2,FALSE),"a")))))))</f>
        <v>a</v>
      </c>
      <c r="AC167" s="559" t="str">
        <f t="shared" si="109"/>
        <v>a</v>
      </c>
      <c r="AD167" s="473" t="str">
        <f>IF($Z167="","a",IF(AND($Z167="b",Inventory!$L174=""),"a",IF(AND($Z167="b",Inventory!$L174&lt;&gt;""),VLOOKUP(Inventory!$L174,$N$4:$O$5,2,FALSE),IF(AND($Z167="a",Inventory!$AC174=""),"a",IF(AND($Z167="a",Inventory!$AC174&lt;&gt;""),VLOOKUP(Inventory!$AC174,$N$4:$O$5,2,FALSE),IF(AND($Z167="c",Inventory!$AC174=""),"a",IF(AND($Z167="c",Inventory!$AC174&lt;&gt;""),VLOOKUP(Inventory!$AC174,$N$4:$O$5,2,FALSE),"a")))))))</f>
        <v>a</v>
      </c>
      <c r="AE167" s="474">
        <f>IF(OR(Inventory!C174="New Construction",Inventory!C174="Replace-on-Burnout"),Inventory!AF174,IF(Inventory!C174="Early Retirement",MIN(Inventory!AE174,Inventory!AF174),0))</f>
        <v>0</v>
      </c>
      <c r="AF167" s="475" t="str">
        <f t="shared" si="110"/>
        <v/>
      </c>
      <c r="AG167" s="475" t="str">
        <f t="shared" si="98"/>
        <v/>
      </c>
      <c r="AH167" s="475" t="str">
        <f t="shared" si="99"/>
        <v/>
      </c>
      <c r="AI167" s="475" t="str">
        <f t="shared" si="100"/>
        <v/>
      </c>
      <c r="AJ167" s="475" t="str">
        <f t="shared" si="101"/>
        <v/>
      </c>
      <c r="AK167" s="475" t="str">
        <f t="shared" si="111"/>
        <v/>
      </c>
      <c r="AL167" s="475" t="str">
        <f t="shared" si="112"/>
        <v/>
      </c>
      <c r="AM167" s="475" t="str">
        <f t="shared" si="113"/>
        <v/>
      </c>
      <c r="AN167" s="475" t="str">
        <f t="shared" si="114"/>
        <v/>
      </c>
      <c r="AO167" s="475" t="str">
        <f t="shared" si="115"/>
        <v/>
      </c>
      <c r="AP167" s="475" t="str">
        <f t="shared" si="116"/>
        <v/>
      </c>
      <c r="AQ167" s="475" t="str">
        <f t="shared" si="117"/>
        <v/>
      </c>
      <c r="AR167" s="475" t="str">
        <f t="shared" si="118"/>
        <v/>
      </c>
      <c r="AS167" s="475" t="str">
        <f t="shared" si="119"/>
        <v/>
      </c>
      <c r="AT167" s="475" t="str">
        <f t="shared" si="120"/>
        <v/>
      </c>
      <c r="AU167" s="475" t="str">
        <f t="shared" si="121"/>
        <v/>
      </c>
      <c r="AV167" s="475" t="str">
        <f t="shared" si="102"/>
        <v/>
      </c>
      <c r="AW167" s="473">
        <f t="shared" si="103"/>
        <v>0</v>
      </c>
      <c r="AX167" s="473" t="str">
        <f>IF(AND($Z167="b",OR($AA167="a",$AA167="b"),Inventory!$I174="",$AE167&lt;(65000/12000)),"x",IF(AND($Z167="b",OR($AA167="a",$AA167="b"),Inventory!$I174&lt;&gt;"",$AE167&lt;(65000/12000)),VLOOKUP(Inventory!$I174,$V$4:$W$5,2,FALSE),"x"))</f>
        <v>x</v>
      </c>
      <c r="AY167" s="476" t="str">
        <f t="shared" si="122"/>
        <v>aaa0</v>
      </c>
      <c r="AZ167" s="477" t="str">
        <f t="shared" si="123"/>
        <v>No</v>
      </c>
      <c r="BA167" s="759" t="str">
        <f t="shared" si="124"/>
        <v>No</v>
      </c>
      <c r="BB167" s="477">
        <f>IF($Z167="c",Inventory!$AB174,Inventory!$K174)</f>
        <v>0</v>
      </c>
      <c r="BC167" s="478">
        <f>IF(AND($Z167="b",Inventory!$N174="Btu/hr"),Inventory!$M174,IF(AND($Z167="b",Inventory!$N174="Tons"),Inventory!$M174*12000,IF(AND($Z167&lt;&gt;"b",Inventory!$AK174="Btu/hr"),Inventory!$AD174,IF(AND($Z167&lt;&gt;"b",Inventory!$AK174="Tons"),Inventory!$AD174*12000,0))))</f>
        <v>0</v>
      </c>
      <c r="BD167" s="478">
        <f t="shared" si="95"/>
        <v>0</v>
      </c>
      <c r="BE167" s="479">
        <f t="shared" si="125"/>
        <v>0</v>
      </c>
      <c r="BF167" s="477" t="s">
        <v>50</v>
      </c>
      <c r="BG167" s="479">
        <f t="shared" si="104"/>
        <v>0</v>
      </c>
      <c r="BH167" s="477" t="s">
        <v>46</v>
      </c>
      <c r="BI167" s="760">
        <f>IF(AND($Z167="b",Inventory!$P174="Btu/hr"),Inventory!$O174,IF(AND($Z167="b",Inventory!$P174="Tons"),Inventory!$O174*12000,IF(AND($Z167&lt;&gt;"b",Inventory!$AM174="Btu/hr"),Inventory!$AL174,IF(AND($Z167&lt;&gt;"b",Inventory!$AM174="Tons"),Inventory!$AL174*12000,0))))</f>
        <v>0</v>
      </c>
      <c r="BJ167" s="760">
        <f t="shared" si="96"/>
        <v>0</v>
      </c>
      <c r="BK167" s="598">
        <f t="shared" si="126"/>
        <v>0</v>
      </c>
      <c r="BL167" s="759" t="s">
        <v>567</v>
      </c>
      <c r="BM167" s="477" t="str">
        <f t="shared" si="105"/>
        <v>No</v>
      </c>
      <c r="BN167" s="477" t="str">
        <f>IF(OR(Inventory!$H174="",$BM167="No"),"-",Inventory!$H174)</f>
        <v>-</v>
      </c>
      <c r="BO167" s="477" t="str">
        <f>IFERROR(VLOOKUP(BN167,'Early Retirement'!$B$6:$C$33,2,FALSE),"-")</f>
        <v>-</v>
      </c>
      <c r="BP167" s="477" t="str">
        <f>IF(Inventory!$J174="Centrifugal","Yes","No")</f>
        <v>No</v>
      </c>
      <c r="BQ167" s="477">
        <f t="shared" si="127"/>
        <v>0</v>
      </c>
      <c r="BR167" s="477" t="str">
        <f t="shared" si="128"/>
        <v>-</v>
      </c>
      <c r="BS167" s="479">
        <f>IFERROR(INDEX('Early Retirement'!$C$4:$AC$33,$BO167,$BR167),0)</f>
        <v>0</v>
      </c>
      <c r="BT167" s="477">
        <f>IFERROR(HLOOKUP($BR167,'Early Retirement'!$D$4:$AC$5,2,FALSE),0)</f>
        <v>0</v>
      </c>
      <c r="BU167" s="761">
        <f>IFERROR(INDEX('Early Retirement'!$AE$4:$BE$33,$BO167,$BR167),0)</f>
        <v>0</v>
      </c>
      <c r="BV167" s="759">
        <f>IFERROR(HLOOKUP($BR167,'Early Retirement'!$AF$4:$BE$5,2,FALSE),0)</f>
        <v>0</v>
      </c>
      <c r="BW167" s="479">
        <f t="shared" si="135"/>
        <v>0</v>
      </c>
      <c r="BX167" s="761">
        <f t="shared" si="129"/>
        <v>0</v>
      </c>
      <c r="BY167" s="477" t="s">
        <v>46</v>
      </c>
      <c r="BZ167" s="598">
        <f>IFERROR(INDEX('Early Retirement'!$BG$4:$CG$33,$BO167,$BR167),0)</f>
        <v>0</v>
      </c>
      <c r="CA167" s="759">
        <f>IFERROR(HLOOKUP($BR167,'Early Retirement'!$BH$4:$CH$5,2,FALSE),0)</f>
        <v>0</v>
      </c>
      <c r="CB167" s="598">
        <f t="shared" si="130"/>
        <v>0</v>
      </c>
      <c r="CC167" s="759" t="s">
        <v>567</v>
      </c>
      <c r="CD167" s="477" t="str">
        <f t="shared" si="106"/>
        <v>Yes</v>
      </c>
      <c r="CE167" s="479">
        <f t="shared" si="107"/>
        <v>0</v>
      </c>
      <c r="CF167" s="761">
        <f t="shared" si="108"/>
        <v>0</v>
      </c>
      <c r="CG167" s="759" t="s">
        <v>46</v>
      </c>
      <c r="CH167" s="598">
        <f t="shared" si="131"/>
        <v>0</v>
      </c>
      <c r="CI167" s="759" t="s">
        <v>567</v>
      </c>
      <c r="CJ167" s="480">
        <f t="shared" si="132"/>
        <v>0</v>
      </c>
      <c r="CK167" s="583">
        <f t="shared" si="133"/>
        <v>0</v>
      </c>
      <c r="CL167" s="596" t="s">
        <v>46</v>
      </c>
      <c r="CM167" s="581">
        <f t="shared" si="134"/>
        <v>0</v>
      </c>
      <c r="CN167" s="762" t="s">
        <v>567</v>
      </c>
      <c r="CW167" s="630"/>
      <c r="CX167" s="630"/>
      <c r="CY167" s="630"/>
      <c r="CZ167" s="630"/>
      <c r="DA167" s="630"/>
    </row>
    <row r="168" spans="2:142" s="78" customFormat="1" ht="15" customHeight="1" x14ac:dyDescent="0.25">
      <c r="B168" s="77"/>
      <c r="E168" s="77"/>
      <c r="H168" s="77"/>
      <c r="Y168" s="90">
        <v>166</v>
      </c>
      <c r="Z168" s="559" t="str">
        <f>IF(Inventory!$C175="","",VLOOKUP(Inventory!$C175,$B$3:$C$5,2,FALSE))</f>
        <v/>
      </c>
      <c r="AA168" s="559" t="str">
        <f>IF($Z168="","",IF(AND($Z168="b",Inventory!$G175=""),"",IF(AND($Z168="b",Inventory!$G175&lt;&gt;""),VLOOKUP(Inventory!$G175,$E$3:$F$10,2,FALSE),IF(AND($Z168="a",Inventory!$Z175=""),"",IF(AND($Z168="a",Inventory!$Z175&lt;&gt;""),VLOOKUP(Inventory!$Z175,$E$3:$F$10,2,FALSE),IF(AND($Z168="c",Inventory!$Z175=""),"",IF(AND($Z168="c",Inventory!$Z175&lt;&gt;""),VLOOKUP(Inventory!$Z175,$E$3:$F$10,2,FALSE),"")))))))</f>
        <v/>
      </c>
      <c r="AB168" s="559" t="str">
        <f>IF($Z168="","a",IF(AND($Z168="b",Inventory!$J175=""),"a",IF(AND($Z168="b",Inventory!$J175&lt;&gt;""),VLOOKUP(Inventory!$J175,$H$4:$I$6,2,FALSE),IF(AND($Z168="a",Inventory!$AA175=""),"a",IF(AND($Z168="a",Inventory!$AA175&lt;&gt;""),VLOOKUP(Inventory!$AA175,$H$4:$I$6,2,FALSE),IF(AND($Z168="c",Inventory!$AA175=""),"a",IF(AND($Z168="c",Inventory!$AA175&lt;&gt;""),VLOOKUP(Inventory!$AA175,$H$4:$I$6,2,FALSE),"a")))))))</f>
        <v>a</v>
      </c>
      <c r="AC168" s="559" t="str">
        <f t="shared" si="109"/>
        <v>a</v>
      </c>
      <c r="AD168" s="473" t="str">
        <f>IF($Z168="","a",IF(AND($Z168="b",Inventory!$L175=""),"a",IF(AND($Z168="b",Inventory!$L175&lt;&gt;""),VLOOKUP(Inventory!$L175,$N$4:$O$5,2,FALSE),IF(AND($Z168="a",Inventory!$AC175=""),"a",IF(AND($Z168="a",Inventory!$AC175&lt;&gt;""),VLOOKUP(Inventory!$AC175,$N$4:$O$5,2,FALSE),IF(AND($Z168="c",Inventory!$AC175=""),"a",IF(AND($Z168="c",Inventory!$AC175&lt;&gt;""),VLOOKUP(Inventory!$AC175,$N$4:$O$5,2,FALSE),"a")))))))</f>
        <v>a</v>
      </c>
      <c r="AE168" s="474">
        <f>IF(OR(Inventory!C175="New Construction",Inventory!C175="Replace-on-Burnout"),Inventory!AF175,IF(Inventory!C175="Early Retirement",MIN(Inventory!AE175,Inventory!AF175),0))</f>
        <v>0</v>
      </c>
      <c r="AF168" s="475" t="str">
        <f t="shared" si="110"/>
        <v/>
      </c>
      <c r="AG168" s="475" t="str">
        <f t="shared" si="98"/>
        <v/>
      </c>
      <c r="AH168" s="475" t="str">
        <f t="shared" si="99"/>
        <v/>
      </c>
      <c r="AI168" s="475" t="str">
        <f t="shared" si="100"/>
        <v/>
      </c>
      <c r="AJ168" s="475" t="str">
        <f t="shared" si="101"/>
        <v/>
      </c>
      <c r="AK168" s="475" t="str">
        <f t="shared" si="111"/>
        <v/>
      </c>
      <c r="AL168" s="475" t="str">
        <f t="shared" si="112"/>
        <v/>
      </c>
      <c r="AM168" s="475" t="str">
        <f t="shared" si="113"/>
        <v/>
      </c>
      <c r="AN168" s="475" t="str">
        <f t="shared" si="114"/>
        <v/>
      </c>
      <c r="AO168" s="475" t="str">
        <f t="shared" si="115"/>
        <v/>
      </c>
      <c r="AP168" s="475" t="str">
        <f t="shared" si="116"/>
        <v/>
      </c>
      <c r="AQ168" s="475" t="str">
        <f t="shared" si="117"/>
        <v/>
      </c>
      <c r="AR168" s="475" t="str">
        <f t="shared" si="118"/>
        <v/>
      </c>
      <c r="AS168" s="475" t="str">
        <f t="shared" si="119"/>
        <v/>
      </c>
      <c r="AT168" s="475" t="str">
        <f t="shared" si="120"/>
        <v/>
      </c>
      <c r="AU168" s="475" t="str">
        <f t="shared" si="121"/>
        <v/>
      </c>
      <c r="AV168" s="475" t="str">
        <f t="shared" si="102"/>
        <v/>
      </c>
      <c r="AW168" s="473">
        <f t="shared" si="103"/>
        <v>0</v>
      </c>
      <c r="AX168" s="473" t="str">
        <f>IF(AND($Z168="b",OR($AA168="a",$AA168="b"),Inventory!$I175="",$AE168&lt;(65000/12000)),"x",IF(AND($Z168="b",OR($AA168="a",$AA168="b"),Inventory!$I175&lt;&gt;"",$AE168&lt;(65000/12000)),VLOOKUP(Inventory!$I175,$V$4:$W$5,2,FALSE),"x"))</f>
        <v>x</v>
      </c>
      <c r="AY168" s="476" t="str">
        <f t="shared" si="122"/>
        <v>aaa0</v>
      </c>
      <c r="AZ168" s="477" t="str">
        <f t="shared" si="123"/>
        <v>No</v>
      </c>
      <c r="BA168" s="759" t="str">
        <f t="shared" si="124"/>
        <v>No</v>
      </c>
      <c r="BB168" s="477">
        <f>IF($Z168="c",Inventory!$AB175,Inventory!$K175)</f>
        <v>0</v>
      </c>
      <c r="BC168" s="478">
        <f>IF(AND($Z168="b",Inventory!$N175="Btu/hr"),Inventory!$M175,IF(AND($Z168="b",Inventory!$N175="Tons"),Inventory!$M175*12000,IF(AND($Z168&lt;&gt;"b",Inventory!$AK175="Btu/hr"),Inventory!$AD175,IF(AND($Z168&lt;&gt;"b",Inventory!$AK175="Tons"),Inventory!$AD175*12000,0))))</f>
        <v>0</v>
      </c>
      <c r="BD168" s="478">
        <f t="shared" si="95"/>
        <v>0</v>
      </c>
      <c r="BE168" s="479">
        <f t="shared" si="125"/>
        <v>0</v>
      </c>
      <c r="BF168" s="477" t="s">
        <v>50</v>
      </c>
      <c r="BG168" s="479">
        <f t="shared" si="104"/>
        <v>0</v>
      </c>
      <c r="BH168" s="477" t="s">
        <v>46</v>
      </c>
      <c r="BI168" s="760">
        <f>IF(AND($Z168="b",Inventory!$P175="Btu/hr"),Inventory!$O175,IF(AND($Z168="b",Inventory!$P175="Tons"),Inventory!$O175*12000,IF(AND($Z168&lt;&gt;"b",Inventory!$AM175="Btu/hr"),Inventory!$AL175,IF(AND($Z168&lt;&gt;"b",Inventory!$AM175="Tons"),Inventory!$AL175*12000,0))))</f>
        <v>0</v>
      </c>
      <c r="BJ168" s="760">
        <f t="shared" si="96"/>
        <v>0</v>
      </c>
      <c r="BK168" s="598">
        <f t="shared" si="126"/>
        <v>0</v>
      </c>
      <c r="BL168" s="759" t="s">
        <v>567</v>
      </c>
      <c r="BM168" s="477" t="str">
        <f t="shared" si="105"/>
        <v>No</v>
      </c>
      <c r="BN168" s="477" t="str">
        <f>IF(OR(Inventory!$H175="",$BM168="No"),"-",Inventory!$H175)</f>
        <v>-</v>
      </c>
      <c r="BO168" s="477" t="str">
        <f>IFERROR(VLOOKUP(BN168,'Early Retirement'!$B$6:$C$33,2,FALSE),"-")</f>
        <v>-</v>
      </c>
      <c r="BP168" s="477" t="str">
        <f>IF(Inventory!$J175="Centrifugal","Yes","No")</f>
        <v>No</v>
      </c>
      <c r="BQ168" s="477">
        <f t="shared" si="127"/>
        <v>0</v>
      </c>
      <c r="BR168" s="477" t="str">
        <f t="shared" si="128"/>
        <v>-</v>
      </c>
      <c r="BS168" s="479">
        <f>IFERROR(INDEX('Early Retirement'!$C$4:$AC$33,$BO168,$BR168),0)</f>
        <v>0</v>
      </c>
      <c r="BT168" s="477">
        <f>IFERROR(HLOOKUP($BR168,'Early Retirement'!$D$4:$AC$5,2,FALSE),0)</f>
        <v>0</v>
      </c>
      <c r="BU168" s="761">
        <f>IFERROR(INDEX('Early Retirement'!$AE$4:$BE$33,$BO168,$BR168),0)</f>
        <v>0</v>
      </c>
      <c r="BV168" s="759">
        <f>IFERROR(HLOOKUP($BR168,'Early Retirement'!$AF$4:$BE$5,2,FALSE),0)</f>
        <v>0</v>
      </c>
      <c r="BW168" s="479">
        <f t="shared" si="135"/>
        <v>0</v>
      </c>
      <c r="BX168" s="761">
        <f t="shared" si="129"/>
        <v>0</v>
      </c>
      <c r="BY168" s="477" t="s">
        <v>46</v>
      </c>
      <c r="BZ168" s="598">
        <f>IFERROR(INDEX('Early Retirement'!$BG$4:$CG$33,$BO168,$BR168),0)</f>
        <v>0</v>
      </c>
      <c r="CA168" s="759">
        <f>IFERROR(HLOOKUP($BR168,'Early Retirement'!$BH$4:$CH$5,2,FALSE),0)</f>
        <v>0</v>
      </c>
      <c r="CB168" s="598">
        <f t="shared" si="130"/>
        <v>0</v>
      </c>
      <c r="CC168" s="759" t="s">
        <v>567</v>
      </c>
      <c r="CD168" s="477" t="str">
        <f t="shared" si="106"/>
        <v>Yes</v>
      </c>
      <c r="CE168" s="479">
        <f t="shared" si="107"/>
        <v>0</v>
      </c>
      <c r="CF168" s="761">
        <f t="shared" si="108"/>
        <v>0</v>
      </c>
      <c r="CG168" s="759" t="s">
        <v>46</v>
      </c>
      <c r="CH168" s="598">
        <f t="shared" si="131"/>
        <v>0</v>
      </c>
      <c r="CI168" s="759" t="s">
        <v>567</v>
      </c>
      <c r="CJ168" s="480">
        <f t="shared" si="132"/>
        <v>0</v>
      </c>
      <c r="CK168" s="583">
        <f t="shared" si="133"/>
        <v>0</v>
      </c>
      <c r="CL168" s="596" t="s">
        <v>46</v>
      </c>
      <c r="CM168" s="581">
        <f t="shared" si="134"/>
        <v>0</v>
      </c>
      <c r="CN168" s="762" t="s">
        <v>567</v>
      </c>
      <c r="CW168" s="630"/>
      <c r="CX168" s="630"/>
      <c r="CY168" s="630"/>
      <c r="CZ168" s="630"/>
      <c r="DA168" s="630"/>
    </row>
    <row r="169" spans="2:142" s="78" customFormat="1" ht="15" customHeight="1" x14ac:dyDescent="0.25">
      <c r="B169" s="77"/>
      <c r="E169" s="77"/>
      <c r="H169" s="77"/>
      <c r="Y169" s="90">
        <v>167</v>
      </c>
      <c r="Z169" s="559" t="str">
        <f>IF(Inventory!$C176="","",VLOOKUP(Inventory!$C176,$B$3:$C$5,2,FALSE))</f>
        <v/>
      </c>
      <c r="AA169" s="559" t="str">
        <f>IF($Z169="","",IF(AND($Z169="b",Inventory!$G176=""),"",IF(AND($Z169="b",Inventory!$G176&lt;&gt;""),VLOOKUP(Inventory!$G176,$E$3:$F$10,2,FALSE),IF(AND($Z169="a",Inventory!$Z176=""),"",IF(AND($Z169="a",Inventory!$Z176&lt;&gt;""),VLOOKUP(Inventory!$Z176,$E$3:$F$10,2,FALSE),IF(AND($Z169="c",Inventory!$Z176=""),"",IF(AND($Z169="c",Inventory!$Z176&lt;&gt;""),VLOOKUP(Inventory!$Z176,$E$3:$F$10,2,FALSE),"")))))))</f>
        <v/>
      </c>
      <c r="AB169" s="559" t="str">
        <f>IF($Z169="","a",IF(AND($Z169="b",Inventory!$J176=""),"a",IF(AND($Z169="b",Inventory!$J176&lt;&gt;""),VLOOKUP(Inventory!$J176,$H$4:$I$6,2,FALSE),IF(AND($Z169="a",Inventory!$AA176=""),"a",IF(AND($Z169="a",Inventory!$AA176&lt;&gt;""),VLOOKUP(Inventory!$AA176,$H$4:$I$6,2,FALSE),IF(AND($Z169="c",Inventory!$AA176=""),"a",IF(AND($Z169="c",Inventory!$AA176&lt;&gt;""),VLOOKUP(Inventory!$AA176,$H$4:$I$6,2,FALSE),"a")))))))</f>
        <v>a</v>
      </c>
      <c r="AC169" s="559" t="str">
        <f t="shared" si="109"/>
        <v>a</v>
      </c>
      <c r="AD169" s="473" t="str">
        <f>IF($Z169="","a",IF(AND($Z169="b",Inventory!$L176=""),"a",IF(AND($Z169="b",Inventory!$L176&lt;&gt;""),VLOOKUP(Inventory!$L176,$N$4:$O$5,2,FALSE),IF(AND($Z169="a",Inventory!$AC176=""),"a",IF(AND($Z169="a",Inventory!$AC176&lt;&gt;""),VLOOKUP(Inventory!$AC176,$N$4:$O$5,2,FALSE),IF(AND($Z169="c",Inventory!$AC176=""),"a",IF(AND($Z169="c",Inventory!$AC176&lt;&gt;""),VLOOKUP(Inventory!$AC176,$N$4:$O$5,2,FALSE),"a")))))))</f>
        <v>a</v>
      </c>
      <c r="AE169" s="474">
        <f>IF(OR(Inventory!C176="New Construction",Inventory!C176="Replace-on-Burnout"),Inventory!AF176,IF(Inventory!C176="Early Retirement",MIN(Inventory!AE176,Inventory!AF176),0))</f>
        <v>0</v>
      </c>
      <c r="AF169" s="475" t="str">
        <f t="shared" si="110"/>
        <v/>
      </c>
      <c r="AG169" s="475" t="str">
        <f t="shared" si="98"/>
        <v/>
      </c>
      <c r="AH169" s="475" t="str">
        <f t="shared" si="99"/>
        <v/>
      </c>
      <c r="AI169" s="475" t="str">
        <f t="shared" si="100"/>
        <v/>
      </c>
      <c r="AJ169" s="475" t="str">
        <f t="shared" si="101"/>
        <v/>
      </c>
      <c r="AK169" s="475" t="str">
        <f t="shared" si="111"/>
        <v/>
      </c>
      <c r="AL169" s="475" t="str">
        <f t="shared" si="112"/>
        <v/>
      </c>
      <c r="AM169" s="475" t="str">
        <f t="shared" si="113"/>
        <v/>
      </c>
      <c r="AN169" s="475" t="str">
        <f t="shared" si="114"/>
        <v/>
      </c>
      <c r="AO169" s="475" t="str">
        <f t="shared" si="115"/>
        <v/>
      </c>
      <c r="AP169" s="475" t="str">
        <f t="shared" si="116"/>
        <v/>
      </c>
      <c r="AQ169" s="475" t="str">
        <f t="shared" si="117"/>
        <v/>
      </c>
      <c r="AR169" s="475" t="str">
        <f t="shared" si="118"/>
        <v/>
      </c>
      <c r="AS169" s="475" t="str">
        <f t="shared" si="119"/>
        <v/>
      </c>
      <c r="AT169" s="475" t="str">
        <f t="shared" si="120"/>
        <v/>
      </c>
      <c r="AU169" s="475" t="str">
        <f t="shared" si="121"/>
        <v/>
      </c>
      <c r="AV169" s="475" t="str">
        <f t="shared" si="102"/>
        <v/>
      </c>
      <c r="AW169" s="473">
        <f t="shared" si="103"/>
        <v>0</v>
      </c>
      <c r="AX169" s="473" t="str">
        <f>IF(AND($Z169="b",OR($AA169="a",$AA169="b"),Inventory!$I176="",$AE169&lt;(65000/12000)),"x",IF(AND($Z169="b",OR($AA169="a",$AA169="b"),Inventory!$I176&lt;&gt;"",$AE169&lt;(65000/12000)),VLOOKUP(Inventory!$I176,$V$4:$W$5,2,FALSE),"x"))</f>
        <v>x</v>
      </c>
      <c r="AY169" s="476" t="str">
        <f t="shared" si="122"/>
        <v>aaa0</v>
      </c>
      <c r="AZ169" s="477" t="str">
        <f t="shared" si="123"/>
        <v>No</v>
      </c>
      <c r="BA169" s="759" t="str">
        <f t="shared" si="124"/>
        <v>No</v>
      </c>
      <c r="BB169" s="477">
        <f>IF($Z169="c",Inventory!$AB176,Inventory!$K176)</f>
        <v>0</v>
      </c>
      <c r="BC169" s="478">
        <f>IF(AND($Z169="b",Inventory!$N176="Btu/hr"),Inventory!$M176,IF(AND($Z169="b",Inventory!$N176="Tons"),Inventory!$M176*12000,IF(AND($Z169&lt;&gt;"b",Inventory!$AK176="Btu/hr"),Inventory!$AD176,IF(AND($Z169&lt;&gt;"b",Inventory!$AK176="Tons"),Inventory!$AD176*12000,0))))</f>
        <v>0</v>
      </c>
      <c r="BD169" s="478">
        <f t="shared" si="95"/>
        <v>0</v>
      </c>
      <c r="BE169" s="479">
        <f t="shared" si="125"/>
        <v>0</v>
      </c>
      <c r="BF169" s="477" t="s">
        <v>50</v>
      </c>
      <c r="BG169" s="479">
        <f t="shared" si="104"/>
        <v>0</v>
      </c>
      <c r="BH169" s="477" t="s">
        <v>46</v>
      </c>
      <c r="BI169" s="760">
        <f>IF(AND($Z169="b",Inventory!$P176="Btu/hr"),Inventory!$O176,IF(AND($Z169="b",Inventory!$P176="Tons"),Inventory!$O176*12000,IF(AND($Z169&lt;&gt;"b",Inventory!$AM176="Btu/hr"),Inventory!$AL176,IF(AND($Z169&lt;&gt;"b",Inventory!$AM176="Tons"),Inventory!$AL176*12000,0))))</f>
        <v>0</v>
      </c>
      <c r="BJ169" s="760">
        <f t="shared" si="96"/>
        <v>0</v>
      </c>
      <c r="BK169" s="598">
        <f t="shared" si="126"/>
        <v>0</v>
      </c>
      <c r="BL169" s="759" t="s">
        <v>567</v>
      </c>
      <c r="BM169" s="477" t="str">
        <f t="shared" si="105"/>
        <v>No</v>
      </c>
      <c r="BN169" s="477" t="str">
        <f>IF(OR(Inventory!$H176="",$BM169="No"),"-",Inventory!$H176)</f>
        <v>-</v>
      </c>
      <c r="BO169" s="477" t="str">
        <f>IFERROR(VLOOKUP(BN169,'Early Retirement'!$B$6:$C$33,2,FALSE),"-")</f>
        <v>-</v>
      </c>
      <c r="BP169" s="477" t="str">
        <f>IF(Inventory!$J176="Centrifugal","Yes","No")</f>
        <v>No</v>
      </c>
      <c r="BQ169" s="477">
        <f t="shared" si="127"/>
        <v>0</v>
      </c>
      <c r="BR169" s="477" t="str">
        <f t="shared" si="128"/>
        <v>-</v>
      </c>
      <c r="BS169" s="479">
        <f>IFERROR(INDEX('Early Retirement'!$C$4:$AC$33,$BO169,$BR169),0)</f>
        <v>0</v>
      </c>
      <c r="BT169" s="477">
        <f>IFERROR(HLOOKUP($BR169,'Early Retirement'!$D$4:$AC$5,2,FALSE),0)</f>
        <v>0</v>
      </c>
      <c r="BU169" s="761">
        <f>IFERROR(INDEX('Early Retirement'!$AE$4:$BE$33,$BO169,$BR169),0)</f>
        <v>0</v>
      </c>
      <c r="BV169" s="759">
        <f>IFERROR(HLOOKUP($BR169,'Early Retirement'!$AF$4:$BE$5,2,FALSE),0)</f>
        <v>0</v>
      </c>
      <c r="BW169" s="479">
        <f t="shared" si="135"/>
        <v>0</v>
      </c>
      <c r="BX169" s="761">
        <f t="shared" si="129"/>
        <v>0</v>
      </c>
      <c r="BY169" s="477" t="s">
        <v>46</v>
      </c>
      <c r="BZ169" s="598">
        <f>IFERROR(INDEX('Early Retirement'!$BG$4:$CG$33,$BO169,$BR169),0)</f>
        <v>0</v>
      </c>
      <c r="CA169" s="759">
        <f>IFERROR(HLOOKUP($BR169,'Early Retirement'!$BH$4:$CH$5,2,FALSE),0)</f>
        <v>0</v>
      </c>
      <c r="CB169" s="598">
        <f t="shared" si="130"/>
        <v>0</v>
      </c>
      <c r="CC169" s="759" t="s">
        <v>567</v>
      </c>
      <c r="CD169" s="477" t="str">
        <f t="shared" si="106"/>
        <v>Yes</v>
      </c>
      <c r="CE169" s="479">
        <f t="shared" si="107"/>
        <v>0</v>
      </c>
      <c r="CF169" s="761">
        <f t="shared" si="108"/>
        <v>0</v>
      </c>
      <c r="CG169" s="759" t="s">
        <v>46</v>
      </c>
      <c r="CH169" s="598">
        <f t="shared" si="131"/>
        <v>0</v>
      </c>
      <c r="CI169" s="759" t="s">
        <v>567</v>
      </c>
      <c r="CJ169" s="480">
        <f t="shared" si="132"/>
        <v>0</v>
      </c>
      <c r="CK169" s="583">
        <f t="shared" si="133"/>
        <v>0</v>
      </c>
      <c r="CL169" s="596" t="s">
        <v>46</v>
      </c>
      <c r="CM169" s="581">
        <f t="shared" si="134"/>
        <v>0</v>
      </c>
      <c r="CN169" s="762" t="s">
        <v>567</v>
      </c>
      <c r="CW169" s="630"/>
      <c r="CX169" s="630"/>
      <c r="CY169" s="630"/>
      <c r="CZ169" s="630"/>
      <c r="DA169" s="630"/>
    </row>
    <row r="170" spans="2:142" s="78" customFormat="1" ht="15" customHeight="1" x14ac:dyDescent="0.25">
      <c r="B170" s="77"/>
      <c r="E170" s="77"/>
      <c r="H170" s="77"/>
      <c r="Y170" s="90">
        <v>168</v>
      </c>
      <c r="Z170" s="559" t="str">
        <f>IF(Inventory!$C177="","",VLOOKUP(Inventory!$C177,$B$3:$C$5,2,FALSE))</f>
        <v/>
      </c>
      <c r="AA170" s="559" t="str">
        <f>IF($Z170="","",IF(AND($Z170="b",Inventory!$G177=""),"",IF(AND($Z170="b",Inventory!$G177&lt;&gt;""),VLOOKUP(Inventory!$G177,$E$3:$F$10,2,FALSE),IF(AND($Z170="a",Inventory!$Z177=""),"",IF(AND($Z170="a",Inventory!$Z177&lt;&gt;""),VLOOKUP(Inventory!$Z177,$E$3:$F$10,2,FALSE),IF(AND($Z170="c",Inventory!$Z177=""),"",IF(AND($Z170="c",Inventory!$Z177&lt;&gt;""),VLOOKUP(Inventory!$Z177,$E$3:$F$10,2,FALSE),"")))))))</f>
        <v/>
      </c>
      <c r="AB170" s="559" t="str">
        <f>IF($Z170="","a",IF(AND($Z170="b",Inventory!$J177=""),"a",IF(AND($Z170="b",Inventory!$J177&lt;&gt;""),VLOOKUP(Inventory!$J177,$H$4:$I$6,2,FALSE),IF(AND($Z170="a",Inventory!$AA177=""),"a",IF(AND($Z170="a",Inventory!$AA177&lt;&gt;""),VLOOKUP(Inventory!$AA177,$H$4:$I$6,2,FALSE),IF(AND($Z170="c",Inventory!$AA177=""),"a",IF(AND($Z170="c",Inventory!$AA177&lt;&gt;""),VLOOKUP(Inventory!$AA177,$H$4:$I$6,2,FALSE),"a")))))))</f>
        <v>a</v>
      </c>
      <c r="AC170" s="559" t="str">
        <f t="shared" si="109"/>
        <v>a</v>
      </c>
      <c r="AD170" s="473" t="str">
        <f>IF($Z170="","a",IF(AND($Z170="b",Inventory!$L177=""),"a",IF(AND($Z170="b",Inventory!$L177&lt;&gt;""),VLOOKUP(Inventory!$L177,$N$4:$O$5,2,FALSE),IF(AND($Z170="a",Inventory!$AC177=""),"a",IF(AND($Z170="a",Inventory!$AC177&lt;&gt;""),VLOOKUP(Inventory!$AC177,$N$4:$O$5,2,FALSE),IF(AND($Z170="c",Inventory!$AC177=""),"a",IF(AND($Z170="c",Inventory!$AC177&lt;&gt;""),VLOOKUP(Inventory!$AC177,$N$4:$O$5,2,FALSE),"a")))))))</f>
        <v>a</v>
      </c>
      <c r="AE170" s="474">
        <f>IF(OR(Inventory!C177="New Construction",Inventory!C177="Replace-on-Burnout"),Inventory!AF177,IF(Inventory!C177="Early Retirement",MIN(Inventory!AE177,Inventory!AF177),0))</f>
        <v>0</v>
      </c>
      <c r="AF170" s="475" t="str">
        <f t="shared" si="110"/>
        <v/>
      </c>
      <c r="AG170" s="475" t="str">
        <f t="shared" si="98"/>
        <v/>
      </c>
      <c r="AH170" s="475" t="str">
        <f t="shared" si="99"/>
        <v/>
      </c>
      <c r="AI170" s="475" t="str">
        <f t="shared" si="100"/>
        <v/>
      </c>
      <c r="AJ170" s="475" t="str">
        <f t="shared" si="101"/>
        <v/>
      </c>
      <c r="AK170" s="475" t="str">
        <f t="shared" si="111"/>
        <v/>
      </c>
      <c r="AL170" s="475" t="str">
        <f t="shared" si="112"/>
        <v/>
      </c>
      <c r="AM170" s="475" t="str">
        <f t="shared" si="113"/>
        <v/>
      </c>
      <c r="AN170" s="475" t="str">
        <f t="shared" si="114"/>
        <v/>
      </c>
      <c r="AO170" s="475" t="str">
        <f t="shared" si="115"/>
        <v/>
      </c>
      <c r="AP170" s="475" t="str">
        <f t="shared" si="116"/>
        <v/>
      </c>
      <c r="AQ170" s="475" t="str">
        <f t="shared" si="117"/>
        <v/>
      </c>
      <c r="AR170" s="475" t="str">
        <f t="shared" si="118"/>
        <v/>
      </c>
      <c r="AS170" s="475" t="str">
        <f t="shared" si="119"/>
        <v/>
      </c>
      <c r="AT170" s="475" t="str">
        <f t="shared" si="120"/>
        <v/>
      </c>
      <c r="AU170" s="475" t="str">
        <f t="shared" si="121"/>
        <v/>
      </c>
      <c r="AV170" s="475" t="str">
        <f t="shared" si="102"/>
        <v/>
      </c>
      <c r="AW170" s="473">
        <f t="shared" si="103"/>
        <v>0</v>
      </c>
      <c r="AX170" s="473" t="str">
        <f>IF(AND($Z170="b",OR($AA170="a",$AA170="b"),Inventory!$I177="",$AE170&lt;(65000/12000)),"x",IF(AND($Z170="b",OR($AA170="a",$AA170="b"),Inventory!$I177&lt;&gt;"",$AE170&lt;(65000/12000)),VLOOKUP(Inventory!$I177,$V$4:$W$5,2,FALSE),"x"))</f>
        <v>x</v>
      </c>
      <c r="AY170" s="476" t="str">
        <f t="shared" si="122"/>
        <v>aaa0</v>
      </c>
      <c r="AZ170" s="477" t="str">
        <f t="shared" si="123"/>
        <v>No</v>
      </c>
      <c r="BA170" s="759" t="str">
        <f t="shared" si="124"/>
        <v>No</v>
      </c>
      <c r="BB170" s="477">
        <f>IF($Z170="c",Inventory!$AB177,Inventory!$K177)</f>
        <v>0</v>
      </c>
      <c r="BC170" s="478">
        <f>IF(AND($Z170="b",Inventory!$N177="Btu/hr"),Inventory!$M177,IF(AND($Z170="b",Inventory!$N177="Tons"),Inventory!$M177*12000,IF(AND($Z170&lt;&gt;"b",Inventory!$AK177="Btu/hr"),Inventory!$AD177,IF(AND($Z170&lt;&gt;"b",Inventory!$AK177="Tons"),Inventory!$AD177*12000,0))))</f>
        <v>0</v>
      </c>
      <c r="BD170" s="478">
        <f t="shared" si="95"/>
        <v>0</v>
      </c>
      <c r="BE170" s="479">
        <f t="shared" si="125"/>
        <v>0</v>
      </c>
      <c r="BF170" s="477" t="s">
        <v>50</v>
      </c>
      <c r="BG170" s="479">
        <f t="shared" si="104"/>
        <v>0</v>
      </c>
      <c r="BH170" s="477" t="s">
        <v>46</v>
      </c>
      <c r="BI170" s="760">
        <f>IF(AND($Z170="b",Inventory!$P177="Btu/hr"),Inventory!$O177,IF(AND($Z170="b",Inventory!$P177="Tons"),Inventory!$O177*12000,IF(AND($Z170&lt;&gt;"b",Inventory!$AM177="Btu/hr"),Inventory!$AL177,IF(AND($Z170&lt;&gt;"b",Inventory!$AM177="Tons"),Inventory!$AL177*12000,0))))</f>
        <v>0</v>
      </c>
      <c r="BJ170" s="760">
        <f t="shared" si="96"/>
        <v>0</v>
      </c>
      <c r="BK170" s="598">
        <f t="shared" si="126"/>
        <v>0</v>
      </c>
      <c r="BL170" s="759" t="s">
        <v>567</v>
      </c>
      <c r="BM170" s="477" t="str">
        <f t="shared" si="105"/>
        <v>No</v>
      </c>
      <c r="BN170" s="477" t="str">
        <f>IF(OR(Inventory!$H177="",$BM170="No"),"-",Inventory!$H177)</f>
        <v>-</v>
      </c>
      <c r="BO170" s="477" t="str">
        <f>IFERROR(VLOOKUP(BN170,'Early Retirement'!$B$6:$C$33,2,FALSE),"-")</f>
        <v>-</v>
      </c>
      <c r="BP170" s="477" t="str">
        <f>IF(Inventory!$J177="Centrifugal","Yes","No")</f>
        <v>No</v>
      </c>
      <c r="BQ170" s="477">
        <f t="shared" si="127"/>
        <v>0</v>
      </c>
      <c r="BR170" s="477" t="str">
        <f t="shared" si="128"/>
        <v>-</v>
      </c>
      <c r="BS170" s="479">
        <f>IFERROR(INDEX('Early Retirement'!$C$4:$AC$33,$BO170,$BR170),0)</f>
        <v>0</v>
      </c>
      <c r="BT170" s="477">
        <f>IFERROR(HLOOKUP($BR170,'Early Retirement'!$D$4:$AC$5,2,FALSE),0)</f>
        <v>0</v>
      </c>
      <c r="BU170" s="761">
        <f>IFERROR(INDEX('Early Retirement'!$AE$4:$BE$33,$BO170,$BR170),0)</f>
        <v>0</v>
      </c>
      <c r="BV170" s="759">
        <f>IFERROR(HLOOKUP($BR170,'Early Retirement'!$AF$4:$BE$5,2,FALSE),0)</f>
        <v>0</v>
      </c>
      <c r="BW170" s="479">
        <f t="shared" si="135"/>
        <v>0</v>
      </c>
      <c r="BX170" s="761">
        <f t="shared" si="129"/>
        <v>0</v>
      </c>
      <c r="BY170" s="477" t="s">
        <v>46</v>
      </c>
      <c r="BZ170" s="598">
        <f>IFERROR(INDEX('Early Retirement'!$BG$4:$CG$33,$BO170,$BR170),0)</f>
        <v>0</v>
      </c>
      <c r="CA170" s="759">
        <f>IFERROR(HLOOKUP($BR170,'Early Retirement'!$BH$4:$CH$5,2,FALSE),0)</f>
        <v>0</v>
      </c>
      <c r="CB170" s="598">
        <f t="shared" si="130"/>
        <v>0</v>
      </c>
      <c r="CC170" s="759" t="s">
        <v>567</v>
      </c>
      <c r="CD170" s="477" t="str">
        <f t="shared" si="106"/>
        <v>Yes</v>
      </c>
      <c r="CE170" s="479">
        <f t="shared" si="107"/>
        <v>0</v>
      </c>
      <c r="CF170" s="761">
        <f t="shared" si="108"/>
        <v>0</v>
      </c>
      <c r="CG170" s="759" t="s">
        <v>46</v>
      </c>
      <c r="CH170" s="598">
        <f t="shared" si="131"/>
        <v>0</v>
      </c>
      <c r="CI170" s="759" t="s">
        <v>567</v>
      </c>
      <c r="CJ170" s="480">
        <f t="shared" si="132"/>
        <v>0</v>
      </c>
      <c r="CK170" s="583">
        <f t="shared" si="133"/>
        <v>0</v>
      </c>
      <c r="CL170" s="596" t="s">
        <v>46</v>
      </c>
      <c r="CM170" s="581">
        <f t="shared" si="134"/>
        <v>0</v>
      </c>
      <c r="CN170" s="762" t="s">
        <v>567</v>
      </c>
      <c r="CW170" s="630"/>
      <c r="CX170" s="630"/>
      <c r="CY170" s="630"/>
      <c r="CZ170" s="630"/>
      <c r="DA170" s="630"/>
    </row>
    <row r="171" spans="2:142" s="78" customFormat="1" ht="15" customHeight="1" x14ac:dyDescent="0.25">
      <c r="B171" s="77"/>
      <c r="E171" s="77"/>
      <c r="H171" s="77"/>
      <c r="Y171" s="90">
        <v>169</v>
      </c>
      <c r="Z171" s="559" t="str">
        <f>IF(Inventory!$C178="","",VLOOKUP(Inventory!$C178,$B$3:$C$5,2,FALSE))</f>
        <v/>
      </c>
      <c r="AA171" s="559" t="str">
        <f>IF($Z171="","",IF(AND($Z171="b",Inventory!$G178=""),"",IF(AND($Z171="b",Inventory!$G178&lt;&gt;""),VLOOKUP(Inventory!$G178,$E$3:$F$10,2,FALSE),IF(AND($Z171="a",Inventory!$Z178=""),"",IF(AND($Z171="a",Inventory!$Z178&lt;&gt;""),VLOOKUP(Inventory!$Z178,$E$3:$F$10,2,FALSE),IF(AND($Z171="c",Inventory!$Z178=""),"",IF(AND($Z171="c",Inventory!$Z178&lt;&gt;""),VLOOKUP(Inventory!$Z178,$E$3:$F$10,2,FALSE),"")))))))</f>
        <v/>
      </c>
      <c r="AB171" s="559" t="str">
        <f>IF($Z171="","a",IF(AND($Z171="b",Inventory!$J178=""),"a",IF(AND($Z171="b",Inventory!$J178&lt;&gt;""),VLOOKUP(Inventory!$J178,$H$4:$I$6,2,FALSE),IF(AND($Z171="a",Inventory!$AA178=""),"a",IF(AND($Z171="a",Inventory!$AA178&lt;&gt;""),VLOOKUP(Inventory!$AA178,$H$4:$I$6,2,FALSE),IF(AND($Z171="c",Inventory!$AA178=""),"a",IF(AND($Z171="c",Inventory!$AA178&lt;&gt;""),VLOOKUP(Inventory!$AA178,$H$4:$I$6,2,FALSE),"a")))))))</f>
        <v>a</v>
      </c>
      <c r="AC171" s="559" t="str">
        <f t="shared" si="109"/>
        <v>a</v>
      </c>
      <c r="AD171" s="473" t="str">
        <f>IF($Z171="","a",IF(AND($Z171="b",Inventory!$L178=""),"a",IF(AND($Z171="b",Inventory!$L178&lt;&gt;""),VLOOKUP(Inventory!$L178,$N$4:$O$5,2,FALSE),IF(AND($Z171="a",Inventory!$AC178=""),"a",IF(AND($Z171="a",Inventory!$AC178&lt;&gt;""),VLOOKUP(Inventory!$AC178,$N$4:$O$5,2,FALSE),IF(AND($Z171="c",Inventory!$AC178=""),"a",IF(AND($Z171="c",Inventory!$AC178&lt;&gt;""),VLOOKUP(Inventory!$AC178,$N$4:$O$5,2,FALSE),"a")))))))</f>
        <v>a</v>
      </c>
      <c r="AE171" s="474">
        <f>IF(OR(Inventory!C178="New Construction",Inventory!C178="Replace-on-Burnout"),Inventory!AF178,IF(Inventory!C178="Early Retirement",MIN(Inventory!AE178,Inventory!AF178),0))</f>
        <v>0</v>
      </c>
      <c r="AF171" s="475" t="str">
        <f t="shared" si="110"/>
        <v/>
      </c>
      <c r="AG171" s="475" t="str">
        <f t="shared" si="98"/>
        <v/>
      </c>
      <c r="AH171" s="475" t="str">
        <f t="shared" si="99"/>
        <v/>
      </c>
      <c r="AI171" s="475" t="str">
        <f t="shared" si="100"/>
        <v/>
      </c>
      <c r="AJ171" s="475" t="str">
        <f t="shared" si="101"/>
        <v/>
      </c>
      <c r="AK171" s="475" t="str">
        <f t="shared" si="111"/>
        <v/>
      </c>
      <c r="AL171" s="475" t="str">
        <f t="shared" si="112"/>
        <v/>
      </c>
      <c r="AM171" s="475" t="str">
        <f t="shared" si="113"/>
        <v/>
      </c>
      <c r="AN171" s="475" t="str">
        <f t="shared" si="114"/>
        <v/>
      </c>
      <c r="AO171" s="475" t="str">
        <f t="shared" si="115"/>
        <v/>
      </c>
      <c r="AP171" s="475" t="str">
        <f t="shared" si="116"/>
        <v/>
      </c>
      <c r="AQ171" s="475" t="str">
        <f t="shared" si="117"/>
        <v/>
      </c>
      <c r="AR171" s="475" t="str">
        <f t="shared" si="118"/>
        <v/>
      </c>
      <c r="AS171" s="475" t="str">
        <f t="shared" si="119"/>
        <v/>
      </c>
      <c r="AT171" s="475" t="str">
        <f t="shared" si="120"/>
        <v/>
      </c>
      <c r="AU171" s="475" t="str">
        <f t="shared" si="121"/>
        <v/>
      </c>
      <c r="AV171" s="475" t="str">
        <f t="shared" si="102"/>
        <v/>
      </c>
      <c r="AW171" s="473">
        <f t="shared" si="103"/>
        <v>0</v>
      </c>
      <c r="AX171" s="473" t="str">
        <f>IF(AND($Z171="b",OR($AA171="a",$AA171="b"),Inventory!$I178="",$AE171&lt;(65000/12000)),"x",IF(AND($Z171="b",OR($AA171="a",$AA171="b"),Inventory!$I178&lt;&gt;"",$AE171&lt;(65000/12000)),VLOOKUP(Inventory!$I178,$V$4:$W$5,2,FALSE),"x"))</f>
        <v>x</v>
      </c>
      <c r="AY171" s="476" t="str">
        <f t="shared" si="122"/>
        <v>aaa0</v>
      </c>
      <c r="AZ171" s="477" t="str">
        <f t="shared" si="123"/>
        <v>No</v>
      </c>
      <c r="BA171" s="759" t="str">
        <f t="shared" si="124"/>
        <v>No</v>
      </c>
      <c r="BB171" s="477">
        <f>IF($Z171="c",Inventory!$AB178,Inventory!$K178)</f>
        <v>0</v>
      </c>
      <c r="BC171" s="478">
        <f>IF(AND($Z171="b",Inventory!$N178="Btu/hr"),Inventory!$M178,IF(AND($Z171="b",Inventory!$N178="Tons"),Inventory!$M178*12000,IF(AND($Z171&lt;&gt;"b",Inventory!$AK178="Btu/hr"),Inventory!$AD178,IF(AND($Z171&lt;&gt;"b",Inventory!$AK178="Tons"),Inventory!$AD178*12000,0))))</f>
        <v>0</v>
      </c>
      <c r="BD171" s="478">
        <f t="shared" si="95"/>
        <v>0</v>
      </c>
      <c r="BE171" s="479">
        <f t="shared" si="125"/>
        <v>0</v>
      </c>
      <c r="BF171" s="477" t="s">
        <v>50</v>
      </c>
      <c r="BG171" s="479">
        <f t="shared" si="104"/>
        <v>0</v>
      </c>
      <c r="BH171" s="477" t="s">
        <v>46</v>
      </c>
      <c r="BI171" s="760">
        <f>IF(AND($Z171="b",Inventory!$P178="Btu/hr"),Inventory!$O178,IF(AND($Z171="b",Inventory!$P178="Tons"),Inventory!$O178*12000,IF(AND($Z171&lt;&gt;"b",Inventory!$AM178="Btu/hr"),Inventory!$AL178,IF(AND($Z171&lt;&gt;"b",Inventory!$AM178="Tons"),Inventory!$AL178*12000,0))))</f>
        <v>0</v>
      </c>
      <c r="BJ171" s="760">
        <f t="shared" si="96"/>
        <v>0</v>
      </c>
      <c r="BK171" s="598">
        <f t="shared" si="126"/>
        <v>0</v>
      </c>
      <c r="BL171" s="759" t="s">
        <v>567</v>
      </c>
      <c r="BM171" s="477" t="str">
        <f t="shared" si="105"/>
        <v>No</v>
      </c>
      <c r="BN171" s="477" t="str">
        <f>IF(OR(Inventory!$H178="",$BM171="No"),"-",Inventory!$H178)</f>
        <v>-</v>
      </c>
      <c r="BO171" s="477" t="str">
        <f>IFERROR(VLOOKUP(BN171,'Early Retirement'!$B$6:$C$33,2,FALSE),"-")</f>
        <v>-</v>
      </c>
      <c r="BP171" s="477" t="str">
        <f>IF(Inventory!$J178="Centrifugal","Yes","No")</f>
        <v>No</v>
      </c>
      <c r="BQ171" s="477">
        <f t="shared" si="127"/>
        <v>0</v>
      </c>
      <c r="BR171" s="477" t="str">
        <f t="shared" si="128"/>
        <v>-</v>
      </c>
      <c r="BS171" s="479">
        <f>IFERROR(INDEX('Early Retirement'!$C$4:$AC$33,$BO171,$BR171),0)</f>
        <v>0</v>
      </c>
      <c r="BT171" s="477">
        <f>IFERROR(HLOOKUP($BR171,'Early Retirement'!$D$4:$AC$5,2,FALSE),0)</f>
        <v>0</v>
      </c>
      <c r="BU171" s="761">
        <f>IFERROR(INDEX('Early Retirement'!$AE$4:$BE$33,$BO171,$BR171),0)</f>
        <v>0</v>
      </c>
      <c r="BV171" s="759">
        <f>IFERROR(HLOOKUP($BR171,'Early Retirement'!$AF$4:$BE$5,2,FALSE),0)</f>
        <v>0</v>
      </c>
      <c r="BW171" s="479">
        <f t="shared" si="135"/>
        <v>0</v>
      </c>
      <c r="BX171" s="761">
        <f t="shared" si="129"/>
        <v>0</v>
      </c>
      <c r="BY171" s="477" t="s">
        <v>46</v>
      </c>
      <c r="BZ171" s="598">
        <f>IFERROR(INDEX('Early Retirement'!$BG$4:$CG$33,$BO171,$BR171),0)</f>
        <v>0</v>
      </c>
      <c r="CA171" s="759">
        <f>IFERROR(HLOOKUP($BR171,'Early Retirement'!$BH$4:$CH$5,2,FALSE),0)</f>
        <v>0</v>
      </c>
      <c r="CB171" s="598">
        <f t="shared" si="130"/>
        <v>0</v>
      </c>
      <c r="CC171" s="759" t="s">
        <v>567</v>
      </c>
      <c r="CD171" s="477" t="str">
        <f t="shared" si="106"/>
        <v>Yes</v>
      </c>
      <c r="CE171" s="479">
        <f t="shared" si="107"/>
        <v>0</v>
      </c>
      <c r="CF171" s="761">
        <f t="shared" si="108"/>
        <v>0</v>
      </c>
      <c r="CG171" s="759" t="s">
        <v>46</v>
      </c>
      <c r="CH171" s="598">
        <f t="shared" si="131"/>
        <v>0</v>
      </c>
      <c r="CI171" s="759" t="s">
        <v>567</v>
      </c>
      <c r="CJ171" s="480">
        <f t="shared" si="132"/>
        <v>0</v>
      </c>
      <c r="CK171" s="583">
        <f t="shared" si="133"/>
        <v>0</v>
      </c>
      <c r="CL171" s="596" t="s">
        <v>46</v>
      </c>
      <c r="CM171" s="581">
        <f t="shared" si="134"/>
        <v>0</v>
      </c>
      <c r="CN171" s="762" t="s">
        <v>567</v>
      </c>
      <c r="CW171" s="630"/>
      <c r="CX171" s="630"/>
      <c r="CY171" s="630"/>
      <c r="CZ171" s="630"/>
      <c r="DA171" s="630"/>
    </row>
    <row r="172" spans="2:142" s="78" customFormat="1" ht="15" customHeight="1" x14ac:dyDescent="0.25">
      <c r="B172" s="77"/>
      <c r="E172" s="77"/>
      <c r="H172" s="77"/>
      <c r="Y172" s="90">
        <v>170</v>
      </c>
      <c r="Z172" s="559" t="str">
        <f>IF(Inventory!$C179="","",VLOOKUP(Inventory!$C179,$B$3:$C$5,2,FALSE))</f>
        <v/>
      </c>
      <c r="AA172" s="559" t="str">
        <f>IF($Z172="","",IF(AND($Z172="b",Inventory!$G179=""),"",IF(AND($Z172="b",Inventory!$G179&lt;&gt;""),VLOOKUP(Inventory!$G179,$E$3:$F$10,2,FALSE),IF(AND($Z172="a",Inventory!$Z179=""),"",IF(AND($Z172="a",Inventory!$Z179&lt;&gt;""),VLOOKUP(Inventory!$Z179,$E$3:$F$10,2,FALSE),IF(AND($Z172="c",Inventory!$Z179=""),"",IF(AND($Z172="c",Inventory!$Z179&lt;&gt;""),VLOOKUP(Inventory!$Z179,$E$3:$F$10,2,FALSE),"")))))))</f>
        <v/>
      </c>
      <c r="AB172" s="559" t="str">
        <f>IF($Z172="","a",IF(AND($Z172="b",Inventory!$J179=""),"a",IF(AND($Z172="b",Inventory!$J179&lt;&gt;""),VLOOKUP(Inventory!$J179,$H$4:$I$6,2,FALSE),IF(AND($Z172="a",Inventory!$AA179=""),"a",IF(AND($Z172="a",Inventory!$AA179&lt;&gt;""),VLOOKUP(Inventory!$AA179,$H$4:$I$6,2,FALSE),IF(AND($Z172="c",Inventory!$AA179=""),"a",IF(AND($Z172="c",Inventory!$AA179&lt;&gt;""),VLOOKUP(Inventory!$AA179,$H$4:$I$6,2,FALSE),"a")))))))</f>
        <v>a</v>
      </c>
      <c r="AC172" s="559" t="str">
        <f t="shared" si="109"/>
        <v>a</v>
      </c>
      <c r="AD172" s="473" t="str">
        <f>IF($Z172="","a",IF(AND($Z172="b",Inventory!$L179=""),"a",IF(AND($Z172="b",Inventory!$L179&lt;&gt;""),VLOOKUP(Inventory!$L179,$N$4:$O$5,2,FALSE),IF(AND($Z172="a",Inventory!$AC179=""),"a",IF(AND($Z172="a",Inventory!$AC179&lt;&gt;""),VLOOKUP(Inventory!$AC179,$N$4:$O$5,2,FALSE),IF(AND($Z172="c",Inventory!$AC179=""),"a",IF(AND($Z172="c",Inventory!$AC179&lt;&gt;""),VLOOKUP(Inventory!$AC179,$N$4:$O$5,2,FALSE),"a")))))))</f>
        <v>a</v>
      </c>
      <c r="AE172" s="474">
        <f>IF(OR(Inventory!C179="New Construction",Inventory!C179="Replace-on-Burnout"),Inventory!AF179,IF(Inventory!C179="Early Retirement",MIN(Inventory!AE179,Inventory!AF179),0))</f>
        <v>0</v>
      </c>
      <c r="AF172" s="475" t="str">
        <f t="shared" si="110"/>
        <v/>
      </c>
      <c r="AG172" s="475" t="str">
        <f t="shared" si="98"/>
        <v/>
      </c>
      <c r="AH172" s="475" t="str">
        <f t="shared" si="99"/>
        <v/>
      </c>
      <c r="AI172" s="475" t="str">
        <f t="shared" si="100"/>
        <v/>
      </c>
      <c r="AJ172" s="475" t="str">
        <f t="shared" si="101"/>
        <v/>
      </c>
      <c r="AK172" s="475" t="str">
        <f t="shared" si="111"/>
        <v/>
      </c>
      <c r="AL172" s="475" t="str">
        <f t="shared" si="112"/>
        <v/>
      </c>
      <c r="AM172" s="475" t="str">
        <f t="shared" si="113"/>
        <v/>
      </c>
      <c r="AN172" s="475" t="str">
        <f t="shared" si="114"/>
        <v/>
      </c>
      <c r="AO172" s="475" t="str">
        <f t="shared" si="115"/>
        <v/>
      </c>
      <c r="AP172" s="475" t="str">
        <f t="shared" si="116"/>
        <v/>
      </c>
      <c r="AQ172" s="475" t="str">
        <f t="shared" si="117"/>
        <v/>
      </c>
      <c r="AR172" s="475" t="str">
        <f t="shared" si="118"/>
        <v/>
      </c>
      <c r="AS172" s="475" t="str">
        <f t="shared" si="119"/>
        <v/>
      </c>
      <c r="AT172" s="475" t="str">
        <f t="shared" si="120"/>
        <v/>
      </c>
      <c r="AU172" s="475" t="str">
        <f t="shared" si="121"/>
        <v/>
      </c>
      <c r="AV172" s="475" t="str">
        <f t="shared" si="102"/>
        <v/>
      </c>
      <c r="AW172" s="473">
        <f t="shared" si="103"/>
        <v>0</v>
      </c>
      <c r="AX172" s="473" t="str">
        <f>IF(AND($Z172="b",OR($AA172="a",$AA172="b"),Inventory!$I179="",$AE172&lt;(65000/12000)),"x",IF(AND($Z172="b",OR($AA172="a",$AA172="b"),Inventory!$I179&lt;&gt;"",$AE172&lt;(65000/12000)),VLOOKUP(Inventory!$I179,$V$4:$W$5,2,FALSE),"x"))</f>
        <v>x</v>
      </c>
      <c r="AY172" s="476" t="str">
        <f t="shared" si="122"/>
        <v>aaa0</v>
      </c>
      <c r="AZ172" s="477" t="str">
        <f t="shared" si="123"/>
        <v>No</v>
      </c>
      <c r="BA172" s="759" t="str">
        <f t="shared" si="124"/>
        <v>No</v>
      </c>
      <c r="BB172" s="477">
        <f>IF($Z172="c",Inventory!$AB179,Inventory!$K179)</f>
        <v>0</v>
      </c>
      <c r="BC172" s="478">
        <f>IF(AND($Z172="b",Inventory!$N179="Btu/hr"),Inventory!$M179,IF(AND($Z172="b",Inventory!$N179="Tons"),Inventory!$M179*12000,IF(AND($Z172&lt;&gt;"b",Inventory!$AK179="Btu/hr"),Inventory!$AD179,IF(AND($Z172&lt;&gt;"b",Inventory!$AK179="Tons"),Inventory!$AD179*12000,0))))</f>
        <v>0</v>
      </c>
      <c r="BD172" s="478">
        <f t="shared" si="95"/>
        <v>0</v>
      </c>
      <c r="BE172" s="479">
        <f t="shared" si="125"/>
        <v>0</v>
      </c>
      <c r="BF172" s="477" t="s">
        <v>50</v>
      </c>
      <c r="BG172" s="479">
        <f t="shared" si="104"/>
        <v>0</v>
      </c>
      <c r="BH172" s="477" t="s">
        <v>46</v>
      </c>
      <c r="BI172" s="760">
        <f>IF(AND($Z172="b",Inventory!$P179="Btu/hr"),Inventory!$O179,IF(AND($Z172="b",Inventory!$P179="Tons"),Inventory!$O179*12000,IF(AND($Z172&lt;&gt;"b",Inventory!$AM179="Btu/hr"),Inventory!$AL179,IF(AND($Z172&lt;&gt;"b",Inventory!$AM179="Tons"),Inventory!$AL179*12000,0))))</f>
        <v>0</v>
      </c>
      <c r="BJ172" s="760">
        <f t="shared" si="96"/>
        <v>0</v>
      </c>
      <c r="BK172" s="598">
        <f t="shared" si="126"/>
        <v>0</v>
      </c>
      <c r="BL172" s="759" t="s">
        <v>567</v>
      </c>
      <c r="BM172" s="477" t="str">
        <f t="shared" si="105"/>
        <v>No</v>
      </c>
      <c r="BN172" s="477" t="str">
        <f>IF(OR(Inventory!$H179="",$BM172="No"),"-",Inventory!$H179)</f>
        <v>-</v>
      </c>
      <c r="BO172" s="477" t="str">
        <f>IFERROR(VLOOKUP(BN172,'Early Retirement'!$B$6:$C$33,2,FALSE),"-")</f>
        <v>-</v>
      </c>
      <c r="BP172" s="477" t="str">
        <f>IF(Inventory!$J179="Centrifugal","Yes","No")</f>
        <v>No</v>
      </c>
      <c r="BQ172" s="477">
        <f t="shared" si="127"/>
        <v>0</v>
      </c>
      <c r="BR172" s="477" t="str">
        <f t="shared" si="128"/>
        <v>-</v>
      </c>
      <c r="BS172" s="479">
        <f>IFERROR(INDEX('Early Retirement'!$C$4:$AC$33,$BO172,$BR172),0)</f>
        <v>0</v>
      </c>
      <c r="BT172" s="477">
        <f>IFERROR(HLOOKUP($BR172,'Early Retirement'!$D$4:$AC$5,2,FALSE),0)</f>
        <v>0</v>
      </c>
      <c r="BU172" s="761">
        <f>IFERROR(INDEX('Early Retirement'!$AE$4:$BE$33,$BO172,$BR172),0)</f>
        <v>0</v>
      </c>
      <c r="BV172" s="759">
        <f>IFERROR(HLOOKUP($BR172,'Early Retirement'!$AF$4:$BE$5,2,FALSE),0)</f>
        <v>0</v>
      </c>
      <c r="BW172" s="479">
        <f t="shared" si="135"/>
        <v>0</v>
      </c>
      <c r="BX172" s="761">
        <f t="shared" si="129"/>
        <v>0</v>
      </c>
      <c r="BY172" s="477" t="s">
        <v>46</v>
      </c>
      <c r="BZ172" s="598">
        <f>IFERROR(INDEX('Early Retirement'!$BG$4:$CG$33,$BO172,$BR172),0)</f>
        <v>0</v>
      </c>
      <c r="CA172" s="759">
        <f>IFERROR(HLOOKUP($BR172,'Early Retirement'!$BH$4:$CH$5,2,FALSE),0)</f>
        <v>0</v>
      </c>
      <c r="CB172" s="598">
        <f t="shared" si="130"/>
        <v>0</v>
      </c>
      <c r="CC172" s="759" t="s">
        <v>567</v>
      </c>
      <c r="CD172" s="477" t="str">
        <f t="shared" si="106"/>
        <v>Yes</v>
      </c>
      <c r="CE172" s="479">
        <f t="shared" si="107"/>
        <v>0</v>
      </c>
      <c r="CF172" s="761">
        <f t="shared" si="108"/>
        <v>0</v>
      </c>
      <c r="CG172" s="759" t="s">
        <v>46</v>
      </c>
      <c r="CH172" s="598">
        <f t="shared" si="131"/>
        <v>0</v>
      </c>
      <c r="CI172" s="759" t="s">
        <v>567</v>
      </c>
      <c r="CJ172" s="480">
        <f t="shared" si="132"/>
        <v>0</v>
      </c>
      <c r="CK172" s="583">
        <f t="shared" si="133"/>
        <v>0</v>
      </c>
      <c r="CL172" s="596" t="s">
        <v>46</v>
      </c>
      <c r="CM172" s="581">
        <f t="shared" si="134"/>
        <v>0</v>
      </c>
      <c r="CN172" s="762" t="s">
        <v>567</v>
      </c>
      <c r="CW172" s="630"/>
      <c r="CX172" s="630"/>
      <c r="CY172" s="630"/>
      <c r="CZ172" s="630"/>
      <c r="DA172" s="630"/>
    </row>
    <row r="173" spans="2:142" s="78" customFormat="1" ht="15" customHeight="1" x14ac:dyDescent="0.25">
      <c r="B173" s="77"/>
      <c r="E173" s="77"/>
      <c r="H173" s="77"/>
      <c r="Y173" s="90">
        <v>171</v>
      </c>
      <c r="Z173" s="559" t="str">
        <f>IF(Inventory!$C180="","",VLOOKUP(Inventory!$C180,$B$3:$C$5,2,FALSE))</f>
        <v/>
      </c>
      <c r="AA173" s="559" t="str">
        <f>IF($Z173="","",IF(AND($Z173="b",Inventory!$G180=""),"",IF(AND($Z173="b",Inventory!$G180&lt;&gt;""),VLOOKUP(Inventory!$G180,$E$3:$F$10,2,FALSE),IF(AND($Z173="a",Inventory!$Z180=""),"",IF(AND($Z173="a",Inventory!$Z180&lt;&gt;""),VLOOKUP(Inventory!$Z180,$E$3:$F$10,2,FALSE),IF(AND($Z173="c",Inventory!$Z180=""),"",IF(AND($Z173="c",Inventory!$Z180&lt;&gt;""),VLOOKUP(Inventory!$Z180,$E$3:$F$10,2,FALSE),"")))))))</f>
        <v/>
      </c>
      <c r="AB173" s="559" t="str">
        <f>IF($Z173="","a",IF(AND($Z173="b",Inventory!$J180=""),"a",IF(AND($Z173="b",Inventory!$J180&lt;&gt;""),VLOOKUP(Inventory!$J180,$H$4:$I$6,2,FALSE),IF(AND($Z173="a",Inventory!$AA180=""),"a",IF(AND($Z173="a",Inventory!$AA180&lt;&gt;""),VLOOKUP(Inventory!$AA180,$H$4:$I$6,2,FALSE),IF(AND($Z173="c",Inventory!$AA180=""),"a",IF(AND($Z173="c",Inventory!$AA180&lt;&gt;""),VLOOKUP(Inventory!$AA180,$H$4:$I$6,2,FALSE),"a")))))))</f>
        <v>a</v>
      </c>
      <c r="AC173" s="559" t="str">
        <f t="shared" si="109"/>
        <v>a</v>
      </c>
      <c r="AD173" s="473" t="str">
        <f>IF($Z173="","a",IF(AND($Z173="b",Inventory!$L180=""),"a",IF(AND($Z173="b",Inventory!$L180&lt;&gt;""),VLOOKUP(Inventory!$L180,$N$4:$O$5,2,FALSE),IF(AND($Z173="a",Inventory!$AC180=""),"a",IF(AND($Z173="a",Inventory!$AC180&lt;&gt;""),VLOOKUP(Inventory!$AC180,$N$4:$O$5,2,FALSE),IF(AND($Z173="c",Inventory!$AC180=""),"a",IF(AND($Z173="c",Inventory!$AC180&lt;&gt;""),VLOOKUP(Inventory!$AC180,$N$4:$O$5,2,FALSE),"a")))))))</f>
        <v>a</v>
      </c>
      <c r="AE173" s="474">
        <f>IF(OR(Inventory!C180="New Construction",Inventory!C180="Replace-on-Burnout"),Inventory!AF180,IF(Inventory!C180="Early Retirement",MIN(Inventory!AE180,Inventory!AF180),0))</f>
        <v>0</v>
      </c>
      <c r="AF173" s="475" t="str">
        <f t="shared" si="110"/>
        <v/>
      </c>
      <c r="AG173" s="475" t="str">
        <f t="shared" si="98"/>
        <v/>
      </c>
      <c r="AH173" s="475" t="str">
        <f t="shared" si="99"/>
        <v/>
      </c>
      <c r="AI173" s="475" t="str">
        <f t="shared" si="100"/>
        <v/>
      </c>
      <c r="AJ173" s="475" t="str">
        <f t="shared" si="101"/>
        <v/>
      </c>
      <c r="AK173" s="475" t="str">
        <f t="shared" si="111"/>
        <v/>
      </c>
      <c r="AL173" s="475" t="str">
        <f t="shared" si="112"/>
        <v/>
      </c>
      <c r="AM173" s="475" t="str">
        <f t="shared" si="113"/>
        <v/>
      </c>
      <c r="AN173" s="475" t="str">
        <f t="shared" si="114"/>
        <v/>
      </c>
      <c r="AO173" s="475" t="str">
        <f t="shared" si="115"/>
        <v/>
      </c>
      <c r="AP173" s="475" t="str">
        <f t="shared" si="116"/>
        <v/>
      </c>
      <c r="AQ173" s="475" t="str">
        <f t="shared" si="117"/>
        <v/>
      </c>
      <c r="AR173" s="475" t="str">
        <f t="shared" si="118"/>
        <v/>
      </c>
      <c r="AS173" s="475" t="str">
        <f t="shared" si="119"/>
        <v/>
      </c>
      <c r="AT173" s="475" t="str">
        <f t="shared" si="120"/>
        <v/>
      </c>
      <c r="AU173" s="475" t="str">
        <f t="shared" si="121"/>
        <v/>
      </c>
      <c r="AV173" s="475" t="str">
        <f t="shared" si="102"/>
        <v/>
      </c>
      <c r="AW173" s="473">
        <f t="shared" si="103"/>
        <v>0</v>
      </c>
      <c r="AX173" s="473" t="str">
        <f>IF(AND($Z173="b",OR($AA173="a",$AA173="b"),Inventory!$I180="",$AE173&lt;(65000/12000)),"x",IF(AND($Z173="b",OR($AA173="a",$AA173="b"),Inventory!$I180&lt;&gt;"",$AE173&lt;(65000/12000)),VLOOKUP(Inventory!$I180,$V$4:$W$5,2,FALSE),"x"))</f>
        <v>x</v>
      </c>
      <c r="AY173" s="476" t="str">
        <f t="shared" si="122"/>
        <v>aaa0</v>
      </c>
      <c r="AZ173" s="477" t="str">
        <f t="shared" si="123"/>
        <v>No</v>
      </c>
      <c r="BA173" s="759" t="str">
        <f t="shared" si="124"/>
        <v>No</v>
      </c>
      <c r="BB173" s="477">
        <f>IF($Z173="c",Inventory!$AB180,Inventory!$K180)</f>
        <v>0</v>
      </c>
      <c r="BC173" s="478">
        <f>IF(AND($Z173="b",Inventory!$N180="Btu/hr"),Inventory!$M180,IF(AND($Z173="b",Inventory!$N180="Tons"),Inventory!$M180*12000,IF(AND($Z173&lt;&gt;"b",Inventory!$AK180="Btu/hr"),Inventory!$AD180,IF(AND($Z173&lt;&gt;"b",Inventory!$AK180="Tons"),Inventory!$AD180*12000,0))))</f>
        <v>0</v>
      </c>
      <c r="BD173" s="478">
        <f t="shared" si="95"/>
        <v>0</v>
      </c>
      <c r="BE173" s="479">
        <f t="shared" si="125"/>
        <v>0</v>
      </c>
      <c r="BF173" s="477" t="s">
        <v>50</v>
      </c>
      <c r="BG173" s="479">
        <f t="shared" si="104"/>
        <v>0</v>
      </c>
      <c r="BH173" s="477" t="s">
        <v>46</v>
      </c>
      <c r="BI173" s="760">
        <f>IF(AND($Z173="b",Inventory!$P180="Btu/hr"),Inventory!$O180,IF(AND($Z173="b",Inventory!$P180="Tons"),Inventory!$O180*12000,IF(AND($Z173&lt;&gt;"b",Inventory!$AM180="Btu/hr"),Inventory!$AL180,IF(AND($Z173&lt;&gt;"b",Inventory!$AM180="Tons"),Inventory!$AL180*12000,0))))</f>
        <v>0</v>
      </c>
      <c r="BJ173" s="760">
        <f t="shared" si="96"/>
        <v>0</v>
      </c>
      <c r="BK173" s="598">
        <f t="shared" si="126"/>
        <v>0</v>
      </c>
      <c r="BL173" s="759" t="s">
        <v>567</v>
      </c>
      <c r="BM173" s="477" t="str">
        <f t="shared" si="105"/>
        <v>No</v>
      </c>
      <c r="BN173" s="477" t="str">
        <f>IF(OR(Inventory!$H180="",$BM173="No"),"-",Inventory!$H180)</f>
        <v>-</v>
      </c>
      <c r="BO173" s="477" t="str">
        <f>IFERROR(VLOOKUP(BN173,'Early Retirement'!$B$6:$C$33,2,FALSE),"-")</f>
        <v>-</v>
      </c>
      <c r="BP173" s="477" t="str">
        <f>IF(Inventory!$J180="Centrifugal","Yes","No")</f>
        <v>No</v>
      </c>
      <c r="BQ173" s="477">
        <f t="shared" si="127"/>
        <v>0</v>
      </c>
      <c r="BR173" s="477" t="str">
        <f t="shared" si="128"/>
        <v>-</v>
      </c>
      <c r="BS173" s="479">
        <f>IFERROR(INDEX('Early Retirement'!$C$4:$AC$33,$BO173,$BR173),0)</f>
        <v>0</v>
      </c>
      <c r="BT173" s="477">
        <f>IFERROR(HLOOKUP($BR173,'Early Retirement'!$D$4:$AC$5,2,FALSE),0)</f>
        <v>0</v>
      </c>
      <c r="BU173" s="761">
        <f>IFERROR(INDEX('Early Retirement'!$AE$4:$BE$33,$BO173,$BR173),0)</f>
        <v>0</v>
      </c>
      <c r="BV173" s="759">
        <f>IFERROR(HLOOKUP($BR173,'Early Retirement'!$AF$4:$BE$5,2,FALSE),0)</f>
        <v>0</v>
      </c>
      <c r="BW173" s="479">
        <f t="shared" si="135"/>
        <v>0</v>
      </c>
      <c r="BX173" s="761">
        <f t="shared" si="129"/>
        <v>0</v>
      </c>
      <c r="BY173" s="477" t="s">
        <v>46</v>
      </c>
      <c r="BZ173" s="598">
        <f>IFERROR(INDEX('Early Retirement'!$BG$4:$CG$33,$BO173,$BR173),0)</f>
        <v>0</v>
      </c>
      <c r="CA173" s="759">
        <f>IFERROR(HLOOKUP($BR173,'Early Retirement'!$BH$4:$CH$5,2,FALSE),0)</f>
        <v>0</v>
      </c>
      <c r="CB173" s="598">
        <f t="shared" si="130"/>
        <v>0</v>
      </c>
      <c r="CC173" s="759" t="s">
        <v>567</v>
      </c>
      <c r="CD173" s="477" t="str">
        <f t="shared" si="106"/>
        <v>Yes</v>
      </c>
      <c r="CE173" s="479">
        <f t="shared" si="107"/>
        <v>0</v>
      </c>
      <c r="CF173" s="761">
        <f t="shared" si="108"/>
        <v>0</v>
      </c>
      <c r="CG173" s="759" t="s">
        <v>46</v>
      </c>
      <c r="CH173" s="598">
        <f t="shared" si="131"/>
        <v>0</v>
      </c>
      <c r="CI173" s="759" t="s">
        <v>567</v>
      </c>
      <c r="CJ173" s="480">
        <f t="shared" si="132"/>
        <v>0</v>
      </c>
      <c r="CK173" s="583">
        <f t="shared" si="133"/>
        <v>0</v>
      </c>
      <c r="CL173" s="596" t="s">
        <v>46</v>
      </c>
      <c r="CM173" s="581">
        <f t="shared" si="134"/>
        <v>0</v>
      </c>
      <c r="CN173" s="762" t="s">
        <v>567</v>
      </c>
      <c r="CW173" s="630"/>
      <c r="CX173" s="630"/>
      <c r="CY173" s="630"/>
      <c r="CZ173" s="630"/>
      <c r="DA173" s="630"/>
    </row>
    <row r="174" spans="2:142" s="78" customFormat="1" ht="15" customHeight="1" x14ac:dyDescent="0.25">
      <c r="B174" s="77"/>
      <c r="E174" s="77"/>
      <c r="H174" s="77"/>
      <c r="Y174" s="90">
        <v>172</v>
      </c>
      <c r="Z174" s="559" t="str">
        <f>IF(Inventory!$C181="","",VLOOKUP(Inventory!$C181,$B$3:$C$5,2,FALSE))</f>
        <v/>
      </c>
      <c r="AA174" s="559" t="str">
        <f>IF($Z174="","",IF(AND($Z174="b",Inventory!$G181=""),"",IF(AND($Z174="b",Inventory!$G181&lt;&gt;""),VLOOKUP(Inventory!$G181,$E$3:$F$10,2,FALSE),IF(AND($Z174="a",Inventory!$Z181=""),"",IF(AND($Z174="a",Inventory!$Z181&lt;&gt;""),VLOOKUP(Inventory!$Z181,$E$3:$F$10,2,FALSE),IF(AND($Z174="c",Inventory!$Z181=""),"",IF(AND($Z174="c",Inventory!$Z181&lt;&gt;""),VLOOKUP(Inventory!$Z181,$E$3:$F$10,2,FALSE),"")))))))</f>
        <v/>
      </c>
      <c r="AB174" s="559" t="str">
        <f>IF($Z174="","a",IF(AND($Z174="b",Inventory!$J181=""),"a",IF(AND($Z174="b",Inventory!$J181&lt;&gt;""),VLOOKUP(Inventory!$J181,$H$4:$I$6,2,FALSE),IF(AND($Z174="a",Inventory!$AA181=""),"a",IF(AND($Z174="a",Inventory!$AA181&lt;&gt;""),VLOOKUP(Inventory!$AA181,$H$4:$I$6,2,FALSE),IF(AND($Z174="c",Inventory!$AA181=""),"a",IF(AND($Z174="c",Inventory!$AA181&lt;&gt;""),VLOOKUP(Inventory!$AA181,$H$4:$I$6,2,FALSE),"a")))))))</f>
        <v>a</v>
      </c>
      <c r="AC174" s="559" t="str">
        <f t="shared" si="109"/>
        <v>a</v>
      </c>
      <c r="AD174" s="473" t="str">
        <f>IF($Z174="","a",IF(AND($Z174="b",Inventory!$L181=""),"a",IF(AND($Z174="b",Inventory!$L181&lt;&gt;""),VLOOKUP(Inventory!$L181,$N$4:$O$5,2,FALSE),IF(AND($Z174="a",Inventory!$AC181=""),"a",IF(AND($Z174="a",Inventory!$AC181&lt;&gt;""),VLOOKUP(Inventory!$AC181,$N$4:$O$5,2,FALSE),IF(AND($Z174="c",Inventory!$AC181=""),"a",IF(AND($Z174="c",Inventory!$AC181&lt;&gt;""),VLOOKUP(Inventory!$AC181,$N$4:$O$5,2,FALSE),"a")))))))</f>
        <v>a</v>
      </c>
      <c r="AE174" s="474">
        <f>IF(OR(Inventory!C181="New Construction",Inventory!C181="Replace-on-Burnout"),Inventory!AF181,IF(Inventory!C181="Early Retirement",MIN(Inventory!AE181,Inventory!AF181),0))</f>
        <v>0</v>
      </c>
      <c r="AF174" s="475" t="str">
        <f t="shared" si="110"/>
        <v/>
      </c>
      <c r="AG174" s="475" t="str">
        <f t="shared" si="98"/>
        <v/>
      </c>
      <c r="AH174" s="475" t="str">
        <f t="shared" si="99"/>
        <v/>
      </c>
      <c r="AI174" s="475" t="str">
        <f t="shared" si="100"/>
        <v/>
      </c>
      <c r="AJ174" s="475" t="str">
        <f t="shared" si="101"/>
        <v/>
      </c>
      <c r="AK174" s="475" t="str">
        <f t="shared" si="111"/>
        <v/>
      </c>
      <c r="AL174" s="475" t="str">
        <f t="shared" si="112"/>
        <v/>
      </c>
      <c r="AM174" s="475" t="str">
        <f t="shared" si="113"/>
        <v/>
      </c>
      <c r="AN174" s="475" t="str">
        <f t="shared" si="114"/>
        <v/>
      </c>
      <c r="AO174" s="475" t="str">
        <f t="shared" si="115"/>
        <v/>
      </c>
      <c r="AP174" s="475" t="str">
        <f t="shared" si="116"/>
        <v/>
      </c>
      <c r="AQ174" s="475" t="str">
        <f t="shared" si="117"/>
        <v/>
      </c>
      <c r="AR174" s="475" t="str">
        <f t="shared" si="118"/>
        <v/>
      </c>
      <c r="AS174" s="475" t="str">
        <f t="shared" si="119"/>
        <v/>
      </c>
      <c r="AT174" s="475" t="str">
        <f t="shared" si="120"/>
        <v/>
      </c>
      <c r="AU174" s="475" t="str">
        <f t="shared" si="121"/>
        <v/>
      </c>
      <c r="AV174" s="475" t="str">
        <f t="shared" si="102"/>
        <v/>
      </c>
      <c r="AW174" s="473">
        <f t="shared" si="103"/>
        <v>0</v>
      </c>
      <c r="AX174" s="473" t="str">
        <f>IF(AND($Z174="b",OR($AA174="a",$AA174="b"),Inventory!$I181="",$AE174&lt;(65000/12000)),"x",IF(AND($Z174="b",OR($AA174="a",$AA174="b"),Inventory!$I181&lt;&gt;"",$AE174&lt;(65000/12000)),VLOOKUP(Inventory!$I181,$V$4:$W$5,2,FALSE),"x"))</f>
        <v>x</v>
      </c>
      <c r="AY174" s="476" t="str">
        <f t="shared" si="122"/>
        <v>aaa0</v>
      </c>
      <c r="AZ174" s="477" t="str">
        <f t="shared" si="123"/>
        <v>No</v>
      </c>
      <c r="BA174" s="759" t="str">
        <f t="shared" si="124"/>
        <v>No</v>
      </c>
      <c r="BB174" s="477">
        <f>IF($Z174="c",Inventory!$AB181,Inventory!$K181)</f>
        <v>0</v>
      </c>
      <c r="BC174" s="478">
        <f>IF(AND($Z174="b",Inventory!$N181="Btu/hr"),Inventory!$M181,IF(AND($Z174="b",Inventory!$N181="Tons"),Inventory!$M181*12000,IF(AND($Z174&lt;&gt;"b",Inventory!$AK181="Btu/hr"),Inventory!$AD181,IF(AND($Z174&lt;&gt;"b",Inventory!$AK181="Tons"),Inventory!$AD181*12000,0))))</f>
        <v>0</v>
      </c>
      <c r="BD174" s="478">
        <f t="shared" si="95"/>
        <v>0</v>
      </c>
      <c r="BE174" s="479">
        <f t="shared" si="125"/>
        <v>0</v>
      </c>
      <c r="BF174" s="477" t="s">
        <v>50</v>
      </c>
      <c r="BG174" s="479">
        <f t="shared" si="104"/>
        <v>0</v>
      </c>
      <c r="BH174" s="477" t="s">
        <v>46</v>
      </c>
      <c r="BI174" s="760">
        <f>IF(AND($Z174="b",Inventory!$P181="Btu/hr"),Inventory!$O181,IF(AND($Z174="b",Inventory!$P181="Tons"),Inventory!$O181*12000,IF(AND($Z174&lt;&gt;"b",Inventory!$AM181="Btu/hr"),Inventory!$AL181,IF(AND($Z174&lt;&gt;"b",Inventory!$AM181="Tons"),Inventory!$AL181*12000,0))))</f>
        <v>0</v>
      </c>
      <c r="BJ174" s="760">
        <f t="shared" si="96"/>
        <v>0</v>
      </c>
      <c r="BK174" s="598">
        <f t="shared" si="126"/>
        <v>0</v>
      </c>
      <c r="BL174" s="759" t="s">
        <v>567</v>
      </c>
      <c r="BM174" s="477" t="str">
        <f t="shared" si="105"/>
        <v>No</v>
      </c>
      <c r="BN174" s="477" t="str">
        <f>IF(OR(Inventory!$H181="",$BM174="No"),"-",Inventory!$H181)</f>
        <v>-</v>
      </c>
      <c r="BO174" s="477" t="str">
        <f>IFERROR(VLOOKUP(BN174,'Early Retirement'!$B$6:$C$33,2,FALSE),"-")</f>
        <v>-</v>
      </c>
      <c r="BP174" s="477" t="str">
        <f>IF(Inventory!$J181="Centrifugal","Yes","No")</f>
        <v>No</v>
      </c>
      <c r="BQ174" s="477">
        <f t="shared" si="127"/>
        <v>0</v>
      </c>
      <c r="BR174" s="477" t="str">
        <f t="shared" si="128"/>
        <v>-</v>
      </c>
      <c r="BS174" s="479">
        <f>IFERROR(INDEX('Early Retirement'!$C$4:$AC$33,$BO174,$BR174),0)</f>
        <v>0</v>
      </c>
      <c r="BT174" s="477">
        <f>IFERROR(HLOOKUP($BR174,'Early Retirement'!$D$4:$AC$5,2,FALSE),0)</f>
        <v>0</v>
      </c>
      <c r="BU174" s="761">
        <f>IFERROR(INDEX('Early Retirement'!$AE$4:$BE$33,$BO174,$BR174),0)</f>
        <v>0</v>
      </c>
      <c r="BV174" s="759">
        <f>IFERROR(HLOOKUP($BR174,'Early Retirement'!$AF$4:$BE$5,2,FALSE),0)</f>
        <v>0</v>
      </c>
      <c r="BW174" s="479">
        <f t="shared" si="135"/>
        <v>0</v>
      </c>
      <c r="BX174" s="761">
        <f t="shared" si="129"/>
        <v>0</v>
      </c>
      <c r="BY174" s="477" t="s">
        <v>46</v>
      </c>
      <c r="BZ174" s="598">
        <f>IFERROR(INDEX('Early Retirement'!$BG$4:$CG$33,$BO174,$BR174),0)</f>
        <v>0</v>
      </c>
      <c r="CA174" s="759">
        <f>IFERROR(HLOOKUP($BR174,'Early Retirement'!$BH$4:$CH$5,2,FALSE),0)</f>
        <v>0</v>
      </c>
      <c r="CB174" s="598">
        <f t="shared" si="130"/>
        <v>0</v>
      </c>
      <c r="CC174" s="759" t="s">
        <v>567</v>
      </c>
      <c r="CD174" s="477" t="str">
        <f t="shared" si="106"/>
        <v>Yes</v>
      </c>
      <c r="CE174" s="479">
        <f t="shared" si="107"/>
        <v>0</v>
      </c>
      <c r="CF174" s="761">
        <f t="shared" si="108"/>
        <v>0</v>
      </c>
      <c r="CG174" s="759" t="s">
        <v>46</v>
      </c>
      <c r="CH174" s="598">
        <f t="shared" si="131"/>
        <v>0</v>
      </c>
      <c r="CI174" s="759" t="s">
        <v>567</v>
      </c>
      <c r="CJ174" s="480">
        <f t="shared" si="132"/>
        <v>0</v>
      </c>
      <c r="CK174" s="583">
        <f t="shared" si="133"/>
        <v>0</v>
      </c>
      <c r="CL174" s="596" t="s">
        <v>46</v>
      </c>
      <c r="CM174" s="581">
        <f t="shared" si="134"/>
        <v>0</v>
      </c>
      <c r="CN174" s="762" t="s">
        <v>567</v>
      </c>
      <c r="CW174" s="630"/>
      <c r="CX174" s="630"/>
      <c r="CY174" s="630"/>
      <c r="CZ174" s="630"/>
      <c r="DA174" s="630"/>
    </row>
    <row r="175" spans="2:142" s="78" customFormat="1" ht="15" customHeight="1" x14ac:dyDescent="0.25">
      <c r="B175" s="77"/>
      <c r="E175" s="77"/>
      <c r="H175" s="77"/>
      <c r="Y175" s="90">
        <v>173</v>
      </c>
      <c r="Z175" s="559" t="str">
        <f>IF(Inventory!$C182="","",VLOOKUP(Inventory!$C182,$B$3:$C$5,2,FALSE))</f>
        <v/>
      </c>
      <c r="AA175" s="559" t="str">
        <f>IF($Z175="","",IF(AND($Z175="b",Inventory!$G182=""),"",IF(AND($Z175="b",Inventory!$G182&lt;&gt;""),VLOOKUP(Inventory!$G182,$E$3:$F$10,2,FALSE),IF(AND($Z175="a",Inventory!$Z182=""),"",IF(AND($Z175="a",Inventory!$Z182&lt;&gt;""),VLOOKUP(Inventory!$Z182,$E$3:$F$10,2,FALSE),IF(AND($Z175="c",Inventory!$Z182=""),"",IF(AND($Z175="c",Inventory!$Z182&lt;&gt;""),VLOOKUP(Inventory!$Z182,$E$3:$F$10,2,FALSE),"")))))))</f>
        <v/>
      </c>
      <c r="AB175" s="559" t="str">
        <f>IF($Z175="","a",IF(AND($Z175="b",Inventory!$J182=""),"a",IF(AND($Z175="b",Inventory!$J182&lt;&gt;""),VLOOKUP(Inventory!$J182,$H$4:$I$6,2,FALSE),IF(AND($Z175="a",Inventory!$AA182=""),"a",IF(AND($Z175="a",Inventory!$AA182&lt;&gt;""),VLOOKUP(Inventory!$AA182,$H$4:$I$6,2,FALSE),IF(AND($Z175="c",Inventory!$AA182=""),"a",IF(AND($Z175="c",Inventory!$AA182&lt;&gt;""),VLOOKUP(Inventory!$AA182,$H$4:$I$6,2,FALSE),"a")))))))</f>
        <v>a</v>
      </c>
      <c r="AC175" s="559" t="str">
        <f t="shared" si="109"/>
        <v>a</v>
      </c>
      <c r="AD175" s="473" t="str">
        <f>IF($Z175="","a",IF(AND($Z175="b",Inventory!$L182=""),"a",IF(AND($Z175="b",Inventory!$L182&lt;&gt;""),VLOOKUP(Inventory!$L182,$N$4:$O$5,2,FALSE),IF(AND($Z175="a",Inventory!$AC182=""),"a",IF(AND($Z175="a",Inventory!$AC182&lt;&gt;""),VLOOKUP(Inventory!$AC182,$N$4:$O$5,2,FALSE),IF(AND($Z175="c",Inventory!$AC182=""),"a",IF(AND($Z175="c",Inventory!$AC182&lt;&gt;""),VLOOKUP(Inventory!$AC182,$N$4:$O$5,2,FALSE),"a")))))))</f>
        <v>a</v>
      </c>
      <c r="AE175" s="474">
        <f>IF(OR(Inventory!C182="New Construction",Inventory!C182="Replace-on-Burnout"),Inventory!AF182,IF(Inventory!C182="Early Retirement",MIN(Inventory!AE182,Inventory!AF182),0))</f>
        <v>0</v>
      </c>
      <c r="AF175" s="475" t="str">
        <f t="shared" si="110"/>
        <v/>
      </c>
      <c r="AG175" s="475" t="str">
        <f t="shared" si="98"/>
        <v/>
      </c>
      <c r="AH175" s="475" t="str">
        <f t="shared" si="99"/>
        <v/>
      </c>
      <c r="AI175" s="475" t="str">
        <f t="shared" si="100"/>
        <v/>
      </c>
      <c r="AJ175" s="475" t="str">
        <f t="shared" si="101"/>
        <v/>
      </c>
      <c r="AK175" s="475" t="str">
        <f t="shared" si="111"/>
        <v/>
      </c>
      <c r="AL175" s="475" t="str">
        <f t="shared" si="112"/>
        <v/>
      </c>
      <c r="AM175" s="475" t="str">
        <f t="shared" si="113"/>
        <v/>
      </c>
      <c r="AN175" s="475" t="str">
        <f t="shared" si="114"/>
        <v/>
      </c>
      <c r="AO175" s="475" t="str">
        <f t="shared" si="115"/>
        <v/>
      </c>
      <c r="AP175" s="475" t="str">
        <f t="shared" si="116"/>
        <v/>
      </c>
      <c r="AQ175" s="475" t="str">
        <f t="shared" si="117"/>
        <v/>
      </c>
      <c r="AR175" s="475" t="str">
        <f t="shared" si="118"/>
        <v/>
      </c>
      <c r="AS175" s="475" t="str">
        <f t="shared" si="119"/>
        <v/>
      </c>
      <c r="AT175" s="475" t="str">
        <f t="shared" si="120"/>
        <v/>
      </c>
      <c r="AU175" s="475" t="str">
        <f t="shared" si="121"/>
        <v/>
      </c>
      <c r="AV175" s="475" t="str">
        <f t="shared" si="102"/>
        <v/>
      </c>
      <c r="AW175" s="473">
        <f t="shared" si="103"/>
        <v>0</v>
      </c>
      <c r="AX175" s="473" t="str">
        <f>IF(AND($Z175="b",OR($AA175="a",$AA175="b"),Inventory!$I182="",$AE175&lt;(65000/12000)),"x",IF(AND($Z175="b",OR($AA175="a",$AA175="b"),Inventory!$I182&lt;&gt;"",$AE175&lt;(65000/12000)),VLOOKUP(Inventory!$I182,$V$4:$W$5,2,FALSE),"x"))</f>
        <v>x</v>
      </c>
      <c r="AY175" s="476" t="str">
        <f t="shared" si="122"/>
        <v>aaa0</v>
      </c>
      <c r="AZ175" s="477" t="str">
        <f t="shared" si="123"/>
        <v>No</v>
      </c>
      <c r="BA175" s="759" t="str">
        <f t="shared" si="124"/>
        <v>No</v>
      </c>
      <c r="BB175" s="477">
        <f>IF($Z175="c",Inventory!$AB182,Inventory!$K182)</f>
        <v>0</v>
      </c>
      <c r="BC175" s="478">
        <f>IF(AND($Z175="b",Inventory!$N182="Btu/hr"),Inventory!$M182,IF(AND($Z175="b",Inventory!$N182="Tons"),Inventory!$M182*12000,IF(AND($Z175&lt;&gt;"b",Inventory!$AK182="Btu/hr"),Inventory!$AD182,IF(AND($Z175&lt;&gt;"b",Inventory!$AK182="Tons"),Inventory!$AD182*12000,0))))</f>
        <v>0</v>
      </c>
      <c r="BD175" s="478">
        <f t="shared" si="95"/>
        <v>0</v>
      </c>
      <c r="BE175" s="479">
        <f t="shared" si="125"/>
        <v>0</v>
      </c>
      <c r="BF175" s="477" t="s">
        <v>50</v>
      </c>
      <c r="BG175" s="479">
        <f t="shared" si="104"/>
        <v>0</v>
      </c>
      <c r="BH175" s="477" t="s">
        <v>46</v>
      </c>
      <c r="BI175" s="760">
        <f>IF(AND($Z175="b",Inventory!$P182="Btu/hr"),Inventory!$O182,IF(AND($Z175="b",Inventory!$P182="Tons"),Inventory!$O182*12000,IF(AND($Z175&lt;&gt;"b",Inventory!$AM182="Btu/hr"),Inventory!$AL182,IF(AND($Z175&lt;&gt;"b",Inventory!$AM182="Tons"),Inventory!$AL182*12000,0))))</f>
        <v>0</v>
      </c>
      <c r="BJ175" s="760">
        <f t="shared" si="96"/>
        <v>0</v>
      </c>
      <c r="BK175" s="598">
        <f t="shared" si="126"/>
        <v>0</v>
      </c>
      <c r="BL175" s="759" t="s">
        <v>567</v>
      </c>
      <c r="BM175" s="477" t="str">
        <f t="shared" si="105"/>
        <v>No</v>
      </c>
      <c r="BN175" s="477" t="str">
        <f>IF(OR(Inventory!$H182="",$BM175="No"),"-",Inventory!$H182)</f>
        <v>-</v>
      </c>
      <c r="BO175" s="477" t="str">
        <f>IFERROR(VLOOKUP(BN175,'Early Retirement'!$B$6:$C$33,2,FALSE),"-")</f>
        <v>-</v>
      </c>
      <c r="BP175" s="477" t="str">
        <f>IF(Inventory!$J182="Centrifugal","Yes","No")</f>
        <v>No</v>
      </c>
      <c r="BQ175" s="477">
        <f t="shared" si="127"/>
        <v>0</v>
      </c>
      <c r="BR175" s="477" t="str">
        <f t="shared" si="128"/>
        <v>-</v>
      </c>
      <c r="BS175" s="479">
        <f>IFERROR(INDEX('Early Retirement'!$C$4:$AC$33,$BO175,$BR175),0)</f>
        <v>0</v>
      </c>
      <c r="BT175" s="477">
        <f>IFERROR(HLOOKUP($BR175,'Early Retirement'!$D$4:$AC$5,2,FALSE),0)</f>
        <v>0</v>
      </c>
      <c r="BU175" s="761">
        <f>IFERROR(INDEX('Early Retirement'!$AE$4:$BE$33,$BO175,$BR175),0)</f>
        <v>0</v>
      </c>
      <c r="BV175" s="759">
        <f>IFERROR(HLOOKUP($BR175,'Early Retirement'!$AF$4:$BE$5,2,FALSE),0)</f>
        <v>0</v>
      </c>
      <c r="BW175" s="479">
        <f t="shared" si="135"/>
        <v>0</v>
      </c>
      <c r="BX175" s="761">
        <f t="shared" si="129"/>
        <v>0</v>
      </c>
      <c r="BY175" s="477" t="s">
        <v>46</v>
      </c>
      <c r="BZ175" s="598">
        <f>IFERROR(INDEX('Early Retirement'!$BG$4:$CG$33,$BO175,$BR175),0)</f>
        <v>0</v>
      </c>
      <c r="CA175" s="759">
        <f>IFERROR(HLOOKUP($BR175,'Early Retirement'!$BH$4:$CH$5,2,FALSE),0)</f>
        <v>0</v>
      </c>
      <c r="CB175" s="598">
        <f t="shared" si="130"/>
        <v>0</v>
      </c>
      <c r="CC175" s="759" t="s">
        <v>567</v>
      </c>
      <c r="CD175" s="477" t="str">
        <f t="shared" si="106"/>
        <v>Yes</v>
      </c>
      <c r="CE175" s="479">
        <f t="shared" si="107"/>
        <v>0</v>
      </c>
      <c r="CF175" s="761">
        <f t="shared" si="108"/>
        <v>0</v>
      </c>
      <c r="CG175" s="759" t="s">
        <v>46</v>
      </c>
      <c r="CH175" s="598">
        <f t="shared" si="131"/>
        <v>0</v>
      </c>
      <c r="CI175" s="759" t="s">
        <v>567</v>
      </c>
      <c r="CJ175" s="480">
        <f t="shared" si="132"/>
        <v>0</v>
      </c>
      <c r="CK175" s="583">
        <f t="shared" si="133"/>
        <v>0</v>
      </c>
      <c r="CL175" s="596" t="s">
        <v>46</v>
      </c>
      <c r="CM175" s="581">
        <f t="shared" si="134"/>
        <v>0</v>
      </c>
      <c r="CN175" s="762" t="s">
        <v>567</v>
      </c>
      <c r="CW175" s="630"/>
      <c r="CX175" s="630"/>
      <c r="CY175" s="630"/>
      <c r="CZ175" s="630"/>
      <c r="DA175" s="630"/>
    </row>
    <row r="176" spans="2:142" s="78" customFormat="1" ht="15" customHeight="1" x14ac:dyDescent="0.25">
      <c r="B176" s="77"/>
      <c r="E176" s="77"/>
      <c r="H176" s="77"/>
      <c r="Y176" s="90">
        <v>174</v>
      </c>
      <c r="Z176" s="559" t="str">
        <f>IF(Inventory!$C183="","",VLOOKUP(Inventory!$C183,$B$3:$C$5,2,FALSE))</f>
        <v/>
      </c>
      <c r="AA176" s="559" t="str">
        <f>IF($Z176="","",IF(AND($Z176="b",Inventory!$G183=""),"",IF(AND($Z176="b",Inventory!$G183&lt;&gt;""),VLOOKUP(Inventory!$G183,$E$3:$F$10,2,FALSE),IF(AND($Z176="a",Inventory!$Z183=""),"",IF(AND($Z176="a",Inventory!$Z183&lt;&gt;""),VLOOKUP(Inventory!$Z183,$E$3:$F$10,2,FALSE),IF(AND($Z176="c",Inventory!$Z183=""),"",IF(AND($Z176="c",Inventory!$Z183&lt;&gt;""),VLOOKUP(Inventory!$Z183,$E$3:$F$10,2,FALSE),"")))))))</f>
        <v/>
      </c>
      <c r="AB176" s="559" t="str">
        <f>IF($Z176="","a",IF(AND($Z176="b",Inventory!$J183=""),"a",IF(AND($Z176="b",Inventory!$J183&lt;&gt;""),VLOOKUP(Inventory!$J183,$H$4:$I$6,2,FALSE),IF(AND($Z176="a",Inventory!$AA183=""),"a",IF(AND($Z176="a",Inventory!$AA183&lt;&gt;""),VLOOKUP(Inventory!$AA183,$H$4:$I$6,2,FALSE),IF(AND($Z176="c",Inventory!$AA183=""),"a",IF(AND($Z176="c",Inventory!$AA183&lt;&gt;""),VLOOKUP(Inventory!$AA183,$H$4:$I$6,2,FALSE),"a")))))))</f>
        <v>a</v>
      </c>
      <c r="AC176" s="559" t="str">
        <f t="shared" si="109"/>
        <v>a</v>
      </c>
      <c r="AD176" s="473" t="str">
        <f>IF($Z176="","a",IF(AND($Z176="b",Inventory!$L183=""),"a",IF(AND($Z176="b",Inventory!$L183&lt;&gt;""),VLOOKUP(Inventory!$L183,$N$4:$O$5,2,FALSE),IF(AND($Z176="a",Inventory!$AC183=""),"a",IF(AND($Z176="a",Inventory!$AC183&lt;&gt;""),VLOOKUP(Inventory!$AC183,$N$4:$O$5,2,FALSE),IF(AND($Z176="c",Inventory!$AC183=""),"a",IF(AND($Z176="c",Inventory!$AC183&lt;&gt;""),VLOOKUP(Inventory!$AC183,$N$4:$O$5,2,FALSE),"a")))))))</f>
        <v>a</v>
      </c>
      <c r="AE176" s="474">
        <f>IF(OR(Inventory!C183="New Construction",Inventory!C183="Replace-on-Burnout"),Inventory!AF183,IF(Inventory!C183="Early Retirement",MIN(Inventory!AE183,Inventory!AF183),0))</f>
        <v>0</v>
      </c>
      <c r="AF176" s="475" t="str">
        <f t="shared" si="110"/>
        <v/>
      </c>
      <c r="AG176" s="475" t="str">
        <f t="shared" si="98"/>
        <v/>
      </c>
      <c r="AH176" s="475" t="str">
        <f t="shared" si="99"/>
        <v/>
      </c>
      <c r="AI176" s="475" t="str">
        <f t="shared" si="100"/>
        <v/>
      </c>
      <c r="AJ176" s="475" t="str">
        <f t="shared" si="101"/>
        <v/>
      </c>
      <c r="AK176" s="475" t="str">
        <f t="shared" si="111"/>
        <v/>
      </c>
      <c r="AL176" s="475" t="str">
        <f t="shared" si="112"/>
        <v/>
      </c>
      <c r="AM176" s="475" t="str">
        <f t="shared" si="113"/>
        <v/>
      </c>
      <c r="AN176" s="475" t="str">
        <f t="shared" si="114"/>
        <v/>
      </c>
      <c r="AO176" s="475" t="str">
        <f t="shared" si="115"/>
        <v/>
      </c>
      <c r="AP176" s="475" t="str">
        <f t="shared" si="116"/>
        <v/>
      </c>
      <c r="AQ176" s="475" t="str">
        <f t="shared" si="117"/>
        <v/>
      </c>
      <c r="AR176" s="475" t="str">
        <f t="shared" si="118"/>
        <v/>
      </c>
      <c r="AS176" s="475" t="str">
        <f t="shared" si="119"/>
        <v/>
      </c>
      <c r="AT176" s="475" t="str">
        <f t="shared" si="120"/>
        <v/>
      </c>
      <c r="AU176" s="475" t="str">
        <f t="shared" si="121"/>
        <v/>
      </c>
      <c r="AV176" s="475" t="str">
        <f t="shared" si="102"/>
        <v/>
      </c>
      <c r="AW176" s="473">
        <f t="shared" si="103"/>
        <v>0</v>
      </c>
      <c r="AX176" s="473" t="str">
        <f>IF(AND($Z176="b",OR($AA176="a",$AA176="b"),Inventory!$I183="",$AE176&lt;(65000/12000)),"x",IF(AND($Z176="b",OR($AA176="a",$AA176="b"),Inventory!$I183&lt;&gt;"",$AE176&lt;(65000/12000)),VLOOKUP(Inventory!$I183,$V$4:$W$5,2,FALSE),"x"))</f>
        <v>x</v>
      </c>
      <c r="AY176" s="476" t="str">
        <f t="shared" si="122"/>
        <v>aaa0</v>
      </c>
      <c r="AZ176" s="477" t="str">
        <f t="shared" si="123"/>
        <v>No</v>
      </c>
      <c r="BA176" s="759" t="str">
        <f t="shared" si="124"/>
        <v>No</v>
      </c>
      <c r="BB176" s="477">
        <f>IF($Z176="c",Inventory!$AB183,Inventory!$K183)</f>
        <v>0</v>
      </c>
      <c r="BC176" s="478">
        <f>IF(AND($Z176="b",Inventory!$N183="Btu/hr"),Inventory!$M183,IF(AND($Z176="b",Inventory!$N183="Tons"),Inventory!$M183*12000,IF(AND($Z176&lt;&gt;"b",Inventory!$AK183="Btu/hr"),Inventory!$AD183,IF(AND($Z176&lt;&gt;"b",Inventory!$AK183="Tons"),Inventory!$AD183*12000,0))))</f>
        <v>0</v>
      </c>
      <c r="BD176" s="478">
        <f t="shared" si="95"/>
        <v>0</v>
      </c>
      <c r="BE176" s="479">
        <f t="shared" si="125"/>
        <v>0</v>
      </c>
      <c r="BF176" s="477" t="s">
        <v>50</v>
      </c>
      <c r="BG176" s="479">
        <f t="shared" si="104"/>
        <v>0</v>
      </c>
      <c r="BH176" s="477" t="s">
        <v>46</v>
      </c>
      <c r="BI176" s="760">
        <f>IF(AND($Z176="b",Inventory!$P183="Btu/hr"),Inventory!$O183,IF(AND($Z176="b",Inventory!$P183="Tons"),Inventory!$O183*12000,IF(AND($Z176&lt;&gt;"b",Inventory!$AM183="Btu/hr"),Inventory!$AL183,IF(AND($Z176&lt;&gt;"b",Inventory!$AM183="Tons"),Inventory!$AL183*12000,0))))</f>
        <v>0</v>
      </c>
      <c r="BJ176" s="760">
        <f t="shared" si="96"/>
        <v>0</v>
      </c>
      <c r="BK176" s="598">
        <f t="shared" si="126"/>
        <v>0</v>
      </c>
      <c r="BL176" s="759" t="s">
        <v>567</v>
      </c>
      <c r="BM176" s="477" t="str">
        <f t="shared" si="105"/>
        <v>No</v>
      </c>
      <c r="BN176" s="477" t="str">
        <f>IF(OR(Inventory!$H183="",$BM176="No"),"-",Inventory!$H183)</f>
        <v>-</v>
      </c>
      <c r="BO176" s="477" t="str">
        <f>IFERROR(VLOOKUP(BN176,'Early Retirement'!$B$6:$C$33,2,FALSE),"-")</f>
        <v>-</v>
      </c>
      <c r="BP176" s="477" t="str">
        <f>IF(Inventory!$J183="Centrifugal","Yes","No")</f>
        <v>No</v>
      </c>
      <c r="BQ176" s="477">
        <f t="shared" si="127"/>
        <v>0</v>
      </c>
      <c r="BR176" s="477" t="str">
        <f t="shared" si="128"/>
        <v>-</v>
      </c>
      <c r="BS176" s="479">
        <f>IFERROR(INDEX('Early Retirement'!$C$4:$AC$33,$BO176,$BR176),0)</f>
        <v>0</v>
      </c>
      <c r="BT176" s="477">
        <f>IFERROR(HLOOKUP($BR176,'Early Retirement'!$D$4:$AC$5,2,FALSE),0)</f>
        <v>0</v>
      </c>
      <c r="BU176" s="761">
        <f>IFERROR(INDEX('Early Retirement'!$AE$4:$BE$33,$BO176,$BR176),0)</f>
        <v>0</v>
      </c>
      <c r="BV176" s="759">
        <f>IFERROR(HLOOKUP($BR176,'Early Retirement'!$AF$4:$BE$5,2,FALSE),0)</f>
        <v>0</v>
      </c>
      <c r="BW176" s="479">
        <f t="shared" si="135"/>
        <v>0</v>
      </c>
      <c r="BX176" s="761">
        <f t="shared" si="129"/>
        <v>0</v>
      </c>
      <c r="BY176" s="477" t="s">
        <v>46</v>
      </c>
      <c r="BZ176" s="598">
        <f>IFERROR(INDEX('Early Retirement'!$BG$4:$CG$33,$BO176,$BR176),0)</f>
        <v>0</v>
      </c>
      <c r="CA176" s="759">
        <f>IFERROR(HLOOKUP($BR176,'Early Retirement'!$BH$4:$CH$5,2,FALSE),0)</f>
        <v>0</v>
      </c>
      <c r="CB176" s="598">
        <f t="shared" si="130"/>
        <v>0</v>
      </c>
      <c r="CC176" s="759" t="s">
        <v>567</v>
      </c>
      <c r="CD176" s="477" t="str">
        <f t="shared" si="106"/>
        <v>Yes</v>
      </c>
      <c r="CE176" s="479">
        <f t="shared" si="107"/>
        <v>0</v>
      </c>
      <c r="CF176" s="761">
        <f t="shared" si="108"/>
        <v>0</v>
      </c>
      <c r="CG176" s="759" t="s">
        <v>46</v>
      </c>
      <c r="CH176" s="598">
        <f t="shared" si="131"/>
        <v>0</v>
      </c>
      <c r="CI176" s="759" t="s">
        <v>567</v>
      </c>
      <c r="CJ176" s="480">
        <f t="shared" si="132"/>
        <v>0</v>
      </c>
      <c r="CK176" s="583">
        <f t="shared" si="133"/>
        <v>0</v>
      </c>
      <c r="CL176" s="596" t="s">
        <v>46</v>
      </c>
      <c r="CM176" s="581">
        <f t="shared" si="134"/>
        <v>0</v>
      </c>
      <c r="CN176" s="762" t="s">
        <v>567</v>
      </c>
      <c r="CW176" s="630"/>
      <c r="CX176" s="630"/>
      <c r="CY176" s="630"/>
      <c r="CZ176" s="630"/>
      <c r="DA176" s="630"/>
    </row>
    <row r="177" spans="2:105" s="78" customFormat="1" ht="15" customHeight="1" x14ac:dyDescent="0.25">
      <c r="B177" s="77"/>
      <c r="E177" s="77"/>
      <c r="H177" s="77"/>
      <c r="Y177" s="90">
        <v>175</v>
      </c>
      <c r="Z177" s="559" t="str">
        <f>IF(Inventory!$C184="","",VLOOKUP(Inventory!$C184,$B$3:$C$5,2,FALSE))</f>
        <v/>
      </c>
      <c r="AA177" s="559" t="str">
        <f>IF($Z177="","",IF(AND($Z177="b",Inventory!$G184=""),"",IF(AND($Z177="b",Inventory!$G184&lt;&gt;""),VLOOKUP(Inventory!$G184,$E$3:$F$10,2,FALSE),IF(AND($Z177="a",Inventory!$Z184=""),"",IF(AND($Z177="a",Inventory!$Z184&lt;&gt;""),VLOOKUP(Inventory!$Z184,$E$3:$F$10,2,FALSE),IF(AND($Z177="c",Inventory!$Z184=""),"",IF(AND($Z177="c",Inventory!$Z184&lt;&gt;""),VLOOKUP(Inventory!$Z184,$E$3:$F$10,2,FALSE),"")))))))</f>
        <v/>
      </c>
      <c r="AB177" s="559" t="str">
        <f>IF($Z177="","a",IF(AND($Z177="b",Inventory!$J184=""),"a",IF(AND($Z177="b",Inventory!$J184&lt;&gt;""),VLOOKUP(Inventory!$J184,$H$4:$I$6,2,FALSE),IF(AND($Z177="a",Inventory!$AA184=""),"a",IF(AND($Z177="a",Inventory!$AA184&lt;&gt;""),VLOOKUP(Inventory!$AA184,$H$4:$I$6,2,FALSE),IF(AND($Z177="c",Inventory!$AA184=""),"a",IF(AND($Z177="c",Inventory!$AA184&lt;&gt;""),VLOOKUP(Inventory!$AA184,$H$4:$I$6,2,FALSE),"a")))))))</f>
        <v>a</v>
      </c>
      <c r="AC177" s="559" t="str">
        <f t="shared" si="109"/>
        <v>a</v>
      </c>
      <c r="AD177" s="473" t="str">
        <f>IF($Z177="","a",IF(AND($Z177="b",Inventory!$L184=""),"a",IF(AND($Z177="b",Inventory!$L184&lt;&gt;""),VLOOKUP(Inventory!$L184,$N$4:$O$5,2,FALSE),IF(AND($Z177="a",Inventory!$AC184=""),"a",IF(AND($Z177="a",Inventory!$AC184&lt;&gt;""),VLOOKUP(Inventory!$AC184,$N$4:$O$5,2,FALSE),IF(AND($Z177="c",Inventory!$AC184=""),"a",IF(AND($Z177="c",Inventory!$AC184&lt;&gt;""),VLOOKUP(Inventory!$AC184,$N$4:$O$5,2,FALSE),"a")))))))</f>
        <v>a</v>
      </c>
      <c r="AE177" s="474">
        <f>IF(OR(Inventory!C184="New Construction",Inventory!C184="Replace-on-Burnout"),Inventory!AF184,IF(Inventory!C184="Early Retirement",MIN(Inventory!AE184,Inventory!AF184),0))</f>
        <v>0</v>
      </c>
      <c r="AF177" s="475" t="str">
        <f t="shared" si="110"/>
        <v/>
      </c>
      <c r="AG177" s="475" t="str">
        <f t="shared" si="98"/>
        <v/>
      </c>
      <c r="AH177" s="475" t="str">
        <f t="shared" si="99"/>
        <v/>
      </c>
      <c r="AI177" s="475" t="str">
        <f t="shared" si="100"/>
        <v/>
      </c>
      <c r="AJ177" s="475" t="str">
        <f t="shared" si="101"/>
        <v/>
      </c>
      <c r="AK177" s="475" t="str">
        <f t="shared" si="111"/>
        <v/>
      </c>
      <c r="AL177" s="475" t="str">
        <f t="shared" si="112"/>
        <v/>
      </c>
      <c r="AM177" s="475" t="str">
        <f t="shared" si="113"/>
        <v/>
      </c>
      <c r="AN177" s="475" t="str">
        <f t="shared" si="114"/>
        <v/>
      </c>
      <c r="AO177" s="475" t="str">
        <f t="shared" si="115"/>
        <v/>
      </c>
      <c r="AP177" s="475" t="str">
        <f t="shared" si="116"/>
        <v/>
      </c>
      <c r="AQ177" s="475" t="str">
        <f t="shared" si="117"/>
        <v/>
      </c>
      <c r="AR177" s="475" t="str">
        <f t="shared" si="118"/>
        <v/>
      </c>
      <c r="AS177" s="475" t="str">
        <f t="shared" si="119"/>
        <v/>
      </c>
      <c r="AT177" s="475" t="str">
        <f t="shared" si="120"/>
        <v/>
      </c>
      <c r="AU177" s="475" t="str">
        <f t="shared" si="121"/>
        <v/>
      </c>
      <c r="AV177" s="475" t="str">
        <f t="shared" si="102"/>
        <v/>
      </c>
      <c r="AW177" s="473">
        <f t="shared" si="103"/>
        <v>0</v>
      </c>
      <c r="AX177" s="473" t="str">
        <f>IF(AND($Z177="b",OR($AA177="a",$AA177="b"),Inventory!$I184="",$AE177&lt;(65000/12000)),"x",IF(AND($Z177="b",OR($AA177="a",$AA177="b"),Inventory!$I184&lt;&gt;"",$AE177&lt;(65000/12000)),VLOOKUP(Inventory!$I184,$V$4:$W$5,2,FALSE),"x"))</f>
        <v>x</v>
      </c>
      <c r="AY177" s="476" t="str">
        <f t="shared" si="122"/>
        <v>aaa0</v>
      </c>
      <c r="AZ177" s="477" t="str">
        <f t="shared" si="123"/>
        <v>No</v>
      </c>
      <c r="BA177" s="759" t="str">
        <f t="shared" si="124"/>
        <v>No</v>
      </c>
      <c r="BB177" s="477">
        <f>IF($Z177="c",Inventory!$AB184,Inventory!$K184)</f>
        <v>0</v>
      </c>
      <c r="BC177" s="478">
        <f>IF(AND($Z177="b",Inventory!$N184="Btu/hr"),Inventory!$M184,IF(AND($Z177="b",Inventory!$N184="Tons"),Inventory!$M184*12000,IF(AND($Z177&lt;&gt;"b",Inventory!$AK184="Btu/hr"),Inventory!$AD184,IF(AND($Z177&lt;&gt;"b",Inventory!$AK184="Tons"),Inventory!$AD184*12000,0))))</f>
        <v>0</v>
      </c>
      <c r="BD177" s="478">
        <f t="shared" si="95"/>
        <v>0</v>
      </c>
      <c r="BE177" s="479">
        <f t="shared" si="125"/>
        <v>0</v>
      </c>
      <c r="BF177" s="477" t="s">
        <v>50</v>
      </c>
      <c r="BG177" s="479">
        <f t="shared" si="104"/>
        <v>0</v>
      </c>
      <c r="BH177" s="477" t="s">
        <v>46</v>
      </c>
      <c r="BI177" s="760">
        <f>IF(AND($Z177="b",Inventory!$P184="Btu/hr"),Inventory!$O184,IF(AND($Z177="b",Inventory!$P184="Tons"),Inventory!$O184*12000,IF(AND($Z177&lt;&gt;"b",Inventory!$AM184="Btu/hr"),Inventory!$AL184,IF(AND($Z177&lt;&gt;"b",Inventory!$AM184="Tons"),Inventory!$AL184*12000,0))))</f>
        <v>0</v>
      </c>
      <c r="BJ177" s="760">
        <f t="shared" si="96"/>
        <v>0</v>
      </c>
      <c r="BK177" s="598">
        <f t="shared" si="126"/>
        <v>0</v>
      </c>
      <c r="BL177" s="759" t="s">
        <v>567</v>
      </c>
      <c r="BM177" s="477" t="str">
        <f t="shared" si="105"/>
        <v>No</v>
      </c>
      <c r="BN177" s="477" t="str">
        <f>IF(OR(Inventory!$H184="",$BM177="No"),"-",Inventory!$H184)</f>
        <v>-</v>
      </c>
      <c r="BO177" s="477" t="str">
        <f>IFERROR(VLOOKUP(BN177,'Early Retirement'!$B$6:$C$33,2,FALSE),"-")</f>
        <v>-</v>
      </c>
      <c r="BP177" s="477" t="str">
        <f>IF(Inventory!$J184="Centrifugal","Yes","No")</f>
        <v>No</v>
      </c>
      <c r="BQ177" s="477">
        <f t="shared" si="127"/>
        <v>0</v>
      </c>
      <c r="BR177" s="477" t="str">
        <f t="shared" si="128"/>
        <v>-</v>
      </c>
      <c r="BS177" s="479">
        <f>IFERROR(INDEX('Early Retirement'!$C$4:$AC$33,$BO177,$BR177),0)</f>
        <v>0</v>
      </c>
      <c r="BT177" s="477">
        <f>IFERROR(HLOOKUP($BR177,'Early Retirement'!$D$4:$AC$5,2,FALSE),0)</f>
        <v>0</v>
      </c>
      <c r="BU177" s="761">
        <f>IFERROR(INDEX('Early Retirement'!$AE$4:$BE$33,$BO177,$BR177),0)</f>
        <v>0</v>
      </c>
      <c r="BV177" s="759">
        <f>IFERROR(HLOOKUP($BR177,'Early Retirement'!$AF$4:$BE$5,2,FALSE),0)</f>
        <v>0</v>
      </c>
      <c r="BW177" s="479">
        <f t="shared" si="135"/>
        <v>0</v>
      </c>
      <c r="BX177" s="761">
        <f t="shared" si="129"/>
        <v>0</v>
      </c>
      <c r="BY177" s="477" t="s">
        <v>46</v>
      </c>
      <c r="BZ177" s="598">
        <f>IFERROR(INDEX('Early Retirement'!$BG$4:$CG$33,$BO177,$BR177),0)</f>
        <v>0</v>
      </c>
      <c r="CA177" s="759">
        <f>IFERROR(HLOOKUP($BR177,'Early Retirement'!$BH$4:$CH$5,2,FALSE),0)</f>
        <v>0</v>
      </c>
      <c r="CB177" s="598">
        <f t="shared" si="130"/>
        <v>0</v>
      </c>
      <c r="CC177" s="759" t="s">
        <v>567</v>
      </c>
      <c r="CD177" s="477" t="str">
        <f t="shared" si="106"/>
        <v>Yes</v>
      </c>
      <c r="CE177" s="479">
        <f t="shared" si="107"/>
        <v>0</v>
      </c>
      <c r="CF177" s="761">
        <f t="shared" si="108"/>
        <v>0</v>
      </c>
      <c r="CG177" s="759" t="s">
        <v>46</v>
      </c>
      <c r="CH177" s="598">
        <f t="shared" si="131"/>
        <v>0</v>
      </c>
      <c r="CI177" s="759" t="s">
        <v>567</v>
      </c>
      <c r="CJ177" s="480">
        <f t="shared" si="132"/>
        <v>0</v>
      </c>
      <c r="CK177" s="583">
        <f t="shared" si="133"/>
        <v>0</v>
      </c>
      <c r="CL177" s="596" t="s">
        <v>46</v>
      </c>
      <c r="CM177" s="581">
        <f t="shared" si="134"/>
        <v>0</v>
      </c>
      <c r="CN177" s="762" t="s">
        <v>567</v>
      </c>
      <c r="CW177" s="630"/>
      <c r="CX177" s="630"/>
      <c r="CY177" s="630"/>
      <c r="CZ177" s="630"/>
      <c r="DA177" s="630"/>
    </row>
    <row r="178" spans="2:105" s="78" customFormat="1" ht="15" customHeight="1" x14ac:dyDescent="0.25">
      <c r="B178" s="77"/>
      <c r="E178" s="77"/>
      <c r="H178" s="77"/>
      <c r="Y178" s="90">
        <v>176</v>
      </c>
      <c r="Z178" s="559" t="str">
        <f>IF(Inventory!$C185="","",VLOOKUP(Inventory!$C185,$B$3:$C$5,2,FALSE))</f>
        <v/>
      </c>
      <c r="AA178" s="559" t="str">
        <f>IF($Z178="","",IF(AND($Z178="b",Inventory!$G185=""),"",IF(AND($Z178="b",Inventory!$G185&lt;&gt;""),VLOOKUP(Inventory!$G185,$E$3:$F$10,2,FALSE),IF(AND($Z178="a",Inventory!$Z185=""),"",IF(AND($Z178="a",Inventory!$Z185&lt;&gt;""),VLOOKUP(Inventory!$Z185,$E$3:$F$10,2,FALSE),IF(AND($Z178="c",Inventory!$Z185=""),"",IF(AND($Z178="c",Inventory!$Z185&lt;&gt;""),VLOOKUP(Inventory!$Z185,$E$3:$F$10,2,FALSE),"")))))))</f>
        <v/>
      </c>
      <c r="AB178" s="559" t="str">
        <f>IF($Z178="","a",IF(AND($Z178="b",Inventory!$J185=""),"a",IF(AND($Z178="b",Inventory!$J185&lt;&gt;""),VLOOKUP(Inventory!$J185,$H$4:$I$6,2,FALSE),IF(AND($Z178="a",Inventory!$AA185=""),"a",IF(AND($Z178="a",Inventory!$AA185&lt;&gt;""),VLOOKUP(Inventory!$AA185,$H$4:$I$6,2,FALSE),IF(AND($Z178="c",Inventory!$AA185=""),"a",IF(AND($Z178="c",Inventory!$AA185&lt;&gt;""),VLOOKUP(Inventory!$AA185,$H$4:$I$6,2,FALSE),"a")))))))</f>
        <v>a</v>
      </c>
      <c r="AC178" s="559" t="str">
        <f t="shared" si="109"/>
        <v>a</v>
      </c>
      <c r="AD178" s="473" t="str">
        <f>IF($Z178="","a",IF(AND($Z178="b",Inventory!$L185=""),"a",IF(AND($Z178="b",Inventory!$L185&lt;&gt;""),VLOOKUP(Inventory!$L185,$N$4:$O$5,2,FALSE),IF(AND($Z178="a",Inventory!$AC185=""),"a",IF(AND($Z178="a",Inventory!$AC185&lt;&gt;""),VLOOKUP(Inventory!$AC185,$N$4:$O$5,2,FALSE),IF(AND($Z178="c",Inventory!$AC185=""),"a",IF(AND($Z178="c",Inventory!$AC185&lt;&gt;""),VLOOKUP(Inventory!$AC185,$N$4:$O$5,2,FALSE),"a")))))))</f>
        <v>a</v>
      </c>
      <c r="AE178" s="474">
        <f>IF(OR(Inventory!C185="New Construction",Inventory!C185="Replace-on-Burnout"),Inventory!AF185,IF(Inventory!C185="Early Retirement",MIN(Inventory!AE185,Inventory!AF185),0))</f>
        <v>0</v>
      </c>
      <c r="AF178" s="475" t="str">
        <f t="shared" si="110"/>
        <v/>
      </c>
      <c r="AG178" s="475" t="str">
        <f t="shared" si="98"/>
        <v/>
      </c>
      <c r="AH178" s="475" t="str">
        <f t="shared" si="99"/>
        <v/>
      </c>
      <c r="AI178" s="475" t="str">
        <f t="shared" si="100"/>
        <v/>
      </c>
      <c r="AJ178" s="475" t="str">
        <f t="shared" si="101"/>
        <v/>
      </c>
      <c r="AK178" s="475" t="str">
        <f t="shared" si="111"/>
        <v/>
      </c>
      <c r="AL178" s="475" t="str">
        <f t="shared" si="112"/>
        <v/>
      </c>
      <c r="AM178" s="475" t="str">
        <f t="shared" si="113"/>
        <v/>
      </c>
      <c r="AN178" s="475" t="str">
        <f t="shared" si="114"/>
        <v/>
      </c>
      <c r="AO178" s="475" t="str">
        <f t="shared" si="115"/>
        <v/>
      </c>
      <c r="AP178" s="475" t="str">
        <f t="shared" si="116"/>
        <v/>
      </c>
      <c r="AQ178" s="475" t="str">
        <f t="shared" si="117"/>
        <v/>
      </c>
      <c r="AR178" s="475" t="str">
        <f t="shared" si="118"/>
        <v/>
      </c>
      <c r="AS178" s="475" t="str">
        <f t="shared" si="119"/>
        <v/>
      </c>
      <c r="AT178" s="475" t="str">
        <f t="shared" si="120"/>
        <v/>
      </c>
      <c r="AU178" s="475" t="str">
        <f t="shared" si="121"/>
        <v/>
      </c>
      <c r="AV178" s="475" t="str">
        <f t="shared" si="102"/>
        <v/>
      </c>
      <c r="AW178" s="473">
        <f t="shared" si="103"/>
        <v>0</v>
      </c>
      <c r="AX178" s="473" t="str">
        <f>IF(AND($Z178="b",OR($AA178="a",$AA178="b"),Inventory!$I185="",$AE178&lt;(65000/12000)),"x",IF(AND($Z178="b",OR($AA178="a",$AA178="b"),Inventory!$I185&lt;&gt;"",$AE178&lt;(65000/12000)),VLOOKUP(Inventory!$I185,$V$4:$W$5,2,FALSE),"x"))</f>
        <v>x</v>
      </c>
      <c r="AY178" s="476" t="str">
        <f t="shared" si="122"/>
        <v>aaa0</v>
      </c>
      <c r="AZ178" s="477" t="str">
        <f t="shared" si="123"/>
        <v>No</v>
      </c>
      <c r="BA178" s="759" t="str">
        <f t="shared" si="124"/>
        <v>No</v>
      </c>
      <c r="BB178" s="477">
        <f>IF($Z178="c",Inventory!$AB185,Inventory!$K185)</f>
        <v>0</v>
      </c>
      <c r="BC178" s="478">
        <f>IF(AND($Z178="b",Inventory!$N185="Btu/hr"),Inventory!$M185,IF(AND($Z178="b",Inventory!$N185="Tons"),Inventory!$M185*12000,IF(AND($Z178&lt;&gt;"b",Inventory!$AK185="Btu/hr"),Inventory!$AD185,IF(AND($Z178&lt;&gt;"b",Inventory!$AK185="Tons"),Inventory!$AD185*12000,0))))</f>
        <v>0</v>
      </c>
      <c r="BD178" s="478">
        <f t="shared" si="95"/>
        <v>0</v>
      </c>
      <c r="BE178" s="479">
        <f t="shared" si="125"/>
        <v>0</v>
      </c>
      <c r="BF178" s="477" t="s">
        <v>50</v>
      </c>
      <c r="BG178" s="479">
        <f t="shared" si="104"/>
        <v>0</v>
      </c>
      <c r="BH178" s="477" t="s">
        <v>46</v>
      </c>
      <c r="BI178" s="760">
        <f>IF(AND($Z178="b",Inventory!$P185="Btu/hr"),Inventory!$O185,IF(AND($Z178="b",Inventory!$P185="Tons"),Inventory!$O185*12000,IF(AND($Z178&lt;&gt;"b",Inventory!$AM185="Btu/hr"),Inventory!$AL185,IF(AND($Z178&lt;&gt;"b",Inventory!$AM185="Tons"),Inventory!$AL185*12000,0))))</f>
        <v>0</v>
      </c>
      <c r="BJ178" s="760">
        <f t="shared" si="96"/>
        <v>0</v>
      </c>
      <c r="BK178" s="598">
        <f t="shared" si="126"/>
        <v>0</v>
      </c>
      <c r="BL178" s="759" t="s">
        <v>567</v>
      </c>
      <c r="BM178" s="477" t="str">
        <f t="shared" si="105"/>
        <v>No</v>
      </c>
      <c r="BN178" s="477" t="str">
        <f>IF(OR(Inventory!$H185="",$BM178="No"),"-",Inventory!$H185)</f>
        <v>-</v>
      </c>
      <c r="BO178" s="477" t="str">
        <f>IFERROR(VLOOKUP(BN178,'Early Retirement'!$B$6:$C$33,2,FALSE),"-")</f>
        <v>-</v>
      </c>
      <c r="BP178" s="477" t="str">
        <f>IF(Inventory!$J185="Centrifugal","Yes","No")</f>
        <v>No</v>
      </c>
      <c r="BQ178" s="477">
        <f t="shared" si="127"/>
        <v>0</v>
      </c>
      <c r="BR178" s="477" t="str">
        <f t="shared" si="128"/>
        <v>-</v>
      </c>
      <c r="BS178" s="479">
        <f>IFERROR(INDEX('Early Retirement'!$C$4:$AC$33,$BO178,$BR178),0)</f>
        <v>0</v>
      </c>
      <c r="BT178" s="477">
        <f>IFERROR(HLOOKUP($BR178,'Early Retirement'!$D$4:$AC$5,2,FALSE),0)</f>
        <v>0</v>
      </c>
      <c r="BU178" s="761">
        <f>IFERROR(INDEX('Early Retirement'!$AE$4:$BE$33,$BO178,$BR178),0)</f>
        <v>0</v>
      </c>
      <c r="BV178" s="759">
        <f>IFERROR(HLOOKUP($BR178,'Early Retirement'!$AF$4:$BE$5,2,FALSE),0)</f>
        <v>0</v>
      </c>
      <c r="BW178" s="479">
        <f t="shared" si="135"/>
        <v>0</v>
      </c>
      <c r="BX178" s="761">
        <f t="shared" si="129"/>
        <v>0</v>
      </c>
      <c r="BY178" s="477" t="s">
        <v>46</v>
      </c>
      <c r="BZ178" s="598">
        <f>IFERROR(INDEX('Early Retirement'!$BG$4:$CG$33,$BO178,$BR178),0)</f>
        <v>0</v>
      </c>
      <c r="CA178" s="759">
        <f>IFERROR(HLOOKUP($BR178,'Early Retirement'!$BH$4:$CH$5,2,FALSE),0)</f>
        <v>0</v>
      </c>
      <c r="CB178" s="598">
        <f t="shared" si="130"/>
        <v>0</v>
      </c>
      <c r="CC178" s="759" t="s">
        <v>567</v>
      </c>
      <c r="CD178" s="477" t="str">
        <f t="shared" si="106"/>
        <v>Yes</v>
      </c>
      <c r="CE178" s="479">
        <f t="shared" si="107"/>
        <v>0</v>
      </c>
      <c r="CF178" s="761">
        <f t="shared" si="108"/>
        <v>0</v>
      </c>
      <c r="CG178" s="759" t="s">
        <v>46</v>
      </c>
      <c r="CH178" s="598">
        <f t="shared" si="131"/>
        <v>0</v>
      </c>
      <c r="CI178" s="759" t="s">
        <v>567</v>
      </c>
      <c r="CJ178" s="480">
        <f t="shared" si="132"/>
        <v>0</v>
      </c>
      <c r="CK178" s="583">
        <f t="shared" si="133"/>
        <v>0</v>
      </c>
      <c r="CL178" s="596" t="s">
        <v>46</v>
      </c>
      <c r="CM178" s="581">
        <f t="shared" si="134"/>
        <v>0</v>
      </c>
      <c r="CN178" s="762" t="s">
        <v>567</v>
      </c>
      <c r="CW178" s="630"/>
      <c r="CX178" s="630"/>
      <c r="CY178" s="630"/>
      <c r="CZ178" s="630"/>
      <c r="DA178" s="630"/>
    </row>
    <row r="179" spans="2:105" s="78" customFormat="1" ht="15" customHeight="1" x14ac:dyDescent="0.25">
      <c r="B179" s="77"/>
      <c r="E179" s="77"/>
      <c r="H179" s="77"/>
      <c r="Y179" s="90">
        <v>177</v>
      </c>
      <c r="Z179" s="559" t="str">
        <f>IF(Inventory!$C186="","",VLOOKUP(Inventory!$C186,$B$3:$C$5,2,FALSE))</f>
        <v/>
      </c>
      <c r="AA179" s="559" t="str">
        <f>IF($Z179="","",IF(AND($Z179="b",Inventory!$G186=""),"",IF(AND($Z179="b",Inventory!$G186&lt;&gt;""),VLOOKUP(Inventory!$G186,$E$3:$F$10,2,FALSE),IF(AND($Z179="a",Inventory!$Z186=""),"",IF(AND($Z179="a",Inventory!$Z186&lt;&gt;""),VLOOKUP(Inventory!$Z186,$E$3:$F$10,2,FALSE),IF(AND($Z179="c",Inventory!$Z186=""),"",IF(AND($Z179="c",Inventory!$Z186&lt;&gt;""),VLOOKUP(Inventory!$Z186,$E$3:$F$10,2,FALSE),"")))))))</f>
        <v/>
      </c>
      <c r="AB179" s="559" t="str">
        <f>IF($Z179="","a",IF(AND($Z179="b",Inventory!$J186=""),"a",IF(AND($Z179="b",Inventory!$J186&lt;&gt;""),VLOOKUP(Inventory!$J186,$H$4:$I$6,2,FALSE),IF(AND($Z179="a",Inventory!$AA186=""),"a",IF(AND($Z179="a",Inventory!$AA186&lt;&gt;""),VLOOKUP(Inventory!$AA186,$H$4:$I$6,2,FALSE),IF(AND($Z179="c",Inventory!$AA186=""),"a",IF(AND($Z179="c",Inventory!$AA186&lt;&gt;""),VLOOKUP(Inventory!$AA186,$H$4:$I$6,2,FALSE),"a")))))))</f>
        <v>a</v>
      </c>
      <c r="AC179" s="559" t="str">
        <f t="shared" si="109"/>
        <v>a</v>
      </c>
      <c r="AD179" s="473" t="str">
        <f>IF($Z179="","a",IF(AND($Z179="b",Inventory!$L186=""),"a",IF(AND($Z179="b",Inventory!$L186&lt;&gt;""),VLOOKUP(Inventory!$L186,$N$4:$O$5,2,FALSE),IF(AND($Z179="a",Inventory!$AC186=""),"a",IF(AND($Z179="a",Inventory!$AC186&lt;&gt;""),VLOOKUP(Inventory!$AC186,$N$4:$O$5,2,FALSE),IF(AND($Z179="c",Inventory!$AC186=""),"a",IF(AND($Z179="c",Inventory!$AC186&lt;&gt;""),VLOOKUP(Inventory!$AC186,$N$4:$O$5,2,FALSE),"a")))))))</f>
        <v>a</v>
      </c>
      <c r="AE179" s="474">
        <f>IF(OR(Inventory!C186="New Construction",Inventory!C186="Replace-on-Burnout"),Inventory!AF186,IF(Inventory!C186="Early Retirement",MIN(Inventory!AE186,Inventory!AF186),0))</f>
        <v>0</v>
      </c>
      <c r="AF179" s="475" t="str">
        <f t="shared" si="110"/>
        <v/>
      </c>
      <c r="AG179" s="475" t="str">
        <f t="shared" si="98"/>
        <v/>
      </c>
      <c r="AH179" s="475" t="str">
        <f t="shared" si="99"/>
        <v/>
      </c>
      <c r="AI179" s="475" t="str">
        <f t="shared" si="100"/>
        <v/>
      </c>
      <c r="AJ179" s="475" t="str">
        <f t="shared" si="101"/>
        <v/>
      </c>
      <c r="AK179" s="475" t="str">
        <f t="shared" si="111"/>
        <v/>
      </c>
      <c r="AL179" s="475" t="str">
        <f t="shared" si="112"/>
        <v/>
      </c>
      <c r="AM179" s="475" t="str">
        <f t="shared" si="113"/>
        <v/>
      </c>
      <c r="AN179" s="475" t="str">
        <f t="shared" si="114"/>
        <v/>
      </c>
      <c r="AO179" s="475" t="str">
        <f t="shared" si="115"/>
        <v/>
      </c>
      <c r="AP179" s="475" t="str">
        <f t="shared" si="116"/>
        <v/>
      </c>
      <c r="AQ179" s="475" t="str">
        <f t="shared" si="117"/>
        <v/>
      </c>
      <c r="AR179" s="475" t="str">
        <f t="shared" si="118"/>
        <v/>
      </c>
      <c r="AS179" s="475" t="str">
        <f t="shared" si="119"/>
        <v/>
      </c>
      <c r="AT179" s="475" t="str">
        <f t="shared" si="120"/>
        <v/>
      </c>
      <c r="AU179" s="475" t="str">
        <f t="shared" si="121"/>
        <v/>
      </c>
      <c r="AV179" s="475" t="str">
        <f t="shared" si="102"/>
        <v/>
      </c>
      <c r="AW179" s="473">
        <f t="shared" si="103"/>
        <v>0</v>
      </c>
      <c r="AX179" s="473" t="str">
        <f>IF(AND($Z179="b",OR($AA179="a",$AA179="b"),Inventory!$I186="",$AE179&lt;(65000/12000)),"x",IF(AND($Z179="b",OR($AA179="a",$AA179="b"),Inventory!$I186&lt;&gt;"",$AE179&lt;(65000/12000)),VLOOKUP(Inventory!$I186,$V$4:$W$5,2,FALSE),"x"))</f>
        <v>x</v>
      </c>
      <c r="AY179" s="476" t="str">
        <f t="shared" si="122"/>
        <v>aaa0</v>
      </c>
      <c r="AZ179" s="477" t="str">
        <f t="shared" si="123"/>
        <v>No</v>
      </c>
      <c r="BA179" s="759" t="str">
        <f t="shared" si="124"/>
        <v>No</v>
      </c>
      <c r="BB179" s="477">
        <f>IF($Z179="c",Inventory!$AB186,Inventory!$K186)</f>
        <v>0</v>
      </c>
      <c r="BC179" s="478">
        <f>IF(AND($Z179="b",Inventory!$N186="Btu/hr"),Inventory!$M186,IF(AND($Z179="b",Inventory!$N186="Tons"),Inventory!$M186*12000,IF(AND($Z179&lt;&gt;"b",Inventory!$AK186="Btu/hr"),Inventory!$AD186,IF(AND($Z179&lt;&gt;"b",Inventory!$AK186="Tons"),Inventory!$AD186*12000,0))))</f>
        <v>0</v>
      </c>
      <c r="BD179" s="478">
        <f t="shared" si="95"/>
        <v>0</v>
      </c>
      <c r="BE179" s="479">
        <f t="shared" si="125"/>
        <v>0</v>
      </c>
      <c r="BF179" s="477" t="s">
        <v>50</v>
      </c>
      <c r="BG179" s="479">
        <f t="shared" si="104"/>
        <v>0</v>
      </c>
      <c r="BH179" s="477" t="s">
        <v>46</v>
      </c>
      <c r="BI179" s="760">
        <f>IF(AND($Z179="b",Inventory!$P186="Btu/hr"),Inventory!$O186,IF(AND($Z179="b",Inventory!$P186="Tons"),Inventory!$O186*12000,IF(AND($Z179&lt;&gt;"b",Inventory!$AM186="Btu/hr"),Inventory!$AL186,IF(AND($Z179&lt;&gt;"b",Inventory!$AM186="Tons"),Inventory!$AL186*12000,0))))</f>
        <v>0</v>
      </c>
      <c r="BJ179" s="760">
        <f t="shared" si="96"/>
        <v>0</v>
      </c>
      <c r="BK179" s="598">
        <f t="shared" si="126"/>
        <v>0</v>
      </c>
      <c r="BL179" s="759" t="s">
        <v>567</v>
      </c>
      <c r="BM179" s="477" t="str">
        <f t="shared" si="105"/>
        <v>No</v>
      </c>
      <c r="BN179" s="477" t="str">
        <f>IF(OR(Inventory!$H186="",$BM179="No"),"-",Inventory!$H186)</f>
        <v>-</v>
      </c>
      <c r="BO179" s="477" t="str">
        <f>IFERROR(VLOOKUP(BN179,'Early Retirement'!$B$6:$C$33,2,FALSE),"-")</f>
        <v>-</v>
      </c>
      <c r="BP179" s="477" t="str">
        <f>IF(Inventory!$J186="Centrifugal","Yes","No")</f>
        <v>No</v>
      </c>
      <c r="BQ179" s="477">
        <f t="shared" si="127"/>
        <v>0</v>
      </c>
      <c r="BR179" s="477" t="str">
        <f t="shared" si="128"/>
        <v>-</v>
      </c>
      <c r="BS179" s="479">
        <f>IFERROR(INDEX('Early Retirement'!$C$4:$AC$33,$BO179,$BR179),0)</f>
        <v>0</v>
      </c>
      <c r="BT179" s="477">
        <f>IFERROR(HLOOKUP($BR179,'Early Retirement'!$D$4:$AC$5,2,FALSE),0)</f>
        <v>0</v>
      </c>
      <c r="BU179" s="761">
        <f>IFERROR(INDEX('Early Retirement'!$AE$4:$BE$33,$BO179,$BR179),0)</f>
        <v>0</v>
      </c>
      <c r="BV179" s="759">
        <f>IFERROR(HLOOKUP($BR179,'Early Retirement'!$AF$4:$BE$5,2,FALSE),0)</f>
        <v>0</v>
      </c>
      <c r="BW179" s="479">
        <f t="shared" si="135"/>
        <v>0</v>
      </c>
      <c r="BX179" s="761">
        <f t="shared" si="129"/>
        <v>0</v>
      </c>
      <c r="BY179" s="477" t="s">
        <v>46</v>
      </c>
      <c r="BZ179" s="598">
        <f>IFERROR(INDEX('Early Retirement'!$BG$4:$CG$33,$BO179,$BR179),0)</f>
        <v>0</v>
      </c>
      <c r="CA179" s="759">
        <f>IFERROR(HLOOKUP($BR179,'Early Retirement'!$BH$4:$CH$5,2,FALSE),0)</f>
        <v>0</v>
      </c>
      <c r="CB179" s="598">
        <f t="shared" si="130"/>
        <v>0</v>
      </c>
      <c r="CC179" s="759" t="s">
        <v>567</v>
      </c>
      <c r="CD179" s="477" t="str">
        <f t="shared" si="106"/>
        <v>Yes</v>
      </c>
      <c r="CE179" s="479">
        <f t="shared" si="107"/>
        <v>0</v>
      </c>
      <c r="CF179" s="761">
        <f t="shared" si="108"/>
        <v>0</v>
      </c>
      <c r="CG179" s="759" t="s">
        <v>46</v>
      </c>
      <c r="CH179" s="598">
        <f t="shared" si="131"/>
        <v>0</v>
      </c>
      <c r="CI179" s="759" t="s">
        <v>567</v>
      </c>
      <c r="CJ179" s="480">
        <f t="shared" si="132"/>
        <v>0</v>
      </c>
      <c r="CK179" s="583">
        <f t="shared" si="133"/>
        <v>0</v>
      </c>
      <c r="CL179" s="596" t="s">
        <v>46</v>
      </c>
      <c r="CM179" s="581">
        <f t="shared" si="134"/>
        <v>0</v>
      </c>
      <c r="CN179" s="762" t="s">
        <v>567</v>
      </c>
      <c r="CW179" s="630"/>
      <c r="CX179" s="630"/>
      <c r="CY179" s="630"/>
      <c r="CZ179" s="630"/>
      <c r="DA179" s="630"/>
    </row>
    <row r="180" spans="2:105" s="78" customFormat="1" ht="15" customHeight="1" x14ac:dyDescent="0.25">
      <c r="B180" s="77"/>
      <c r="E180" s="77"/>
      <c r="H180" s="77"/>
      <c r="Y180" s="90">
        <v>178</v>
      </c>
      <c r="Z180" s="559" t="str">
        <f>IF(Inventory!$C187="","",VLOOKUP(Inventory!$C187,$B$3:$C$5,2,FALSE))</f>
        <v/>
      </c>
      <c r="AA180" s="559" t="str">
        <f>IF($Z180="","",IF(AND($Z180="b",Inventory!$G187=""),"",IF(AND($Z180="b",Inventory!$G187&lt;&gt;""),VLOOKUP(Inventory!$G187,$E$3:$F$10,2,FALSE),IF(AND($Z180="a",Inventory!$Z187=""),"",IF(AND($Z180="a",Inventory!$Z187&lt;&gt;""),VLOOKUP(Inventory!$Z187,$E$3:$F$10,2,FALSE),IF(AND($Z180="c",Inventory!$Z187=""),"",IF(AND($Z180="c",Inventory!$Z187&lt;&gt;""),VLOOKUP(Inventory!$Z187,$E$3:$F$10,2,FALSE),"")))))))</f>
        <v/>
      </c>
      <c r="AB180" s="559" t="str">
        <f>IF($Z180="","a",IF(AND($Z180="b",Inventory!$J187=""),"a",IF(AND($Z180="b",Inventory!$J187&lt;&gt;""),VLOOKUP(Inventory!$J187,$H$4:$I$6,2,FALSE),IF(AND($Z180="a",Inventory!$AA187=""),"a",IF(AND($Z180="a",Inventory!$AA187&lt;&gt;""),VLOOKUP(Inventory!$AA187,$H$4:$I$6,2,FALSE),IF(AND($Z180="c",Inventory!$AA187=""),"a",IF(AND($Z180="c",Inventory!$AA187&lt;&gt;""),VLOOKUP(Inventory!$AA187,$H$4:$I$6,2,FALSE),"a")))))))</f>
        <v>a</v>
      </c>
      <c r="AC180" s="559" t="str">
        <f t="shared" si="109"/>
        <v>a</v>
      </c>
      <c r="AD180" s="473" t="str">
        <f>IF($Z180="","a",IF(AND($Z180="b",Inventory!$L187=""),"a",IF(AND($Z180="b",Inventory!$L187&lt;&gt;""),VLOOKUP(Inventory!$L187,$N$4:$O$5,2,FALSE),IF(AND($Z180="a",Inventory!$AC187=""),"a",IF(AND($Z180="a",Inventory!$AC187&lt;&gt;""),VLOOKUP(Inventory!$AC187,$N$4:$O$5,2,FALSE),IF(AND($Z180="c",Inventory!$AC187=""),"a",IF(AND($Z180="c",Inventory!$AC187&lt;&gt;""),VLOOKUP(Inventory!$AC187,$N$4:$O$5,2,FALSE),"a")))))))</f>
        <v>a</v>
      </c>
      <c r="AE180" s="474">
        <f>IF(OR(Inventory!C187="New Construction",Inventory!C187="Replace-on-Burnout"),Inventory!AF187,IF(Inventory!C187="Early Retirement",MIN(Inventory!AE187,Inventory!AF187),0))</f>
        <v>0</v>
      </c>
      <c r="AF180" s="475" t="str">
        <f t="shared" si="110"/>
        <v/>
      </c>
      <c r="AG180" s="475" t="str">
        <f t="shared" si="98"/>
        <v/>
      </c>
      <c r="AH180" s="475" t="str">
        <f t="shared" si="99"/>
        <v/>
      </c>
      <c r="AI180" s="475" t="str">
        <f t="shared" si="100"/>
        <v/>
      </c>
      <c r="AJ180" s="475" t="str">
        <f t="shared" si="101"/>
        <v/>
      </c>
      <c r="AK180" s="475" t="str">
        <f t="shared" si="111"/>
        <v/>
      </c>
      <c r="AL180" s="475" t="str">
        <f t="shared" si="112"/>
        <v/>
      </c>
      <c r="AM180" s="475" t="str">
        <f t="shared" si="113"/>
        <v/>
      </c>
      <c r="AN180" s="475" t="str">
        <f t="shared" si="114"/>
        <v/>
      </c>
      <c r="AO180" s="475" t="str">
        <f t="shared" si="115"/>
        <v/>
      </c>
      <c r="AP180" s="475" t="str">
        <f t="shared" si="116"/>
        <v/>
      </c>
      <c r="AQ180" s="475" t="str">
        <f t="shared" si="117"/>
        <v/>
      </c>
      <c r="AR180" s="475" t="str">
        <f t="shared" si="118"/>
        <v/>
      </c>
      <c r="AS180" s="475" t="str">
        <f t="shared" si="119"/>
        <v/>
      </c>
      <c r="AT180" s="475" t="str">
        <f t="shared" si="120"/>
        <v/>
      </c>
      <c r="AU180" s="475" t="str">
        <f t="shared" si="121"/>
        <v/>
      </c>
      <c r="AV180" s="475" t="str">
        <f t="shared" si="102"/>
        <v/>
      </c>
      <c r="AW180" s="473">
        <f t="shared" si="103"/>
        <v>0</v>
      </c>
      <c r="AX180" s="473" t="str">
        <f>IF(AND($Z180="b",OR($AA180="a",$AA180="b"),Inventory!$I187="",$AE180&lt;(65000/12000)),"x",IF(AND($Z180="b",OR($AA180="a",$AA180="b"),Inventory!$I187&lt;&gt;"",$AE180&lt;(65000/12000)),VLOOKUP(Inventory!$I187,$V$4:$W$5,2,FALSE),"x"))</f>
        <v>x</v>
      </c>
      <c r="AY180" s="476" t="str">
        <f t="shared" si="122"/>
        <v>aaa0</v>
      </c>
      <c r="AZ180" s="477" t="str">
        <f t="shared" si="123"/>
        <v>No</v>
      </c>
      <c r="BA180" s="759" t="str">
        <f t="shared" si="124"/>
        <v>No</v>
      </c>
      <c r="BB180" s="477">
        <f>IF($Z180="c",Inventory!$AB187,Inventory!$K187)</f>
        <v>0</v>
      </c>
      <c r="BC180" s="478">
        <f>IF(AND($Z180="b",Inventory!$N187="Btu/hr"),Inventory!$M187,IF(AND($Z180="b",Inventory!$N187="Tons"),Inventory!$M187*12000,IF(AND($Z180&lt;&gt;"b",Inventory!$AK187="Btu/hr"),Inventory!$AD187,IF(AND($Z180&lt;&gt;"b",Inventory!$AK187="Tons"),Inventory!$AD187*12000,0))))</f>
        <v>0</v>
      </c>
      <c r="BD180" s="478">
        <f t="shared" ref="BD180:BD243" si="136">IF(BC180=0,0,IF($BC180&lt;7000,7000,IF($BC180&gt;15000,15000,$BC180)))</f>
        <v>0</v>
      </c>
      <c r="BE180" s="479">
        <f t="shared" si="125"/>
        <v>0</v>
      </c>
      <c r="BF180" s="477" t="s">
        <v>50</v>
      </c>
      <c r="BG180" s="479">
        <f t="shared" si="104"/>
        <v>0</v>
      </c>
      <c r="BH180" s="477" t="s">
        <v>46</v>
      </c>
      <c r="BI180" s="760">
        <f>IF(AND($Z180="b",Inventory!$P187="Btu/hr"),Inventory!$O187,IF(AND($Z180="b",Inventory!$P187="Tons"),Inventory!$O187*12000,IF(AND($Z180&lt;&gt;"b",Inventory!$AM187="Btu/hr"),Inventory!$AL187,IF(AND($Z180&lt;&gt;"b",Inventory!$AM187="Tons"),Inventory!$AL187*12000,0))))</f>
        <v>0</v>
      </c>
      <c r="BJ180" s="760">
        <f t="shared" ref="BJ180:BJ243" si="137">IF(BI180=0,0,IF($BI180&lt;7000,7000,IF($BI180&gt;15000,15000,$BI180)))</f>
        <v>0</v>
      </c>
      <c r="BK180" s="598">
        <f t="shared" si="126"/>
        <v>0</v>
      </c>
      <c r="BL180" s="759" t="s">
        <v>567</v>
      </c>
      <c r="BM180" s="477" t="str">
        <f t="shared" si="105"/>
        <v>No</v>
      </c>
      <c r="BN180" s="477" t="str">
        <f>IF(OR(Inventory!$H187="",$BM180="No"),"-",Inventory!$H187)</f>
        <v>-</v>
      </c>
      <c r="BO180" s="477" t="str">
        <f>IFERROR(VLOOKUP(BN180,'Early Retirement'!$B$6:$C$33,2,FALSE),"-")</f>
        <v>-</v>
      </c>
      <c r="BP180" s="477" t="str">
        <f>IF(Inventory!$J187="Centrifugal","Yes","No")</f>
        <v>No</v>
      </c>
      <c r="BQ180" s="477">
        <f t="shared" si="127"/>
        <v>0</v>
      </c>
      <c r="BR180" s="477" t="str">
        <f t="shared" si="128"/>
        <v>-</v>
      </c>
      <c r="BS180" s="479">
        <f>IFERROR(INDEX('Early Retirement'!$C$4:$AC$33,$BO180,$BR180),0)</f>
        <v>0</v>
      </c>
      <c r="BT180" s="477">
        <f>IFERROR(HLOOKUP($BR180,'Early Retirement'!$D$4:$AC$5,2,FALSE),0)</f>
        <v>0</v>
      </c>
      <c r="BU180" s="761">
        <f>IFERROR(INDEX('Early Retirement'!$AE$4:$BE$33,$BO180,$BR180),0)</f>
        <v>0</v>
      </c>
      <c r="BV180" s="759">
        <f>IFERROR(HLOOKUP($BR180,'Early Retirement'!$AF$4:$BE$5,2,FALSE),0)</f>
        <v>0</v>
      </c>
      <c r="BW180" s="479">
        <f t="shared" si="135"/>
        <v>0</v>
      </c>
      <c r="BX180" s="761">
        <f t="shared" si="129"/>
        <v>0</v>
      </c>
      <c r="BY180" s="477" t="s">
        <v>46</v>
      </c>
      <c r="BZ180" s="598">
        <f>IFERROR(INDEX('Early Retirement'!$BG$4:$CG$33,$BO180,$BR180),0)</f>
        <v>0</v>
      </c>
      <c r="CA180" s="759">
        <f>IFERROR(HLOOKUP($BR180,'Early Retirement'!$BH$4:$CH$5,2,FALSE),0)</f>
        <v>0</v>
      </c>
      <c r="CB180" s="598">
        <f t="shared" si="130"/>
        <v>0</v>
      </c>
      <c r="CC180" s="759" t="s">
        <v>567</v>
      </c>
      <c r="CD180" s="477" t="str">
        <f t="shared" si="106"/>
        <v>Yes</v>
      </c>
      <c r="CE180" s="479">
        <f t="shared" si="107"/>
        <v>0</v>
      </c>
      <c r="CF180" s="761">
        <f t="shared" si="108"/>
        <v>0</v>
      </c>
      <c r="CG180" s="759" t="s">
        <v>46</v>
      </c>
      <c r="CH180" s="598">
        <f t="shared" si="131"/>
        <v>0</v>
      </c>
      <c r="CI180" s="759" t="s">
        <v>567</v>
      </c>
      <c r="CJ180" s="480">
        <f t="shared" si="132"/>
        <v>0</v>
      </c>
      <c r="CK180" s="583">
        <f t="shared" si="133"/>
        <v>0</v>
      </c>
      <c r="CL180" s="596" t="s">
        <v>46</v>
      </c>
      <c r="CM180" s="581">
        <f t="shared" si="134"/>
        <v>0</v>
      </c>
      <c r="CN180" s="762" t="s">
        <v>567</v>
      </c>
      <c r="CW180" s="630"/>
      <c r="CX180" s="630"/>
      <c r="CY180" s="630"/>
      <c r="CZ180" s="630"/>
      <c r="DA180" s="630"/>
    </row>
    <row r="181" spans="2:105" s="78" customFormat="1" ht="15" customHeight="1" x14ac:dyDescent="0.25">
      <c r="B181" s="77"/>
      <c r="E181" s="77"/>
      <c r="H181" s="77"/>
      <c r="Y181" s="90">
        <v>179</v>
      </c>
      <c r="Z181" s="559" t="str">
        <f>IF(Inventory!$C188="","",VLOOKUP(Inventory!$C188,$B$3:$C$5,2,FALSE))</f>
        <v/>
      </c>
      <c r="AA181" s="559" t="str">
        <f>IF($Z181="","",IF(AND($Z181="b",Inventory!$G188=""),"",IF(AND($Z181="b",Inventory!$G188&lt;&gt;""),VLOOKUP(Inventory!$G188,$E$3:$F$10,2,FALSE),IF(AND($Z181="a",Inventory!$Z188=""),"",IF(AND($Z181="a",Inventory!$Z188&lt;&gt;""),VLOOKUP(Inventory!$Z188,$E$3:$F$10,2,FALSE),IF(AND($Z181="c",Inventory!$Z188=""),"",IF(AND($Z181="c",Inventory!$Z188&lt;&gt;""),VLOOKUP(Inventory!$Z188,$E$3:$F$10,2,FALSE),"")))))))</f>
        <v/>
      </c>
      <c r="AB181" s="559" t="str">
        <f>IF($Z181="","a",IF(AND($Z181="b",Inventory!$J188=""),"a",IF(AND($Z181="b",Inventory!$J188&lt;&gt;""),VLOOKUP(Inventory!$J188,$H$4:$I$6,2,FALSE),IF(AND($Z181="a",Inventory!$AA188=""),"a",IF(AND($Z181="a",Inventory!$AA188&lt;&gt;""),VLOOKUP(Inventory!$AA188,$H$4:$I$6,2,FALSE),IF(AND($Z181="c",Inventory!$AA188=""),"a",IF(AND($Z181="c",Inventory!$AA188&lt;&gt;""),VLOOKUP(Inventory!$AA188,$H$4:$I$6,2,FALSE),"a")))))))</f>
        <v>a</v>
      </c>
      <c r="AC181" s="559" t="str">
        <f t="shared" si="109"/>
        <v>a</v>
      </c>
      <c r="AD181" s="473" t="str">
        <f>IF($Z181="","a",IF(AND($Z181="b",Inventory!$L188=""),"a",IF(AND($Z181="b",Inventory!$L188&lt;&gt;""),VLOOKUP(Inventory!$L188,$N$4:$O$5,2,FALSE),IF(AND($Z181="a",Inventory!$AC188=""),"a",IF(AND($Z181="a",Inventory!$AC188&lt;&gt;""),VLOOKUP(Inventory!$AC188,$N$4:$O$5,2,FALSE),IF(AND($Z181="c",Inventory!$AC188=""),"a",IF(AND($Z181="c",Inventory!$AC188&lt;&gt;""),VLOOKUP(Inventory!$AC188,$N$4:$O$5,2,FALSE),"a")))))))</f>
        <v>a</v>
      </c>
      <c r="AE181" s="474">
        <f>IF(OR(Inventory!C188="New Construction",Inventory!C188="Replace-on-Burnout"),Inventory!AF188,IF(Inventory!C188="Early Retirement",MIN(Inventory!AE188,Inventory!AF188),0))</f>
        <v>0</v>
      </c>
      <c r="AF181" s="475" t="str">
        <f t="shared" si="110"/>
        <v/>
      </c>
      <c r="AG181" s="475" t="str">
        <f t="shared" si="98"/>
        <v/>
      </c>
      <c r="AH181" s="475" t="str">
        <f t="shared" si="99"/>
        <v/>
      </c>
      <c r="AI181" s="475" t="str">
        <f t="shared" si="100"/>
        <v/>
      </c>
      <c r="AJ181" s="475" t="str">
        <f t="shared" si="101"/>
        <v/>
      </c>
      <c r="AK181" s="475" t="str">
        <f t="shared" si="111"/>
        <v/>
      </c>
      <c r="AL181" s="475" t="str">
        <f t="shared" si="112"/>
        <v/>
      </c>
      <c r="AM181" s="475" t="str">
        <f t="shared" si="113"/>
        <v/>
      </c>
      <c r="AN181" s="475" t="str">
        <f t="shared" si="114"/>
        <v/>
      </c>
      <c r="AO181" s="475" t="str">
        <f t="shared" si="115"/>
        <v/>
      </c>
      <c r="AP181" s="475" t="str">
        <f t="shared" si="116"/>
        <v/>
      </c>
      <c r="AQ181" s="475" t="str">
        <f t="shared" si="117"/>
        <v/>
      </c>
      <c r="AR181" s="475" t="str">
        <f t="shared" si="118"/>
        <v/>
      </c>
      <c r="AS181" s="475" t="str">
        <f t="shared" si="119"/>
        <v/>
      </c>
      <c r="AT181" s="475" t="str">
        <f t="shared" si="120"/>
        <v/>
      </c>
      <c r="AU181" s="475" t="str">
        <f t="shared" si="121"/>
        <v/>
      </c>
      <c r="AV181" s="475" t="str">
        <f t="shared" si="102"/>
        <v/>
      </c>
      <c r="AW181" s="473">
        <f t="shared" si="103"/>
        <v>0</v>
      </c>
      <c r="AX181" s="473" t="str">
        <f>IF(AND($Z181="b",OR($AA181="a",$AA181="b"),Inventory!$I188="",$AE181&lt;(65000/12000)),"x",IF(AND($Z181="b",OR($AA181="a",$AA181="b"),Inventory!$I188&lt;&gt;"",$AE181&lt;(65000/12000)),VLOOKUP(Inventory!$I188,$V$4:$W$5,2,FALSE),"x"))</f>
        <v>x</v>
      </c>
      <c r="AY181" s="476" t="str">
        <f t="shared" si="122"/>
        <v>aaa0</v>
      </c>
      <c r="AZ181" s="477" t="str">
        <f t="shared" si="123"/>
        <v>No</v>
      </c>
      <c r="BA181" s="759" t="str">
        <f t="shared" si="124"/>
        <v>No</v>
      </c>
      <c r="BB181" s="477">
        <f>IF($Z181="c",Inventory!$AB188,Inventory!$K188)</f>
        <v>0</v>
      </c>
      <c r="BC181" s="478">
        <f>IF(AND($Z181="b",Inventory!$N188="Btu/hr"),Inventory!$M188,IF(AND($Z181="b",Inventory!$N188="Tons"),Inventory!$M188*12000,IF(AND($Z181&lt;&gt;"b",Inventory!$AK188="Btu/hr"),Inventory!$AD188,IF(AND($Z181&lt;&gt;"b",Inventory!$AK188="Tons"),Inventory!$AD188*12000,0))))</f>
        <v>0</v>
      </c>
      <c r="BD181" s="478">
        <f t="shared" si="136"/>
        <v>0</v>
      </c>
      <c r="BE181" s="479">
        <f t="shared" si="125"/>
        <v>0</v>
      </c>
      <c r="BF181" s="477" t="s">
        <v>50</v>
      </c>
      <c r="BG181" s="479">
        <f t="shared" si="104"/>
        <v>0</v>
      </c>
      <c r="BH181" s="477" t="s">
        <v>46</v>
      </c>
      <c r="BI181" s="760">
        <f>IF(AND($Z181="b",Inventory!$P188="Btu/hr"),Inventory!$O188,IF(AND($Z181="b",Inventory!$P188="Tons"),Inventory!$O188*12000,IF(AND($Z181&lt;&gt;"b",Inventory!$AM188="Btu/hr"),Inventory!$AL188,IF(AND($Z181&lt;&gt;"b",Inventory!$AM188="Tons"),Inventory!$AL188*12000,0))))</f>
        <v>0</v>
      </c>
      <c r="BJ181" s="760">
        <f t="shared" si="137"/>
        <v>0</v>
      </c>
      <c r="BK181" s="598">
        <f t="shared" si="126"/>
        <v>0</v>
      </c>
      <c r="BL181" s="759" t="s">
        <v>567</v>
      </c>
      <c r="BM181" s="477" t="str">
        <f t="shared" si="105"/>
        <v>No</v>
      </c>
      <c r="BN181" s="477" t="str">
        <f>IF(OR(Inventory!$H188="",$BM181="No"),"-",Inventory!$H188)</f>
        <v>-</v>
      </c>
      <c r="BO181" s="477" t="str">
        <f>IFERROR(VLOOKUP(BN181,'Early Retirement'!$B$6:$C$33,2,FALSE),"-")</f>
        <v>-</v>
      </c>
      <c r="BP181" s="477" t="str">
        <f>IF(Inventory!$J188="Centrifugal","Yes","No")</f>
        <v>No</v>
      </c>
      <c r="BQ181" s="477">
        <f t="shared" si="127"/>
        <v>0</v>
      </c>
      <c r="BR181" s="477" t="str">
        <f t="shared" si="128"/>
        <v>-</v>
      </c>
      <c r="BS181" s="479">
        <f>IFERROR(INDEX('Early Retirement'!$C$4:$AC$33,$BO181,$BR181),0)</f>
        <v>0</v>
      </c>
      <c r="BT181" s="477">
        <f>IFERROR(HLOOKUP($BR181,'Early Retirement'!$D$4:$AC$5,2,FALSE),0)</f>
        <v>0</v>
      </c>
      <c r="BU181" s="761">
        <f>IFERROR(INDEX('Early Retirement'!$AE$4:$BE$33,$BO181,$BR181),0)</f>
        <v>0</v>
      </c>
      <c r="BV181" s="759">
        <f>IFERROR(HLOOKUP($BR181,'Early Retirement'!$AF$4:$BE$5,2,FALSE),0)</f>
        <v>0</v>
      </c>
      <c r="BW181" s="479">
        <f t="shared" si="135"/>
        <v>0</v>
      </c>
      <c r="BX181" s="761">
        <f t="shared" si="129"/>
        <v>0</v>
      </c>
      <c r="BY181" s="477" t="s">
        <v>46</v>
      </c>
      <c r="BZ181" s="598">
        <f>IFERROR(INDEX('Early Retirement'!$BG$4:$CG$33,$BO181,$BR181),0)</f>
        <v>0</v>
      </c>
      <c r="CA181" s="759">
        <f>IFERROR(HLOOKUP($BR181,'Early Retirement'!$BH$4:$CH$5,2,FALSE),0)</f>
        <v>0</v>
      </c>
      <c r="CB181" s="598">
        <f t="shared" si="130"/>
        <v>0</v>
      </c>
      <c r="CC181" s="759" t="s">
        <v>567</v>
      </c>
      <c r="CD181" s="477" t="str">
        <f t="shared" si="106"/>
        <v>Yes</v>
      </c>
      <c r="CE181" s="479">
        <f t="shared" si="107"/>
        <v>0</v>
      </c>
      <c r="CF181" s="761">
        <f t="shared" si="108"/>
        <v>0</v>
      </c>
      <c r="CG181" s="759" t="s">
        <v>46</v>
      </c>
      <c r="CH181" s="598">
        <f t="shared" si="131"/>
        <v>0</v>
      </c>
      <c r="CI181" s="759" t="s">
        <v>567</v>
      </c>
      <c r="CJ181" s="480">
        <f t="shared" si="132"/>
        <v>0</v>
      </c>
      <c r="CK181" s="583">
        <f t="shared" si="133"/>
        <v>0</v>
      </c>
      <c r="CL181" s="596" t="s">
        <v>46</v>
      </c>
      <c r="CM181" s="581">
        <f t="shared" si="134"/>
        <v>0</v>
      </c>
      <c r="CN181" s="762" t="s">
        <v>567</v>
      </c>
      <c r="CW181" s="630"/>
      <c r="CX181" s="630"/>
      <c r="CY181" s="630"/>
      <c r="CZ181" s="630"/>
      <c r="DA181" s="630"/>
    </row>
    <row r="182" spans="2:105" s="78" customFormat="1" ht="15" customHeight="1" x14ac:dyDescent="0.25">
      <c r="B182" s="77"/>
      <c r="E182" s="77"/>
      <c r="H182" s="77"/>
      <c r="Y182" s="90">
        <v>180</v>
      </c>
      <c r="Z182" s="559" t="str">
        <f>IF(Inventory!$C189="","",VLOOKUP(Inventory!$C189,$B$3:$C$5,2,FALSE))</f>
        <v/>
      </c>
      <c r="AA182" s="559" t="str">
        <f>IF($Z182="","",IF(AND($Z182="b",Inventory!$G189=""),"",IF(AND($Z182="b",Inventory!$G189&lt;&gt;""),VLOOKUP(Inventory!$G189,$E$3:$F$10,2,FALSE),IF(AND($Z182="a",Inventory!$Z189=""),"",IF(AND($Z182="a",Inventory!$Z189&lt;&gt;""),VLOOKUP(Inventory!$Z189,$E$3:$F$10,2,FALSE),IF(AND($Z182="c",Inventory!$Z189=""),"",IF(AND($Z182="c",Inventory!$Z189&lt;&gt;""),VLOOKUP(Inventory!$Z189,$E$3:$F$10,2,FALSE),"")))))))</f>
        <v/>
      </c>
      <c r="AB182" s="559" t="str">
        <f>IF($Z182="","a",IF(AND($Z182="b",Inventory!$J189=""),"a",IF(AND($Z182="b",Inventory!$J189&lt;&gt;""),VLOOKUP(Inventory!$J189,$H$4:$I$6,2,FALSE),IF(AND($Z182="a",Inventory!$AA189=""),"a",IF(AND($Z182="a",Inventory!$AA189&lt;&gt;""),VLOOKUP(Inventory!$AA189,$H$4:$I$6,2,FALSE),IF(AND($Z182="c",Inventory!$AA189=""),"a",IF(AND($Z182="c",Inventory!$AA189&lt;&gt;""),VLOOKUP(Inventory!$AA189,$H$4:$I$6,2,FALSE),"a")))))))</f>
        <v>a</v>
      </c>
      <c r="AC182" s="559" t="str">
        <f t="shared" si="109"/>
        <v>a</v>
      </c>
      <c r="AD182" s="473" t="str">
        <f>IF($Z182="","a",IF(AND($Z182="b",Inventory!$L189=""),"a",IF(AND($Z182="b",Inventory!$L189&lt;&gt;""),VLOOKUP(Inventory!$L189,$N$4:$O$5,2,FALSE),IF(AND($Z182="a",Inventory!$AC189=""),"a",IF(AND($Z182="a",Inventory!$AC189&lt;&gt;""),VLOOKUP(Inventory!$AC189,$N$4:$O$5,2,FALSE),IF(AND($Z182="c",Inventory!$AC189=""),"a",IF(AND($Z182="c",Inventory!$AC189&lt;&gt;""),VLOOKUP(Inventory!$AC189,$N$4:$O$5,2,FALSE),"a")))))))</f>
        <v>a</v>
      </c>
      <c r="AE182" s="474">
        <f>IF(OR(Inventory!C189="New Construction",Inventory!C189="Replace-on-Burnout"),Inventory!AF189,IF(Inventory!C189="Early Retirement",MIN(Inventory!AE189,Inventory!AF189),0))</f>
        <v>0</v>
      </c>
      <c r="AF182" s="475" t="str">
        <f t="shared" si="110"/>
        <v/>
      </c>
      <c r="AG182" s="475" t="str">
        <f t="shared" si="98"/>
        <v/>
      </c>
      <c r="AH182" s="475" t="str">
        <f t="shared" si="99"/>
        <v/>
      </c>
      <c r="AI182" s="475" t="str">
        <f t="shared" si="100"/>
        <v/>
      </c>
      <c r="AJ182" s="475" t="str">
        <f t="shared" si="101"/>
        <v/>
      </c>
      <c r="AK182" s="475" t="str">
        <f t="shared" si="111"/>
        <v/>
      </c>
      <c r="AL182" s="475" t="str">
        <f t="shared" si="112"/>
        <v/>
      </c>
      <c r="AM182" s="475" t="str">
        <f t="shared" si="113"/>
        <v/>
      </c>
      <c r="AN182" s="475" t="str">
        <f t="shared" si="114"/>
        <v/>
      </c>
      <c r="AO182" s="475" t="str">
        <f t="shared" si="115"/>
        <v/>
      </c>
      <c r="AP182" s="475" t="str">
        <f t="shared" si="116"/>
        <v/>
      </c>
      <c r="AQ182" s="475" t="str">
        <f t="shared" si="117"/>
        <v/>
      </c>
      <c r="AR182" s="475" t="str">
        <f t="shared" si="118"/>
        <v/>
      </c>
      <c r="AS182" s="475" t="str">
        <f t="shared" si="119"/>
        <v/>
      </c>
      <c r="AT182" s="475" t="str">
        <f t="shared" si="120"/>
        <v/>
      </c>
      <c r="AU182" s="475" t="str">
        <f t="shared" si="121"/>
        <v/>
      </c>
      <c r="AV182" s="475" t="str">
        <f t="shared" si="102"/>
        <v/>
      </c>
      <c r="AW182" s="473">
        <f t="shared" si="103"/>
        <v>0</v>
      </c>
      <c r="AX182" s="473" t="str">
        <f>IF(AND($Z182="b",OR($AA182="a",$AA182="b"),Inventory!$I189="",$AE182&lt;(65000/12000)),"x",IF(AND($Z182="b",OR($AA182="a",$AA182="b"),Inventory!$I189&lt;&gt;"",$AE182&lt;(65000/12000)),VLOOKUP(Inventory!$I189,$V$4:$W$5,2,FALSE),"x"))</f>
        <v>x</v>
      </c>
      <c r="AY182" s="476" t="str">
        <f t="shared" si="122"/>
        <v>aaa0</v>
      </c>
      <c r="AZ182" s="477" t="str">
        <f t="shared" si="123"/>
        <v>No</v>
      </c>
      <c r="BA182" s="759" t="str">
        <f t="shared" si="124"/>
        <v>No</v>
      </c>
      <c r="BB182" s="477">
        <f>IF($Z182="c",Inventory!$AB189,Inventory!$K189)</f>
        <v>0</v>
      </c>
      <c r="BC182" s="478">
        <f>IF(AND($Z182="b",Inventory!$N189="Btu/hr"),Inventory!$M189,IF(AND($Z182="b",Inventory!$N189="Tons"),Inventory!$M189*12000,IF(AND($Z182&lt;&gt;"b",Inventory!$AK189="Btu/hr"),Inventory!$AD189,IF(AND($Z182&lt;&gt;"b",Inventory!$AK189="Tons"),Inventory!$AD189*12000,0))))</f>
        <v>0</v>
      </c>
      <c r="BD182" s="478">
        <f t="shared" si="136"/>
        <v>0</v>
      </c>
      <c r="BE182" s="479">
        <f t="shared" si="125"/>
        <v>0</v>
      </c>
      <c r="BF182" s="477" t="s">
        <v>50</v>
      </c>
      <c r="BG182" s="479">
        <f t="shared" si="104"/>
        <v>0</v>
      </c>
      <c r="BH182" s="477" t="s">
        <v>46</v>
      </c>
      <c r="BI182" s="760">
        <f>IF(AND($Z182="b",Inventory!$P189="Btu/hr"),Inventory!$O189,IF(AND($Z182="b",Inventory!$P189="Tons"),Inventory!$O189*12000,IF(AND($Z182&lt;&gt;"b",Inventory!$AM189="Btu/hr"),Inventory!$AL189,IF(AND($Z182&lt;&gt;"b",Inventory!$AM189="Tons"),Inventory!$AL189*12000,0))))</f>
        <v>0</v>
      </c>
      <c r="BJ182" s="760">
        <f t="shared" si="137"/>
        <v>0</v>
      </c>
      <c r="BK182" s="598">
        <f t="shared" si="126"/>
        <v>0</v>
      </c>
      <c r="BL182" s="759" t="s">
        <v>567</v>
      </c>
      <c r="BM182" s="477" t="str">
        <f t="shared" si="105"/>
        <v>No</v>
      </c>
      <c r="BN182" s="477" t="str">
        <f>IF(OR(Inventory!$H189="",$BM182="No"),"-",Inventory!$H189)</f>
        <v>-</v>
      </c>
      <c r="BO182" s="477" t="str">
        <f>IFERROR(VLOOKUP(BN182,'Early Retirement'!$B$6:$C$33,2,FALSE),"-")</f>
        <v>-</v>
      </c>
      <c r="BP182" s="477" t="str">
        <f>IF(Inventory!$J189="Centrifugal","Yes","No")</f>
        <v>No</v>
      </c>
      <c r="BQ182" s="477">
        <f t="shared" si="127"/>
        <v>0</v>
      </c>
      <c r="BR182" s="477" t="str">
        <f t="shared" si="128"/>
        <v>-</v>
      </c>
      <c r="BS182" s="479">
        <f>IFERROR(INDEX('Early Retirement'!$C$4:$AC$33,$BO182,$BR182),0)</f>
        <v>0</v>
      </c>
      <c r="BT182" s="477">
        <f>IFERROR(HLOOKUP($BR182,'Early Retirement'!$D$4:$AC$5,2,FALSE),0)</f>
        <v>0</v>
      </c>
      <c r="BU182" s="761">
        <f>IFERROR(INDEX('Early Retirement'!$AE$4:$BE$33,$BO182,$BR182),0)</f>
        <v>0</v>
      </c>
      <c r="BV182" s="759">
        <f>IFERROR(HLOOKUP($BR182,'Early Retirement'!$AF$4:$BE$5,2,FALSE),0)</f>
        <v>0</v>
      </c>
      <c r="BW182" s="479">
        <f t="shared" si="135"/>
        <v>0</v>
      </c>
      <c r="BX182" s="761">
        <f t="shared" si="129"/>
        <v>0</v>
      </c>
      <c r="BY182" s="477" t="s">
        <v>46</v>
      </c>
      <c r="BZ182" s="598">
        <f>IFERROR(INDEX('Early Retirement'!$BG$4:$CG$33,$BO182,$BR182),0)</f>
        <v>0</v>
      </c>
      <c r="CA182" s="759">
        <f>IFERROR(HLOOKUP($BR182,'Early Retirement'!$BH$4:$CH$5,2,FALSE),0)</f>
        <v>0</v>
      </c>
      <c r="CB182" s="598">
        <f t="shared" si="130"/>
        <v>0</v>
      </c>
      <c r="CC182" s="759" t="s">
        <v>567</v>
      </c>
      <c r="CD182" s="477" t="str">
        <f t="shared" si="106"/>
        <v>Yes</v>
      </c>
      <c r="CE182" s="479">
        <f t="shared" si="107"/>
        <v>0</v>
      </c>
      <c r="CF182" s="761">
        <f t="shared" si="108"/>
        <v>0</v>
      </c>
      <c r="CG182" s="759" t="s">
        <v>46</v>
      </c>
      <c r="CH182" s="598">
        <f t="shared" si="131"/>
        <v>0</v>
      </c>
      <c r="CI182" s="759" t="s">
        <v>567</v>
      </c>
      <c r="CJ182" s="480">
        <f t="shared" si="132"/>
        <v>0</v>
      </c>
      <c r="CK182" s="583">
        <f t="shared" si="133"/>
        <v>0</v>
      </c>
      <c r="CL182" s="596" t="s">
        <v>46</v>
      </c>
      <c r="CM182" s="581">
        <f t="shared" si="134"/>
        <v>0</v>
      </c>
      <c r="CN182" s="762" t="s">
        <v>567</v>
      </c>
      <c r="CW182" s="630"/>
      <c r="CX182" s="630"/>
      <c r="CY182" s="630"/>
      <c r="CZ182" s="630"/>
      <c r="DA182" s="630"/>
    </row>
    <row r="183" spans="2:105" s="78" customFormat="1" ht="15" customHeight="1" x14ac:dyDescent="0.25">
      <c r="B183" s="77"/>
      <c r="E183" s="77"/>
      <c r="H183" s="77"/>
      <c r="Y183" s="90">
        <v>181</v>
      </c>
      <c r="Z183" s="559" t="str">
        <f>IF(Inventory!$C190="","",VLOOKUP(Inventory!$C190,$B$3:$C$5,2,FALSE))</f>
        <v/>
      </c>
      <c r="AA183" s="559" t="str">
        <f>IF($Z183="","",IF(AND($Z183="b",Inventory!$G190=""),"",IF(AND($Z183="b",Inventory!$G190&lt;&gt;""),VLOOKUP(Inventory!$G190,$E$3:$F$10,2,FALSE),IF(AND($Z183="a",Inventory!$Z190=""),"",IF(AND($Z183="a",Inventory!$Z190&lt;&gt;""),VLOOKUP(Inventory!$Z190,$E$3:$F$10,2,FALSE),IF(AND($Z183="c",Inventory!$Z190=""),"",IF(AND($Z183="c",Inventory!$Z190&lt;&gt;""),VLOOKUP(Inventory!$Z190,$E$3:$F$10,2,FALSE),"")))))))</f>
        <v/>
      </c>
      <c r="AB183" s="559" t="str">
        <f>IF($Z183="","a",IF(AND($Z183="b",Inventory!$J190=""),"a",IF(AND($Z183="b",Inventory!$J190&lt;&gt;""),VLOOKUP(Inventory!$J190,$H$4:$I$6,2,FALSE),IF(AND($Z183="a",Inventory!$AA190=""),"a",IF(AND($Z183="a",Inventory!$AA190&lt;&gt;""),VLOOKUP(Inventory!$AA190,$H$4:$I$6,2,FALSE),IF(AND($Z183="c",Inventory!$AA190=""),"a",IF(AND($Z183="c",Inventory!$AA190&lt;&gt;""),VLOOKUP(Inventory!$AA190,$H$4:$I$6,2,FALSE),"a")))))))</f>
        <v>a</v>
      </c>
      <c r="AC183" s="559" t="str">
        <f t="shared" si="109"/>
        <v>a</v>
      </c>
      <c r="AD183" s="473" t="str">
        <f>IF($Z183="","a",IF(AND($Z183="b",Inventory!$L190=""),"a",IF(AND($Z183="b",Inventory!$L190&lt;&gt;""),VLOOKUP(Inventory!$L190,$N$4:$O$5,2,FALSE),IF(AND($Z183="a",Inventory!$AC190=""),"a",IF(AND($Z183="a",Inventory!$AC190&lt;&gt;""),VLOOKUP(Inventory!$AC190,$N$4:$O$5,2,FALSE),IF(AND($Z183="c",Inventory!$AC190=""),"a",IF(AND($Z183="c",Inventory!$AC190&lt;&gt;""),VLOOKUP(Inventory!$AC190,$N$4:$O$5,2,FALSE),"a")))))))</f>
        <v>a</v>
      </c>
      <c r="AE183" s="474">
        <f>IF(OR(Inventory!C190="New Construction",Inventory!C190="Replace-on-Burnout"),Inventory!AF190,IF(Inventory!C190="Early Retirement",MIN(Inventory!AE190,Inventory!AF190),0))</f>
        <v>0</v>
      </c>
      <c r="AF183" s="475" t="str">
        <f t="shared" si="110"/>
        <v/>
      </c>
      <c r="AG183" s="475" t="str">
        <f t="shared" si="98"/>
        <v/>
      </c>
      <c r="AH183" s="475" t="str">
        <f t="shared" si="99"/>
        <v/>
      </c>
      <c r="AI183" s="475" t="str">
        <f t="shared" si="100"/>
        <v/>
      </c>
      <c r="AJ183" s="475" t="str">
        <f t="shared" si="101"/>
        <v/>
      </c>
      <c r="AK183" s="475" t="str">
        <f t="shared" si="111"/>
        <v/>
      </c>
      <c r="AL183" s="475" t="str">
        <f t="shared" si="112"/>
        <v/>
      </c>
      <c r="AM183" s="475" t="str">
        <f t="shared" si="113"/>
        <v/>
      </c>
      <c r="AN183" s="475" t="str">
        <f t="shared" si="114"/>
        <v/>
      </c>
      <c r="AO183" s="475" t="str">
        <f t="shared" si="115"/>
        <v/>
      </c>
      <c r="AP183" s="475" t="str">
        <f t="shared" si="116"/>
        <v/>
      </c>
      <c r="AQ183" s="475" t="str">
        <f t="shared" si="117"/>
        <v/>
      </c>
      <c r="AR183" s="475" t="str">
        <f t="shared" si="118"/>
        <v/>
      </c>
      <c r="AS183" s="475" t="str">
        <f t="shared" si="119"/>
        <v/>
      </c>
      <c r="AT183" s="475" t="str">
        <f t="shared" si="120"/>
        <v/>
      </c>
      <c r="AU183" s="475" t="str">
        <f t="shared" si="121"/>
        <v/>
      </c>
      <c r="AV183" s="475" t="str">
        <f t="shared" si="102"/>
        <v/>
      </c>
      <c r="AW183" s="473">
        <f t="shared" si="103"/>
        <v>0</v>
      </c>
      <c r="AX183" s="473" t="str">
        <f>IF(AND($Z183="b",OR($AA183="a",$AA183="b"),Inventory!$I190="",$AE183&lt;(65000/12000)),"x",IF(AND($Z183="b",OR($AA183="a",$AA183="b"),Inventory!$I190&lt;&gt;"",$AE183&lt;(65000/12000)),VLOOKUP(Inventory!$I190,$V$4:$W$5,2,FALSE),"x"))</f>
        <v>x</v>
      </c>
      <c r="AY183" s="476" t="str">
        <f t="shared" si="122"/>
        <v>aaa0</v>
      </c>
      <c r="AZ183" s="477" t="str">
        <f t="shared" si="123"/>
        <v>No</v>
      </c>
      <c r="BA183" s="759" t="str">
        <f t="shared" si="124"/>
        <v>No</v>
      </c>
      <c r="BB183" s="477">
        <f>IF($Z183="c",Inventory!$AB190,Inventory!$K190)</f>
        <v>0</v>
      </c>
      <c r="BC183" s="478">
        <f>IF(AND($Z183="b",Inventory!$N190="Btu/hr"),Inventory!$M190,IF(AND($Z183="b",Inventory!$N190="Tons"),Inventory!$M190*12000,IF(AND($Z183&lt;&gt;"b",Inventory!$AK190="Btu/hr"),Inventory!$AD190,IF(AND($Z183&lt;&gt;"b",Inventory!$AK190="Tons"),Inventory!$AD190*12000,0))))</f>
        <v>0</v>
      </c>
      <c r="BD183" s="478">
        <f t="shared" si="136"/>
        <v>0</v>
      </c>
      <c r="BE183" s="479">
        <f t="shared" si="125"/>
        <v>0</v>
      </c>
      <c r="BF183" s="477" t="s">
        <v>50</v>
      </c>
      <c r="BG183" s="479">
        <f t="shared" si="104"/>
        <v>0</v>
      </c>
      <c r="BH183" s="477" t="s">
        <v>46</v>
      </c>
      <c r="BI183" s="760">
        <f>IF(AND($Z183="b",Inventory!$P190="Btu/hr"),Inventory!$O190,IF(AND($Z183="b",Inventory!$P190="Tons"),Inventory!$O190*12000,IF(AND($Z183&lt;&gt;"b",Inventory!$AM190="Btu/hr"),Inventory!$AL190,IF(AND($Z183&lt;&gt;"b",Inventory!$AM190="Tons"),Inventory!$AL190*12000,0))))</f>
        <v>0</v>
      </c>
      <c r="BJ183" s="760">
        <f t="shared" si="137"/>
        <v>0</v>
      </c>
      <c r="BK183" s="598">
        <f t="shared" si="126"/>
        <v>0</v>
      </c>
      <c r="BL183" s="759" t="s">
        <v>567</v>
      </c>
      <c r="BM183" s="477" t="str">
        <f t="shared" si="105"/>
        <v>No</v>
      </c>
      <c r="BN183" s="477" t="str">
        <f>IF(OR(Inventory!$H190="",$BM183="No"),"-",Inventory!$H190)</f>
        <v>-</v>
      </c>
      <c r="BO183" s="477" t="str">
        <f>IFERROR(VLOOKUP(BN183,'Early Retirement'!$B$6:$C$33,2,FALSE),"-")</f>
        <v>-</v>
      </c>
      <c r="BP183" s="477" t="str">
        <f>IF(Inventory!$J190="Centrifugal","Yes","No")</f>
        <v>No</v>
      </c>
      <c r="BQ183" s="477">
        <f t="shared" si="127"/>
        <v>0</v>
      </c>
      <c r="BR183" s="477" t="str">
        <f t="shared" si="128"/>
        <v>-</v>
      </c>
      <c r="BS183" s="479">
        <f>IFERROR(INDEX('Early Retirement'!$C$4:$AC$33,$BO183,$BR183),0)</f>
        <v>0</v>
      </c>
      <c r="BT183" s="477">
        <f>IFERROR(HLOOKUP($BR183,'Early Retirement'!$D$4:$AC$5,2,FALSE),0)</f>
        <v>0</v>
      </c>
      <c r="BU183" s="761">
        <f>IFERROR(INDEX('Early Retirement'!$AE$4:$BE$33,$BO183,$BR183),0)</f>
        <v>0</v>
      </c>
      <c r="BV183" s="759">
        <f>IFERROR(HLOOKUP($BR183,'Early Retirement'!$AF$4:$BE$5,2,FALSE),0)</f>
        <v>0</v>
      </c>
      <c r="BW183" s="479">
        <f t="shared" si="135"/>
        <v>0</v>
      </c>
      <c r="BX183" s="761">
        <f t="shared" si="129"/>
        <v>0</v>
      </c>
      <c r="BY183" s="477" t="s">
        <v>46</v>
      </c>
      <c r="BZ183" s="598">
        <f>IFERROR(INDEX('Early Retirement'!$BG$4:$CG$33,$BO183,$BR183),0)</f>
        <v>0</v>
      </c>
      <c r="CA183" s="759">
        <f>IFERROR(HLOOKUP($BR183,'Early Retirement'!$BH$4:$CH$5,2,FALSE),0)</f>
        <v>0</v>
      </c>
      <c r="CB183" s="598">
        <f t="shared" si="130"/>
        <v>0</v>
      </c>
      <c r="CC183" s="759" t="s">
        <v>567</v>
      </c>
      <c r="CD183" s="477" t="str">
        <f t="shared" si="106"/>
        <v>Yes</v>
      </c>
      <c r="CE183" s="479">
        <f t="shared" si="107"/>
        <v>0</v>
      </c>
      <c r="CF183" s="761">
        <f t="shared" si="108"/>
        <v>0</v>
      </c>
      <c r="CG183" s="759" t="s">
        <v>46</v>
      </c>
      <c r="CH183" s="598">
        <f t="shared" si="131"/>
        <v>0</v>
      </c>
      <c r="CI183" s="759" t="s">
        <v>567</v>
      </c>
      <c r="CJ183" s="480">
        <f t="shared" si="132"/>
        <v>0</v>
      </c>
      <c r="CK183" s="583">
        <f t="shared" si="133"/>
        <v>0</v>
      </c>
      <c r="CL183" s="596" t="s">
        <v>46</v>
      </c>
      <c r="CM183" s="581">
        <f t="shared" si="134"/>
        <v>0</v>
      </c>
      <c r="CN183" s="762" t="s">
        <v>567</v>
      </c>
      <c r="CW183" s="630"/>
      <c r="CX183" s="630"/>
      <c r="CY183" s="630"/>
      <c r="CZ183" s="630"/>
      <c r="DA183" s="630"/>
    </row>
    <row r="184" spans="2:105" s="78" customFormat="1" ht="15" customHeight="1" x14ac:dyDescent="0.25">
      <c r="B184" s="77"/>
      <c r="E184" s="77"/>
      <c r="H184" s="77"/>
      <c r="Y184" s="90">
        <v>182</v>
      </c>
      <c r="Z184" s="559" t="str">
        <f>IF(Inventory!$C191="","",VLOOKUP(Inventory!$C191,$B$3:$C$5,2,FALSE))</f>
        <v/>
      </c>
      <c r="AA184" s="559" t="str">
        <f>IF($Z184="","",IF(AND($Z184="b",Inventory!$G191=""),"",IF(AND($Z184="b",Inventory!$G191&lt;&gt;""),VLOOKUP(Inventory!$G191,$E$3:$F$10,2,FALSE),IF(AND($Z184="a",Inventory!$Z191=""),"",IF(AND($Z184="a",Inventory!$Z191&lt;&gt;""),VLOOKUP(Inventory!$Z191,$E$3:$F$10,2,FALSE),IF(AND($Z184="c",Inventory!$Z191=""),"",IF(AND($Z184="c",Inventory!$Z191&lt;&gt;""),VLOOKUP(Inventory!$Z191,$E$3:$F$10,2,FALSE),"")))))))</f>
        <v/>
      </c>
      <c r="AB184" s="559" t="str">
        <f>IF($Z184="","a",IF(AND($Z184="b",Inventory!$J191=""),"a",IF(AND($Z184="b",Inventory!$J191&lt;&gt;""),VLOOKUP(Inventory!$J191,$H$4:$I$6,2,FALSE),IF(AND($Z184="a",Inventory!$AA191=""),"a",IF(AND($Z184="a",Inventory!$AA191&lt;&gt;""),VLOOKUP(Inventory!$AA191,$H$4:$I$6,2,FALSE),IF(AND($Z184="c",Inventory!$AA191=""),"a",IF(AND($Z184="c",Inventory!$AA191&lt;&gt;""),VLOOKUP(Inventory!$AA191,$H$4:$I$6,2,FALSE),"a")))))))</f>
        <v>a</v>
      </c>
      <c r="AC184" s="559" t="str">
        <f t="shared" si="109"/>
        <v>a</v>
      </c>
      <c r="AD184" s="473" t="str">
        <f>IF($Z184="","a",IF(AND($Z184="b",Inventory!$L191=""),"a",IF(AND($Z184="b",Inventory!$L191&lt;&gt;""),VLOOKUP(Inventory!$L191,$N$4:$O$5,2,FALSE),IF(AND($Z184="a",Inventory!$AC191=""),"a",IF(AND($Z184="a",Inventory!$AC191&lt;&gt;""),VLOOKUP(Inventory!$AC191,$N$4:$O$5,2,FALSE),IF(AND($Z184="c",Inventory!$AC191=""),"a",IF(AND($Z184="c",Inventory!$AC191&lt;&gt;""),VLOOKUP(Inventory!$AC191,$N$4:$O$5,2,FALSE),"a")))))))</f>
        <v>a</v>
      </c>
      <c r="AE184" s="474">
        <f>IF(OR(Inventory!C191="New Construction",Inventory!C191="Replace-on-Burnout"),Inventory!AF191,IF(Inventory!C191="Early Retirement",MIN(Inventory!AE191,Inventory!AF191),0))</f>
        <v>0</v>
      </c>
      <c r="AF184" s="475" t="str">
        <f t="shared" si="110"/>
        <v/>
      </c>
      <c r="AG184" s="475" t="str">
        <f t="shared" si="98"/>
        <v/>
      </c>
      <c r="AH184" s="475" t="str">
        <f t="shared" si="99"/>
        <v/>
      </c>
      <c r="AI184" s="475" t="str">
        <f t="shared" si="100"/>
        <v/>
      </c>
      <c r="AJ184" s="475" t="str">
        <f t="shared" si="101"/>
        <v/>
      </c>
      <c r="AK184" s="475" t="str">
        <f t="shared" si="111"/>
        <v/>
      </c>
      <c r="AL184" s="475" t="str">
        <f t="shared" si="112"/>
        <v/>
      </c>
      <c r="AM184" s="475" t="str">
        <f t="shared" si="113"/>
        <v/>
      </c>
      <c r="AN184" s="475" t="str">
        <f t="shared" si="114"/>
        <v/>
      </c>
      <c r="AO184" s="475" t="str">
        <f t="shared" si="115"/>
        <v/>
      </c>
      <c r="AP184" s="475" t="str">
        <f t="shared" si="116"/>
        <v/>
      </c>
      <c r="AQ184" s="475" t="str">
        <f t="shared" si="117"/>
        <v/>
      </c>
      <c r="AR184" s="475" t="str">
        <f t="shared" si="118"/>
        <v/>
      </c>
      <c r="AS184" s="475" t="str">
        <f t="shared" si="119"/>
        <v/>
      </c>
      <c r="AT184" s="475" t="str">
        <f t="shared" si="120"/>
        <v/>
      </c>
      <c r="AU184" s="475" t="str">
        <f t="shared" si="121"/>
        <v/>
      </c>
      <c r="AV184" s="475" t="str">
        <f t="shared" si="102"/>
        <v/>
      </c>
      <c r="AW184" s="473">
        <f t="shared" si="103"/>
        <v>0</v>
      </c>
      <c r="AX184" s="473" t="str">
        <f>IF(AND($Z184="b",OR($AA184="a",$AA184="b"),Inventory!$I191="",$AE184&lt;(65000/12000)),"x",IF(AND($Z184="b",OR($AA184="a",$AA184="b"),Inventory!$I191&lt;&gt;"",$AE184&lt;(65000/12000)),VLOOKUP(Inventory!$I191,$V$4:$W$5,2,FALSE),"x"))</f>
        <v>x</v>
      </c>
      <c r="AY184" s="476" t="str">
        <f t="shared" si="122"/>
        <v>aaa0</v>
      </c>
      <c r="AZ184" s="477" t="str">
        <f t="shared" si="123"/>
        <v>No</v>
      </c>
      <c r="BA184" s="759" t="str">
        <f t="shared" si="124"/>
        <v>No</v>
      </c>
      <c r="BB184" s="477">
        <f>IF($Z184="c",Inventory!$AB191,Inventory!$K191)</f>
        <v>0</v>
      </c>
      <c r="BC184" s="478">
        <f>IF(AND($Z184="b",Inventory!$N191="Btu/hr"),Inventory!$M191,IF(AND($Z184="b",Inventory!$N191="Tons"),Inventory!$M191*12000,IF(AND($Z184&lt;&gt;"b",Inventory!$AK191="Btu/hr"),Inventory!$AD191,IF(AND($Z184&lt;&gt;"b",Inventory!$AK191="Tons"),Inventory!$AD191*12000,0))))</f>
        <v>0</v>
      </c>
      <c r="BD184" s="478">
        <f t="shared" si="136"/>
        <v>0</v>
      </c>
      <c r="BE184" s="479">
        <f t="shared" si="125"/>
        <v>0</v>
      </c>
      <c r="BF184" s="477" t="s">
        <v>50</v>
      </c>
      <c r="BG184" s="479">
        <f t="shared" si="104"/>
        <v>0</v>
      </c>
      <c r="BH184" s="477" t="s">
        <v>46</v>
      </c>
      <c r="BI184" s="760">
        <f>IF(AND($Z184="b",Inventory!$P191="Btu/hr"),Inventory!$O191,IF(AND($Z184="b",Inventory!$P191="Tons"),Inventory!$O191*12000,IF(AND($Z184&lt;&gt;"b",Inventory!$AM191="Btu/hr"),Inventory!$AL191,IF(AND($Z184&lt;&gt;"b",Inventory!$AM191="Tons"),Inventory!$AL191*12000,0))))</f>
        <v>0</v>
      </c>
      <c r="BJ184" s="760">
        <f t="shared" si="137"/>
        <v>0</v>
      </c>
      <c r="BK184" s="598">
        <f t="shared" si="126"/>
        <v>0</v>
      </c>
      <c r="BL184" s="759" t="s">
        <v>567</v>
      </c>
      <c r="BM184" s="477" t="str">
        <f t="shared" si="105"/>
        <v>No</v>
      </c>
      <c r="BN184" s="477" t="str">
        <f>IF(OR(Inventory!$H191="",$BM184="No"),"-",Inventory!$H191)</f>
        <v>-</v>
      </c>
      <c r="BO184" s="477" t="str">
        <f>IFERROR(VLOOKUP(BN184,'Early Retirement'!$B$6:$C$33,2,FALSE),"-")</f>
        <v>-</v>
      </c>
      <c r="BP184" s="477" t="str">
        <f>IF(Inventory!$J191="Centrifugal","Yes","No")</f>
        <v>No</v>
      </c>
      <c r="BQ184" s="477">
        <f t="shared" si="127"/>
        <v>0</v>
      </c>
      <c r="BR184" s="477" t="str">
        <f t="shared" si="128"/>
        <v>-</v>
      </c>
      <c r="BS184" s="479">
        <f>IFERROR(INDEX('Early Retirement'!$C$4:$AC$33,$BO184,$BR184),0)</f>
        <v>0</v>
      </c>
      <c r="BT184" s="477">
        <f>IFERROR(HLOOKUP($BR184,'Early Retirement'!$D$4:$AC$5,2,FALSE),0)</f>
        <v>0</v>
      </c>
      <c r="BU184" s="761">
        <f>IFERROR(INDEX('Early Retirement'!$AE$4:$BE$33,$BO184,$BR184),0)</f>
        <v>0</v>
      </c>
      <c r="BV184" s="759">
        <f>IFERROR(HLOOKUP($BR184,'Early Retirement'!$AF$4:$BE$5,2,FALSE),0)</f>
        <v>0</v>
      </c>
      <c r="BW184" s="479">
        <f t="shared" si="135"/>
        <v>0</v>
      </c>
      <c r="BX184" s="761">
        <f t="shared" si="129"/>
        <v>0</v>
      </c>
      <c r="BY184" s="477" t="s">
        <v>46</v>
      </c>
      <c r="BZ184" s="598">
        <f>IFERROR(INDEX('Early Retirement'!$BG$4:$CG$33,$BO184,$BR184),0)</f>
        <v>0</v>
      </c>
      <c r="CA184" s="759">
        <f>IFERROR(HLOOKUP($BR184,'Early Retirement'!$BH$4:$CH$5,2,FALSE),0)</f>
        <v>0</v>
      </c>
      <c r="CB184" s="598">
        <f t="shared" si="130"/>
        <v>0</v>
      </c>
      <c r="CC184" s="759" t="s">
        <v>567</v>
      </c>
      <c r="CD184" s="477" t="str">
        <f t="shared" si="106"/>
        <v>Yes</v>
      </c>
      <c r="CE184" s="479">
        <f t="shared" si="107"/>
        <v>0</v>
      </c>
      <c r="CF184" s="761">
        <f t="shared" si="108"/>
        <v>0</v>
      </c>
      <c r="CG184" s="759" t="s">
        <v>46</v>
      </c>
      <c r="CH184" s="598">
        <f t="shared" si="131"/>
        <v>0</v>
      </c>
      <c r="CI184" s="759" t="s">
        <v>567</v>
      </c>
      <c r="CJ184" s="480">
        <f t="shared" si="132"/>
        <v>0</v>
      </c>
      <c r="CK184" s="583">
        <f t="shared" si="133"/>
        <v>0</v>
      </c>
      <c r="CL184" s="596" t="s">
        <v>46</v>
      </c>
      <c r="CM184" s="581">
        <f t="shared" si="134"/>
        <v>0</v>
      </c>
      <c r="CN184" s="762" t="s">
        <v>567</v>
      </c>
      <c r="CW184" s="630"/>
      <c r="CX184" s="630"/>
      <c r="CY184" s="630"/>
      <c r="CZ184" s="630"/>
      <c r="DA184" s="630"/>
    </row>
    <row r="185" spans="2:105" s="78" customFormat="1" ht="15" customHeight="1" x14ac:dyDescent="0.25">
      <c r="B185" s="77"/>
      <c r="E185" s="77"/>
      <c r="H185" s="77"/>
      <c r="Y185" s="90">
        <v>183</v>
      </c>
      <c r="Z185" s="559" t="str">
        <f>IF(Inventory!$C192="","",VLOOKUP(Inventory!$C192,$B$3:$C$5,2,FALSE))</f>
        <v/>
      </c>
      <c r="AA185" s="559" t="str">
        <f>IF($Z185="","",IF(AND($Z185="b",Inventory!$G192=""),"",IF(AND($Z185="b",Inventory!$G192&lt;&gt;""),VLOOKUP(Inventory!$G192,$E$3:$F$10,2,FALSE),IF(AND($Z185="a",Inventory!$Z192=""),"",IF(AND($Z185="a",Inventory!$Z192&lt;&gt;""),VLOOKUP(Inventory!$Z192,$E$3:$F$10,2,FALSE),IF(AND($Z185="c",Inventory!$Z192=""),"",IF(AND($Z185="c",Inventory!$Z192&lt;&gt;""),VLOOKUP(Inventory!$Z192,$E$3:$F$10,2,FALSE),"")))))))</f>
        <v/>
      </c>
      <c r="AB185" s="559" t="str">
        <f>IF($Z185="","a",IF(AND($Z185="b",Inventory!$J192=""),"a",IF(AND($Z185="b",Inventory!$J192&lt;&gt;""),VLOOKUP(Inventory!$J192,$H$4:$I$6,2,FALSE),IF(AND($Z185="a",Inventory!$AA192=""),"a",IF(AND($Z185="a",Inventory!$AA192&lt;&gt;""),VLOOKUP(Inventory!$AA192,$H$4:$I$6,2,FALSE),IF(AND($Z185="c",Inventory!$AA192=""),"a",IF(AND($Z185="c",Inventory!$AA192&lt;&gt;""),VLOOKUP(Inventory!$AA192,$H$4:$I$6,2,FALSE),"a")))))))</f>
        <v>a</v>
      </c>
      <c r="AC185" s="559" t="str">
        <f t="shared" si="109"/>
        <v>a</v>
      </c>
      <c r="AD185" s="473" t="str">
        <f>IF($Z185="","a",IF(AND($Z185="b",Inventory!$L192=""),"a",IF(AND($Z185="b",Inventory!$L192&lt;&gt;""),VLOOKUP(Inventory!$L192,$N$4:$O$5,2,FALSE),IF(AND($Z185="a",Inventory!$AC192=""),"a",IF(AND($Z185="a",Inventory!$AC192&lt;&gt;""),VLOOKUP(Inventory!$AC192,$N$4:$O$5,2,FALSE),IF(AND($Z185="c",Inventory!$AC192=""),"a",IF(AND($Z185="c",Inventory!$AC192&lt;&gt;""),VLOOKUP(Inventory!$AC192,$N$4:$O$5,2,FALSE),"a")))))))</f>
        <v>a</v>
      </c>
      <c r="AE185" s="474">
        <f>IF(OR(Inventory!C192="New Construction",Inventory!C192="Replace-on-Burnout"),Inventory!AF192,IF(Inventory!C192="Early Retirement",MIN(Inventory!AE192,Inventory!AF192),0))</f>
        <v>0</v>
      </c>
      <c r="AF185" s="475" t="str">
        <f t="shared" si="110"/>
        <v/>
      </c>
      <c r="AG185" s="475" t="str">
        <f t="shared" si="98"/>
        <v/>
      </c>
      <c r="AH185" s="475" t="str">
        <f t="shared" si="99"/>
        <v/>
      </c>
      <c r="AI185" s="475" t="str">
        <f t="shared" si="100"/>
        <v/>
      </c>
      <c r="AJ185" s="475" t="str">
        <f t="shared" si="101"/>
        <v/>
      </c>
      <c r="AK185" s="475" t="str">
        <f t="shared" si="111"/>
        <v/>
      </c>
      <c r="AL185" s="475" t="str">
        <f t="shared" si="112"/>
        <v/>
      </c>
      <c r="AM185" s="475" t="str">
        <f t="shared" si="113"/>
        <v/>
      </c>
      <c r="AN185" s="475" t="str">
        <f t="shared" si="114"/>
        <v/>
      </c>
      <c r="AO185" s="475" t="str">
        <f t="shared" si="115"/>
        <v/>
      </c>
      <c r="AP185" s="475" t="str">
        <f t="shared" si="116"/>
        <v/>
      </c>
      <c r="AQ185" s="475" t="str">
        <f t="shared" si="117"/>
        <v/>
      </c>
      <c r="AR185" s="475" t="str">
        <f t="shared" si="118"/>
        <v/>
      </c>
      <c r="AS185" s="475" t="str">
        <f t="shared" si="119"/>
        <v/>
      </c>
      <c r="AT185" s="475" t="str">
        <f t="shared" si="120"/>
        <v/>
      </c>
      <c r="AU185" s="475" t="str">
        <f t="shared" si="121"/>
        <v/>
      </c>
      <c r="AV185" s="475" t="str">
        <f t="shared" si="102"/>
        <v/>
      </c>
      <c r="AW185" s="473">
        <f t="shared" si="103"/>
        <v>0</v>
      </c>
      <c r="AX185" s="473" t="str">
        <f>IF(AND($Z185="b",OR($AA185="a",$AA185="b"),Inventory!$I192="",$AE185&lt;(65000/12000)),"x",IF(AND($Z185="b",OR($AA185="a",$AA185="b"),Inventory!$I192&lt;&gt;"",$AE185&lt;(65000/12000)),VLOOKUP(Inventory!$I192,$V$4:$W$5,2,FALSE),"x"))</f>
        <v>x</v>
      </c>
      <c r="AY185" s="476" t="str">
        <f t="shared" si="122"/>
        <v>aaa0</v>
      </c>
      <c r="AZ185" s="477" t="str">
        <f t="shared" si="123"/>
        <v>No</v>
      </c>
      <c r="BA185" s="759" t="str">
        <f t="shared" si="124"/>
        <v>No</v>
      </c>
      <c r="BB185" s="477">
        <f>IF($Z185="c",Inventory!$AB192,Inventory!$K192)</f>
        <v>0</v>
      </c>
      <c r="BC185" s="478">
        <f>IF(AND($Z185="b",Inventory!$N192="Btu/hr"),Inventory!$M192,IF(AND($Z185="b",Inventory!$N192="Tons"),Inventory!$M192*12000,IF(AND($Z185&lt;&gt;"b",Inventory!$AK192="Btu/hr"),Inventory!$AD192,IF(AND($Z185&lt;&gt;"b",Inventory!$AK192="Tons"),Inventory!$AD192*12000,0))))</f>
        <v>0</v>
      </c>
      <c r="BD185" s="478">
        <f t="shared" si="136"/>
        <v>0</v>
      </c>
      <c r="BE185" s="479">
        <f t="shared" si="125"/>
        <v>0</v>
      </c>
      <c r="BF185" s="477" t="s">
        <v>50</v>
      </c>
      <c r="BG185" s="479">
        <f t="shared" si="104"/>
        <v>0</v>
      </c>
      <c r="BH185" s="477" t="s">
        <v>46</v>
      </c>
      <c r="BI185" s="760">
        <f>IF(AND($Z185="b",Inventory!$P192="Btu/hr"),Inventory!$O192,IF(AND($Z185="b",Inventory!$P192="Tons"),Inventory!$O192*12000,IF(AND($Z185&lt;&gt;"b",Inventory!$AM192="Btu/hr"),Inventory!$AL192,IF(AND($Z185&lt;&gt;"b",Inventory!$AM192="Tons"),Inventory!$AL192*12000,0))))</f>
        <v>0</v>
      </c>
      <c r="BJ185" s="760">
        <f t="shared" si="137"/>
        <v>0</v>
      </c>
      <c r="BK185" s="598">
        <f t="shared" si="126"/>
        <v>0</v>
      </c>
      <c r="BL185" s="759" t="s">
        <v>567</v>
      </c>
      <c r="BM185" s="477" t="str">
        <f t="shared" si="105"/>
        <v>No</v>
      </c>
      <c r="BN185" s="477" t="str">
        <f>IF(OR(Inventory!$H192="",$BM185="No"),"-",Inventory!$H192)</f>
        <v>-</v>
      </c>
      <c r="BO185" s="477" t="str">
        <f>IFERROR(VLOOKUP(BN185,'Early Retirement'!$B$6:$C$33,2,FALSE),"-")</f>
        <v>-</v>
      </c>
      <c r="BP185" s="477" t="str">
        <f>IF(Inventory!$J192="Centrifugal","Yes","No")</f>
        <v>No</v>
      </c>
      <c r="BQ185" s="477">
        <f t="shared" si="127"/>
        <v>0</v>
      </c>
      <c r="BR185" s="477" t="str">
        <f t="shared" si="128"/>
        <v>-</v>
      </c>
      <c r="BS185" s="479">
        <f>IFERROR(INDEX('Early Retirement'!$C$4:$AC$33,$BO185,$BR185),0)</f>
        <v>0</v>
      </c>
      <c r="BT185" s="477">
        <f>IFERROR(HLOOKUP($BR185,'Early Retirement'!$D$4:$AC$5,2,FALSE),0)</f>
        <v>0</v>
      </c>
      <c r="BU185" s="761">
        <f>IFERROR(INDEX('Early Retirement'!$AE$4:$BE$33,$BO185,$BR185),0)</f>
        <v>0</v>
      </c>
      <c r="BV185" s="759">
        <f>IFERROR(HLOOKUP($BR185,'Early Retirement'!$AF$4:$BE$5,2,FALSE),0)</f>
        <v>0</v>
      </c>
      <c r="BW185" s="479">
        <f t="shared" si="135"/>
        <v>0</v>
      </c>
      <c r="BX185" s="761">
        <f t="shared" si="129"/>
        <v>0</v>
      </c>
      <c r="BY185" s="477" t="s">
        <v>46</v>
      </c>
      <c r="BZ185" s="598">
        <f>IFERROR(INDEX('Early Retirement'!$BG$4:$CG$33,$BO185,$BR185),0)</f>
        <v>0</v>
      </c>
      <c r="CA185" s="759">
        <f>IFERROR(HLOOKUP($BR185,'Early Retirement'!$BH$4:$CH$5,2,FALSE),0)</f>
        <v>0</v>
      </c>
      <c r="CB185" s="598">
        <f t="shared" si="130"/>
        <v>0</v>
      </c>
      <c r="CC185" s="759" t="s">
        <v>567</v>
      </c>
      <c r="CD185" s="477" t="str">
        <f t="shared" si="106"/>
        <v>Yes</v>
      </c>
      <c r="CE185" s="479">
        <f t="shared" si="107"/>
        <v>0</v>
      </c>
      <c r="CF185" s="761">
        <f t="shared" si="108"/>
        <v>0</v>
      </c>
      <c r="CG185" s="759" t="s">
        <v>46</v>
      </c>
      <c r="CH185" s="598">
        <f t="shared" si="131"/>
        <v>0</v>
      </c>
      <c r="CI185" s="759" t="s">
        <v>567</v>
      </c>
      <c r="CJ185" s="480">
        <f t="shared" si="132"/>
        <v>0</v>
      </c>
      <c r="CK185" s="583">
        <f t="shared" si="133"/>
        <v>0</v>
      </c>
      <c r="CL185" s="596" t="s">
        <v>46</v>
      </c>
      <c r="CM185" s="581">
        <f t="shared" si="134"/>
        <v>0</v>
      </c>
      <c r="CN185" s="762" t="s">
        <v>567</v>
      </c>
      <c r="CW185" s="630"/>
      <c r="CX185" s="630"/>
      <c r="CY185" s="630"/>
      <c r="CZ185" s="630"/>
      <c r="DA185" s="630"/>
    </row>
    <row r="186" spans="2:105" s="78" customFormat="1" ht="15" customHeight="1" x14ac:dyDescent="0.25">
      <c r="B186" s="77"/>
      <c r="E186" s="77"/>
      <c r="H186" s="77"/>
      <c r="Y186" s="90">
        <v>184</v>
      </c>
      <c r="Z186" s="559" t="str">
        <f>IF(Inventory!$C193="","",VLOOKUP(Inventory!$C193,$B$3:$C$5,2,FALSE))</f>
        <v/>
      </c>
      <c r="AA186" s="559" t="str">
        <f>IF($Z186="","",IF(AND($Z186="b",Inventory!$G193=""),"",IF(AND($Z186="b",Inventory!$G193&lt;&gt;""),VLOOKUP(Inventory!$G193,$E$3:$F$10,2,FALSE),IF(AND($Z186="a",Inventory!$Z193=""),"",IF(AND($Z186="a",Inventory!$Z193&lt;&gt;""),VLOOKUP(Inventory!$Z193,$E$3:$F$10,2,FALSE),IF(AND($Z186="c",Inventory!$Z193=""),"",IF(AND($Z186="c",Inventory!$Z193&lt;&gt;""),VLOOKUP(Inventory!$Z193,$E$3:$F$10,2,FALSE),"")))))))</f>
        <v/>
      </c>
      <c r="AB186" s="559" t="str">
        <f>IF($Z186="","a",IF(AND($Z186="b",Inventory!$J193=""),"a",IF(AND($Z186="b",Inventory!$J193&lt;&gt;""),VLOOKUP(Inventory!$J193,$H$4:$I$6,2,FALSE),IF(AND($Z186="a",Inventory!$AA193=""),"a",IF(AND($Z186="a",Inventory!$AA193&lt;&gt;""),VLOOKUP(Inventory!$AA193,$H$4:$I$6,2,FALSE),IF(AND($Z186="c",Inventory!$AA193=""),"a",IF(AND($Z186="c",Inventory!$AA193&lt;&gt;""),VLOOKUP(Inventory!$AA193,$H$4:$I$6,2,FALSE),"a")))))))</f>
        <v>a</v>
      </c>
      <c r="AC186" s="559" t="str">
        <f t="shared" si="109"/>
        <v>a</v>
      </c>
      <c r="AD186" s="473" t="str">
        <f>IF($Z186="","a",IF(AND($Z186="b",Inventory!$L193=""),"a",IF(AND($Z186="b",Inventory!$L193&lt;&gt;""),VLOOKUP(Inventory!$L193,$N$4:$O$5,2,FALSE),IF(AND($Z186="a",Inventory!$AC193=""),"a",IF(AND($Z186="a",Inventory!$AC193&lt;&gt;""),VLOOKUP(Inventory!$AC193,$N$4:$O$5,2,FALSE),IF(AND($Z186="c",Inventory!$AC193=""),"a",IF(AND($Z186="c",Inventory!$AC193&lt;&gt;""),VLOOKUP(Inventory!$AC193,$N$4:$O$5,2,FALSE),"a")))))))</f>
        <v>a</v>
      </c>
      <c r="AE186" s="474">
        <f>IF(OR(Inventory!C193="New Construction",Inventory!C193="Replace-on-Burnout"),Inventory!AF193,IF(Inventory!C193="Early Retirement",MIN(Inventory!AE193,Inventory!AF193),0))</f>
        <v>0</v>
      </c>
      <c r="AF186" s="475" t="str">
        <f t="shared" si="110"/>
        <v/>
      </c>
      <c r="AG186" s="475" t="str">
        <f t="shared" si="98"/>
        <v/>
      </c>
      <c r="AH186" s="475" t="str">
        <f t="shared" si="99"/>
        <v/>
      </c>
      <c r="AI186" s="475" t="str">
        <f t="shared" si="100"/>
        <v/>
      </c>
      <c r="AJ186" s="475" t="str">
        <f t="shared" si="101"/>
        <v/>
      </c>
      <c r="AK186" s="475" t="str">
        <f t="shared" si="111"/>
        <v/>
      </c>
      <c r="AL186" s="475" t="str">
        <f t="shared" si="112"/>
        <v/>
      </c>
      <c r="AM186" s="475" t="str">
        <f t="shared" si="113"/>
        <v/>
      </c>
      <c r="AN186" s="475" t="str">
        <f t="shared" si="114"/>
        <v/>
      </c>
      <c r="AO186" s="475" t="str">
        <f t="shared" si="115"/>
        <v/>
      </c>
      <c r="AP186" s="475" t="str">
        <f t="shared" si="116"/>
        <v/>
      </c>
      <c r="AQ186" s="475" t="str">
        <f t="shared" si="117"/>
        <v/>
      </c>
      <c r="AR186" s="475" t="str">
        <f t="shared" si="118"/>
        <v/>
      </c>
      <c r="AS186" s="475" t="str">
        <f t="shared" si="119"/>
        <v/>
      </c>
      <c r="AT186" s="475" t="str">
        <f t="shared" si="120"/>
        <v/>
      </c>
      <c r="AU186" s="475" t="str">
        <f t="shared" si="121"/>
        <v/>
      </c>
      <c r="AV186" s="475" t="str">
        <f t="shared" si="102"/>
        <v/>
      </c>
      <c r="AW186" s="473">
        <f t="shared" si="103"/>
        <v>0</v>
      </c>
      <c r="AX186" s="473" t="str">
        <f>IF(AND($Z186="b",OR($AA186="a",$AA186="b"),Inventory!$I193="",$AE186&lt;(65000/12000)),"x",IF(AND($Z186="b",OR($AA186="a",$AA186="b"),Inventory!$I193&lt;&gt;"",$AE186&lt;(65000/12000)),VLOOKUP(Inventory!$I193,$V$4:$W$5,2,FALSE),"x"))</f>
        <v>x</v>
      </c>
      <c r="AY186" s="476" t="str">
        <f t="shared" si="122"/>
        <v>aaa0</v>
      </c>
      <c r="AZ186" s="477" t="str">
        <f t="shared" si="123"/>
        <v>No</v>
      </c>
      <c r="BA186" s="759" t="str">
        <f t="shared" si="124"/>
        <v>No</v>
      </c>
      <c r="BB186" s="477">
        <f>IF($Z186="c",Inventory!$AB193,Inventory!$K193)</f>
        <v>0</v>
      </c>
      <c r="BC186" s="478">
        <f>IF(AND($Z186="b",Inventory!$N193="Btu/hr"),Inventory!$M193,IF(AND($Z186="b",Inventory!$N193="Tons"),Inventory!$M193*12000,IF(AND($Z186&lt;&gt;"b",Inventory!$AK193="Btu/hr"),Inventory!$AD193,IF(AND($Z186&lt;&gt;"b",Inventory!$AK193="Tons"),Inventory!$AD193*12000,0))))</f>
        <v>0</v>
      </c>
      <c r="BD186" s="478">
        <f t="shared" si="136"/>
        <v>0</v>
      </c>
      <c r="BE186" s="479">
        <f t="shared" si="125"/>
        <v>0</v>
      </c>
      <c r="BF186" s="477" t="s">
        <v>50</v>
      </c>
      <c r="BG186" s="479">
        <f t="shared" si="104"/>
        <v>0</v>
      </c>
      <c r="BH186" s="477" t="s">
        <v>46</v>
      </c>
      <c r="BI186" s="760">
        <f>IF(AND($Z186="b",Inventory!$P193="Btu/hr"),Inventory!$O193,IF(AND($Z186="b",Inventory!$P193="Tons"),Inventory!$O193*12000,IF(AND($Z186&lt;&gt;"b",Inventory!$AM193="Btu/hr"),Inventory!$AL193,IF(AND($Z186&lt;&gt;"b",Inventory!$AM193="Tons"),Inventory!$AL193*12000,0))))</f>
        <v>0</v>
      </c>
      <c r="BJ186" s="760">
        <f t="shared" si="137"/>
        <v>0</v>
      </c>
      <c r="BK186" s="598">
        <f t="shared" si="126"/>
        <v>0</v>
      </c>
      <c r="BL186" s="759" t="s">
        <v>567</v>
      </c>
      <c r="BM186" s="477" t="str">
        <f t="shared" si="105"/>
        <v>No</v>
      </c>
      <c r="BN186" s="477" t="str">
        <f>IF(OR(Inventory!$H193="",$BM186="No"),"-",Inventory!$H193)</f>
        <v>-</v>
      </c>
      <c r="BO186" s="477" t="str">
        <f>IFERROR(VLOOKUP(BN186,'Early Retirement'!$B$6:$C$33,2,FALSE),"-")</f>
        <v>-</v>
      </c>
      <c r="BP186" s="477" t="str">
        <f>IF(Inventory!$J193="Centrifugal","Yes","No")</f>
        <v>No</v>
      </c>
      <c r="BQ186" s="477">
        <f t="shared" si="127"/>
        <v>0</v>
      </c>
      <c r="BR186" s="477" t="str">
        <f t="shared" si="128"/>
        <v>-</v>
      </c>
      <c r="BS186" s="479">
        <f>IFERROR(INDEX('Early Retirement'!$C$4:$AC$33,$BO186,$BR186),0)</f>
        <v>0</v>
      </c>
      <c r="BT186" s="477">
        <f>IFERROR(HLOOKUP($BR186,'Early Retirement'!$D$4:$AC$5,2,FALSE),0)</f>
        <v>0</v>
      </c>
      <c r="BU186" s="761">
        <f>IFERROR(INDEX('Early Retirement'!$AE$4:$BE$33,$BO186,$BR186),0)</f>
        <v>0</v>
      </c>
      <c r="BV186" s="759">
        <f>IFERROR(HLOOKUP($BR186,'Early Retirement'!$AF$4:$BE$5,2,FALSE),0)</f>
        <v>0</v>
      </c>
      <c r="BW186" s="479">
        <f t="shared" si="135"/>
        <v>0</v>
      </c>
      <c r="BX186" s="761">
        <f t="shared" si="129"/>
        <v>0</v>
      </c>
      <c r="BY186" s="477" t="s">
        <v>46</v>
      </c>
      <c r="BZ186" s="598">
        <f>IFERROR(INDEX('Early Retirement'!$BG$4:$CG$33,$BO186,$BR186),0)</f>
        <v>0</v>
      </c>
      <c r="CA186" s="759">
        <f>IFERROR(HLOOKUP($BR186,'Early Retirement'!$BH$4:$CH$5,2,FALSE),0)</f>
        <v>0</v>
      </c>
      <c r="CB186" s="598">
        <f t="shared" si="130"/>
        <v>0</v>
      </c>
      <c r="CC186" s="759" t="s">
        <v>567</v>
      </c>
      <c r="CD186" s="477" t="str">
        <f t="shared" si="106"/>
        <v>Yes</v>
      </c>
      <c r="CE186" s="479">
        <f t="shared" si="107"/>
        <v>0</v>
      </c>
      <c r="CF186" s="761">
        <f t="shared" si="108"/>
        <v>0</v>
      </c>
      <c r="CG186" s="759" t="s">
        <v>46</v>
      </c>
      <c r="CH186" s="598">
        <f t="shared" si="131"/>
        <v>0</v>
      </c>
      <c r="CI186" s="759" t="s">
        <v>567</v>
      </c>
      <c r="CJ186" s="480">
        <f t="shared" si="132"/>
        <v>0</v>
      </c>
      <c r="CK186" s="583">
        <f t="shared" si="133"/>
        <v>0</v>
      </c>
      <c r="CL186" s="596" t="s">
        <v>46</v>
      </c>
      <c r="CM186" s="581">
        <f t="shared" si="134"/>
        <v>0</v>
      </c>
      <c r="CN186" s="762" t="s">
        <v>567</v>
      </c>
      <c r="CW186" s="630"/>
      <c r="CX186" s="630"/>
      <c r="CY186" s="630"/>
      <c r="CZ186" s="630"/>
      <c r="DA186" s="630"/>
    </row>
    <row r="187" spans="2:105" s="78" customFormat="1" ht="15" customHeight="1" x14ac:dyDescent="0.25">
      <c r="B187" s="77"/>
      <c r="E187" s="77"/>
      <c r="H187" s="77"/>
      <c r="Y187" s="90">
        <v>185</v>
      </c>
      <c r="Z187" s="559" t="str">
        <f>IF(Inventory!$C194="","",VLOOKUP(Inventory!$C194,$B$3:$C$5,2,FALSE))</f>
        <v/>
      </c>
      <c r="AA187" s="559" t="str">
        <f>IF($Z187="","",IF(AND($Z187="b",Inventory!$G194=""),"",IF(AND($Z187="b",Inventory!$G194&lt;&gt;""),VLOOKUP(Inventory!$G194,$E$3:$F$10,2,FALSE),IF(AND($Z187="a",Inventory!$Z194=""),"",IF(AND($Z187="a",Inventory!$Z194&lt;&gt;""),VLOOKUP(Inventory!$Z194,$E$3:$F$10,2,FALSE),IF(AND($Z187="c",Inventory!$Z194=""),"",IF(AND($Z187="c",Inventory!$Z194&lt;&gt;""),VLOOKUP(Inventory!$Z194,$E$3:$F$10,2,FALSE),"")))))))</f>
        <v/>
      </c>
      <c r="AB187" s="559" t="str">
        <f>IF($Z187="","a",IF(AND($Z187="b",Inventory!$J194=""),"a",IF(AND($Z187="b",Inventory!$J194&lt;&gt;""),VLOOKUP(Inventory!$J194,$H$4:$I$6,2,FALSE),IF(AND($Z187="a",Inventory!$AA194=""),"a",IF(AND($Z187="a",Inventory!$AA194&lt;&gt;""),VLOOKUP(Inventory!$AA194,$H$4:$I$6,2,FALSE),IF(AND($Z187="c",Inventory!$AA194=""),"a",IF(AND($Z187="c",Inventory!$AA194&lt;&gt;""),VLOOKUP(Inventory!$AA194,$H$4:$I$6,2,FALSE),"a")))))))</f>
        <v>a</v>
      </c>
      <c r="AC187" s="559" t="str">
        <f t="shared" si="109"/>
        <v>a</v>
      </c>
      <c r="AD187" s="473" t="str">
        <f>IF($Z187="","a",IF(AND($Z187="b",Inventory!$L194=""),"a",IF(AND($Z187="b",Inventory!$L194&lt;&gt;""),VLOOKUP(Inventory!$L194,$N$4:$O$5,2,FALSE),IF(AND($Z187="a",Inventory!$AC194=""),"a",IF(AND($Z187="a",Inventory!$AC194&lt;&gt;""),VLOOKUP(Inventory!$AC194,$N$4:$O$5,2,FALSE),IF(AND($Z187="c",Inventory!$AC194=""),"a",IF(AND($Z187="c",Inventory!$AC194&lt;&gt;""),VLOOKUP(Inventory!$AC194,$N$4:$O$5,2,FALSE),"a")))))))</f>
        <v>a</v>
      </c>
      <c r="AE187" s="474">
        <f>IF(OR(Inventory!C194="New Construction",Inventory!C194="Replace-on-Burnout"),Inventory!AF194,IF(Inventory!C194="Early Retirement",MIN(Inventory!AE194,Inventory!AF194),0))</f>
        <v>0</v>
      </c>
      <c r="AF187" s="475" t="str">
        <f t="shared" si="110"/>
        <v/>
      </c>
      <c r="AG187" s="475" t="str">
        <f t="shared" si="98"/>
        <v/>
      </c>
      <c r="AH187" s="475" t="str">
        <f t="shared" si="99"/>
        <v/>
      </c>
      <c r="AI187" s="475" t="str">
        <f t="shared" si="100"/>
        <v/>
      </c>
      <c r="AJ187" s="475" t="str">
        <f t="shared" si="101"/>
        <v/>
      </c>
      <c r="AK187" s="475" t="str">
        <f t="shared" si="111"/>
        <v/>
      </c>
      <c r="AL187" s="475" t="str">
        <f t="shared" si="112"/>
        <v/>
      </c>
      <c r="AM187" s="475" t="str">
        <f t="shared" si="113"/>
        <v/>
      </c>
      <c r="AN187" s="475" t="str">
        <f t="shared" si="114"/>
        <v/>
      </c>
      <c r="AO187" s="475" t="str">
        <f t="shared" si="115"/>
        <v/>
      </c>
      <c r="AP187" s="475" t="str">
        <f t="shared" si="116"/>
        <v/>
      </c>
      <c r="AQ187" s="475" t="str">
        <f t="shared" si="117"/>
        <v/>
      </c>
      <c r="AR187" s="475" t="str">
        <f t="shared" si="118"/>
        <v/>
      </c>
      <c r="AS187" s="475" t="str">
        <f t="shared" si="119"/>
        <v/>
      </c>
      <c r="AT187" s="475" t="str">
        <f t="shared" si="120"/>
        <v/>
      </c>
      <c r="AU187" s="475" t="str">
        <f t="shared" si="121"/>
        <v/>
      </c>
      <c r="AV187" s="475" t="str">
        <f t="shared" si="102"/>
        <v/>
      </c>
      <c r="AW187" s="473">
        <f t="shared" si="103"/>
        <v>0</v>
      </c>
      <c r="AX187" s="473" t="str">
        <f>IF(AND($Z187="b",OR($AA187="a",$AA187="b"),Inventory!$I194="",$AE187&lt;(65000/12000)),"x",IF(AND($Z187="b",OR($AA187="a",$AA187="b"),Inventory!$I194&lt;&gt;"",$AE187&lt;(65000/12000)),VLOOKUP(Inventory!$I194,$V$4:$W$5,2,FALSE),"x"))</f>
        <v>x</v>
      </c>
      <c r="AY187" s="476" t="str">
        <f t="shared" si="122"/>
        <v>aaa0</v>
      </c>
      <c r="AZ187" s="477" t="str">
        <f t="shared" si="123"/>
        <v>No</v>
      </c>
      <c r="BA187" s="759" t="str">
        <f t="shared" si="124"/>
        <v>No</v>
      </c>
      <c r="BB187" s="477">
        <f>IF($Z187="c",Inventory!$AB194,Inventory!$K194)</f>
        <v>0</v>
      </c>
      <c r="BC187" s="478">
        <f>IF(AND($Z187="b",Inventory!$N194="Btu/hr"),Inventory!$M194,IF(AND($Z187="b",Inventory!$N194="Tons"),Inventory!$M194*12000,IF(AND($Z187&lt;&gt;"b",Inventory!$AK194="Btu/hr"),Inventory!$AD194,IF(AND($Z187&lt;&gt;"b",Inventory!$AK194="Tons"),Inventory!$AD194*12000,0))))</f>
        <v>0</v>
      </c>
      <c r="BD187" s="478">
        <f t="shared" si="136"/>
        <v>0</v>
      </c>
      <c r="BE187" s="479">
        <f t="shared" si="125"/>
        <v>0</v>
      </c>
      <c r="BF187" s="477" t="s">
        <v>50</v>
      </c>
      <c r="BG187" s="479">
        <f t="shared" si="104"/>
        <v>0</v>
      </c>
      <c r="BH187" s="477" t="s">
        <v>46</v>
      </c>
      <c r="BI187" s="760">
        <f>IF(AND($Z187="b",Inventory!$P194="Btu/hr"),Inventory!$O194,IF(AND($Z187="b",Inventory!$P194="Tons"),Inventory!$O194*12000,IF(AND($Z187&lt;&gt;"b",Inventory!$AM194="Btu/hr"),Inventory!$AL194,IF(AND($Z187&lt;&gt;"b",Inventory!$AM194="Tons"),Inventory!$AL194*12000,0))))</f>
        <v>0</v>
      </c>
      <c r="BJ187" s="760">
        <f t="shared" si="137"/>
        <v>0</v>
      </c>
      <c r="BK187" s="598">
        <f t="shared" si="126"/>
        <v>0</v>
      </c>
      <c r="BL187" s="759" t="s">
        <v>567</v>
      </c>
      <c r="BM187" s="477" t="str">
        <f t="shared" si="105"/>
        <v>No</v>
      </c>
      <c r="BN187" s="477" t="str">
        <f>IF(OR(Inventory!$H194="",$BM187="No"),"-",Inventory!$H194)</f>
        <v>-</v>
      </c>
      <c r="BO187" s="477" t="str">
        <f>IFERROR(VLOOKUP(BN187,'Early Retirement'!$B$6:$C$33,2,FALSE),"-")</f>
        <v>-</v>
      </c>
      <c r="BP187" s="477" t="str">
        <f>IF(Inventory!$J194="Centrifugal","Yes","No")</f>
        <v>No</v>
      </c>
      <c r="BQ187" s="477">
        <f t="shared" si="127"/>
        <v>0</v>
      </c>
      <c r="BR187" s="477" t="str">
        <f t="shared" si="128"/>
        <v>-</v>
      </c>
      <c r="BS187" s="479">
        <f>IFERROR(INDEX('Early Retirement'!$C$4:$AC$33,$BO187,$BR187),0)</f>
        <v>0</v>
      </c>
      <c r="BT187" s="477">
        <f>IFERROR(HLOOKUP($BR187,'Early Retirement'!$D$4:$AC$5,2,FALSE),0)</f>
        <v>0</v>
      </c>
      <c r="BU187" s="761">
        <f>IFERROR(INDEX('Early Retirement'!$AE$4:$BE$33,$BO187,$BR187),0)</f>
        <v>0</v>
      </c>
      <c r="BV187" s="759">
        <f>IFERROR(HLOOKUP($BR187,'Early Retirement'!$AF$4:$BE$5,2,FALSE),0)</f>
        <v>0</v>
      </c>
      <c r="BW187" s="479">
        <f t="shared" si="135"/>
        <v>0</v>
      </c>
      <c r="BX187" s="761">
        <f t="shared" si="129"/>
        <v>0</v>
      </c>
      <c r="BY187" s="477" t="s">
        <v>46</v>
      </c>
      <c r="BZ187" s="598">
        <f>IFERROR(INDEX('Early Retirement'!$BG$4:$CG$33,$BO187,$BR187),0)</f>
        <v>0</v>
      </c>
      <c r="CA187" s="759">
        <f>IFERROR(HLOOKUP($BR187,'Early Retirement'!$BH$4:$CH$5,2,FALSE),0)</f>
        <v>0</v>
      </c>
      <c r="CB187" s="598">
        <f t="shared" si="130"/>
        <v>0</v>
      </c>
      <c r="CC187" s="759" t="s">
        <v>567</v>
      </c>
      <c r="CD187" s="477" t="str">
        <f t="shared" si="106"/>
        <v>Yes</v>
      </c>
      <c r="CE187" s="479">
        <f t="shared" si="107"/>
        <v>0</v>
      </c>
      <c r="CF187" s="761">
        <f t="shared" si="108"/>
        <v>0</v>
      </c>
      <c r="CG187" s="759" t="s">
        <v>46</v>
      </c>
      <c r="CH187" s="598">
        <f t="shared" si="131"/>
        <v>0</v>
      </c>
      <c r="CI187" s="759" t="s">
        <v>567</v>
      </c>
      <c r="CJ187" s="480">
        <f t="shared" si="132"/>
        <v>0</v>
      </c>
      <c r="CK187" s="583">
        <f t="shared" si="133"/>
        <v>0</v>
      </c>
      <c r="CL187" s="596" t="s">
        <v>46</v>
      </c>
      <c r="CM187" s="581">
        <f t="shared" si="134"/>
        <v>0</v>
      </c>
      <c r="CN187" s="762" t="s">
        <v>567</v>
      </c>
      <c r="CW187" s="630"/>
      <c r="CX187" s="630"/>
      <c r="CY187" s="630"/>
      <c r="CZ187" s="630"/>
      <c r="DA187" s="630"/>
    </row>
    <row r="188" spans="2:105" s="78" customFormat="1" ht="15" customHeight="1" x14ac:dyDescent="0.25">
      <c r="B188" s="77"/>
      <c r="E188" s="77"/>
      <c r="H188" s="77"/>
      <c r="Y188" s="90">
        <v>186</v>
      </c>
      <c r="Z188" s="559" t="str">
        <f>IF(Inventory!$C195="","",VLOOKUP(Inventory!$C195,$B$3:$C$5,2,FALSE))</f>
        <v/>
      </c>
      <c r="AA188" s="559" t="str">
        <f>IF($Z188="","",IF(AND($Z188="b",Inventory!$G195=""),"",IF(AND($Z188="b",Inventory!$G195&lt;&gt;""),VLOOKUP(Inventory!$G195,$E$3:$F$10,2,FALSE),IF(AND($Z188="a",Inventory!$Z195=""),"",IF(AND($Z188="a",Inventory!$Z195&lt;&gt;""),VLOOKUP(Inventory!$Z195,$E$3:$F$10,2,FALSE),IF(AND($Z188="c",Inventory!$Z195=""),"",IF(AND($Z188="c",Inventory!$Z195&lt;&gt;""),VLOOKUP(Inventory!$Z195,$E$3:$F$10,2,FALSE),"")))))))</f>
        <v/>
      </c>
      <c r="AB188" s="559" t="str">
        <f>IF($Z188="","a",IF(AND($Z188="b",Inventory!$J195=""),"a",IF(AND($Z188="b",Inventory!$J195&lt;&gt;""),VLOOKUP(Inventory!$J195,$H$4:$I$6,2,FALSE),IF(AND($Z188="a",Inventory!$AA195=""),"a",IF(AND($Z188="a",Inventory!$AA195&lt;&gt;""),VLOOKUP(Inventory!$AA195,$H$4:$I$6,2,FALSE),IF(AND($Z188="c",Inventory!$AA195=""),"a",IF(AND($Z188="c",Inventory!$AA195&lt;&gt;""),VLOOKUP(Inventory!$AA195,$H$4:$I$6,2,FALSE),"a")))))))</f>
        <v>a</v>
      </c>
      <c r="AC188" s="559" t="str">
        <f t="shared" si="109"/>
        <v>a</v>
      </c>
      <c r="AD188" s="473" t="str">
        <f>IF($Z188="","a",IF(AND($Z188="b",Inventory!$L195=""),"a",IF(AND($Z188="b",Inventory!$L195&lt;&gt;""),VLOOKUP(Inventory!$L195,$N$4:$O$5,2,FALSE),IF(AND($Z188="a",Inventory!$AC195=""),"a",IF(AND($Z188="a",Inventory!$AC195&lt;&gt;""),VLOOKUP(Inventory!$AC195,$N$4:$O$5,2,FALSE),IF(AND($Z188="c",Inventory!$AC195=""),"a",IF(AND($Z188="c",Inventory!$AC195&lt;&gt;""),VLOOKUP(Inventory!$AC195,$N$4:$O$5,2,FALSE),"a")))))))</f>
        <v>a</v>
      </c>
      <c r="AE188" s="474">
        <f>IF(OR(Inventory!C195="New Construction",Inventory!C195="Replace-on-Burnout"),Inventory!AF195,IF(Inventory!C195="Early Retirement",MIN(Inventory!AE195,Inventory!AF195),0))</f>
        <v>0</v>
      </c>
      <c r="AF188" s="475" t="str">
        <f t="shared" si="110"/>
        <v/>
      </c>
      <c r="AG188" s="475" t="str">
        <f t="shared" si="98"/>
        <v/>
      </c>
      <c r="AH188" s="475" t="str">
        <f t="shared" si="99"/>
        <v/>
      </c>
      <c r="AI188" s="475" t="str">
        <f t="shared" si="100"/>
        <v/>
      </c>
      <c r="AJ188" s="475" t="str">
        <f t="shared" si="101"/>
        <v/>
      </c>
      <c r="AK188" s="475" t="str">
        <f t="shared" si="111"/>
        <v/>
      </c>
      <c r="AL188" s="475" t="str">
        <f t="shared" si="112"/>
        <v/>
      </c>
      <c r="AM188" s="475" t="str">
        <f t="shared" si="113"/>
        <v/>
      </c>
      <c r="AN188" s="475" t="str">
        <f t="shared" si="114"/>
        <v/>
      </c>
      <c r="AO188" s="475" t="str">
        <f t="shared" si="115"/>
        <v/>
      </c>
      <c r="AP188" s="475" t="str">
        <f t="shared" si="116"/>
        <v/>
      </c>
      <c r="AQ188" s="475" t="str">
        <f t="shared" si="117"/>
        <v/>
      </c>
      <c r="AR188" s="475" t="str">
        <f t="shared" si="118"/>
        <v/>
      </c>
      <c r="AS188" s="475" t="str">
        <f t="shared" si="119"/>
        <v/>
      </c>
      <c r="AT188" s="475" t="str">
        <f t="shared" si="120"/>
        <v/>
      </c>
      <c r="AU188" s="475" t="str">
        <f t="shared" si="121"/>
        <v/>
      </c>
      <c r="AV188" s="475" t="str">
        <f t="shared" si="102"/>
        <v/>
      </c>
      <c r="AW188" s="473">
        <f t="shared" si="103"/>
        <v>0</v>
      </c>
      <c r="AX188" s="473" t="str">
        <f>IF(AND($Z188="b",OR($AA188="a",$AA188="b"),Inventory!$I195="",$AE188&lt;(65000/12000)),"x",IF(AND($Z188="b",OR($AA188="a",$AA188="b"),Inventory!$I195&lt;&gt;"",$AE188&lt;(65000/12000)),VLOOKUP(Inventory!$I195,$V$4:$W$5,2,FALSE),"x"))</f>
        <v>x</v>
      </c>
      <c r="AY188" s="476" t="str">
        <f t="shared" si="122"/>
        <v>aaa0</v>
      </c>
      <c r="AZ188" s="477" t="str">
        <f t="shared" si="123"/>
        <v>No</v>
      </c>
      <c r="BA188" s="759" t="str">
        <f t="shared" si="124"/>
        <v>No</v>
      </c>
      <c r="BB188" s="477">
        <f>IF($Z188="c",Inventory!$AB195,Inventory!$K195)</f>
        <v>0</v>
      </c>
      <c r="BC188" s="478">
        <f>IF(AND($Z188="b",Inventory!$N195="Btu/hr"),Inventory!$M195,IF(AND($Z188="b",Inventory!$N195="Tons"),Inventory!$M195*12000,IF(AND($Z188&lt;&gt;"b",Inventory!$AK195="Btu/hr"),Inventory!$AD195,IF(AND($Z188&lt;&gt;"b",Inventory!$AK195="Tons"),Inventory!$AD195*12000,0))))</f>
        <v>0</v>
      </c>
      <c r="BD188" s="478">
        <f t="shared" si="136"/>
        <v>0</v>
      </c>
      <c r="BE188" s="479">
        <f t="shared" si="125"/>
        <v>0</v>
      </c>
      <c r="BF188" s="477" t="s">
        <v>50</v>
      </c>
      <c r="BG188" s="479">
        <f t="shared" si="104"/>
        <v>0</v>
      </c>
      <c r="BH188" s="477" t="s">
        <v>46</v>
      </c>
      <c r="BI188" s="760">
        <f>IF(AND($Z188="b",Inventory!$P195="Btu/hr"),Inventory!$O195,IF(AND($Z188="b",Inventory!$P195="Tons"),Inventory!$O195*12000,IF(AND($Z188&lt;&gt;"b",Inventory!$AM195="Btu/hr"),Inventory!$AL195,IF(AND($Z188&lt;&gt;"b",Inventory!$AM195="Tons"),Inventory!$AL195*12000,0))))</f>
        <v>0</v>
      </c>
      <c r="BJ188" s="760">
        <f t="shared" si="137"/>
        <v>0</v>
      </c>
      <c r="BK188" s="598">
        <f t="shared" si="126"/>
        <v>0</v>
      </c>
      <c r="BL188" s="759" t="s">
        <v>567</v>
      </c>
      <c r="BM188" s="477" t="str">
        <f t="shared" si="105"/>
        <v>No</v>
      </c>
      <c r="BN188" s="477" t="str">
        <f>IF(OR(Inventory!$H195="",$BM188="No"),"-",Inventory!$H195)</f>
        <v>-</v>
      </c>
      <c r="BO188" s="477" t="str">
        <f>IFERROR(VLOOKUP(BN188,'Early Retirement'!$B$6:$C$33,2,FALSE),"-")</f>
        <v>-</v>
      </c>
      <c r="BP188" s="477" t="str">
        <f>IF(Inventory!$J195="Centrifugal","Yes","No")</f>
        <v>No</v>
      </c>
      <c r="BQ188" s="477">
        <f t="shared" si="127"/>
        <v>0</v>
      </c>
      <c r="BR188" s="477" t="str">
        <f t="shared" si="128"/>
        <v>-</v>
      </c>
      <c r="BS188" s="479">
        <f>IFERROR(INDEX('Early Retirement'!$C$4:$AC$33,$BO188,$BR188),0)</f>
        <v>0</v>
      </c>
      <c r="BT188" s="477">
        <f>IFERROR(HLOOKUP($BR188,'Early Retirement'!$D$4:$AC$5,2,FALSE),0)</f>
        <v>0</v>
      </c>
      <c r="BU188" s="761">
        <f>IFERROR(INDEX('Early Retirement'!$AE$4:$BE$33,$BO188,$BR188),0)</f>
        <v>0</v>
      </c>
      <c r="BV188" s="759">
        <f>IFERROR(HLOOKUP($BR188,'Early Retirement'!$AF$4:$BE$5,2,FALSE),0)</f>
        <v>0</v>
      </c>
      <c r="BW188" s="479">
        <f t="shared" si="135"/>
        <v>0</v>
      </c>
      <c r="BX188" s="761">
        <f t="shared" si="129"/>
        <v>0</v>
      </c>
      <c r="BY188" s="477" t="s">
        <v>46</v>
      </c>
      <c r="BZ188" s="598">
        <f>IFERROR(INDEX('Early Retirement'!$BG$4:$CG$33,$BO188,$BR188),0)</f>
        <v>0</v>
      </c>
      <c r="CA188" s="759">
        <f>IFERROR(HLOOKUP($BR188,'Early Retirement'!$BH$4:$CH$5,2,FALSE),0)</f>
        <v>0</v>
      </c>
      <c r="CB188" s="598">
        <f t="shared" si="130"/>
        <v>0</v>
      </c>
      <c r="CC188" s="759" t="s">
        <v>567</v>
      </c>
      <c r="CD188" s="477" t="str">
        <f t="shared" si="106"/>
        <v>Yes</v>
      </c>
      <c r="CE188" s="479">
        <f t="shared" si="107"/>
        <v>0</v>
      </c>
      <c r="CF188" s="761">
        <f t="shared" si="108"/>
        <v>0</v>
      </c>
      <c r="CG188" s="759" t="s">
        <v>46</v>
      </c>
      <c r="CH188" s="598">
        <f t="shared" si="131"/>
        <v>0</v>
      </c>
      <c r="CI188" s="759" t="s">
        <v>567</v>
      </c>
      <c r="CJ188" s="480">
        <f t="shared" si="132"/>
        <v>0</v>
      </c>
      <c r="CK188" s="583">
        <f t="shared" si="133"/>
        <v>0</v>
      </c>
      <c r="CL188" s="596" t="s">
        <v>46</v>
      </c>
      <c r="CM188" s="581">
        <f t="shared" si="134"/>
        <v>0</v>
      </c>
      <c r="CN188" s="762" t="s">
        <v>567</v>
      </c>
      <c r="CW188" s="630"/>
      <c r="CX188" s="630"/>
      <c r="CY188" s="630"/>
      <c r="CZ188" s="630"/>
      <c r="DA188" s="630"/>
    </row>
    <row r="189" spans="2:105" s="78" customFormat="1" ht="15" customHeight="1" x14ac:dyDescent="0.25">
      <c r="B189" s="77"/>
      <c r="E189" s="77"/>
      <c r="H189" s="77"/>
      <c r="Y189" s="90">
        <v>187</v>
      </c>
      <c r="Z189" s="559" t="str">
        <f>IF(Inventory!$C196="","",VLOOKUP(Inventory!$C196,$B$3:$C$5,2,FALSE))</f>
        <v/>
      </c>
      <c r="AA189" s="559" t="str">
        <f>IF($Z189="","",IF(AND($Z189="b",Inventory!$G196=""),"",IF(AND($Z189="b",Inventory!$G196&lt;&gt;""),VLOOKUP(Inventory!$G196,$E$3:$F$10,2,FALSE),IF(AND($Z189="a",Inventory!$Z196=""),"",IF(AND($Z189="a",Inventory!$Z196&lt;&gt;""),VLOOKUP(Inventory!$Z196,$E$3:$F$10,2,FALSE),IF(AND($Z189="c",Inventory!$Z196=""),"",IF(AND($Z189="c",Inventory!$Z196&lt;&gt;""),VLOOKUP(Inventory!$Z196,$E$3:$F$10,2,FALSE),"")))))))</f>
        <v/>
      </c>
      <c r="AB189" s="559" t="str">
        <f>IF($Z189="","a",IF(AND($Z189="b",Inventory!$J196=""),"a",IF(AND($Z189="b",Inventory!$J196&lt;&gt;""),VLOOKUP(Inventory!$J196,$H$4:$I$6,2,FALSE),IF(AND($Z189="a",Inventory!$AA196=""),"a",IF(AND($Z189="a",Inventory!$AA196&lt;&gt;""),VLOOKUP(Inventory!$AA196,$H$4:$I$6,2,FALSE),IF(AND($Z189="c",Inventory!$AA196=""),"a",IF(AND($Z189="c",Inventory!$AA196&lt;&gt;""),VLOOKUP(Inventory!$AA196,$H$4:$I$6,2,FALSE),"a")))))))</f>
        <v>a</v>
      </c>
      <c r="AC189" s="559" t="str">
        <f t="shared" si="109"/>
        <v>a</v>
      </c>
      <c r="AD189" s="473" t="str">
        <f>IF($Z189="","a",IF(AND($Z189="b",Inventory!$L196=""),"a",IF(AND($Z189="b",Inventory!$L196&lt;&gt;""),VLOOKUP(Inventory!$L196,$N$4:$O$5,2,FALSE),IF(AND($Z189="a",Inventory!$AC196=""),"a",IF(AND($Z189="a",Inventory!$AC196&lt;&gt;""),VLOOKUP(Inventory!$AC196,$N$4:$O$5,2,FALSE),IF(AND($Z189="c",Inventory!$AC196=""),"a",IF(AND($Z189="c",Inventory!$AC196&lt;&gt;""),VLOOKUP(Inventory!$AC196,$N$4:$O$5,2,FALSE),"a")))))))</f>
        <v>a</v>
      </c>
      <c r="AE189" s="474">
        <f>IF(OR(Inventory!C196="New Construction",Inventory!C196="Replace-on-Burnout"),Inventory!AF196,IF(Inventory!C196="Early Retirement",MIN(Inventory!AE196,Inventory!AF196),0))</f>
        <v>0</v>
      </c>
      <c r="AF189" s="475" t="str">
        <f t="shared" si="110"/>
        <v/>
      </c>
      <c r="AG189" s="475" t="str">
        <f t="shared" si="98"/>
        <v/>
      </c>
      <c r="AH189" s="475" t="str">
        <f t="shared" si="99"/>
        <v/>
      </c>
      <c r="AI189" s="475" t="str">
        <f t="shared" si="100"/>
        <v/>
      </c>
      <c r="AJ189" s="475" t="str">
        <f t="shared" si="101"/>
        <v/>
      </c>
      <c r="AK189" s="475" t="str">
        <f t="shared" si="111"/>
        <v/>
      </c>
      <c r="AL189" s="475" t="str">
        <f t="shared" si="112"/>
        <v/>
      </c>
      <c r="AM189" s="475" t="str">
        <f t="shared" si="113"/>
        <v/>
      </c>
      <c r="AN189" s="475" t="str">
        <f t="shared" si="114"/>
        <v/>
      </c>
      <c r="AO189" s="475" t="str">
        <f t="shared" si="115"/>
        <v/>
      </c>
      <c r="AP189" s="475" t="str">
        <f t="shared" si="116"/>
        <v/>
      </c>
      <c r="AQ189" s="475" t="str">
        <f t="shared" si="117"/>
        <v/>
      </c>
      <c r="AR189" s="475" t="str">
        <f t="shared" si="118"/>
        <v/>
      </c>
      <c r="AS189" s="475" t="str">
        <f t="shared" si="119"/>
        <v/>
      </c>
      <c r="AT189" s="475" t="str">
        <f t="shared" si="120"/>
        <v/>
      </c>
      <c r="AU189" s="475" t="str">
        <f t="shared" si="121"/>
        <v/>
      </c>
      <c r="AV189" s="475" t="str">
        <f t="shared" si="102"/>
        <v/>
      </c>
      <c r="AW189" s="473">
        <f t="shared" si="103"/>
        <v>0</v>
      </c>
      <c r="AX189" s="473" t="str">
        <f>IF(AND($Z189="b",OR($AA189="a",$AA189="b"),Inventory!$I196="",$AE189&lt;(65000/12000)),"x",IF(AND($Z189="b",OR($AA189="a",$AA189="b"),Inventory!$I196&lt;&gt;"",$AE189&lt;(65000/12000)),VLOOKUP(Inventory!$I196,$V$4:$W$5,2,FALSE),"x"))</f>
        <v>x</v>
      </c>
      <c r="AY189" s="476" t="str">
        <f t="shared" si="122"/>
        <v>aaa0</v>
      </c>
      <c r="AZ189" s="477" t="str">
        <f t="shared" si="123"/>
        <v>No</v>
      </c>
      <c r="BA189" s="759" t="str">
        <f t="shared" si="124"/>
        <v>No</v>
      </c>
      <c r="BB189" s="477">
        <f>IF($Z189="c",Inventory!$AB196,Inventory!$K196)</f>
        <v>0</v>
      </c>
      <c r="BC189" s="478">
        <f>IF(AND($Z189="b",Inventory!$N196="Btu/hr"),Inventory!$M196,IF(AND($Z189="b",Inventory!$N196="Tons"),Inventory!$M196*12000,IF(AND($Z189&lt;&gt;"b",Inventory!$AK196="Btu/hr"),Inventory!$AD196,IF(AND($Z189&lt;&gt;"b",Inventory!$AK196="Tons"),Inventory!$AD196*12000,0))))</f>
        <v>0</v>
      </c>
      <c r="BD189" s="478">
        <f t="shared" si="136"/>
        <v>0</v>
      </c>
      <c r="BE189" s="479">
        <f t="shared" si="125"/>
        <v>0</v>
      </c>
      <c r="BF189" s="477" t="s">
        <v>50</v>
      </c>
      <c r="BG189" s="479">
        <f t="shared" si="104"/>
        <v>0</v>
      </c>
      <c r="BH189" s="477" t="s">
        <v>46</v>
      </c>
      <c r="BI189" s="760">
        <f>IF(AND($Z189="b",Inventory!$P196="Btu/hr"),Inventory!$O196,IF(AND($Z189="b",Inventory!$P196="Tons"),Inventory!$O196*12000,IF(AND($Z189&lt;&gt;"b",Inventory!$AM196="Btu/hr"),Inventory!$AL196,IF(AND($Z189&lt;&gt;"b",Inventory!$AM196="Tons"),Inventory!$AL196*12000,0))))</f>
        <v>0</v>
      </c>
      <c r="BJ189" s="760">
        <f t="shared" si="137"/>
        <v>0</v>
      </c>
      <c r="BK189" s="598">
        <f t="shared" si="126"/>
        <v>0</v>
      </c>
      <c r="BL189" s="759" t="s">
        <v>567</v>
      </c>
      <c r="BM189" s="477" t="str">
        <f t="shared" si="105"/>
        <v>No</v>
      </c>
      <c r="BN189" s="477" t="str">
        <f>IF(OR(Inventory!$H196="",$BM189="No"),"-",Inventory!$H196)</f>
        <v>-</v>
      </c>
      <c r="BO189" s="477" t="str">
        <f>IFERROR(VLOOKUP(BN189,'Early Retirement'!$B$6:$C$33,2,FALSE),"-")</f>
        <v>-</v>
      </c>
      <c r="BP189" s="477" t="str">
        <f>IF(Inventory!$J196="Centrifugal","Yes","No")</f>
        <v>No</v>
      </c>
      <c r="BQ189" s="477">
        <f t="shared" si="127"/>
        <v>0</v>
      </c>
      <c r="BR189" s="477" t="str">
        <f t="shared" si="128"/>
        <v>-</v>
      </c>
      <c r="BS189" s="479">
        <f>IFERROR(INDEX('Early Retirement'!$C$4:$AC$33,$BO189,$BR189),0)</f>
        <v>0</v>
      </c>
      <c r="BT189" s="477">
        <f>IFERROR(HLOOKUP($BR189,'Early Retirement'!$D$4:$AC$5,2,FALSE),0)</f>
        <v>0</v>
      </c>
      <c r="BU189" s="761">
        <f>IFERROR(INDEX('Early Retirement'!$AE$4:$BE$33,$BO189,$BR189),0)</f>
        <v>0</v>
      </c>
      <c r="BV189" s="759">
        <f>IFERROR(HLOOKUP($BR189,'Early Retirement'!$AF$4:$BE$5,2,FALSE),0)</f>
        <v>0</v>
      </c>
      <c r="BW189" s="479">
        <f t="shared" si="135"/>
        <v>0</v>
      </c>
      <c r="BX189" s="761">
        <f t="shared" si="129"/>
        <v>0</v>
      </c>
      <c r="BY189" s="477" t="s">
        <v>46</v>
      </c>
      <c r="BZ189" s="598">
        <f>IFERROR(INDEX('Early Retirement'!$BG$4:$CG$33,$BO189,$BR189),0)</f>
        <v>0</v>
      </c>
      <c r="CA189" s="759">
        <f>IFERROR(HLOOKUP($BR189,'Early Retirement'!$BH$4:$CH$5,2,FALSE),0)</f>
        <v>0</v>
      </c>
      <c r="CB189" s="598">
        <f t="shared" si="130"/>
        <v>0</v>
      </c>
      <c r="CC189" s="759" t="s">
        <v>567</v>
      </c>
      <c r="CD189" s="477" t="str">
        <f t="shared" si="106"/>
        <v>Yes</v>
      </c>
      <c r="CE189" s="479">
        <f t="shared" si="107"/>
        <v>0</v>
      </c>
      <c r="CF189" s="761">
        <f t="shared" si="108"/>
        <v>0</v>
      </c>
      <c r="CG189" s="759" t="s">
        <v>46</v>
      </c>
      <c r="CH189" s="598">
        <f t="shared" si="131"/>
        <v>0</v>
      </c>
      <c r="CI189" s="759" t="s">
        <v>567</v>
      </c>
      <c r="CJ189" s="480">
        <f t="shared" si="132"/>
        <v>0</v>
      </c>
      <c r="CK189" s="583">
        <f t="shared" si="133"/>
        <v>0</v>
      </c>
      <c r="CL189" s="596" t="s">
        <v>46</v>
      </c>
      <c r="CM189" s="581">
        <f t="shared" si="134"/>
        <v>0</v>
      </c>
      <c r="CN189" s="762" t="s">
        <v>567</v>
      </c>
      <c r="CW189" s="630"/>
      <c r="CX189" s="630"/>
      <c r="CY189" s="630"/>
      <c r="CZ189" s="630"/>
      <c r="DA189" s="630"/>
    </row>
    <row r="190" spans="2:105" s="78" customFormat="1" ht="15" customHeight="1" x14ac:dyDescent="0.25">
      <c r="B190" s="77"/>
      <c r="E190" s="77"/>
      <c r="H190" s="77"/>
      <c r="Y190" s="90">
        <v>188</v>
      </c>
      <c r="Z190" s="559" t="str">
        <f>IF(Inventory!$C197="","",VLOOKUP(Inventory!$C197,$B$3:$C$5,2,FALSE))</f>
        <v/>
      </c>
      <c r="AA190" s="559" t="str">
        <f>IF($Z190="","",IF(AND($Z190="b",Inventory!$G197=""),"",IF(AND($Z190="b",Inventory!$G197&lt;&gt;""),VLOOKUP(Inventory!$G197,$E$3:$F$10,2,FALSE),IF(AND($Z190="a",Inventory!$Z197=""),"",IF(AND($Z190="a",Inventory!$Z197&lt;&gt;""),VLOOKUP(Inventory!$Z197,$E$3:$F$10,2,FALSE),IF(AND($Z190="c",Inventory!$Z197=""),"",IF(AND($Z190="c",Inventory!$Z197&lt;&gt;""),VLOOKUP(Inventory!$Z197,$E$3:$F$10,2,FALSE),"")))))))</f>
        <v/>
      </c>
      <c r="AB190" s="559" t="str">
        <f>IF($Z190="","a",IF(AND($Z190="b",Inventory!$J197=""),"a",IF(AND($Z190="b",Inventory!$J197&lt;&gt;""),VLOOKUP(Inventory!$J197,$H$4:$I$6,2,FALSE),IF(AND($Z190="a",Inventory!$AA197=""),"a",IF(AND($Z190="a",Inventory!$AA197&lt;&gt;""),VLOOKUP(Inventory!$AA197,$H$4:$I$6,2,FALSE),IF(AND($Z190="c",Inventory!$AA197=""),"a",IF(AND($Z190="c",Inventory!$AA197&lt;&gt;""),VLOOKUP(Inventory!$AA197,$H$4:$I$6,2,FALSE),"a")))))))</f>
        <v>a</v>
      </c>
      <c r="AC190" s="559" t="str">
        <f t="shared" si="109"/>
        <v>a</v>
      </c>
      <c r="AD190" s="473" t="str">
        <f>IF($Z190="","a",IF(AND($Z190="b",Inventory!$L197=""),"a",IF(AND($Z190="b",Inventory!$L197&lt;&gt;""),VLOOKUP(Inventory!$L197,$N$4:$O$5,2,FALSE),IF(AND($Z190="a",Inventory!$AC197=""),"a",IF(AND($Z190="a",Inventory!$AC197&lt;&gt;""),VLOOKUP(Inventory!$AC197,$N$4:$O$5,2,FALSE),IF(AND($Z190="c",Inventory!$AC197=""),"a",IF(AND($Z190="c",Inventory!$AC197&lt;&gt;""),VLOOKUP(Inventory!$AC197,$N$4:$O$5,2,FALSE),"a")))))))</f>
        <v>a</v>
      </c>
      <c r="AE190" s="474">
        <f>IF(OR(Inventory!C197="New Construction",Inventory!C197="Replace-on-Burnout"),Inventory!AF197,IF(Inventory!C197="Early Retirement",MIN(Inventory!AE197,Inventory!AF197),0))</f>
        <v>0</v>
      </c>
      <c r="AF190" s="475" t="str">
        <f t="shared" si="110"/>
        <v/>
      </c>
      <c r="AG190" s="475" t="str">
        <f t="shared" si="98"/>
        <v/>
      </c>
      <c r="AH190" s="475" t="str">
        <f t="shared" si="99"/>
        <v/>
      </c>
      <c r="AI190" s="475" t="str">
        <f t="shared" si="100"/>
        <v/>
      </c>
      <c r="AJ190" s="475" t="str">
        <f t="shared" si="101"/>
        <v/>
      </c>
      <c r="AK190" s="475" t="str">
        <f t="shared" si="111"/>
        <v/>
      </c>
      <c r="AL190" s="475" t="str">
        <f t="shared" si="112"/>
        <v/>
      </c>
      <c r="AM190" s="475" t="str">
        <f t="shared" si="113"/>
        <v/>
      </c>
      <c r="AN190" s="475" t="str">
        <f t="shared" si="114"/>
        <v/>
      </c>
      <c r="AO190" s="475" t="str">
        <f t="shared" si="115"/>
        <v/>
      </c>
      <c r="AP190" s="475" t="str">
        <f t="shared" si="116"/>
        <v/>
      </c>
      <c r="AQ190" s="475" t="str">
        <f t="shared" si="117"/>
        <v/>
      </c>
      <c r="AR190" s="475" t="str">
        <f t="shared" si="118"/>
        <v/>
      </c>
      <c r="AS190" s="475" t="str">
        <f t="shared" si="119"/>
        <v/>
      </c>
      <c r="AT190" s="475" t="str">
        <f t="shared" si="120"/>
        <v/>
      </c>
      <c r="AU190" s="475" t="str">
        <f t="shared" si="121"/>
        <v/>
      </c>
      <c r="AV190" s="475" t="str">
        <f t="shared" si="102"/>
        <v/>
      </c>
      <c r="AW190" s="473">
        <f t="shared" si="103"/>
        <v>0</v>
      </c>
      <c r="AX190" s="473" t="str">
        <f>IF(AND($Z190="b",OR($AA190="a",$AA190="b"),Inventory!$I197="",$AE190&lt;(65000/12000)),"x",IF(AND($Z190="b",OR($AA190="a",$AA190="b"),Inventory!$I197&lt;&gt;"",$AE190&lt;(65000/12000)),VLOOKUP(Inventory!$I197,$V$4:$W$5,2,FALSE),"x"))</f>
        <v>x</v>
      </c>
      <c r="AY190" s="476" t="str">
        <f t="shared" si="122"/>
        <v>aaa0</v>
      </c>
      <c r="AZ190" s="477" t="str">
        <f t="shared" si="123"/>
        <v>No</v>
      </c>
      <c r="BA190" s="759" t="str">
        <f t="shared" si="124"/>
        <v>No</v>
      </c>
      <c r="BB190" s="477">
        <f>IF($Z190="c",Inventory!$AB197,Inventory!$K197)</f>
        <v>0</v>
      </c>
      <c r="BC190" s="478">
        <f>IF(AND($Z190="b",Inventory!$N197="Btu/hr"),Inventory!$M197,IF(AND($Z190="b",Inventory!$N197="Tons"),Inventory!$M197*12000,IF(AND($Z190&lt;&gt;"b",Inventory!$AK197="Btu/hr"),Inventory!$AD197,IF(AND($Z190&lt;&gt;"b",Inventory!$AK197="Tons"),Inventory!$AD197*12000,0))))</f>
        <v>0</v>
      </c>
      <c r="BD190" s="478">
        <f t="shared" si="136"/>
        <v>0</v>
      </c>
      <c r="BE190" s="479">
        <f t="shared" si="125"/>
        <v>0</v>
      </c>
      <c r="BF190" s="477" t="s">
        <v>50</v>
      </c>
      <c r="BG190" s="479">
        <f t="shared" si="104"/>
        <v>0</v>
      </c>
      <c r="BH190" s="477" t="s">
        <v>46</v>
      </c>
      <c r="BI190" s="760">
        <f>IF(AND($Z190="b",Inventory!$P197="Btu/hr"),Inventory!$O197,IF(AND($Z190="b",Inventory!$P197="Tons"),Inventory!$O197*12000,IF(AND($Z190&lt;&gt;"b",Inventory!$AM197="Btu/hr"),Inventory!$AL197,IF(AND($Z190&lt;&gt;"b",Inventory!$AM197="Tons"),Inventory!$AL197*12000,0))))</f>
        <v>0</v>
      </c>
      <c r="BJ190" s="760">
        <f t="shared" si="137"/>
        <v>0</v>
      </c>
      <c r="BK190" s="598">
        <f t="shared" si="126"/>
        <v>0</v>
      </c>
      <c r="BL190" s="759" t="s">
        <v>567</v>
      </c>
      <c r="BM190" s="477" t="str">
        <f t="shared" si="105"/>
        <v>No</v>
      </c>
      <c r="BN190" s="477" t="str">
        <f>IF(OR(Inventory!$H197="",$BM190="No"),"-",Inventory!$H197)</f>
        <v>-</v>
      </c>
      <c r="BO190" s="477" t="str">
        <f>IFERROR(VLOOKUP(BN190,'Early Retirement'!$B$6:$C$33,2,FALSE),"-")</f>
        <v>-</v>
      </c>
      <c r="BP190" s="477" t="str">
        <f>IF(Inventory!$J197="Centrifugal","Yes","No")</f>
        <v>No</v>
      </c>
      <c r="BQ190" s="477">
        <f t="shared" si="127"/>
        <v>0</v>
      </c>
      <c r="BR190" s="477" t="str">
        <f t="shared" si="128"/>
        <v>-</v>
      </c>
      <c r="BS190" s="479">
        <f>IFERROR(INDEX('Early Retirement'!$C$4:$AC$33,$BO190,$BR190),0)</f>
        <v>0</v>
      </c>
      <c r="BT190" s="477">
        <f>IFERROR(HLOOKUP($BR190,'Early Retirement'!$D$4:$AC$5,2,FALSE),0)</f>
        <v>0</v>
      </c>
      <c r="BU190" s="761">
        <f>IFERROR(INDEX('Early Retirement'!$AE$4:$BE$33,$BO190,$BR190),0)</f>
        <v>0</v>
      </c>
      <c r="BV190" s="759">
        <f>IFERROR(HLOOKUP($BR190,'Early Retirement'!$AF$4:$BE$5,2,FALSE),0)</f>
        <v>0</v>
      </c>
      <c r="BW190" s="479">
        <f t="shared" si="135"/>
        <v>0</v>
      </c>
      <c r="BX190" s="761">
        <f t="shared" si="129"/>
        <v>0</v>
      </c>
      <c r="BY190" s="477" t="s">
        <v>46</v>
      </c>
      <c r="BZ190" s="598">
        <f>IFERROR(INDEX('Early Retirement'!$BG$4:$CG$33,$BO190,$BR190),0)</f>
        <v>0</v>
      </c>
      <c r="CA190" s="759">
        <f>IFERROR(HLOOKUP($BR190,'Early Retirement'!$BH$4:$CH$5,2,FALSE),0)</f>
        <v>0</v>
      </c>
      <c r="CB190" s="598">
        <f t="shared" si="130"/>
        <v>0</v>
      </c>
      <c r="CC190" s="759" t="s">
        <v>567</v>
      </c>
      <c r="CD190" s="477" t="str">
        <f t="shared" si="106"/>
        <v>Yes</v>
      </c>
      <c r="CE190" s="479">
        <f t="shared" si="107"/>
        <v>0</v>
      </c>
      <c r="CF190" s="761">
        <f t="shared" si="108"/>
        <v>0</v>
      </c>
      <c r="CG190" s="759" t="s">
        <v>46</v>
      </c>
      <c r="CH190" s="598">
        <f t="shared" si="131"/>
        <v>0</v>
      </c>
      <c r="CI190" s="759" t="s">
        <v>567</v>
      </c>
      <c r="CJ190" s="480">
        <f t="shared" si="132"/>
        <v>0</v>
      </c>
      <c r="CK190" s="583">
        <f t="shared" si="133"/>
        <v>0</v>
      </c>
      <c r="CL190" s="596" t="s">
        <v>46</v>
      </c>
      <c r="CM190" s="581">
        <f t="shared" si="134"/>
        <v>0</v>
      </c>
      <c r="CN190" s="762" t="s">
        <v>567</v>
      </c>
      <c r="CW190" s="630"/>
      <c r="CX190" s="630"/>
      <c r="CY190" s="630"/>
      <c r="CZ190" s="630"/>
      <c r="DA190" s="630"/>
    </row>
    <row r="191" spans="2:105" s="78" customFormat="1" ht="15" customHeight="1" x14ac:dyDescent="0.25">
      <c r="B191" s="77"/>
      <c r="E191" s="77"/>
      <c r="H191" s="77"/>
      <c r="Y191" s="90">
        <v>189</v>
      </c>
      <c r="Z191" s="559" t="str">
        <f>IF(Inventory!$C198="","",VLOOKUP(Inventory!$C198,$B$3:$C$5,2,FALSE))</f>
        <v/>
      </c>
      <c r="AA191" s="559" t="str">
        <f>IF($Z191="","",IF(AND($Z191="b",Inventory!$G198=""),"",IF(AND($Z191="b",Inventory!$G198&lt;&gt;""),VLOOKUP(Inventory!$G198,$E$3:$F$10,2,FALSE),IF(AND($Z191="a",Inventory!$Z198=""),"",IF(AND($Z191="a",Inventory!$Z198&lt;&gt;""),VLOOKUP(Inventory!$Z198,$E$3:$F$10,2,FALSE),IF(AND($Z191="c",Inventory!$Z198=""),"",IF(AND($Z191="c",Inventory!$Z198&lt;&gt;""),VLOOKUP(Inventory!$Z198,$E$3:$F$10,2,FALSE),"")))))))</f>
        <v/>
      </c>
      <c r="AB191" s="559" t="str">
        <f>IF($Z191="","a",IF(AND($Z191="b",Inventory!$J198=""),"a",IF(AND($Z191="b",Inventory!$J198&lt;&gt;""),VLOOKUP(Inventory!$J198,$H$4:$I$6,2,FALSE),IF(AND($Z191="a",Inventory!$AA198=""),"a",IF(AND($Z191="a",Inventory!$AA198&lt;&gt;""),VLOOKUP(Inventory!$AA198,$H$4:$I$6,2,FALSE),IF(AND($Z191="c",Inventory!$AA198=""),"a",IF(AND($Z191="c",Inventory!$AA198&lt;&gt;""),VLOOKUP(Inventory!$AA198,$H$4:$I$6,2,FALSE),"a")))))))</f>
        <v>a</v>
      </c>
      <c r="AC191" s="559" t="str">
        <f t="shared" si="109"/>
        <v>a</v>
      </c>
      <c r="AD191" s="473" t="str">
        <f>IF($Z191="","a",IF(AND($Z191="b",Inventory!$L198=""),"a",IF(AND($Z191="b",Inventory!$L198&lt;&gt;""),VLOOKUP(Inventory!$L198,$N$4:$O$5,2,FALSE),IF(AND($Z191="a",Inventory!$AC198=""),"a",IF(AND($Z191="a",Inventory!$AC198&lt;&gt;""),VLOOKUP(Inventory!$AC198,$N$4:$O$5,2,FALSE),IF(AND($Z191="c",Inventory!$AC198=""),"a",IF(AND($Z191="c",Inventory!$AC198&lt;&gt;""),VLOOKUP(Inventory!$AC198,$N$4:$O$5,2,FALSE),"a")))))))</f>
        <v>a</v>
      </c>
      <c r="AE191" s="474">
        <f>IF(OR(Inventory!C198="New Construction",Inventory!C198="Replace-on-Burnout"),Inventory!AF198,IF(Inventory!C198="Early Retirement",MIN(Inventory!AE198,Inventory!AF198),0))</f>
        <v>0</v>
      </c>
      <c r="AF191" s="475" t="str">
        <f t="shared" si="110"/>
        <v/>
      </c>
      <c r="AG191" s="475" t="str">
        <f t="shared" si="98"/>
        <v/>
      </c>
      <c r="AH191" s="475" t="str">
        <f t="shared" si="99"/>
        <v/>
      </c>
      <c r="AI191" s="475" t="str">
        <f t="shared" si="100"/>
        <v/>
      </c>
      <c r="AJ191" s="475" t="str">
        <f t="shared" si="101"/>
        <v/>
      </c>
      <c r="AK191" s="475" t="str">
        <f t="shared" si="111"/>
        <v/>
      </c>
      <c r="AL191" s="475" t="str">
        <f t="shared" si="112"/>
        <v/>
      </c>
      <c r="AM191" s="475" t="str">
        <f t="shared" si="113"/>
        <v/>
      </c>
      <c r="AN191" s="475" t="str">
        <f t="shared" si="114"/>
        <v/>
      </c>
      <c r="AO191" s="475" t="str">
        <f t="shared" si="115"/>
        <v/>
      </c>
      <c r="AP191" s="475" t="str">
        <f t="shared" si="116"/>
        <v/>
      </c>
      <c r="AQ191" s="475" t="str">
        <f t="shared" si="117"/>
        <v/>
      </c>
      <c r="AR191" s="475" t="str">
        <f t="shared" si="118"/>
        <v/>
      </c>
      <c r="AS191" s="475" t="str">
        <f t="shared" si="119"/>
        <v/>
      </c>
      <c r="AT191" s="475" t="str">
        <f t="shared" si="120"/>
        <v/>
      </c>
      <c r="AU191" s="475" t="str">
        <f t="shared" si="121"/>
        <v/>
      </c>
      <c r="AV191" s="475" t="str">
        <f t="shared" si="102"/>
        <v/>
      </c>
      <c r="AW191" s="473">
        <f t="shared" si="103"/>
        <v>0</v>
      </c>
      <c r="AX191" s="473" t="str">
        <f>IF(AND($Z191="b",OR($AA191="a",$AA191="b"),Inventory!$I198="",$AE191&lt;(65000/12000)),"x",IF(AND($Z191="b",OR($AA191="a",$AA191="b"),Inventory!$I198&lt;&gt;"",$AE191&lt;(65000/12000)),VLOOKUP(Inventory!$I198,$V$4:$W$5,2,FALSE),"x"))</f>
        <v>x</v>
      </c>
      <c r="AY191" s="476" t="str">
        <f t="shared" si="122"/>
        <v>aaa0</v>
      </c>
      <c r="AZ191" s="477" t="str">
        <f t="shared" si="123"/>
        <v>No</v>
      </c>
      <c r="BA191" s="759" t="str">
        <f t="shared" si="124"/>
        <v>No</v>
      </c>
      <c r="BB191" s="477">
        <f>IF($Z191="c",Inventory!$AB198,Inventory!$K198)</f>
        <v>0</v>
      </c>
      <c r="BC191" s="478">
        <f>IF(AND($Z191="b",Inventory!$N198="Btu/hr"),Inventory!$M198,IF(AND($Z191="b",Inventory!$N198="Tons"),Inventory!$M198*12000,IF(AND($Z191&lt;&gt;"b",Inventory!$AK198="Btu/hr"),Inventory!$AD198,IF(AND($Z191&lt;&gt;"b",Inventory!$AK198="Tons"),Inventory!$AD198*12000,0))))</f>
        <v>0</v>
      </c>
      <c r="BD191" s="478">
        <f t="shared" si="136"/>
        <v>0</v>
      </c>
      <c r="BE191" s="479">
        <f t="shared" si="125"/>
        <v>0</v>
      </c>
      <c r="BF191" s="477" t="s">
        <v>50</v>
      </c>
      <c r="BG191" s="479">
        <f t="shared" si="104"/>
        <v>0</v>
      </c>
      <c r="BH191" s="477" t="s">
        <v>46</v>
      </c>
      <c r="BI191" s="760">
        <f>IF(AND($Z191="b",Inventory!$P198="Btu/hr"),Inventory!$O198,IF(AND($Z191="b",Inventory!$P198="Tons"),Inventory!$O198*12000,IF(AND($Z191&lt;&gt;"b",Inventory!$AM198="Btu/hr"),Inventory!$AL198,IF(AND($Z191&lt;&gt;"b",Inventory!$AM198="Tons"),Inventory!$AL198*12000,0))))</f>
        <v>0</v>
      </c>
      <c r="BJ191" s="760">
        <f t="shared" si="137"/>
        <v>0</v>
      </c>
      <c r="BK191" s="598">
        <f t="shared" si="126"/>
        <v>0</v>
      </c>
      <c r="BL191" s="759" t="s">
        <v>567</v>
      </c>
      <c r="BM191" s="477" t="str">
        <f t="shared" si="105"/>
        <v>No</v>
      </c>
      <c r="BN191" s="477" t="str">
        <f>IF(OR(Inventory!$H198="",$BM191="No"),"-",Inventory!$H198)</f>
        <v>-</v>
      </c>
      <c r="BO191" s="477" t="str">
        <f>IFERROR(VLOOKUP(BN191,'Early Retirement'!$B$6:$C$33,2,FALSE),"-")</f>
        <v>-</v>
      </c>
      <c r="BP191" s="477" t="str">
        <f>IF(Inventory!$J198="Centrifugal","Yes","No")</f>
        <v>No</v>
      </c>
      <c r="BQ191" s="477">
        <f t="shared" si="127"/>
        <v>0</v>
      </c>
      <c r="BR191" s="477" t="str">
        <f t="shared" si="128"/>
        <v>-</v>
      </c>
      <c r="BS191" s="479">
        <f>IFERROR(INDEX('Early Retirement'!$C$4:$AC$33,$BO191,$BR191),0)</f>
        <v>0</v>
      </c>
      <c r="BT191" s="477">
        <f>IFERROR(HLOOKUP($BR191,'Early Retirement'!$D$4:$AC$5,2,FALSE),0)</f>
        <v>0</v>
      </c>
      <c r="BU191" s="761">
        <f>IFERROR(INDEX('Early Retirement'!$AE$4:$BE$33,$BO191,$BR191),0)</f>
        <v>0</v>
      </c>
      <c r="BV191" s="759">
        <f>IFERROR(HLOOKUP($BR191,'Early Retirement'!$AF$4:$BE$5,2,FALSE),0)</f>
        <v>0</v>
      </c>
      <c r="BW191" s="479">
        <f t="shared" si="135"/>
        <v>0</v>
      </c>
      <c r="BX191" s="761">
        <f t="shared" si="129"/>
        <v>0</v>
      </c>
      <c r="BY191" s="477" t="s">
        <v>46</v>
      </c>
      <c r="BZ191" s="598">
        <f>IFERROR(INDEX('Early Retirement'!$BG$4:$CG$33,$BO191,$BR191),0)</f>
        <v>0</v>
      </c>
      <c r="CA191" s="759">
        <f>IFERROR(HLOOKUP($BR191,'Early Retirement'!$BH$4:$CH$5,2,FALSE),0)</f>
        <v>0</v>
      </c>
      <c r="CB191" s="598">
        <f t="shared" si="130"/>
        <v>0</v>
      </c>
      <c r="CC191" s="759" t="s">
        <v>567</v>
      </c>
      <c r="CD191" s="477" t="str">
        <f t="shared" si="106"/>
        <v>Yes</v>
      </c>
      <c r="CE191" s="479">
        <f t="shared" si="107"/>
        <v>0</v>
      </c>
      <c r="CF191" s="761">
        <f t="shared" si="108"/>
        <v>0</v>
      </c>
      <c r="CG191" s="759" t="s">
        <v>46</v>
      </c>
      <c r="CH191" s="598">
        <f t="shared" si="131"/>
        <v>0</v>
      </c>
      <c r="CI191" s="759" t="s">
        <v>567</v>
      </c>
      <c r="CJ191" s="480">
        <f t="shared" si="132"/>
        <v>0</v>
      </c>
      <c r="CK191" s="583">
        <f t="shared" si="133"/>
        <v>0</v>
      </c>
      <c r="CL191" s="596" t="s">
        <v>46</v>
      </c>
      <c r="CM191" s="581">
        <f t="shared" si="134"/>
        <v>0</v>
      </c>
      <c r="CN191" s="762" t="s">
        <v>567</v>
      </c>
      <c r="CW191" s="630"/>
      <c r="CX191" s="630"/>
      <c r="CY191" s="630"/>
      <c r="CZ191" s="630"/>
      <c r="DA191" s="630"/>
    </row>
    <row r="192" spans="2:105" s="78" customFormat="1" ht="15" customHeight="1" x14ac:dyDescent="0.25">
      <c r="B192" s="77"/>
      <c r="E192" s="77"/>
      <c r="H192" s="77"/>
      <c r="Y192" s="90">
        <v>190</v>
      </c>
      <c r="Z192" s="559" t="str">
        <f>IF(Inventory!$C199="","",VLOOKUP(Inventory!$C199,$B$3:$C$5,2,FALSE))</f>
        <v/>
      </c>
      <c r="AA192" s="559" t="str">
        <f>IF($Z192="","",IF(AND($Z192="b",Inventory!$G199=""),"",IF(AND($Z192="b",Inventory!$G199&lt;&gt;""),VLOOKUP(Inventory!$G199,$E$3:$F$10,2,FALSE),IF(AND($Z192="a",Inventory!$Z199=""),"",IF(AND($Z192="a",Inventory!$Z199&lt;&gt;""),VLOOKUP(Inventory!$Z199,$E$3:$F$10,2,FALSE),IF(AND($Z192="c",Inventory!$Z199=""),"",IF(AND($Z192="c",Inventory!$Z199&lt;&gt;""),VLOOKUP(Inventory!$Z199,$E$3:$F$10,2,FALSE),"")))))))</f>
        <v/>
      </c>
      <c r="AB192" s="559" t="str">
        <f>IF($Z192="","a",IF(AND($Z192="b",Inventory!$J199=""),"a",IF(AND($Z192="b",Inventory!$J199&lt;&gt;""),VLOOKUP(Inventory!$J199,$H$4:$I$6,2,FALSE),IF(AND($Z192="a",Inventory!$AA199=""),"a",IF(AND($Z192="a",Inventory!$AA199&lt;&gt;""),VLOOKUP(Inventory!$AA199,$H$4:$I$6,2,FALSE),IF(AND($Z192="c",Inventory!$AA199=""),"a",IF(AND($Z192="c",Inventory!$AA199&lt;&gt;""),VLOOKUP(Inventory!$AA199,$H$4:$I$6,2,FALSE),"a")))))))</f>
        <v>a</v>
      </c>
      <c r="AC192" s="559" t="str">
        <f t="shared" si="109"/>
        <v>a</v>
      </c>
      <c r="AD192" s="473" t="str">
        <f>IF($Z192="","a",IF(AND($Z192="b",Inventory!$L199=""),"a",IF(AND($Z192="b",Inventory!$L199&lt;&gt;""),VLOOKUP(Inventory!$L199,$N$4:$O$5,2,FALSE),IF(AND($Z192="a",Inventory!$AC199=""),"a",IF(AND($Z192="a",Inventory!$AC199&lt;&gt;""),VLOOKUP(Inventory!$AC199,$N$4:$O$5,2,FALSE),IF(AND($Z192="c",Inventory!$AC199=""),"a",IF(AND($Z192="c",Inventory!$AC199&lt;&gt;""),VLOOKUP(Inventory!$AC199,$N$4:$O$5,2,FALSE),"a")))))))</f>
        <v>a</v>
      </c>
      <c r="AE192" s="474">
        <f>IF(OR(Inventory!C199="New Construction",Inventory!C199="Replace-on-Burnout"),Inventory!AF199,IF(Inventory!C199="Early Retirement",MIN(Inventory!AE199,Inventory!AF199),0))</f>
        <v>0</v>
      </c>
      <c r="AF192" s="475" t="str">
        <f t="shared" si="110"/>
        <v/>
      </c>
      <c r="AG192" s="475" t="str">
        <f t="shared" si="98"/>
        <v/>
      </c>
      <c r="AH192" s="475" t="str">
        <f t="shared" si="99"/>
        <v/>
      </c>
      <c r="AI192" s="475" t="str">
        <f t="shared" si="100"/>
        <v/>
      </c>
      <c r="AJ192" s="475" t="str">
        <f t="shared" si="101"/>
        <v/>
      </c>
      <c r="AK192" s="475" t="str">
        <f t="shared" si="111"/>
        <v/>
      </c>
      <c r="AL192" s="475" t="str">
        <f t="shared" si="112"/>
        <v/>
      </c>
      <c r="AM192" s="475" t="str">
        <f t="shared" si="113"/>
        <v/>
      </c>
      <c r="AN192" s="475" t="str">
        <f t="shared" si="114"/>
        <v/>
      </c>
      <c r="AO192" s="475" t="str">
        <f t="shared" si="115"/>
        <v/>
      </c>
      <c r="AP192" s="475" t="str">
        <f t="shared" si="116"/>
        <v/>
      </c>
      <c r="AQ192" s="475" t="str">
        <f t="shared" si="117"/>
        <v/>
      </c>
      <c r="AR192" s="475" t="str">
        <f t="shared" si="118"/>
        <v/>
      </c>
      <c r="AS192" s="475" t="str">
        <f t="shared" si="119"/>
        <v/>
      </c>
      <c r="AT192" s="475" t="str">
        <f t="shared" si="120"/>
        <v/>
      </c>
      <c r="AU192" s="475" t="str">
        <f t="shared" si="121"/>
        <v/>
      </c>
      <c r="AV192" s="475" t="str">
        <f t="shared" si="102"/>
        <v/>
      </c>
      <c r="AW192" s="473">
        <f t="shared" si="103"/>
        <v>0</v>
      </c>
      <c r="AX192" s="473" t="str">
        <f>IF(AND($Z192="b",OR($AA192="a",$AA192="b"),Inventory!$I199="",$AE192&lt;(65000/12000)),"x",IF(AND($Z192="b",OR($AA192="a",$AA192="b"),Inventory!$I199&lt;&gt;"",$AE192&lt;(65000/12000)),VLOOKUP(Inventory!$I199,$V$4:$W$5,2,FALSE),"x"))</f>
        <v>x</v>
      </c>
      <c r="AY192" s="476" t="str">
        <f t="shared" si="122"/>
        <v>aaa0</v>
      </c>
      <c r="AZ192" s="477" t="str">
        <f t="shared" si="123"/>
        <v>No</v>
      </c>
      <c r="BA192" s="759" t="str">
        <f t="shared" si="124"/>
        <v>No</v>
      </c>
      <c r="BB192" s="477">
        <f>IF($Z192="c",Inventory!$AB199,Inventory!$K199)</f>
        <v>0</v>
      </c>
      <c r="BC192" s="478">
        <f>IF(AND($Z192="b",Inventory!$N199="Btu/hr"),Inventory!$M199,IF(AND($Z192="b",Inventory!$N199="Tons"),Inventory!$M199*12000,IF(AND($Z192&lt;&gt;"b",Inventory!$AK199="Btu/hr"),Inventory!$AD199,IF(AND($Z192&lt;&gt;"b",Inventory!$AK199="Tons"),Inventory!$AD199*12000,0))))</f>
        <v>0</v>
      </c>
      <c r="BD192" s="478">
        <f t="shared" si="136"/>
        <v>0</v>
      </c>
      <c r="BE192" s="479">
        <f t="shared" si="125"/>
        <v>0</v>
      </c>
      <c r="BF192" s="477" t="s">
        <v>50</v>
      </c>
      <c r="BG192" s="479">
        <f t="shared" si="104"/>
        <v>0</v>
      </c>
      <c r="BH192" s="477" t="s">
        <v>46</v>
      </c>
      <c r="BI192" s="760">
        <f>IF(AND($Z192="b",Inventory!$P199="Btu/hr"),Inventory!$O199,IF(AND($Z192="b",Inventory!$P199="Tons"),Inventory!$O199*12000,IF(AND($Z192&lt;&gt;"b",Inventory!$AM199="Btu/hr"),Inventory!$AL199,IF(AND($Z192&lt;&gt;"b",Inventory!$AM199="Tons"),Inventory!$AL199*12000,0))))</f>
        <v>0</v>
      </c>
      <c r="BJ192" s="760">
        <f t="shared" si="137"/>
        <v>0</v>
      </c>
      <c r="BK192" s="598">
        <f t="shared" si="126"/>
        <v>0</v>
      </c>
      <c r="BL192" s="759" t="s">
        <v>567</v>
      </c>
      <c r="BM192" s="477" t="str">
        <f t="shared" si="105"/>
        <v>No</v>
      </c>
      <c r="BN192" s="477" t="str">
        <f>IF(OR(Inventory!$H199="",$BM192="No"),"-",Inventory!$H199)</f>
        <v>-</v>
      </c>
      <c r="BO192" s="477" t="str">
        <f>IFERROR(VLOOKUP(BN192,'Early Retirement'!$B$6:$C$33,2,FALSE),"-")</f>
        <v>-</v>
      </c>
      <c r="BP192" s="477" t="str">
        <f>IF(Inventory!$J199="Centrifugal","Yes","No")</f>
        <v>No</v>
      </c>
      <c r="BQ192" s="477">
        <f t="shared" si="127"/>
        <v>0</v>
      </c>
      <c r="BR192" s="477" t="str">
        <f t="shared" si="128"/>
        <v>-</v>
      </c>
      <c r="BS192" s="479">
        <f>IFERROR(INDEX('Early Retirement'!$C$4:$AC$33,$BO192,$BR192),0)</f>
        <v>0</v>
      </c>
      <c r="BT192" s="477">
        <f>IFERROR(HLOOKUP($BR192,'Early Retirement'!$D$4:$AC$5,2,FALSE),0)</f>
        <v>0</v>
      </c>
      <c r="BU192" s="761">
        <f>IFERROR(INDEX('Early Retirement'!$AE$4:$BE$33,$BO192,$BR192),0)</f>
        <v>0</v>
      </c>
      <c r="BV192" s="759">
        <f>IFERROR(HLOOKUP($BR192,'Early Retirement'!$AF$4:$BE$5,2,FALSE),0)</f>
        <v>0</v>
      </c>
      <c r="BW192" s="479">
        <f t="shared" si="135"/>
        <v>0</v>
      </c>
      <c r="BX192" s="761">
        <f t="shared" si="129"/>
        <v>0</v>
      </c>
      <c r="BY192" s="477" t="s">
        <v>46</v>
      </c>
      <c r="BZ192" s="598">
        <f>IFERROR(INDEX('Early Retirement'!$BG$4:$CG$33,$BO192,$BR192),0)</f>
        <v>0</v>
      </c>
      <c r="CA192" s="759">
        <f>IFERROR(HLOOKUP($BR192,'Early Retirement'!$BH$4:$CH$5,2,FALSE),0)</f>
        <v>0</v>
      </c>
      <c r="CB192" s="598">
        <f t="shared" si="130"/>
        <v>0</v>
      </c>
      <c r="CC192" s="759" t="s">
        <v>567</v>
      </c>
      <c r="CD192" s="477" t="str">
        <f t="shared" si="106"/>
        <v>Yes</v>
      </c>
      <c r="CE192" s="479">
        <f t="shared" si="107"/>
        <v>0</v>
      </c>
      <c r="CF192" s="761">
        <f t="shared" si="108"/>
        <v>0</v>
      </c>
      <c r="CG192" s="759" t="s">
        <v>46</v>
      </c>
      <c r="CH192" s="598">
        <f t="shared" si="131"/>
        <v>0</v>
      </c>
      <c r="CI192" s="759" t="s">
        <v>567</v>
      </c>
      <c r="CJ192" s="480">
        <f t="shared" si="132"/>
        <v>0</v>
      </c>
      <c r="CK192" s="583">
        <f t="shared" si="133"/>
        <v>0</v>
      </c>
      <c r="CL192" s="596" t="s">
        <v>46</v>
      </c>
      <c r="CM192" s="581">
        <f t="shared" si="134"/>
        <v>0</v>
      </c>
      <c r="CN192" s="762" t="s">
        <v>567</v>
      </c>
      <c r="CW192" s="630"/>
      <c r="CX192" s="630"/>
      <c r="CY192" s="630"/>
      <c r="CZ192" s="630"/>
      <c r="DA192" s="630"/>
    </row>
    <row r="193" spans="2:105" s="78" customFormat="1" ht="15" customHeight="1" x14ac:dyDescent="0.25">
      <c r="B193" s="77"/>
      <c r="E193" s="77"/>
      <c r="H193" s="77"/>
      <c r="Y193" s="90">
        <v>191</v>
      </c>
      <c r="Z193" s="559" t="str">
        <f>IF(Inventory!$C200="","",VLOOKUP(Inventory!$C200,$B$3:$C$5,2,FALSE))</f>
        <v/>
      </c>
      <c r="AA193" s="559" t="str">
        <f>IF($Z193="","",IF(AND($Z193="b",Inventory!$G200=""),"",IF(AND($Z193="b",Inventory!$G200&lt;&gt;""),VLOOKUP(Inventory!$G200,$E$3:$F$10,2,FALSE),IF(AND($Z193="a",Inventory!$Z200=""),"",IF(AND($Z193="a",Inventory!$Z200&lt;&gt;""),VLOOKUP(Inventory!$Z200,$E$3:$F$10,2,FALSE),IF(AND($Z193="c",Inventory!$Z200=""),"",IF(AND($Z193="c",Inventory!$Z200&lt;&gt;""),VLOOKUP(Inventory!$Z200,$E$3:$F$10,2,FALSE),"")))))))</f>
        <v/>
      </c>
      <c r="AB193" s="559" t="str">
        <f>IF($Z193="","a",IF(AND($Z193="b",Inventory!$J200=""),"a",IF(AND($Z193="b",Inventory!$J200&lt;&gt;""),VLOOKUP(Inventory!$J200,$H$4:$I$6,2,FALSE),IF(AND($Z193="a",Inventory!$AA200=""),"a",IF(AND($Z193="a",Inventory!$AA200&lt;&gt;""),VLOOKUP(Inventory!$AA200,$H$4:$I$6,2,FALSE),IF(AND($Z193="c",Inventory!$AA200=""),"a",IF(AND($Z193="c",Inventory!$AA200&lt;&gt;""),VLOOKUP(Inventory!$AA200,$H$4:$I$6,2,FALSE),"a")))))))</f>
        <v>a</v>
      </c>
      <c r="AC193" s="559" t="str">
        <f t="shared" si="109"/>
        <v>a</v>
      </c>
      <c r="AD193" s="473" t="str">
        <f>IF($Z193="","a",IF(AND($Z193="b",Inventory!$L200=""),"a",IF(AND($Z193="b",Inventory!$L200&lt;&gt;""),VLOOKUP(Inventory!$L200,$N$4:$O$5,2,FALSE),IF(AND($Z193="a",Inventory!$AC200=""),"a",IF(AND($Z193="a",Inventory!$AC200&lt;&gt;""),VLOOKUP(Inventory!$AC200,$N$4:$O$5,2,FALSE),IF(AND($Z193="c",Inventory!$AC200=""),"a",IF(AND($Z193="c",Inventory!$AC200&lt;&gt;""),VLOOKUP(Inventory!$AC200,$N$4:$O$5,2,FALSE),"a")))))))</f>
        <v>a</v>
      </c>
      <c r="AE193" s="474">
        <f>IF(OR(Inventory!C200="New Construction",Inventory!C200="Replace-on-Burnout"),Inventory!AF200,IF(Inventory!C200="Early Retirement",MIN(Inventory!AE200,Inventory!AF200),0))</f>
        <v>0</v>
      </c>
      <c r="AF193" s="475" t="str">
        <f t="shared" si="110"/>
        <v/>
      </c>
      <c r="AG193" s="475" t="str">
        <f t="shared" si="98"/>
        <v/>
      </c>
      <c r="AH193" s="475" t="str">
        <f t="shared" si="99"/>
        <v/>
      </c>
      <c r="AI193" s="475" t="str">
        <f t="shared" si="100"/>
        <v/>
      </c>
      <c r="AJ193" s="475" t="str">
        <f t="shared" si="101"/>
        <v/>
      </c>
      <c r="AK193" s="475" t="str">
        <f t="shared" si="111"/>
        <v/>
      </c>
      <c r="AL193" s="475" t="str">
        <f t="shared" si="112"/>
        <v/>
      </c>
      <c r="AM193" s="475" t="str">
        <f t="shared" si="113"/>
        <v/>
      </c>
      <c r="AN193" s="475" t="str">
        <f t="shared" si="114"/>
        <v/>
      </c>
      <c r="AO193" s="475" t="str">
        <f t="shared" si="115"/>
        <v/>
      </c>
      <c r="AP193" s="475" t="str">
        <f t="shared" si="116"/>
        <v/>
      </c>
      <c r="AQ193" s="475" t="str">
        <f t="shared" si="117"/>
        <v/>
      </c>
      <c r="AR193" s="475" t="str">
        <f t="shared" si="118"/>
        <v/>
      </c>
      <c r="AS193" s="475" t="str">
        <f t="shared" si="119"/>
        <v/>
      </c>
      <c r="AT193" s="475" t="str">
        <f t="shared" si="120"/>
        <v/>
      </c>
      <c r="AU193" s="475" t="str">
        <f t="shared" si="121"/>
        <v/>
      </c>
      <c r="AV193" s="475" t="str">
        <f t="shared" si="102"/>
        <v/>
      </c>
      <c r="AW193" s="473">
        <f t="shared" si="103"/>
        <v>0</v>
      </c>
      <c r="AX193" s="473" t="str">
        <f>IF(AND($Z193="b",OR($AA193="a",$AA193="b"),Inventory!$I200="",$AE193&lt;(65000/12000)),"x",IF(AND($Z193="b",OR($AA193="a",$AA193="b"),Inventory!$I200&lt;&gt;"",$AE193&lt;(65000/12000)),VLOOKUP(Inventory!$I200,$V$4:$W$5,2,FALSE),"x"))</f>
        <v>x</v>
      </c>
      <c r="AY193" s="476" t="str">
        <f t="shared" si="122"/>
        <v>aaa0</v>
      </c>
      <c r="AZ193" s="477" t="str">
        <f t="shared" si="123"/>
        <v>No</v>
      </c>
      <c r="BA193" s="759" t="str">
        <f t="shared" si="124"/>
        <v>No</v>
      </c>
      <c r="BB193" s="477">
        <f>IF($Z193="c",Inventory!$AB200,Inventory!$K200)</f>
        <v>0</v>
      </c>
      <c r="BC193" s="478">
        <f>IF(AND($Z193="b",Inventory!$N200="Btu/hr"),Inventory!$M200,IF(AND($Z193="b",Inventory!$N200="Tons"),Inventory!$M200*12000,IF(AND($Z193&lt;&gt;"b",Inventory!$AK200="Btu/hr"),Inventory!$AD200,IF(AND($Z193&lt;&gt;"b",Inventory!$AK200="Tons"),Inventory!$AD200*12000,0))))</f>
        <v>0</v>
      </c>
      <c r="BD193" s="478">
        <f t="shared" si="136"/>
        <v>0</v>
      </c>
      <c r="BE193" s="479">
        <f t="shared" si="125"/>
        <v>0</v>
      </c>
      <c r="BF193" s="477" t="s">
        <v>50</v>
      </c>
      <c r="BG193" s="479">
        <f t="shared" si="104"/>
        <v>0</v>
      </c>
      <c r="BH193" s="477" t="s">
        <v>46</v>
      </c>
      <c r="BI193" s="760">
        <f>IF(AND($Z193="b",Inventory!$P200="Btu/hr"),Inventory!$O200,IF(AND($Z193="b",Inventory!$P200="Tons"),Inventory!$O200*12000,IF(AND($Z193&lt;&gt;"b",Inventory!$AM200="Btu/hr"),Inventory!$AL200,IF(AND($Z193&lt;&gt;"b",Inventory!$AM200="Tons"),Inventory!$AL200*12000,0))))</f>
        <v>0</v>
      </c>
      <c r="BJ193" s="760">
        <f t="shared" si="137"/>
        <v>0</v>
      </c>
      <c r="BK193" s="598">
        <f t="shared" si="126"/>
        <v>0</v>
      </c>
      <c r="BL193" s="759" t="s">
        <v>567</v>
      </c>
      <c r="BM193" s="477" t="str">
        <f t="shared" si="105"/>
        <v>No</v>
      </c>
      <c r="BN193" s="477" t="str">
        <f>IF(OR(Inventory!$H200="",$BM193="No"),"-",Inventory!$H200)</f>
        <v>-</v>
      </c>
      <c r="BO193" s="477" t="str">
        <f>IFERROR(VLOOKUP(BN193,'Early Retirement'!$B$6:$C$33,2,FALSE),"-")</f>
        <v>-</v>
      </c>
      <c r="BP193" s="477" t="str">
        <f>IF(Inventory!$J200="Centrifugal","Yes","No")</f>
        <v>No</v>
      </c>
      <c r="BQ193" s="477">
        <f t="shared" si="127"/>
        <v>0</v>
      </c>
      <c r="BR193" s="477" t="str">
        <f t="shared" si="128"/>
        <v>-</v>
      </c>
      <c r="BS193" s="479">
        <f>IFERROR(INDEX('Early Retirement'!$C$4:$AC$33,$BO193,$BR193),0)</f>
        <v>0</v>
      </c>
      <c r="BT193" s="477">
        <f>IFERROR(HLOOKUP($BR193,'Early Retirement'!$D$4:$AC$5,2,FALSE),0)</f>
        <v>0</v>
      </c>
      <c r="BU193" s="761">
        <f>IFERROR(INDEX('Early Retirement'!$AE$4:$BE$33,$BO193,$BR193),0)</f>
        <v>0</v>
      </c>
      <c r="BV193" s="759">
        <f>IFERROR(HLOOKUP($BR193,'Early Retirement'!$AF$4:$BE$5,2,FALSE),0)</f>
        <v>0</v>
      </c>
      <c r="BW193" s="479">
        <f t="shared" si="135"/>
        <v>0</v>
      </c>
      <c r="BX193" s="761">
        <f t="shared" si="129"/>
        <v>0</v>
      </c>
      <c r="BY193" s="477" t="s">
        <v>46</v>
      </c>
      <c r="BZ193" s="598">
        <f>IFERROR(INDEX('Early Retirement'!$BG$4:$CG$33,$BO193,$BR193),0)</f>
        <v>0</v>
      </c>
      <c r="CA193" s="759">
        <f>IFERROR(HLOOKUP($BR193,'Early Retirement'!$BH$4:$CH$5,2,FALSE),0)</f>
        <v>0</v>
      </c>
      <c r="CB193" s="598">
        <f t="shared" si="130"/>
        <v>0</v>
      </c>
      <c r="CC193" s="759" t="s">
        <v>567</v>
      </c>
      <c r="CD193" s="477" t="str">
        <f t="shared" si="106"/>
        <v>Yes</v>
      </c>
      <c r="CE193" s="479">
        <f t="shared" si="107"/>
        <v>0</v>
      </c>
      <c r="CF193" s="761">
        <f t="shared" si="108"/>
        <v>0</v>
      </c>
      <c r="CG193" s="759" t="s">
        <v>46</v>
      </c>
      <c r="CH193" s="598">
        <f t="shared" si="131"/>
        <v>0</v>
      </c>
      <c r="CI193" s="759" t="s">
        <v>567</v>
      </c>
      <c r="CJ193" s="480">
        <f t="shared" si="132"/>
        <v>0</v>
      </c>
      <c r="CK193" s="583">
        <f t="shared" si="133"/>
        <v>0</v>
      </c>
      <c r="CL193" s="596" t="s">
        <v>46</v>
      </c>
      <c r="CM193" s="581">
        <f t="shared" si="134"/>
        <v>0</v>
      </c>
      <c r="CN193" s="762" t="s">
        <v>567</v>
      </c>
      <c r="CW193" s="630"/>
      <c r="CX193" s="630"/>
      <c r="CY193" s="630"/>
      <c r="CZ193" s="630"/>
      <c r="DA193" s="630"/>
    </row>
    <row r="194" spans="2:105" s="78" customFormat="1" ht="15" customHeight="1" x14ac:dyDescent="0.25">
      <c r="B194" s="77"/>
      <c r="E194" s="77"/>
      <c r="H194" s="77"/>
      <c r="Y194" s="90">
        <v>192</v>
      </c>
      <c r="Z194" s="559" t="str">
        <f>IF(Inventory!$C201="","",VLOOKUP(Inventory!$C201,$B$3:$C$5,2,FALSE))</f>
        <v/>
      </c>
      <c r="AA194" s="559" t="str">
        <f>IF($Z194="","",IF(AND($Z194="b",Inventory!$G201=""),"",IF(AND($Z194="b",Inventory!$G201&lt;&gt;""),VLOOKUP(Inventory!$G201,$E$3:$F$10,2,FALSE),IF(AND($Z194="a",Inventory!$Z201=""),"",IF(AND($Z194="a",Inventory!$Z201&lt;&gt;""),VLOOKUP(Inventory!$Z201,$E$3:$F$10,2,FALSE),IF(AND($Z194="c",Inventory!$Z201=""),"",IF(AND($Z194="c",Inventory!$Z201&lt;&gt;""),VLOOKUP(Inventory!$Z201,$E$3:$F$10,2,FALSE),"")))))))</f>
        <v/>
      </c>
      <c r="AB194" s="559" t="str">
        <f>IF($Z194="","a",IF(AND($Z194="b",Inventory!$J201=""),"a",IF(AND($Z194="b",Inventory!$J201&lt;&gt;""),VLOOKUP(Inventory!$J201,$H$4:$I$6,2,FALSE),IF(AND($Z194="a",Inventory!$AA201=""),"a",IF(AND($Z194="a",Inventory!$AA201&lt;&gt;""),VLOOKUP(Inventory!$AA201,$H$4:$I$6,2,FALSE),IF(AND($Z194="c",Inventory!$AA201=""),"a",IF(AND($Z194="c",Inventory!$AA201&lt;&gt;""),VLOOKUP(Inventory!$AA201,$H$4:$I$6,2,FALSE),"a")))))))</f>
        <v>a</v>
      </c>
      <c r="AC194" s="559" t="str">
        <f t="shared" si="109"/>
        <v>a</v>
      </c>
      <c r="AD194" s="473" t="str">
        <f>IF($Z194="","a",IF(AND($Z194="b",Inventory!$L201=""),"a",IF(AND($Z194="b",Inventory!$L201&lt;&gt;""),VLOOKUP(Inventory!$L201,$N$4:$O$5,2,FALSE),IF(AND($Z194="a",Inventory!$AC201=""),"a",IF(AND($Z194="a",Inventory!$AC201&lt;&gt;""),VLOOKUP(Inventory!$AC201,$N$4:$O$5,2,FALSE),IF(AND($Z194="c",Inventory!$AC201=""),"a",IF(AND($Z194="c",Inventory!$AC201&lt;&gt;""),VLOOKUP(Inventory!$AC201,$N$4:$O$5,2,FALSE),"a")))))))</f>
        <v>a</v>
      </c>
      <c r="AE194" s="474">
        <f>IF(OR(Inventory!C201="New Construction",Inventory!C201="Replace-on-Burnout"),Inventory!AF201,IF(Inventory!C201="Early Retirement",MIN(Inventory!AE201,Inventory!AF201),0))</f>
        <v>0</v>
      </c>
      <c r="AF194" s="475" t="str">
        <f t="shared" si="110"/>
        <v/>
      </c>
      <c r="AG194" s="475" t="str">
        <f t="shared" si="98"/>
        <v/>
      </c>
      <c r="AH194" s="475" t="str">
        <f t="shared" si="99"/>
        <v/>
      </c>
      <c r="AI194" s="475" t="str">
        <f t="shared" si="100"/>
        <v/>
      </c>
      <c r="AJ194" s="475" t="str">
        <f t="shared" si="101"/>
        <v/>
      </c>
      <c r="AK194" s="475" t="str">
        <f t="shared" si="111"/>
        <v/>
      </c>
      <c r="AL194" s="475" t="str">
        <f t="shared" si="112"/>
        <v/>
      </c>
      <c r="AM194" s="475" t="str">
        <f t="shared" si="113"/>
        <v/>
      </c>
      <c r="AN194" s="475" t="str">
        <f t="shared" si="114"/>
        <v/>
      </c>
      <c r="AO194" s="475" t="str">
        <f t="shared" si="115"/>
        <v/>
      </c>
      <c r="AP194" s="475" t="str">
        <f t="shared" si="116"/>
        <v/>
      </c>
      <c r="AQ194" s="475" t="str">
        <f t="shared" si="117"/>
        <v/>
      </c>
      <c r="AR194" s="475" t="str">
        <f t="shared" si="118"/>
        <v/>
      </c>
      <c r="AS194" s="475" t="str">
        <f t="shared" si="119"/>
        <v/>
      </c>
      <c r="AT194" s="475" t="str">
        <f t="shared" si="120"/>
        <v/>
      </c>
      <c r="AU194" s="475" t="str">
        <f t="shared" si="121"/>
        <v/>
      </c>
      <c r="AV194" s="475" t="str">
        <f t="shared" si="102"/>
        <v/>
      </c>
      <c r="AW194" s="473">
        <f t="shared" si="103"/>
        <v>0</v>
      </c>
      <c r="AX194" s="473" t="str">
        <f>IF(AND($Z194="b",OR($AA194="a",$AA194="b"),Inventory!$I201="",$AE194&lt;(65000/12000)),"x",IF(AND($Z194="b",OR($AA194="a",$AA194="b"),Inventory!$I201&lt;&gt;"",$AE194&lt;(65000/12000)),VLOOKUP(Inventory!$I201,$V$4:$W$5,2,FALSE),"x"))</f>
        <v>x</v>
      </c>
      <c r="AY194" s="476" t="str">
        <f t="shared" si="122"/>
        <v>aaa0</v>
      </c>
      <c r="AZ194" s="477" t="str">
        <f t="shared" si="123"/>
        <v>No</v>
      </c>
      <c r="BA194" s="759" t="str">
        <f t="shared" si="124"/>
        <v>No</v>
      </c>
      <c r="BB194" s="477">
        <f>IF($Z194="c",Inventory!$AB201,Inventory!$K201)</f>
        <v>0</v>
      </c>
      <c r="BC194" s="478">
        <f>IF(AND($Z194="b",Inventory!$N201="Btu/hr"),Inventory!$M201,IF(AND($Z194="b",Inventory!$N201="Tons"),Inventory!$M201*12000,IF(AND($Z194&lt;&gt;"b",Inventory!$AK201="Btu/hr"),Inventory!$AD201,IF(AND($Z194&lt;&gt;"b",Inventory!$AK201="Tons"),Inventory!$AD201*12000,0))))</f>
        <v>0</v>
      </c>
      <c r="BD194" s="478">
        <f t="shared" si="136"/>
        <v>0</v>
      </c>
      <c r="BE194" s="479">
        <f t="shared" si="125"/>
        <v>0</v>
      </c>
      <c r="BF194" s="477" t="s">
        <v>50</v>
      </c>
      <c r="BG194" s="479">
        <f t="shared" si="104"/>
        <v>0</v>
      </c>
      <c r="BH194" s="477" t="s">
        <v>46</v>
      </c>
      <c r="BI194" s="760">
        <f>IF(AND($Z194="b",Inventory!$P201="Btu/hr"),Inventory!$O201,IF(AND($Z194="b",Inventory!$P201="Tons"),Inventory!$O201*12000,IF(AND($Z194&lt;&gt;"b",Inventory!$AM201="Btu/hr"),Inventory!$AL201,IF(AND($Z194&lt;&gt;"b",Inventory!$AM201="Tons"),Inventory!$AL201*12000,0))))</f>
        <v>0</v>
      </c>
      <c r="BJ194" s="760">
        <f t="shared" si="137"/>
        <v>0</v>
      </c>
      <c r="BK194" s="598">
        <f t="shared" si="126"/>
        <v>0</v>
      </c>
      <c r="BL194" s="759" t="s">
        <v>567</v>
      </c>
      <c r="BM194" s="477" t="str">
        <f t="shared" si="105"/>
        <v>No</v>
      </c>
      <c r="BN194" s="477" t="str">
        <f>IF(OR(Inventory!$H201="",$BM194="No"),"-",Inventory!$H201)</f>
        <v>-</v>
      </c>
      <c r="BO194" s="477" t="str">
        <f>IFERROR(VLOOKUP(BN194,'Early Retirement'!$B$6:$C$33,2,FALSE),"-")</f>
        <v>-</v>
      </c>
      <c r="BP194" s="477" t="str">
        <f>IF(Inventory!$J201="Centrifugal","Yes","No")</f>
        <v>No</v>
      </c>
      <c r="BQ194" s="477">
        <f t="shared" si="127"/>
        <v>0</v>
      </c>
      <c r="BR194" s="477" t="str">
        <f t="shared" si="128"/>
        <v>-</v>
      </c>
      <c r="BS194" s="479">
        <f>IFERROR(INDEX('Early Retirement'!$C$4:$AC$33,$BO194,$BR194),0)</f>
        <v>0</v>
      </c>
      <c r="BT194" s="477">
        <f>IFERROR(HLOOKUP($BR194,'Early Retirement'!$D$4:$AC$5,2,FALSE),0)</f>
        <v>0</v>
      </c>
      <c r="BU194" s="761">
        <f>IFERROR(INDEX('Early Retirement'!$AE$4:$BE$33,$BO194,$BR194),0)</f>
        <v>0</v>
      </c>
      <c r="BV194" s="759">
        <f>IFERROR(HLOOKUP($BR194,'Early Retirement'!$AF$4:$BE$5,2,FALSE),0)</f>
        <v>0</v>
      </c>
      <c r="BW194" s="479">
        <f t="shared" si="135"/>
        <v>0</v>
      </c>
      <c r="BX194" s="761">
        <f t="shared" si="129"/>
        <v>0</v>
      </c>
      <c r="BY194" s="477" t="s">
        <v>46</v>
      </c>
      <c r="BZ194" s="598">
        <f>IFERROR(INDEX('Early Retirement'!$BG$4:$CG$33,$BO194,$BR194),0)</f>
        <v>0</v>
      </c>
      <c r="CA194" s="759">
        <f>IFERROR(HLOOKUP($BR194,'Early Retirement'!$BH$4:$CH$5,2,FALSE),0)</f>
        <v>0</v>
      </c>
      <c r="CB194" s="598">
        <f t="shared" si="130"/>
        <v>0</v>
      </c>
      <c r="CC194" s="759" t="s">
        <v>567</v>
      </c>
      <c r="CD194" s="477" t="str">
        <f t="shared" si="106"/>
        <v>Yes</v>
      </c>
      <c r="CE194" s="479">
        <f t="shared" si="107"/>
        <v>0</v>
      </c>
      <c r="CF194" s="761">
        <f t="shared" si="108"/>
        <v>0</v>
      </c>
      <c r="CG194" s="759" t="s">
        <v>46</v>
      </c>
      <c r="CH194" s="598">
        <f t="shared" si="131"/>
        <v>0</v>
      </c>
      <c r="CI194" s="759" t="s">
        <v>567</v>
      </c>
      <c r="CJ194" s="480">
        <f t="shared" si="132"/>
        <v>0</v>
      </c>
      <c r="CK194" s="583">
        <f t="shared" si="133"/>
        <v>0</v>
      </c>
      <c r="CL194" s="596" t="s">
        <v>46</v>
      </c>
      <c r="CM194" s="581">
        <f t="shared" si="134"/>
        <v>0</v>
      </c>
      <c r="CN194" s="762" t="s">
        <v>567</v>
      </c>
      <c r="CW194" s="630"/>
      <c r="CX194" s="630"/>
      <c r="CY194" s="630"/>
      <c r="CZ194" s="630"/>
      <c r="DA194" s="630"/>
    </row>
    <row r="195" spans="2:105" s="78" customFormat="1" ht="15" customHeight="1" x14ac:dyDescent="0.25">
      <c r="B195" s="77"/>
      <c r="E195" s="77"/>
      <c r="H195" s="77"/>
      <c r="Y195" s="90">
        <v>193</v>
      </c>
      <c r="Z195" s="559" t="str">
        <f>IF(Inventory!$C202="","",VLOOKUP(Inventory!$C202,$B$3:$C$5,2,FALSE))</f>
        <v/>
      </c>
      <c r="AA195" s="559" t="str">
        <f>IF($Z195="","",IF(AND($Z195="b",Inventory!$G202=""),"",IF(AND($Z195="b",Inventory!$G202&lt;&gt;""),VLOOKUP(Inventory!$G202,$E$3:$F$10,2,FALSE),IF(AND($Z195="a",Inventory!$Z202=""),"",IF(AND($Z195="a",Inventory!$Z202&lt;&gt;""),VLOOKUP(Inventory!$Z202,$E$3:$F$10,2,FALSE),IF(AND($Z195="c",Inventory!$Z202=""),"",IF(AND($Z195="c",Inventory!$Z202&lt;&gt;""),VLOOKUP(Inventory!$Z202,$E$3:$F$10,2,FALSE),"")))))))</f>
        <v/>
      </c>
      <c r="AB195" s="559" t="str">
        <f>IF($Z195="","a",IF(AND($Z195="b",Inventory!$J202=""),"a",IF(AND($Z195="b",Inventory!$J202&lt;&gt;""),VLOOKUP(Inventory!$J202,$H$4:$I$6,2,FALSE),IF(AND($Z195="a",Inventory!$AA202=""),"a",IF(AND($Z195="a",Inventory!$AA202&lt;&gt;""),VLOOKUP(Inventory!$AA202,$H$4:$I$6,2,FALSE),IF(AND($Z195="c",Inventory!$AA202=""),"a",IF(AND($Z195="c",Inventory!$AA202&lt;&gt;""),VLOOKUP(Inventory!$AA202,$H$4:$I$6,2,FALSE),"a")))))))</f>
        <v>a</v>
      </c>
      <c r="AC195" s="559" t="str">
        <f t="shared" si="109"/>
        <v>a</v>
      </c>
      <c r="AD195" s="473" t="str">
        <f>IF($Z195="","a",IF(AND($Z195="b",Inventory!$L202=""),"a",IF(AND($Z195="b",Inventory!$L202&lt;&gt;""),VLOOKUP(Inventory!$L202,$N$4:$O$5,2,FALSE),IF(AND($Z195="a",Inventory!$AC202=""),"a",IF(AND($Z195="a",Inventory!$AC202&lt;&gt;""),VLOOKUP(Inventory!$AC202,$N$4:$O$5,2,FALSE),IF(AND($Z195="c",Inventory!$AC202=""),"a",IF(AND($Z195="c",Inventory!$AC202&lt;&gt;""),VLOOKUP(Inventory!$AC202,$N$4:$O$5,2,FALSE),"a")))))))</f>
        <v>a</v>
      </c>
      <c r="AE195" s="474">
        <f>IF(OR(Inventory!C202="New Construction",Inventory!C202="Replace-on-Burnout"),Inventory!AF202,IF(Inventory!C202="Early Retirement",MIN(Inventory!AE202,Inventory!AF202),0))</f>
        <v>0</v>
      </c>
      <c r="AF195" s="475" t="str">
        <f t="shared" si="110"/>
        <v/>
      </c>
      <c r="AG195" s="475" t="str">
        <f t="shared" ref="AG195:AG252" si="138">IF(OR(AND($AA195&lt;&gt;"a",$AA195&lt;&gt;"b"),$AE195="",$AF195&lt;&gt;0),"",IF(AND($AE195&gt;=$AG$2,$AA195="a"),4,IF(AND($AE195&gt;=$AG$2,$AA195="b"),9,0)))</f>
        <v/>
      </c>
      <c r="AH195" s="475" t="str">
        <f t="shared" ref="AH195:AH252" si="139">IF(OR(AND($AA195&lt;&gt;"a",$AA195&lt;&gt;"b"),$AE195="",$AG195&lt;&gt;0),"",IF(AND($AE195&gt;=$AH$2,$AA195="a"),3,IF(AND($AE195&gt;=$AH$2,$AA195="b"),8,0)))</f>
        <v/>
      </c>
      <c r="AI195" s="475" t="str">
        <f t="shared" ref="AI195:AI252" si="140">IF(OR(AND($AA195&lt;&gt;"a",$AA195&lt;&gt;"b"),$AE195="",$AH195&lt;&gt;0),"",IF(AND($AE195&gt;=$AI$2,$AA195="a"),2,IF(AND($AE195&gt;=$AI$2,$AA195="b"),7,0)))</f>
        <v/>
      </c>
      <c r="AJ195" s="475" t="str">
        <f t="shared" ref="AJ195:AJ252" si="141">IF(OR(AND($AA195&lt;&gt;"a",$AA195&lt;&gt;"b"),$AE195="",$AI195&lt;&gt;0),"",IF(AND($AE195&gt;=$AJ$2,$AA195="a"),1,IF(AND($AE195&gt;=$AJ$2,$AA195="b"),6,0)))</f>
        <v/>
      </c>
      <c r="AK195" s="475" t="str">
        <f t="shared" si="111"/>
        <v/>
      </c>
      <c r="AL195" s="475" t="str">
        <f t="shared" si="112"/>
        <v/>
      </c>
      <c r="AM195" s="475" t="str">
        <f t="shared" si="113"/>
        <v/>
      </c>
      <c r="AN195" s="475" t="str">
        <f t="shared" si="114"/>
        <v/>
      </c>
      <c r="AO195" s="475" t="str">
        <f t="shared" si="115"/>
        <v/>
      </c>
      <c r="AP195" s="475" t="str">
        <f t="shared" si="116"/>
        <v/>
      </c>
      <c r="AQ195" s="475" t="str">
        <f t="shared" si="117"/>
        <v/>
      </c>
      <c r="AR195" s="475" t="str">
        <f t="shared" si="118"/>
        <v/>
      </c>
      <c r="AS195" s="475" t="str">
        <f t="shared" si="119"/>
        <v/>
      </c>
      <c r="AT195" s="475" t="str">
        <f t="shared" si="120"/>
        <v/>
      </c>
      <c r="AU195" s="475" t="str">
        <f t="shared" si="121"/>
        <v/>
      </c>
      <c r="AV195" s="475" t="str">
        <f t="shared" ref="AV195:AV252" si="142">IF($AE195="","",IF(AND($Z195="c",$AA195="c"),10,IF(AND($Z195="a",$AA195="c"),11,IF(AND($Z195="c",$AA195="d"),12,IF(AND($Z195="a",$AA195="d"),13,"")))))</f>
        <v/>
      </c>
      <c r="AW195" s="473">
        <f t="shared" ref="AW195:AW252" si="143">SUM($AF195:$AV195)</f>
        <v>0</v>
      </c>
      <c r="AX195" s="473" t="str">
        <f>IF(AND($Z195="b",OR($AA195="a",$AA195="b"),Inventory!$I202="",$AE195&lt;(65000/12000)),"x",IF(AND($Z195="b",OR($AA195="a",$AA195="b"),Inventory!$I202&lt;&gt;"",$AE195&lt;(65000/12000)),VLOOKUP(Inventory!$I202,$V$4:$W$5,2,FALSE),"x"))</f>
        <v>x</v>
      </c>
      <c r="AY195" s="476" t="str">
        <f t="shared" si="122"/>
        <v>aaa0</v>
      </c>
      <c r="AZ195" s="477" t="str">
        <f t="shared" si="123"/>
        <v>No</v>
      </c>
      <c r="BA195" s="759" t="str">
        <f t="shared" si="124"/>
        <v>No</v>
      </c>
      <c r="BB195" s="477">
        <f>IF($Z195="c",Inventory!$AB202,Inventory!$K202)</f>
        <v>0</v>
      </c>
      <c r="BC195" s="478">
        <f>IF(AND($Z195="b",Inventory!$N202="Btu/hr"),Inventory!$M202,IF(AND($Z195="b",Inventory!$N202="Tons"),Inventory!$M202*12000,IF(AND($Z195&lt;&gt;"b",Inventory!$AK202="Btu/hr"),Inventory!$AD202,IF(AND($Z195&lt;&gt;"b",Inventory!$AK202="Tons"),Inventory!$AD202*12000,0))))</f>
        <v>0</v>
      </c>
      <c r="BD195" s="478">
        <f t="shared" si="136"/>
        <v>0</v>
      </c>
      <c r="BE195" s="479">
        <f t="shared" si="125"/>
        <v>0</v>
      </c>
      <c r="BF195" s="477" t="s">
        <v>50</v>
      </c>
      <c r="BG195" s="479">
        <f t="shared" ref="BG195:BG252" si="144">IFERROR(12/$BE195,0)</f>
        <v>0</v>
      </c>
      <c r="BH195" s="477" t="s">
        <v>46</v>
      </c>
      <c r="BI195" s="760">
        <f>IF(AND($Z195="b",Inventory!$P202="Btu/hr"),Inventory!$O202,IF(AND($Z195="b",Inventory!$P202="Tons"),Inventory!$O202*12000,IF(AND($Z195&lt;&gt;"b",Inventory!$AM202="Btu/hr"),Inventory!$AL202,IF(AND($Z195&lt;&gt;"b",Inventory!$AM202="Tons"),Inventory!$AL202*12000,0))))</f>
        <v>0</v>
      </c>
      <c r="BJ195" s="760">
        <f t="shared" si="137"/>
        <v>0</v>
      </c>
      <c r="BK195" s="598">
        <f t="shared" si="126"/>
        <v>0</v>
      </c>
      <c r="BL195" s="759" t="s">
        <v>567</v>
      </c>
      <c r="BM195" s="477" t="str">
        <f t="shared" ref="BM195:BM252" si="145">IF($Z195="b","Yes","No")</f>
        <v>No</v>
      </c>
      <c r="BN195" s="477" t="str">
        <f>IF(OR(Inventory!$H202="",$BM195="No"),"-",Inventory!$H202)</f>
        <v>-</v>
      </c>
      <c r="BO195" s="477" t="str">
        <f>IFERROR(VLOOKUP(BN195,'Early Retirement'!$B$6:$C$33,2,FALSE),"-")</f>
        <v>-</v>
      </c>
      <c r="BP195" s="477" t="str">
        <f>IF(Inventory!$J202="Centrifugal","Yes","No")</f>
        <v>No</v>
      </c>
      <c r="BQ195" s="477">
        <f t="shared" si="127"/>
        <v>0</v>
      </c>
      <c r="BR195" s="477" t="str">
        <f t="shared" si="128"/>
        <v>-</v>
      </c>
      <c r="BS195" s="479">
        <f>IFERROR(INDEX('Early Retirement'!$C$4:$AC$33,$BO195,$BR195),0)</f>
        <v>0</v>
      </c>
      <c r="BT195" s="477">
        <f>IFERROR(HLOOKUP($BR195,'Early Retirement'!$D$4:$AC$5,2,FALSE),0)</f>
        <v>0</v>
      </c>
      <c r="BU195" s="761">
        <f>IFERROR(INDEX('Early Retirement'!$AE$4:$BE$33,$BO195,$BR195),0)</f>
        <v>0</v>
      </c>
      <c r="BV195" s="759">
        <f>IFERROR(HLOOKUP($BR195,'Early Retirement'!$AF$4:$BE$5,2,FALSE),0)</f>
        <v>0</v>
      </c>
      <c r="BW195" s="479">
        <f t="shared" si="135"/>
        <v>0</v>
      </c>
      <c r="BX195" s="761">
        <f t="shared" si="129"/>
        <v>0</v>
      </c>
      <c r="BY195" s="477" t="s">
        <v>46</v>
      </c>
      <c r="BZ195" s="598">
        <f>IFERROR(INDEX('Early Retirement'!$BG$4:$CG$33,$BO195,$BR195),0)</f>
        <v>0</v>
      </c>
      <c r="CA195" s="759">
        <f>IFERROR(HLOOKUP($BR195,'Early Retirement'!$BH$4:$CH$5,2,FALSE),0)</f>
        <v>0</v>
      </c>
      <c r="CB195" s="598">
        <f t="shared" si="130"/>
        <v>0</v>
      </c>
      <c r="CC195" s="759" t="s">
        <v>567</v>
      </c>
      <c r="CD195" s="477" t="str">
        <f t="shared" ref="CD195:CD252" si="146">IF(AND($AZ195="No",$BM195="No"),"Yes","No")</f>
        <v>Yes</v>
      </c>
      <c r="CE195" s="479">
        <f t="shared" ref="CE195:CE252" si="147">IF($CD195="Yes",IFERROR(VLOOKUP($AY195,$CP:$CW,6,FALSE),0),0)</f>
        <v>0</v>
      </c>
      <c r="CF195" s="761">
        <f t="shared" ref="CF195:CF252" si="148">IF($CD195="Yes",IFERROR(VLOOKUP($AY195,$CP:$CW,7,FALSE),0),0)</f>
        <v>0</v>
      </c>
      <c r="CG195" s="759" t="s">
        <v>46</v>
      </c>
      <c r="CH195" s="598">
        <f t="shared" si="131"/>
        <v>0</v>
      </c>
      <c r="CI195" s="759" t="s">
        <v>567</v>
      </c>
      <c r="CJ195" s="480">
        <f t="shared" si="132"/>
        <v>0</v>
      </c>
      <c r="CK195" s="583">
        <f t="shared" si="133"/>
        <v>0</v>
      </c>
      <c r="CL195" s="596" t="s">
        <v>46</v>
      </c>
      <c r="CM195" s="581">
        <f t="shared" si="134"/>
        <v>0</v>
      </c>
      <c r="CN195" s="762" t="s">
        <v>567</v>
      </c>
      <c r="CW195" s="630"/>
      <c r="CX195" s="630"/>
      <c r="CY195" s="630"/>
      <c r="CZ195" s="630"/>
      <c r="DA195" s="630"/>
    </row>
    <row r="196" spans="2:105" s="78" customFormat="1" ht="15" customHeight="1" x14ac:dyDescent="0.25">
      <c r="B196" s="77"/>
      <c r="E196" s="77"/>
      <c r="H196" s="77"/>
      <c r="Y196" s="90">
        <v>194</v>
      </c>
      <c r="Z196" s="559" t="str">
        <f>IF(Inventory!$C203="","",VLOOKUP(Inventory!$C203,$B$3:$C$5,2,FALSE))</f>
        <v/>
      </c>
      <c r="AA196" s="559" t="str">
        <f>IF($Z196="","",IF(AND($Z196="b",Inventory!$G203=""),"",IF(AND($Z196="b",Inventory!$G203&lt;&gt;""),VLOOKUP(Inventory!$G203,$E$3:$F$10,2,FALSE),IF(AND($Z196="a",Inventory!$Z203=""),"",IF(AND($Z196="a",Inventory!$Z203&lt;&gt;""),VLOOKUP(Inventory!$Z203,$E$3:$F$10,2,FALSE),IF(AND($Z196="c",Inventory!$Z203=""),"",IF(AND($Z196="c",Inventory!$Z203&lt;&gt;""),VLOOKUP(Inventory!$Z203,$E$3:$F$10,2,FALSE),"")))))))</f>
        <v/>
      </c>
      <c r="AB196" s="559" t="str">
        <f>IF($Z196="","a",IF(AND($Z196="b",Inventory!$J203=""),"a",IF(AND($Z196="b",Inventory!$J203&lt;&gt;""),VLOOKUP(Inventory!$J203,$H$4:$I$6,2,FALSE),IF(AND($Z196="a",Inventory!$AA203=""),"a",IF(AND($Z196="a",Inventory!$AA203&lt;&gt;""),VLOOKUP(Inventory!$AA203,$H$4:$I$6,2,FALSE),IF(AND($Z196="c",Inventory!$AA203=""),"a",IF(AND($Z196="c",Inventory!$AA203&lt;&gt;""),VLOOKUP(Inventory!$AA203,$H$4:$I$6,2,FALSE),"a")))))))</f>
        <v>a</v>
      </c>
      <c r="AC196" s="559" t="str">
        <f t="shared" ref="AC196:AC252" si="149">IF($AA196="f","b",IF($AA196="e","c","a"))</f>
        <v>a</v>
      </c>
      <c r="AD196" s="473" t="str">
        <f>IF($Z196="","a",IF(AND($Z196="b",Inventory!$L203=""),"a",IF(AND($Z196="b",Inventory!$L203&lt;&gt;""),VLOOKUP(Inventory!$L203,$N$4:$O$5,2,FALSE),IF(AND($Z196="a",Inventory!$AC203=""),"a",IF(AND($Z196="a",Inventory!$AC203&lt;&gt;""),VLOOKUP(Inventory!$AC203,$N$4:$O$5,2,FALSE),IF(AND($Z196="c",Inventory!$AC203=""),"a",IF(AND($Z196="c",Inventory!$AC203&lt;&gt;""),VLOOKUP(Inventory!$AC203,$N$4:$O$5,2,FALSE),"a")))))))</f>
        <v>a</v>
      </c>
      <c r="AE196" s="474">
        <f>IF(OR(Inventory!C203="New Construction",Inventory!C203="Replace-on-Burnout"),Inventory!AF203,IF(Inventory!C203="Early Retirement",MIN(Inventory!AE203,Inventory!AF203),0))</f>
        <v>0</v>
      </c>
      <c r="AF196" s="475" t="str">
        <f t="shared" ref="AF196:AF252" si="150">IF(OR(AND($AA196&lt;&gt;"a",$AA196&lt;&gt;"b"),$AE196=""),"",IF(AND($AE196&gt;=$AF$2,$AA196="a"),5,IF(AND($AE196&gt;=$AF$2,$AA196="b"),10,0)))</f>
        <v/>
      </c>
      <c r="AG196" s="475" t="str">
        <f t="shared" si="138"/>
        <v/>
      </c>
      <c r="AH196" s="475" t="str">
        <f t="shared" si="139"/>
        <v/>
      </c>
      <c r="AI196" s="475" t="str">
        <f t="shared" si="140"/>
        <v/>
      </c>
      <c r="AJ196" s="475" t="str">
        <f t="shared" si="141"/>
        <v/>
      </c>
      <c r="AK196" s="475" t="str">
        <f t="shared" ref="AK196:AK252" si="151">IF(OR(AND($AA196&lt;&gt;"e",$AA196&lt;&gt;"f"),$AE196=""),"",IF(AND($AE196&gt;=$AK$2,OR($AA196="e",$AA196="f"),$AC196="b",$AD196="b"),26,IF(AND($AE196&gt;$AK$2,OR($AA196="e",$AA196="f"),$AC196="b",$AD196="c"),28,IF(AND($AE196&gt;$AK$2,OR($AA196="e",$AA196="f"),$AC196="c",$AD196="b"),19,IF(AND($AE196&gt;$AK$2,OR($AA196="e",$AA196="f"),$AC196="c",$AD196="c"),24,0)))))</f>
        <v/>
      </c>
      <c r="AL196" s="475" t="str">
        <f t="shared" ref="AL196:AL252" si="152">IF(OR(AND($AA196&lt;&gt;"e",$AA196&lt;&gt;"f"),$AE196="",$AK196&lt;&gt;0),"",IF(AND($AE196&gt;=$AL$2,OR($AA196="e",$AA196="f"),$AC196="b",$AD196="b"),26,IF(AND($AE196&gt;$AL$2,OR($AA196="e",$AA196="f"),$AC196="b",$AD196="c"),28,IF(AND($AE196&gt;$AL$2,OR($AA196="e",$AA196="f"),$AC196="c",$AD196="b"),18,IF(AND($AE196&gt;$AL$2,OR($AA196="e",$AA196="f"),$AC196="c",$AD196="c"),24,0)))))</f>
        <v/>
      </c>
      <c r="AM196" s="475" t="str">
        <f t="shared" ref="AM196:AM252" si="153">IF(OR(AND($AA196&lt;&gt;"e",$AA196&lt;&gt;"f"),$AE196="",$AL196&lt;&gt;0),"",IF(AND($AE196&gt;=$AM$2,OR($AA196="e",$AA196="f"),$AC196="b",$AD196="b"),25,IF(AND($AE196&gt;$AM$2,OR($AA196="e",$AA196="f"),$AC196="b",$AD196="c"),28,IF(AND($AE196&gt;$AM$2,OR($AA196="e",$AA196="f"),$AC196="c",$AD196="b"),17,IF(AND($AE196&gt;$AM$2,OR($AA196="e",$AA196="f"),$AC196="c",$AD196="c"),23,0)))))</f>
        <v/>
      </c>
      <c r="AN196" s="475" t="str">
        <f t="shared" ref="AN196:AN252" si="154">IF(OR(AND($AA196&lt;&gt;"e",$AA196&lt;&gt;"f"),$AE196="",$AM196&lt;&gt;0),"",IF(AND($AE196&gt;=$AN$2,OR($AA196="e",$AA196="f"),$AC196="b",$AD196="b"),25,IF(AND($AE196&gt;$AN$2,OR($AA196="e",$AA196="f"),$AC196="b",$AD196="c"),27,IF(AND($AE196&gt;$AN$2,OR($AA196="e",$AA196="f"),$AC196="c",$AD196="b"),16,IF(AND($AE196&gt;$AN$2,OR($AA196="e",$AA196="f"),$AC196="c",$AD196="c"),22,0)))))</f>
        <v/>
      </c>
      <c r="AO196" s="475" t="str">
        <f t="shared" ref="AO196:AO252" si="155">IF(OR(AND($AA196&lt;&gt;"e",$AA196&lt;&gt;"f"),$AE196="",$AN196&lt;&gt;0),"",IF(AND($AE196&gt;=$AO$2,OR($AA196="e",$AA196="f"),$AC196="b",$AD196="b"),25,IF(AND($AE196&gt;$AO$2,OR($AA196="e",$AA196="f"),$AC196="b",$AD196="c"),27,IF(AND($AE196&gt;$AO$2,OR($AA196="e",$AA196="f"),$AC196="c",$AD196="b"),16,IF(AND($AE196&gt;$AO$2,OR($AA196="e",$AA196="f"),$AC196="c",$AD196="c"),21,0)))))</f>
        <v/>
      </c>
      <c r="AP196" s="475" t="str">
        <f t="shared" ref="AP196:AP252" si="156">IF(OR(AND($AA196&lt;&gt;"e",$AA196&lt;&gt;"f"),$AE196="",$AO196&lt;&gt;0),"",IF(AND($AE196&gt;=$AP$2,OR($AA196="e",$AA196="f"),$AC196="b",$AD196="b"),25,IF(AND($AE196&gt;$AP$2,OR($AA196="e",$AA196="f"),$AC196="b",$AD196="c"),27,IF(AND($AE196&gt;$AP$2,OR($AA196="e",$AA196="f"),$AC196="c",$AD196="b"),15,IF(AND($AE196&gt;$AP$2,OR($AA196="e",$AA196="f"),$AC196="c",$AD196="c"),20,0)))))</f>
        <v/>
      </c>
      <c r="AQ196" s="475" t="str">
        <f t="shared" ref="AQ196:AQ252" si="157">IF(OR(AND($AA196&lt;&gt;"g",$AA196&lt;&gt;"h"),$AE196=""),"",IF(AND($AE196&gt;=$AQ$2,$AA196="g"),33,IF(AND($AE196&gt;=$AQ$2,$AA196="h",$AB196="b"),38,IF(AND($AE196&gt;=$AQ$2,$AA196="h",$AB196&lt;&gt;"b"),43,0))))</f>
        <v/>
      </c>
      <c r="AR196" s="475" t="str">
        <f t="shared" ref="AR196:AR252" si="158">IF(OR(AND($AA196&lt;&gt;"g",$AA196&lt;&gt;"h"),$AE196="",$AQ196&lt;&gt;0),"",IF(AND($AE196&gt;=$AR$2,$AA196="g"),32,IF(AND($AE196&gt;=$AR$2,$AA196="h",$AB196="b"),37,IF(AND($AE196&gt;=$AR$2,$AA196="h",$AB196&lt;&gt;"b"),42,0))))</f>
        <v/>
      </c>
      <c r="AS196" s="475" t="str">
        <f t="shared" ref="AS196:AS252" si="159">IF(OR(AND($AA196&lt;&gt;"g",$AA196&lt;&gt;"h"),$AE196="",$AR196&lt;&gt;0),"",IF(AND($AE196&gt;=$AS$2,$AA196="g"),31,IF(AND($AE196&gt;=$AS$2,$AA196="h",$AB196="b"),36,IF(AND($AE196&gt;=$AS$2,$AA196="h",$AB196&lt;&gt;"b"),41,0))))</f>
        <v/>
      </c>
      <c r="AT196" s="475" t="str">
        <f t="shared" ref="AT196:AT252" si="160">IF(OR(AND($AA196&lt;&gt;"g",$AA196&lt;&gt;"h"),$AE196="",$AS196&lt;&gt;0),"",IF(AND($AE196&gt;=$AT$2,$AA196="g"),30,IF(AND($AE196&gt;=$AT$2,$AA196="h",$AB196="b"),35,IF(AND($AE196&gt;=$AT$2,$AA196="h",$AB196&lt;&gt;"b"),40,0))))</f>
        <v/>
      </c>
      <c r="AU196" s="475" t="str">
        <f t="shared" ref="AU196:AU252" si="161">IF(OR(AND($AA196&lt;&gt;"g",$AA196&lt;&gt;"h"),$AE196="",$AT196&lt;&gt;0),"",IF(AND($AE196&gt;=$AU$2,$AA196="g"),29,IF(AND($AE196&gt;=$AU$2,$AA196="h",$AB196="b"),34,IF(AND($AE196&gt;=$AU$2,$AA196="h",$AB196&lt;&gt;"b"),39,0))))</f>
        <v/>
      </c>
      <c r="AV196" s="475" t="str">
        <f t="shared" si="142"/>
        <v/>
      </c>
      <c r="AW196" s="473">
        <f t="shared" si="143"/>
        <v>0</v>
      </c>
      <c r="AX196" s="473" t="str">
        <f>IF(AND($Z196="b",OR($AA196="a",$AA196="b"),Inventory!$I203="",$AE196&lt;(65000/12000)),"x",IF(AND($Z196="b",OR($AA196="a",$AA196="b"),Inventory!$I203&lt;&gt;"",$AE196&lt;(65000/12000)),VLOOKUP(Inventory!$I203,$V$4:$W$5,2,FALSE),"x"))</f>
        <v>x</v>
      </c>
      <c r="AY196" s="476" t="str">
        <f t="shared" ref="AY196:AY252" si="162">CONCATENATE($Z196,$AA196,$AB196,$AC196,$AD196,$AW196)</f>
        <v>aaa0</v>
      </c>
      <c r="AZ196" s="477" t="str">
        <f t="shared" ref="AZ196:AZ252" si="163">IF($AA196="c","Yes","No")</f>
        <v>No</v>
      </c>
      <c r="BA196" s="759" t="str">
        <f t="shared" ref="BA196:BA252" si="164">IF($AA196="d","Yes","No")</f>
        <v>No</v>
      </c>
      <c r="BB196" s="477">
        <f>IF($Z196="c",Inventory!$AB203,Inventory!$K203)</f>
        <v>0</v>
      </c>
      <c r="BC196" s="478">
        <f>IF(AND($Z196="b",Inventory!$N203="Btu/hr"),Inventory!$M203,IF(AND($Z196="b",Inventory!$N203="Tons"),Inventory!$M203*12000,IF(AND($Z196&lt;&gt;"b",Inventory!$AK203="Btu/hr"),Inventory!$AD203,IF(AND($Z196&lt;&gt;"b",Inventory!$AK203="Tons"),Inventory!$AD203*12000,0))))</f>
        <v>0</v>
      </c>
      <c r="BD196" s="478">
        <f t="shared" si="136"/>
        <v>0</v>
      </c>
      <c r="BE196" s="479">
        <f t="shared" ref="BE196:BE252" si="165">IF(OR(AND($AZ196="No",$BA196="No"),$BC196=0),0,IF(AND($Z196&lt;&gt;"b",$AZ196="Yes",$BB196="Yes"),13.8-(0.3*$BD196/1000),IF(AND($Z196&lt;&gt;"b",$AZ196="Yes",$BB196="No"),10.9-(0.213*$BD196/1000),IF(AND($Z196="b",$AZ196="Yes"),12.5-(0.213*$BD196/1000),IF(AND($Z196&lt;&gt;"b",$BA196="Yes",$BB196="Yes"),14-(0.3*$BD196/1000),IF(AND($Z196&lt;&gt;"b",$BA196="Yes",$BB196="No"),10.8-(0.213*$BD196/1000),IF(AND($Z196="b",$BA196="Yes"),12.3-(0.213*$BD196/1000),0)))))))</f>
        <v>0</v>
      </c>
      <c r="BF196" s="477" t="s">
        <v>50</v>
      </c>
      <c r="BG196" s="479">
        <f t="shared" si="144"/>
        <v>0</v>
      </c>
      <c r="BH196" s="477" t="s">
        <v>46</v>
      </c>
      <c r="BI196" s="760">
        <f>IF(AND($Z196="b",Inventory!$P203="Btu/hr"),Inventory!$O203,IF(AND($Z196="b",Inventory!$P203="Tons"),Inventory!$O203*12000,IF(AND($Z196&lt;&gt;"b",Inventory!$AM203="Btu/hr"),Inventory!$AL203,IF(AND($Z196&lt;&gt;"b",Inventory!$AM203="Tons"),Inventory!$AL203*12000,0))))</f>
        <v>0</v>
      </c>
      <c r="BJ196" s="760">
        <f t="shared" si="137"/>
        <v>0</v>
      </c>
      <c r="BK196" s="598">
        <f t="shared" ref="BK196:BK252" si="166">IF(OR($BA196="No",$BI196=0),0,IF(AND($Z196&lt;&gt;"b",$BA196="Yes",$BB196="Yes"),3.7-(0.052*$BJ196/1000),IF(AND($Z196&lt;&gt;"b",$BA196="Yes",$BB196="No"),2.9-(0.026*$BJ196/1000),IF(AND($Z196="b",$BA196="Yes"),3.2-(0.026*$BJ196/1000),0))))</f>
        <v>0</v>
      </c>
      <c r="BL196" s="759" t="s">
        <v>567</v>
      </c>
      <c r="BM196" s="477" t="str">
        <f t="shared" si="145"/>
        <v>No</v>
      </c>
      <c r="BN196" s="477" t="str">
        <f>IF(OR(Inventory!$H203="",$BM196="No"),"-",Inventory!$H203)</f>
        <v>-</v>
      </c>
      <c r="BO196" s="477" t="str">
        <f>IFERROR(VLOOKUP(BN196,'Early Retirement'!$B$6:$C$33,2,FALSE),"-")</f>
        <v>-</v>
      </c>
      <c r="BP196" s="477" t="str">
        <f>IF(Inventory!$J203="Centrifugal","Yes","No")</f>
        <v>No</v>
      </c>
      <c r="BQ196" s="477">
        <f t="shared" ref="BQ196:BQ252" si="167">IF($BM196="No",0,IF($BP196="Yes",CONCATENATE($AW196,$AX196,"c"),CONCATENATE($AW196,$AX196)))</f>
        <v>0</v>
      </c>
      <c r="BR196" s="477" t="str">
        <f t="shared" ref="BR196:BR252" si="168">IFERROR(VLOOKUP($BQ196,$BQ$506:$BR$537,2,FALSE),"-")</f>
        <v>-</v>
      </c>
      <c r="BS196" s="479">
        <f>IFERROR(INDEX('Early Retirement'!$C$4:$AC$33,$BO196,$BR196),0)</f>
        <v>0</v>
      </c>
      <c r="BT196" s="477">
        <f>IFERROR(HLOOKUP($BR196,'Early Retirement'!$D$4:$AC$5,2,FALSE),0)</f>
        <v>0</v>
      </c>
      <c r="BU196" s="761">
        <f>IFERROR(INDEX('Early Retirement'!$AE$4:$BE$33,$BO196,$BR196),0)</f>
        <v>0</v>
      </c>
      <c r="BV196" s="759">
        <f>IFERROR(HLOOKUP($BR196,'Early Retirement'!$AF$4:$BE$5,2,FALSE),0)</f>
        <v>0</v>
      </c>
      <c r="BW196" s="479">
        <f t="shared" si="135"/>
        <v>0</v>
      </c>
      <c r="BX196" s="761">
        <f t="shared" ref="BX196:BX252" si="169">IF(OR($BV196="SEER",$BV196="IEER (EER)",$BV196="IPLV (EER)"),12/$BU196,IF($BV196="IPLV (kW/ton)",$BU196,0))</f>
        <v>0</v>
      </c>
      <c r="BY196" s="477" t="s">
        <v>46</v>
      </c>
      <c r="BZ196" s="598">
        <f>IFERROR(INDEX('Early Retirement'!$BG$4:$CG$33,$BO196,$BR196),0)</f>
        <v>0</v>
      </c>
      <c r="CA196" s="759">
        <f>IFERROR(HLOOKUP($BR196,'Early Retirement'!$BH$4:$CH$5,2,FALSE),0)</f>
        <v>0</v>
      </c>
      <c r="CB196" s="598">
        <f t="shared" ref="CB196:CB252" si="170">IF($CA196="HSPF",$BZ196/3.412,IF($CA196="COP",$BZ196,0))</f>
        <v>0</v>
      </c>
      <c r="CC196" s="759" t="s">
        <v>567</v>
      </c>
      <c r="CD196" s="477" t="str">
        <f t="shared" si="146"/>
        <v>Yes</v>
      </c>
      <c r="CE196" s="479">
        <f t="shared" si="147"/>
        <v>0</v>
      </c>
      <c r="CF196" s="761">
        <f t="shared" si="148"/>
        <v>0</v>
      </c>
      <c r="CG196" s="759" t="s">
        <v>46</v>
      </c>
      <c r="CH196" s="598">
        <f t="shared" ref="CH196:CH252" si="171">IF($CD196="Yes",IFERROR(VLOOKUP($AY196,$CP:$DA,11,FALSE),0),0)</f>
        <v>0</v>
      </c>
      <c r="CI196" s="759" t="s">
        <v>567</v>
      </c>
      <c r="CJ196" s="480">
        <f t="shared" ref="CJ196:CJ252" si="172">MAX($BG196,$BW196,$CE196)</f>
        <v>0</v>
      </c>
      <c r="CK196" s="583">
        <f t="shared" ref="CK196:CK252" si="173">MAX($BG196,$BX196,$CF196)</f>
        <v>0</v>
      </c>
      <c r="CL196" s="596" t="s">
        <v>46</v>
      </c>
      <c r="CM196" s="581">
        <f t="shared" ref="CM196:CM252" si="174">MAX($BK196,$CB196,$CH196)</f>
        <v>0</v>
      </c>
      <c r="CN196" s="762" t="s">
        <v>567</v>
      </c>
      <c r="CW196" s="630"/>
      <c r="CX196" s="630"/>
      <c r="CY196" s="630"/>
      <c r="CZ196" s="630"/>
      <c r="DA196" s="630"/>
    </row>
    <row r="197" spans="2:105" s="78" customFormat="1" ht="15" customHeight="1" x14ac:dyDescent="0.25">
      <c r="B197" s="77"/>
      <c r="E197" s="77"/>
      <c r="H197" s="77"/>
      <c r="Y197" s="90">
        <v>195</v>
      </c>
      <c r="Z197" s="559" t="str">
        <f>IF(Inventory!$C204="","",VLOOKUP(Inventory!$C204,$B$3:$C$5,2,FALSE))</f>
        <v/>
      </c>
      <c r="AA197" s="559" t="str">
        <f>IF($Z197="","",IF(AND($Z197="b",Inventory!$G204=""),"",IF(AND($Z197="b",Inventory!$G204&lt;&gt;""),VLOOKUP(Inventory!$G204,$E$3:$F$10,2,FALSE),IF(AND($Z197="a",Inventory!$Z204=""),"",IF(AND($Z197="a",Inventory!$Z204&lt;&gt;""),VLOOKUP(Inventory!$Z204,$E$3:$F$10,2,FALSE),IF(AND($Z197="c",Inventory!$Z204=""),"",IF(AND($Z197="c",Inventory!$Z204&lt;&gt;""),VLOOKUP(Inventory!$Z204,$E$3:$F$10,2,FALSE),"")))))))</f>
        <v/>
      </c>
      <c r="AB197" s="559" t="str">
        <f>IF($Z197="","a",IF(AND($Z197="b",Inventory!$J204=""),"a",IF(AND($Z197="b",Inventory!$J204&lt;&gt;""),VLOOKUP(Inventory!$J204,$H$4:$I$6,2,FALSE),IF(AND($Z197="a",Inventory!$AA204=""),"a",IF(AND($Z197="a",Inventory!$AA204&lt;&gt;""),VLOOKUP(Inventory!$AA204,$H$4:$I$6,2,FALSE),IF(AND($Z197="c",Inventory!$AA204=""),"a",IF(AND($Z197="c",Inventory!$AA204&lt;&gt;""),VLOOKUP(Inventory!$AA204,$H$4:$I$6,2,FALSE),"a")))))))</f>
        <v>a</v>
      </c>
      <c r="AC197" s="559" t="str">
        <f t="shared" si="149"/>
        <v>a</v>
      </c>
      <c r="AD197" s="473" t="str">
        <f>IF($Z197="","a",IF(AND($Z197="b",Inventory!$L204=""),"a",IF(AND($Z197="b",Inventory!$L204&lt;&gt;""),VLOOKUP(Inventory!$L204,$N$4:$O$5,2,FALSE),IF(AND($Z197="a",Inventory!$AC204=""),"a",IF(AND($Z197="a",Inventory!$AC204&lt;&gt;""),VLOOKUP(Inventory!$AC204,$N$4:$O$5,2,FALSE),IF(AND($Z197="c",Inventory!$AC204=""),"a",IF(AND($Z197="c",Inventory!$AC204&lt;&gt;""),VLOOKUP(Inventory!$AC204,$N$4:$O$5,2,FALSE),"a")))))))</f>
        <v>a</v>
      </c>
      <c r="AE197" s="474">
        <f>IF(OR(Inventory!C204="New Construction",Inventory!C204="Replace-on-Burnout"),Inventory!AF204,IF(Inventory!C204="Early Retirement",MIN(Inventory!AE204,Inventory!AF204),0))</f>
        <v>0</v>
      </c>
      <c r="AF197" s="475" t="str">
        <f t="shared" si="150"/>
        <v/>
      </c>
      <c r="AG197" s="475" t="str">
        <f t="shared" si="138"/>
        <v/>
      </c>
      <c r="AH197" s="475" t="str">
        <f t="shared" si="139"/>
        <v/>
      </c>
      <c r="AI197" s="475" t="str">
        <f t="shared" si="140"/>
        <v/>
      </c>
      <c r="AJ197" s="475" t="str">
        <f t="shared" si="141"/>
        <v/>
      </c>
      <c r="AK197" s="475" t="str">
        <f t="shared" si="151"/>
        <v/>
      </c>
      <c r="AL197" s="475" t="str">
        <f t="shared" si="152"/>
        <v/>
      </c>
      <c r="AM197" s="475" t="str">
        <f t="shared" si="153"/>
        <v/>
      </c>
      <c r="AN197" s="475" t="str">
        <f t="shared" si="154"/>
        <v/>
      </c>
      <c r="AO197" s="475" t="str">
        <f t="shared" si="155"/>
        <v/>
      </c>
      <c r="AP197" s="475" t="str">
        <f t="shared" si="156"/>
        <v/>
      </c>
      <c r="AQ197" s="475" t="str">
        <f t="shared" si="157"/>
        <v/>
      </c>
      <c r="AR197" s="475" t="str">
        <f t="shared" si="158"/>
        <v/>
      </c>
      <c r="AS197" s="475" t="str">
        <f t="shared" si="159"/>
        <v/>
      </c>
      <c r="AT197" s="475" t="str">
        <f t="shared" si="160"/>
        <v/>
      </c>
      <c r="AU197" s="475" t="str">
        <f t="shared" si="161"/>
        <v/>
      </c>
      <c r="AV197" s="475" t="str">
        <f t="shared" si="142"/>
        <v/>
      </c>
      <c r="AW197" s="473">
        <f t="shared" si="143"/>
        <v>0</v>
      </c>
      <c r="AX197" s="473" t="str">
        <f>IF(AND($Z197="b",OR($AA197="a",$AA197="b"),Inventory!$I204="",$AE197&lt;(65000/12000)),"x",IF(AND($Z197="b",OR($AA197="a",$AA197="b"),Inventory!$I204&lt;&gt;"",$AE197&lt;(65000/12000)),VLOOKUP(Inventory!$I204,$V$4:$W$5,2,FALSE),"x"))</f>
        <v>x</v>
      </c>
      <c r="AY197" s="476" t="str">
        <f t="shared" si="162"/>
        <v>aaa0</v>
      </c>
      <c r="AZ197" s="477" t="str">
        <f t="shared" si="163"/>
        <v>No</v>
      </c>
      <c r="BA197" s="759" t="str">
        <f t="shared" si="164"/>
        <v>No</v>
      </c>
      <c r="BB197" s="477">
        <f>IF($Z197="c",Inventory!$AB204,Inventory!$K204)</f>
        <v>0</v>
      </c>
      <c r="BC197" s="478">
        <f>IF(AND($Z197="b",Inventory!$N204="Btu/hr"),Inventory!$M204,IF(AND($Z197="b",Inventory!$N204="Tons"),Inventory!$M204*12000,IF(AND($Z197&lt;&gt;"b",Inventory!$AK204="Btu/hr"),Inventory!$AD204,IF(AND($Z197&lt;&gt;"b",Inventory!$AK204="Tons"),Inventory!$AD204*12000,0))))</f>
        <v>0</v>
      </c>
      <c r="BD197" s="478">
        <f t="shared" si="136"/>
        <v>0</v>
      </c>
      <c r="BE197" s="479">
        <f t="shared" si="165"/>
        <v>0</v>
      </c>
      <c r="BF197" s="477" t="s">
        <v>50</v>
      </c>
      <c r="BG197" s="479">
        <f t="shared" si="144"/>
        <v>0</v>
      </c>
      <c r="BH197" s="477" t="s">
        <v>46</v>
      </c>
      <c r="BI197" s="760">
        <f>IF(AND($Z197="b",Inventory!$P204="Btu/hr"),Inventory!$O204,IF(AND($Z197="b",Inventory!$P204="Tons"),Inventory!$O204*12000,IF(AND($Z197&lt;&gt;"b",Inventory!$AM204="Btu/hr"),Inventory!$AL204,IF(AND($Z197&lt;&gt;"b",Inventory!$AM204="Tons"),Inventory!$AL204*12000,0))))</f>
        <v>0</v>
      </c>
      <c r="BJ197" s="760">
        <f t="shared" si="137"/>
        <v>0</v>
      </c>
      <c r="BK197" s="598">
        <f t="shared" si="166"/>
        <v>0</v>
      </c>
      <c r="BL197" s="759" t="s">
        <v>567</v>
      </c>
      <c r="BM197" s="477" t="str">
        <f t="shared" si="145"/>
        <v>No</v>
      </c>
      <c r="BN197" s="477" t="str">
        <f>IF(OR(Inventory!$H204="",$BM197="No"),"-",Inventory!$H204)</f>
        <v>-</v>
      </c>
      <c r="BO197" s="477" t="str">
        <f>IFERROR(VLOOKUP(BN197,'Early Retirement'!$B$6:$C$33,2,FALSE),"-")</f>
        <v>-</v>
      </c>
      <c r="BP197" s="477" t="str">
        <f>IF(Inventory!$J204="Centrifugal","Yes","No")</f>
        <v>No</v>
      </c>
      <c r="BQ197" s="477">
        <f t="shared" si="167"/>
        <v>0</v>
      </c>
      <c r="BR197" s="477" t="str">
        <f t="shared" si="168"/>
        <v>-</v>
      </c>
      <c r="BS197" s="479">
        <f>IFERROR(INDEX('Early Retirement'!$C$4:$AC$33,$BO197,$BR197),0)</f>
        <v>0</v>
      </c>
      <c r="BT197" s="477">
        <f>IFERROR(HLOOKUP($BR197,'Early Retirement'!$D$4:$AC$5,2,FALSE),0)</f>
        <v>0</v>
      </c>
      <c r="BU197" s="761">
        <f>IFERROR(INDEX('Early Retirement'!$AE$4:$BE$33,$BO197,$BR197),0)</f>
        <v>0</v>
      </c>
      <c r="BV197" s="759">
        <f>IFERROR(HLOOKUP($BR197,'Early Retirement'!$AF$4:$BE$5,2,FALSE),0)</f>
        <v>0</v>
      </c>
      <c r="BW197" s="479">
        <f t="shared" ref="BW197:BW252" si="175">IF($BT197="SEER",12/($BS197*0.697+2.0394),IF($BT197="EER",12/$BS197,IF($BT197="kW/ton",$BS197,0)))</f>
        <v>0</v>
      </c>
      <c r="BX197" s="761">
        <f t="shared" si="169"/>
        <v>0</v>
      </c>
      <c r="BY197" s="477" t="s">
        <v>46</v>
      </c>
      <c r="BZ197" s="598">
        <f>IFERROR(INDEX('Early Retirement'!$BG$4:$CG$33,$BO197,$BR197),0)</f>
        <v>0</v>
      </c>
      <c r="CA197" s="759">
        <f>IFERROR(HLOOKUP($BR197,'Early Retirement'!$BH$4:$CH$5,2,FALSE),0)</f>
        <v>0</v>
      </c>
      <c r="CB197" s="598">
        <f t="shared" si="170"/>
        <v>0</v>
      </c>
      <c r="CC197" s="759" t="s">
        <v>567</v>
      </c>
      <c r="CD197" s="477" t="str">
        <f t="shared" si="146"/>
        <v>Yes</v>
      </c>
      <c r="CE197" s="479">
        <f t="shared" si="147"/>
        <v>0</v>
      </c>
      <c r="CF197" s="761">
        <f t="shared" si="148"/>
        <v>0</v>
      </c>
      <c r="CG197" s="759" t="s">
        <v>46</v>
      </c>
      <c r="CH197" s="598">
        <f t="shared" si="171"/>
        <v>0</v>
      </c>
      <c r="CI197" s="759" t="s">
        <v>567</v>
      </c>
      <c r="CJ197" s="480">
        <f t="shared" si="172"/>
        <v>0</v>
      </c>
      <c r="CK197" s="583">
        <f t="shared" si="173"/>
        <v>0</v>
      </c>
      <c r="CL197" s="596" t="s">
        <v>46</v>
      </c>
      <c r="CM197" s="581">
        <f t="shared" si="174"/>
        <v>0</v>
      </c>
      <c r="CN197" s="762" t="s">
        <v>567</v>
      </c>
      <c r="CW197" s="630"/>
      <c r="CX197" s="630"/>
      <c r="CY197" s="630"/>
      <c r="CZ197" s="630"/>
      <c r="DA197" s="630"/>
    </row>
    <row r="198" spans="2:105" s="78" customFormat="1" ht="15" customHeight="1" x14ac:dyDescent="0.25">
      <c r="B198" s="77"/>
      <c r="E198" s="77"/>
      <c r="H198" s="77"/>
      <c r="Y198" s="90">
        <v>196</v>
      </c>
      <c r="Z198" s="559" t="str">
        <f>IF(Inventory!$C205="","",VLOOKUP(Inventory!$C205,$B$3:$C$5,2,FALSE))</f>
        <v/>
      </c>
      <c r="AA198" s="559" t="str">
        <f>IF($Z198="","",IF(AND($Z198="b",Inventory!$G205=""),"",IF(AND($Z198="b",Inventory!$G205&lt;&gt;""),VLOOKUP(Inventory!$G205,$E$3:$F$10,2,FALSE),IF(AND($Z198="a",Inventory!$Z205=""),"",IF(AND($Z198="a",Inventory!$Z205&lt;&gt;""),VLOOKUP(Inventory!$Z205,$E$3:$F$10,2,FALSE),IF(AND($Z198="c",Inventory!$Z205=""),"",IF(AND($Z198="c",Inventory!$Z205&lt;&gt;""),VLOOKUP(Inventory!$Z205,$E$3:$F$10,2,FALSE),"")))))))</f>
        <v/>
      </c>
      <c r="AB198" s="559" t="str">
        <f>IF($Z198="","a",IF(AND($Z198="b",Inventory!$J205=""),"a",IF(AND($Z198="b",Inventory!$J205&lt;&gt;""),VLOOKUP(Inventory!$J205,$H$4:$I$6,2,FALSE),IF(AND($Z198="a",Inventory!$AA205=""),"a",IF(AND($Z198="a",Inventory!$AA205&lt;&gt;""),VLOOKUP(Inventory!$AA205,$H$4:$I$6,2,FALSE),IF(AND($Z198="c",Inventory!$AA205=""),"a",IF(AND($Z198="c",Inventory!$AA205&lt;&gt;""),VLOOKUP(Inventory!$AA205,$H$4:$I$6,2,FALSE),"a")))))))</f>
        <v>a</v>
      </c>
      <c r="AC198" s="559" t="str">
        <f t="shared" si="149"/>
        <v>a</v>
      </c>
      <c r="AD198" s="473" t="str">
        <f>IF($Z198="","a",IF(AND($Z198="b",Inventory!$L205=""),"a",IF(AND($Z198="b",Inventory!$L205&lt;&gt;""),VLOOKUP(Inventory!$L205,$N$4:$O$5,2,FALSE),IF(AND($Z198="a",Inventory!$AC205=""),"a",IF(AND($Z198="a",Inventory!$AC205&lt;&gt;""),VLOOKUP(Inventory!$AC205,$N$4:$O$5,2,FALSE),IF(AND($Z198="c",Inventory!$AC205=""),"a",IF(AND($Z198="c",Inventory!$AC205&lt;&gt;""),VLOOKUP(Inventory!$AC205,$N$4:$O$5,2,FALSE),"a")))))))</f>
        <v>a</v>
      </c>
      <c r="AE198" s="474">
        <f>IF(OR(Inventory!C205="New Construction",Inventory!C205="Replace-on-Burnout"),Inventory!AF205,IF(Inventory!C205="Early Retirement",MIN(Inventory!AE205,Inventory!AF205),0))</f>
        <v>0</v>
      </c>
      <c r="AF198" s="475" t="str">
        <f t="shared" si="150"/>
        <v/>
      </c>
      <c r="AG198" s="475" t="str">
        <f t="shared" si="138"/>
        <v/>
      </c>
      <c r="AH198" s="475" t="str">
        <f t="shared" si="139"/>
        <v/>
      </c>
      <c r="AI198" s="475" t="str">
        <f t="shared" si="140"/>
        <v/>
      </c>
      <c r="AJ198" s="475" t="str">
        <f t="shared" si="141"/>
        <v/>
      </c>
      <c r="AK198" s="475" t="str">
        <f t="shared" si="151"/>
        <v/>
      </c>
      <c r="AL198" s="475" t="str">
        <f t="shared" si="152"/>
        <v/>
      </c>
      <c r="AM198" s="475" t="str">
        <f t="shared" si="153"/>
        <v/>
      </c>
      <c r="AN198" s="475" t="str">
        <f t="shared" si="154"/>
        <v/>
      </c>
      <c r="AO198" s="475" t="str">
        <f t="shared" si="155"/>
        <v/>
      </c>
      <c r="AP198" s="475" t="str">
        <f t="shared" si="156"/>
        <v/>
      </c>
      <c r="AQ198" s="475" t="str">
        <f t="shared" si="157"/>
        <v/>
      </c>
      <c r="AR198" s="475" t="str">
        <f t="shared" si="158"/>
        <v/>
      </c>
      <c r="AS198" s="475" t="str">
        <f t="shared" si="159"/>
        <v/>
      </c>
      <c r="AT198" s="475" t="str">
        <f t="shared" si="160"/>
        <v/>
      </c>
      <c r="AU198" s="475" t="str">
        <f t="shared" si="161"/>
        <v/>
      </c>
      <c r="AV198" s="475" t="str">
        <f t="shared" si="142"/>
        <v/>
      </c>
      <c r="AW198" s="473">
        <f t="shared" si="143"/>
        <v>0</v>
      </c>
      <c r="AX198" s="473" t="str">
        <f>IF(AND($Z198="b",OR($AA198="a",$AA198="b"),Inventory!$I205="",$AE198&lt;(65000/12000)),"x",IF(AND($Z198="b",OR($AA198="a",$AA198="b"),Inventory!$I205&lt;&gt;"",$AE198&lt;(65000/12000)),VLOOKUP(Inventory!$I205,$V$4:$W$5,2,FALSE),"x"))</f>
        <v>x</v>
      </c>
      <c r="AY198" s="476" t="str">
        <f t="shared" si="162"/>
        <v>aaa0</v>
      </c>
      <c r="AZ198" s="477" t="str">
        <f t="shared" si="163"/>
        <v>No</v>
      </c>
      <c r="BA198" s="759" t="str">
        <f t="shared" si="164"/>
        <v>No</v>
      </c>
      <c r="BB198" s="477">
        <f>IF($Z198="c",Inventory!$AB205,Inventory!$K205)</f>
        <v>0</v>
      </c>
      <c r="BC198" s="478">
        <f>IF(AND($Z198="b",Inventory!$N205="Btu/hr"),Inventory!$M205,IF(AND($Z198="b",Inventory!$N205="Tons"),Inventory!$M205*12000,IF(AND($Z198&lt;&gt;"b",Inventory!$AK205="Btu/hr"),Inventory!$AD205,IF(AND($Z198&lt;&gt;"b",Inventory!$AK205="Tons"),Inventory!$AD205*12000,0))))</f>
        <v>0</v>
      </c>
      <c r="BD198" s="478">
        <f t="shared" si="136"/>
        <v>0</v>
      </c>
      <c r="BE198" s="479">
        <f t="shared" si="165"/>
        <v>0</v>
      </c>
      <c r="BF198" s="477" t="s">
        <v>50</v>
      </c>
      <c r="BG198" s="479">
        <f t="shared" si="144"/>
        <v>0</v>
      </c>
      <c r="BH198" s="477" t="s">
        <v>46</v>
      </c>
      <c r="BI198" s="760">
        <f>IF(AND($Z198="b",Inventory!$P205="Btu/hr"),Inventory!$O205,IF(AND($Z198="b",Inventory!$P205="Tons"),Inventory!$O205*12000,IF(AND($Z198&lt;&gt;"b",Inventory!$AM205="Btu/hr"),Inventory!$AL205,IF(AND($Z198&lt;&gt;"b",Inventory!$AM205="Tons"),Inventory!$AL205*12000,0))))</f>
        <v>0</v>
      </c>
      <c r="BJ198" s="760">
        <f t="shared" si="137"/>
        <v>0</v>
      </c>
      <c r="BK198" s="598">
        <f t="shared" si="166"/>
        <v>0</v>
      </c>
      <c r="BL198" s="759" t="s">
        <v>567</v>
      </c>
      <c r="BM198" s="477" t="str">
        <f t="shared" si="145"/>
        <v>No</v>
      </c>
      <c r="BN198" s="477" t="str">
        <f>IF(OR(Inventory!$H205="",$BM198="No"),"-",Inventory!$H205)</f>
        <v>-</v>
      </c>
      <c r="BO198" s="477" t="str">
        <f>IFERROR(VLOOKUP(BN198,'Early Retirement'!$B$6:$C$33,2,FALSE),"-")</f>
        <v>-</v>
      </c>
      <c r="BP198" s="477" t="str">
        <f>IF(Inventory!$J205="Centrifugal","Yes","No")</f>
        <v>No</v>
      </c>
      <c r="BQ198" s="477">
        <f t="shared" si="167"/>
        <v>0</v>
      </c>
      <c r="BR198" s="477" t="str">
        <f t="shared" si="168"/>
        <v>-</v>
      </c>
      <c r="BS198" s="479">
        <f>IFERROR(INDEX('Early Retirement'!$C$4:$AC$33,$BO198,$BR198),0)</f>
        <v>0</v>
      </c>
      <c r="BT198" s="477">
        <f>IFERROR(HLOOKUP($BR198,'Early Retirement'!$D$4:$AC$5,2,FALSE),0)</f>
        <v>0</v>
      </c>
      <c r="BU198" s="761">
        <f>IFERROR(INDEX('Early Retirement'!$AE$4:$BE$33,$BO198,$BR198),0)</f>
        <v>0</v>
      </c>
      <c r="BV198" s="759">
        <f>IFERROR(HLOOKUP($BR198,'Early Retirement'!$AF$4:$BE$5,2,FALSE),0)</f>
        <v>0</v>
      </c>
      <c r="BW198" s="479">
        <f t="shared" si="175"/>
        <v>0</v>
      </c>
      <c r="BX198" s="761">
        <f t="shared" si="169"/>
        <v>0</v>
      </c>
      <c r="BY198" s="477" t="s">
        <v>46</v>
      </c>
      <c r="BZ198" s="598">
        <f>IFERROR(INDEX('Early Retirement'!$BG$4:$CG$33,$BO198,$BR198),0)</f>
        <v>0</v>
      </c>
      <c r="CA198" s="759">
        <f>IFERROR(HLOOKUP($BR198,'Early Retirement'!$BH$4:$CH$5,2,FALSE),0)</f>
        <v>0</v>
      </c>
      <c r="CB198" s="598">
        <f t="shared" si="170"/>
        <v>0</v>
      </c>
      <c r="CC198" s="759" t="s">
        <v>567</v>
      </c>
      <c r="CD198" s="477" t="str">
        <f t="shared" si="146"/>
        <v>Yes</v>
      </c>
      <c r="CE198" s="479">
        <f t="shared" si="147"/>
        <v>0</v>
      </c>
      <c r="CF198" s="761">
        <f t="shared" si="148"/>
        <v>0</v>
      </c>
      <c r="CG198" s="759" t="s">
        <v>46</v>
      </c>
      <c r="CH198" s="598">
        <f t="shared" si="171"/>
        <v>0</v>
      </c>
      <c r="CI198" s="759" t="s">
        <v>567</v>
      </c>
      <c r="CJ198" s="480">
        <f t="shared" si="172"/>
        <v>0</v>
      </c>
      <c r="CK198" s="583">
        <f t="shared" si="173"/>
        <v>0</v>
      </c>
      <c r="CL198" s="596" t="s">
        <v>46</v>
      </c>
      <c r="CM198" s="581">
        <f t="shared" si="174"/>
        <v>0</v>
      </c>
      <c r="CN198" s="762" t="s">
        <v>567</v>
      </c>
      <c r="CW198" s="630"/>
      <c r="CX198" s="630"/>
      <c r="CY198" s="630"/>
      <c r="CZ198" s="630"/>
      <c r="DA198" s="630"/>
    </row>
    <row r="199" spans="2:105" s="78" customFormat="1" ht="15" customHeight="1" x14ac:dyDescent="0.25">
      <c r="B199" s="77"/>
      <c r="E199" s="77"/>
      <c r="H199" s="77"/>
      <c r="Y199" s="90">
        <v>197</v>
      </c>
      <c r="Z199" s="559" t="str">
        <f>IF(Inventory!$C206="","",VLOOKUP(Inventory!$C206,$B$3:$C$5,2,FALSE))</f>
        <v/>
      </c>
      <c r="AA199" s="559" t="str">
        <f>IF($Z199="","",IF(AND($Z199="b",Inventory!$G206=""),"",IF(AND($Z199="b",Inventory!$G206&lt;&gt;""),VLOOKUP(Inventory!$G206,$E$3:$F$10,2,FALSE),IF(AND($Z199="a",Inventory!$Z206=""),"",IF(AND($Z199="a",Inventory!$Z206&lt;&gt;""),VLOOKUP(Inventory!$Z206,$E$3:$F$10,2,FALSE),IF(AND($Z199="c",Inventory!$Z206=""),"",IF(AND($Z199="c",Inventory!$Z206&lt;&gt;""),VLOOKUP(Inventory!$Z206,$E$3:$F$10,2,FALSE),"")))))))</f>
        <v/>
      </c>
      <c r="AB199" s="559" t="str">
        <f>IF($Z199="","a",IF(AND($Z199="b",Inventory!$J206=""),"a",IF(AND($Z199="b",Inventory!$J206&lt;&gt;""),VLOOKUP(Inventory!$J206,$H$4:$I$6,2,FALSE),IF(AND($Z199="a",Inventory!$AA206=""),"a",IF(AND($Z199="a",Inventory!$AA206&lt;&gt;""),VLOOKUP(Inventory!$AA206,$H$4:$I$6,2,FALSE),IF(AND($Z199="c",Inventory!$AA206=""),"a",IF(AND($Z199="c",Inventory!$AA206&lt;&gt;""),VLOOKUP(Inventory!$AA206,$H$4:$I$6,2,FALSE),"a")))))))</f>
        <v>a</v>
      </c>
      <c r="AC199" s="559" t="str">
        <f t="shared" si="149"/>
        <v>a</v>
      </c>
      <c r="AD199" s="473" t="str">
        <f>IF($Z199="","a",IF(AND($Z199="b",Inventory!$L206=""),"a",IF(AND($Z199="b",Inventory!$L206&lt;&gt;""),VLOOKUP(Inventory!$L206,$N$4:$O$5,2,FALSE),IF(AND($Z199="a",Inventory!$AC206=""),"a",IF(AND($Z199="a",Inventory!$AC206&lt;&gt;""),VLOOKUP(Inventory!$AC206,$N$4:$O$5,2,FALSE),IF(AND($Z199="c",Inventory!$AC206=""),"a",IF(AND($Z199="c",Inventory!$AC206&lt;&gt;""),VLOOKUP(Inventory!$AC206,$N$4:$O$5,2,FALSE),"a")))))))</f>
        <v>a</v>
      </c>
      <c r="AE199" s="474">
        <f>IF(OR(Inventory!C206="New Construction",Inventory!C206="Replace-on-Burnout"),Inventory!AF206,IF(Inventory!C206="Early Retirement",MIN(Inventory!AE206,Inventory!AF206),0))</f>
        <v>0</v>
      </c>
      <c r="AF199" s="475" t="str">
        <f t="shared" si="150"/>
        <v/>
      </c>
      <c r="AG199" s="475" t="str">
        <f t="shared" si="138"/>
        <v/>
      </c>
      <c r="AH199" s="475" t="str">
        <f t="shared" si="139"/>
        <v/>
      </c>
      <c r="AI199" s="475" t="str">
        <f t="shared" si="140"/>
        <v/>
      </c>
      <c r="AJ199" s="475" t="str">
        <f t="shared" si="141"/>
        <v/>
      </c>
      <c r="AK199" s="475" t="str">
        <f t="shared" si="151"/>
        <v/>
      </c>
      <c r="AL199" s="475" t="str">
        <f t="shared" si="152"/>
        <v/>
      </c>
      <c r="AM199" s="475" t="str">
        <f t="shared" si="153"/>
        <v/>
      </c>
      <c r="AN199" s="475" t="str">
        <f t="shared" si="154"/>
        <v/>
      </c>
      <c r="AO199" s="475" t="str">
        <f t="shared" si="155"/>
        <v/>
      </c>
      <c r="AP199" s="475" t="str">
        <f t="shared" si="156"/>
        <v/>
      </c>
      <c r="AQ199" s="475" t="str">
        <f t="shared" si="157"/>
        <v/>
      </c>
      <c r="AR199" s="475" t="str">
        <f t="shared" si="158"/>
        <v/>
      </c>
      <c r="AS199" s="475" t="str">
        <f t="shared" si="159"/>
        <v/>
      </c>
      <c r="AT199" s="475" t="str">
        <f t="shared" si="160"/>
        <v/>
      </c>
      <c r="AU199" s="475" t="str">
        <f t="shared" si="161"/>
        <v/>
      </c>
      <c r="AV199" s="475" t="str">
        <f t="shared" si="142"/>
        <v/>
      </c>
      <c r="AW199" s="473">
        <f t="shared" si="143"/>
        <v>0</v>
      </c>
      <c r="AX199" s="473" t="str">
        <f>IF(AND($Z199="b",OR($AA199="a",$AA199="b"),Inventory!$I206="",$AE199&lt;(65000/12000)),"x",IF(AND($Z199="b",OR($AA199="a",$AA199="b"),Inventory!$I206&lt;&gt;"",$AE199&lt;(65000/12000)),VLOOKUP(Inventory!$I206,$V$4:$W$5,2,FALSE),"x"))</f>
        <v>x</v>
      </c>
      <c r="AY199" s="476" t="str">
        <f t="shared" si="162"/>
        <v>aaa0</v>
      </c>
      <c r="AZ199" s="477" t="str">
        <f t="shared" si="163"/>
        <v>No</v>
      </c>
      <c r="BA199" s="759" t="str">
        <f t="shared" si="164"/>
        <v>No</v>
      </c>
      <c r="BB199" s="477">
        <f>IF($Z199="c",Inventory!$AB206,Inventory!$K206)</f>
        <v>0</v>
      </c>
      <c r="BC199" s="478">
        <f>IF(AND($Z199="b",Inventory!$N206="Btu/hr"),Inventory!$M206,IF(AND($Z199="b",Inventory!$N206="Tons"),Inventory!$M206*12000,IF(AND($Z199&lt;&gt;"b",Inventory!$AK206="Btu/hr"),Inventory!$AD206,IF(AND($Z199&lt;&gt;"b",Inventory!$AK206="Tons"),Inventory!$AD206*12000,0))))</f>
        <v>0</v>
      </c>
      <c r="BD199" s="478">
        <f t="shared" si="136"/>
        <v>0</v>
      </c>
      <c r="BE199" s="479">
        <f t="shared" si="165"/>
        <v>0</v>
      </c>
      <c r="BF199" s="477" t="s">
        <v>50</v>
      </c>
      <c r="BG199" s="479">
        <f t="shared" si="144"/>
        <v>0</v>
      </c>
      <c r="BH199" s="477" t="s">
        <v>46</v>
      </c>
      <c r="BI199" s="760">
        <f>IF(AND($Z199="b",Inventory!$P206="Btu/hr"),Inventory!$O206,IF(AND($Z199="b",Inventory!$P206="Tons"),Inventory!$O206*12000,IF(AND($Z199&lt;&gt;"b",Inventory!$AM206="Btu/hr"),Inventory!$AL206,IF(AND($Z199&lt;&gt;"b",Inventory!$AM206="Tons"),Inventory!$AL206*12000,0))))</f>
        <v>0</v>
      </c>
      <c r="BJ199" s="760">
        <f t="shared" si="137"/>
        <v>0</v>
      </c>
      <c r="BK199" s="598">
        <f t="shared" si="166"/>
        <v>0</v>
      </c>
      <c r="BL199" s="759" t="s">
        <v>567</v>
      </c>
      <c r="BM199" s="477" t="str">
        <f t="shared" si="145"/>
        <v>No</v>
      </c>
      <c r="BN199" s="477" t="str">
        <f>IF(OR(Inventory!$H206="",$BM199="No"),"-",Inventory!$H206)</f>
        <v>-</v>
      </c>
      <c r="BO199" s="477" t="str">
        <f>IFERROR(VLOOKUP(BN199,'Early Retirement'!$B$6:$C$33,2,FALSE),"-")</f>
        <v>-</v>
      </c>
      <c r="BP199" s="477" t="str">
        <f>IF(Inventory!$J206="Centrifugal","Yes","No")</f>
        <v>No</v>
      </c>
      <c r="BQ199" s="477">
        <f t="shared" si="167"/>
        <v>0</v>
      </c>
      <c r="BR199" s="477" t="str">
        <f t="shared" si="168"/>
        <v>-</v>
      </c>
      <c r="BS199" s="479">
        <f>IFERROR(INDEX('Early Retirement'!$C$4:$AC$33,$BO199,$BR199),0)</f>
        <v>0</v>
      </c>
      <c r="BT199" s="477">
        <f>IFERROR(HLOOKUP($BR199,'Early Retirement'!$D$4:$AC$5,2,FALSE),0)</f>
        <v>0</v>
      </c>
      <c r="BU199" s="761">
        <f>IFERROR(INDEX('Early Retirement'!$AE$4:$BE$33,$BO199,$BR199),0)</f>
        <v>0</v>
      </c>
      <c r="BV199" s="759">
        <f>IFERROR(HLOOKUP($BR199,'Early Retirement'!$AF$4:$BE$5,2,FALSE),0)</f>
        <v>0</v>
      </c>
      <c r="BW199" s="479">
        <f t="shared" si="175"/>
        <v>0</v>
      </c>
      <c r="BX199" s="761">
        <f t="shared" si="169"/>
        <v>0</v>
      </c>
      <c r="BY199" s="477" t="s">
        <v>46</v>
      </c>
      <c r="BZ199" s="598">
        <f>IFERROR(INDEX('Early Retirement'!$BG$4:$CG$33,$BO199,$BR199),0)</f>
        <v>0</v>
      </c>
      <c r="CA199" s="759">
        <f>IFERROR(HLOOKUP($BR199,'Early Retirement'!$BH$4:$CH$5,2,FALSE),0)</f>
        <v>0</v>
      </c>
      <c r="CB199" s="598">
        <f t="shared" si="170"/>
        <v>0</v>
      </c>
      <c r="CC199" s="759" t="s">
        <v>567</v>
      </c>
      <c r="CD199" s="477" t="str">
        <f t="shared" si="146"/>
        <v>Yes</v>
      </c>
      <c r="CE199" s="479">
        <f t="shared" si="147"/>
        <v>0</v>
      </c>
      <c r="CF199" s="761">
        <f t="shared" si="148"/>
        <v>0</v>
      </c>
      <c r="CG199" s="759" t="s">
        <v>46</v>
      </c>
      <c r="CH199" s="598">
        <f t="shared" si="171"/>
        <v>0</v>
      </c>
      <c r="CI199" s="759" t="s">
        <v>567</v>
      </c>
      <c r="CJ199" s="480">
        <f t="shared" si="172"/>
        <v>0</v>
      </c>
      <c r="CK199" s="583">
        <f t="shared" si="173"/>
        <v>0</v>
      </c>
      <c r="CL199" s="596" t="s">
        <v>46</v>
      </c>
      <c r="CM199" s="581">
        <f t="shared" si="174"/>
        <v>0</v>
      </c>
      <c r="CN199" s="762" t="s">
        <v>567</v>
      </c>
      <c r="CW199" s="630"/>
      <c r="CX199" s="630"/>
      <c r="CY199" s="630"/>
      <c r="CZ199" s="630"/>
      <c r="DA199" s="630"/>
    </row>
    <row r="200" spans="2:105" s="78" customFormat="1" ht="15" customHeight="1" x14ac:dyDescent="0.25">
      <c r="B200" s="77"/>
      <c r="E200" s="77"/>
      <c r="H200" s="77"/>
      <c r="Y200" s="90">
        <v>198</v>
      </c>
      <c r="Z200" s="559" t="str">
        <f>IF(Inventory!$C207="","",VLOOKUP(Inventory!$C207,$B$3:$C$5,2,FALSE))</f>
        <v/>
      </c>
      <c r="AA200" s="559" t="str">
        <f>IF($Z200="","",IF(AND($Z200="b",Inventory!$G207=""),"",IF(AND($Z200="b",Inventory!$G207&lt;&gt;""),VLOOKUP(Inventory!$G207,$E$3:$F$10,2,FALSE),IF(AND($Z200="a",Inventory!$Z207=""),"",IF(AND($Z200="a",Inventory!$Z207&lt;&gt;""),VLOOKUP(Inventory!$Z207,$E$3:$F$10,2,FALSE),IF(AND($Z200="c",Inventory!$Z207=""),"",IF(AND($Z200="c",Inventory!$Z207&lt;&gt;""),VLOOKUP(Inventory!$Z207,$E$3:$F$10,2,FALSE),"")))))))</f>
        <v/>
      </c>
      <c r="AB200" s="559" t="str">
        <f>IF($Z200="","a",IF(AND($Z200="b",Inventory!$J207=""),"a",IF(AND($Z200="b",Inventory!$J207&lt;&gt;""),VLOOKUP(Inventory!$J207,$H$4:$I$6,2,FALSE),IF(AND($Z200="a",Inventory!$AA207=""),"a",IF(AND($Z200="a",Inventory!$AA207&lt;&gt;""),VLOOKUP(Inventory!$AA207,$H$4:$I$6,2,FALSE),IF(AND($Z200="c",Inventory!$AA207=""),"a",IF(AND($Z200="c",Inventory!$AA207&lt;&gt;""),VLOOKUP(Inventory!$AA207,$H$4:$I$6,2,FALSE),"a")))))))</f>
        <v>a</v>
      </c>
      <c r="AC200" s="559" t="str">
        <f t="shared" si="149"/>
        <v>a</v>
      </c>
      <c r="AD200" s="473" t="str">
        <f>IF($Z200="","a",IF(AND($Z200="b",Inventory!$L207=""),"a",IF(AND($Z200="b",Inventory!$L207&lt;&gt;""),VLOOKUP(Inventory!$L207,$N$4:$O$5,2,FALSE),IF(AND($Z200="a",Inventory!$AC207=""),"a",IF(AND($Z200="a",Inventory!$AC207&lt;&gt;""),VLOOKUP(Inventory!$AC207,$N$4:$O$5,2,FALSE),IF(AND($Z200="c",Inventory!$AC207=""),"a",IF(AND($Z200="c",Inventory!$AC207&lt;&gt;""),VLOOKUP(Inventory!$AC207,$N$4:$O$5,2,FALSE),"a")))))))</f>
        <v>a</v>
      </c>
      <c r="AE200" s="474">
        <f>IF(OR(Inventory!C207="New Construction",Inventory!C207="Replace-on-Burnout"),Inventory!AF207,IF(Inventory!C207="Early Retirement",MIN(Inventory!AE207,Inventory!AF207),0))</f>
        <v>0</v>
      </c>
      <c r="AF200" s="475" t="str">
        <f t="shared" si="150"/>
        <v/>
      </c>
      <c r="AG200" s="475" t="str">
        <f t="shared" si="138"/>
        <v/>
      </c>
      <c r="AH200" s="475" t="str">
        <f t="shared" si="139"/>
        <v/>
      </c>
      <c r="AI200" s="475" t="str">
        <f t="shared" si="140"/>
        <v/>
      </c>
      <c r="AJ200" s="475" t="str">
        <f t="shared" si="141"/>
        <v/>
      </c>
      <c r="AK200" s="475" t="str">
        <f t="shared" si="151"/>
        <v/>
      </c>
      <c r="AL200" s="475" t="str">
        <f t="shared" si="152"/>
        <v/>
      </c>
      <c r="AM200" s="475" t="str">
        <f t="shared" si="153"/>
        <v/>
      </c>
      <c r="AN200" s="475" t="str">
        <f t="shared" si="154"/>
        <v/>
      </c>
      <c r="AO200" s="475" t="str">
        <f t="shared" si="155"/>
        <v/>
      </c>
      <c r="AP200" s="475" t="str">
        <f t="shared" si="156"/>
        <v/>
      </c>
      <c r="AQ200" s="475" t="str">
        <f t="shared" si="157"/>
        <v/>
      </c>
      <c r="AR200" s="475" t="str">
        <f t="shared" si="158"/>
        <v/>
      </c>
      <c r="AS200" s="475" t="str">
        <f t="shared" si="159"/>
        <v/>
      </c>
      <c r="AT200" s="475" t="str">
        <f t="shared" si="160"/>
        <v/>
      </c>
      <c r="AU200" s="475" t="str">
        <f t="shared" si="161"/>
        <v/>
      </c>
      <c r="AV200" s="475" t="str">
        <f t="shared" si="142"/>
        <v/>
      </c>
      <c r="AW200" s="473">
        <f t="shared" si="143"/>
        <v>0</v>
      </c>
      <c r="AX200" s="473" t="str">
        <f>IF(AND($Z200="b",OR($AA200="a",$AA200="b"),Inventory!$I207="",$AE200&lt;(65000/12000)),"x",IF(AND($Z200="b",OR($AA200="a",$AA200="b"),Inventory!$I207&lt;&gt;"",$AE200&lt;(65000/12000)),VLOOKUP(Inventory!$I207,$V$4:$W$5,2,FALSE),"x"))</f>
        <v>x</v>
      </c>
      <c r="AY200" s="476" t="str">
        <f t="shared" si="162"/>
        <v>aaa0</v>
      </c>
      <c r="AZ200" s="477" t="str">
        <f t="shared" si="163"/>
        <v>No</v>
      </c>
      <c r="BA200" s="759" t="str">
        <f t="shared" si="164"/>
        <v>No</v>
      </c>
      <c r="BB200" s="477">
        <f>IF($Z200="c",Inventory!$AB207,Inventory!$K207)</f>
        <v>0</v>
      </c>
      <c r="BC200" s="478">
        <f>IF(AND($Z200="b",Inventory!$N207="Btu/hr"),Inventory!$M207,IF(AND($Z200="b",Inventory!$N207="Tons"),Inventory!$M207*12000,IF(AND($Z200&lt;&gt;"b",Inventory!$AK207="Btu/hr"),Inventory!$AD207,IF(AND($Z200&lt;&gt;"b",Inventory!$AK207="Tons"),Inventory!$AD207*12000,0))))</f>
        <v>0</v>
      </c>
      <c r="BD200" s="478">
        <f t="shared" si="136"/>
        <v>0</v>
      </c>
      <c r="BE200" s="479">
        <f t="shared" si="165"/>
        <v>0</v>
      </c>
      <c r="BF200" s="477" t="s">
        <v>50</v>
      </c>
      <c r="BG200" s="479">
        <f t="shared" si="144"/>
        <v>0</v>
      </c>
      <c r="BH200" s="477" t="s">
        <v>46</v>
      </c>
      <c r="BI200" s="760">
        <f>IF(AND($Z200="b",Inventory!$P207="Btu/hr"),Inventory!$O207,IF(AND($Z200="b",Inventory!$P207="Tons"),Inventory!$O207*12000,IF(AND($Z200&lt;&gt;"b",Inventory!$AM207="Btu/hr"),Inventory!$AL207,IF(AND($Z200&lt;&gt;"b",Inventory!$AM207="Tons"),Inventory!$AL207*12000,0))))</f>
        <v>0</v>
      </c>
      <c r="BJ200" s="760">
        <f t="shared" si="137"/>
        <v>0</v>
      </c>
      <c r="BK200" s="598">
        <f t="shared" si="166"/>
        <v>0</v>
      </c>
      <c r="BL200" s="759" t="s">
        <v>567</v>
      </c>
      <c r="BM200" s="477" t="str">
        <f t="shared" si="145"/>
        <v>No</v>
      </c>
      <c r="BN200" s="477" t="str">
        <f>IF(OR(Inventory!$H207="",$BM200="No"),"-",Inventory!$H207)</f>
        <v>-</v>
      </c>
      <c r="BO200" s="477" t="str">
        <f>IFERROR(VLOOKUP(BN200,'Early Retirement'!$B$6:$C$33,2,FALSE),"-")</f>
        <v>-</v>
      </c>
      <c r="BP200" s="477" t="str">
        <f>IF(Inventory!$J207="Centrifugal","Yes","No")</f>
        <v>No</v>
      </c>
      <c r="BQ200" s="477">
        <f t="shared" si="167"/>
        <v>0</v>
      </c>
      <c r="BR200" s="477" t="str">
        <f t="shared" si="168"/>
        <v>-</v>
      </c>
      <c r="BS200" s="479">
        <f>IFERROR(INDEX('Early Retirement'!$C$4:$AC$33,$BO200,$BR200),0)</f>
        <v>0</v>
      </c>
      <c r="BT200" s="477">
        <f>IFERROR(HLOOKUP($BR200,'Early Retirement'!$D$4:$AC$5,2,FALSE),0)</f>
        <v>0</v>
      </c>
      <c r="BU200" s="761">
        <f>IFERROR(INDEX('Early Retirement'!$AE$4:$BE$33,$BO200,$BR200),0)</f>
        <v>0</v>
      </c>
      <c r="BV200" s="759">
        <f>IFERROR(HLOOKUP($BR200,'Early Retirement'!$AF$4:$BE$5,2,FALSE),0)</f>
        <v>0</v>
      </c>
      <c r="BW200" s="479">
        <f t="shared" si="175"/>
        <v>0</v>
      </c>
      <c r="BX200" s="761">
        <f t="shared" si="169"/>
        <v>0</v>
      </c>
      <c r="BY200" s="477" t="s">
        <v>46</v>
      </c>
      <c r="BZ200" s="598">
        <f>IFERROR(INDEX('Early Retirement'!$BG$4:$CG$33,$BO200,$BR200),0)</f>
        <v>0</v>
      </c>
      <c r="CA200" s="759">
        <f>IFERROR(HLOOKUP($BR200,'Early Retirement'!$BH$4:$CH$5,2,FALSE),0)</f>
        <v>0</v>
      </c>
      <c r="CB200" s="598">
        <f t="shared" si="170"/>
        <v>0</v>
      </c>
      <c r="CC200" s="759" t="s">
        <v>567</v>
      </c>
      <c r="CD200" s="477" t="str">
        <f t="shared" si="146"/>
        <v>Yes</v>
      </c>
      <c r="CE200" s="479">
        <f t="shared" si="147"/>
        <v>0</v>
      </c>
      <c r="CF200" s="761">
        <f t="shared" si="148"/>
        <v>0</v>
      </c>
      <c r="CG200" s="759" t="s">
        <v>46</v>
      </c>
      <c r="CH200" s="598">
        <f t="shared" si="171"/>
        <v>0</v>
      </c>
      <c r="CI200" s="759" t="s">
        <v>567</v>
      </c>
      <c r="CJ200" s="480">
        <f t="shared" si="172"/>
        <v>0</v>
      </c>
      <c r="CK200" s="583">
        <f t="shared" si="173"/>
        <v>0</v>
      </c>
      <c r="CL200" s="596" t="s">
        <v>46</v>
      </c>
      <c r="CM200" s="581">
        <f t="shared" si="174"/>
        <v>0</v>
      </c>
      <c r="CN200" s="762" t="s">
        <v>567</v>
      </c>
      <c r="CW200" s="630"/>
      <c r="CX200" s="630"/>
      <c r="CY200" s="630"/>
      <c r="CZ200" s="630"/>
      <c r="DA200" s="630"/>
    </row>
    <row r="201" spans="2:105" s="78" customFormat="1" ht="15" customHeight="1" x14ac:dyDescent="0.25">
      <c r="B201" s="77"/>
      <c r="E201" s="77"/>
      <c r="H201" s="77"/>
      <c r="Y201" s="90">
        <v>199</v>
      </c>
      <c r="Z201" s="559" t="str">
        <f>IF(Inventory!$C208="","",VLOOKUP(Inventory!$C208,$B$3:$C$5,2,FALSE))</f>
        <v/>
      </c>
      <c r="AA201" s="559" t="str">
        <f>IF($Z201="","",IF(AND($Z201="b",Inventory!$G208=""),"",IF(AND($Z201="b",Inventory!$G208&lt;&gt;""),VLOOKUP(Inventory!$G208,$E$3:$F$10,2,FALSE),IF(AND($Z201="a",Inventory!$Z208=""),"",IF(AND($Z201="a",Inventory!$Z208&lt;&gt;""),VLOOKUP(Inventory!$Z208,$E$3:$F$10,2,FALSE),IF(AND($Z201="c",Inventory!$Z208=""),"",IF(AND($Z201="c",Inventory!$Z208&lt;&gt;""),VLOOKUP(Inventory!$Z208,$E$3:$F$10,2,FALSE),"")))))))</f>
        <v/>
      </c>
      <c r="AB201" s="559" t="str">
        <f>IF($Z201="","a",IF(AND($Z201="b",Inventory!$J208=""),"a",IF(AND($Z201="b",Inventory!$J208&lt;&gt;""),VLOOKUP(Inventory!$J208,$H$4:$I$6,2,FALSE),IF(AND($Z201="a",Inventory!$AA208=""),"a",IF(AND($Z201="a",Inventory!$AA208&lt;&gt;""),VLOOKUP(Inventory!$AA208,$H$4:$I$6,2,FALSE),IF(AND($Z201="c",Inventory!$AA208=""),"a",IF(AND($Z201="c",Inventory!$AA208&lt;&gt;""),VLOOKUP(Inventory!$AA208,$H$4:$I$6,2,FALSE),"a")))))))</f>
        <v>a</v>
      </c>
      <c r="AC201" s="559" t="str">
        <f t="shared" si="149"/>
        <v>a</v>
      </c>
      <c r="AD201" s="473" t="str">
        <f>IF($Z201="","a",IF(AND($Z201="b",Inventory!$L208=""),"a",IF(AND($Z201="b",Inventory!$L208&lt;&gt;""),VLOOKUP(Inventory!$L208,$N$4:$O$5,2,FALSE),IF(AND($Z201="a",Inventory!$AC208=""),"a",IF(AND($Z201="a",Inventory!$AC208&lt;&gt;""),VLOOKUP(Inventory!$AC208,$N$4:$O$5,2,FALSE),IF(AND($Z201="c",Inventory!$AC208=""),"a",IF(AND($Z201="c",Inventory!$AC208&lt;&gt;""),VLOOKUP(Inventory!$AC208,$N$4:$O$5,2,FALSE),"a")))))))</f>
        <v>a</v>
      </c>
      <c r="AE201" s="474">
        <f>IF(OR(Inventory!C208="New Construction",Inventory!C208="Replace-on-Burnout"),Inventory!AF208,IF(Inventory!C208="Early Retirement",MIN(Inventory!AE208,Inventory!AF208),0))</f>
        <v>0</v>
      </c>
      <c r="AF201" s="475" t="str">
        <f t="shared" si="150"/>
        <v/>
      </c>
      <c r="AG201" s="475" t="str">
        <f t="shared" si="138"/>
        <v/>
      </c>
      <c r="AH201" s="475" t="str">
        <f t="shared" si="139"/>
        <v/>
      </c>
      <c r="AI201" s="475" t="str">
        <f t="shared" si="140"/>
        <v/>
      </c>
      <c r="AJ201" s="475" t="str">
        <f t="shared" si="141"/>
        <v/>
      </c>
      <c r="AK201" s="475" t="str">
        <f t="shared" si="151"/>
        <v/>
      </c>
      <c r="AL201" s="475" t="str">
        <f t="shared" si="152"/>
        <v/>
      </c>
      <c r="AM201" s="475" t="str">
        <f t="shared" si="153"/>
        <v/>
      </c>
      <c r="AN201" s="475" t="str">
        <f t="shared" si="154"/>
        <v/>
      </c>
      <c r="AO201" s="475" t="str">
        <f t="shared" si="155"/>
        <v/>
      </c>
      <c r="AP201" s="475" t="str">
        <f t="shared" si="156"/>
        <v/>
      </c>
      <c r="AQ201" s="475" t="str">
        <f t="shared" si="157"/>
        <v/>
      </c>
      <c r="AR201" s="475" t="str">
        <f t="shared" si="158"/>
        <v/>
      </c>
      <c r="AS201" s="475" t="str">
        <f t="shared" si="159"/>
        <v/>
      </c>
      <c r="AT201" s="475" t="str">
        <f t="shared" si="160"/>
        <v/>
      </c>
      <c r="AU201" s="475" t="str">
        <f t="shared" si="161"/>
        <v/>
      </c>
      <c r="AV201" s="475" t="str">
        <f t="shared" si="142"/>
        <v/>
      </c>
      <c r="AW201" s="473">
        <f t="shared" si="143"/>
        <v>0</v>
      </c>
      <c r="AX201" s="473" t="str">
        <f>IF(AND($Z201="b",OR($AA201="a",$AA201="b"),Inventory!$I208="",$AE201&lt;(65000/12000)),"x",IF(AND($Z201="b",OR($AA201="a",$AA201="b"),Inventory!$I208&lt;&gt;"",$AE201&lt;(65000/12000)),VLOOKUP(Inventory!$I208,$V$4:$W$5,2,FALSE),"x"))</f>
        <v>x</v>
      </c>
      <c r="AY201" s="476" t="str">
        <f t="shared" si="162"/>
        <v>aaa0</v>
      </c>
      <c r="AZ201" s="477" t="str">
        <f t="shared" si="163"/>
        <v>No</v>
      </c>
      <c r="BA201" s="759" t="str">
        <f t="shared" si="164"/>
        <v>No</v>
      </c>
      <c r="BB201" s="477">
        <f>IF($Z201="c",Inventory!$AB208,Inventory!$K208)</f>
        <v>0</v>
      </c>
      <c r="BC201" s="478">
        <f>IF(AND($Z201="b",Inventory!$N208="Btu/hr"),Inventory!$M208,IF(AND($Z201="b",Inventory!$N208="Tons"),Inventory!$M208*12000,IF(AND($Z201&lt;&gt;"b",Inventory!$AK208="Btu/hr"),Inventory!$AD208,IF(AND($Z201&lt;&gt;"b",Inventory!$AK208="Tons"),Inventory!$AD208*12000,0))))</f>
        <v>0</v>
      </c>
      <c r="BD201" s="478">
        <f t="shared" si="136"/>
        <v>0</v>
      </c>
      <c r="BE201" s="479">
        <f t="shared" si="165"/>
        <v>0</v>
      </c>
      <c r="BF201" s="477" t="s">
        <v>50</v>
      </c>
      <c r="BG201" s="479">
        <f t="shared" si="144"/>
        <v>0</v>
      </c>
      <c r="BH201" s="477" t="s">
        <v>46</v>
      </c>
      <c r="BI201" s="760">
        <f>IF(AND($Z201="b",Inventory!$P208="Btu/hr"),Inventory!$O208,IF(AND($Z201="b",Inventory!$P208="Tons"),Inventory!$O208*12000,IF(AND($Z201&lt;&gt;"b",Inventory!$AM208="Btu/hr"),Inventory!$AL208,IF(AND($Z201&lt;&gt;"b",Inventory!$AM208="Tons"),Inventory!$AL208*12000,0))))</f>
        <v>0</v>
      </c>
      <c r="BJ201" s="760">
        <f t="shared" si="137"/>
        <v>0</v>
      </c>
      <c r="BK201" s="598">
        <f t="shared" si="166"/>
        <v>0</v>
      </c>
      <c r="BL201" s="759" t="s">
        <v>567</v>
      </c>
      <c r="BM201" s="477" t="str">
        <f t="shared" si="145"/>
        <v>No</v>
      </c>
      <c r="BN201" s="477" t="str">
        <f>IF(OR(Inventory!$H208="",$BM201="No"),"-",Inventory!$H208)</f>
        <v>-</v>
      </c>
      <c r="BO201" s="477" t="str">
        <f>IFERROR(VLOOKUP(BN201,'Early Retirement'!$B$6:$C$33,2,FALSE),"-")</f>
        <v>-</v>
      </c>
      <c r="BP201" s="477" t="str">
        <f>IF(Inventory!$J208="Centrifugal","Yes","No")</f>
        <v>No</v>
      </c>
      <c r="BQ201" s="477">
        <f t="shared" si="167"/>
        <v>0</v>
      </c>
      <c r="BR201" s="477" t="str">
        <f t="shared" si="168"/>
        <v>-</v>
      </c>
      <c r="BS201" s="479">
        <f>IFERROR(INDEX('Early Retirement'!$C$4:$AC$33,$BO201,$BR201),0)</f>
        <v>0</v>
      </c>
      <c r="BT201" s="477">
        <f>IFERROR(HLOOKUP($BR201,'Early Retirement'!$D$4:$AC$5,2,FALSE),0)</f>
        <v>0</v>
      </c>
      <c r="BU201" s="761">
        <f>IFERROR(INDEX('Early Retirement'!$AE$4:$BE$33,$BO201,$BR201),0)</f>
        <v>0</v>
      </c>
      <c r="BV201" s="759">
        <f>IFERROR(HLOOKUP($BR201,'Early Retirement'!$AF$4:$BE$5,2,FALSE),0)</f>
        <v>0</v>
      </c>
      <c r="BW201" s="479">
        <f t="shared" si="175"/>
        <v>0</v>
      </c>
      <c r="BX201" s="761">
        <f t="shared" si="169"/>
        <v>0</v>
      </c>
      <c r="BY201" s="477" t="s">
        <v>46</v>
      </c>
      <c r="BZ201" s="598">
        <f>IFERROR(INDEX('Early Retirement'!$BG$4:$CG$33,$BO201,$BR201),0)</f>
        <v>0</v>
      </c>
      <c r="CA201" s="759">
        <f>IFERROR(HLOOKUP($BR201,'Early Retirement'!$BH$4:$CH$5,2,FALSE),0)</f>
        <v>0</v>
      </c>
      <c r="CB201" s="598">
        <f t="shared" si="170"/>
        <v>0</v>
      </c>
      <c r="CC201" s="759" t="s">
        <v>567</v>
      </c>
      <c r="CD201" s="477" t="str">
        <f t="shared" si="146"/>
        <v>Yes</v>
      </c>
      <c r="CE201" s="479">
        <f t="shared" si="147"/>
        <v>0</v>
      </c>
      <c r="CF201" s="761">
        <f t="shared" si="148"/>
        <v>0</v>
      </c>
      <c r="CG201" s="759" t="s">
        <v>46</v>
      </c>
      <c r="CH201" s="598">
        <f t="shared" si="171"/>
        <v>0</v>
      </c>
      <c r="CI201" s="759" t="s">
        <v>567</v>
      </c>
      <c r="CJ201" s="480">
        <f t="shared" si="172"/>
        <v>0</v>
      </c>
      <c r="CK201" s="583">
        <f t="shared" si="173"/>
        <v>0</v>
      </c>
      <c r="CL201" s="596" t="s">
        <v>46</v>
      </c>
      <c r="CM201" s="581">
        <f t="shared" si="174"/>
        <v>0</v>
      </c>
      <c r="CN201" s="762" t="s">
        <v>567</v>
      </c>
      <c r="CW201" s="630"/>
      <c r="CX201" s="630"/>
      <c r="CY201" s="630"/>
      <c r="CZ201" s="630"/>
      <c r="DA201" s="630"/>
    </row>
    <row r="202" spans="2:105" s="78" customFormat="1" ht="15" customHeight="1" x14ac:dyDescent="0.25">
      <c r="B202" s="77"/>
      <c r="E202" s="77"/>
      <c r="H202" s="77"/>
      <c r="Y202" s="90">
        <v>200</v>
      </c>
      <c r="Z202" s="559" t="str">
        <f>IF(Inventory!$C209="","",VLOOKUP(Inventory!$C209,$B$3:$C$5,2,FALSE))</f>
        <v/>
      </c>
      <c r="AA202" s="559" t="str">
        <f>IF($Z202="","",IF(AND($Z202="b",Inventory!$G209=""),"",IF(AND($Z202="b",Inventory!$G209&lt;&gt;""),VLOOKUP(Inventory!$G209,$E$3:$F$10,2,FALSE),IF(AND($Z202="a",Inventory!$Z209=""),"",IF(AND($Z202="a",Inventory!$Z209&lt;&gt;""),VLOOKUP(Inventory!$Z209,$E$3:$F$10,2,FALSE),IF(AND($Z202="c",Inventory!$Z209=""),"",IF(AND($Z202="c",Inventory!$Z209&lt;&gt;""),VLOOKUP(Inventory!$Z209,$E$3:$F$10,2,FALSE),"")))))))</f>
        <v/>
      </c>
      <c r="AB202" s="559" t="str">
        <f>IF($Z202="","a",IF(AND($Z202="b",Inventory!$J209=""),"a",IF(AND($Z202="b",Inventory!$J209&lt;&gt;""),VLOOKUP(Inventory!$J209,$H$4:$I$6,2,FALSE),IF(AND($Z202="a",Inventory!$AA209=""),"a",IF(AND($Z202="a",Inventory!$AA209&lt;&gt;""),VLOOKUP(Inventory!$AA209,$H$4:$I$6,2,FALSE),IF(AND($Z202="c",Inventory!$AA209=""),"a",IF(AND($Z202="c",Inventory!$AA209&lt;&gt;""),VLOOKUP(Inventory!$AA209,$H$4:$I$6,2,FALSE),"a")))))))</f>
        <v>a</v>
      </c>
      <c r="AC202" s="559" t="str">
        <f t="shared" si="149"/>
        <v>a</v>
      </c>
      <c r="AD202" s="473" t="str">
        <f>IF($Z202="","a",IF(AND($Z202="b",Inventory!$L209=""),"a",IF(AND($Z202="b",Inventory!$L209&lt;&gt;""),VLOOKUP(Inventory!$L209,$N$4:$O$5,2,FALSE),IF(AND($Z202="a",Inventory!$AC209=""),"a",IF(AND($Z202="a",Inventory!$AC209&lt;&gt;""),VLOOKUP(Inventory!$AC209,$N$4:$O$5,2,FALSE),IF(AND($Z202="c",Inventory!$AC209=""),"a",IF(AND($Z202="c",Inventory!$AC209&lt;&gt;""),VLOOKUP(Inventory!$AC209,$N$4:$O$5,2,FALSE),"a")))))))</f>
        <v>a</v>
      </c>
      <c r="AE202" s="474">
        <f>IF(OR(Inventory!C209="New Construction",Inventory!C209="Replace-on-Burnout"),Inventory!AF209,IF(Inventory!C209="Early Retirement",MIN(Inventory!AE209,Inventory!AF209),0))</f>
        <v>0</v>
      </c>
      <c r="AF202" s="475" t="str">
        <f t="shared" si="150"/>
        <v/>
      </c>
      <c r="AG202" s="475" t="str">
        <f t="shared" si="138"/>
        <v/>
      </c>
      <c r="AH202" s="475" t="str">
        <f t="shared" si="139"/>
        <v/>
      </c>
      <c r="AI202" s="475" t="str">
        <f t="shared" si="140"/>
        <v/>
      </c>
      <c r="AJ202" s="475" t="str">
        <f t="shared" si="141"/>
        <v/>
      </c>
      <c r="AK202" s="475" t="str">
        <f t="shared" si="151"/>
        <v/>
      </c>
      <c r="AL202" s="475" t="str">
        <f t="shared" si="152"/>
        <v/>
      </c>
      <c r="AM202" s="475" t="str">
        <f t="shared" si="153"/>
        <v/>
      </c>
      <c r="AN202" s="475" t="str">
        <f t="shared" si="154"/>
        <v/>
      </c>
      <c r="AO202" s="475" t="str">
        <f t="shared" si="155"/>
        <v/>
      </c>
      <c r="AP202" s="475" t="str">
        <f t="shared" si="156"/>
        <v/>
      </c>
      <c r="AQ202" s="475" t="str">
        <f t="shared" si="157"/>
        <v/>
      </c>
      <c r="AR202" s="475" t="str">
        <f t="shared" si="158"/>
        <v/>
      </c>
      <c r="AS202" s="475" t="str">
        <f t="shared" si="159"/>
        <v/>
      </c>
      <c r="AT202" s="475" t="str">
        <f t="shared" si="160"/>
        <v/>
      </c>
      <c r="AU202" s="475" t="str">
        <f t="shared" si="161"/>
        <v/>
      </c>
      <c r="AV202" s="475" t="str">
        <f t="shared" si="142"/>
        <v/>
      </c>
      <c r="AW202" s="473">
        <f t="shared" si="143"/>
        <v>0</v>
      </c>
      <c r="AX202" s="473" t="str">
        <f>IF(AND($Z202="b",OR($AA202="a",$AA202="b"),Inventory!$I209="",$AE202&lt;(65000/12000)),"x",IF(AND($Z202="b",OR($AA202="a",$AA202="b"),Inventory!$I209&lt;&gt;"",$AE202&lt;(65000/12000)),VLOOKUP(Inventory!$I209,$V$4:$W$5,2,FALSE),"x"))</f>
        <v>x</v>
      </c>
      <c r="AY202" s="476" t="str">
        <f t="shared" si="162"/>
        <v>aaa0</v>
      </c>
      <c r="AZ202" s="477" t="str">
        <f t="shared" si="163"/>
        <v>No</v>
      </c>
      <c r="BA202" s="759" t="str">
        <f t="shared" si="164"/>
        <v>No</v>
      </c>
      <c r="BB202" s="477">
        <f>IF($Z202="c",Inventory!$AB209,Inventory!$K209)</f>
        <v>0</v>
      </c>
      <c r="BC202" s="478">
        <f>IF(AND($Z202="b",Inventory!$N209="Btu/hr"),Inventory!$M209,IF(AND($Z202="b",Inventory!$N209="Tons"),Inventory!$M209*12000,IF(AND($Z202&lt;&gt;"b",Inventory!$AK209="Btu/hr"),Inventory!$AD209,IF(AND($Z202&lt;&gt;"b",Inventory!$AK209="Tons"),Inventory!$AD209*12000,0))))</f>
        <v>0</v>
      </c>
      <c r="BD202" s="478">
        <f t="shared" si="136"/>
        <v>0</v>
      </c>
      <c r="BE202" s="479">
        <f t="shared" si="165"/>
        <v>0</v>
      </c>
      <c r="BF202" s="477" t="s">
        <v>50</v>
      </c>
      <c r="BG202" s="479">
        <f t="shared" si="144"/>
        <v>0</v>
      </c>
      <c r="BH202" s="477" t="s">
        <v>46</v>
      </c>
      <c r="BI202" s="760">
        <f>IF(AND($Z202="b",Inventory!$P209="Btu/hr"),Inventory!$O209,IF(AND($Z202="b",Inventory!$P209="Tons"),Inventory!$O209*12000,IF(AND($Z202&lt;&gt;"b",Inventory!$AM209="Btu/hr"),Inventory!$AL209,IF(AND($Z202&lt;&gt;"b",Inventory!$AM209="Tons"),Inventory!$AL209*12000,0))))</f>
        <v>0</v>
      </c>
      <c r="BJ202" s="760">
        <f t="shared" si="137"/>
        <v>0</v>
      </c>
      <c r="BK202" s="598">
        <f t="shared" si="166"/>
        <v>0</v>
      </c>
      <c r="BL202" s="759" t="s">
        <v>567</v>
      </c>
      <c r="BM202" s="477" t="str">
        <f t="shared" si="145"/>
        <v>No</v>
      </c>
      <c r="BN202" s="477" t="str">
        <f>IF(OR(Inventory!$H209="",$BM202="No"),"-",Inventory!$H209)</f>
        <v>-</v>
      </c>
      <c r="BO202" s="477" t="str">
        <f>IFERROR(VLOOKUP(BN202,'Early Retirement'!$B$6:$C$33,2,FALSE),"-")</f>
        <v>-</v>
      </c>
      <c r="BP202" s="477" t="str">
        <f>IF(Inventory!$J209="Centrifugal","Yes","No")</f>
        <v>No</v>
      </c>
      <c r="BQ202" s="477">
        <f t="shared" si="167"/>
        <v>0</v>
      </c>
      <c r="BR202" s="477" t="str">
        <f t="shared" si="168"/>
        <v>-</v>
      </c>
      <c r="BS202" s="479">
        <f>IFERROR(INDEX('Early Retirement'!$C$4:$AC$33,$BO202,$BR202),0)</f>
        <v>0</v>
      </c>
      <c r="BT202" s="477">
        <f>IFERROR(HLOOKUP($BR202,'Early Retirement'!$D$4:$AC$5,2,FALSE),0)</f>
        <v>0</v>
      </c>
      <c r="BU202" s="761">
        <f>IFERROR(INDEX('Early Retirement'!$AE$4:$BE$33,$BO202,$BR202),0)</f>
        <v>0</v>
      </c>
      <c r="BV202" s="759">
        <f>IFERROR(HLOOKUP($BR202,'Early Retirement'!$AF$4:$BE$5,2,FALSE),0)</f>
        <v>0</v>
      </c>
      <c r="BW202" s="479">
        <f t="shared" si="175"/>
        <v>0</v>
      </c>
      <c r="BX202" s="761">
        <f t="shared" si="169"/>
        <v>0</v>
      </c>
      <c r="BY202" s="477" t="s">
        <v>46</v>
      </c>
      <c r="BZ202" s="598">
        <f>IFERROR(INDEX('Early Retirement'!$BG$4:$CG$33,$BO202,$BR202),0)</f>
        <v>0</v>
      </c>
      <c r="CA202" s="759">
        <f>IFERROR(HLOOKUP($BR202,'Early Retirement'!$BH$4:$CH$5,2,FALSE),0)</f>
        <v>0</v>
      </c>
      <c r="CB202" s="598">
        <f t="shared" si="170"/>
        <v>0</v>
      </c>
      <c r="CC202" s="759" t="s">
        <v>567</v>
      </c>
      <c r="CD202" s="477" t="str">
        <f t="shared" si="146"/>
        <v>Yes</v>
      </c>
      <c r="CE202" s="479">
        <f t="shared" si="147"/>
        <v>0</v>
      </c>
      <c r="CF202" s="761">
        <f t="shared" si="148"/>
        <v>0</v>
      </c>
      <c r="CG202" s="759" t="s">
        <v>46</v>
      </c>
      <c r="CH202" s="598">
        <f t="shared" si="171"/>
        <v>0</v>
      </c>
      <c r="CI202" s="759" t="s">
        <v>567</v>
      </c>
      <c r="CJ202" s="480">
        <f t="shared" si="172"/>
        <v>0</v>
      </c>
      <c r="CK202" s="583">
        <f t="shared" si="173"/>
        <v>0</v>
      </c>
      <c r="CL202" s="596" t="s">
        <v>46</v>
      </c>
      <c r="CM202" s="581">
        <f t="shared" si="174"/>
        <v>0</v>
      </c>
      <c r="CN202" s="762" t="s">
        <v>567</v>
      </c>
      <c r="CW202" s="630"/>
      <c r="CX202" s="630"/>
      <c r="CY202" s="630"/>
      <c r="CZ202" s="630"/>
      <c r="DA202" s="630"/>
    </row>
    <row r="203" spans="2:105" s="78" customFormat="1" ht="15" customHeight="1" x14ac:dyDescent="0.25">
      <c r="B203" s="77"/>
      <c r="E203" s="77"/>
      <c r="H203" s="77"/>
      <c r="Y203" s="90">
        <v>201</v>
      </c>
      <c r="Z203" s="559" t="str">
        <f>IF(Inventory!$C210="","",VLOOKUP(Inventory!$C210,$B$3:$C$5,2,FALSE))</f>
        <v/>
      </c>
      <c r="AA203" s="559" t="str">
        <f>IF($Z203="","",IF(AND($Z203="b",Inventory!$G210=""),"",IF(AND($Z203="b",Inventory!$G210&lt;&gt;""),VLOOKUP(Inventory!$G210,$E$3:$F$10,2,FALSE),IF(AND($Z203="a",Inventory!$Z210=""),"",IF(AND($Z203="a",Inventory!$Z210&lt;&gt;""),VLOOKUP(Inventory!$Z210,$E$3:$F$10,2,FALSE),IF(AND($Z203="c",Inventory!$Z210=""),"",IF(AND($Z203="c",Inventory!$Z210&lt;&gt;""),VLOOKUP(Inventory!$Z210,$E$3:$F$10,2,FALSE),"")))))))</f>
        <v/>
      </c>
      <c r="AB203" s="559" t="str">
        <f>IF($Z203="","a",IF(AND($Z203="b",Inventory!$J210=""),"a",IF(AND($Z203="b",Inventory!$J210&lt;&gt;""),VLOOKUP(Inventory!$J210,$H$4:$I$6,2,FALSE),IF(AND($Z203="a",Inventory!$AA210=""),"a",IF(AND($Z203="a",Inventory!$AA210&lt;&gt;""),VLOOKUP(Inventory!$AA210,$H$4:$I$6,2,FALSE),IF(AND($Z203="c",Inventory!$AA210=""),"a",IF(AND($Z203="c",Inventory!$AA210&lt;&gt;""),VLOOKUP(Inventory!$AA210,$H$4:$I$6,2,FALSE),"a")))))))</f>
        <v>a</v>
      </c>
      <c r="AC203" s="559" t="str">
        <f t="shared" si="149"/>
        <v>a</v>
      </c>
      <c r="AD203" s="473" t="str">
        <f>IF($Z203="","a",IF(AND($Z203="b",Inventory!$L210=""),"a",IF(AND($Z203="b",Inventory!$L210&lt;&gt;""),VLOOKUP(Inventory!$L210,$N$4:$O$5,2,FALSE),IF(AND($Z203="a",Inventory!$AC210=""),"a",IF(AND($Z203="a",Inventory!$AC210&lt;&gt;""),VLOOKUP(Inventory!$AC210,$N$4:$O$5,2,FALSE),IF(AND($Z203="c",Inventory!$AC210=""),"a",IF(AND($Z203="c",Inventory!$AC210&lt;&gt;""),VLOOKUP(Inventory!$AC210,$N$4:$O$5,2,FALSE),"a")))))))</f>
        <v>a</v>
      </c>
      <c r="AE203" s="474">
        <f>IF(OR(Inventory!C210="New Construction",Inventory!C210="Replace-on-Burnout"),Inventory!AF210,IF(Inventory!C210="Early Retirement",MIN(Inventory!AE210,Inventory!AF210),0))</f>
        <v>0</v>
      </c>
      <c r="AF203" s="475" t="str">
        <f t="shared" si="150"/>
        <v/>
      </c>
      <c r="AG203" s="475" t="str">
        <f t="shared" si="138"/>
        <v/>
      </c>
      <c r="AH203" s="475" t="str">
        <f t="shared" si="139"/>
        <v/>
      </c>
      <c r="AI203" s="475" t="str">
        <f t="shared" si="140"/>
        <v/>
      </c>
      <c r="AJ203" s="475" t="str">
        <f t="shared" si="141"/>
        <v/>
      </c>
      <c r="AK203" s="475" t="str">
        <f t="shared" si="151"/>
        <v/>
      </c>
      <c r="AL203" s="475" t="str">
        <f t="shared" si="152"/>
        <v/>
      </c>
      <c r="AM203" s="475" t="str">
        <f t="shared" si="153"/>
        <v/>
      </c>
      <c r="AN203" s="475" t="str">
        <f t="shared" si="154"/>
        <v/>
      </c>
      <c r="AO203" s="475" t="str">
        <f t="shared" si="155"/>
        <v/>
      </c>
      <c r="AP203" s="475" t="str">
        <f t="shared" si="156"/>
        <v/>
      </c>
      <c r="AQ203" s="475" t="str">
        <f t="shared" si="157"/>
        <v/>
      </c>
      <c r="AR203" s="475" t="str">
        <f t="shared" si="158"/>
        <v/>
      </c>
      <c r="AS203" s="475" t="str">
        <f t="shared" si="159"/>
        <v/>
      </c>
      <c r="AT203" s="475" t="str">
        <f t="shared" si="160"/>
        <v/>
      </c>
      <c r="AU203" s="475" t="str">
        <f t="shared" si="161"/>
        <v/>
      </c>
      <c r="AV203" s="475" t="str">
        <f t="shared" si="142"/>
        <v/>
      </c>
      <c r="AW203" s="473">
        <f t="shared" si="143"/>
        <v>0</v>
      </c>
      <c r="AX203" s="473" t="str">
        <f>IF(AND($Z203="b",OR($AA203="a",$AA203="b"),Inventory!$I210="",$AE203&lt;(65000/12000)),"x",IF(AND($Z203="b",OR($AA203="a",$AA203="b"),Inventory!$I210&lt;&gt;"",$AE203&lt;(65000/12000)),VLOOKUP(Inventory!$I210,$V$4:$W$5,2,FALSE),"x"))</f>
        <v>x</v>
      </c>
      <c r="AY203" s="476" t="str">
        <f t="shared" si="162"/>
        <v>aaa0</v>
      </c>
      <c r="AZ203" s="477" t="str">
        <f t="shared" si="163"/>
        <v>No</v>
      </c>
      <c r="BA203" s="759" t="str">
        <f t="shared" si="164"/>
        <v>No</v>
      </c>
      <c r="BB203" s="477">
        <f>IF($Z203="c",Inventory!$AB210,Inventory!$K210)</f>
        <v>0</v>
      </c>
      <c r="BC203" s="478">
        <f>IF(AND($Z203="b",Inventory!$N210="Btu/hr"),Inventory!$M210,IF(AND($Z203="b",Inventory!$N210="Tons"),Inventory!$M210*12000,IF(AND($Z203&lt;&gt;"b",Inventory!$AK210="Btu/hr"),Inventory!$AD210,IF(AND($Z203&lt;&gt;"b",Inventory!$AK210="Tons"),Inventory!$AD210*12000,0))))</f>
        <v>0</v>
      </c>
      <c r="BD203" s="478">
        <f t="shared" si="136"/>
        <v>0</v>
      </c>
      <c r="BE203" s="479">
        <f t="shared" si="165"/>
        <v>0</v>
      </c>
      <c r="BF203" s="477" t="s">
        <v>50</v>
      </c>
      <c r="BG203" s="479">
        <f t="shared" si="144"/>
        <v>0</v>
      </c>
      <c r="BH203" s="477" t="s">
        <v>46</v>
      </c>
      <c r="BI203" s="760">
        <f>IF(AND($Z203="b",Inventory!$P210="Btu/hr"),Inventory!$O210,IF(AND($Z203="b",Inventory!$P210="Tons"),Inventory!$O210*12000,IF(AND($Z203&lt;&gt;"b",Inventory!$AM210="Btu/hr"),Inventory!$AL210,IF(AND($Z203&lt;&gt;"b",Inventory!$AM210="Tons"),Inventory!$AL210*12000,0))))</f>
        <v>0</v>
      </c>
      <c r="BJ203" s="760">
        <f t="shared" si="137"/>
        <v>0</v>
      </c>
      <c r="BK203" s="598">
        <f t="shared" si="166"/>
        <v>0</v>
      </c>
      <c r="BL203" s="759" t="s">
        <v>567</v>
      </c>
      <c r="BM203" s="477" t="str">
        <f t="shared" si="145"/>
        <v>No</v>
      </c>
      <c r="BN203" s="477" t="str">
        <f>IF(OR(Inventory!$H210="",$BM203="No"),"-",Inventory!$H210)</f>
        <v>-</v>
      </c>
      <c r="BO203" s="477" t="str">
        <f>IFERROR(VLOOKUP(BN203,'Early Retirement'!$B$6:$C$33,2,FALSE),"-")</f>
        <v>-</v>
      </c>
      <c r="BP203" s="477" t="str">
        <f>IF(Inventory!$J210="Centrifugal","Yes","No")</f>
        <v>No</v>
      </c>
      <c r="BQ203" s="477">
        <f t="shared" si="167"/>
        <v>0</v>
      </c>
      <c r="BR203" s="477" t="str">
        <f t="shared" si="168"/>
        <v>-</v>
      </c>
      <c r="BS203" s="479">
        <f>IFERROR(INDEX('Early Retirement'!$C$4:$AC$33,$BO203,$BR203),0)</f>
        <v>0</v>
      </c>
      <c r="BT203" s="477">
        <f>IFERROR(HLOOKUP($BR203,'Early Retirement'!$D$4:$AC$5,2,FALSE),0)</f>
        <v>0</v>
      </c>
      <c r="BU203" s="761">
        <f>IFERROR(INDEX('Early Retirement'!$AE$4:$BE$33,$BO203,$BR203),0)</f>
        <v>0</v>
      </c>
      <c r="BV203" s="759">
        <f>IFERROR(HLOOKUP($BR203,'Early Retirement'!$AF$4:$BE$5,2,FALSE),0)</f>
        <v>0</v>
      </c>
      <c r="BW203" s="479">
        <f t="shared" si="175"/>
        <v>0</v>
      </c>
      <c r="BX203" s="761">
        <f t="shared" si="169"/>
        <v>0</v>
      </c>
      <c r="BY203" s="477" t="s">
        <v>46</v>
      </c>
      <c r="BZ203" s="598">
        <f>IFERROR(INDEX('Early Retirement'!$BG$4:$CG$33,$BO203,$BR203),0)</f>
        <v>0</v>
      </c>
      <c r="CA203" s="759">
        <f>IFERROR(HLOOKUP($BR203,'Early Retirement'!$BH$4:$CH$5,2,FALSE),0)</f>
        <v>0</v>
      </c>
      <c r="CB203" s="598">
        <f t="shared" si="170"/>
        <v>0</v>
      </c>
      <c r="CC203" s="759" t="s">
        <v>567</v>
      </c>
      <c r="CD203" s="477" t="str">
        <f t="shared" si="146"/>
        <v>Yes</v>
      </c>
      <c r="CE203" s="479">
        <f t="shared" si="147"/>
        <v>0</v>
      </c>
      <c r="CF203" s="761">
        <f t="shared" si="148"/>
        <v>0</v>
      </c>
      <c r="CG203" s="759" t="s">
        <v>46</v>
      </c>
      <c r="CH203" s="598">
        <f t="shared" si="171"/>
        <v>0</v>
      </c>
      <c r="CI203" s="759" t="s">
        <v>567</v>
      </c>
      <c r="CJ203" s="480">
        <f t="shared" si="172"/>
        <v>0</v>
      </c>
      <c r="CK203" s="583">
        <f t="shared" si="173"/>
        <v>0</v>
      </c>
      <c r="CL203" s="596" t="s">
        <v>46</v>
      </c>
      <c r="CM203" s="581">
        <f t="shared" si="174"/>
        <v>0</v>
      </c>
      <c r="CN203" s="762" t="s">
        <v>567</v>
      </c>
      <c r="CW203" s="630"/>
      <c r="CX203" s="630"/>
      <c r="CY203" s="630"/>
      <c r="CZ203" s="630"/>
      <c r="DA203" s="630"/>
    </row>
    <row r="204" spans="2:105" s="78" customFormat="1" ht="15" customHeight="1" x14ac:dyDescent="0.25">
      <c r="B204" s="77"/>
      <c r="E204" s="77"/>
      <c r="H204" s="77"/>
      <c r="Y204" s="90">
        <v>202</v>
      </c>
      <c r="Z204" s="559" t="str">
        <f>IF(Inventory!$C211="","",VLOOKUP(Inventory!$C211,$B$3:$C$5,2,FALSE))</f>
        <v/>
      </c>
      <c r="AA204" s="559" t="str">
        <f>IF($Z204="","",IF(AND($Z204="b",Inventory!$G211=""),"",IF(AND($Z204="b",Inventory!$G211&lt;&gt;""),VLOOKUP(Inventory!$G211,$E$3:$F$10,2,FALSE),IF(AND($Z204="a",Inventory!$Z211=""),"",IF(AND($Z204="a",Inventory!$Z211&lt;&gt;""),VLOOKUP(Inventory!$Z211,$E$3:$F$10,2,FALSE),IF(AND($Z204="c",Inventory!$Z211=""),"",IF(AND($Z204="c",Inventory!$Z211&lt;&gt;""),VLOOKUP(Inventory!$Z211,$E$3:$F$10,2,FALSE),"")))))))</f>
        <v/>
      </c>
      <c r="AB204" s="559" t="str">
        <f>IF($Z204="","a",IF(AND($Z204="b",Inventory!$J211=""),"a",IF(AND($Z204="b",Inventory!$J211&lt;&gt;""),VLOOKUP(Inventory!$J211,$H$4:$I$6,2,FALSE),IF(AND($Z204="a",Inventory!$AA211=""),"a",IF(AND($Z204="a",Inventory!$AA211&lt;&gt;""),VLOOKUP(Inventory!$AA211,$H$4:$I$6,2,FALSE),IF(AND($Z204="c",Inventory!$AA211=""),"a",IF(AND($Z204="c",Inventory!$AA211&lt;&gt;""),VLOOKUP(Inventory!$AA211,$H$4:$I$6,2,FALSE),"a")))))))</f>
        <v>a</v>
      </c>
      <c r="AC204" s="559" t="str">
        <f t="shared" si="149"/>
        <v>a</v>
      </c>
      <c r="AD204" s="473" t="str">
        <f>IF($Z204="","a",IF(AND($Z204="b",Inventory!$L211=""),"a",IF(AND($Z204="b",Inventory!$L211&lt;&gt;""),VLOOKUP(Inventory!$L211,$N$4:$O$5,2,FALSE),IF(AND($Z204="a",Inventory!$AC211=""),"a",IF(AND($Z204="a",Inventory!$AC211&lt;&gt;""),VLOOKUP(Inventory!$AC211,$N$4:$O$5,2,FALSE),IF(AND($Z204="c",Inventory!$AC211=""),"a",IF(AND($Z204="c",Inventory!$AC211&lt;&gt;""),VLOOKUP(Inventory!$AC211,$N$4:$O$5,2,FALSE),"a")))))))</f>
        <v>a</v>
      </c>
      <c r="AE204" s="474">
        <f>IF(OR(Inventory!C211="New Construction",Inventory!C211="Replace-on-Burnout"),Inventory!AF211,IF(Inventory!C211="Early Retirement",MIN(Inventory!AE211,Inventory!AF211),0))</f>
        <v>0</v>
      </c>
      <c r="AF204" s="475" t="str">
        <f t="shared" si="150"/>
        <v/>
      </c>
      <c r="AG204" s="475" t="str">
        <f t="shared" si="138"/>
        <v/>
      </c>
      <c r="AH204" s="475" t="str">
        <f t="shared" si="139"/>
        <v/>
      </c>
      <c r="AI204" s="475" t="str">
        <f t="shared" si="140"/>
        <v/>
      </c>
      <c r="AJ204" s="475" t="str">
        <f t="shared" si="141"/>
        <v/>
      </c>
      <c r="AK204" s="475" t="str">
        <f t="shared" si="151"/>
        <v/>
      </c>
      <c r="AL204" s="475" t="str">
        <f t="shared" si="152"/>
        <v/>
      </c>
      <c r="AM204" s="475" t="str">
        <f t="shared" si="153"/>
        <v/>
      </c>
      <c r="AN204" s="475" t="str">
        <f t="shared" si="154"/>
        <v/>
      </c>
      <c r="AO204" s="475" t="str">
        <f t="shared" si="155"/>
        <v/>
      </c>
      <c r="AP204" s="475" t="str">
        <f t="shared" si="156"/>
        <v/>
      </c>
      <c r="AQ204" s="475" t="str">
        <f t="shared" si="157"/>
        <v/>
      </c>
      <c r="AR204" s="475" t="str">
        <f t="shared" si="158"/>
        <v/>
      </c>
      <c r="AS204" s="475" t="str">
        <f t="shared" si="159"/>
        <v/>
      </c>
      <c r="AT204" s="475" t="str">
        <f t="shared" si="160"/>
        <v/>
      </c>
      <c r="AU204" s="475" t="str">
        <f t="shared" si="161"/>
        <v/>
      </c>
      <c r="AV204" s="475" t="str">
        <f t="shared" si="142"/>
        <v/>
      </c>
      <c r="AW204" s="473">
        <f t="shared" si="143"/>
        <v>0</v>
      </c>
      <c r="AX204" s="473" t="str">
        <f>IF(AND($Z204="b",OR($AA204="a",$AA204="b"),Inventory!$I211="",$AE204&lt;(65000/12000)),"x",IF(AND($Z204="b",OR($AA204="a",$AA204="b"),Inventory!$I211&lt;&gt;"",$AE204&lt;(65000/12000)),VLOOKUP(Inventory!$I211,$V$4:$W$5,2,FALSE),"x"))</f>
        <v>x</v>
      </c>
      <c r="AY204" s="476" t="str">
        <f t="shared" si="162"/>
        <v>aaa0</v>
      </c>
      <c r="AZ204" s="477" t="str">
        <f t="shared" si="163"/>
        <v>No</v>
      </c>
      <c r="BA204" s="759" t="str">
        <f t="shared" si="164"/>
        <v>No</v>
      </c>
      <c r="BB204" s="477">
        <f>IF($Z204="c",Inventory!$AB211,Inventory!$K211)</f>
        <v>0</v>
      </c>
      <c r="BC204" s="478">
        <f>IF(AND($Z204="b",Inventory!$N211="Btu/hr"),Inventory!$M211,IF(AND($Z204="b",Inventory!$N211="Tons"),Inventory!$M211*12000,IF(AND($Z204&lt;&gt;"b",Inventory!$AK211="Btu/hr"),Inventory!$AD211,IF(AND($Z204&lt;&gt;"b",Inventory!$AK211="Tons"),Inventory!$AD211*12000,0))))</f>
        <v>0</v>
      </c>
      <c r="BD204" s="478">
        <f t="shared" si="136"/>
        <v>0</v>
      </c>
      <c r="BE204" s="479">
        <f t="shared" si="165"/>
        <v>0</v>
      </c>
      <c r="BF204" s="477" t="s">
        <v>50</v>
      </c>
      <c r="BG204" s="479">
        <f t="shared" si="144"/>
        <v>0</v>
      </c>
      <c r="BH204" s="477" t="s">
        <v>46</v>
      </c>
      <c r="BI204" s="760">
        <f>IF(AND($Z204="b",Inventory!$P211="Btu/hr"),Inventory!$O211,IF(AND($Z204="b",Inventory!$P211="Tons"),Inventory!$O211*12000,IF(AND($Z204&lt;&gt;"b",Inventory!$AM211="Btu/hr"),Inventory!$AL211,IF(AND($Z204&lt;&gt;"b",Inventory!$AM211="Tons"),Inventory!$AL211*12000,0))))</f>
        <v>0</v>
      </c>
      <c r="BJ204" s="760">
        <f t="shared" si="137"/>
        <v>0</v>
      </c>
      <c r="BK204" s="598">
        <f t="shared" si="166"/>
        <v>0</v>
      </c>
      <c r="BL204" s="759" t="s">
        <v>567</v>
      </c>
      <c r="BM204" s="477" t="str">
        <f t="shared" si="145"/>
        <v>No</v>
      </c>
      <c r="BN204" s="477" t="str">
        <f>IF(OR(Inventory!$H211="",$BM204="No"),"-",Inventory!$H211)</f>
        <v>-</v>
      </c>
      <c r="BO204" s="477" t="str">
        <f>IFERROR(VLOOKUP(BN204,'Early Retirement'!$B$6:$C$33,2,FALSE),"-")</f>
        <v>-</v>
      </c>
      <c r="BP204" s="477" t="str">
        <f>IF(Inventory!$J211="Centrifugal","Yes","No")</f>
        <v>No</v>
      </c>
      <c r="BQ204" s="477">
        <f t="shared" si="167"/>
        <v>0</v>
      </c>
      <c r="BR204" s="477" t="str">
        <f t="shared" si="168"/>
        <v>-</v>
      </c>
      <c r="BS204" s="479">
        <f>IFERROR(INDEX('Early Retirement'!$C$4:$AC$33,$BO204,$BR204),0)</f>
        <v>0</v>
      </c>
      <c r="BT204" s="477">
        <f>IFERROR(HLOOKUP($BR204,'Early Retirement'!$D$4:$AC$5,2,FALSE),0)</f>
        <v>0</v>
      </c>
      <c r="BU204" s="761">
        <f>IFERROR(INDEX('Early Retirement'!$AE$4:$BE$33,$BO204,$BR204),0)</f>
        <v>0</v>
      </c>
      <c r="BV204" s="759">
        <f>IFERROR(HLOOKUP($BR204,'Early Retirement'!$AF$4:$BE$5,2,FALSE),0)</f>
        <v>0</v>
      </c>
      <c r="BW204" s="479">
        <f t="shared" si="175"/>
        <v>0</v>
      </c>
      <c r="BX204" s="761">
        <f t="shared" si="169"/>
        <v>0</v>
      </c>
      <c r="BY204" s="477" t="s">
        <v>46</v>
      </c>
      <c r="BZ204" s="598">
        <f>IFERROR(INDEX('Early Retirement'!$BG$4:$CG$33,$BO204,$BR204),0)</f>
        <v>0</v>
      </c>
      <c r="CA204" s="759">
        <f>IFERROR(HLOOKUP($BR204,'Early Retirement'!$BH$4:$CH$5,2,FALSE),0)</f>
        <v>0</v>
      </c>
      <c r="CB204" s="598">
        <f t="shared" si="170"/>
        <v>0</v>
      </c>
      <c r="CC204" s="759" t="s">
        <v>567</v>
      </c>
      <c r="CD204" s="477" t="str">
        <f t="shared" si="146"/>
        <v>Yes</v>
      </c>
      <c r="CE204" s="479">
        <f t="shared" si="147"/>
        <v>0</v>
      </c>
      <c r="CF204" s="761">
        <f t="shared" si="148"/>
        <v>0</v>
      </c>
      <c r="CG204" s="759" t="s">
        <v>46</v>
      </c>
      <c r="CH204" s="598">
        <f t="shared" si="171"/>
        <v>0</v>
      </c>
      <c r="CI204" s="759" t="s">
        <v>567</v>
      </c>
      <c r="CJ204" s="480">
        <f t="shared" si="172"/>
        <v>0</v>
      </c>
      <c r="CK204" s="583">
        <f t="shared" si="173"/>
        <v>0</v>
      </c>
      <c r="CL204" s="596" t="s">
        <v>46</v>
      </c>
      <c r="CM204" s="581">
        <f t="shared" si="174"/>
        <v>0</v>
      </c>
      <c r="CN204" s="762" t="s">
        <v>567</v>
      </c>
      <c r="CW204" s="630"/>
      <c r="CX204" s="630"/>
      <c r="CY204" s="630"/>
      <c r="CZ204" s="630"/>
      <c r="DA204" s="630"/>
    </row>
    <row r="205" spans="2:105" s="78" customFormat="1" ht="15" customHeight="1" x14ac:dyDescent="0.25">
      <c r="B205" s="77"/>
      <c r="E205" s="77"/>
      <c r="H205" s="77"/>
      <c r="Y205" s="90">
        <v>203</v>
      </c>
      <c r="Z205" s="559" t="str">
        <f>IF(Inventory!$C212="","",VLOOKUP(Inventory!$C212,$B$3:$C$5,2,FALSE))</f>
        <v/>
      </c>
      <c r="AA205" s="559" t="str">
        <f>IF($Z205="","",IF(AND($Z205="b",Inventory!$G212=""),"",IF(AND($Z205="b",Inventory!$G212&lt;&gt;""),VLOOKUP(Inventory!$G212,$E$3:$F$10,2,FALSE),IF(AND($Z205="a",Inventory!$Z212=""),"",IF(AND($Z205="a",Inventory!$Z212&lt;&gt;""),VLOOKUP(Inventory!$Z212,$E$3:$F$10,2,FALSE),IF(AND($Z205="c",Inventory!$Z212=""),"",IF(AND($Z205="c",Inventory!$Z212&lt;&gt;""),VLOOKUP(Inventory!$Z212,$E$3:$F$10,2,FALSE),"")))))))</f>
        <v/>
      </c>
      <c r="AB205" s="559" t="str">
        <f>IF($Z205="","a",IF(AND($Z205="b",Inventory!$J212=""),"a",IF(AND($Z205="b",Inventory!$J212&lt;&gt;""),VLOOKUP(Inventory!$J212,$H$4:$I$6,2,FALSE),IF(AND($Z205="a",Inventory!$AA212=""),"a",IF(AND($Z205="a",Inventory!$AA212&lt;&gt;""),VLOOKUP(Inventory!$AA212,$H$4:$I$6,2,FALSE),IF(AND($Z205="c",Inventory!$AA212=""),"a",IF(AND($Z205="c",Inventory!$AA212&lt;&gt;""),VLOOKUP(Inventory!$AA212,$H$4:$I$6,2,FALSE),"a")))))))</f>
        <v>a</v>
      </c>
      <c r="AC205" s="559" t="str">
        <f t="shared" si="149"/>
        <v>a</v>
      </c>
      <c r="AD205" s="473" t="str">
        <f>IF($Z205="","a",IF(AND($Z205="b",Inventory!$L212=""),"a",IF(AND($Z205="b",Inventory!$L212&lt;&gt;""),VLOOKUP(Inventory!$L212,$N$4:$O$5,2,FALSE),IF(AND($Z205="a",Inventory!$AC212=""),"a",IF(AND($Z205="a",Inventory!$AC212&lt;&gt;""),VLOOKUP(Inventory!$AC212,$N$4:$O$5,2,FALSE),IF(AND($Z205="c",Inventory!$AC212=""),"a",IF(AND($Z205="c",Inventory!$AC212&lt;&gt;""),VLOOKUP(Inventory!$AC212,$N$4:$O$5,2,FALSE),"a")))))))</f>
        <v>a</v>
      </c>
      <c r="AE205" s="474">
        <f>IF(OR(Inventory!C212="New Construction",Inventory!C212="Replace-on-Burnout"),Inventory!AF212,IF(Inventory!C212="Early Retirement",MIN(Inventory!AE212,Inventory!AF212),0))</f>
        <v>0</v>
      </c>
      <c r="AF205" s="475" t="str">
        <f t="shared" si="150"/>
        <v/>
      </c>
      <c r="AG205" s="475" t="str">
        <f t="shared" si="138"/>
        <v/>
      </c>
      <c r="AH205" s="475" t="str">
        <f t="shared" si="139"/>
        <v/>
      </c>
      <c r="AI205" s="475" t="str">
        <f t="shared" si="140"/>
        <v/>
      </c>
      <c r="AJ205" s="475" t="str">
        <f t="shared" si="141"/>
        <v/>
      </c>
      <c r="AK205" s="475" t="str">
        <f t="shared" si="151"/>
        <v/>
      </c>
      <c r="AL205" s="475" t="str">
        <f t="shared" si="152"/>
        <v/>
      </c>
      <c r="AM205" s="475" t="str">
        <f t="shared" si="153"/>
        <v/>
      </c>
      <c r="AN205" s="475" t="str">
        <f t="shared" si="154"/>
        <v/>
      </c>
      <c r="AO205" s="475" t="str">
        <f t="shared" si="155"/>
        <v/>
      </c>
      <c r="AP205" s="475" t="str">
        <f t="shared" si="156"/>
        <v/>
      </c>
      <c r="AQ205" s="475" t="str">
        <f t="shared" si="157"/>
        <v/>
      </c>
      <c r="AR205" s="475" t="str">
        <f t="shared" si="158"/>
        <v/>
      </c>
      <c r="AS205" s="475" t="str">
        <f t="shared" si="159"/>
        <v/>
      </c>
      <c r="AT205" s="475" t="str">
        <f t="shared" si="160"/>
        <v/>
      </c>
      <c r="AU205" s="475" t="str">
        <f t="shared" si="161"/>
        <v/>
      </c>
      <c r="AV205" s="475" t="str">
        <f t="shared" si="142"/>
        <v/>
      </c>
      <c r="AW205" s="473">
        <f t="shared" si="143"/>
        <v>0</v>
      </c>
      <c r="AX205" s="473" t="str">
        <f>IF(AND($Z205="b",OR($AA205="a",$AA205="b"),Inventory!$I212="",$AE205&lt;(65000/12000)),"x",IF(AND($Z205="b",OR($AA205="a",$AA205="b"),Inventory!$I212&lt;&gt;"",$AE205&lt;(65000/12000)),VLOOKUP(Inventory!$I212,$V$4:$W$5,2,FALSE),"x"))</f>
        <v>x</v>
      </c>
      <c r="AY205" s="476" t="str">
        <f t="shared" si="162"/>
        <v>aaa0</v>
      </c>
      <c r="AZ205" s="477" t="str">
        <f t="shared" si="163"/>
        <v>No</v>
      </c>
      <c r="BA205" s="759" t="str">
        <f t="shared" si="164"/>
        <v>No</v>
      </c>
      <c r="BB205" s="477">
        <f>IF($Z205="c",Inventory!$AB212,Inventory!$K212)</f>
        <v>0</v>
      </c>
      <c r="BC205" s="478">
        <f>IF(AND($Z205="b",Inventory!$N212="Btu/hr"),Inventory!$M212,IF(AND($Z205="b",Inventory!$N212="Tons"),Inventory!$M212*12000,IF(AND($Z205&lt;&gt;"b",Inventory!$AK212="Btu/hr"),Inventory!$AD212,IF(AND($Z205&lt;&gt;"b",Inventory!$AK212="Tons"),Inventory!$AD212*12000,0))))</f>
        <v>0</v>
      </c>
      <c r="BD205" s="478">
        <f t="shared" si="136"/>
        <v>0</v>
      </c>
      <c r="BE205" s="479">
        <f t="shared" si="165"/>
        <v>0</v>
      </c>
      <c r="BF205" s="477" t="s">
        <v>50</v>
      </c>
      <c r="BG205" s="479">
        <f t="shared" si="144"/>
        <v>0</v>
      </c>
      <c r="BH205" s="477" t="s">
        <v>46</v>
      </c>
      <c r="BI205" s="760">
        <f>IF(AND($Z205="b",Inventory!$P212="Btu/hr"),Inventory!$O212,IF(AND($Z205="b",Inventory!$P212="Tons"),Inventory!$O212*12000,IF(AND($Z205&lt;&gt;"b",Inventory!$AM212="Btu/hr"),Inventory!$AL212,IF(AND($Z205&lt;&gt;"b",Inventory!$AM212="Tons"),Inventory!$AL212*12000,0))))</f>
        <v>0</v>
      </c>
      <c r="BJ205" s="760">
        <f t="shared" si="137"/>
        <v>0</v>
      </c>
      <c r="BK205" s="598">
        <f t="shared" si="166"/>
        <v>0</v>
      </c>
      <c r="BL205" s="759" t="s">
        <v>567</v>
      </c>
      <c r="BM205" s="477" t="str">
        <f t="shared" si="145"/>
        <v>No</v>
      </c>
      <c r="BN205" s="477" t="str">
        <f>IF(OR(Inventory!$H212="",$BM205="No"),"-",Inventory!$H212)</f>
        <v>-</v>
      </c>
      <c r="BO205" s="477" t="str">
        <f>IFERROR(VLOOKUP(BN205,'Early Retirement'!$B$6:$C$33,2,FALSE),"-")</f>
        <v>-</v>
      </c>
      <c r="BP205" s="477" t="str">
        <f>IF(Inventory!$J212="Centrifugal","Yes","No")</f>
        <v>No</v>
      </c>
      <c r="BQ205" s="477">
        <f t="shared" si="167"/>
        <v>0</v>
      </c>
      <c r="BR205" s="477" t="str">
        <f t="shared" si="168"/>
        <v>-</v>
      </c>
      <c r="BS205" s="479">
        <f>IFERROR(INDEX('Early Retirement'!$C$4:$AC$33,$BO205,$BR205),0)</f>
        <v>0</v>
      </c>
      <c r="BT205" s="477">
        <f>IFERROR(HLOOKUP($BR205,'Early Retirement'!$D$4:$AC$5,2,FALSE),0)</f>
        <v>0</v>
      </c>
      <c r="BU205" s="761">
        <f>IFERROR(INDEX('Early Retirement'!$AE$4:$BE$33,$BO205,$BR205),0)</f>
        <v>0</v>
      </c>
      <c r="BV205" s="759">
        <f>IFERROR(HLOOKUP($BR205,'Early Retirement'!$AF$4:$BE$5,2,FALSE),0)</f>
        <v>0</v>
      </c>
      <c r="BW205" s="479">
        <f t="shared" si="175"/>
        <v>0</v>
      </c>
      <c r="BX205" s="761">
        <f t="shared" si="169"/>
        <v>0</v>
      </c>
      <c r="BY205" s="477" t="s">
        <v>46</v>
      </c>
      <c r="BZ205" s="598">
        <f>IFERROR(INDEX('Early Retirement'!$BG$4:$CG$33,$BO205,$BR205),0)</f>
        <v>0</v>
      </c>
      <c r="CA205" s="759">
        <f>IFERROR(HLOOKUP($BR205,'Early Retirement'!$BH$4:$CH$5,2,FALSE),0)</f>
        <v>0</v>
      </c>
      <c r="CB205" s="598">
        <f t="shared" si="170"/>
        <v>0</v>
      </c>
      <c r="CC205" s="759" t="s">
        <v>567</v>
      </c>
      <c r="CD205" s="477" t="str">
        <f t="shared" si="146"/>
        <v>Yes</v>
      </c>
      <c r="CE205" s="479">
        <f t="shared" si="147"/>
        <v>0</v>
      </c>
      <c r="CF205" s="761">
        <f t="shared" si="148"/>
        <v>0</v>
      </c>
      <c r="CG205" s="759" t="s">
        <v>46</v>
      </c>
      <c r="CH205" s="598">
        <f t="shared" si="171"/>
        <v>0</v>
      </c>
      <c r="CI205" s="759" t="s">
        <v>567</v>
      </c>
      <c r="CJ205" s="480">
        <f t="shared" si="172"/>
        <v>0</v>
      </c>
      <c r="CK205" s="583">
        <f t="shared" si="173"/>
        <v>0</v>
      </c>
      <c r="CL205" s="596" t="s">
        <v>46</v>
      </c>
      <c r="CM205" s="581">
        <f t="shared" si="174"/>
        <v>0</v>
      </c>
      <c r="CN205" s="762" t="s">
        <v>567</v>
      </c>
      <c r="CW205" s="630"/>
      <c r="CX205" s="630"/>
      <c r="CY205" s="630"/>
      <c r="CZ205" s="630"/>
      <c r="DA205" s="630"/>
    </row>
    <row r="206" spans="2:105" s="78" customFormat="1" ht="15" customHeight="1" x14ac:dyDescent="0.25">
      <c r="B206" s="77"/>
      <c r="E206" s="77"/>
      <c r="H206" s="77"/>
      <c r="Y206" s="90">
        <v>204</v>
      </c>
      <c r="Z206" s="559" t="str">
        <f>IF(Inventory!$C213="","",VLOOKUP(Inventory!$C213,$B$3:$C$5,2,FALSE))</f>
        <v/>
      </c>
      <c r="AA206" s="559" t="str">
        <f>IF($Z206="","",IF(AND($Z206="b",Inventory!$G213=""),"",IF(AND($Z206="b",Inventory!$G213&lt;&gt;""),VLOOKUP(Inventory!$G213,$E$3:$F$10,2,FALSE),IF(AND($Z206="a",Inventory!$Z213=""),"",IF(AND($Z206="a",Inventory!$Z213&lt;&gt;""),VLOOKUP(Inventory!$Z213,$E$3:$F$10,2,FALSE),IF(AND($Z206="c",Inventory!$Z213=""),"",IF(AND($Z206="c",Inventory!$Z213&lt;&gt;""),VLOOKUP(Inventory!$Z213,$E$3:$F$10,2,FALSE),"")))))))</f>
        <v/>
      </c>
      <c r="AB206" s="559" t="str">
        <f>IF($Z206="","a",IF(AND($Z206="b",Inventory!$J213=""),"a",IF(AND($Z206="b",Inventory!$J213&lt;&gt;""),VLOOKUP(Inventory!$J213,$H$4:$I$6,2,FALSE),IF(AND($Z206="a",Inventory!$AA213=""),"a",IF(AND($Z206="a",Inventory!$AA213&lt;&gt;""),VLOOKUP(Inventory!$AA213,$H$4:$I$6,2,FALSE),IF(AND($Z206="c",Inventory!$AA213=""),"a",IF(AND($Z206="c",Inventory!$AA213&lt;&gt;""),VLOOKUP(Inventory!$AA213,$H$4:$I$6,2,FALSE),"a")))))))</f>
        <v>a</v>
      </c>
      <c r="AC206" s="559" t="str">
        <f t="shared" si="149"/>
        <v>a</v>
      </c>
      <c r="AD206" s="473" t="str">
        <f>IF($Z206="","a",IF(AND($Z206="b",Inventory!$L213=""),"a",IF(AND($Z206="b",Inventory!$L213&lt;&gt;""),VLOOKUP(Inventory!$L213,$N$4:$O$5,2,FALSE),IF(AND($Z206="a",Inventory!$AC213=""),"a",IF(AND($Z206="a",Inventory!$AC213&lt;&gt;""),VLOOKUP(Inventory!$AC213,$N$4:$O$5,2,FALSE),IF(AND($Z206="c",Inventory!$AC213=""),"a",IF(AND($Z206="c",Inventory!$AC213&lt;&gt;""),VLOOKUP(Inventory!$AC213,$N$4:$O$5,2,FALSE),"a")))))))</f>
        <v>a</v>
      </c>
      <c r="AE206" s="474">
        <f>IF(OR(Inventory!C213="New Construction",Inventory!C213="Replace-on-Burnout"),Inventory!AF213,IF(Inventory!C213="Early Retirement",MIN(Inventory!AE213,Inventory!AF213),0))</f>
        <v>0</v>
      </c>
      <c r="AF206" s="475" t="str">
        <f t="shared" si="150"/>
        <v/>
      </c>
      <c r="AG206" s="475" t="str">
        <f t="shared" si="138"/>
        <v/>
      </c>
      <c r="AH206" s="475" t="str">
        <f t="shared" si="139"/>
        <v/>
      </c>
      <c r="AI206" s="475" t="str">
        <f t="shared" si="140"/>
        <v/>
      </c>
      <c r="AJ206" s="475" t="str">
        <f t="shared" si="141"/>
        <v/>
      </c>
      <c r="AK206" s="475" t="str">
        <f t="shared" si="151"/>
        <v/>
      </c>
      <c r="AL206" s="475" t="str">
        <f t="shared" si="152"/>
        <v/>
      </c>
      <c r="AM206" s="475" t="str">
        <f t="shared" si="153"/>
        <v/>
      </c>
      <c r="AN206" s="475" t="str">
        <f t="shared" si="154"/>
        <v/>
      </c>
      <c r="AO206" s="475" t="str">
        <f t="shared" si="155"/>
        <v/>
      </c>
      <c r="AP206" s="475" t="str">
        <f t="shared" si="156"/>
        <v/>
      </c>
      <c r="AQ206" s="475" t="str">
        <f t="shared" si="157"/>
        <v/>
      </c>
      <c r="AR206" s="475" t="str">
        <f t="shared" si="158"/>
        <v/>
      </c>
      <c r="AS206" s="475" t="str">
        <f t="shared" si="159"/>
        <v/>
      </c>
      <c r="AT206" s="475" t="str">
        <f t="shared" si="160"/>
        <v/>
      </c>
      <c r="AU206" s="475" t="str">
        <f t="shared" si="161"/>
        <v/>
      </c>
      <c r="AV206" s="475" t="str">
        <f t="shared" si="142"/>
        <v/>
      </c>
      <c r="AW206" s="473">
        <f t="shared" si="143"/>
        <v>0</v>
      </c>
      <c r="AX206" s="473" t="str">
        <f>IF(AND($Z206="b",OR($AA206="a",$AA206="b"),Inventory!$I213="",$AE206&lt;(65000/12000)),"x",IF(AND($Z206="b",OR($AA206="a",$AA206="b"),Inventory!$I213&lt;&gt;"",$AE206&lt;(65000/12000)),VLOOKUP(Inventory!$I213,$V$4:$W$5,2,FALSE),"x"))</f>
        <v>x</v>
      </c>
      <c r="AY206" s="476" t="str">
        <f t="shared" si="162"/>
        <v>aaa0</v>
      </c>
      <c r="AZ206" s="477" t="str">
        <f t="shared" si="163"/>
        <v>No</v>
      </c>
      <c r="BA206" s="759" t="str">
        <f t="shared" si="164"/>
        <v>No</v>
      </c>
      <c r="BB206" s="477">
        <f>IF($Z206="c",Inventory!$AB213,Inventory!$K213)</f>
        <v>0</v>
      </c>
      <c r="BC206" s="478">
        <f>IF(AND($Z206="b",Inventory!$N213="Btu/hr"),Inventory!$M213,IF(AND($Z206="b",Inventory!$N213="Tons"),Inventory!$M213*12000,IF(AND($Z206&lt;&gt;"b",Inventory!$AK213="Btu/hr"),Inventory!$AD213,IF(AND($Z206&lt;&gt;"b",Inventory!$AK213="Tons"),Inventory!$AD213*12000,0))))</f>
        <v>0</v>
      </c>
      <c r="BD206" s="478">
        <f t="shared" si="136"/>
        <v>0</v>
      </c>
      <c r="BE206" s="479">
        <f t="shared" si="165"/>
        <v>0</v>
      </c>
      <c r="BF206" s="477" t="s">
        <v>50</v>
      </c>
      <c r="BG206" s="479">
        <f t="shared" si="144"/>
        <v>0</v>
      </c>
      <c r="BH206" s="477" t="s">
        <v>46</v>
      </c>
      <c r="BI206" s="760">
        <f>IF(AND($Z206="b",Inventory!$P213="Btu/hr"),Inventory!$O213,IF(AND($Z206="b",Inventory!$P213="Tons"),Inventory!$O213*12000,IF(AND($Z206&lt;&gt;"b",Inventory!$AM213="Btu/hr"),Inventory!$AL213,IF(AND($Z206&lt;&gt;"b",Inventory!$AM213="Tons"),Inventory!$AL213*12000,0))))</f>
        <v>0</v>
      </c>
      <c r="BJ206" s="760">
        <f t="shared" si="137"/>
        <v>0</v>
      </c>
      <c r="BK206" s="598">
        <f t="shared" si="166"/>
        <v>0</v>
      </c>
      <c r="BL206" s="759" t="s">
        <v>567</v>
      </c>
      <c r="BM206" s="477" t="str">
        <f t="shared" si="145"/>
        <v>No</v>
      </c>
      <c r="BN206" s="477" t="str">
        <f>IF(OR(Inventory!$H213="",$BM206="No"),"-",Inventory!$H213)</f>
        <v>-</v>
      </c>
      <c r="BO206" s="477" t="str">
        <f>IFERROR(VLOOKUP(BN206,'Early Retirement'!$B$6:$C$33,2,FALSE),"-")</f>
        <v>-</v>
      </c>
      <c r="BP206" s="477" t="str">
        <f>IF(Inventory!$J213="Centrifugal","Yes","No")</f>
        <v>No</v>
      </c>
      <c r="BQ206" s="477">
        <f t="shared" si="167"/>
        <v>0</v>
      </c>
      <c r="BR206" s="477" t="str">
        <f t="shared" si="168"/>
        <v>-</v>
      </c>
      <c r="BS206" s="479">
        <f>IFERROR(INDEX('Early Retirement'!$C$4:$AC$33,$BO206,$BR206),0)</f>
        <v>0</v>
      </c>
      <c r="BT206" s="477">
        <f>IFERROR(HLOOKUP($BR206,'Early Retirement'!$D$4:$AC$5,2,FALSE),0)</f>
        <v>0</v>
      </c>
      <c r="BU206" s="761">
        <f>IFERROR(INDEX('Early Retirement'!$AE$4:$BE$33,$BO206,$BR206),0)</f>
        <v>0</v>
      </c>
      <c r="BV206" s="759">
        <f>IFERROR(HLOOKUP($BR206,'Early Retirement'!$AF$4:$BE$5,2,FALSE),0)</f>
        <v>0</v>
      </c>
      <c r="BW206" s="479">
        <f t="shared" si="175"/>
        <v>0</v>
      </c>
      <c r="BX206" s="761">
        <f t="shared" si="169"/>
        <v>0</v>
      </c>
      <c r="BY206" s="477" t="s">
        <v>46</v>
      </c>
      <c r="BZ206" s="598">
        <f>IFERROR(INDEX('Early Retirement'!$BG$4:$CG$33,$BO206,$BR206),0)</f>
        <v>0</v>
      </c>
      <c r="CA206" s="759">
        <f>IFERROR(HLOOKUP($BR206,'Early Retirement'!$BH$4:$CH$5,2,FALSE),0)</f>
        <v>0</v>
      </c>
      <c r="CB206" s="598">
        <f t="shared" si="170"/>
        <v>0</v>
      </c>
      <c r="CC206" s="759" t="s">
        <v>567</v>
      </c>
      <c r="CD206" s="477" t="str">
        <f t="shared" si="146"/>
        <v>Yes</v>
      </c>
      <c r="CE206" s="479">
        <f t="shared" si="147"/>
        <v>0</v>
      </c>
      <c r="CF206" s="761">
        <f t="shared" si="148"/>
        <v>0</v>
      </c>
      <c r="CG206" s="759" t="s">
        <v>46</v>
      </c>
      <c r="CH206" s="598">
        <f t="shared" si="171"/>
        <v>0</v>
      </c>
      <c r="CI206" s="759" t="s">
        <v>567</v>
      </c>
      <c r="CJ206" s="480">
        <f t="shared" si="172"/>
        <v>0</v>
      </c>
      <c r="CK206" s="583">
        <f t="shared" si="173"/>
        <v>0</v>
      </c>
      <c r="CL206" s="596" t="s">
        <v>46</v>
      </c>
      <c r="CM206" s="581">
        <f t="shared" si="174"/>
        <v>0</v>
      </c>
      <c r="CN206" s="762" t="s">
        <v>567</v>
      </c>
      <c r="CW206" s="630"/>
      <c r="CX206" s="630"/>
      <c r="CY206" s="630"/>
      <c r="CZ206" s="630"/>
      <c r="DA206" s="630"/>
    </row>
    <row r="207" spans="2:105" s="78" customFormat="1" ht="15" customHeight="1" x14ac:dyDescent="0.25">
      <c r="B207" s="77"/>
      <c r="E207" s="77"/>
      <c r="H207" s="77"/>
      <c r="Y207" s="90">
        <v>205</v>
      </c>
      <c r="Z207" s="559" t="str">
        <f>IF(Inventory!$C214="","",VLOOKUP(Inventory!$C214,$B$3:$C$5,2,FALSE))</f>
        <v/>
      </c>
      <c r="AA207" s="559" t="str">
        <f>IF($Z207="","",IF(AND($Z207="b",Inventory!$G214=""),"",IF(AND($Z207="b",Inventory!$G214&lt;&gt;""),VLOOKUP(Inventory!$G214,$E$3:$F$10,2,FALSE),IF(AND($Z207="a",Inventory!$Z214=""),"",IF(AND($Z207="a",Inventory!$Z214&lt;&gt;""),VLOOKUP(Inventory!$Z214,$E$3:$F$10,2,FALSE),IF(AND($Z207="c",Inventory!$Z214=""),"",IF(AND($Z207="c",Inventory!$Z214&lt;&gt;""),VLOOKUP(Inventory!$Z214,$E$3:$F$10,2,FALSE),"")))))))</f>
        <v/>
      </c>
      <c r="AB207" s="559" t="str">
        <f>IF($Z207="","a",IF(AND($Z207="b",Inventory!$J214=""),"a",IF(AND($Z207="b",Inventory!$J214&lt;&gt;""),VLOOKUP(Inventory!$J214,$H$4:$I$6,2,FALSE),IF(AND($Z207="a",Inventory!$AA214=""),"a",IF(AND($Z207="a",Inventory!$AA214&lt;&gt;""),VLOOKUP(Inventory!$AA214,$H$4:$I$6,2,FALSE),IF(AND($Z207="c",Inventory!$AA214=""),"a",IF(AND($Z207="c",Inventory!$AA214&lt;&gt;""),VLOOKUP(Inventory!$AA214,$H$4:$I$6,2,FALSE),"a")))))))</f>
        <v>a</v>
      </c>
      <c r="AC207" s="559" t="str">
        <f t="shared" si="149"/>
        <v>a</v>
      </c>
      <c r="AD207" s="473" t="str">
        <f>IF($Z207="","a",IF(AND($Z207="b",Inventory!$L214=""),"a",IF(AND($Z207="b",Inventory!$L214&lt;&gt;""),VLOOKUP(Inventory!$L214,$N$4:$O$5,2,FALSE),IF(AND($Z207="a",Inventory!$AC214=""),"a",IF(AND($Z207="a",Inventory!$AC214&lt;&gt;""),VLOOKUP(Inventory!$AC214,$N$4:$O$5,2,FALSE),IF(AND($Z207="c",Inventory!$AC214=""),"a",IF(AND($Z207="c",Inventory!$AC214&lt;&gt;""),VLOOKUP(Inventory!$AC214,$N$4:$O$5,2,FALSE),"a")))))))</f>
        <v>a</v>
      </c>
      <c r="AE207" s="474">
        <f>IF(OR(Inventory!C214="New Construction",Inventory!C214="Replace-on-Burnout"),Inventory!AF214,IF(Inventory!C214="Early Retirement",MIN(Inventory!AE214,Inventory!AF214),0))</f>
        <v>0</v>
      </c>
      <c r="AF207" s="475" t="str">
        <f t="shared" si="150"/>
        <v/>
      </c>
      <c r="AG207" s="475" t="str">
        <f t="shared" si="138"/>
        <v/>
      </c>
      <c r="AH207" s="475" t="str">
        <f t="shared" si="139"/>
        <v/>
      </c>
      <c r="AI207" s="475" t="str">
        <f t="shared" si="140"/>
        <v/>
      </c>
      <c r="AJ207" s="475" t="str">
        <f t="shared" si="141"/>
        <v/>
      </c>
      <c r="AK207" s="475" t="str">
        <f t="shared" si="151"/>
        <v/>
      </c>
      <c r="AL207" s="475" t="str">
        <f t="shared" si="152"/>
        <v/>
      </c>
      <c r="AM207" s="475" t="str">
        <f t="shared" si="153"/>
        <v/>
      </c>
      <c r="AN207" s="475" t="str">
        <f t="shared" si="154"/>
        <v/>
      </c>
      <c r="AO207" s="475" t="str">
        <f t="shared" si="155"/>
        <v/>
      </c>
      <c r="AP207" s="475" t="str">
        <f t="shared" si="156"/>
        <v/>
      </c>
      <c r="AQ207" s="475" t="str">
        <f t="shared" si="157"/>
        <v/>
      </c>
      <c r="AR207" s="475" t="str">
        <f t="shared" si="158"/>
        <v/>
      </c>
      <c r="AS207" s="475" t="str">
        <f t="shared" si="159"/>
        <v/>
      </c>
      <c r="AT207" s="475" t="str">
        <f t="shared" si="160"/>
        <v/>
      </c>
      <c r="AU207" s="475" t="str">
        <f t="shared" si="161"/>
        <v/>
      </c>
      <c r="AV207" s="475" t="str">
        <f t="shared" si="142"/>
        <v/>
      </c>
      <c r="AW207" s="473">
        <f t="shared" si="143"/>
        <v>0</v>
      </c>
      <c r="AX207" s="473" t="str">
        <f>IF(AND($Z207="b",OR($AA207="a",$AA207="b"),Inventory!$I214="",$AE207&lt;(65000/12000)),"x",IF(AND($Z207="b",OR($AA207="a",$AA207="b"),Inventory!$I214&lt;&gt;"",$AE207&lt;(65000/12000)),VLOOKUP(Inventory!$I214,$V$4:$W$5,2,FALSE),"x"))</f>
        <v>x</v>
      </c>
      <c r="AY207" s="476" t="str">
        <f t="shared" si="162"/>
        <v>aaa0</v>
      </c>
      <c r="AZ207" s="477" t="str">
        <f t="shared" si="163"/>
        <v>No</v>
      </c>
      <c r="BA207" s="759" t="str">
        <f t="shared" si="164"/>
        <v>No</v>
      </c>
      <c r="BB207" s="477">
        <f>IF($Z207="c",Inventory!$AB214,Inventory!$K214)</f>
        <v>0</v>
      </c>
      <c r="BC207" s="478">
        <f>IF(AND($Z207="b",Inventory!$N214="Btu/hr"),Inventory!$M214,IF(AND($Z207="b",Inventory!$N214="Tons"),Inventory!$M214*12000,IF(AND($Z207&lt;&gt;"b",Inventory!$AK214="Btu/hr"),Inventory!$AD214,IF(AND($Z207&lt;&gt;"b",Inventory!$AK214="Tons"),Inventory!$AD214*12000,0))))</f>
        <v>0</v>
      </c>
      <c r="BD207" s="478">
        <f t="shared" si="136"/>
        <v>0</v>
      </c>
      <c r="BE207" s="479">
        <f t="shared" si="165"/>
        <v>0</v>
      </c>
      <c r="BF207" s="477" t="s">
        <v>50</v>
      </c>
      <c r="BG207" s="479">
        <f t="shared" si="144"/>
        <v>0</v>
      </c>
      <c r="BH207" s="477" t="s">
        <v>46</v>
      </c>
      <c r="BI207" s="760">
        <f>IF(AND($Z207="b",Inventory!$P214="Btu/hr"),Inventory!$O214,IF(AND($Z207="b",Inventory!$P214="Tons"),Inventory!$O214*12000,IF(AND($Z207&lt;&gt;"b",Inventory!$AM214="Btu/hr"),Inventory!$AL214,IF(AND($Z207&lt;&gt;"b",Inventory!$AM214="Tons"),Inventory!$AL214*12000,0))))</f>
        <v>0</v>
      </c>
      <c r="BJ207" s="760">
        <f t="shared" si="137"/>
        <v>0</v>
      </c>
      <c r="BK207" s="598">
        <f t="shared" si="166"/>
        <v>0</v>
      </c>
      <c r="BL207" s="759" t="s">
        <v>567</v>
      </c>
      <c r="BM207" s="477" t="str">
        <f t="shared" si="145"/>
        <v>No</v>
      </c>
      <c r="BN207" s="477" t="str">
        <f>IF(OR(Inventory!$H214="",$BM207="No"),"-",Inventory!$H214)</f>
        <v>-</v>
      </c>
      <c r="BO207" s="477" t="str">
        <f>IFERROR(VLOOKUP(BN207,'Early Retirement'!$B$6:$C$33,2,FALSE),"-")</f>
        <v>-</v>
      </c>
      <c r="BP207" s="477" t="str">
        <f>IF(Inventory!$J214="Centrifugal","Yes","No")</f>
        <v>No</v>
      </c>
      <c r="BQ207" s="477">
        <f t="shared" si="167"/>
        <v>0</v>
      </c>
      <c r="BR207" s="477" t="str">
        <f t="shared" si="168"/>
        <v>-</v>
      </c>
      <c r="BS207" s="479">
        <f>IFERROR(INDEX('Early Retirement'!$C$4:$AC$33,$BO207,$BR207),0)</f>
        <v>0</v>
      </c>
      <c r="BT207" s="477">
        <f>IFERROR(HLOOKUP($BR207,'Early Retirement'!$D$4:$AC$5,2,FALSE),0)</f>
        <v>0</v>
      </c>
      <c r="BU207" s="761">
        <f>IFERROR(INDEX('Early Retirement'!$AE$4:$BE$33,$BO207,$BR207),0)</f>
        <v>0</v>
      </c>
      <c r="BV207" s="759">
        <f>IFERROR(HLOOKUP($BR207,'Early Retirement'!$AF$4:$BE$5,2,FALSE),0)</f>
        <v>0</v>
      </c>
      <c r="BW207" s="479">
        <f t="shared" si="175"/>
        <v>0</v>
      </c>
      <c r="BX207" s="761">
        <f t="shared" si="169"/>
        <v>0</v>
      </c>
      <c r="BY207" s="477" t="s">
        <v>46</v>
      </c>
      <c r="BZ207" s="598">
        <f>IFERROR(INDEX('Early Retirement'!$BG$4:$CG$33,$BO207,$BR207),0)</f>
        <v>0</v>
      </c>
      <c r="CA207" s="759">
        <f>IFERROR(HLOOKUP($BR207,'Early Retirement'!$BH$4:$CH$5,2,FALSE),0)</f>
        <v>0</v>
      </c>
      <c r="CB207" s="598">
        <f t="shared" si="170"/>
        <v>0</v>
      </c>
      <c r="CC207" s="759" t="s">
        <v>567</v>
      </c>
      <c r="CD207" s="477" t="str">
        <f t="shared" si="146"/>
        <v>Yes</v>
      </c>
      <c r="CE207" s="479">
        <f t="shared" si="147"/>
        <v>0</v>
      </c>
      <c r="CF207" s="761">
        <f t="shared" si="148"/>
        <v>0</v>
      </c>
      <c r="CG207" s="759" t="s">
        <v>46</v>
      </c>
      <c r="CH207" s="598">
        <f t="shared" si="171"/>
        <v>0</v>
      </c>
      <c r="CI207" s="759" t="s">
        <v>567</v>
      </c>
      <c r="CJ207" s="480">
        <f t="shared" si="172"/>
        <v>0</v>
      </c>
      <c r="CK207" s="583">
        <f t="shared" si="173"/>
        <v>0</v>
      </c>
      <c r="CL207" s="596" t="s">
        <v>46</v>
      </c>
      <c r="CM207" s="581">
        <f t="shared" si="174"/>
        <v>0</v>
      </c>
      <c r="CN207" s="762" t="s">
        <v>567</v>
      </c>
      <c r="CW207" s="630"/>
      <c r="CX207" s="630"/>
      <c r="CY207" s="630"/>
      <c r="CZ207" s="630"/>
      <c r="DA207" s="630"/>
    </row>
    <row r="208" spans="2:105" s="78" customFormat="1" ht="15" customHeight="1" x14ac:dyDescent="0.25">
      <c r="B208" s="77"/>
      <c r="E208" s="77"/>
      <c r="H208" s="77"/>
      <c r="Y208" s="90">
        <v>206</v>
      </c>
      <c r="Z208" s="559" t="str">
        <f>IF(Inventory!$C215="","",VLOOKUP(Inventory!$C215,$B$3:$C$5,2,FALSE))</f>
        <v/>
      </c>
      <c r="AA208" s="559" t="str">
        <f>IF($Z208="","",IF(AND($Z208="b",Inventory!$G215=""),"",IF(AND($Z208="b",Inventory!$G215&lt;&gt;""),VLOOKUP(Inventory!$G215,$E$3:$F$10,2,FALSE),IF(AND($Z208="a",Inventory!$Z215=""),"",IF(AND($Z208="a",Inventory!$Z215&lt;&gt;""),VLOOKUP(Inventory!$Z215,$E$3:$F$10,2,FALSE),IF(AND($Z208="c",Inventory!$Z215=""),"",IF(AND($Z208="c",Inventory!$Z215&lt;&gt;""),VLOOKUP(Inventory!$Z215,$E$3:$F$10,2,FALSE),"")))))))</f>
        <v/>
      </c>
      <c r="AB208" s="559" t="str">
        <f>IF($Z208="","a",IF(AND($Z208="b",Inventory!$J215=""),"a",IF(AND($Z208="b",Inventory!$J215&lt;&gt;""),VLOOKUP(Inventory!$J215,$H$4:$I$6,2,FALSE),IF(AND($Z208="a",Inventory!$AA215=""),"a",IF(AND($Z208="a",Inventory!$AA215&lt;&gt;""),VLOOKUP(Inventory!$AA215,$H$4:$I$6,2,FALSE),IF(AND($Z208="c",Inventory!$AA215=""),"a",IF(AND($Z208="c",Inventory!$AA215&lt;&gt;""),VLOOKUP(Inventory!$AA215,$H$4:$I$6,2,FALSE),"a")))))))</f>
        <v>a</v>
      </c>
      <c r="AC208" s="559" t="str">
        <f t="shared" si="149"/>
        <v>a</v>
      </c>
      <c r="AD208" s="473" t="str">
        <f>IF($Z208="","a",IF(AND($Z208="b",Inventory!$L215=""),"a",IF(AND($Z208="b",Inventory!$L215&lt;&gt;""),VLOOKUP(Inventory!$L215,$N$4:$O$5,2,FALSE),IF(AND($Z208="a",Inventory!$AC215=""),"a",IF(AND($Z208="a",Inventory!$AC215&lt;&gt;""),VLOOKUP(Inventory!$AC215,$N$4:$O$5,2,FALSE),IF(AND($Z208="c",Inventory!$AC215=""),"a",IF(AND($Z208="c",Inventory!$AC215&lt;&gt;""),VLOOKUP(Inventory!$AC215,$N$4:$O$5,2,FALSE),"a")))))))</f>
        <v>a</v>
      </c>
      <c r="AE208" s="474">
        <f>IF(OR(Inventory!C215="New Construction",Inventory!C215="Replace-on-Burnout"),Inventory!AF215,IF(Inventory!C215="Early Retirement",MIN(Inventory!AE215,Inventory!AF215),0))</f>
        <v>0</v>
      </c>
      <c r="AF208" s="475" t="str">
        <f t="shared" si="150"/>
        <v/>
      </c>
      <c r="AG208" s="475" t="str">
        <f t="shared" si="138"/>
        <v/>
      </c>
      <c r="AH208" s="475" t="str">
        <f t="shared" si="139"/>
        <v/>
      </c>
      <c r="AI208" s="475" t="str">
        <f t="shared" si="140"/>
        <v/>
      </c>
      <c r="AJ208" s="475" t="str">
        <f t="shared" si="141"/>
        <v/>
      </c>
      <c r="AK208" s="475" t="str">
        <f t="shared" si="151"/>
        <v/>
      </c>
      <c r="AL208" s="475" t="str">
        <f t="shared" si="152"/>
        <v/>
      </c>
      <c r="AM208" s="475" t="str">
        <f t="shared" si="153"/>
        <v/>
      </c>
      <c r="AN208" s="475" t="str">
        <f t="shared" si="154"/>
        <v/>
      </c>
      <c r="AO208" s="475" t="str">
        <f t="shared" si="155"/>
        <v/>
      </c>
      <c r="AP208" s="475" t="str">
        <f t="shared" si="156"/>
        <v/>
      </c>
      <c r="AQ208" s="475" t="str">
        <f t="shared" si="157"/>
        <v/>
      </c>
      <c r="AR208" s="475" t="str">
        <f t="shared" si="158"/>
        <v/>
      </c>
      <c r="AS208" s="475" t="str">
        <f t="shared" si="159"/>
        <v/>
      </c>
      <c r="AT208" s="475" t="str">
        <f t="shared" si="160"/>
        <v/>
      </c>
      <c r="AU208" s="475" t="str">
        <f t="shared" si="161"/>
        <v/>
      </c>
      <c r="AV208" s="475" t="str">
        <f t="shared" si="142"/>
        <v/>
      </c>
      <c r="AW208" s="473">
        <f t="shared" si="143"/>
        <v>0</v>
      </c>
      <c r="AX208" s="473" t="str">
        <f>IF(AND($Z208="b",OR($AA208="a",$AA208="b"),Inventory!$I215="",$AE208&lt;(65000/12000)),"x",IF(AND($Z208="b",OR($AA208="a",$AA208="b"),Inventory!$I215&lt;&gt;"",$AE208&lt;(65000/12000)),VLOOKUP(Inventory!$I215,$V$4:$W$5,2,FALSE),"x"))</f>
        <v>x</v>
      </c>
      <c r="AY208" s="476" t="str">
        <f t="shared" si="162"/>
        <v>aaa0</v>
      </c>
      <c r="AZ208" s="477" t="str">
        <f t="shared" si="163"/>
        <v>No</v>
      </c>
      <c r="BA208" s="759" t="str">
        <f t="shared" si="164"/>
        <v>No</v>
      </c>
      <c r="BB208" s="477">
        <f>IF($Z208="c",Inventory!$AB215,Inventory!$K215)</f>
        <v>0</v>
      </c>
      <c r="BC208" s="478">
        <f>IF(AND($Z208="b",Inventory!$N215="Btu/hr"),Inventory!$M215,IF(AND($Z208="b",Inventory!$N215="Tons"),Inventory!$M215*12000,IF(AND($Z208&lt;&gt;"b",Inventory!$AK215="Btu/hr"),Inventory!$AD215,IF(AND($Z208&lt;&gt;"b",Inventory!$AK215="Tons"),Inventory!$AD215*12000,0))))</f>
        <v>0</v>
      </c>
      <c r="BD208" s="478">
        <f t="shared" si="136"/>
        <v>0</v>
      </c>
      <c r="BE208" s="479">
        <f t="shared" si="165"/>
        <v>0</v>
      </c>
      <c r="BF208" s="477" t="s">
        <v>50</v>
      </c>
      <c r="BG208" s="479">
        <f t="shared" si="144"/>
        <v>0</v>
      </c>
      <c r="BH208" s="477" t="s">
        <v>46</v>
      </c>
      <c r="BI208" s="760">
        <f>IF(AND($Z208="b",Inventory!$P215="Btu/hr"),Inventory!$O215,IF(AND($Z208="b",Inventory!$P215="Tons"),Inventory!$O215*12000,IF(AND($Z208&lt;&gt;"b",Inventory!$AM215="Btu/hr"),Inventory!$AL215,IF(AND($Z208&lt;&gt;"b",Inventory!$AM215="Tons"),Inventory!$AL215*12000,0))))</f>
        <v>0</v>
      </c>
      <c r="BJ208" s="760">
        <f t="shared" si="137"/>
        <v>0</v>
      </c>
      <c r="BK208" s="598">
        <f t="shared" si="166"/>
        <v>0</v>
      </c>
      <c r="BL208" s="759" t="s">
        <v>567</v>
      </c>
      <c r="BM208" s="477" t="str">
        <f t="shared" si="145"/>
        <v>No</v>
      </c>
      <c r="BN208" s="477" t="str">
        <f>IF(OR(Inventory!$H215="",$BM208="No"),"-",Inventory!$H215)</f>
        <v>-</v>
      </c>
      <c r="BO208" s="477" t="str">
        <f>IFERROR(VLOOKUP(BN208,'Early Retirement'!$B$6:$C$33,2,FALSE),"-")</f>
        <v>-</v>
      </c>
      <c r="BP208" s="477" t="str">
        <f>IF(Inventory!$J215="Centrifugal","Yes","No")</f>
        <v>No</v>
      </c>
      <c r="BQ208" s="477">
        <f t="shared" si="167"/>
        <v>0</v>
      </c>
      <c r="BR208" s="477" t="str">
        <f t="shared" si="168"/>
        <v>-</v>
      </c>
      <c r="BS208" s="479">
        <f>IFERROR(INDEX('Early Retirement'!$C$4:$AC$33,$BO208,$BR208),0)</f>
        <v>0</v>
      </c>
      <c r="BT208" s="477">
        <f>IFERROR(HLOOKUP($BR208,'Early Retirement'!$D$4:$AC$5,2,FALSE),0)</f>
        <v>0</v>
      </c>
      <c r="BU208" s="761">
        <f>IFERROR(INDEX('Early Retirement'!$AE$4:$BE$33,$BO208,$BR208),0)</f>
        <v>0</v>
      </c>
      <c r="BV208" s="759">
        <f>IFERROR(HLOOKUP($BR208,'Early Retirement'!$AF$4:$BE$5,2,FALSE),0)</f>
        <v>0</v>
      </c>
      <c r="BW208" s="479">
        <f t="shared" si="175"/>
        <v>0</v>
      </c>
      <c r="BX208" s="761">
        <f t="shared" si="169"/>
        <v>0</v>
      </c>
      <c r="BY208" s="477" t="s">
        <v>46</v>
      </c>
      <c r="BZ208" s="598">
        <f>IFERROR(INDEX('Early Retirement'!$BG$4:$CG$33,$BO208,$BR208),0)</f>
        <v>0</v>
      </c>
      <c r="CA208" s="759">
        <f>IFERROR(HLOOKUP($BR208,'Early Retirement'!$BH$4:$CH$5,2,FALSE),0)</f>
        <v>0</v>
      </c>
      <c r="CB208" s="598">
        <f t="shared" si="170"/>
        <v>0</v>
      </c>
      <c r="CC208" s="759" t="s">
        <v>567</v>
      </c>
      <c r="CD208" s="477" t="str">
        <f t="shared" si="146"/>
        <v>Yes</v>
      </c>
      <c r="CE208" s="479">
        <f t="shared" si="147"/>
        <v>0</v>
      </c>
      <c r="CF208" s="761">
        <f t="shared" si="148"/>
        <v>0</v>
      </c>
      <c r="CG208" s="759" t="s">
        <v>46</v>
      </c>
      <c r="CH208" s="598">
        <f t="shared" si="171"/>
        <v>0</v>
      </c>
      <c r="CI208" s="759" t="s">
        <v>567</v>
      </c>
      <c r="CJ208" s="480">
        <f t="shared" si="172"/>
        <v>0</v>
      </c>
      <c r="CK208" s="583">
        <f t="shared" si="173"/>
        <v>0</v>
      </c>
      <c r="CL208" s="596" t="s">
        <v>46</v>
      </c>
      <c r="CM208" s="581">
        <f t="shared" si="174"/>
        <v>0</v>
      </c>
      <c r="CN208" s="762" t="s">
        <v>567</v>
      </c>
      <c r="CW208" s="630"/>
      <c r="CX208" s="630"/>
      <c r="CY208" s="630"/>
      <c r="CZ208" s="630"/>
      <c r="DA208" s="630"/>
    </row>
    <row r="209" spans="2:105" s="78" customFormat="1" ht="15" customHeight="1" x14ac:dyDescent="0.25">
      <c r="B209" s="77"/>
      <c r="E209" s="77"/>
      <c r="H209" s="77"/>
      <c r="Y209" s="90">
        <v>207</v>
      </c>
      <c r="Z209" s="559" t="str">
        <f>IF(Inventory!$C216="","",VLOOKUP(Inventory!$C216,$B$3:$C$5,2,FALSE))</f>
        <v/>
      </c>
      <c r="AA209" s="559" t="str">
        <f>IF($Z209="","",IF(AND($Z209="b",Inventory!$G216=""),"",IF(AND($Z209="b",Inventory!$G216&lt;&gt;""),VLOOKUP(Inventory!$G216,$E$3:$F$10,2,FALSE),IF(AND($Z209="a",Inventory!$Z216=""),"",IF(AND($Z209="a",Inventory!$Z216&lt;&gt;""),VLOOKUP(Inventory!$Z216,$E$3:$F$10,2,FALSE),IF(AND($Z209="c",Inventory!$Z216=""),"",IF(AND($Z209="c",Inventory!$Z216&lt;&gt;""),VLOOKUP(Inventory!$Z216,$E$3:$F$10,2,FALSE),"")))))))</f>
        <v/>
      </c>
      <c r="AB209" s="559" t="str">
        <f>IF($Z209="","a",IF(AND($Z209="b",Inventory!$J216=""),"a",IF(AND($Z209="b",Inventory!$J216&lt;&gt;""),VLOOKUP(Inventory!$J216,$H$4:$I$6,2,FALSE),IF(AND($Z209="a",Inventory!$AA216=""),"a",IF(AND($Z209="a",Inventory!$AA216&lt;&gt;""),VLOOKUP(Inventory!$AA216,$H$4:$I$6,2,FALSE),IF(AND($Z209="c",Inventory!$AA216=""),"a",IF(AND($Z209="c",Inventory!$AA216&lt;&gt;""),VLOOKUP(Inventory!$AA216,$H$4:$I$6,2,FALSE),"a")))))))</f>
        <v>a</v>
      </c>
      <c r="AC209" s="559" t="str">
        <f t="shared" si="149"/>
        <v>a</v>
      </c>
      <c r="AD209" s="473" t="str">
        <f>IF($Z209="","a",IF(AND($Z209="b",Inventory!$L216=""),"a",IF(AND($Z209="b",Inventory!$L216&lt;&gt;""),VLOOKUP(Inventory!$L216,$N$4:$O$5,2,FALSE),IF(AND($Z209="a",Inventory!$AC216=""),"a",IF(AND($Z209="a",Inventory!$AC216&lt;&gt;""),VLOOKUP(Inventory!$AC216,$N$4:$O$5,2,FALSE),IF(AND($Z209="c",Inventory!$AC216=""),"a",IF(AND($Z209="c",Inventory!$AC216&lt;&gt;""),VLOOKUP(Inventory!$AC216,$N$4:$O$5,2,FALSE),"a")))))))</f>
        <v>a</v>
      </c>
      <c r="AE209" s="474">
        <f>IF(OR(Inventory!C216="New Construction",Inventory!C216="Replace-on-Burnout"),Inventory!AF216,IF(Inventory!C216="Early Retirement",MIN(Inventory!AE216,Inventory!AF216),0))</f>
        <v>0</v>
      </c>
      <c r="AF209" s="475" t="str">
        <f t="shared" si="150"/>
        <v/>
      </c>
      <c r="AG209" s="475" t="str">
        <f t="shared" si="138"/>
        <v/>
      </c>
      <c r="AH209" s="475" t="str">
        <f t="shared" si="139"/>
        <v/>
      </c>
      <c r="AI209" s="475" t="str">
        <f t="shared" si="140"/>
        <v/>
      </c>
      <c r="AJ209" s="475" t="str">
        <f t="shared" si="141"/>
        <v/>
      </c>
      <c r="AK209" s="475" t="str">
        <f t="shared" si="151"/>
        <v/>
      </c>
      <c r="AL209" s="475" t="str">
        <f t="shared" si="152"/>
        <v/>
      </c>
      <c r="AM209" s="475" t="str">
        <f t="shared" si="153"/>
        <v/>
      </c>
      <c r="AN209" s="475" t="str">
        <f t="shared" si="154"/>
        <v/>
      </c>
      <c r="AO209" s="475" t="str">
        <f t="shared" si="155"/>
        <v/>
      </c>
      <c r="AP209" s="475" t="str">
        <f t="shared" si="156"/>
        <v/>
      </c>
      <c r="AQ209" s="475" t="str">
        <f t="shared" si="157"/>
        <v/>
      </c>
      <c r="AR209" s="475" t="str">
        <f t="shared" si="158"/>
        <v/>
      </c>
      <c r="AS209" s="475" t="str">
        <f t="shared" si="159"/>
        <v/>
      </c>
      <c r="AT209" s="475" t="str">
        <f t="shared" si="160"/>
        <v/>
      </c>
      <c r="AU209" s="475" t="str">
        <f t="shared" si="161"/>
        <v/>
      </c>
      <c r="AV209" s="475" t="str">
        <f t="shared" si="142"/>
        <v/>
      </c>
      <c r="AW209" s="473">
        <f t="shared" si="143"/>
        <v>0</v>
      </c>
      <c r="AX209" s="473" t="str">
        <f>IF(AND($Z209="b",OR($AA209="a",$AA209="b"),Inventory!$I216="",$AE209&lt;(65000/12000)),"x",IF(AND($Z209="b",OR($AA209="a",$AA209="b"),Inventory!$I216&lt;&gt;"",$AE209&lt;(65000/12000)),VLOOKUP(Inventory!$I216,$V$4:$W$5,2,FALSE),"x"))</f>
        <v>x</v>
      </c>
      <c r="AY209" s="476" t="str">
        <f t="shared" si="162"/>
        <v>aaa0</v>
      </c>
      <c r="AZ209" s="477" t="str">
        <f t="shared" si="163"/>
        <v>No</v>
      </c>
      <c r="BA209" s="759" t="str">
        <f t="shared" si="164"/>
        <v>No</v>
      </c>
      <c r="BB209" s="477">
        <f>IF($Z209="c",Inventory!$AB216,Inventory!$K216)</f>
        <v>0</v>
      </c>
      <c r="BC209" s="478">
        <f>IF(AND($Z209="b",Inventory!$N216="Btu/hr"),Inventory!$M216,IF(AND($Z209="b",Inventory!$N216="Tons"),Inventory!$M216*12000,IF(AND($Z209&lt;&gt;"b",Inventory!$AK216="Btu/hr"),Inventory!$AD216,IF(AND($Z209&lt;&gt;"b",Inventory!$AK216="Tons"),Inventory!$AD216*12000,0))))</f>
        <v>0</v>
      </c>
      <c r="BD209" s="478">
        <f t="shared" si="136"/>
        <v>0</v>
      </c>
      <c r="BE209" s="479">
        <f t="shared" si="165"/>
        <v>0</v>
      </c>
      <c r="BF209" s="477" t="s">
        <v>50</v>
      </c>
      <c r="BG209" s="479">
        <f t="shared" si="144"/>
        <v>0</v>
      </c>
      <c r="BH209" s="477" t="s">
        <v>46</v>
      </c>
      <c r="BI209" s="760">
        <f>IF(AND($Z209="b",Inventory!$P216="Btu/hr"),Inventory!$O216,IF(AND($Z209="b",Inventory!$P216="Tons"),Inventory!$O216*12000,IF(AND($Z209&lt;&gt;"b",Inventory!$AM216="Btu/hr"),Inventory!$AL216,IF(AND($Z209&lt;&gt;"b",Inventory!$AM216="Tons"),Inventory!$AL216*12000,0))))</f>
        <v>0</v>
      </c>
      <c r="BJ209" s="760">
        <f t="shared" si="137"/>
        <v>0</v>
      </c>
      <c r="BK209" s="598">
        <f t="shared" si="166"/>
        <v>0</v>
      </c>
      <c r="BL209" s="759" t="s">
        <v>567</v>
      </c>
      <c r="BM209" s="477" t="str">
        <f t="shared" si="145"/>
        <v>No</v>
      </c>
      <c r="BN209" s="477" t="str">
        <f>IF(OR(Inventory!$H216="",$BM209="No"),"-",Inventory!$H216)</f>
        <v>-</v>
      </c>
      <c r="BO209" s="477" t="str">
        <f>IFERROR(VLOOKUP(BN209,'Early Retirement'!$B$6:$C$33,2,FALSE),"-")</f>
        <v>-</v>
      </c>
      <c r="BP209" s="477" t="str">
        <f>IF(Inventory!$J216="Centrifugal","Yes","No")</f>
        <v>No</v>
      </c>
      <c r="BQ209" s="477">
        <f t="shared" si="167"/>
        <v>0</v>
      </c>
      <c r="BR209" s="477" t="str">
        <f t="shared" si="168"/>
        <v>-</v>
      </c>
      <c r="BS209" s="479">
        <f>IFERROR(INDEX('Early Retirement'!$C$4:$AC$33,$BO209,$BR209),0)</f>
        <v>0</v>
      </c>
      <c r="BT209" s="477">
        <f>IFERROR(HLOOKUP($BR209,'Early Retirement'!$D$4:$AC$5,2,FALSE),0)</f>
        <v>0</v>
      </c>
      <c r="BU209" s="761">
        <f>IFERROR(INDEX('Early Retirement'!$AE$4:$BE$33,$BO209,$BR209),0)</f>
        <v>0</v>
      </c>
      <c r="BV209" s="759">
        <f>IFERROR(HLOOKUP($BR209,'Early Retirement'!$AF$4:$BE$5,2,FALSE),0)</f>
        <v>0</v>
      </c>
      <c r="BW209" s="479">
        <f t="shared" si="175"/>
        <v>0</v>
      </c>
      <c r="BX209" s="761">
        <f t="shared" si="169"/>
        <v>0</v>
      </c>
      <c r="BY209" s="477" t="s">
        <v>46</v>
      </c>
      <c r="BZ209" s="598">
        <f>IFERROR(INDEX('Early Retirement'!$BG$4:$CG$33,$BO209,$BR209),0)</f>
        <v>0</v>
      </c>
      <c r="CA209" s="759">
        <f>IFERROR(HLOOKUP($BR209,'Early Retirement'!$BH$4:$CH$5,2,FALSE),0)</f>
        <v>0</v>
      </c>
      <c r="CB209" s="598">
        <f t="shared" si="170"/>
        <v>0</v>
      </c>
      <c r="CC209" s="759" t="s">
        <v>567</v>
      </c>
      <c r="CD209" s="477" t="str">
        <f t="shared" si="146"/>
        <v>Yes</v>
      </c>
      <c r="CE209" s="479">
        <f t="shared" si="147"/>
        <v>0</v>
      </c>
      <c r="CF209" s="761">
        <f t="shared" si="148"/>
        <v>0</v>
      </c>
      <c r="CG209" s="759" t="s">
        <v>46</v>
      </c>
      <c r="CH209" s="598">
        <f t="shared" si="171"/>
        <v>0</v>
      </c>
      <c r="CI209" s="759" t="s">
        <v>567</v>
      </c>
      <c r="CJ209" s="480">
        <f t="shared" si="172"/>
        <v>0</v>
      </c>
      <c r="CK209" s="583">
        <f t="shared" si="173"/>
        <v>0</v>
      </c>
      <c r="CL209" s="596" t="s">
        <v>46</v>
      </c>
      <c r="CM209" s="581">
        <f t="shared" si="174"/>
        <v>0</v>
      </c>
      <c r="CN209" s="762" t="s">
        <v>567</v>
      </c>
      <c r="CW209" s="630"/>
      <c r="CX209" s="630"/>
      <c r="CY209" s="630"/>
      <c r="CZ209" s="630"/>
      <c r="DA209" s="630"/>
    </row>
    <row r="210" spans="2:105" s="78" customFormat="1" ht="15" customHeight="1" x14ac:dyDescent="0.25">
      <c r="B210" s="77"/>
      <c r="E210" s="77"/>
      <c r="H210" s="77"/>
      <c r="Y210" s="90">
        <v>208</v>
      </c>
      <c r="Z210" s="559" t="str">
        <f>IF(Inventory!$C217="","",VLOOKUP(Inventory!$C217,$B$3:$C$5,2,FALSE))</f>
        <v/>
      </c>
      <c r="AA210" s="559" t="str">
        <f>IF($Z210="","",IF(AND($Z210="b",Inventory!$G217=""),"",IF(AND($Z210="b",Inventory!$G217&lt;&gt;""),VLOOKUP(Inventory!$G217,$E$3:$F$10,2,FALSE),IF(AND($Z210="a",Inventory!$Z217=""),"",IF(AND($Z210="a",Inventory!$Z217&lt;&gt;""),VLOOKUP(Inventory!$Z217,$E$3:$F$10,2,FALSE),IF(AND($Z210="c",Inventory!$Z217=""),"",IF(AND($Z210="c",Inventory!$Z217&lt;&gt;""),VLOOKUP(Inventory!$Z217,$E$3:$F$10,2,FALSE),"")))))))</f>
        <v/>
      </c>
      <c r="AB210" s="559" t="str">
        <f>IF($Z210="","a",IF(AND($Z210="b",Inventory!$J217=""),"a",IF(AND($Z210="b",Inventory!$J217&lt;&gt;""),VLOOKUP(Inventory!$J217,$H$4:$I$6,2,FALSE),IF(AND($Z210="a",Inventory!$AA217=""),"a",IF(AND($Z210="a",Inventory!$AA217&lt;&gt;""),VLOOKUP(Inventory!$AA217,$H$4:$I$6,2,FALSE),IF(AND($Z210="c",Inventory!$AA217=""),"a",IF(AND($Z210="c",Inventory!$AA217&lt;&gt;""),VLOOKUP(Inventory!$AA217,$H$4:$I$6,2,FALSE),"a")))))))</f>
        <v>a</v>
      </c>
      <c r="AC210" s="559" t="str">
        <f t="shared" si="149"/>
        <v>a</v>
      </c>
      <c r="AD210" s="473" t="str">
        <f>IF($Z210="","a",IF(AND($Z210="b",Inventory!$L217=""),"a",IF(AND($Z210="b",Inventory!$L217&lt;&gt;""),VLOOKUP(Inventory!$L217,$N$4:$O$5,2,FALSE),IF(AND($Z210="a",Inventory!$AC217=""),"a",IF(AND($Z210="a",Inventory!$AC217&lt;&gt;""),VLOOKUP(Inventory!$AC217,$N$4:$O$5,2,FALSE),IF(AND($Z210="c",Inventory!$AC217=""),"a",IF(AND($Z210="c",Inventory!$AC217&lt;&gt;""),VLOOKUP(Inventory!$AC217,$N$4:$O$5,2,FALSE),"a")))))))</f>
        <v>a</v>
      </c>
      <c r="AE210" s="474">
        <f>IF(OR(Inventory!C217="New Construction",Inventory!C217="Replace-on-Burnout"),Inventory!AF217,IF(Inventory!C217="Early Retirement",MIN(Inventory!AE217,Inventory!AF217),0))</f>
        <v>0</v>
      </c>
      <c r="AF210" s="475" t="str">
        <f t="shared" si="150"/>
        <v/>
      </c>
      <c r="AG210" s="475" t="str">
        <f t="shared" si="138"/>
        <v/>
      </c>
      <c r="AH210" s="475" t="str">
        <f t="shared" si="139"/>
        <v/>
      </c>
      <c r="AI210" s="475" t="str">
        <f t="shared" si="140"/>
        <v/>
      </c>
      <c r="AJ210" s="475" t="str">
        <f t="shared" si="141"/>
        <v/>
      </c>
      <c r="AK210" s="475" t="str">
        <f t="shared" si="151"/>
        <v/>
      </c>
      <c r="AL210" s="475" t="str">
        <f t="shared" si="152"/>
        <v/>
      </c>
      <c r="AM210" s="475" t="str">
        <f t="shared" si="153"/>
        <v/>
      </c>
      <c r="AN210" s="475" t="str">
        <f t="shared" si="154"/>
        <v/>
      </c>
      <c r="AO210" s="475" t="str">
        <f t="shared" si="155"/>
        <v/>
      </c>
      <c r="AP210" s="475" t="str">
        <f t="shared" si="156"/>
        <v/>
      </c>
      <c r="AQ210" s="475" t="str">
        <f t="shared" si="157"/>
        <v/>
      </c>
      <c r="AR210" s="475" t="str">
        <f t="shared" si="158"/>
        <v/>
      </c>
      <c r="AS210" s="475" t="str">
        <f t="shared" si="159"/>
        <v/>
      </c>
      <c r="AT210" s="475" t="str">
        <f t="shared" si="160"/>
        <v/>
      </c>
      <c r="AU210" s="475" t="str">
        <f t="shared" si="161"/>
        <v/>
      </c>
      <c r="AV210" s="475" t="str">
        <f t="shared" si="142"/>
        <v/>
      </c>
      <c r="AW210" s="473">
        <f t="shared" si="143"/>
        <v>0</v>
      </c>
      <c r="AX210" s="473" t="str">
        <f>IF(AND($Z210="b",OR($AA210="a",$AA210="b"),Inventory!$I217="",$AE210&lt;(65000/12000)),"x",IF(AND($Z210="b",OR($AA210="a",$AA210="b"),Inventory!$I217&lt;&gt;"",$AE210&lt;(65000/12000)),VLOOKUP(Inventory!$I217,$V$4:$W$5,2,FALSE),"x"))</f>
        <v>x</v>
      </c>
      <c r="AY210" s="476" t="str">
        <f t="shared" si="162"/>
        <v>aaa0</v>
      </c>
      <c r="AZ210" s="477" t="str">
        <f t="shared" si="163"/>
        <v>No</v>
      </c>
      <c r="BA210" s="759" t="str">
        <f t="shared" si="164"/>
        <v>No</v>
      </c>
      <c r="BB210" s="477">
        <f>IF($Z210="c",Inventory!$AB217,Inventory!$K217)</f>
        <v>0</v>
      </c>
      <c r="BC210" s="478">
        <f>IF(AND($Z210="b",Inventory!$N217="Btu/hr"),Inventory!$M217,IF(AND($Z210="b",Inventory!$N217="Tons"),Inventory!$M217*12000,IF(AND($Z210&lt;&gt;"b",Inventory!$AK217="Btu/hr"),Inventory!$AD217,IF(AND($Z210&lt;&gt;"b",Inventory!$AK217="Tons"),Inventory!$AD217*12000,0))))</f>
        <v>0</v>
      </c>
      <c r="BD210" s="478">
        <f t="shared" si="136"/>
        <v>0</v>
      </c>
      <c r="BE210" s="479">
        <f t="shared" si="165"/>
        <v>0</v>
      </c>
      <c r="BF210" s="477" t="s">
        <v>50</v>
      </c>
      <c r="BG210" s="479">
        <f t="shared" si="144"/>
        <v>0</v>
      </c>
      <c r="BH210" s="477" t="s">
        <v>46</v>
      </c>
      <c r="BI210" s="760">
        <f>IF(AND($Z210="b",Inventory!$P217="Btu/hr"),Inventory!$O217,IF(AND($Z210="b",Inventory!$P217="Tons"),Inventory!$O217*12000,IF(AND($Z210&lt;&gt;"b",Inventory!$AM217="Btu/hr"),Inventory!$AL217,IF(AND($Z210&lt;&gt;"b",Inventory!$AM217="Tons"),Inventory!$AL217*12000,0))))</f>
        <v>0</v>
      </c>
      <c r="BJ210" s="760">
        <f t="shared" si="137"/>
        <v>0</v>
      </c>
      <c r="BK210" s="598">
        <f t="shared" si="166"/>
        <v>0</v>
      </c>
      <c r="BL210" s="759" t="s">
        <v>567</v>
      </c>
      <c r="BM210" s="477" t="str">
        <f t="shared" si="145"/>
        <v>No</v>
      </c>
      <c r="BN210" s="477" t="str">
        <f>IF(OR(Inventory!$H217="",$BM210="No"),"-",Inventory!$H217)</f>
        <v>-</v>
      </c>
      <c r="BO210" s="477" t="str">
        <f>IFERROR(VLOOKUP(BN210,'Early Retirement'!$B$6:$C$33,2,FALSE),"-")</f>
        <v>-</v>
      </c>
      <c r="BP210" s="477" t="str">
        <f>IF(Inventory!$J217="Centrifugal","Yes","No")</f>
        <v>No</v>
      </c>
      <c r="BQ210" s="477">
        <f t="shared" si="167"/>
        <v>0</v>
      </c>
      <c r="BR210" s="477" t="str">
        <f t="shared" si="168"/>
        <v>-</v>
      </c>
      <c r="BS210" s="479">
        <f>IFERROR(INDEX('Early Retirement'!$C$4:$AC$33,$BO210,$BR210),0)</f>
        <v>0</v>
      </c>
      <c r="BT210" s="477">
        <f>IFERROR(HLOOKUP($BR210,'Early Retirement'!$D$4:$AC$5,2,FALSE),0)</f>
        <v>0</v>
      </c>
      <c r="BU210" s="761">
        <f>IFERROR(INDEX('Early Retirement'!$AE$4:$BE$33,$BO210,$BR210),0)</f>
        <v>0</v>
      </c>
      <c r="BV210" s="759">
        <f>IFERROR(HLOOKUP($BR210,'Early Retirement'!$AF$4:$BE$5,2,FALSE),0)</f>
        <v>0</v>
      </c>
      <c r="BW210" s="479">
        <f t="shared" si="175"/>
        <v>0</v>
      </c>
      <c r="BX210" s="761">
        <f t="shared" si="169"/>
        <v>0</v>
      </c>
      <c r="BY210" s="477" t="s">
        <v>46</v>
      </c>
      <c r="BZ210" s="598">
        <f>IFERROR(INDEX('Early Retirement'!$BG$4:$CG$33,$BO210,$BR210),0)</f>
        <v>0</v>
      </c>
      <c r="CA210" s="759">
        <f>IFERROR(HLOOKUP($BR210,'Early Retirement'!$BH$4:$CH$5,2,FALSE),0)</f>
        <v>0</v>
      </c>
      <c r="CB210" s="598">
        <f t="shared" si="170"/>
        <v>0</v>
      </c>
      <c r="CC210" s="759" t="s">
        <v>567</v>
      </c>
      <c r="CD210" s="477" t="str">
        <f t="shared" si="146"/>
        <v>Yes</v>
      </c>
      <c r="CE210" s="479">
        <f t="shared" si="147"/>
        <v>0</v>
      </c>
      <c r="CF210" s="761">
        <f t="shared" si="148"/>
        <v>0</v>
      </c>
      <c r="CG210" s="759" t="s">
        <v>46</v>
      </c>
      <c r="CH210" s="598">
        <f t="shared" si="171"/>
        <v>0</v>
      </c>
      <c r="CI210" s="759" t="s">
        <v>567</v>
      </c>
      <c r="CJ210" s="480">
        <f t="shared" si="172"/>
        <v>0</v>
      </c>
      <c r="CK210" s="583">
        <f t="shared" si="173"/>
        <v>0</v>
      </c>
      <c r="CL210" s="596" t="s">
        <v>46</v>
      </c>
      <c r="CM210" s="581">
        <f t="shared" si="174"/>
        <v>0</v>
      </c>
      <c r="CN210" s="762" t="s">
        <v>567</v>
      </c>
      <c r="CW210" s="630"/>
      <c r="CX210" s="630"/>
      <c r="CY210" s="630"/>
      <c r="CZ210" s="630"/>
      <c r="DA210" s="630"/>
    </row>
    <row r="211" spans="2:105" s="78" customFormat="1" ht="15" customHeight="1" x14ac:dyDescent="0.25">
      <c r="B211" s="77"/>
      <c r="E211" s="77"/>
      <c r="H211" s="77"/>
      <c r="Y211" s="90">
        <v>209</v>
      </c>
      <c r="Z211" s="559" t="str">
        <f>IF(Inventory!$C218="","",VLOOKUP(Inventory!$C218,$B$3:$C$5,2,FALSE))</f>
        <v/>
      </c>
      <c r="AA211" s="559" t="str">
        <f>IF($Z211="","",IF(AND($Z211="b",Inventory!$G218=""),"",IF(AND($Z211="b",Inventory!$G218&lt;&gt;""),VLOOKUP(Inventory!$G218,$E$3:$F$10,2,FALSE),IF(AND($Z211="a",Inventory!$Z218=""),"",IF(AND($Z211="a",Inventory!$Z218&lt;&gt;""),VLOOKUP(Inventory!$Z218,$E$3:$F$10,2,FALSE),IF(AND($Z211="c",Inventory!$Z218=""),"",IF(AND($Z211="c",Inventory!$Z218&lt;&gt;""),VLOOKUP(Inventory!$Z218,$E$3:$F$10,2,FALSE),"")))))))</f>
        <v/>
      </c>
      <c r="AB211" s="559" t="str">
        <f>IF($Z211="","a",IF(AND($Z211="b",Inventory!$J218=""),"a",IF(AND($Z211="b",Inventory!$J218&lt;&gt;""),VLOOKUP(Inventory!$J218,$H$4:$I$6,2,FALSE),IF(AND($Z211="a",Inventory!$AA218=""),"a",IF(AND($Z211="a",Inventory!$AA218&lt;&gt;""),VLOOKUP(Inventory!$AA218,$H$4:$I$6,2,FALSE),IF(AND($Z211="c",Inventory!$AA218=""),"a",IF(AND($Z211="c",Inventory!$AA218&lt;&gt;""),VLOOKUP(Inventory!$AA218,$H$4:$I$6,2,FALSE),"a")))))))</f>
        <v>a</v>
      </c>
      <c r="AC211" s="559" t="str">
        <f t="shared" si="149"/>
        <v>a</v>
      </c>
      <c r="AD211" s="473" t="str">
        <f>IF($Z211="","a",IF(AND($Z211="b",Inventory!$L218=""),"a",IF(AND($Z211="b",Inventory!$L218&lt;&gt;""),VLOOKUP(Inventory!$L218,$N$4:$O$5,2,FALSE),IF(AND($Z211="a",Inventory!$AC218=""),"a",IF(AND($Z211="a",Inventory!$AC218&lt;&gt;""),VLOOKUP(Inventory!$AC218,$N$4:$O$5,2,FALSE),IF(AND($Z211="c",Inventory!$AC218=""),"a",IF(AND($Z211="c",Inventory!$AC218&lt;&gt;""),VLOOKUP(Inventory!$AC218,$N$4:$O$5,2,FALSE),"a")))))))</f>
        <v>a</v>
      </c>
      <c r="AE211" s="474">
        <f>IF(OR(Inventory!C218="New Construction",Inventory!C218="Replace-on-Burnout"),Inventory!AF218,IF(Inventory!C218="Early Retirement",MIN(Inventory!AE218,Inventory!AF218),0))</f>
        <v>0</v>
      </c>
      <c r="AF211" s="475" t="str">
        <f t="shared" si="150"/>
        <v/>
      </c>
      <c r="AG211" s="475" t="str">
        <f t="shared" si="138"/>
        <v/>
      </c>
      <c r="AH211" s="475" t="str">
        <f t="shared" si="139"/>
        <v/>
      </c>
      <c r="AI211" s="475" t="str">
        <f t="shared" si="140"/>
        <v/>
      </c>
      <c r="AJ211" s="475" t="str">
        <f t="shared" si="141"/>
        <v/>
      </c>
      <c r="AK211" s="475" t="str">
        <f t="shared" si="151"/>
        <v/>
      </c>
      <c r="AL211" s="475" t="str">
        <f t="shared" si="152"/>
        <v/>
      </c>
      <c r="AM211" s="475" t="str">
        <f t="shared" si="153"/>
        <v/>
      </c>
      <c r="AN211" s="475" t="str">
        <f t="shared" si="154"/>
        <v/>
      </c>
      <c r="AO211" s="475" t="str">
        <f t="shared" si="155"/>
        <v/>
      </c>
      <c r="AP211" s="475" t="str">
        <f t="shared" si="156"/>
        <v/>
      </c>
      <c r="AQ211" s="475" t="str">
        <f t="shared" si="157"/>
        <v/>
      </c>
      <c r="AR211" s="475" t="str">
        <f t="shared" si="158"/>
        <v/>
      </c>
      <c r="AS211" s="475" t="str">
        <f t="shared" si="159"/>
        <v/>
      </c>
      <c r="AT211" s="475" t="str">
        <f t="shared" si="160"/>
        <v/>
      </c>
      <c r="AU211" s="475" t="str">
        <f t="shared" si="161"/>
        <v/>
      </c>
      <c r="AV211" s="475" t="str">
        <f t="shared" si="142"/>
        <v/>
      </c>
      <c r="AW211" s="473">
        <f t="shared" si="143"/>
        <v>0</v>
      </c>
      <c r="AX211" s="473" t="str">
        <f>IF(AND($Z211="b",OR($AA211="a",$AA211="b"),Inventory!$I218="",$AE211&lt;(65000/12000)),"x",IF(AND($Z211="b",OR($AA211="a",$AA211="b"),Inventory!$I218&lt;&gt;"",$AE211&lt;(65000/12000)),VLOOKUP(Inventory!$I218,$V$4:$W$5,2,FALSE),"x"))</f>
        <v>x</v>
      </c>
      <c r="AY211" s="476" t="str">
        <f t="shared" si="162"/>
        <v>aaa0</v>
      </c>
      <c r="AZ211" s="477" t="str">
        <f t="shared" si="163"/>
        <v>No</v>
      </c>
      <c r="BA211" s="759" t="str">
        <f t="shared" si="164"/>
        <v>No</v>
      </c>
      <c r="BB211" s="477">
        <f>IF($Z211="c",Inventory!$AB218,Inventory!$K218)</f>
        <v>0</v>
      </c>
      <c r="BC211" s="478">
        <f>IF(AND($Z211="b",Inventory!$N218="Btu/hr"),Inventory!$M218,IF(AND($Z211="b",Inventory!$N218="Tons"),Inventory!$M218*12000,IF(AND($Z211&lt;&gt;"b",Inventory!$AK218="Btu/hr"),Inventory!$AD218,IF(AND($Z211&lt;&gt;"b",Inventory!$AK218="Tons"),Inventory!$AD218*12000,0))))</f>
        <v>0</v>
      </c>
      <c r="BD211" s="478">
        <f t="shared" si="136"/>
        <v>0</v>
      </c>
      <c r="BE211" s="479">
        <f t="shared" si="165"/>
        <v>0</v>
      </c>
      <c r="BF211" s="477" t="s">
        <v>50</v>
      </c>
      <c r="BG211" s="479">
        <f t="shared" si="144"/>
        <v>0</v>
      </c>
      <c r="BH211" s="477" t="s">
        <v>46</v>
      </c>
      <c r="BI211" s="760">
        <f>IF(AND($Z211="b",Inventory!$P218="Btu/hr"),Inventory!$O218,IF(AND($Z211="b",Inventory!$P218="Tons"),Inventory!$O218*12000,IF(AND($Z211&lt;&gt;"b",Inventory!$AM218="Btu/hr"),Inventory!$AL218,IF(AND($Z211&lt;&gt;"b",Inventory!$AM218="Tons"),Inventory!$AL218*12000,0))))</f>
        <v>0</v>
      </c>
      <c r="BJ211" s="760">
        <f t="shared" si="137"/>
        <v>0</v>
      </c>
      <c r="BK211" s="598">
        <f t="shared" si="166"/>
        <v>0</v>
      </c>
      <c r="BL211" s="759" t="s">
        <v>567</v>
      </c>
      <c r="BM211" s="477" t="str">
        <f t="shared" si="145"/>
        <v>No</v>
      </c>
      <c r="BN211" s="477" t="str">
        <f>IF(OR(Inventory!$H218="",$BM211="No"),"-",Inventory!$H218)</f>
        <v>-</v>
      </c>
      <c r="BO211" s="477" t="str">
        <f>IFERROR(VLOOKUP(BN211,'Early Retirement'!$B$6:$C$33,2,FALSE),"-")</f>
        <v>-</v>
      </c>
      <c r="BP211" s="477" t="str">
        <f>IF(Inventory!$J218="Centrifugal","Yes","No")</f>
        <v>No</v>
      </c>
      <c r="BQ211" s="477">
        <f t="shared" si="167"/>
        <v>0</v>
      </c>
      <c r="BR211" s="477" t="str">
        <f t="shared" si="168"/>
        <v>-</v>
      </c>
      <c r="BS211" s="479">
        <f>IFERROR(INDEX('Early Retirement'!$C$4:$AC$33,$BO211,$BR211),0)</f>
        <v>0</v>
      </c>
      <c r="BT211" s="477">
        <f>IFERROR(HLOOKUP($BR211,'Early Retirement'!$D$4:$AC$5,2,FALSE),0)</f>
        <v>0</v>
      </c>
      <c r="BU211" s="761">
        <f>IFERROR(INDEX('Early Retirement'!$AE$4:$BE$33,$BO211,$BR211),0)</f>
        <v>0</v>
      </c>
      <c r="BV211" s="759">
        <f>IFERROR(HLOOKUP($BR211,'Early Retirement'!$AF$4:$BE$5,2,FALSE),0)</f>
        <v>0</v>
      </c>
      <c r="BW211" s="479">
        <f t="shared" si="175"/>
        <v>0</v>
      </c>
      <c r="BX211" s="761">
        <f t="shared" si="169"/>
        <v>0</v>
      </c>
      <c r="BY211" s="477" t="s">
        <v>46</v>
      </c>
      <c r="BZ211" s="598">
        <f>IFERROR(INDEX('Early Retirement'!$BG$4:$CG$33,$BO211,$BR211),0)</f>
        <v>0</v>
      </c>
      <c r="CA211" s="759">
        <f>IFERROR(HLOOKUP($BR211,'Early Retirement'!$BH$4:$CH$5,2,FALSE),0)</f>
        <v>0</v>
      </c>
      <c r="CB211" s="598">
        <f t="shared" si="170"/>
        <v>0</v>
      </c>
      <c r="CC211" s="759" t="s">
        <v>567</v>
      </c>
      <c r="CD211" s="477" t="str">
        <f t="shared" si="146"/>
        <v>Yes</v>
      </c>
      <c r="CE211" s="479">
        <f t="shared" si="147"/>
        <v>0</v>
      </c>
      <c r="CF211" s="761">
        <f t="shared" si="148"/>
        <v>0</v>
      </c>
      <c r="CG211" s="759" t="s">
        <v>46</v>
      </c>
      <c r="CH211" s="598">
        <f t="shared" si="171"/>
        <v>0</v>
      </c>
      <c r="CI211" s="759" t="s">
        <v>567</v>
      </c>
      <c r="CJ211" s="480">
        <f t="shared" si="172"/>
        <v>0</v>
      </c>
      <c r="CK211" s="583">
        <f t="shared" si="173"/>
        <v>0</v>
      </c>
      <c r="CL211" s="596" t="s">
        <v>46</v>
      </c>
      <c r="CM211" s="581">
        <f t="shared" si="174"/>
        <v>0</v>
      </c>
      <c r="CN211" s="762" t="s">
        <v>567</v>
      </c>
      <c r="CW211" s="630"/>
      <c r="CX211" s="630"/>
      <c r="CY211" s="630"/>
      <c r="CZ211" s="630"/>
      <c r="DA211" s="630"/>
    </row>
    <row r="212" spans="2:105" s="78" customFormat="1" ht="15" customHeight="1" x14ac:dyDescent="0.25">
      <c r="B212" s="77"/>
      <c r="E212" s="77"/>
      <c r="H212" s="77"/>
      <c r="Y212" s="90">
        <v>210</v>
      </c>
      <c r="Z212" s="559" t="str">
        <f>IF(Inventory!$C219="","",VLOOKUP(Inventory!$C219,$B$3:$C$5,2,FALSE))</f>
        <v/>
      </c>
      <c r="AA212" s="559" t="str">
        <f>IF($Z212="","",IF(AND($Z212="b",Inventory!$G219=""),"",IF(AND($Z212="b",Inventory!$G219&lt;&gt;""),VLOOKUP(Inventory!$G219,$E$3:$F$10,2,FALSE),IF(AND($Z212="a",Inventory!$Z219=""),"",IF(AND($Z212="a",Inventory!$Z219&lt;&gt;""),VLOOKUP(Inventory!$Z219,$E$3:$F$10,2,FALSE),IF(AND($Z212="c",Inventory!$Z219=""),"",IF(AND($Z212="c",Inventory!$Z219&lt;&gt;""),VLOOKUP(Inventory!$Z219,$E$3:$F$10,2,FALSE),"")))))))</f>
        <v/>
      </c>
      <c r="AB212" s="559" t="str">
        <f>IF($Z212="","a",IF(AND($Z212="b",Inventory!$J219=""),"a",IF(AND($Z212="b",Inventory!$J219&lt;&gt;""),VLOOKUP(Inventory!$J219,$H$4:$I$6,2,FALSE),IF(AND($Z212="a",Inventory!$AA219=""),"a",IF(AND($Z212="a",Inventory!$AA219&lt;&gt;""),VLOOKUP(Inventory!$AA219,$H$4:$I$6,2,FALSE),IF(AND($Z212="c",Inventory!$AA219=""),"a",IF(AND($Z212="c",Inventory!$AA219&lt;&gt;""),VLOOKUP(Inventory!$AA219,$H$4:$I$6,2,FALSE),"a")))))))</f>
        <v>a</v>
      </c>
      <c r="AC212" s="559" t="str">
        <f t="shared" si="149"/>
        <v>a</v>
      </c>
      <c r="AD212" s="473" t="str">
        <f>IF($Z212="","a",IF(AND($Z212="b",Inventory!$L219=""),"a",IF(AND($Z212="b",Inventory!$L219&lt;&gt;""),VLOOKUP(Inventory!$L219,$N$4:$O$5,2,FALSE),IF(AND($Z212="a",Inventory!$AC219=""),"a",IF(AND($Z212="a",Inventory!$AC219&lt;&gt;""),VLOOKUP(Inventory!$AC219,$N$4:$O$5,2,FALSE),IF(AND($Z212="c",Inventory!$AC219=""),"a",IF(AND($Z212="c",Inventory!$AC219&lt;&gt;""),VLOOKUP(Inventory!$AC219,$N$4:$O$5,2,FALSE),"a")))))))</f>
        <v>a</v>
      </c>
      <c r="AE212" s="474">
        <f>IF(OR(Inventory!C219="New Construction",Inventory!C219="Replace-on-Burnout"),Inventory!AF219,IF(Inventory!C219="Early Retirement",MIN(Inventory!AE219,Inventory!AF219),0))</f>
        <v>0</v>
      </c>
      <c r="AF212" s="475" t="str">
        <f t="shared" si="150"/>
        <v/>
      </c>
      <c r="AG212" s="475" t="str">
        <f t="shared" si="138"/>
        <v/>
      </c>
      <c r="AH212" s="475" t="str">
        <f t="shared" si="139"/>
        <v/>
      </c>
      <c r="AI212" s="475" t="str">
        <f t="shared" si="140"/>
        <v/>
      </c>
      <c r="AJ212" s="475" t="str">
        <f t="shared" si="141"/>
        <v/>
      </c>
      <c r="AK212" s="475" t="str">
        <f t="shared" si="151"/>
        <v/>
      </c>
      <c r="AL212" s="475" t="str">
        <f t="shared" si="152"/>
        <v/>
      </c>
      <c r="AM212" s="475" t="str">
        <f t="shared" si="153"/>
        <v/>
      </c>
      <c r="AN212" s="475" t="str">
        <f t="shared" si="154"/>
        <v/>
      </c>
      <c r="AO212" s="475" t="str">
        <f t="shared" si="155"/>
        <v/>
      </c>
      <c r="AP212" s="475" t="str">
        <f t="shared" si="156"/>
        <v/>
      </c>
      <c r="AQ212" s="475" t="str">
        <f t="shared" si="157"/>
        <v/>
      </c>
      <c r="AR212" s="475" t="str">
        <f t="shared" si="158"/>
        <v/>
      </c>
      <c r="AS212" s="475" t="str">
        <f t="shared" si="159"/>
        <v/>
      </c>
      <c r="AT212" s="475" t="str">
        <f t="shared" si="160"/>
        <v/>
      </c>
      <c r="AU212" s="475" t="str">
        <f t="shared" si="161"/>
        <v/>
      </c>
      <c r="AV212" s="475" t="str">
        <f t="shared" si="142"/>
        <v/>
      </c>
      <c r="AW212" s="473">
        <f t="shared" si="143"/>
        <v>0</v>
      </c>
      <c r="AX212" s="473" t="str">
        <f>IF(AND($Z212="b",OR($AA212="a",$AA212="b"),Inventory!$I219="",$AE212&lt;(65000/12000)),"x",IF(AND($Z212="b",OR($AA212="a",$AA212="b"),Inventory!$I219&lt;&gt;"",$AE212&lt;(65000/12000)),VLOOKUP(Inventory!$I219,$V$4:$W$5,2,FALSE),"x"))</f>
        <v>x</v>
      </c>
      <c r="AY212" s="476" t="str">
        <f t="shared" si="162"/>
        <v>aaa0</v>
      </c>
      <c r="AZ212" s="477" t="str">
        <f t="shared" si="163"/>
        <v>No</v>
      </c>
      <c r="BA212" s="759" t="str">
        <f t="shared" si="164"/>
        <v>No</v>
      </c>
      <c r="BB212" s="477">
        <f>IF($Z212="c",Inventory!$AB219,Inventory!$K219)</f>
        <v>0</v>
      </c>
      <c r="BC212" s="478">
        <f>IF(AND($Z212="b",Inventory!$N219="Btu/hr"),Inventory!$M219,IF(AND($Z212="b",Inventory!$N219="Tons"),Inventory!$M219*12000,IF(AND($Z212&lt;&gt;"b",Inventory!$AK219="Btu/hr"),Inventory!$AD219,IF(AND($Z212&lt;&gt;"b",Inventory!$AK219="Tons"),Inventory!$AD219*12000,0))))</f>
        <v>0</v>
      </c>
      <c r="BD212" s="478">
        <f t="shared" si="136"/>
        <v>0</v>
      </c>
      <c r="BE212" s="479">
        <f t="shared" si="165"/>
        <v>0</v>
      </c>
      <c r="BF212" s="477" t="s">
        <v>50</v>
      </c>
      <c r="BG212" s="479">
        <f t="shared" si="144"/>
        <v>0</v>
      </c>
      <c r="BH212" s="477" t="s">
        <v>46</v>
      </c>
      <c r="BI212" s="760">
        <f>IF(AND($Z212="b",Inventory!$P219="Btu/hr"),Inventory!$O219,IF(AND($Z212="b",Inventory!$P219="Tons"),Inventory!$O219*12000,IF(AND($Z212&lt;&gt;"b",Inventory!$AM219="Btu/hr"),Inventory!$AL219,IF(AND($Z212&lt;&gt;"b",Inventory!$AM219="Tons"),Inventory!$AL219*12000,0))))</f>
        <v>0</v>
      </c>
      <c r="BJ212" s="760">
        <f t="shared" si="137"/>
        <v>0</v>
      </c>
      <c r="BK212" s="598">
        <f t="shared" si="166"/>
        <v>0</v>
      </c>
      <c r="BL212" s="759" t="s">
        <v>567</v>
      </c>
      <c r="BM212" s="477" t="str">
        <f t="shared" si="145"/>
        <v>No</v>
      </c>
      <c r="BN212" s="477" t="str">
        <f>IF(OR(Inventory!$H219="",$BM212="No"),"-",Inventory!$H219)</f>
        <v>-</v>
      </c>
      <c r="BO212" s="477" t="str">
        <f>IFERROR(VLOOKUP(BN212,'Early Retirement'!$B$6:$C$33,2,FALSE),"-")</f>
        <v>-</v>
      </c>
      <c r="BP212" s="477" t="str">
        <f>IF(Inventory!$J219="Centrifugal","Yes","No")</f>
        <v>No</v>
      </c>
      <c r="BQ212" s="477">
        <f t="shared" si="167"/>
        <v>0</v>
      </c>
      <c r="BR212" s="477" t="str">
        <f t="shared" si="168"/>
        <v>-</v>
      </c>
      <c r="BS212" s="479">
        <f>IFERROR(INDEX('Early Retirement'!$C$4:$AC$33,$BO212,$BR212),0)</f>
        <v>0</v>
      </c>
      <c r="BT212" s="477">
        <f>IFERROR(HLOOKUP($BR212,'Early Retirement'!$D$4:$AC$5,2,FALSE),0)</f>
        <v>0</v>
      </c>
      <c r="BU212" s="761">
        <f>IFERROR(INDEX('Early Retirement'!$AE$4:$BE$33,$BO212,$BR212),0)</f>
        <v>0</v>
      </c>
      <c r="BV212" s="759">
        <f>IFERROR(HLOOKUP($BR212,'Early Retirement'!$AF$4:$BE$5,2,FALSE),0)</f>
        <v>0</v>
      </c>
      <c r="BW212" s="479">
        <f t="shared" si="175"/>
        <v>0</v>
      </c>
      <c r="BX212" s="761">
        <f t="shared" si="169"/>
        <v>0</v>
      </c>
      <c r="BY212" s="477" t="s">
        <v>46</v>
      </c>
      <c r="BZ212" s="598">
        <f>IFERROR(INDEX('Early Retirement'!$BG$4:$CG$33,$BO212,$BR212),0)</f>
        <v>0</v>
      </c>
      <c r="CA212" s="759">
        <f>IFERROR(HLOOKUP($BR212,'Early Retirement'!$BH$4:$CH$5,2,FALSE),0)</f>
        <v>0</v>
      </c>
      <c r="CB212" s="598">
        <f t="shared" si="170"/>
        <v>0</v>
      </c>
      <c r="CC212" s="759" t="s">
        <v>567</v>
      </c>
      <c r="CD212" s="477" t="str">
        <f t="shared" si="146"/>
        <v>Yes</v>
      </c>
      <c r="CE212" s="479">
        <f t="shared" si="147"/>
        <v>0</v>
      </c>
      <c r="CF212" s="761">
        <f t="shared" si="148"/>
        <v>0</v>
      </c>
      <c r="CG212" s="759" t="s">
        <v>46</v>
      </c>
      <c r="CH212" s="598">
        <f t="shared" si="171"/>
        <v>0</v>
      </c>
      <c r="CI212" s="759" t="s">
        <v>567</v>
      </c>
      <c r="CJ212" s="480">
        <f t="shared" si="172"/>
        <v>0</v>
      </c>
      <c r="CK212" s="583">
        <f t="shared" si="173"/>
        <v>0</v>
      </c>
      <c r="CL212" s="596" t="s">
        <v>46</v>
      </c>
      <c r="CM212" s="581">
        <f t="shared" si="174"/>
        <v>0</v>
      </c>
      <c r="CN212" s="762" t="s">
        <v>567</v>
      </c>
      <c r="CW212" s="630"/>
      <c r="CX212" s="630"/>
      <c r="CY212" s="630"/>
      <c r="CZ212" s="630"/>
      <c r="DA212" s="630"/>
    </row>
    <row r="213" spans="2:105" s="78" customFormat="1" ht="15" customHeight="1" x14ac:dyDescent="0.25">
      <c r="B213" s="77"/>
      <c r="E213" s="77"/>
      <c r="H213" s="77"/>
      <c r="Y213" s="90">
        <v>211</v>
      </c>
      <c r="Z213" s="559" t="str">
        <f>IF(Inventory!$C220="","",VLOOKUP(Inventory!$C220,$B$3:$C$5,2,FALSE))</f>
        <v/>
      </c>
      <c r="AA213" s="559" t="str">
        <f>IF($Z213="","",IF(AND($Z213="b",Inventory!$G220=""),"",IF(AND($Z213="b",Inventory!$G220&lt;&gt;""),VLOOKUP(Inventory!$G220,$E$3:$F$10,2,FALSE),IF(AND($Z213="a",Inventory!$Z220=""),"",IF(AND($Z213="a",Inventory!$Z220&lt;&gt;""),VLOOKUP(Inventory!$Z220,$E$3:$F$10,2,FALSE),IF(AND($Z213="c",Inventory!$Z220=""),"",IF(AND($Z213="c",Inventory!$Z220&lt;&gt;""),VLOOKUP(Inventory!$Z220,$E$3:$F$10,2,FALSE),"")))))))</f>
        <v/>
      </c>
      <c r="AB213" s="559" t="str">
        <f>IF($Z213="","a",IF(AND($Z213="b",Inventory!$J220=""),"a",IF(AND($Z213="b",Inventory!$J220&lt;&gt;""),VLOOKUP(Inventory!$J220,$H$4:$I$6,2,FALSE),IF(AND($Z213="a",Inventory!$AA220=""),"a",IF(AND($Z213="a",Inventory!$AA220&lt;&gt;""),VLOOKUP(Inventory!$AA220,$H$4:$I$6,2,FALSE),IF(AND($Z213="c",Inventory!$AA220=""),"a",IF(AND($Z213="c",Inventory!$AA220&lt;&gt;""),VLOOKUP(Inventory!$AA220,$H$4:$I$6,2,FALSE),"a")))))))</f>
        <v>a</v>
      </c>
      <c r="AC213" s="559" t="str">
        <f t="shared" si="149"/>
        <v>a</v>
      </c>
      <c r="AD213" s="473" t="str">
        <f>IF($Z213="","a",IF(AND($Z213="b",Inventory!$L220=""),"a",IF(AND($Z213="b",Inventory!$L220&lt;&gt;""),VLOOKUP(Inventory!$L220,$N$4:$O$5,2,FALSE),IF(AND($Z213="a",Inventory!$AC220=""),"a",IF(AND($Z213="a",Inventory!$AC220&lt;&gt;""),VLOOKUP(Inventory!$AC220,$N$4:$O$5,2,FALSE),IF(AND($Z213="c",Inventory!$AC220=""),"a",IF(AND($Z213="c",Inventory!$AC220&lt;&gt;""),VLOOKUP(Inventory!$AC220,$N$4:$O$5,2,FALSE),"a")))))))</f>
        <v>a</v>
      </c>
      <c r="AE213" s="474">
        <f>IF(OR(Inventory!C220="New Construction",Inventory!C220="Replace-on-Burnout"),Inventory!AF220,IF(Inventory!C220="Early Retirement",MIN(Inventory!AE220,Inventory!AF220),0))</f>
        <v>0</v>
      </c>
      <c r="AF213" s="475" t="str">
        <f t="shared" si="150"/>
        <v/>
      </c>
      <c r="AG213" s="475" t="str">
        <f t="shared" si="138"/>
        <v/>
      </c>
      <c r="AH213" s="475" t="str">
        <f t="shared" si="139"/>
        <v/>
      </c>
      <c r="AI213" s="475" t="str">
        <f t="shared" si="140"/>
        <v/>
      </c>
      <c r="AJ213" s="475" t="str">
        <f t="shared" si="141"/>
        <v/>
      </c>
      <c r="AK213" s="475" t="str">
        <f t="shared" si="151"/>
        <v/>
      </c>
      <c r="AL213" s="475" t="str">
        <f t="shared" si="152"/>
        <v/>
      </c>
      <c r="AM213" s="475" t="str">
        <f t="shared" si="153"/>
        <v/>
      </c>
      <c r="AN213" s="475" t="str">
        <f t="shared" si="154"/>
        <v/>
      </c>
      <c r="AO213" s="475" t="str">
        <f t="shared" si="155"/>
        <v/>
      </c>
      <c r="AP213" s="475" t="str">
        <f t="shared" si="156"/>
        <v/>
      </c>
      <c r="AQ213" s="475" t="str">
        <f t="shared" si="157"/>
        <v/>
      </c>
      <c r="AR213" s="475" t="str">
        <f t="shared" si="158"/>
        <v/>
      </c>
      <c r="AS213" s="475" t="str">
        <f t="shared" si="159"/>
        <v/>
      </c>
      <c r="AT213" s="475" t="str">
        <f t="shared" si="160"/>
        <v/>
      </c>
      <c r="AU213" s="475" t="str">
        <f t="shared" si="161"/>
        <v/>
      </c>
      <c r="AV213" s="475" t="str">
        <f t="shared" si="142"/>
        <v/>
      </c>
      <c r="AW213" s="473">
        <f t="shared" si="143"/>
        <v>0</v>
      </c>
      <c r="AX213" s="473" t="str">
        <f>IF(AND($Z213="b",OR($AA213="a",$AA213="b"),Inventory!$I220="",$AE213&lt;(65000/12000)),"x",IF(AND($Z213="b",OR($AA213="a",$AA213="b"),Inventory!$I220&lt;&gt;"",$AE213&lt;(65000/12000)),VLOOKUP(Inventory!$I220,$V$4:$W$5,2,FALSE),"x"))</f>
        <v>x</v>
      </c>
      <c r="AY213" s="476" t="str">
        <f t="shared" si="162"/>
        <v>aaa0</v>
      </c>
      <c r="AZ213" s="477" t="str">
        <f t="shared" si="163"/>
        <v>No</v>
      </c>
      <c r="BA213" s="759" t="str">
        <f t="shared" si="164"/>
        <v>No</v>
      </c>
      <c r="BB213" s="477">
        <f>IF($Z213="c",Inventory!$AB220,Inventory!$K220)</f>
        <v>0</v>
      </c>
      <c r="BC213" s="478">
        <f>IF(AND($Z213="b",Inventory!$N220="Btu/hr"),Inventory!$M220,IF(AND($Z213="b",Inventory!$N220="Tons"),Inventory!$M220*12000,IF(AND($Z213&lt;&gt;"b",Inventory!$AK220="Btu/hr"),Inventory!$AD220,IF(AND($Z213&lt;&gt;"b",Inventory!$AK220="Tons"),Inventory!$AD220*12000,0))))</f>
        <v>0</v>
      </c>
      <c r="BD213" s="478">
        <f t="shared" si="136"/>
        <v>0</v>
      </c>
      <c r="BE213" s="479">
        <f t="shared" si="165"/>
        <v>0</v>
      </c>
      <c r="BF213" s="477" t="s">
        <v>50</v>
      </c>
      <c r="BG213" s="479">
        <f t="shared" si="144"/>
        <v>0</v>
      </c>
      <c r="BH213" s="477" t="s">
        <v>46</v>
      </c>
      <c r="BI213" s="760">
        <f>IF(AND($Z213="b",Inventory!$P220="Btu/hr"),Inventory!$O220,IF(AND($Z213="b",Inventory!$P220="Tons"),Inventory!$O220*12000,IF(AND($Z213&lt;&gt;"b",Inventory!$AM220="Btu/hr"),Inventory!$AL220,IF(AND($Z213&lt;&gt;"b",Inventory!$AM220="Tons"),Inventory!$AL220*12000,0))))</f>
        <v>0</v>
      </c>
      <c r="BJ213" s="760">
        <f t="shared" si="137"/>
        <v>0</v>
      </c>
      <c r="BK213" s="598">
        <f t="shared" si="166"/>
        <v>0</v>
      </c>
      <c r="BL213" s="759" t="s">
        <v>567</v>
      </c>
      <c r="BM213" s="477" t="str">
        <f t="shared" si="145"/>
        <v>No</v>
      </c>
      <c r="BN213" s="477" t="str">
        <f>IF(OR(Inventory!$H220="",$BM213="No"),"-",Inventory!$H220)</f>
        <v>-</v>
      </c>
      <c r="BO213" s="477" t="str">
        <f>IFERROR(VLOOKUP(BN213,'Early Retirement'!$B$6:$C$33,2,FALSE),"-")</f>
        <v>-</v>
      </c>
      <c r="BP213" s="477" t="str">
        <f>IF(Inventory!$J220="Centrifugal","Yes","No")</f>
        <v>No</v>
      </c>
      <c r="BQ213" s="477">
        <f t="shared" si="167"/>
        <v>0</v>
      </c>
      <c r="BR213" s="477" t="str">
        <f t="shared" si="168"/>
        <v>-</v>
      </c>
      <c r="BS213" s="479">
        <f>IFERROR(INDEX('Early Retirement'!$C$4:$AC$33,$BO213,$BR213),0)</f>
        <v>0</v>
      </c>
      <c r="BT213" s="477">
        <f>IFERROR(HLOOKUP($BR213,'Early Retirement'!$D$4:$AC$5,2,FALSE),0)</f>
        <v>0</v>
      </c>
      <c r="BU213" s="761">
        <f>IFERROR(INDEX('Early Retirement'!$AE$4:$BE$33,$BO213,$BR213),0)</f>
        <v>0</v>
      </c>
      <c r="BV213" s="759">
        <f>IFERROR(HLOOKUP($BR213,'Early Retirement'!$AF$4:$BE$5,2,FALSE),0)</f>
        <v>0</v>
      </c>
      <c r="BW213" s="479">
        <f t="shared" si="175"/>
        <v>0</v>
      </c>
      <c r="BX213" s="761">
        <f t="shared" si="169"/>
        <v>0</v>
      </c>
      <c r="BY213" s="477" t="s">
        <v>46</v>
      </c>
      <c r="BZ213" s="598">
        <f>IFERROR(INDEX('Early Retirement'!$BG$4:$CG$33,$BO213,$BR213),0)</f>
        <v>0</v>
      </c>
      <c r="CA213" s="759">
        <f>IFERROR(HLOOKUP($BR213,'Early Retirement'!$BH$4:$CH$5,2,FALSE),0)</f>
        <v>0</v>
      </c>
      <c r="CB213" s="598">
        <f t="shared" si="170"/>
        <v>0</v>
      </c>
      <c r="CC213" s="759" t="s">
        <v>567</v>
      </c>
      <c r="CD213" s="477" t="str">
        <f t="shared" si="146"/>
        <v>Yes</v>
      </c>
      <c r="CE213" s="479">
        <f t="shared" si="147"/>
        <v>0</v>
      </c>
      <c r="CF213" s="761">
        <f t="shared" si="148"/>
        <v>0</v>
      </c>
      <c r="CG213" s="759" t="s">
        <v>46</v>
      </c>
      <c r="CH213" s="598">
        <f t="shared" si="171"/>
        <v>0</v>
      </c>
      <c r="CI213" s="759" t="s">
        <v>567</v>
      </c>
      <c r="CJ213" s="480">
        <f t="shared" si="172"/>
        <v>0</v>
      </c>
      <c r="CK213" s="583">
        <f t="shared" si="173"/>
        <v>0</v>
      </c>
      <c r="CL213" s="596" t="s">
        <v>46</v>
      </c>
      <c r="CM213" s="581">
        <f t="shared" si="174"/>
        <v>0</v>
      </c>
      <c r="CN213" s="762" t="s">
        <v>567</v>
      </c>
      <c r="CW213" s="630"/>
      <c r="CX213" s="630"/>
      <c r="CY213" s="630"/>
      <c r="CZ213" s="630"/>
      <c r="DA213" s="630"/>
    </row>
    <row r="214" spans="2:105" s="78" customFormat="1" ht="15" customHeight="1" x14ac:dyDescent="0.25">
      <c r="B214" s="77"/>
      <c r="E214" s="77"/>
      <c r="H214" s="77"/>
      <c r="Y214" s="90">
        <v>212</v>
      </c>
      <c r="Z214" s="559" t="str">
        <f>IF(Inventory!$C221="","",VLOOKUP(Inventory!$C221,$B$3:$C$5,2,FALSE))</f>
        <v/>
      </c>
      <c r="AA214" s="559" t="str">
        <f>IF($Z214="","",IF(AND($Z214="b",Inventory!$G221=""),"",IF(AND($Z214="b",Inventory!$G221&lt;&gt;""),VLOOKUP(Inventory!$G221,$E$3:$F$10,2,FALSE),IF(AND($Z214="a",Inventory!$Z221=""),"",IF(AND($Z214="a",Inventory!$Z221&lt;&gt;""),VLOOKUP(Inventory!$Z221,$E$3:$F$10,2,FALSE),IF(AND($Z214="c",Inventory!$Z221=""),"",IF(AND($Z214="c",Inventory!$Z221&lt;&gt;""),VLOOKUP(Inventory!$Z221,$E$3:$F$10,2,FALSE),"")))))))</f>
        <v/>
      </c>
      <c r="AB214" s="559" t="str">
        <f>IF($Z214="","a",IF(AND($Z214="b",Inventory!$J221=""),"a",IF(AND($Z214="b",Inventory!$J221&lt;&gt;""),VLOOKUP(Inventory!$J221,$H$4:$I$6,2,FALSE),IF(AND($Z214="a",Inventory!$AA221=""),"a",IF(AND($Z214="a",Inventory!$AA221&lt;&gt;""),VLOOKUP(Inventory!$AA221,$H$4:$I$6,2,FALSE),IF(AND($Z214="c",Inventory!$AA221=""),"a",IF(AND($Z214="c",Inventory!$AA221&lt;&gt;""),VLOOKUP(Inventory!$AA221,$H$4:$I$6,2,FALSE),"a")))))))</f>
        <v>a</v>
      </c>
      <c r="AC214" s="559" t="str">
        <f t="shared" si="149"/>
        <v>a</v>
      </c>
      <c r="AD214" s="473" t="str">
        <f>IF($Z214="","a",IF(AND($Z214="b",Inventory!$L221=""),"a",IF(AND($Z214="b",Inventory!$L221&lt;&gt;""),VLOOKUP(Inventory!$L221,$N$4:$O$5,2,FALSE),IF(AND($Z214="a",Inventory!$AC221=""),"a",IF(AND($Z214="a",Inventory!$AC221&lt;&gt;""),VLOOKUP(Inventory!$AC221,$N$4:$O$5,2,FALSE),IF(AND($Z214="c",Inventory!$AC221=""),"a",IF(AND($Z214="c",Inventory!$AC221&lt;&gt;""),VLOOKUP(Inventory!$AC221,$N$4:$O$5,2,FALSE),"a")))))))</f>
        <v>a</v>
      </c>
      <c r="AE214" s="474">
        <f>IF(OR(Inventory!C221="New Construction",Inventory!C221="Replace-on-Burnout"),Inventory!AF221,IF(Inventory!C221="Early Retirement",MIN(Inventory!AE221,Inventory!AF221),0))</f>
        <v>0</v>
      </c>
      <c r="AF214" s="475" t="str">
        <f t="shared" si="150"/>
        <v/>
      </c>
      <c r="AG214" s="475" t="str">
        <f t="shared" si="138"/>
        <v/>
      </c>
      <c r="AH214" s="475" t="str">
        <f t="shared" si="139"/>
        <v/>
      </c>
      <c r="AI214" s="475" t="str">
        <f t="shared" si="140"/>
        <v/>
      </c>
      <c r="AJ214" s="475" t="str">
        <f t="shared" si="141"/>
        <v/>
      </c>
      <c r="AK214" s="475" t="str">
        <f t="shared" si="151"/>
        <v/>
      </c>
      <c r="AL214" s="475" t="str">
        <f t="shared" si="152"/>
        <v/>
      </c>
      <c r="AM214" s="475" t="str">
        <f t="shared" si="153"/>
        <v/>
      </c>
      <c r="AN214" s="475" t="str">
        <f t="shared" si="154"/>
        <v/>
      </c>
      <c r="AO214" s="475" t="str">
        <f t="shared" si="155"/>
        <v/>
      </c>
      <c r="AP214" s="475" t="str">
        <f t="shared" si="156"/>
        <v/>
      </c>
      <c r="AQ214" s="475" t="str">
        <f t="shared" si="157"/>
        <v/>
      </c>
      <c r="AR214" s="475" t="str">
        <f t="shared" si="158"/>
        <v/>
      </c>
      <c r="AS214" s="475" t="str">
        <f t="shared" si="159"/>
        <v/>
      </c>
      <c r="AT214" s="475" t="str">
        <f t="shared" si="160"/>
        <v/>
      </c>
      <c r="AU214" s="475" t="str">
        <f t="shared" si="161"/>
        <v/>
      </c>
      <c r="AV214" s="475" t="str">
        <f t="shared" si="142"/>
        <v/>
      </c>
      <c r="AW214" s="473">
        <f t="shared" si="143"/>
        <v>0</v>
      </c>
      <c r="AX214" s="473" t="str">
        <f>IF(AND($Z214="b",OR($AA214="a",$AA214="b"),Inventory!$I221="",$AE214&lt;(65000/12000)),"x",IF(AND($Z214="b",OR($AA214="a",$AA214="b"),Inventory!$I221&lt;&gt;"",$AE214&lt;(65000/12000)),VLOOKUP(Inventory!$I221,$V$4:$W$5,2,FALSE),"x"))</f>
        <v>x</v>
      </c>
      <c r="AY214" s="476" t="str">
        <f t="shared" si="162"/>
        <v>aaa0</v>
      </c>
      <c r="AZ214" s="477" t="str">
        <f t="shared" si="163"/>
        <v>No</v>
      </c>
      <c r="BA214" s="759" t="str">
        <f t="shared" si="164"/>
        <v>No</v>
      </c>
      <c r="BB214" s="477">
        <f>IF($Z214="c",Inventory!$AB221,Inventory!$K221)</f>
        <v>0</v>
      </c>
      <c r="BC214" s="478">
        <f>IF(AND($Z214="b",Inventory!$N221="Btu/hr"),Inventory!$M221,IF(AND($Z214="b",Inventory!$N221="Tons"),Inventory!$M221*12000,IF(AND($Z214&lt;&gt;"b",Inventory!$AK221="Btu/hr"),Inventory!$AD221,IF(AND($Z214&lt;&gt;"b",Inventory!$AK221="Tons"),Inventory!$AD221*12000,0))))</f>
        <v>0</v>
      </c>
      <c r="BD214" s="478">
        <f t="shared" si="136"/>
        <v>0</v>
      </c>
      <c r="BE214" s="479">
        <f t="shared" si="165"/>
        <v>0</v>
      </c>
      <c r="BF214" s="477" t="s">
        <v>50</v>
      </c>
      <c r="BG214" s="479">
        <f t="shared" si="144"/>
        <v>0</v>
      </c>
      <c r="BH214" s="477" t="s">
        <v>46</v>
      </c>
      <c r="BI214" s="760">
        <f>IF(AND($Z214="b",Inventory!$P221="Btu/hr"),Inventory!$O221,IF(AND($Z214="b",Inventory!$P221="Tons"),Inventory!$O221*12000,IF(AND($Z214&lt;&gt;"b",Inventory!$AM221="Btu/hr"),Inventory!$AL221,IF(AND($Z214&lt;&gt;"b",Inventory!$AM221="Tons"),Inventory!$AL221*12000,0))))</f>
        <v>0</v>
      </c>
      <c r="BJ214" s="760">
        <f t="shared" si="137"/>
        <v>0</v>
      </c>
      <c r="BK214" s="598">
        <f t="shared" si="166"/>
        <v>0</v>
      </c>
      <c r="BL214" s="759" t="s">
        <v>567</v>
      </c>
      <c r="BM214" s="477" t="str">
        <f t="shared" si="145"/>
        <v>No</v>
      </c>
      <c r="BN214" s="477" t="str">
        <f>IF(OR(Inventory!$H221="",$BM214="No"),"-",Inventory!$H221)</f>
        <v>-</v>
      </c>
      <c r="BO214" s="477" t="str">
        <f>IFERROR(VLOOKUP(BN214,'Early Retirement'!$B$6:$C$33,2,FALSE),"-")</f>
        <v>-</v>
      </c>
      <c r="BP214" s="477" t="str">
        <f>IF(Inventory!$J221="Centrifugal","Yes","No")</f>
        <v>No</v>
      </c>
      <c r="BQ214" s="477">
        <f t="shared" si="167"/>
        <v>0</v>
      </c>
      <c r="BR214" s="477" t="str">
        <f t="shared" si="168"/>
        <v>-</v>
      </c>
      <c r="BS214" s="479">
        <f>IFERROR(INDEX('Early Retirement'!$C$4:$AC$33,$BO214,$BR214),0)</f>
        <v>0</v>
      </c>
      <c r="BT214" s="477">
        <f>IFERROR(HLOOKUP($BR214,'Early Retirement'!$D$4:$AC$5,2,FALSE),0)</f>
        <v>0</v>
      </c>
      <c r="BU214" s="761">
        <f>IFERROR(INDEX('Early Retirement'!$AE$4:$BE$33,$BO214,$BR214),0)</f>
        <v>0</v>
      </c>
      <c r="BV214" s="759">
        <f>IFERROR(HLOOKUP($BR214,'Early Retirement'!$AF$4:$BE$5,2,FALSE),0)</f>
        <v>0</v>
      </c>
      <c r="BW214" s="479">
        <f t="shared" si="175"/>
        <v>0</v>
      </c>
      <c r="BX214" s="761">
        <f t="shared" si="169"/>
        <v>0</v>
      </c>
      <c r="BY214" s="477" t="s">
        <v>46</v>
      </c>
      <c r="BZ214" s="598">
        <f>IFERROR(INDEX('Early Retirement'!$BG$4:$CG$33,$BO214,$BR214),0)</f>
        <v>0</v>
      </c>
      <c r="CA214" s="759">
        <f>IFERROR(HLOOKUP($BR214,'Early Retirement'!$BH$4:$CH$5,2,FALSE),0)</f>
        <v>0</v>
      </c>
      <c r="CB214" s="598">
        <f t="shared" si="170"/>
        <v>0</v>
      </c>
      <c r="CC214" s="759" t="s">
        <v>567</v>
      </c>
      <c r="CD214" s="477" t="str">
        <f t="shared" si="146"/>
        <v>Yes</v>
      </c>
      <c r="CE214" s="479">
        <f t="shared" si="147"/>
        <v>0</v>
      </c>
      <c r="CF214" s="761">
        <f t="shared" si="148"/>
        <v>0</v>
      </c>
      <c r="CG214" s="759" t="s">
        <v>46</v>
      </c>
      <c r="CH214" s="598">
        <f t="shared" si="171"/>
        <v>0</v>
      </c>
      <c r="CI214" s="759" t="s">
        <v>567</v>
      </c>
      <c r="CJ214" s="480">
        <f t="shared" si="172"/>
        <v>0</v>
      </c>
      <c r="CK214" s="583">
        <f t="shared" si="173"/>
        <v>0</v>
      </c>
      <c r="CL214" s="596" t="s">
        <v>46</v>
      </c>
      <c r="CM214" s="581">
        <f t="shared" si="174"/>
        <v>0</v>
      </c>
      <c r="CN214" s="762" t="s">
        <v>567</v>
      </c>
      <c r="CW214" s="630"/>
      <c r="CX214" s="630"/>
      <c r="CY214" s="630"/>
      <c r="CZ214" s="630"/>
      <c r="DA214" s="630"/>
    </row>
    <row r="215" spans="2:105" s="78" customFormat="1" ht="15" customHeight="1" x14ac:dyDescent="0.25">
      <c r="B215" s="77"/>
      <c r="E215" s="77"/>
      <c r="H215" s="77"/>
      <c r="Y215" s="90">
        <v>213</v>
      </c>
      <c r="Z215" s="559" t="str">
        <f>IF(Inventory!$C222="","",VLOOKUP(Inventory!$C222,$B$3:$C$5,2,FALSE))</f>
        <v/>
      </c>
      <c r="AA215" s="559" t="str">
        <f>IF($Z215="","",IF(AND($Z215="b",Inventory!$G222=""),"",IF(AND($Z215="b",Inventory!$G222&lt;&gt;""),VLOOKUP(Inventory!$G222,$E$3:$F$10,2,FALSE),IF(AND($Z215="a",Inventory!$Z222=""),"",IF(AND($Z215="a",Inventory!$Z222&lt;&gt;""),VLOOKUP(Inventory!$Z222,$E$3:$F$10,2,FALSE),IF(AND($Z215="c",Inventory!$Z222=""),"",IF(AND($Z215="c",Inventory!$Z222&lt;&gt;""),VLOOKUP(Inventory!$Z222,$E$3:$F$10,2,FALSE),"")))))))</f>
        <v/>
      </c>
      <c r="AB215" s="559" t="str">
        <f>IF($Z215="","a",IF(AND($Z215="b",Inventory!$J222=""),"a",IF(AND($Z215="b",Inventory!$J222&lt;&gt;""),VLOOKUP(Inventory!$J222,$H$4:$I$6,2,FALSE),IF(AND($Z215="a",Inventory!$AA222=""),"a",IF(AND($Z215="a",Inventory!$AA222&lt;&gt;""),VLOOKUP(Inventory!$AA222,$H$4:$I$6,2,FALSE),IF(AND($Z215="c",Inventory!$AA222=""),"a",IF(AND($Z215="c",Inventory!$AA222&lt;&gt;""),VLOOKUP(Inventory!$AA222,$H$4:$I$6,2,FALSE),"a")))))))</f>
        <v>a</v>
      </c>
      <c r="AC215" s="559" t="str">
        <f t="shared" si="149"/>
        <v>a</v>
      </c>
      <c r="AD215" s="473" t="str">
        <f>IF($Z215="","a",IF(AND($Z215="b",Inventory!$L222=""),"a",IF(AND($Z215="b",Inventory!$L222&lt;&gt;""),VLOOKUP(Inventory!$L222,$N$4:$O$5,2,FALSE),IF(AND($Z215="a",Inventory!$AC222=""),"a",IF(AND($Z215="a",Inventory!$AC222&lt;&gt;""),VLOOKUP(Inventory!$AC222,$N$4:$O$5,2,FALSE),IF(AND($Z215="c",Inventory!$AC222=""),"a",IF(AND($Z215="c",Inventory!$AC222&lt;&gt;""),VLOOKUP(Inventory!$AC222,$N$4:$O$5,2,FALSE),"a")))))))</f>
        <v>a</v>
      </c>
      <c r="AE215" s="474">
        <f>IF(OR(Inventory!C222="New Construction",Inventory!C222="Replace-on-Burnout"),Inventory!AF222,IF(Inventory!C222="Early Retirement",MIN(Inventory!AE222,Inventory!AF222),0))</f>
        <v>0</v>
      </c>
      <c r="AF215" s="475" t="str">
        <f t="shared" si="150"/>
        <v/>
      </c>
      <c r="AG215" s="475" t="str">
        <f t="shared" si="138"/>
        <v/>
      </c>
      <c r="AH215" s="475" t="str">
        <f t="shared" si="139"/>
        <v/>
      </c>
      <c r="AI215" s="475" t="str">
        <f t="shared" si="140"/>
        <v/>
      </c>
      <c r="AJ215" s="475" t="str">
        <f t="shared" si="141"/>
        <v/>
      </c>
      <c r="AK215" s="475" t="str">
        <f t="shared" si="151"/>
        <v/>
      </c>
      <c r="AL215" s="475" t="str">
        <f t="shared" si="152"/>
        <v/>
      </c>
      <c r="AM215" s="475" t="str">
        <f t="shared" si="153"/>
        <v/>
      </c>
      <c r="AN215" s="475" t="str">
        <f t="shared" si="154"/>
        <v/>
      </c>
      <c r="AO215" s="475" t="str">
        <f t="shared" si="155"/>
        <v/>
      </c>
      <c r="AP215" s="475" t="str">
        <f t="shared" si="156"/>
        <v/>
      </c>
      <c r="AQ215" s="475" t="str">
        <f t="shared" si="157"/>
        <v/>
      </c>
      <c r="AR215" s="475" t="str">
        <f t="shared" si="158"/>
        <v/>
      </c>
      <c r="AS215" s="475" t="str">
        <f t="shared" si="159"/>
        <v/>
      </c>
      <c r="AT215" s="475" t="str">
        <f t="shared" si="160"/>
        <v/>
      </c>
      <c r="AU215" s="475" t="str">
        <f t="shared" si="161"/>
        <v/>
      </c>
      <c r="AV215" s="475" t="str">
        <f t="shared" si="142"/>
        <v/>
      </c>
      <c r="AW215" s="473">
        <f t="shared" si="143"/>
        <v>0</v>
      </c>
      <c r="AX215" s="473" t="str">
        <f>IF(AND($Z215="b",OR($AA215="a",$AA215="b"),Inventory!$I222="",$AE215&lt;(65000/12000)),"x",IF(AND($Z215="b",OR($AA215="a",$AA215="b"),Inventory!$I222&lt;&gt;"",$AE215&lt;(65000/12000)),VLOOKUP(Inventory!$I222,$V$4:$W$5,2,FALSE),"x"))</f>
        <v>x</v>
      </c>
      <c r="AY215" s="476" t="str">
        <f t="shared" si="162"/>
        <v>aaa0</v>
      </c>
      <c r="AZ215" s="477" t="str">
        <f t="shared" si="163"/>
        <v>No</v>
      </c>
      <c r="BA215" s="759" t="str">
        <f t="shared" si="164"/>
        <v>No</v>
      </c>
      <c r="BB215" s="477">
        <f>IF($Z215="c",Inventory!$AB222,Inventory!$K222)</f>
        <v>0</v>
      </c>
      <c r="BC215" s="478">
        <f>IF(AND($Z215="b",Inventory!$N222="Btu/hr"),Inventory!$M222,IF(AND($Z215="b",Inventory!$N222="Tons"),Inventory!$M222*12000,IF(AND($Z215&lt;&gt;"b",Inventory!$AK222="Btu/hr"),Inventory!$AD222,IF(AND($Z215&lt;&gt;"b",Inventory!$AK222="Tons"),Inventory!$AD222*12000,0))))</f>
        <v>0</v>
      </c>
      <c r="BD215" s="478">
        <f t="shared" si="136"/>
        <v>0</v>
      </c>
      <c r="BE215" s="479">
        <f t="shared" si="165"/>
        <v>0</v>
      </c>
      <c r="BF215" s="477" t="s">
        <v>50</v>
      </c>
      <c r="BG215" s="479">
        <f t="shared" si="144"/>
        <v>0</v>
      </c>
      <c r="BH215" s="477" t="s">
        <v>46</v>
      </c>
      <c r="BI215" s="760">
        <f>IF(AND($Z215="b",Inventory!$P222="Btu/hr"),Inventory!$O222,IF(AND($Z215="b",Inventory!$P222="Tons"),Inventory!$O222*12000,IF(AND($Z215&lt;&gt;"b",Inventory!$AM222="Btu/hr"),Inventory!$AL222,IF(AND($Z215&lt;&gt;"b",Inventory!$AM222="Tons"),Inventory!$AL222*12000,0))))</f>
        <v>0</v>
      </c>
      <c r="BJ215" s="760">
        <f t="shared" si="137"/>
        <v>0</v>
      </c>
      <c r="BK215" s="598">
        <f t="shared" si="166"/>
        <v>0</v>
      </c>
      <c r="BL215" s="759" t="s">
        <v>567</v>
      </c>
      <c r="BM215" s="477" t="str">
        <f t="shared" si="145"/>
        <v>No</v>
      </c>
      <c r="BN215" s="477" t="str">
        <f>IF(OR(Inventory!$H222="",$BM215="No"),"-",Inventory!$H222)</f>
        <v>-</v>
      </c>
      <c r="BO215" s="477" t="str">
        <f>IFERROR(VLOOKUP(BN215,'Early Retirement'!$B$6:$C$33,2,FALSE),"-")</f>
        <v>-</v>
      </c>
      <c r="BP215" s="477" t="str">
        <f>IF(Inventory!$J222="Centrifugal","Yes","No")</f>
        <v>No</v>
      </c>
      <c r="BQ215" s="477">
        <f t="shared" si="167"/>
        <v>0</v>
      </c>
      <c r="BR215" s="477" t="str">
        <f t="shared" si="168"/>
        <v>-</v>
      </c>
      <c r="BS215" s="479">
        <f>IFERROR(INDEX('Early Retirement'!$C$4:$AC$33,$BO215,$BR215),0)</f>
        <v>0</v>
      </c>
      <c r="BT215" s="477">
        <f>IFERROR(HLOOKUP($BR215,'Early Retirement'!$D$4:$AC$5,2,FALSE),0)</f>
        <v>0</v>
      </c>
      <c r="BU215" s="761">
        <f>IFERROR(INDEX('Early Retirement'!$AE$4:$BE$33,$BO215,$BR215),0)</f>
        <v>0</v>
      </c>
      <c r="BV215" s="759">
        <f>IFERROR(HLOOKUP($BR215,'Early Retirement'!$AF$4:$BE$5,2,FALSE),0)</f>
        <v>0</v>
      </c>
      <c r="BW215" s="479">
        <f t="shared" si="175"/>
        <v>0</v>
      </c>
      <c r="BX215" s="761">
        <f t="shared" si="169"/>
        <v>0</v>
      </c>
      <c r="BY215" s="477" t="s">
        <v>46</v>
      </c>
      <c r="BZ215" s="598">
        <f>IFERROR(INDEX('Early Retirement'!$BG$4:$CG$33,$BO215,$BR215),0)</f>
        <v>0</v>
      </c>
      <c r="CA215" s="759">
        <f>IFERROR(HLOOKUP($BR215,'Early Retirement'!$BH$4:$CH$5,2,FALSE),0)</f>
        <v>0</v>
      </c>
      <c r="CB215" s="598">
        <f t="shared" si="170"/>
        <v>0</v>
      </c>
      <c r="CC215" s="759" t="s">
        <v>567</v>
      </c>
      <c r="CD215" s="477" t="str">
        <f t="shared" si="146"/>
        <v>Yes</v>
      </c>
      <c r="CE215" s="479">
        <f t="shared" si="147"/>
        <v>0</v>
      </c>
      <c r="CF215" s="761">
        <f t="shared" si="148"/>
        <v>0</v>
      </c>
      <c r="CG215" s="759" t="s">
        <v>46</v>
      </c>
      <c r="CH215" s="598">
        <f t="shared" si="171"/>
        <v>0</v>
      </c>
      <c r="CI215" s="759" t="s">
        <v>567</v>
      </c>
      <c r="CJ215" s="480">
        <f t="shared" si="172"/>
        <v>0</v>
      </c>
      <c r="CK215" s="583">
        <f t="shared" si="173"/>
        <v>0</v>
      </c>
      <c r="CL215" s="596" t="s">
        <v>46</v>
      </c>
      <c r="CM215" s="581">
        <f t="shared" si="174"/>
        <v>0</v>
      </c>
      <c r="CN215" s="762" t="s">
        <v>567</v>
      </c>
      <c r="CW215" s="630"/>
      <c r="CX215" s="630"/>
      <c r="CY215" s="630"/>
      <c r="CZ215" s="630"/>
      <c r="DA215" s="630"/>
    </row>
    <row r="216" spans="2:105" s="78" customFormat="1" ht="15" customHeight="1" x14ac:dyDescent="0.25">
      <c r="B216" s="77"/>
      <c r="E216" s="77"/>
      <c r="H216" s="77"/>
      <c r="Y216" s="90">
        <v>214</v>
      </c>
      <c r="Z216" s="559" t="str">
        <f>IF(Inventory!$C223="","",VLOOKUP(Inventory!$C223,$B$3:$C$5,2,FALSE))</f>
        <v/>
      </c>
      <c r="AA216" s="559" t="str">
        <f>IF($Z216="","",IF(AND($Z216="b",Inventory!$G223=""),"",IF(AND($Z216="b",Inventory!$G223&lt;&gt;""),VLOOKUP(Inventory!$G223,$E$3:$F$10,2,FALSE),IF(AND($Z216="a",Inventory!$Z223=""),"",IF(AND($Z216="a",Inventory!$Z223&lt;&gt;""),VLOOKUP(Inventory!$Z223,$E$3:$F$10,2,FALSE),IF(AND($Z216="c",Inventory!$Z223=""),"",IF(AND($Z216="c",Inventory!$Z223&lt;&gt;""),VLOOKUP(Inventory!$Z223,$E$3:$F$10,2,FALSE),"")))))))</f>
        <v/>
      </c>
      <c r="AB216" s="559" t="str">
        <f>IF($Z216="","a",IF(AND($Z216="b",Inventory!$J223=""),"a",IF(AND($Z216="b",Inventory!$J223&lt;&gt;""),VLOOKUP(Inventory!$J223,$H$4:$I$6,2,FALSE),IF(AND($Z216="a",Inventory!$AA223=""),"a",IF(AND($Z216="a",Inventory!$AA223&lt;&gt;""),VLOOKUP(Inventory!$AA223,$H$4:$I$6,2,FALSE),IF(AND($Z216="c",Inventory!$AA223=""),"a",IF(AND($Z216="c",Inventory!$AA223&lt;&gt;""),VLOOKUP(Inventory!$AA223,$H$4:$I$6,2,FALSE),"a")))))))</f>
        <v>a</v>
      </c>
      <c r="AC216" s="559" t="str">
        <f t="shared" si="149"/>
        <v>a</v>
      </c>
      <c r="AD216" s="473" t="str">
        <f>IF($Z216="","a",IF(AND($Z216="b",Inventory!$L223=""),"a",IF(AND($Z216="b",Inventory!$L223&lt;&gt;""),VLOOKUP(Inventory!$L223,$N$4:$O$5,2,FALSE),IF(AND($Z216="a",Inventory!$AC223=""),"a",IF(AND($Z216="a",Inventory!$AC223&lt;&gt;""),VLOOKUP(Inventory!$AC223,$N$4:$O$5,2,FALSE),IF(AND($Z216="c",Inventory!$AC223=""),"a",IF(AND($Z216="c",Inventory!$AC223&lt;&gt;""),VLOOKUP(Inventory!$AC223,$N$4:$O$5,2,FALSE),"a")))))))</f>
        <v>a</v>
      </c>
      <c r="AE216" s="474">
        <f>IF(OR(Inventory!C223="New Construction",Inventory!C223="Replace-on-Burnout"),Inventory!AF223,IF(Inventory!C223="Early Retirement",MIN(Inventory!AE223,Inventory!AF223),0))</f>
        <v>0</v>
      </c>
      <c r="AF216" s="475" t="str">
        <f t="shared" si="150"/>
        <v/>
      </c>
      <c r="AG216" s="475" t="str">
        <f t="shared" si="138"/>
        <v/>
      </c>
      <c r="AH216" s="475" t="str">
        <f t="shared" si="139"/>
        <v/>
      </c>
      <c r="AI216" s="475" t="str">
        <f t="shared" si="140"/>
        <v/>
      </c>
      <c r="AJ216" s="475" t="str">
        <f t="shared" si="141"/>
        <v/>
      </c>
      <c r="AK216" s="475" t="str">
        <f t="shared" si="151"/>
        <v/>
      </c>
      <c r="AL216" s="475" t="str">
        <f t="shared" si="152"/>
        <v/>
      </c>
      <c r="AM216" s="475" t="str">
        <f t="shared" si="153"/>
        <v/>
      </c>
      <c r="AN216" s="475" t="str">
        <f t="shared" si="154"/>
        <v/>
      </c>
      <c r="AO216" s="475" t="str">
        <f t="shared" si="155"/>
        <v/>
      </c>
      <c r="AP216" s="475" t="str">
        <f t="shared" si="156"/>
        <v/>
      </c>
      <c r="AQ216" s="475" t="str">
        <f t="shared" si="157"/>
        <v/>
      </c>
      <c r="AR216" s="475" t="str">
        <f t="shared" si="158"/>
        <v/>
      </c>
      <c r="AS216" s="475" t="str">
        <f t="shared" si="159"/>
        <v/>
      </c>
      <c r="AT216" s="475" t="str">
        <f t="shared" si="160"/>
        <v/>
      </c>
      <c r="AU216" s="475" t="str">
        <f t="shared" si="161"/>
        <v/>
      </c>
      <c r="AV216" s="475" t="str">
        <f t="shared" si="142"/>
        <v/>
      </c>
      <c r="AW216" s="473">
        <f t="shared" si="143"/>
        <v>0</v>
      </c>
      <c r="AX216" s="473" t="str">
        <f>IF(AND($Z216="b",OR($AA216="a",$AA216="b"),Inventory!$I223="",$AE216&lt;(65000/12000)),"x",IF(AND($Z216="b",OR($AA216="a",$AA216="b"),Inventory!$I223&lt;&gt;"",$AE216&lt;(65000/12000)),VLOOKUP(Inventory!$I223,$V$4:$W$5,2,FALSE),"x"))</f>
        <v>x</v>
      </c>
      <c r="AY216" s="476" t="str">
        <f t="shared" si="162"/>
        <v>aaa0</v>
      </c>
      <c r="AZ216" s="477" t="str">
        <f t="shared" si="163"/>
        <v>No</v>
      </c>
      <c r="BA216" s="759" t="str">
        <f t="shared" si="164"/>
        <v>No</v>
      </c>
      <c r="BB216" s="477">
        <f>IF($Z216="c",Inventory!$AB223,Inventory!$K223)</f>
        <v>0</v>
      </c>
      <c r="BC216" s="478">
        <f>IF(AND($Z216="b",Inventory!$N223="Btu/hr"),Inventory!$M223,IF(AND($Z216="b",Inventory!$N223="Tons"),Inventory!$M223*12000,IF(AND($Z216&lt;&gt;"b",Inventory!$AK223="Btu/hr"),Inventory!$AD223,IF(AND($Z216&lt;&gt;"b",Inventory!$AK223="Tons"),Inventory!$AD223*12000,0))))</f>
        <v>0</v>
      </c>
      <c r="BD216" s="478">
        <f t="shared" si="136"/>
        <v>0</v>
      </c>
      <c r="BE216" s="479">
        <f t="shared" si="165"/>
        <v>0</v>
      </c>
      <c r="BF216" s="477" t="s">
        <v>50</v>
      </c>
      <c r="BG216" s="479">
        <f t="shared" si="144"/>
        <v>0</v>
      </c>
      <c r="BH216" s="477" t="s">
        <v>46</v>
      </c>
      <c r="BI216" s="760">
        <f>IF(AND($Z216="b",Inventory!$P223="Btu/hr"),Inventory!$O223,IF(AND($Z216="b",Inventory!$P223="Tons"),Inventory!$O223*12000,IF(AND($Z216&lt;&gt;"b",Inventory!$AM223="Btu/hr"),Inventory!$AL223,IF(AND($Z216&lt;&gt;"b",Inventory!$AM223="Tons"),Inventory!$AL223*12000,0))))</f>
        <v>0</v>
      </c>
      <c r="BJ216" s="760">
        <f t="shared" si="137"/>
        <v>0</v>
      </c>
      <c r="BK216" s="598">
        <f t="shared" si="166"/>
        <v>0</v>
      </c>
      <c r="BL216" s="759" t="s">
        <v>567</v>
      </c>
      <c r="BM216" s="477" t="str">
        <f t="shared" si="145"/>
        <v>No</v>
      </c>
      <c r="BN216" s="477" t="str">
        <f>IF(OR(Inventory!$H223="",$BM216="No"),"-",Inventory!$H223)</f>
        <v>-</v>
      </c>
      <c r="BO216" s="477" t="str">
        <f>IFERROR(VLOOKUP(BN216,'Early Retirement'!$B$6:$C$33,2,FALSE),"-")</f>
        <v>-</v>
      </c>
      <c r="BP216" s="477" t="str">
        <f>IF(Inventory!$J223="Centrifugal","Yes","No")</f>
        <v>No</v>
      </c>
      <c r="BQ216" s="477">
        <f t="shared" si="167"/>
        <v>0</v>
      </c>
      <c r="BR216" s="477" t="str">
        <f t="shared" si="168"/>
        <v>-</v>
      </c>
      <c r="BS216" s="479">
        <f>IFERROR(INDEX('Early Retirement'!$C$4:$AC$33,$BO216,$BR216),0)</f>
        <v>0</v>
      </c>
      <c r="BT216" s="477">
        <f>IFERROR(HLOOKUP($BR216,'Early Retirement'!$D$4:$AC$5,2,FALSE),0)</f>
        <v>0</v>
      </c>
      <c r="BU216" s="761">
        <f>IFERROR(INDEX('Early Retirement'!$AE$4:$BE$33,$BO216,$BR216),0)</f>
        <v>0</v>
      </c>
      <c r="BV216" s="759">
        <f>IFERROR(HLOOKUP($BR216,'Early Retirement'!$AF$4:$BE$5,2,FALSE),0)</f>
        <v>0</v>
      </c>
      <c r="BW216" s="479">
        <f t="shared" si="175"/>
        <v>0</v>
      </c>
      <c r="BX216" s="761">
        <f t="shared" si="169"/>
        <v>0</v>
      </c>
      <c r="BY216" s="477" t="s">
        <v>46</v>
      </c>
      <c r="BZ216" s="598">
        <f>IFERROR(INDEX('Early Retirement'!$BG$4:$CG$33,$BO216,$BR216),0)</f>
        <v>0</v>
      </c>
      <c r="CA216" s="759">
        <f>IFERROR(HLOOKUP($BR216,'Early Retirement'!$BH$4:$CH$5,2,FALSE),0)</f>
        <v>0</v>
      </c>
      <c r="CB216" s="598">
        <f t="shared" si="170"/>
        <v>0</v>
      </c>
      <c r="CC216" s="759" t="s">
        <v>567</v>
      </c>
      <c r="CD216" s="477" t="str">
        <f t="shared" si="146"/>
        <v>Yes</v>
      </c>
      <c r="CE216" s="479">
        <f t="shared" si="147"/>
        <v>0</v>
      </c>
      <c r="CF216" s="761">
        <f t="shared" si="148"/>
        <v>0</v>
      </c>
      <c r="CG216" s="759" t="s">
        <v>46</v>
      </c>
      <c r="CH216" s="598">
        <f t="shared" si="171"/>
        <v>0</v>
      </c>
      <c r="CI216" s="759" t="s">
        <v>567</v>
      </c>
      <c r="CJ216" s="480">
        <f t="shared" si="172"/>
        <v>0</v>
      </c>
      <c r="CK216" s="583">
        <f t="shared" si="173"/>
        <v>0</v>
      </c>
      <c r="CL216" s="596" t="s">
        <v>46</v>
      </c>
      <c r="CM216" s="581">
        <f t="shared" si="174"/>
        <v>0</v>
      </c>
      <c r="CN216" s="762" t="s">
        <v>567</v>
      </c>
      <c r="CW216" s="630"/>
      <c r="CX216" s="630"/>
      <c r="CY216" s="630"/>
      <c r="CZ216" s="630"/>
      <c r="DA216" s="630"/>
    </row>
    <row r="217" spans="2:105" s="78" customFormat="1" ht="15" customHeight="1" x14ac:dyDescent="0.25">
      <c r="B217" s="77"/>
      <c r="E217" s="77"/>
      <c r="H217" s="77"/>
      <c r="Y217" s="90">
        <v>215</v>
      </c>
      <c r="Z217" s="559" t="str">
        <f>IF(Inventory!$C224="","",VLOOKUP(Inventory!$C224,$B$3:$C$5,2,FALSE))</f>
        <v/>
      </c>
      <c r="AA217" s="559" t="str">
        <f>IF($Z217="","",IF(AND($Z217="b",Inventory!$G224=""),"",IF(AND($Z217="b",Inventory!$G224&lt;&gt;""),VLOOKUP(Inventory!$G224,$E$3:$F$10,2,FALSE),IF(AND($Z217="a",Inventory!$Z224=""),"",IF(AND($Z217="a",Inventory!$Z224&lt;&gt;""),VLOOKUP(Inventory!$Z224,$E$3:$F$10,2,FALSE),IF(AND($Z217="c",Inventory!$Z224=""),"",IF(AND($Z217="c",Inventory!$Z224&lt;&gt;""),VLOOKUP(Inventory!$Z224,$E$3:$F$10,2,FALSE),"")))))))</f>
        <v/>
      </c>
      <c r="AB217" s="559" t="str">
        <f>IF($Z217="","a",IF(AND($Z217="b",Inventory!$J224=""),"a",IF(AND($Z217="b",Inventory!$J224&lt;&gt;""),VLOOKUP(Inventory!$J224,$H$4:$I$6,2,FALSE),IF(AND($Z217="a",Inventory!$AA224=""),"a",IF(AND($Z217="a",Inventory!$AA224&lt;&gt;""),VLOOKUP(Inventory!$AA224,$H$4:$I$6,2,FALSE),IF(AND($Z217="c",Inventory!$AA224=""),"a",IF(AND($Z217="c",Inventory!$AA224&lt;&gt;""),VLOOKUP(Inventory!$AA224,$H$4:$I$6,2,FALSE),"a")))))))</f>
        <v>a</v>
      </c>
      <c r="AC217" s="559" t="str">
        <f t="shared" si="149"/>
        <v>a</v>
      </c>
      <c r="AD217" s="473" t="str">
        <f>IF($Z217="","a",IF(AND($Z217="b",Inventory!$L224=""),"a",IF(AND($Z217="b",Inventory!$L224&lt;&gt;""),VLOOKUP(Inventory!$L224,$N$4:$O$5,2,FALSE),IF(AND($Z217="a",Inventory!$AC224=""),"a",IF(AND($Z217="a",Inventory!$AC224&lt;&gt;""),VLOOKUP(Inventory!$AC224,$N$4:$O$5,2,FALSE),IF(AND($Z217="c",Inventory!$AC224=""),"a",IF(AND($Z217="c",Inventory!$AC224&lt;&gt;""),VLOOKUP(Inventory!$AC224,$N$4:$O$5,2,FALSE),"a")))))))</f>
        <v>a</v>
      </c>
      <c r="AE217" s="474">
        <f>IF(OR(Inventory!C224="New Construction",Inventory!C224="Replace-on-Burnout"),Inventory!AF224,IF(Inventory!C224="Early Retirement",MIN(Inventory!AE224,Inventory!AF224),0))</f>
        <v>0</v>
      </c>
      <c r="AF217" s="475" t="str">
        <f t="shared" si="150"/>
        <v/>
      </c>
      <c r="AG217" s="475" t="str">
        <f t="shared" si="138"/>
        <v/>
      </c>
      <c r="AH217" s="475" t="str">
        <f t="shared" si="139"/>
        <v/>
      </c>
      <c r="AI217" s="475" t="str">
        <f t="shared" si="140"/>
        <v/>
      </c>
      <c r="AJ217" s="475" t="str">
        <f t="shared" si="141"/>
        <v/>
      </c>
      <c r="AK217" s="475" t="str">
        <f t="shared" si="151"/>
        <v/>
      </c>
      <c r="AL217" s="475" t="str">
        <f t="shared" si="152"/>
        <v/>
      </c>
      <c r="AM217" s="475" t="str">
        <f t="shared" si="153"/>
        <v/>
      </c>
      <c r="AN217" s="475" t="str">
        <f t="shared" si="154"/>
        <v/>
      </c>
      <c r="AO217" s="475" t="str">
        <f t="shared" si="155"/>
        <v/>
      </c>
      <c r="AP217" s="475" t="str">
        <f t="shared" si="156"/>
        <v/>
      </c>
      <c r="AQ217" s="475" t="str">
        <f t="shared" si="157"/>
        <v/>
      </c>
      <c r="AR217" s="475" t="str">
        <f t="shared" si="158"/>
        <v/>
      </c>
      <c r="AS217" s="475" t="str">
        <f t="shared" si="159"/>
        <v/>
      </c>
      <c r="AT217" s="475" t="str">
        <f t="shared" si="160"/>
        <v/>
      </c>
      <c r="AU217" s="475" t="str">
        <f t="shared" si="161"/>
        <v/>
      </c>
      <c r="AV217" s="475" t="str">
        <f t="shared" si="142"/>
        <v/>
      </c>
      <c r="AW217" s="473">
        <f t="shared" si="143"/>
        <v>0</v>
      </c>
      <c r="AX217" s="473" t="str">
        <f>IF(AND($Z217="b",OR($AA217="a",$AA217="b"),Inventory!$I224="",$AE217&lt;(65000/12000)),"x",IF(AND($Z217="b",OR($AA217="a",$AA217="b"),Inventory!$I224&lt;&gt;"",$AE217&lt;(65000/12000)),VLOOKUP(Inventory!$I224,$V$4:$W$5,2,FALSE),"x"))</f>
        <v>x</v>
      </c>
      <c r="AY217" s="476" t="str">
        <f t="shared" si="162"/>
        <v>aaa0</v>
      </c>
      <c r="AZ217" s="477" t="str">
        <f t="shared" si="163"/>
        <v>No</v>
      </c>
      <c r="BA217" s="759" t="str">
        <f t="shared" si="164"/>
        <v>No</v>
      </c>
      <c r="BB217" s="477">
        <f>IF($Z217="c",Inventory!$AB224,Inventory!$K224)</f>
        <v>0</v>
      </c>
      <c r="BC217" s="478">
        <f>IF(AND($Z217="b",Inventory!$N224="Btu/hr"),Inventory!$M224,IF(AND($Z217="b",Inventory!$N224="Tons"),Inventory!$M224*12000,IF(AND($Z217&lt;&gt;"b",Inventory!$AK224="Btu/hr"),Inventory!$AD224,IF(AND($Z217&lt;&gt;"b",Inventory!$AK224="Tons"),Inventory!$AD224*12000,0))))</f>
        <v>0</v>
      </c>
      <c r="BD217" s="478">
        <f t="shared" si="136"/>
        <v>0</v>
      </c>
      <c r="BE217" s="479">
        <f t="shared" si="165"/>
        <v>0</v>
      </c>
      <c r="BF217" s="477" t="s">
        <v>50</v>
      </c>
      <c r="BG217" s="479">
        <f t="shared" si="144"/>
        <v>0</v>
      </c>
      <c r="BH217" s="477" t="s">
        <v>46</v>
      </c>
      <c r="BI217" s="760">
        <f>IF(AND($Z217="b",Inventory!$P224="Btu/hr"),Inventory!$O224,IF(AND($Z217="b",Inventory!$P224="Tons"),Inventory!$O224*12000,IF(AND($Z217&lt;&gt;"b",Inventory!$AM224="Btu/hr"),Inventory!$AL224,IF(AND($Z217&lt;&gt;"b",Inventory!$AM224="Tons"),Inventory!$AL224*12000,0))))</f>
        <v>0</v>
      </c>
      <c r="BJ217" s="760">
        <f t="shared" si="137"/>
        <v>0</v>
      </c>
      <c r="BK217" s="598">
        <f t="shared" si="166"/>
        <v>0</v>
      </c>
      <c r="BL217" s="759" t="s">
        <v>567</v>
      </c>
      <c r="BM217" s="477" t="str">
        <f t="shared" si="145"/>
        <v>No</v>
      </c>
      <c r="BN217" s="477" t="str">
        <f>IF(OR(Inventory!$H224="",$BM217="No"),"-",Inventory!$H224)</f>
        <v>-</v>
      </c>
      <c r="BO217" s="477" t="str">
        <f>IFERROR(VLOOKUP(BN217,'Early Retirement'!$B$6:$C$33,2,FALSE),"-")</f>
        <v>-</v>
      </c>
      <c r="BP217" s="477" t="str">
        <f>IF(Inventory!$J224="Centrifugal","Yes","No")</f>
        <v>No</v>
      </c>
      <c r="BQ217" s="477">
        <f t="shared" si="167"/>
        <v>0</v>
      </c>
      <c r="BR217" s="477" t="str">
        <f t="shared" si="168"/>
        <v>-</v>
      </c>
      <c r="BS217" s="479">
        <f>IFERROR(INDEX('Early Retirement'!$C$4:$AC$33,$BO217,$BR217),0)</f>
        <v>0</v>
      </c>
      <c r="BT217" s="477">
        <f>IFERROR(HLOOKUP($BR217,'Early Retirement'!$D$4:$AC$5,2,FALSE),0)</f>
        <v>0</v>
      </c>
      <c r="BU217" s="761">
        <f>IFERROR(INDEX('Early Retirement'!$AE$4:$BE$33,$BO217,$BR217),0)</f>
        <v>0</v>
      </c>
      <c r="BV217" s="759">
        <f>IFERROR(HLOOKUP($BR217,'Early Retirement'!$AF$4:$BE$5,2,FALSE),0)</f>
        <v>0</v>
      </c>
      <c r="BW217" s="479">
        <f t="shared" si="175"/>
        <v>0</v>
      </c>
      <c r="BX217" s="761">
        <f t="shared" si="169"/>
        <v>0</v>
      </c>
      <c r="BY217" s="477" t="s">
        <v>46</v>
      </c>
      <c r="BZ217" s="598">
        <f>IFERROR(INDEX('Early Retirement'!$BG$4:$CG$33,$BO217,$BR217),0)</f>
        <v>0</v>
      </c>
      <c r="CA217" s="759">
        <f>IFERROR(HLOOKUP($BR217,'Early Retirement'!$BH$4:$CH$5,2,FALSE),0)</f>
        <v>0</v>
      </c>
      <c r="CB217" s="598">
        <f t="shared" si="170"/>
        <v>0</v>
      </c>
      <c r="CC217" s="759" t="s">
        <v>567</v>
      </c>
      <c r="CD217" s="477" t="str">
        <f t="shared" si="146"/>
        <v>Yes</v>
      </c>
      <c r="CE217" s="479">
        <f t="shared" si="147"/>
        <v>0</v>
      </c>
      <c r="CF217" s="761">
        <f t="shared" si="148"/>
        <v>0</v>
      </c>
      <c r="CG217" s="759" t="s">
        <v>46</v>
      </c>
      <c r="CH217" s="598">
        <f t="shared" si="171"/>
        <v>0</v>
      </c>
      <c r="CI217" s="759" t="s">
        <v>567</v>
      </c>
      <c r="CJ217" s="480">
        <f t="shared" si="172"/>
        <v>0</v>
      </c>
      <c r="CK217" s="583">
        <f t="shared" si="173"/>
        <v>0</v>
      </c>
      <c r="CL217" s="596" t="s">
        <v>46</v>
      </c>
      <c r="CM217" s="581">
        <f t="shared" si="174"/>
        <v>0</v>
      </c>
      <c r="CN217" s="762" t="s">
        <v>567</v>
      </c>
      <c r="CW217" s="630"/>
      <c r="CX217" s="630"/>
      <c r="CY217" s="630"/>
      <c r="CZ217" s="630"/>
      <c r="DA217" s="630"/>
    </row>
    <row r="218" spans="2:105" s="78" customFormat="1" ht="15" customHeight="1" x14ac:dyDescent="0.25">
      <c r="B218" s="77"/>
      <c r="E218" s="77"/>
      <c r="H218" s="77"/>
      <c r="Y218" s="90">
        <v>216</v>
      </c>
      <c r="Z218" s="559" t="str">
        <f>IF(Inventory!$C225="","",VLOOKUP(Inventory!$C225,$B$3:$C$5,2,FALSE))</f>
        <v/>
      </c>
      <c r="AA218" s="559" t="str">
        <f>IF($Z218="","",IF(AND($Z218="b",Inventory!$G225=""),"",IF(AND($Z218="b",Inventory!$G225&lt;&gt;""),VLOOKUP(Inventory!$G225,$E$3:$F$10,2,FALSE),IF(AND($Z218="a",Inventory!$Z225=""),"",IF(AND($Z218="a",Inventory!$Z225&lt;&gt;""),VLOOKUP(Inventory!$Z225,$E$3:$F$10,2,FALSE),IF(AND($Z218="c",Inventory!$Z225=""),"",IF(AND($Z218="c",Inventory!$Z225&lt;&gt;""),VLOOKUP(Inventory!$Z225,$E$3:$F$10,2,FALSE),"")))))))</f>
        <v/>
      </c>
      <c r="AB218" s="559" t="str">
        <f>IF($Z218="","a",IF(AND($Z218="b",Inventory!$J225=""),"a",IF(AND($Z218="b",Inventory!$J225&lt;&gt;""),VLOOKUP(Inventory!$J225,$H$4:$I$6,2,FALSE),IF(AND($Z218="a",Inventory!$AA225=""),"a",IF(AND($Z218="a",Inventory!$AA225&lt;&gt;""),VLOOKUP(Inventory!$AA225,$H$4:$I$6,2,FALSE),IF(AND($Z218="c",Inventory!$AA225=""),"a",IF(AND($Z218="c",Inventory!$AA225&lt;&gt;""),VLOOKUP(Inventory!$AA225,$H$4:$I$6,2,FALSE),"a")))))))</f>
        <v>a</v>
      </c>
      <c r="AC218" s="559" t="str">
        <f t="shared" si="149"/>
        <v>a</v>
      </c>
      <c r="AD218" s="473" t="str">
        <f>IF($Z218="","a",IF(AND($Z218="b",Inventory!$L225=""),"a",IF(AND($Z218="b",Inventory!$L225&lt;&gt;""),VLOOKUP(Inventory!$L225,$N$4:$O$5,2,FALSE),IF(AND($Z218="a",Inventory!$AC225=""),"a",IF(AND($Z218="a",Inventory!$AC225&lt;&gt;""),VLOOKUP(Inventory!$AC225,$N$4:$O$5,2,FALSE),IF(AND($Z218="c",Inventory!$AC225=""),"a",IF(AND($Z218="c",Inventory!$AC225&lt;&gt;""),VLOOKUP(Inventory!$AC225,$N$4:$O$5,2,FALSE),"a")))))))</f>
        <v>a</v>
      </c>
      <c r="AE218" s="474">
        <f>IF(OR(Inventory!C225="New Construction",Inventory!C225="Replace-on-Burnout"),Inventory!AF225,IF(Inventory!C225="Early Retirement",MIN(Inventory!AE225,Inventory!AF225),0))</f>
        <v>0</v>
      </c>
      <c r="AF218" s="475" t="str">
        <f t="shared" si="150"/>
        <v/>
      </c>
      <c r="AG218" s="475" t="str">
        <f t="shared" si="138"/>
        <v/>
      </c>
      <c r="AH218" s="475" t="str">
        <f t="shared" si="139"/>
        <v/>
      </c>
      <c r="AI218" s="475" t="str">
        <f t="shared" si="140"/>
        <v/>
      </c>
      <c r="AJ218" s="475" t="str">
        <f t="shared" si="141"/>
        <v/>
      </c>
      <c r="AK218" s="475" t="str">
        <f t="shared" si="151"/>
        <v/>
      </c>
      <c r="AL218" s="475" t="str">
        <f t="shared" si="152"/>
        <v/>
      </c>
      <c r="AM218" s="475" t="str">
        <f t="shared" si="153"/>
        <v/>
      </c>
      <c r="AN218" s="475" t="str">
        <f t="shared" si="154"/>
        <v/>
      </c>
      <c r="AO218" s="475" t="str">
        <f t="shared" si="155"/>
        <v/>
      </c>
      <c r="AP218" s="475" t="str">
        <f t="shared" si="156"/>
        <v/>
      </c>
      <c r="AQ218" s="475" t="str">
        <f t="shared" si="157"/>
        <v/>
      </c>
      <c r="AR218" s="475" t="str">
        <f t="shared" si="158"/>
        <v/>
      </c>
      <c r="AS218" s="475" t="str">
        <f t="shared" si="159"/>
        <v/>
      </c>
      <c r="AT218" s="475" t="str">
        <f t="shared" si="160"/>
        <v/>
      </c>
      <c r="AU218" s="475" t="str">
        <f t="shared" si="161"/>
        <v/>
      </c>
      <c r="AV218" s="475" t="str">
        <f t="shared" si="142"/>
        <v/>
      </c>
      <c r="AW218" s="473">
        <f t="shared" si="143"/>
        <v>0</v>
      </c>
      <c r="AX218" s="473" t="str">
        <f>IF(AND($Z218="b",OR($AA218="a",$AA218="b"),Inventory!$I225="",$AE218&lt;(65000/12000)),"x",IF(AND($Z218="b",OR($AA218="a",$AA218="b"),Inventory!$I225&lt;&gt;"",$AE218&lt;(65000/12000)),VLOOKUP(Inventory!$I225,$V$4:$W$5,2,FALSE),"x"))</f>
        <v>x</v>
      </c>
      <c r="AY218" s="476" t="str">
        <f t="shared" si="162"/>
        <v>aaa0</v>
      </c>
      <c r="AZ218" s="477" t="str">
        <f t="shared" si="163"/>
        <v>No</v>
      </c>
      <c r="BA218" s="759" t="str">
        <f t="shared" si="164"/>
        <v>No</v>
      </c>
      <c r="BB218" s="477">
        <f>IF($Z218="c",Inventory!$AB225,Inventory!$K225)</f>
        <v>0</v>
      </c>
      <c r="BC218" s="478">
        <f>IF(AND($Z218="b",Inventory!$N225="Btu/hr"),Inventory!$M225,IF(AND($Z218="b",Inventory!$N225="Tons"),Inventory!$M225*12000,IF(AND($Z218&lt;&gt;"b",Inventory!$AK225="Btu/hr"),Inventory!$AD225,IF(AND($Z218&lt;&gt;"b",Inventory!$AK225="Tons"),Inventory!$AD225*12000,0))))</f>
        <v>0</v>
      </c>
      <c r="BD218" s="478">
        <f t="shared" si="136"/>
        <v>0</v>
      </c>
      <c r="BE218" s="479">
        <f t="shared" si="165"/>
        <v>0</v>
      </c>
      <c r="BF218" s="477" t="s">
        <v>50</v>
      </c>
      <c r="BG218" s="479">
        <f t="shared" si="144"/>
        <v>0</v>
      </c>
      <c r="BH218" s="477" t="s">
        <v>46</v>
      </c>
      <c r="BI218" s="760">
        <f>IF(AND($Z218="b",Inventory!$P225="Btu/hr"),Inventory!$O225,IF(AND($Z218="b",Inventory!$P225="Tons"),Inventory!$O225*12000,IF(AND($Z218&lt;&gt;"b",Inventory!$AM225="Btu/hr"),Inventory!$AL225,IF(AND($Z218&lt;&gt;"b",Inventory!$AM225="Tons"),Inventory!$AL225*12000,0))))</f>
        <v>0</v>
      </c>
      <c r="BJ218" s="760">
        <f t="shared" si="137"/>
        <v>0</v>
      </c>
      <c r="BK218" s="598">
        <f t="shared" si="166"/>
        <v>0</v>
      </c>
      <c r="BL218" s="759" t="s">
        <v>567</v>
      </c>
      <c r="BM218" s="477" t="str">
        <f t="shared" si="145"/>
        <v>No</v>
      </c>
      <c r="BN218" s="477" t="str">
        <f>IF(OR(Inventory!$H225="",$BM218="No"),"-",Inventory!$H225)</f>
        <v>-</v>
      </c>
      <c r="BO218" s="477" t="str">
        <f>IFERROR(VLOOKUP(BN218,'Early Retirement'!$B$6:$C$33,2,FALSE),"-")</f>
        <v>-</v>
      </c>
      <c r="BP218" s="477" t="str">
        <f>IF(Inventory!$J225="Centrifugal","Yes","No")</f>
        <v>No</v>
      </c>
      <c r="BQ218" s="477">
        <f t="shared" si="167"/>
        <v>0</v>
      </c>
      <c r="BR218" s="477" t="str">
        <f t="shared" si="168"/>
        <v>-</v>
      </c>
      <c r="BS218" s="479">
        <f>IFERROR(INDEX('Early Retirement'!$C$4:$AC$33,$BO218,$BR218),0)</f>
        <v>0</v>
      </c>
      <c r="BT218" s="477">
        <f>IFERROR(HLOOKUP($BR218,'Early Retirement'!$D$4:$AC$5,2,FALSE),0)</f>
        <v>0</v>
      </c>
      <c r="BU218" s="761">
        <f>IFERROR(INDEX('Early Retirement'!$AE$4:$BE$33,$BO218,$BR218),0)</f>
        <v>0</v>
      </c>
      <c r="BV218" s="759">
        <f>IFERROR(HLOOKUP($BR218,'Early Retirement'!$AF$4:$BE$5,2,FALSE),0)</f>
        <v>0</v>
      </c>
      <c r="BW218" s="479">
        <f t="shared" si="175"/>
        <v>0</v>
      </c>
      <c r="BX218" s="761">
        <f t="shared" si="169"/>
        <v>0</v>
      </c>
      <c r="BY218" s="477" t="s">
        <v>46</v>
      </c>
      <c r="BZ218" s="598">
        <f>IFERROR(INDEX('Early Retirement'!$BG$4:$CG$33,$BO218,$BR218),0)</f>
        <v>0</v>
      </c>
      <c r="CA218" s="759">
        <f>IFERROR(HLOOKUP($BR218,'Early Retirement'!$BH$4:$CH$5,2,FALSE),0)</f>
        <v>0</v>
      </c>
      <c r="CB218" s="598">
        <f t="shared" si="170"/>
        <v>0</v>
      </c>
      <c r="CC218" s="759" t="s">
        <v>567</v>
      </c>
      <c r="CD218" s="477" t="str">
        <f t="shared" si="146"/>
        <v>Yes</v>
      </c>
      <c r="CE218" s="479">
        <f t="shared" si="147"/>
        <v>0</v>
      </c>
      <c r="CF218" s="761">
        <f t="shared" si="148"/>
        <v>0</v>
      </c>
      <c r="CG218" s="759" t="s">
        <v>46</v>
      </c>
      <c r="CH218" s="598">
        <f t="shared" si="171"/>
        <v>0</v>
      </c>
      <c r="CI218" s="759" t="s">
        <v>567</v>
      </c>
      <c r="CJ218" s="480">
        <f t="shared" si="172"/>
        <v>0</v>
      </c>
      <c r="CK218" s="583">
        <f t="shared" si="173"/>
        <v>0</v>
      </c>
      <c r="CL218" s="596" t="s">
        <v>46</v>
      </c>
      <c r="CM218" s="581">
        <f t="shared" si="174"/>
        <v>0</v>
      </c>
      <c r="CN218" s="762" t="s">
        <v>567</v>
      </c>
      <c r="CW218" s="630"/>
      <c r="CX218" s="630"/>
      <c r="CY218" s="630"/>
      <c r="CZ218" s="630"/>
      <c r="DA218" s="630"/>
    </row>
    <row r="219" spans="2:105" s="78" customFormat="1" ht="15" customHeight="1" x14ac:dyDescent="0.25">
      <c r="B219" s="77"/>
      <c r="E219" s="77"/>
      <c r="H219" s="77"/>
      <c r="Y219" s="90">
        <v>217</v>
      </c>
      <c r="Z219" s="559" t="str">
        <f>IF(Inventory!$C226="","",VLOOKUP(Inventory!$C226,$B$3:$C$5,2,FALSE))</f>
        <v/>
      </c>
      <c r="AA219" s="559" t="str">
        <f>IF($Z219="","",IF(AND($Z219="b",Inventory!$G226=""),"",IF(AND($Z219="b",Inventory!$G226&lt;&gt;""),VLOOKUP(Inventory!$G226,$E$3:$F$10,2,FALSE),IF(AND($Z219="a",Inventory!$Z226=""),"",IF(AND($Z219="a",Inventory!$Z226&lt;&gt;""),VLOOKUP(Inventory!$Z226,$E$3:$F$10,2,FALSE),IF(AND($Z219="c",Inventory!$Z226=""),"",IF(AND($Z219="c",Inventory!$Z226&lt;&gt;""),VLOOKUP(Inventory!$Z226,$E$3:$F$10,2,FALSE),"")))))))</f>
        <v/>
      </c>
      <c r="AB219" s="559" t="str">
        <f>IF($Z219="","a",IF(AND($Z219="b",Inventory!$J226=""),"a",IF(AND($Z219="b",Inventory!$J226&lt;&gt;""),VLOOKUP(Inventory!$J226,$H$4:$I$6,2,FALSE),IF(AND($Z219="a",Inventory!$AA226=""),"a",IF(AND($Z219="a",Inventory!$AA226&lt;&gt;""),VLOOKUP(Inventory!$AA226,$H$4:$I$6,2,FALSE),IF(AND($Z219="c",Inventory!$AA226=""),"a",IF(AND($Z219="c",Inventory!$AA226&lt;&gt;""),VLOOKUP(Inventory!$AA226,$H$4:$I$6,2,FALSE),"a")))))))</f>
        <v>a</v>
      </c>
      <c r="AC219" s="559" t="str">
        <f t="shared" si="149"/>
        <v>a</v>
      </c>
      <c r="AD219" s="473" t="str">
        <f>IF($Z219="","a",IF(AND($Z219="b",Inventory!$L226=""),"a",IF(AND($Z219="b",Inventory!$L226&lt;&gt;""),VLOOKUP(Inventory!$L226,$N$4:$O$5,2,FALSE),IF(AND($Z219="a",Inventory!$AC226=""),"a",IF(AND($Z219="a",Inventory!$AC226&lt;&gt;""),VLOOKUP(Inventory!$AC226,$N$4:$O$5,2,FALSE),IF(AND($Z219="c",Inventory!$AC226=""),"a",IF(AND($Z219="c",Inventory!$AC226&lt;&gt;""),VLOOKUP(Inventory!$AC226,$N$4:$O$5,2,FALSE),"a")))))))</f>
        <v>a</v>
      </c>
      <c r="AE219" s="474">
        <f>IF(OR(Inventory!C226="New Construction",Inventory!C226="Replace-on-Burnout"),Inventory!AF226,IF(Inventory!C226="Early Retirement",MIN(Inventory!AE226,Inventory!AF226),0))</f>
        <v>0</v>
      </c>
      <c r="AF219" s="475" t="str">
        <f t="shared" si="150"/>
        <v/>
      </c>
      <c r="AG219" s="475" t="str">
        <f t="shared" si="138"/>
        <v/>
      </c>
      <c r="AH219" s="475" t="str">
        <f t="shared" si="139"/>
        <v/>
      </c>
      <c r="AI219" s="475" t="str">
        <f t="shared" si="140"/>
        <v/>
      </c>
      <c r="AJ219" s="475" t="str">
        <f t="shared" si="141"/>
        <v/>
      </c>
      <c r="AK219" s="475" t="str">
        <f t="shared" si="151"/>
        <v/>
      </c>
      <c r="AL219" s="475" t="str">
        <f t="shared" si="152"/>
        <v/>
      </c>
      <c r="AM219" s="475" t="str">
        <f t="shared" si="153"/>
        <v/>
      </c>
      <c r="AN219" s="475" t="str">
        <f t="shared" si="154"/>
        <v/>
      </c>
      <c r="AO219" s="475" t="str">
        <f t="shared" si="155"/>
        <v/>
      </c>
      <c r="AP219" s="475" t="str">
        <f t="shared" si="156"/>
        <v/>
      </c>
      <c r="AQ219" s="475" t="str">
        <f t="shared" si="157"/>
        <v/>
      </c>
      <c r="AR219" s="475" t="str">
        <f t="shared" si="158"/>
        <v/>
      </c>
      <c r="AS219" s="475" t="str">
        <f t="shared" si="159"/>
        <v/>
      </c>
      <c r="AT219" s="475" t="str">
        <f t="shared" si="160"/>
        <v/>
      </c>
      <c r="AU219" s="475" t="str">
        <f t="shared" si="161"/>
        <v/>
      </c>
      <c r="AV219" s="475" t="str">
        <f t="shared" si="142"/>
        <v/>
      </c>
      <c r="AW219" s="473">
        <f t="shared" si="143"/>
        <v>0</v>
      </c>
      <c r="AX219" s="473" t="str">
        <f>IF(AND($Z219="b",OR($AA219="a",$AA219="b"),Inventory!$I226="",$AE219&lt;(65000/12000)),"x",IF(AND($Z219="b",OR($AA219="a",$AA219="b"),Inventory!$I226&lt;&gt;"",$AE219&lt;(65000/12000)),VLOOKUP(Inventory!$I226,$V$4:$W$5,2,FALSE),"x"))</f>
        <v>x</v>
      </c>
      <c r="AY219" s="476" t="str">
        <f t="shared" si="162"/>
        <v>aaa0</v>
      </c>
      <c r="AZ219" s="477" t="str">
        <f t="shared" si="163"/>
        <v>No</v>
      </c>
      <c r="BA219" s="759" t="str">
        <f t="shared" si="164"/>
        <v>No</v>
      </c>
      <c r="BB219" s="477">
        <f>IF($Z219="c",Inventory!$AB226,Inventory!$K226)</f>
        <v>0</v>
      </c>
      <c r="BC219" s="478">
        <f>IF(AND($Z219="b",Inventory!$N226="Btu/hr"),Inventory!$M226,IF(AND($Z219="b",Inventory!$N226="Tons"),Inventory!$M226*12000,IF(AND($Z219&lt;&gt;"b",Inventory!$AK226="Btu/hr"),Inventory!$AD226,IF(AND($Z219&lt;&gt;"b",Inventory!$AK226="Tons"),Inventory!$AD226*12000,0))))</f>
        <v>0</v>
      </c>
      <c r="BD219" s="478">
        <f t="shared" si="136"/>
        <v>0</v>
      </c>
      <c r="BE219" s="479">
        <f t="shared" si="165"/>
        <v>0</v>
      </c>
      <c r="BF219" s="477" t="s">
        <v>50</v>
      </c>
      <c r="BG219" s="479">
        <f t="shared" si="144"/>
        <v>0</v>
      </c>
      <c r="BH219" s="477" t="s">
        <v>46</v>
      </c>
      <c r="BI219" s="760">
        <f>IF(AND($Z219="b",Inventory!$P226="Btu/hr"),Inventory!$O226,IF(AND($Z219="b",Inventory!$P226="Tons"),Inventory!$O226*12000,IF(AND($Z219&lt;&gt;"b",Inventory!$AM226="Btu/hr"),Inventory!$AL226,IF(AND($Z219&lt;&gt;"b",Inventory!$AM226="Tons"),Inventory!$AL226*12000,0))))</f>
        <v>0</v>
      </c>
      <c r="BJ219" s="760">
        <f t="shared" si="137"/>
        <v>0</v>
      </c>
      <c r="BK219" s="598">
        <f t="shared" si="166"/>
        <v>0</v>
      </c>
      <c r="BL219" s="759" t="s">
        <v>567</v>
      </c>
      <c r="BM219" s="477" t="str">
        <f t="shared" si="145"/>
        <v>No</v>
      </c>
      <c r="BN219" s="477" t="str">
        <f>IF(OR(Inventory!$H226="",$BM219="No"),"-",Inventory!$H226)</f>
        <v>-</v>
      </c>
      <c r="BO219" s="477" t="str">
        <f>IFERROR(VLOOKUP(BN219,'Early Retirement'!$B$6:$C$33,2,FALSE),"-")</f>
        <v>-</v>
      </c>
      <c r="BP219" s="477" t="str">
        <f>IF(Inventory!$J226="Centrifugal","Yes","No")</f>
        <v>No</v>
      </c>
      <c r="BQ219" s="477">
        <f t="shared" si="167"/>
        <v>0</v>
      </c>
      <c r="BR219" s="477" t="str">
        <f t="shared" si="168"/>
        <v>-</v>
      </c>
      <c r="BS219" s="479">
        <f>IFERROR(INDEX('Early Retirement'!$C$4:$AC$33,$BO219,$BR219),0)</f>
        <v>0</v>
      </c>
      <c r="BT219" s="477">
        <f>IFERROR(HLOOKUP($BR219,'Early Retirement'!$D$4:$AC$5,2,FALSE),0)</f>
        <v>0</v>
      </c>
      <c r="BU219" s="761">
        <f>IFERROR(INDEX('Early Retirement'!$AE$4:$BE$33,$BO219,$BR219),0)</f>
        <v>0</v>
      </c>
      <c r="BV219" s="759">
        <f>IFERROR(HLOOKUP($BR219,'Early Retirement'!$AF$4:$BE$5,2,FALSE),0)</f>
        <v>0</v>
      </c>
      <c r="BW219" s="479">
        <f t="shared" si="175"/>
        <v>0</v>
      </c>
      <c r="BX219" s="761">
        <f t="shared" si="169"/>
        <v>0</v>
      </c>
      <c r="BY219" s="477" t="s">
        <v>46</v>
      </c>
      <c r="BZ219" s="598">
        <f>IFERROR(INDEX('Early Retirement'!$BG$4:$CG$33,$BO219,$BR219),0)</f>
        <v>0</v>
      </c>
      <c r="CA219" s="759">
        <f>IFERROR(HLOOKUP($BR219,'Early Retirement'!$BH$4:$CH$5,2,FALSE),0)</f>
        <v>0</v>
      </c>
      <c r="CB219" s="598">
        <f t="shared" si="170"/>
        <v>0</v>
      </c>
      <c r="CC219" s="759" t="s">
        <v>567</v>
      </c>
      <c r="CD219" s="477" t="str">
        <f t="shared" si="146"/>
        <v>Yes</v>
      </c>
      <c r="CE219" s="479">
        <f t="shared" si="147"/>
        <v>0</v>
      </c>
      <c r="CF219" s="761">
        <f t="shared" si="148"/>
        <v>0</v>
      </c>
      <c r="CG219" s="759" t="s">
        <v>46</v>
      </c>
      <c r="CH219" s="598">
        <f t="shared" si="171"/>
        <v>0</v>
      </c>
      <c r="CI219" s="759" t="s">
        <v>567</v>
      </c>
      <c r="CJ219" s="480">
        <f t="shared" si="172"/>
        <v>0</v>
      </c>
      <c r="CK219" s="583">
        <f t="shared" si="173"/>
        <v>0</v>
      </c>
      <c r="CL219" s="596" t="s">
        <v>46</v>
      </c>
      <c r="CM219" s="581">
        <f t="shared" si="174"/>
        <v>0</v>
      </c>
      <c r="CN219" s="762" t="s">
        <v>567</v>
      </c>
      <c r="CW219" s="630"/>
      <c r="CX219" s="630"/>
      <c r="CY219" s="630"/>
      <c r="CZ219" s="630"/>
      <c r="DA219" s="630"/>
    </row>
    <row r="220" spans="2:105" s="78" customFormat="1" ht="15" customHeight="1" x14ac:dyDescent="0.25">
      <c r="B220" s="77"/>
      <c r="E220" s="77"/>
      <c r="H220" s="77"/>
      <c r="Y220" s="90">
        <v>218</v>
      </c>
      <c r="Z220" s="559" t="str">
        <f>IF(Inventory!$C227="","",VLOOKUP(Inventory!$C227,$B$3:$C$5,2,FALSE))</f>
        <v/>
      </c>
      <c r="AA220" s="559" t="str">
        <f>IF($Z220="","",IF(AND($Z220="b",Inventory!$G227=""),"",IF(AND($Z220="b",Inventory!$G227&lt;&gt;""),VLOOKUP(Inventory!$G227,$E$3:$F$10,2,FALSE),IF(AND($Z220="a",Inventory!$Z227=""),"",IF(AND($Z220="a",Inventory!$Z227&lt;&gt;""),VLOOKUP(Inventory!$Z227,$E$3:$F$10,2,FALSE),IF(AND($Z220="c",Inventory!$Z227=""),"",IF(AND($Z220="c",Inventory!$Z227&lt;&gt;""),VLOOKUP(Inventory!$Z227,$E$3:$F$10,2,FALSE),"")))))))</f>
        <v/>
      </c>
      <c r="AB220" s="559" t="str">
        <f>IF($Z220="","a",IF(AND($Z220="b",Inventory!$J227=""),"a",IF(AND($Z220="b",Inventory!$J227&lt;&gt;""),VLOOKUP(Inventory!$J227,$H$4:$I$6,2,FALSE),IF(AND($Z220="a",Inventory!$AA227=""),"a",IF(AND($Z220="a",Inventory!$AA227&lt;&gt;""),VLOOKUP(Inventory!$AA227,$H$4:$I$6,2,FALSE),IF(AND($Z220="c",Inventory!$AA227=""),"a",IF(AND($Z220="c",Inventory!$AA227&lt;&gt;""),VLOOKUP(Inventory!$AA227,$H$4:$I$6,2,FALSE),"a")))))))</f>
        <v>a</v>
      </c>
      <c r="AC220" s="559" t="str">
        <f t="shared" si="149"/>
        <v>a</v>
      </c>
      <c r="AD220" s="473" t="str">
        <f>IF($Z220="","a",IF(AND($Z220="b",Inventory!$L227=""),"a",IF(AND($Z220="b",Inventory!$L227&lt;&gt;""),VLOOKUP(Inventory!$L227,$N$4:$O$5,2,FALSE),IF(AND($Z220="a",Inventory!$AC227=""),"a",IF(AND($Z220="a",Inventory!$AC227&lt;&gt;""),VLOOKUP(Inventory!$AC227,$N$4:$O$5,2,FALSE),IF(AND($Z220="c",Inventory!$AC227=""),"a",IF(AND($Z220="c",Inventory!$AC227&lt;&gt;""),VLOOKUP(Inventory!$AC227,$N$4:$O$5,2,FALSE),"a")))))))</f>
        <v>a</v>
      </c>
      <c r="AE220" s="474">
        <f>IF(OR(Inventory!C227="New Construction",Inventory!C227="Replace-on-Burnout"),Inventory!AF227,IF(Inventory!C227="Early Retirement",MIN(Inventory!AE227,Inventory!AF227),0))</f>
        <v>0</v>
      </c>
      <c r="AF220" s="475" t="str">
        <f t="shared" si="150"/>
        <v/>
      </c>
      <c r="AG220" s="475" t="str">
        <f t="shared" si="138"/>
        <v/>
      </c>
      <c r="AH220" s="475" t="str">
        <f t="shared" si="139"/>
        <v/>
      </c>
      <c r="AI220" s="475" t="str">
        <f t="shared" si="140"/>
        <v/>
      </c>
      <c r="AJ220" s="475" t="str">
        <f t="shared" si="141"/>
        <v/>
      </c>
      <c r="AK220" s="475" t="str">
        <f t="shared" si="151"/>
        <v/>
      </c>
      <c r="AL220" s="475" t="str">
        <f t="shared" si="152"/>
        <v/>
      </c>
      <c r="AM220" s="475" t="str">
        <f t="shared" si="153"/>
        <v/>
      </c>
      <c r="AN220" s="475" t="str">
        <f t="shared" si="154"/>
        <v/>
      </c>
      <c r="AO220" s="475" t="str">
        <f t="shared" si="155"/>
        <v/>
      </c>
      <c r="AP220" s="475" t="str">
        <f t="shared" si="156"/>
        <v/>
      </c>
      <c r="AQ220" s="475" t="str">
        <f t="shared" si="157"/>
        <v/>
      </c>
      <c r="AR220" s="475" t="str">
        <f t="shared" si="158"/>
        <v/>
      </c>
      <c r="AS220" s="475" t="str">
        <f t="shared" si="159"/>
        <v/>
      </c>
      <c r="AT220" s="475" t="str">
        <f t="shared" si="160"/>
        <v/>
      </c>
      <c r="AU220" s="475" t="str">
        <f t="shared" si="161"/>
        <v/>
      </c>
      <c r="AV220" s="475" t="str">
        <f t="shared" si="142"/>
        <v/>
      </c>
      <c r="AW220" s="473">
        <f t="shared" si="143"/>
        <v>0</v>
      </c>
      <c r="AX220" s="473" t="str">
        <f>IF(AND($Z220="b",OR($AA220="a",$AA220="b"),Inventory!$I227="",$AE220&lt;(65000/12000)),"x",IF(AND($Z220="b",OR($AA220="a",$AA220="b"),Inventory!$I227&lt;&gt;"",$AE220&lt;(65000/12000)),VLOOKUP(Inventory!$I227,$V$4:$W$5,2,FALSE),"x"))</f>
        <v>x</v>
      </c>
      <c r="AY220" s="476" t="str">
        <f t="shared" si="162"/>
        <v>aaa0</v>
      </c>
      <c r="AZ220" s="477" t="str">
        <f t="shared" si="163"/>
        <v>No</v>
      </c>
      <c r="BA220" s="759" t="str">
        <f t="shared" si="164"/>
        <v>No</v>
      </c>
      <c r="BB220" s="477">
        <f>IF($Z220="c",Inventory!$AB227,Inventory!$K227)</f>
        <v>0</v>
      </c>
      <c r="BC220" s="478">
        <f>IF(AND($Z220="b",Inventory!$N227="Btu/hr"),Inventory!$M227,IF(AND($Z220="b",Inventory!$N227="Tons"),Inventory!$M227*12000,IF(AND($Z220&lt;&gt;"b",Inventory!$AK227="Btu/hr"),Inventory!$AD227,IF(AND($Z220&lt;&gt;"b",Inventory!$AK227="Tons"),Inventory!$AD227*12000,0))))</f>
        <v>0</v>
      </c>
      <c r="BD220" s="478">
        <f t="shared" si="136"/>
        <v>0</v>
      </c>
      <c r="BE220" s="479">
        <f t="shared" si="165"/>
        <v>0</v>
      </c>
      <c r="BF220" s="477" t="s">
        <v>50</v>
      </c>
      <c r="BG220" s="479">
        <f t="shared" si="144"/>
        <v>0</v>
      </c>
      <c r="BH220" s="477" t="s">
        <v>46</v>
      </c>
      <c r="BI220" s="760">
        <f>IF(AND($Z220="b",Inventory!$P227="Btu/hr"),Inventory!$O227,IF(AND($Z220="b",Inventory!$P227="Tons"),Inventory!$O227*12000,IF(AND($Z220&lt;&gt;"b",Inventory!$AM227="Btu/hr"),Inventory!$AL227,IF(AND($Z220&lt;&gt;"b",Inventory!$AM227="Tons"),Inventory!$AL227*12000,0))))</f>
        <v>0</v>
      </c>
      <c r="BJ220" s="760">
        <f t="shared" si="137"/>
        <v>0</v>
      </c>
      <c r="BK220" s="598">
        <f t="shared" si="166"/>
        <v>0</v>
      </c>
      <c r="BL220" s="759" t="s">
        <v>567</v>
      </c>
      <c r="BM220" s="477" t="str">
        <f t="shared" si="145"/>
        <v>No</v>
      </c>
      <c r="BN220" s="477" t="str">
        <f>IF(OR(Inventory!$H227="",$BM220="No"),"-",Inventory!$H227)</f>
        <v>-</v>
      </c>
      <c r="BO220" s="477" t="str">
        <f>IFERROR(VLOOKUP(BN220,'Early Retirement'!$B$6:$C$33,2,FALSE),"-")</f>
        <v>-</v>
      </c>
      <c r="BP220" s="477" t="str">
        <f>IF(Inventory!$J227="Centrifugal","Yes","No")</f>
        <v>No</v>
      </c>
      <c r="BQ220" s="477">
        <f t="shared" si="167"/>
        <v>0</v>
      </c>
      <c r="BR220" s="477" t="str">
        <f t="shared" si="168"/>
        <v>-</v>
      </c>
      <c r="BS220" s="479">
        <f>IFERROR(INDEX('Early Retirement'!$C$4:$AC$33,$BO220,$BR220),0)</f>
        <v>0</v>
      </c>
      <c r="BT220" s="477">
        <f>IFERROR(HLOOKUP($BR220,'Early Retirement'!$D$4:$AC$5,2,FALSE),0)</f>
        <v>0</v>
      </c>
      <c r="BU220" s="761">
        <f>IFERROR(INDEX('Early Retirement'!$AE$4:$BE$33,$BO220,$BR220),0)</f>
        <v>0</v>
      </c>
      <c r="BV220" s="759">
        <f>IFERROR(HLOOKUP($BR220,'Early Retirement'!$AF$4:$BE$5,2,FALSE),0)</f>
        <v>0</v>
      </c>
      <c r="BW220" s="479">
        <f t="shared" si="175"/>
        <v>0</v>
      </c>
      <c r="BX220" s="761">
        <f t="shared" si="169"/>
        <v>0</v>
      </c>
      <c r="BY220" s="477" t="s">
        <v>46</v>
      </c>
      <c r="BZ220" s="598">
        <f>IFERROR(INDEX('Early Retirement'!$BG$4:$CG$33,$BO220,$BR220),0)</f>
        <v>0</v>
      </c>
      <c r="CA220" s="759">
        <f>IFERROR(HLOOKUP($BR220,'Early Retirement'!$BH$4:$CH$5,2,FALSE),0)</f>
        <v>0</v>
      </c>
      <c r="CB220" s="598">
        <f t="shared" si="170"/>
        <v>0</v>
      </c>
      <c r="CC220" s="759" t="s">
        <v>567</v>
      </c>
      <c r="CD220" s="477" t="str">
        <f t="shared" si="146"/>
        <v>Yes</v>
      </c>
      <c r="CE220" s="479">
        <f t="shared" si="147"/>
        <v>0</v>
      </c>
      <c r="CF220" s="761">
        <f t="shared" si="148"/>
        <v>0</v>
      </c>
      <c r="CG220" s="759" t="s">
        <v>46</v>
      </c>
      <c r="CH220" s="598">
        <f t="shared" si="171"/>
        <v>0</v>
      </c>
      <c r="CI220" s="759" t="s">
        <v>567</v>
      </c>
      <c r="CJ220" s="480">
        <f t="shared" si="172"/>
        <v>0</v>
      </c>
      <c r="CK220" s="583">
        <f t="shared" si="173"/>
        <v>0</v>
      </c>
      <c r="CL220" s="596" t="s">
        <v>46</v>
      </c>
      <c r="CM220" s="581">
        <f t="shared" si="174"/>
        <v>0</v>
      </c>
      <c r="CN220" s="762" t="s">
        <v>567</v>
      </c>
      <c r="CW220" s="630"/>
      <c r="CX220" s="630"/>
      <c r="CY220" s="630"/>
      <c r="CZ220" s="630"/>
      <c r="DA220" s="630"/>
    </row>
    <row r="221" spans="2:105" s="78" customFormat="1" ht="15" customHeight="1" x14ac:dyDescent="0.25">
      <c r="B221" s="77"/>
      <c r="E221" s="77"/>
      <c r="H221" s="77"/>
      <c r="Y221" s="90">
        <v>219</v>
      </c>
      <c r="Z221" s="559" t="str">
        <f>IF(Inventory!$C228="","",VLOOKUP(Inventory!$C228,$B$3:$C$5,2,FALSE))</f>
        <v/>
      </c>
      <c r="AA221" s="559" t="str">
        <f>IF($Z221="","",IF(AND($Z221="b",Inventory!$G228=""),"",IF(AND($Z221="b",Inventory!$G228&lt;&gt;""),VLOOKUP(Inventory!$G228,$E$3:$F$10,2,FALSE),IF(AND($Z221="a",Inventory!$Z228=""),"",IF(AND($Z221="a",Inventory!$Z228&lt;&gt;""),VLOOKUP(Inventory!$Z228,$E$3:$F$10,2,FALSE),IF(AND($Z221="c",Inventory!$Z228=""),"",IF(AND($Z221="c",Inventory!$Z228&lt;&gt;""),VLOOKUP(Inventory!$Z228,$E$3:$F$10,2,FALSE),"")))))))</f>
        <v/>
      </c>
      <c r="AB221" s="559" t="str">
        <f>IF($Z221="","a",IF(AND($Z221="b",Inventory!$J228=""),"a",IF(AND($Z221="b",Inventory!$J228&lt;&gt;""),VLOOKUP(Inventory!$J228,$H$4:$I$6,2,FALSE),IF(AND($Z221="a",Inventory!$AA228=""),"a",IF(AND($Z221="a",Inventory!$AA228&lt;&gt;""),VLOOKUP(Inventory!$AA228,$H$4:$I$6,2,FALSE),IF(AND($Z221="c",Inventory!$AA228=""),"a",IF(AND($Z221="c",Inventory!$AA228&lt;&gt;""),VLOOKUP(Inventory!$AA228,$H$4:$I$6,2,FALSE),"a")))))))</f>
        <v>a</v>
      </c>
      <c r="AC221" s="559" t="str">
        <f t="shared" si="149"/>
        <v>a</v>
      </c>
      <c r="AD221" s="473" t="str">
        <f>IF($Z221="","a",IF(AND($Z221="b",Inventory!$L228=""),"a",IF(AND($Z221="b",Inventory!$L228&lt;&gt;""),VLOOKUP(Inventory!$L228,$N$4:$O$5,2,FALSE),IF(AND($Z221="a",Inventory!$AC228=""),"a",IF(AND($Z221="a",Inventory!$AC228&lt;&gt;""),VLOOKUP(Inventory!$AC228,$N$4:$O$5,2,FALSE),IF(AND($Z221="c",Inventory!$AC228=""),"a",IF(AND($Z221="c",Inventory!$AC228&lt;&gt;""),VLOOKUP(Inventory!$AC228,$N$4:$O$5,2,FALSE),"a")))))))</f>
        <v>a</v>
      </c>
      <c r="AE221" s="474">
        <f>IF(OR(Inventory!C228="New Construction",Inventory!C228="Replace-on-Burnout"),Inventory!AF228,IF(Inventory!C228="Early Retirement",MIN(Inventory!AE228,Inventory!AF228),0))</f>
        <v>0</v>
      </c>
      <c r="AF221" s="475" t="str">
        <f t="shared" si="150"/>
        <v/>
      </c>
      <c r="AG221" s="475" t="str">
        <f t="shared" si="138"/>
        <v/>
      </c>
      <c r="AH221" s="475" t="str">
        <f t="shared" si="139"/>
        <v/>
      </c>
      <c r="AI221" s="475" t="str">
        <f t="shared" si="140"/>
        <v/>
      </c>
      <c r="AJ221" s="475" t="str">
        <f t="shared" si="141"/>
        <v/>
      </c>
      <c r="AK221" s="475" t="str">
        <f t="shared" si="151"/>
        <v/>
      </c>
      <c r="AL221" s="475" t="str">
        <f t="shared" si="152"/>
        <v/>
      </c>
      <c r="AM221" s="475" t="str">
        <f t="shared" si="153"/>
        <v/>
      </c>
      <c r="AN221" s="475" t="str">
        <f t="shared" si="154"/>
        <v/>
      </c>
      <c r="AO221" s="475" t="str">
        <f t="shared" si="155"/>
        <v/>
      </c>
      <c r="AP221" s="475" t="str">
        <f t="shared" si="156"/>
        <v/>
      </c>
      <c r="AQ221" s="475" t="str">
        <f t="shared" si="157"/>
        <v/>
      </c>
      <c r="AR221" s="475" t="str">
        <f t="shared" si="158"/>
        <v/>
      </c>
      <c r="AS221" s="475" t="str">
        <f t="shared" si="159"/>
        <v/>
      </c>
      <c r="AT221" s="475" t="str">
        <f t="shared" si="160"/>
        <v/>
      </c>
      <c r="AU221" s="475" t="str">
        <f t="shared" si="161"/>
        <v/>
      </c>
      <c r="AV221" s="475" t="str">
        <f t="shared" si="142"/>
        <v/>
      </c>
      <c r="AW221" s="473">
        <f t="shared" si="143"/>
        <v>0</v>
      </c>
      <c r="AX221" s="473" t="str">
        <f>IF(AND($Z221="b",OR($AA221="a",$AA221="b"),Inventory!$I228="",$AE221&lt;(65000/12000)),"x",IF(AND($Z221="b",OR($AA221="a",$AA221="b"),Inventory!$I228&lt;&gt;"",$AE221&lt;(65000/12000)),VLOOKUP(Inventory!$I228,$V$4:$W$5,2,FALSE),"x"))</f>
        <v>x</v>
      </c>
      <c r="AY221" s="476" t="str">
        <f t="shared" si="162"/>
        <v>aaa0</v>
      </c>
      <c r="AZ221" s="477" t="str">
        <f t="shared" si="163"/>
        <v>No</v>
      </c>
      <c r="BA221" s="759" t="str">
        <f t="shared" si="164"/>
        <v>No</v>
      </c>
      <c r="BB221" s="477">
        <f>IF($Z221="c",Inventory!$AB228,Inventory!$K228)</f>
        <v>0</v>
      </c>
      <c r="BC221" s="478">
        <f>IF(AND($Z221="b",Inventory!$N228="Btu/hr"),Inventory!$M228,IF(AND($Z221="b",Inventory!$N228="Tons"),Inventory!$M228*12000,IF(AND($Z221&lt;&gt;"b",Inventory!$AK228="Btu/hr"),Inventory!$AD228,IF(AND($Z221&lt;&gt;"b",Inventory!$AK228="Tons"),Inventory!$AD228*12000,0))))</f>
        <v>0</v>
      </c>
      <c r="BD221" s="478">
        <f t="shared" si="136"/>
        <v>0</v>
      </c>
      <c r="BE221" s="479">
        <f t="shared" si="165"/>
        <v>0</v>
      </c>
      <c r="BF221" s="477" t="s">
        <v>50</v>
      </c>
      <c r="BG221" s="479">
        <f t="shared" si="144"/>
        <v>0</v>
      </c>
      <c r="BH221" s="477" t="s">
        <v>46</v>
      </c>
      <c r="BI221" s="760">
        <f>IF(AND($Z221="b",Inventory!$P228="Btu/hr"),Inventory!$O228,IF(AND($Z221="b",Inventory!$P228="Tons"),Inventory!$O228*12000,IF(AND($Z221&lt;&gt;"b",Inventory!$AM228="Btu/hr"),Inventory!$AL228,IF(AND($Z221&lt;&gt;"b",Inventory!$AM228="Tons"),Inventory!$AL228*12000,0))))</f>
        <v>0</v>
      </c>
      <c r="BJ221" s="760">
        <f t="shared" si="137"/>
        <v>0</v>
      </c>
      <c r="BK221" s="598">
        <f t="shared" si="166"/>
        <v>0</v>
      </c>
      <c r="BL221" s="759" t="s">
        <v>567</v>
      </c>
      <c r="BM221" s="477" t="str">
        <f t="shared" si="145"/>
        <v>No</v>
      </c>
      <c r="BN221" s="477" t="str">
        <f>IF(OR(Inventory!$H228="",$BM221="No"),"-",Inventory!$H228)</f>
        <v>-</v>
      </c>
      <c r="BO221" s="477" t="str">
        <f>IFERROR(VLOOKUP(BN221,'Early Retirement'!$B$6:$C$33,2,FALSE),"-")</f>
        <v>-</v>
      </c>
      <c r="BP221" s="477" t="str">
        <f>IF(Inventory!$J228="Centrifugal","Yes","No")</f>
        <v>No</v>
      </c>
      <c r="BQ221" s="477">
        <f t="shared" si="167"/>
        <v>0</v>
      </c>
      <c r="BR221" s="477" t="str">
        <f t="shared" si="168"/>
        <v>-</v>
      </c>
      <c r="BS221" s="479">
        <f>IFERROR(INDEX('Early Retirement'!$C$4:$AC$33,$BO221,$BR221),0)</f>
        <v>0</v>
      </c>
      <c r="BT221" s="477">
        <f>IFERROR(HLOOKUP($BR221,'Early Retirement'!$D$4:$AC$5,2,FALSE),0)</f>
        <v>0</v>
      </c>
      <c r="BU221" s="761">
        <f>IFERROR(INDEX('Early Retirement'!$AE$4:$BE$33,$BO221,$BR221),0)</f>
        <v>0</v>
      </c>
      <c r="BV221" s="759">
        <f>IFERROR(HLOOKUP($BR221,'Early Retirement'!$AF$4:$BE$5,2,FALSE),0)</f>
        <v>0</v>
      </c>
      <c r="BW221" s="479">
        <f t="shared" si="175"/>
        <v>0</v>
      </c>
      <c r="BX221" s="761">
        <f t="shared" si="169"/>
        <v>0</v>
      </c>
      <c r="BY221" s="477" t="s">
        <v>46</v>
      </c>
      <c r="BZ221" s="598">
        <f>IFERROR(INDEX('Early Retirement'!$BG$4:$CG$33,$BO221,$BR221),0)</f>
        <v>0</v>
      </c>
      <c r="CA221" s="759">
        <f>IFERROR(HLOOKUP($BR221,'Early Retirement'!$BH$4:$CH$5,2,FALSE),0)</f>
        <v>0</v>
      </c>
      <c r="CB221" s="598">
        <f t="shared" si="170"/>
        <v>0</v>
      </c>
      <c r="CC221" s="759" t="s">
        <v>567</v>
      </c>
      <c r="CD221" s="477" t="str">
        <f t="shared" si="146"/>
        <v>Yes</v>
      </c>
      <c r="CE221" s="479">
        <f t="shared" si="147"/>
        <v>0</v>
      </c>
      <c r="CF221" s="761">
        <f t="shared" si="148"/>
        <v>0</v>
      </c>
      <c r="CG221" s="759" t="s">
        <v>46</v>
      </c>
      <c r="CH221" s="598">
        <f t="shared" si="171"/>
        <v>0</v>
      </c>
      <c r="CI221" s="759" t="s">
        <v>567</v>
      </c>
      <c r="CJ221" s="480">
        <f t="shared" si="172"/>
        <v>0</v>
      </c>
      <c r="CK221" s="583">
        <f t="shared" si="173"/>
        <v>0</v>
      </c>
      <c r="CL221" s="596" t="s">
        <v>46</v>
      </c>
      <c r="CM221" s="581">
        <f t="shared" si="174"/>
        <v>0</v>
      </c>
      <c r="CN221" s="762" t="s">
        <v>567</v>
      </c>
      <c r="CW221" s="630"/>
      <c r="CX221" s="630"/>
      <c r="CY221" s="630"/>
      <c r="CZ221" s="630"/>
      <c r="DA221" s="630"/>
    </row>
    <row r="222" spans="2:105" s="78" customFormat="1" ht="15" customHeight="1" x14ac:dyDescent="0.25">
      <c r="B222" s="77"/>
      <c r="E222" s="77"/>
      <c r="H222" s="77"/>
      <c r="Y222" s="90">
        <v>220</v>
      </c>
      <c r="Z222" s="559" t="str">
        <f>IF(Inventory!$C229="","",VLOOKUP(Inventory!$C229,$B$3:$C$5,2,FALSE))</f>
        <v/>
      </c>
      <c r="AA222" s="559" t="str">
        <f>IF($Z222="","",IF(AND($Z222="b",Inventory!$G229=""),"",IF(AND($Z222="b",Inventory!$G229&lt;&gt;""),VLOOKUP(Inventory!$G229,$E$3:$F$10,2,FALSE),IF(AND($Z222="a",Inventory!$Z229=""),"",IF(AND($Z222="a",Inventory!$Z229&lt;&gt;""),VLOOKUP(Inventory!$Z229,$E$3:$F$10,2,FALSE),IF(AND($Z222="c",Inventory!$Z229=""),"",IF(AND($Z222="c",Inventory!$Z229&lt;&gt;""),VLOOKUP(Inventory!$Z229,$E$3:$F$10,2,FALSE),"")))))))</f>
        <v/>
      </c>
      <c r="AB222" s="559" t="str">
        <f>IF($Z222="","a",IF(AND($Z222="b",Inventory!$J229=""),"a",IF(AND($Z222="b",Inventory!$J229&lt;&gt;""),VLOOKUP(Inventory!$J229,$H$4:$I$6,2,FALSE),IF(AND($Z222="a",Inventory!$AA229=""),"a",IF(AND($Z222="a",Inventory!$AA229&lt;&gt;""),VLOOKUP(Inventory!$AA229,$H$4:$I$6,2,FALSE),IF(AND($Z222="c",Inventory!$AA229=""),"a",IF(AND($Z222="c",Inventory!$AA229&lt;&gt;""),VLOOKUP(Inventory!$AA229,$H$4:$I$6,2,FALSE),"a")))))))</f>
        <v>a</v>
      </c>
      <c r="AC222" s="559" t="str">
        <f t="shared" si="149"/>
        <v>a</v>
      </c>
      <c r="AD222" s="473" t="str">
        <f>IF($Z222="","a",IF(AND($Z222="b",Inventory!$L229=""),"a",IF(AND($Z222="b",Inventory!$L229&lt;&gt;""),VLOOKUP(Inventory!$L229,$N$4:$O$5,2,FALSE),IF(AND($Z222="a",Inventory!$AC229=""),"a",IF(AND($Z222="a",Inventory!$AC229&lt;&gt;""),VLOOKUP(Inventory!$AC229,$N$4:$O$5,2,FALSE),IF(AND($Z222="c",Inventory!$AC229=""),"a",IF(AND($Z222="c",Inventory!$AC229&lt;&gt;""),VLOOKUP(Inventory!$AC229,$N$4:$O$5,2,FALSE),"a")))))))</f>
        <v>a</v>
      </c>
      <c r="AE222" s="474">
        <f>IF(OR(Inventory!C229="New Construction",Inventory!C229="Replace-on-Burnout"),Inventory!AF229,IF(Inventory!C229="Early Retirement",MIN(Inventory!AE229,Inventory!AF229),0))</f>
        <v>0</v>
      </c>
      <c r="AF222" s="475" t="str">
        <f t="shared" si="150"/>
        <v/>
      </c>
      <c r="AG222" s="475" t="str">
        <f t="shared" si="138"/>
        <v/>
      </c>
      <c r="AH222" s="475" t="str">
        <f t="shared" si="139"/>
        <v/>
      </c>
      <c r="AI222" s="475" t="str">
        <f t="shared" si="140"/>
        <v/>
      </c>
      <c r="AJ222" s="475" t="str">
        <f t="shared" si="141"/>
        <v/>
      </c>
      <c r="AK222" s="475" t="str">
        <f t="shared" si="151"/>
        <v/>
      </c>
      <c r="AL222" s="475" t="str">
        <f t="shared" si="152"/>
        <v/>
      </c>
      <c r="AM222" s="475" t="str">
        <f t="shared" si="153"/>
        <v/>
      </c>
      <c r="AN222" s="475" t="str">
        <f t="shared" si="154"/>
        <v/>
      </c>
      <c r="AO222" s="475" t="str">
        <f t="shared" si="155"/>
        <v/>
      </c>
      <c r="AP222" s="475" t="str">
        <f t="shared" si="156"/>
        <v/>
      </c>
      <c r="AQ222" s="475" t="str">
        <f t="shared" si="157"/>
        <v/>
      </c>
      <c r="AR222" s="475" t="str">
        <f t="shared" si="158"/>
        <v/>
      </c>
      <c r="AS222" s="475" t="str">
        <f t="shared" si="159"/>
        <v/>
      </c>
      <c r="AT222" s="475" t="str">
        <f t="shared" si="160"/>
        <v/>
      </c>
      <c r="AU222" s="475" t="str">
        <f t="shared" si="161"/>
        <v/>
      </c>
      <c r="AV222" s="475" t="str">
        <f t="shared" si="142"/>
        <v/>
      </c>
      <c r="AW222" s="473">
        <f t="shared" si="143"/>
        <v>0</v>
      </c>
      <c r="AX222" s="473" t="str">
        <f>IF(AND($Z222="b",OR($AA222="a",$AA222="b"),Inventory!$I229="",$AE222&lt;(65000/12000)),"x",IF(AND($Z222="b",OR($AA222="a",$AA222="b"),Inventory!$I229&lt;&gt;"",$AE222&lt;(65000/12000)),VLOOKUP(Inventory!$I229,$V$4:$W$5,2,FALSE),"x"))</f>
        <v>x</v>
      </c>
      <c r="AY222" s="476" t="str">
        <f t="shared" si="162"/>
        <v>aaa0</v>
      </c>
      <c r="AZ222" s="477" t="str">
        <f t="shared" si="163"/>
        <v>No</v>
      </c>
      <c r="BA222" s="759" t="str">
        <f t="shared" si="164"/>
        <v>No</v>
      </c>
      <c r="BB222" s="477">
        <f>IF($Z222="c",Inventory!$AB229,Inventory!$K229)</f>
        <v>0</v>
      </c>
      <c r="BC222" s="478">
        <f>IF(AND($Z222="b",Inventory!$N229="Btu/hr"),Inventory!$M229,IF(AND($Z222="b",Inventory!$N229="Tons"),Inventory!$M229*12000,IF(AND($Z222&lt;&gt;"b",Inventory!$AK229="Btu/hr"),Inventory!$AD229,IF(AND($Z222&lt;&gt;"b",Inventory!$AK229="Tons"),Inventory!$AD229*12000,0))))</f>
        <v>0</v>
      </c>
      <c r="BD222" s="478">
        <f t="shared" si="136"/>
        <v>0</v>
      </c>
      <c r="BE222" s="479">
        <f t="shared" si="165"/>
        <v>0</v>
      </c>
      <c r="BF222" s="477" t="s">
        <v>50</v>
      </c>
      <c r="BG222" s="479">
        <f t="shared" si="144"/>
        <v>0</v>
      </c>
      <c r="BH222" s="477" t="s">
        <v>46</v>
      </c>
      <c r="BI222" s="760">
        <f>IF(AND($Z222="b",Inventory!$P229="Btu/hr"),Inventory!$O229,IF(AND($Z222="b",Inventory!$P229="Tons"),Inventory!$O229*12000,IF(AND($Z222&lt;&gt;"b",Inventory!$AM229="Btu/hr"),Inventory!$AL229,IF(AND($Z222&lt;&gt;"b",Inventory!$AM229="Tons"),Inventory!$AL229*12000,0))))</f>
        <v>0</v>
      </c>
      <c r="BJ222" s="760">
        <f t="shared" si="137"/>
        <v>0</v>
      </c>
      <c r="BK222" s="598">
        <f t="shared" si="166"/>
        <v>0</v>
      </c>
      <c r="BL222" s="759" t="s">
        <v>567</v>
      </c>
      <c r="BM222" s="477" t="str">
        <f t="shared" si="145"/>
        <v>No</v>
      </c>
      <c r="BN222" s="477" t="str">
        <f>IF(OR(Inventory!$H229="",$BM222="No"),"-",Inventory!$H229)</f>
        <v>-</v>
      </c>
      <c r="BO222" s="477" t="str">
        <f>IFERROR(VLOOKUP(BN222,'Early Retirement'!$B$6:$C$33,2,FALSE),"-")</f>
        <v>-</v>
      </c>
      <c r="BP222" s="477" t="str">
        <f>IF(Inventory!$J229="Centrifugal","Yes","No")</f>
        <v>No</v>
      </c>
      <c r="BQ222" s="477">
        <f t="shared" si="167"/>
        <v>0</v>
      </c>
      <c r="BR222" s="477" t="str">
        <f t="shared" si="168"/>
        <v>-</v>
      </c>
      <c r="BS222" s="479">
        <f>IFERROR(INDEX('Early Retirement'!$C$4:$AC$33,$BO222,$BR222),0)</f>
        <v>0</v>
      </c>
      <c r="BT222" s="477">
        <f>IFERROR(HLOOKUP($BR222,'Early Retirement'!$D$4:$AC$5,2,FALSE),0)</f>
        <v>0</v>
      </c>
      <c r="BU222" s="761">
        <f>IFERROR(INDEX('Early Retirement'!$AE$4:$BE$33,$BO222,$BR222),0)</f>
        <v>0</v>
      </c>
      <c r="BV222" s="759">
        <f>IFERROR(HLOOKUP($BR222,'Early Retirement'!$AF$4:$BE$5,2,FALSE),0)</f>
        <v>0</v>
      </c>
      <c r="BW222" s="479">
        <f t="shared" si="175"/>
        <v>0</v>
      </c>
      <c r="BX222" s="761">
        <f t="shared" si="169"/>
        <v>0</v>
      </c>
      <c r="BY222" s="477" t="s">
        <v>46</v>
      </c>
      <c r="BZ222" s="598">
        <f>IFERROR(INDEX('Early Retirement'!$BG$4:$CG$33,$BO222,$BR222),0)</f>
        <v>0</v>
      </c>
      <c r="CA222" s="759">
        <f>IFERROR(HLOOKUP($BR222,'Early Retirement'!$BH$4:$CH$5,2,FALSE),0)</f>
        <v>0</v>
      </c>
      <c r="CB222" s="598">
        <f t="shared" si="170"/>
        <v>0</v>
      </c>
      <c r="CC222" s="759" t="s">
        <v>567</v>
      </c>
      <c r="CD222" s="477" t="str">
        <f t="shared" si="146"/>
        <v>Yes</v>
      </c>
      <c r="CE222" s="479">
        <f t="shared" si="147"/>
        <v>0</v>
      </c>
      <c r="CF222" s="761">
        <f t="shared" si="148"/>
        <v>0</v>
      </c>
      <c r="CG222" s="759" t="s">
        <v>46</v>
      </c>
      <c r="CH222" s="598">
        <f t="shared" si="171"/>
        <v>0</v>
      </c>
      <c r="CI222" s="759" t="s">
        <v>567</v>
      </c>
      <c r="CJ222" s="480">
        <f t="shared" si="172"/>
        <v>0</v>
      </c>
      <c r="CK222" s="583">
        <f t="shared" si="173"/>
        <v>0</v>
      </c>
      <c r="CL222" s="596" t="s">
        <v>46</v>
      </c>
      <c r="CM222" s="581">
        <f t="shared" si="174"/>
        <v>0</v>
      </c>
      <c r="CN222" s="762" t="s">
        <v>567</v>
      </c>
      <c r="CW222" s="630"/>
      <c r="CX222" s="630"/>
      <c r="CY222" s="630"/>
      <c r="CZ222" s="630"/>
      <c r="DA222" s="630"/>
    </row>
    <row r="223" spans="2:105" s="78" customFormat="1" ht="15" customHeight="1" x14ac:dyDescent="0.25">
      <c r="B223" s="77"/>
      <c r="E223" s="77"/>
      <c r="H223" s="77"/>
      <c r="Y223" s="90">
        <v>221</v>
      </c>
      <c r="Z223" s="559" t="str">
        <f>IF(Inventory!$C230="","",VLOOKUP(Inventory!$C230,$B$3:$C$5,2,FALSE))</f>
        <v/>
      </c>
      <c r="AA223" s="559" t="str">
        <f>IF($Z223="","",IF(AND($Z223="b",Inventory!$G230=""),"",IF(AND($Z223="b",Inventory!$G230&lt;&gt;""),VLOOKUP(Inventory!$G230,$E$3:$F$10,2,FALSE),IF(AND($Z223="a",Inventory!$Z230=""),"",IF(AND($Z223="a",Inventory!$Z230&lt;&gt;""),VLOOKUP(Inventory!$Z230,$E$3:$F$10,2,FALSE),IF(AND($Z223="c",Inventory!$Z230=""),"",IF(AND($Z223="c",Inventory!$Z230&lt;&gt;""),VLOOKUP(Inventory!$Z230,$E$3:$F$10,2,FALSE),"")))))))</f>
        <v/>
      </c>
      <c r="AB223" s="559" t="str">
        <f>IF($Z223="","a",IF(AND($Z223="b",Inventory!$J230=""),"a",IF(AND($Z223="b",Inventory!$J230&lt;&gt;""),VLOOKUP(Inventory!$J230,$H$4:$I$6,2,FALSE),IF(AND($Z223="a",Inventory!$AA230=""),"a",IF(AND($Z223="a",Inventory!$AA230&lt;&gt;""),VLOOKUP(Inventory!$AA230,$H$4:$I$6,2,FALSE),IF(AND($Z223="c",Inventory!$AA230=""),"a",IF(AND($Z223="c",Inventory!$AA230&lt;&gt;""),VLOOKUP(Inventory!$AA230,$H$4:$I$6,2,FALSE),"a")))))))</f>
        <v>a</v>
      </c>
      <c r="AC223" s="559" t="str">
        <f t="shared" si="149"/>
        <v>a</v>
      </c>
      <c r="AD223" s="473" t="str">
        <f>IF($Z223="","a",IF(AND($Z223="b",Inventory!$L230=""),"a",IF(AND($Z223="b",Inventory!$L230&lt;&gt;""),VLOOKUP(Inventory!$L230,$N$4:$O$5,2,FALSE),IF(AND($Z223="a",Inventory!$AC230=""),"a",IF(AND($Z223="a",Inventory!$AC230&lt;&gt;""),VLOOKUP(Inventory!$AC230,$N$4:$O$5,2,FALSE),IF(AND($Z223="c",Inventory!$AC230=""),"a",IF(AND($Z223="c",Inventory!$AC230&lt;&gt;""),VLOOKUP(Inventory!$AC230,$N$4:$O$5,2,FALSE),"a")))))))</f>
        <v>a</v>
      </c>
      <c r="AE223" s="474">
        <f>IF(OR(Inventory!C230="New Construction",Inventory!C230="Replace-on-Burnout"),Inventory!AF230,IF(Inventory!C230="Early Retirement",MIN(Inventory!AE230,Inventory!AF230),0))</f>
        <v>0</v>
      </c>
      <c r="AF223" s="475" t="str">
        <f t="shared" si="150"/>
        <v/>
      </c>
      <c r="AG223" s="475" t="str">
        <f t="shared" si="138"/>
        <v/>
      </c>
      <c r="AH223" s="475" t="str">
        <f t="shared" si="139"/>
        <v/>
      </c>
      <c r="AI223" s="475" t="str">
        <f t="shared" si="140"/>
        <v/>
      </c>
      <c r="AJ223" s="475" t="str">
        <f t="shared" si="141"/>
        <v/>
      </c>
      <c r="AK223" s="475" t="str">
        <f t="shared" si="151"/>
        <v/>
      </c>
      <c r="AL223" s="475" t="str">
        <f t="shared" si="152"/>
        <v/>
      </c>
      <c r="AM223" s="475" t="str">
        <f t="shared" si="153"/>
        <v/>
      </c>
      <c r="AN223" s="475" t="str">
        <f t="shared" si="154"/>
        <v/>
      </c>
      <c r="AO223" s="475" t="str">
        <f t="shared" si="155"/>
        <v/>
      </c>
      <c r="AP223" s="475" t="str">
        <f t="shared" si="156"/>
        <v/>
      </c>
      <c r="AQ223" s="475" t="str">
        <f t="shared" si="157"/>
        <v/>
      </c>
      <c r="AR223" s="475" t="str">
        <f t="shared" si="158"/>
        <v/>
      </c>
      <c r="AS223" s="475" t="str">
        <f t="shared" si="159"/>
        <v/>
      </c>
      <c r="AT223" s="475" t="str">
        <f t="shared" si="160"/>
        <v/>
      </c>
      <c r="AU223" s="475" t="str">
        <f t="shared" si="161"/>
        <v/>
      </c>
      <c r="AV223" s="475" t="str">
        <f t="shared" si="142"/>
        <v/>
      </c>
      <c r="AW223" s="473">
        <f t="shared" si="143"/>
        <v>0</v>
      </c>
      <c r="AX223" s="473" t="str">
        <f>IF(AND($Z223="b",OR($AA223="a",$AA223="b"),Inventory!$I230="",$AE223&lt;(65000/12000)),"x",IF(AND($Z223="b",OR($AA223="a",$AA223="b"),Inventory!$I230&lt;&gt;"",$AE223&lt;(65000/12000)),VLOOKUP(Inventory!$I230,$V$4:$W$5,2,FALSE),"x"))</f>
        <v>x</v>
      </c>
      <c r="AY223" s="476" t="str">
        <f t="shared" si="162"/>
        <v>aaa0</v>
      </c>
      <c r="AZ223" s="477" t="str">
        <f t="shared" si="163"/>
        <v>No</v>
      </c>
      <c r="BA223" s="759" t="str">
        <f t="shared" si="164"/>
        <v>No</v>
      </c>
      <c r="BB223" s="477">
        <f>IF($Z223="c",Inventory!$AB230,Inventory!$K230)</f>
        <v>0</v>
      </c>
      <c r="BC223" s="478">
        <f>IF(AND($Z223="b",Inventory!$N230="Btu/hr"),Inventory!$M230,IF(AND($Z223="b",Inventory!$N230="Tons"),Inventory!$M230*12000,IF(AND($Z223&lt;&gt;"b",Inventory!$AK230="Btu/hr"),Inventory!$AD230,IF(AND($Z223&lt;&gt;"b",Inventory!$AK230="Tons"),Inventory!$AD230*12000,0))))</f>
        <v>0</v>
      </c>
      <c r="BD223" s="478">
        <f t="shared" si="136"/>
        <v>0</v>
      </c>
      <c r="BE223" s="479">
        <f t="shared" si="165"/>
        <v>0</v>
      </c>
      <c r="BF223" s="477" t="s">
        <v>50</v>
      </c>
      <c r="BG223" s="479">
        <f t="shared" si="144"/>
        <v>0</v>
      </c>
      <c r="BH223" s="477" t="s">
        <v>46</v>
      </c>
      <c r="BI223" s="760">
        <f>IF(AND($Z223="b",Inventory!$P230="Btu/hr"),Inventory!$O230,IF(AND($Z223="b",Inventory!$P230="Tons"),Inventory!$O230*12000,IF(AND($Z223&lt;&gt;"b",Inventory!$AM230="Btu/hr"),Inventory!$AL230,IF(AND($Z223&lt;&gt;"b",Inventory!$AM230="Tons"),Inventory!$AL230*12000,0))))</f>
        <v>0</v>
      </c>
      <c r="BJ223" s="760">
        <f t="shared" si="137"/>
        <v>0</v>
      </c>
      <c r="BK223" s="598">
        <f t="shared" si="166"/>
        <v>0</v>
      </c>
      <c r="BL223" s="759" t="s">
        <v>567</v>
      </c>
      <c r="BM223" s="477" t="str">
        <f t="shared" si="145"/>
        <v>No</v>
      </c>
      <c r="BN223" s="477" t="str">
        <f>IF(OR(Inventory!$H230="",$BM223="No"),"-",Inventory!$H230)</f>
        <v>-</v>
      </c>
      <c r="BO223" s="477" t="str">
        <f>IFERROR(VLOOKUP(BN223,'Early Retirement'!$B$6:$C$33,2,FALSE),"-")</f>
        <v>-</v>
      </c>
      <c r="BP223" s="477" t="str">
        <f>IF(Inventory!$J230="Centrifugal","Yes","No")</f>
        <v>No</v>
      </c>
      <c r="BQ223" s="477">
        <f t="shared" si="167"/>
        <v>0</v>
      </c>
      <c r="BR223" s="477" t="str">
        <f t="shared" si="168"/>
        <v>-</v>
      </c>
      <c r="BS223" s="479">
        <f>IFERROR(INDEX('Early Retirement'!$C$4:$AC$33,$BO223,$BR223),0)</f>
        <v>0</v>
      </c>
      <c r="BT223" s="477">
        <f>IFERROR(HLOOKUP($BR223,'Early Retirement'!$D$4:$AC$5,2,FALSE),0)</f>
        <v>0</v>
      </c>
      <c r="BU223" s="761">
        <f>IFERROR(INDEX('Early Retirement'!$AE$4:$BE$33,$BO223,$BR223),0)</f>
        <v>0</v>
      </c>
      <c r="BV223" s="759">
        <f>IFERROR(HLOOKUP($BR223,'Early Retirement'!$AF$4:$BE$5,2,FALSE),0)</f>
        <v>0</v>
      </c>
      <c r="BW223" s="479">
        <f t="shared" si="175"/>
        <v>0</v>
      </c>
      <c r="BX223" s="761">
        <f t="shared" si="169"/>
        <v>0</v>
      </c>
      <c r="BY223" s="477" t="s">
        <v>46</v>
      </c>
      <c r="BZ223" s="598">
        <f>IFERROR(INDEX('Early Retirement'!$BG$4:$CG$33,$BO223,$BR223),0)</f>
        <v>0</v>
      </c>
      <c r="CA223" s="759">
        <f>IFERROR(HLOOKUP($BR223,'Early Retirement'!$BH$4:$CH$5,2,FALSE),0)</f>
        <v>0</v>
      </c>
      <c r="CB223" s="598">
        <f t="shared" si="170"/>
        <v>0</v>
      </c>
      <c r="CC223" s="759" t="s">
        <v>567</v>
      </c>
      <c r="CD223" s="477" t="str">
        <f t="shared" si="146"/>
        <v>Yes</v>
      </c>
      <c r="CE223" s="479">
        <f t="shared" si="147"/>
        <v>0</v>
      </c>
      <c r="CF223" s="761">
        <f t="shared" si="148"/>
        <v>0</v>
      </c>
      <c r="CG223" s="759" t="s">
        <v>46</v>
      </c>
      <c r="CH223" s="598">
        <f t="shared" si="171"/>
        <v>0</v>
      </c>
      <c r="CI223" s="759" t="s">
        <v>567</v>
      </c>
      <c r="CJ223" s="480">
        <f t="shared" si="172"/>
        <v>0</v>
      </c>
      <c r="CK223" s="583">
        <f t="shared" si="173"/>
        <v>0</v>
      </c>
      <c r="CL223" s="596" t="s">
        <v>46</v>
      </c>
      <c r="CM223" s="581">
        <f t="shared" si="174"/>
        <v>0</v>
      </c>
      <c r="CN223" s="762" t="s">
        <v>567</v>
      </c>
      <c r="CW223" s="630"/>
      <c r="CX223" s="630"/>
      <c r="CY223" s="630"/>
      <c r="CZ223" s="630"/>
      <c r="DA223" s="630"/>
    </row>
    <row r="224" spans="2:105" s="78" customFormat="1" ht="15" customHeight="1" x14ac:dyDescent="0.25">
      <c r="B224" s="77"/>
      <c r="E224" s="77"/>
      <c r="H224" s="77"/>
      <c r="Y224" s="90">
        <v>222</v>
      </c>
      <c r="Z224" s="559" t="str">
        <f>IF(Inventory!$C231="","",VLOOKUP(Inventory!$C231,$B$3:$C$5,2,FALSE))</f>
        <v/>
      </c>
      <c r="AA224" s="559" t="str">
        <f>IF($Z224="","",IF(AND($Z224="b",Inventory!$G231=""),"",IF(AND($Z224="b",Inventory!$G231&lt;&gt;""),VLOOKUP(Inventory!$G231,$E$3:$F$10,2,FALSE),IF(AND($Z224="a",Inventory!$Z231=""),"",IF(AND($Z224="a",Inventory!$Z231&lt;&gt;""),VLOOKUP(Inventory!$Z231,$E$3:$F$10,2,FALSE),IF(AND($Z224="c",Inventory!$Z231=""),"",IF(AND($Z224="c",Inventory!$Z231&lt;&gt;""),VLOOKUP(Inventory!$Z231,$E$3:$F$10,2,FALSE),"")))))))</f>
        <v/>
      </c>
      <c r="AB224" s="559" t="str">
        <f>IF($Z224="","a",IF(AND($Z224="b",Inventory!$J231=""),"a",IF(AND($Z224="b",Inventory!$J231&lt;&gt;""),VLOOKUP(Inventory!$J231,$H$4:$I$6,2,FALSE),IF(AND($Z224="a",Inventory!$AA231=""),"a",IF(AND($Z224="a",Inventory!$AA231&lt;&gt;""),VLOOKUP(Inventory!$AA231,$H$4:$I$6,2,FALSE),IF(AND($Z224="c",Inventory!$AA231=""),"a",IF(AND($Z224="c",Inventory!$AA231&lt;&gt;""),VLOOKUP(Inventory!$AA231,$H$4:$I$6,2,FALSE),"a")))))))</f>
        <v>a</v>
      </c>
      <c r="AC224" s="559" t="str">
        <f t="shared" si="149"/>
        <v>a</v>
      </c>
      <c r="AD224" s="473" t="str">
        <f>IF($Z224="","a",IF(AND($Z224="b",Inventory!$L231=""),"a",IF(AND($Z224="b",Inventory!$L231&lt;&gt;""),VLOOKUP(Inventory!$L231,$N$4:$O$5,2,FALSE),IF(AND($Z224="a",Inventory!$AC231=""),"a",IF(AND($Z224="a",Inventory!$AC231&lt;&gt;""),VLOOKUP(Inventory!$AC231,$N$4:$O$5,2,FALSE),IF(AND($Z224="c",Inventory!$AC231=""),"a",IF(AND($Z224="c",Inventory!$AC231&lt;&gt;""),VLOOKUP(Inventory!$AC231,$N$4:$O$5,2,FALSE),"a")))))))</f>
        <v>a</v>
      </c>
      <c r="AE224" s="474">
        <f>IF(OR(Inventory!C231="New Construction",Inventory!C231="Replace-on-Burnout"),Inventory!AF231,IF(Inventory!C231="Early Retirement",MIN(Inventory!AE231,Inventory!AF231),0))</f>
        <v>0</v>
      </c>
      <c r="AF224" s="475" t="str">
        <f t="shared" si="150"/>
        <v/>
      </c>
      <c r="AG224" s="475" t="str">
        <f t="shared" si="138"/>
        <v/>
      </c>
      <c r="AH224" s="475" t="str">
        <f t="shared" si="139"/>
        <v/>
      </c>
      <c r="AI224" s="475" t="str">
        <f t="shared" si="140"/>
        <v/>
      </c>
      <c r="AJ224" s="475" t="str">
        <f t="shared" si="141"/>
        <v/>
      </c>
      <c r="AK224" s="475" t="str">
        <f t="shared" si="151"/>
        <v/>
      </c>
      <c r="AL224" s="475" t="str">
        <f t="shared" si="152"/>
        <v/>
      </c>
      <c r="AM224" s="475" t="str">
        <f t="shared" si="153"/>
        <v/>
      </c>
      <c r="AN224" s="475" t="str">
        <f t="shared" si="154"/>
        <v/>
      </c>
      <c r="AO224" s="475" t="str">
        <f t="shared" si="155"/>
        <v/>
      </c>
      <c r="AP224" s="475" t="str">
        <f t="shared" si="156"/>
        <v/>
      </c>
      <c r="AQ224" s="475" t="str">
        <f t="shared" si="157"/>
        <v/>
      </c>
      <c r="AR224" s="475" t="str">
        <f t="shared" si="158"/>
        <v/>
      </c>
      <c r="AS224" s="475" t="str">
        <f t="shared" si="159"/>
        <v/>
      </c>
      <c r="AT224" s="475" t="str">
        <f t="shared" si="160"/>
        <v/>
      </c>
      <c r="AU224" s="475" t="str">
        <f t="shared" si="161"/>
        <v/>
      </c>
      <c r="AV224" s="475" t="str">
        <f t="shared" si="142"/>
        <v/>
      </c>
      <c r="AW224" s="473">
        <f t="shared" si="143"/>
        <v>0</v>
      </c>
      <c r="AX224" s="473" t="str">
        <f>IF(AND($Z224="b",OR($AA224="a",$AA224="b"),Inventory!$I231="",$AE224&lt;(65000/12000)),"x",IF(AND($Z224="b",OR($AA224="a",$AA224="b"),Inventory!$I231&lt;&gt;"",$AE224&lt;(65000/12000)),VLOOKUP(Inventory!$I231,$V$4:$W$5,2,FALSE),"x"))</f>
        <v>x</v>
      </c>
      <c r="AY224" s="476" t="str">
        <f t="shared" si="162"/>
        <v>aaa0</v>
      </c>
      <c r="AZ224" s="477" t="str">
        <f t="shared" si="163"/>
        <v>No</v>
      </c>
      <c r="BA224" s="759" t="str">
        <f t="shared" si="164"/>
        <v>No</v>
      </c>
      <c r="BB224" s="477">
        <f>IF($Z224="c",Inventory!$AB231,Inventory!$K231)</f>
        <v>0</v>
      </c>
      <c r="BC224" s="478">
        <f>IF(AND($Z224="b",Inventory!$N231="Btu/hr"),Inventory!$M231,IF(AND($Z224="b",Inventory!$N231="Tons"),Inventory!$M231*12000,IF(AND($Z224&lt;&gt;"b",Inventory!$AK231="Btu/hr"),Inventory!$AD231,IF(AND($Z224&lt;&gt;"b",Inventory!$AK231="Tons"),Inventory!$AD231*12000,0))))</f>
        <v>0</v>
      </c>
      <c r="BD224" s="478">
        <f t="shared" si="136"/>
        <v>0</v>
      </c>
      <c r="BE224" s="479">
        <f t="shared" si="165"/>
        <v>0</v>
      </c>
      <c r="BF224" s="477" t="s">
        <v>50</v>
      </c>
      <c r="BG224" s="479">
        <f t="shared" si="144"/>
        <v>0</v>
      </c>
      <c r="BH224" s="477" t="s">
        <v>46</v>
      </c>
      <c r="BI224" s="760">
        <f>IF(AND($Z224="b",Inventory!$P231="Btu/hr"),Inventory!$O231,IF(AND($Z224="b",Inventory!$P231="Tons"),Inventory!$O231*12000,IF(AND($Z224&lt;&gt;"b",Inventory!$AM231="Btu/hr"),Inventory!$AL231,IF(AND($Z224&lt;&gt;"b",Inventory!$AM231="Tons"),Inventory!$AL231*12000,0))))</f>
        <v>0</v>
      </c>
      <c r="BJ224" s="760">
        <f t="shared" si="137"/>
        <v>0</v>
      </c>
      <c r="BK224" s="598">
        <f t="shared" si="166"/>
        <v>0</v>
      </c>
      <c r="BL224" s="759" t="s">
        <v>567</v>
      </c>
      <c r="BM224" s="477" t="str">
        <f t="shared" si="145"/>
        <v>No</v>
      </c>
      <c r="BN224" s="477" t="str">
        <f>IF(OR(Inventory!$H231="",$BM224="No"),"-",Inventory!$H231)</f>
        <v>-</v>
      </c>
      <c r="BO224" s="477" t="str">
        <f>IFERROR(VLOOKUP(BN224,'Early Retirement'!$B$6:$C$33,2,FALSE),"-")</f>
        <v>-</v>
      </c>
      <c r="BP224" s="477" t="str">
        <f>IF(Inventory!$J231="Centrifugal","Yes","No")</f>
        <v>No</v>
      </c>
      <c r="BQ224" s="477">
        <f t="shared" si="167"/>
        <v>0</v>
      </c>
      <c r="BR224" s="477" t="str">
        <f t="shared" si="168"/>
        <v>-</v>
      </c>
      <c r="BS224" s="479">
        <f>IFERROR(INDEX('Early Retirement'!$C$4:$AC$33,$BO224,$BR224),0)</f>
        <v>0</v>
      </c>
      <c r="BT224" s="477">
        <f>IFERROR(HLOOKUP($BR224,'Early Retirement'!$D$4:$AC$5,2,FALSE),0)</f>
        <v>0</v>
      </c>
      <c r="BU224" s="761">
        <f>IFERROR(INDEX('Early Retirement'!$AE$4:$BE$33,$BO224,$BR224),0)</f>
        <v>0</v>
      </c>
      <c r="BV224" s="759">
        <f>IFERROR(HLOOKUP($BR224,'Early Retirement'!$AF$4:$BE$5,2,FALSE),0)</f>
        <v>0</v>
      </c>
      <c r="BW224" s="479">
        <f t="shared" si="175"/>
        <v>0</v>
      </c>
      <c r="BX224" s="761">
        <f t="shared" si="169"/>
        <v>0</v>
      </c>
      <c r="BY224" s="477" t="s">
        <v>46</v>
      </c>
      <c r="BZ224" s="598">
        <f>IFERROR(INDEX('Early Retirement'!$BG$4:$CG$33,$BO224,$BR224),0)</f>
        <v>0</v>
      </c>
      <c r="CA224" s="759">
        <f>IFERROR(HLOOKUP($BR224,'Early Retirement'!$BH$4:$CH$5,2,FALSE),0)</f>
        <v>0</v>
      </c>
      <c r="CB224" s="598">
        <f t="shared" si="170"/>
        <v>0</v>
      </c>
      <c r="CC224" s="759" t="s">
        <v>567</v>
      </c>
      <c r="CD224" s="477" t="str">
        <f t="shared" si="146"/>
        <v>Yes</v>
      </c>
      <c r="CE224" s="479">
        <f t="shared" si="147"/>
        <v>0</v>
      </c>
      <c r="CF224" s="761">
        <f t="shared" si="148"/>
        <v>0</v>
      </c>
      <c r="CG224" s="759" t="s">
        <v>46</v>
      </c>
      <c r="CH224" s="598">
        <f t="shared" si="171"/>
        <v>0</v>
      </c>
      <c r="CI224" s="759" t="s">
        <v>567</v>
      </c>
      <c r="CJ224" s="480">
        <f t="shared" si="172"/>
        <v>0</v>
      </c>
      <c r="CK224" s="583">
        <f t="shared" si="173"/>
        <v>0</v>
      </c>
      <c r="CL224" s="596" t="s">
        <v>46</v>
      </c>
      <c r="CM224" s="581">
        <f t="shared" si="174"/>
        <v>0</v>
      </c>
      <c r="CN224" s="762" t="s">
        <v>567</v>
      </c>
      <c r="CW224" s="630"/>
      <c r="CX224" s="630"/>
      <c r="CY224" s="630"/>
      <c r="CZ224" s="630"/>
      <c r="DA224" s="630"/>
    </row>
    <row r="225" spans="2:105" s="78" customFormat="1" ht="15" customHeight="1" x14ac:dyDescent="0.25">
      <c r="B225" s="77"/>
      <c r="E225" s="77"/>
      <c r="H225" s="77"/>
      <c r="Y225" s="90">
        <v>223</v>
      </c>
      <c r="Z225" s="559" t="str">
        <f>IF(Inventory!$C232="","",VLOOKUP(Inventory!$C232,$B$3:$C$5,2,FALSE))</f>
        <v/>
      </c>
      <c r="AA225" s="559" t="str">
        <f>IF($Z225="","",IF(AND($Z225="b",Inventory!$G232=""),"",IF(AND($Z225="b",Inventory!$G232&lt;&gt;""),VLOOKUP(Inventory!$G232,$E$3:$F$10,2,FALSE),IF(AND($Z225="a",Inventory!$Z232=""),"",IF(AND($Z225="a",Inventory!$Z232&lt;&gt;""),VLOOKUP(Inventory!$Z232,$E$3:$F$10,2,FALSE),IF(AND($Z225="c",Inventory!$Z232=""),"",IF(AND($Z225="c",Inventory!$Z232&lt;&gt;""),VLOOKUP(Inventory!$Z232,$E$3:$F$10,2,FALSE),"")))))))</f>
        <v/>
      </c>
      <c r="AB225" s="559" t="str">
        <f>IF($Z225="","a",IF(AND($Z225="b",Inventory!$J232=""),"a",IF(AND($Z225="b",Inventory!$J232&lt;&gt;""),VLOOKUP(Inventory!$J232,$H$4:$I$6,2,FALSE),IF(AND($Z225="a",Inventory!$AA232=""),"a",IF(AND($Z225="a",Inventory!$AA232&lt;&gt;""),VLOOKUP(Inventory!$AA232,$H$4:$I$6,2,FALSE),IF(AND($Z225="c",Inventory!$AA232=""),"a",IF(AND($Z225="c",Inventory!$AA232&lt;&gt;""),VLOOKUP(Inventory!$AA232,$H$4:$I$6,2,FALSE),"a")))))))</f>
        <v>a</v>
      </c>
      <c r="AC225" s="559" t="str">
        <f t="shared" si="149"/>
        <v>a</v>
      </c>
      <c r="AD225" s="473" t="str">
        <f>IF($Z225="","a",IF(AND($Z225="b",Inventory!$L232=""),"a",IF(AND($Z225="b",Inventory!$L232&lt;&gt;""),VLOOKUP(Inventory!$L232,$N$4:$O$5,2,FALSE),IF(AND($Z225="a",Inventory!$AC232=""),"a",IF(AND($Z225="a",Inventory!$AC232&lt;&gt;""),VLOOKUP(Inventory!$AC232,$N$4:$O$5,2,FALSE),IF(AND($Z225="c",Inventory!$AC232=""),"a",IF(AND($Z225="c",Inventory!$AC232&lt;&gt;""),VLOOKUP(Inventory!$AC232,$N$4:$O$5,2,FALSE),"a")))))))</f>
        <v>a</v>
      </c>
      <c r="AE225" s="474">
        <f>IF(OR(Inventory!C232="New Construction",Inventory!C232="Replace-on-Burnout"),Inventory!AF232,IF(Inventory!C232="Early Retirement",MIN(Inventory!AE232,Inventory!AF232),0))</f>
        <v>0</v>
      </c>
      <c r="AF225" s="475" t="str">
        <f t="shared" si="150"/>
        <v/>
      </c>
      <c r="AG225" s="475" t="str">
        <f t="shared" si="138"/>
        <v/>
      </c>
      <c r="AH225" s="475" t="str">
        <f t="shared" si="139"/>
        <v/>
      </c>
      <c r="AI225" s="475" t="str">
        <f t="shared" si="140"/>
        <v/>
      </c>
      <c r="AJ225" s="475" t="str">
        <f t="shared" si="141"/>
        <v/>
      </c>
      <c r="AK225" s="475" t="str">
        <f t="shared" si="151"/>
        <v/>
      </c>
      <c r="AL225" s="475" t="str">
        <f t="shared" si="152"/>
        <v/>
      </c>
      <c r="AM225" s="475" t="str">
        <f t="shared" si="153"/>
        <v/>
      </c>
      <c r="AN225" s="475" t="str">
        <f t="shared" si="154"/>
        <v/>
      </c>
      <c r="AO225" s="475" t="str">
        <f t="shared" si="155"/>
        <v/>
      </c>
      <c r="AP225" s="475" t="str">
        <f t="shared" si="156"/>
        <v/>
      </c>
      <c r="AQ225" s="475" t="str">
        <f t="shared" si="157"/>
        <v/>
      </c>
      <c r="AR225" s="475" t="str">
        <f t="shared" si="158"/>
        <v/>
      </c>
      <c r="AS225" s="475" t="str">
        <f t="shared" si="159"/>
        <v/>
      </c>
      <c r="AT225" s="475" t="str">
        <f t="shared" si="160"/>
        <v/>
      </c>
      <c r="AU225" s="475" t="str">
        <f t="shared" si="161"/>
        <v/>
      </c>
      <c r="AV225" s="475" t="str">
        <f t="shared" si="142"/>
        <v/>
      </c>
      <c r="AW225" s="473">
        <f t="shared" si="143"/>
        <v>0</v>
      </c>
      <c r="AX225" s="473" t="str">
        <f>IF(AND($Z225="b",OR($AA225="a",$AA225="b"),Inventory!$I232="",$AE225&lt;(65000/12000)),"x",IF(AND($Z225="b",OR($AA225="a",$AA225="b"),Inventory!$I232&lt;&gt;"",$AE225&lt;(65000/12000)),VLOOKUP(Inventory!$I232,$V$4:$W$5,2,FALSE),"x"))</f>
        <v>x</v>
      </c>
      <c r="AY225" s="476" t="str">
        <f t="shared" si="162"/>
        <v>aaa0</v>
      </c>
      <c r="AZ225" s="477" t="str">
        <f t="shared" si="163"/>
        <v>No</v>
      </c>
      <c r="BA225" s="759" t="str">
        <f t="shared" si="164"/>
        <v>No</v>
      </c>
      <c r="BB225" s="477">
        <f>IF($Z225="c",Inventory!$AB232,Inventory!$K232)</f>
        <v>0</v>
      </c>
      <c r="BC225" s="478">
        <f>IF(AND($Z225="b",Inventory!$N232="Btu/hr"),Inventory!$M232,IF(AND($Z225="b",Inventory!$N232="Tons"),Inventory!$M232*12000,IF(AND($Z225&lt;&gt;"b",Inventory!$AK232="Btu/hr"),Inventory!$AD232,IF(AND($Z225&lt;&gt;"b",Inventory!$AK232="Tons"),Inventory!$AD232*12000,0))))</f>
        <v>0</v>
      </c>
      <c r="BD225" s="478">
        <f t="shared" si="136"/>
        <v>0</v>
      </c>
      <c r="BE225" s="479">
        <f t="shared" si="165"/>
        <v>0</v>
      </c>
      <c r="BF225" s="477" t="s">
        <v>50</v>
      </c>
      <c r="BG225" s="479">
        <f t="shared" si="144"/>
        <v>0</v>
      </c>
      <c r="BH225" s="477" t="s">
        <v>46</v>
      </c>
      <c r="BI225" s="760">
        <f>IF(AND($Z225="b",Inventory!$P232="Btu/hr"),Inventory!$O232,IF(AND($Z225="b",Inventory!$P232="Tons"),Inventory!$O232*12000,IF(AND($Z225&lt;&gt;"b",Inventory!$AM232="Btu/hr"),Inventory!$AL232,IF(AND($Z225&lt;&gt;"b",Inventory!$AM232="Tons"),Inventory!$AL232*12000,0))))</f>
        <v>0</v>
      </c>
      <c r="BJ225" s="760">
        <f t="shared" si="137"/>
        <v>0</v>
      </c>
      <c r="BK225" s="598">
        <f t="shared" si="166"/>
        <v>0</v>
      </c>
      <c r="BL225" s="759" t="s">
        <v>567</v>
      </c>
      <c r="BM225" s="477" t="str">
        <f t="shared" si="145"/>
        <v>No</v>
      </c>
      <c r="BN225" s="477" t="str">
        <f>IF(OR(Inventory!$H232="",$BM225="No"),"-",Inventory!$H232)</f>
        <v>-</v>
      </c>
      <c r="BO225" s="477" t="str">
        <f>IFERROR(VLOOKUP(BN225,'Early Retirement'!$B$6:$C$33,2,FALSE),"-")</f>
        <v>-</v>
      </c>
      <c r="BP225" s="477" t="str">
        <f>IF(Inventory!$J232="Centrifugal","Yes","No")</f>
        <v>No</v>
      </c>
      <c r="BQ225" s="477">
        <f t="shared" si="167"/>
        <v>0</v>
      </c>
      <c r="BR225" s="477" t="str">
        <f t="shared" si="168"/>
        <v>-</v>
      </c>
      <c r="BS225" s="479">
        <f>IFERROR(INDEX('Early Retirement'!$C$4:$AC$33,$BO225,$BR225),0)</f>
        <v>0</v>
      </c>
      <c r="BT225" s="477">
        <f>IFERROR(HLOOKUP($BR225,'Early Retirement'!$D$4:$AC$5,2,FALSE),0)</f>
        <v>0</v>
      </c>
      <c r="BU225" s="761">
        <f>IFERROR(INDEX('Early Retirement'!$AE$4:$BE$33,$BO225,$BR225),0)</f>
        <v>0</v>
      </c>
      <c r="BV225" s="759">
        <f>IFERROR(HLOOKUP($BR225,'Early Retirement'!$AF$4:$BE$5,2,FALSE),0)</f>
        <v>0</v>
      </c>
      <c r="BW225" s="479">
        <f t="shared" si="175"/>
        <v>0</v>
      </c>
      <c r="BX225" s="761">
        <f t="shared" si="169"/>
        <v>0</v>
      </c>
      <c r="BY225" s="477" t="s">
        <v>46</v>
      </c>
      <c r="BZ225" s="598">
        <f>IFERROR(INDEX('Early Retirement'!$BG$4:$CG$33,$BO225,$BR225),0)</f>
        <v>0</v>
      </c>
      <c r="CA225" s="759">
        <f>IFERROR(HLOOKUP($BR225,'Early Retirement'!$BH$4:$CH$5,2,FALSE),0)</f>
        <v>0</v>
      </c>
      <c r="CB225" s="598">
        <f t="shared" si="170"/>
        <v>0</v>
      </c>
      <c r="CC225" s="759" t="s">
        <v>567</v>
      </c>
      <c r="CD225" s="477" t="str">
        <f t="shared" si="146"/>
        <v>Yes</v>
      </c>
      <c r="CE225" s="479">
        <f t="shared" si="147"/>
        <v>0</v>
      </c>
      <c r="CF225" s="761">
        <f t="shared" si="148"/>
        <v>0</v>
      </c>
      <c r="CG225" s="759" t="s">
        <v>46</v>
      </c>
      <c r="CH225" s="598">
        <f t="shared" si="171"/>
        <v>0</v>
      </c>
      <c r="CI225" s="759" t="s">
        <v>567</v>
      </c>
      <c r="CJ225" s="480">
        <f t="shared" si="172"/>
        <v>0</v>
      </c>
      <c r="CK225" s="583">
        <f t="shared" si="173"/>
        <v>0</v>
      </c>
      <c r="CL225" s="596" t="s">
        <v>46</v>
      </c>
      <c r="CM225" s="581">
        <f t="shared" si="174"/>
        <v>0</v>
      </c>
      <c r="CN225" s="762" t="s">
        <v>567</v>
      </c>
      <c r="CW225" s="630"/>
      <c r="CX225" s="630"/>
      <c r="CY225" s="630"/>
      <c r="CZ225" s="630"/>
      <c r="DA225" s="630"/>
    </row>
    <row r="226" spans="2:105" s="78" customFormat="1" ht="15" customHeight="1" x14ac:dyDescent="0.25">
      <c r="B226" s="77"/>
      <c r="E226" s="77"/>
      <c r="H226" s="77"/>
      <c r="Y226" s="90">
        <v>224</v>
      </c>
      <c r="Z226" s="559" t="str">
        <f>IF(Inventory!$C233="","",VLOOKUP(Inventory!$C233,$B$3:$C$5,2,FALSE))</f>
        <v/>
      </c>
      <c r="AA226" s="559" t="str">
        <f>IF($Z226="","",IF(AND($Z226="b",Inventory!$G233=""),"",IF(AND($Z226="b",Inventory!$G233&lt;&gt;""),VLOOKUP(Inventory!$G233,$E$3:$F$10,2,FALSE),IF(AND($Z226="a",Inventory!$Z233=""),"",IF(AND($Z226="a",Inventory!$Z233&lt;&gt;""),VLOOKUP(Inventory!$Z233,$E$3:$F$10,2,FALSE),IF(AND($Z226="c",Inventory!$Z233=""),"",IF(AND($Z226="c",Inventory!$Z233&lt;&gt;""),VLOOKUP(Inventory!$Z233,$E$3:$F$10,2,FALSE),"")))))))</f>
        <v/>
      </c>
      <c r="AB226" s="559" t="str">
        <f>IF($Z226="","a",IF(AND($Z226="b",Inventory!$J233=""),"a",IF(AND($Z226="b",Inventory!$J233&lt;&gt;""),VLOOKUP(Inventory!$J233,$H$4:$I$6,2,FALSE),IF(AND($Z226="a",Inventory!$AA233=""),"a",IF(AND($Z226="a",Inventory!$AA233&lt;&gt;""),VLOOKUP(Inventory!$AA233,$H$4:$I$6,2,FALSE),IF(AND($Z226="c",Inventory!$AA233=""),"a",IF(AND($Z226="c",Inventory!$AA233&lt;&gt;""),VLOOKUP(Inventory!$AA233,$H$4:$I$6,2,FALSE),"a")))))))</f>
        <v>a</v>
      </c>
      <c r="AC226" s="559" t="str">
        <f t="shared" si="149"/>
        <v>a</v>
      </c>
      <c r="AD226" s="473" t="str">
        <f>IF($Z226="","a",IF(AND($Z226="b",Inventory!$L233=""),"a",IF(AND($Z226="b",Inventory!$L233&lt;&gt;""),VLOOKUP(Inventory!$L233,$N$4:$O$5,2,FALSE),IF(AND($Z226="a",Inventory!$AC233=""),"a",IF(AND($Z226="a",Inventory!$AC233&lt;&gt;""),VLOOKUP(Inventory!$AC233,$N$4:$O$5,2,FALSE),IF(AND($Z226="c",Inventory!$AC233=""),"a",IF(AND($Z226="c",Inventory!$AC233&lt;&gt;""),VLOOKUP(Inventory!$AC233,$N$4:$O$5,2,FALSE),"a")))))))</f>
        <v>a</v>
      </c>
      <c r="AE226" s="474">
        <f>IF(OR(Inventory!C233="New Construction",Inventory!C233="Replace-on-Burnout"),Inventory!AF233,IF(Inventory!C233="Early Retirement",MIN(Inventory!AE233,Inventory!AF233),0))</f>
        <v>0</v>
      </c>
      <c r="AF226" s="475" t="str">
        <f t="shared" si="150"/>
        <v/>
      </c>
      <c r="AG226" s="475" t="str">
        <f t="shared" si="138"/>
        <v/>
      </c>
      <c r="AH226" s="475" t="str">
        <f t="shared" si="139"/>
        <v/>
      </c>
      <c r="AI226" s="475" t="str">
        <f t="shared" si="140"/>
        <v/>
      </c>
      <c r="AJ226" s="475" t="str">
        <f t="shared" si="141"/>
        <v/>
      </c>
      <c r="AK226" s="475" t="str">
        <f t="shared" si="151"/>
        <v/>
      </c>
      <c r="AL226" s="475" t="str">
        <f t="shared" si="152"/>
        <v/>
      </c>
      <c r="AM226" s="475" t="str">
        <f t="shared" si="153"/>
        <v/>
      </c>
      <c r="AN226" s="475" t="str">
        <f t="shared" si="154"/>
        <v/>
      </c>
      <c r="AO226" s="475" t="str">
        <f t="shared" si="155"/>
        <v/>
      </c>
      <c r="AP226" s="475" t="str">
        <f t="shared" si="156"/>
        <v/>
      </c>
      <c r="AQ226" s="475" t="str">
        <f t="shared" si="157"/>
        <v/>
      </c>
      <c r="AR226" s="475" t="str">
        <f t="shared" si="158"/>
        <v/>
      </c>
      <c r="AS226" s="475" t="str">
        <f t="shared" si="159"/>
        <v/>
      </c>
      <c r="AT226" s="475" t="str">
        <f t="shared" si="160"/>
        <v/>
      </c>
      <c r="AU226" s="475" t="str">
        <f t="shared" si="161"/>
        <v/>
      </c>
      <c r="AV226" s="475" t="str">
        <f t="shared" si="142"/>
        <v/>
      </c>
      <c r="AW226" s="473">
        <f t="shared" si="143"/>
        <v>0</v>
      </c>
      <c r="AX226" s="473" t="str">
        <f>IF(AND($Z226="b",OR($AA226="a",$AA226="b"),Inventory!$I233="",$AE226&lt;(65000/12000)),"x",IF(AND($Z226="b",OR($AA226="a",$AA226="b"),Inventory!$I233&lt;&gt;"",$AE226&lt;(65000/12000)),VLOOKUP(Inventory!$I233,$V$4:$W$5,2,FALSE),"x"))</f>
        <v>x</v>
      </c>
      <c r="AY226" s="476" t="str">
        <f t="shared" si="162"/>
        <v>aaa0</v>
      </c>
      <c r="AZ226" s="477" t="str">
        <f t="shared" si="163"/>
        <v>No</v>
      </c>
      <c r="BA226" s="759" t="str">
        <f t="shared" si="164"/>
        <v>No</v>
      </c>
      <c r="BB226" s="477">
        <f>IF($Z226="c",Inventory!$AB233,Inventory!$K233)</f>
        <v>0</v>
      </c>
      <c r="BC226" s="478">
        <f>IF(AND($Z226="b",Inventory!$N233="Btu/hr"),Inventory!$M233,IF(AND($Z226="b",Inventory!$N233="Tons"),Inventory!$M233*12000,IF(AND($Z226&lt;&gt;"b",Inventory!$AK233="Btu/hr"),Inventory!$AD233,IF(AND($Z226&lt;&gt;"b",Inventory!$AK233="Tons"),Inventory!$AD233*12000,0))))</f>
        <v>0</v>
      </c>
      <c r="BD226" s="478">
        <f t="shared" si="136"/>
        <v>0</v>
      </c>
      <c r="BE226" s="479">
        <f t="shared" si="165"/>
        <v>0</v>
      </c>
      <c r="BF226" s="477" t="s">
        <v>50</v>
      </c>
      <c r="BG226" s="479">
        <f t="shared" si="144"/>
        <v>0</v>
      </c>
      <c r="BH226" s="477" t="s">
        <v>46</v>
      </c>
      <c r="BI226" s="760">
        <f>IF(AND($Z226="b",Inventory!$P233="Btu/hr"),Inventory!$O233,IF(AND($Z226="b",Inventory!$P233="Tons"),Inventory!$O233*12000,IF(AND($Z226&lt;&gt;"b",Inventory!$AM233="Btu/hr"),Inventory!$AL233,IF(AND($Z226&lt;&gt;"b",Inventory!$AM233="Tons"),Inventory!$AL233*12000,0))))</f>
        <v>0</v>
      </c>
      <c r="BJ226" s="760">
        <f t="shared" si="137"/>
        <v>0</v>
      </c>
      <c r="BK226" s="598">
        <f t="shared" si="166"/>
        <v>0</v>
      </c>
      <c r="BL226" s="759" t="s">
        <v>567</v>
      </c>
      <c r="BM226" s="477" t="str">
        <f t="shared" si="145"/>
        <v>No</v>
      </c>
      <c r="BN226" s="477" t="str">
        <f>IF(OR(Inventory!$H233="",$BM226="No"),"-",Inventory!$H233)</f>
        <v>-</v>
      </c>
      <c r="BO226" s="477" t="str">
        <f>IFERROR(VLOOKUP(BN226,'Early Retirement'!$B$6:$C$33,2,FALSE),"-")</f>
        <v>-</v>
      </c>
      <c r="BP226" s="477" t="str">
        <f>IF(Inventory!$J233="Centrifugal","Yes","No")</f>
        <v>No</v>
      </c>
      <c r="BQ226" s="477">
        <f t="shared" si="167"/>
        <v>0</v>
      </c>
      <c r="BR226" s="477" t="str">
        <f t="shared" si="168"/>
        <v>-</v>
      </c>
      <c r="BS226" s="479">
        <f>IFERROR(INDEX('Early Retirement'!$C$4:$AC$33,$BO226,$BR226),0)</f>
        <v>0</v>
      </c>
      <c r="BT226" s="477">
        <f>IFERROR(HLOOKUP($BR226,'Early Retirement'!$D$4:$AC$5,2,FALSE),0)</f>
        <v>0</v>
      </c>
      <c r="BU226" s="761">
        <f>IFERROR(INDEX('Early Retirement'!$AE$4:$BE$33,$BO226,$BR226),0)</f>
        <v>0</v>
      </c>
      <c r="BV226" s="759">
        <f>IFERROR(HLOOKUP($BR226,'Early Retirement'!$AF$4:$BE$5,2,FALSE),0)</f>
        <v>0</v>
      </c>
      <c r="BW226" s="479">
        <f t="shared" si="175"/>
        <v>0</v>
      </c>
      <c r="BX226" s="761">
        <f t="shared" si="169"/>
        <v>0</v>
      </c>
      <c r="BY226" s="477" t="s">
        <v>46</v>
      </c>
      <c r="BZ226" s="598">
        <f>IFERROR(INDEX('Early Retirement'!$BG$4:$CG$33,$BO226,$BR226),0)</f>
        <v>0</v>
      </c>
      <c r="CA226" s="759">
        <f>IFERROR(HLOOKUP($BR226,'Early Retirement'!$BH$4:$CH$5,2,FALSE),0)</f>
        <v>0</v>
      </c>
      <c r="CB226" s="598">
        <f t="shared" si="170"/>
        <v>0</v>
      </c>
      <c r="CC226" s="759" t="s">
        <v>567</v>
      </c>
      <c r="CD226" s="477" t="str">
        <f t="shared" si="146"/>
        <v>Yes</v>
      </c>
      <c r="CE226" s="479">
        <f t="shared" si="147"/>
        <v>0</v>
      </c>
      <c r="CF226" s="761">
        <f t="shared" si="148"/>
        <v>0</v>
      </c>
      <c r="CG226" s="759" t="s">
        <v>46</v>
      </c>
      <c r="CH226" s="598">
        <f t="shared" si="171"/>
        <v>0</v>
      </c>
      <c r="CI226" s="759" t="s">
        <v>567</v>
      </c>
      <c r="CJ226" s="480">
        <f t="shared" si="172"/>
        <v>0</v>
      </c>
      <c r="CK226" s="583">
        <f t="shared" si="173"/>
        <v>0</v>
      </c>
      <c r="CL226" s="596" t="s">
        <v>46</v>
      </c>
      <c r="CM226" s="581">
        <f t="shared" si="174"/>
        <v>0</v>
      </c>
      <c r="CN226" s="762" t="s">
        <v>567</v>
      </c>
      <c r="CW226" s="630"/>
      <c r="CX226" s="630"/>
      <c r="CY226" s="630"/>
      <c r="CZ226" s="630"/>
      <c r="DA226" s="630"/>
    </row>
    <row r="227" spans="2:105" s="78" customFormat="1" ht="15" customHeight="1" x14ac:dyDescent="0.25">
      <c r="B227" s="77"/>
      <c r="E227" s="77"/>
      <c r="H227" s="77"/>
      <c r="Y227" s="90">
        <v>225</v>
      </c>
      <c r="Z227" s="559" t="str">
        <f>IF(Inventory!$C234="","",VLOOKUP(Inventory!$C234,$B$3:$C$5,2,FALSE))</f>
        <v/>
      </c>
      <c r="AA227" s="559" t="str">
        <f>IF($Z227="","",IF(AND($Z227="b",Inventory!$G234=""),"",IF(AND($Z227="b",Inventory!$G234&lt;&gt;""),VLOOKUP(Inventory!$G234,$E$3:$F$10,2,FALSE),IF(AND($Z227="a",Inventory!$Z234=""),"",IF(AND($Z227="a",Inventory!$Z234&lt;&gt;""),VLOOKUP(Inventory!$Z234,$E$3:$F$10,2,FALSE),IF(AND($Z227="c",Inventory!$Z234=""),"",IF(AND($Z227="c",Inventory!$Z234&lt;&gt;""),VLOOKUP(Inventory!$Z234,$E$3:$F$10,2,FALSE),"")))))))</f>
        <v/>
      </c>
      <c r="AB227" s="559" t="str">
        <f>IF($Z227="","a",IF(AND($Z227="b",Inventory!$J234=""),"a",IF(AND($Z227="b",Inventory!$J234&lt;&gt;""),VLOOKUP(Inventory!$J234,$H$4:$I$6,2,FALSE),IF(AND($Z227="a",Inventory!$AA234=""),"a",IF(AND($Z227="a",Inventory!$AA234&lt;&gt;""),VLOOKUP(Inventory!$AA234,$H$4:$I$6,2,FALSE),IF(AND($Z227="c",Inventory!$AA234=""),"a",IF(AND($Z227="c",Inventory!$AA234&lt;&gt;""),VLOOKUP(Inventory!$AA234,$H$4:$I$6,2,FALSE),"a")))))))</f>
        <v>a</v>
      </c>
      <c r="AC227" s="559" t="str">
        <f t="shared" si="149"/>
        <v>a</v>
      </c>
      <c r="AD227" s="473" t="str">
        <f>IF($Z227="","a",IF(AND($Z227="b",Inventory!$L234=""),"a",IF(AND($Z227="b",Inventory!$L234&lt;&gt;""),VLOOKUP(Inventory!$L234,$N$4:$O$5,2,FALSE),IF(AND($Z227="a",Inventory!$AC234=""),"a",IF(AND($Z227="a",Inventory!$AC234&lt;&gt;""),VLOOKUP(Inventory!$AC234,$N$4:$O$5,2,FALSE),IF(AND($Z227="c",Inventory!$AC234=""),"a",IF(AND($Z227="c",Inventory!$AC234&lt;&gt;""),VLOOKUP(Inventory!$AC234,$N$4:$O$5,2,FALSE),"a")))))))</f>
        <v>a</v>
      </c>
      <c r="AE227" s="474">
        <f>IF(OR(Inventory!C234="New Construction",Inventory!C234="Replace-on-Burnout"),Inventory!AF234,IF(Inventory!C234="Early Retirement",MIN(Inventory!AE234,Inventory!AF234),0))</f>
        <v>0</v>
      </c>
      <c r="AF227" s="475" t="str">
        <f t="shared" si="150"/>
        <v/>
      </c>
      <c r="AG227" s="475" t="str">
        <f t="shared" si="138"/>
        <v/>
      </c>
      <c r="AH227" s="475" t="str">
        <f t="shared" si="139"/>
        <v/>
      </c>
      <c r="AI227" s="475" t="str">
        <f t="shared" si="140"/>
        <v/>
      </c>
      <c r="AJ227" s="475" t="str">
        <f t="shared" si="141"/>
        <v/>
      </c>
      <c r="AK227" s="475" t="str">
        <f t="shared" si="151"/>
        <v/>
      </c>
      <c r="AL227" s="475" t="str">
        <f t="shared" si="152"/>
        <v/>
      </c>
      <c r="AM227" s="475" t="str">
        <f t="shared" si="153"/>
        <v/>
      </c>
      <c r="AN227" s="475" t="str">
        <f t="shared" si="154"/>
        <v/>
      </c>
      <c r="AO227" s="475" t="str">
        <f t="shared" si="155"/>
        <v/>
      </c>
      <c r="AP227" s="475" t="str">
        <f t="shared" si="156"/>
        <v/>
      </c>
      <c r="AQ227" s="475" t="str">
        <f t="shared" si="157"/>
        <v/>
      </c>
      <c r="AR227" s="475" t="str">
        <f t="shared" si="158"/>
        <v/>
      </c>
      <c r="AS227" s="475" t="str">
        <f t="shared" si="159"/>
        <v/>
      </c>
      <c r="AT227" s="475" t="str">
        <f t="shared" si="160"/>
        <v/>
      </c>
      <c r="AU227" s="475" t="str">
        <f t="shared" si="161"/>
        <v/>
      </c>
      <c r="AV227" s="475" t="str">
        <f t="shared" si="142"/>
        <v/>
      </c>
      <c r="AW227" s="473">
        <f t="shared" si="143"/>
        <v>0</v>
      </c>
      <c r="AX227" s="473" t="str">
        <f>IF(AND($Z227="b",OR($AA227="a",$AA227="b"),Inventory!$I234="",$AE227&lt;(65000/12000)),"x",IF(AND($Z227="b",OR($AA227="a",$AA227="b"),Inventory!$I234&lt;&gt;"",$AE227&lt;(65000/12000)),VLOOKUP(Inventory!$I234,$V$4:$W$5,2,FALSE),"x"))</f>
        <v>x</v>
      </c>
      <c r="AY227" s="476" t="str">
        <f t="shared" si="162"/>
        <v>aaa0</v>
      </c>
      <c r="AZ227" s="477" t="str">
        <f t="shared" si="163"/>
        <v>No</v>
      </c>
      <c r="BA227" s="759" t="str">
        <f t="shared" si="164"/>
        <v>No</v>
      </c>
      <c r="BB227" s="477">
        <f>IF($Z227="c",Inventory!$AB234,Inventory!$K234)</f>
        <v>0</v>
      </c>
      <c r="BC227" s="478">
        <f>IF(AND($Z227="b",Inventory!$N234="Btu/hr"),Inventory!$M234,IF(AND($Z227="b",Inventory!$N234="Tons"),Inventory!$M234*12000,IF(AND($Z227&lt;&gt;"b",Inventory!$AK234="Btu/hr"),Inventory!$AD234,IF(AND($Z227&lt;&gt;"b",Inventory!$AK234="Tons"),Inventory!$AD234*12000,0))))</f>
        <v>0</v>
      </c>
      <c r="BD227" s="478">
        <f t="shared" si="136"/>
        <v>0</v>
      </c>
      <c r="BE227" s="479">
        <f t="shared" si="165"/>
        <v>0</v>
      </c>
      <c r="BF227" s="477" t="s">
        <v>50</v>
      </c>
      <c r="BG227" s="479">
        <f t="shared" si="144"/>
        <v>0</v>
      </c>
      <c r="BH227" s="477" t="s">
        <v>46</v>
      </c>
      <c r="BI227" s="760">
        <f>IF(AND($Z227="b",Inventory!$P234="Btu/hr"),Inventory!$O234,IF(AND($Z227="b",Inventory!$P234="Tons"),Inventory!$O234*12000,IF(AND($Z227&lt;&gt;"b",Inventory!$AM234="Btu/hr"),Inventory!$AL234,IF(AND($Z227&lt;&gt;"b",Inventory!$AM234="Tons"),Inventory!$AL234*12000,0))))</f>
        <v>0</v>
      </c>
      <c r="BJ227" s="760">
        <f t="shared" si="137"/>
        <v>0</v>
      </c>
      <c r="BK227" s="598">
        <f t="shared" si="166"/>
        <v>0</v>
      </c>
      <c r="BL227" s="759" t="s">
        <v>567</v>
      </c>
      <c r="BM227" s="477" t="str">
        <f t="shared" si="145"/>
        <v>No</v>
      </c>
      <c r="BN227" s="477" t="str">
        <f>IF(OR(Inventory!$H234="",$BM227="No"),"-",Inventory!$H234)</f>
        <v>-</v>
      </c>
      <c r="BO227" s="477" t="str">
        <f>IFERROR(VLOOKUP(BN227,'Early Retirement'!$B$6:$C$33,2,FALSE),"-")</f>
        <v>-</v>
      </c>
      <c r="BP227" s="477" t="str">
        <f>IF(Inventory!$J234="Centrifugal","Yes","No")</f>
        <v>No</v>
      </c>
      <c r="BQ227" s="477">
        <f t="shared" si="167"/>
        <v>0</v>
      </c>
      <c r="BR227" s="477" t="str">
        <f t="shared" si="168"/>
        <v>-</v>
      </c>
      <c r="BS227" s="479">
        <f>IFERROR(INDEX('Early Retirement'!$C$4:$AC$33,$BO227,$BR227),0)</f>
        <v>0</v>
      </c>
      <c r="BT227" s="477">
        <f>IFERROR(HLOOKUP($BR227,'Early Retirement'!$D$4:$AC$5,2,FALSE),0)</f>
        <v>0</v>
      </c>
      <c r="BU227" s="761">
        <f>IFERROR(INDEX('Early Retirement'!$AE$4:$BE$33,$BO227,$BR227),0)</f>
        <v>0</v>
      </c>
      <c r="BV227" s="759">
        <f>IFERROR(HLOOKUP($BR227,'Early Retirement'!$AF$4:$BE$5,2,FALSE),0)</f>
        <v>0</v>
      </c>
      <c r="BW227" s="479">
        <f t="shared" si="175"/>
        <v>0</v>
      </c>
      <c r="BX227" s="761">
        <f t="shared" si="169"/>
        <v>0</v>
      </c>
      <c r="BY227" s="477" t="s">
        <v>46</v>
      </c>
      <c r="BZ227" s="598">
        <f>IFERROR(INDEX('Early Retirement'!$BG$4:$CG$33,$BO227,$BR227),0)</f>
        <v>0</v>
      </c>
      <c r="CA227" s="759">
        <f>IFERROR(HLOOKUP($BR227,'Early Retirement'!$BH$4:$CH$5,2,FALSE),0)</f>
        <v>0</v>
      </c>
      <c r="CB227" s="598">
        <f t="shared" si="170"/>
        <v>0</v>
      </c>
      <c r="CC227" s="759" t="s">
        <v>567</v>
      </c>
      <c r="CD227" s="477" t="str">
        <f t="shared" si="146"/>
        <v>Yes</v>
      </c>
      <c r="CE227" s="479">
        <f t="shared" si="147"/>
        <v>0</v>
      </c>
      <c r="CF227" s="761">
        <f t="shared" si="148"/>
        <v>0</v>
      </c>
      <c r="CG227" s="759" t="s">
        <v>46</v>
      </c>
      <c r="CH227" s="598">
        <f t="shared" si="171"/>
        <v>0</v>
      </c>
      <c r="CI227" s="759" t="s">
        <v>567</v>
      </c>
      <c r="CJ227" s="480">
        <f t="shared" si="172"/>
        <v>0</v>
      </c>
      <c r="CK227" s="583">
        <f t="shared" si="173"/>
        <v>0</v>
      </c>
      <c r="CL227" s="596" t="s">
        <v>46</v>
      </c>
      <c r="CM227" s="581">
        <f t="shared" si="174"/>
        <v>0</v>
      </c>
      <c r="CN227" s="762" t="s">
        <v>567</v>
      </c>
      <c r="CW227" s="630"/>
      <c r="CX227" s="630"/>
      <c r="CY227" s="630"/>
      <c r="CZ227" s="630"/>
      <c r="DA227" s="630"/>
    </row>
    <row r="228" spans="2:105" s="78" customFormat="1" ht="15" customHeight="1" x14ac:dyDescent="0.25">
      <c r="B228" s="77"/>
      <c r="E228" s="77"/>
      <c r="H228" s="77"/>
      <c r="Y228" s="90">
        <v>226</v>
      </c>
      <c r="Z228" s="559" t="str">
        <f>IF(Inventory!$C235="","",VLOOKUP(Inventory!$C235,$B$3:$C$5,2,FALSE))</f>
        <v/>
      </c>
      <c r="AA228" s="559" t="str">
        <f>IF($Z228="","",IF(AND($Z228="b",Inventory!$G235=""),"",IF(AND($Z228="b",Inventory!$G235&lt;&gt;""),VLOOKUP(Inventory!$G235,$E$3:$F$10,2,FALSE),IF(AND($Z228="a",Inventory!$Z235=""),"",IF(AND($Z228="a",Inventory!$Z235&lt;&gt;""),VLOOKUP(Inventory!$Z235,$E$3:$F$10,2,FALSE),IF(AND($Z228="c",Inventory!$Z235=""),"",IF(AND($Z228="c",Inventory!$Z235&lt;&gt;""),VLOOKUP(Inventory!$Z235,$E$3:$F$10,2,FALSE),"")))))))</f>
        <v/>
      </c>
      <c r="AB228" s="559" t="str">
        <f>IF($Z228="","a",IF(AND($Z228="b",Inventory!$J235=""),"a",IF(AND($Z228="b",Inventory!$J235&lt;&gt;""),VLOOKUP(Inventory!$J235,$H$4:$I$6,2,FALSE),IF(AND($Z228="a",Inventory!$AA235=""),"a",IF(AND($Z228="a",Inventory!$AA235&lt;&gt;""),VLOOKUP(Inventory!$AA235,$H$4:$I$6,2,FALSE),IF(AND($Z228="c",Inventory!$AA235=""),"a",IF(AND($Z228="c",Inventory!$AA235&lt;&gt;""),VLOOKUP(Inventory!$AA235,$H$4:$I$6,2,FALSE),"a")))))))</f>
        <v>a</v>
      </c>
      <c r="AC228" s="559" t="str">
        <f t="shared" si="149"/>
        <v>a</v>
      </c>
      <c r="AD228" s="473" t="str">
        <f>IF($Z228="","a",IF(AND($Z228="b",Inventory!$L235=""),"a",IF(AND($Z228="b",Inventory!$L235&lt;&gt;""),VLOOKUP(Inventory!$L235,$N$4:$O$5,2,FALSE),IF(AND($Z228="a",Inventory!$AC235=""),"a",IF(AND($Z228="a",Inventory!$AC235&lt;&gt;""),VLOOKUP(Inventory!$AC235,$N$4:$O$5,2,FALSE),IF(AND($Z228="c",Inventory!$AC235=""),"a",IF(AND($Z228="c",Inventory!$AC235&lt;&gt;""),VLOOKUP(Inventory!$AC235,$N$4:$O$5,2,FALSE),"a")))))))</f>
        <v>a</v>
      </c>
      <c r="AE228" s="474">
        <f>IF(OR(Inventory!C235="New Construction",Inventory!C235="Replace-on-Burnout"),Inventory!AF235,IF(Inventory!C235="Early Retirement",MIN(Inventory!AE235,Inventory!AF235),0))</f>
        <v>0</v>
      </c>
      <c r="AF228" s="475" t="str">
        <f t="shared" si="150"/>
        <v/>
      </c>
      <c r="AG228" s="475" t="str">
        <f t="shared" si="138"/>
        <v/>
      </c>
      <c r="AH228" s="475" t="str">
        <f t="shared" si="139"/>
        <v/>
      </c>
      <c r="AI228" s="475" t="str">
        <f t="shared" si="140"/>
        <v/>
      </c>
      <c r="AJ228" s="475" t="str">
        <f t="shared" si="141"/>
        <v/>
      </c>
      <c r="AK228" s="475" t="str">
        <f t="shared" si="151"/>
        <v/>
      </c>
      <c r="AL228" s="475" t="str">
        <f t="shared" si="152"/>
        <v/>
      </c>
      <c r="AM228" s="475" t="str">
        <f t="shared" si="153"/>
        <v/>
      </c>
      <c r="AN228" s="475" t="str">
        <f t="shared" si="154"/>
        <v/>
      </c>
      <c r="AO228" s="475" t="str">
        <f t="shared" si="155"/>
        <v/>
      </c>
      <c r="AP228" s="475" t="str">
        <f t="shared" si="156"/>
        <v/>
      </c>
      <c r="AQ228" s="475" t="str">
        <f t="shared" si="157"/>
        <v/>
      </c>
      <c r="AR228" s="475" t="str">
        <f t="shared" si="158"/>
        <v/>
      </c>
      <c r="AS228" s="475" t="str">
        <f t="shared" si="159"/>
        <v/>
      </c>
      <c r="AT228" s="475" t="str">
        <f t="shared" si="160"/>
        <v/>
      </c>
      <c r="AU228" s="475" t="str">
        <f t="shared" si="161"/>
        <v/>
      </c>
      <c r="AV228" s="475" t="str">
        <f t="shared" si="142"/>
        <v/>
      </c>
      <c r="AW228" s="473">
        <f t="shared" si="143"/>
        <v>0</v>
      </c>
      <c r="AX228" s="473" t="str">
        <f>IF(AND($Z228="b",OR($AA228="a",$AA228="b"),Inventory!$I235="",$AE228&lt;(65000/12000)),"x",IF(AND($Z228="b",OR($AA228="a",$AA228="b"),Inventory!$I235&lt;&gt;"",$AE228&lt;(65000/12000)),VLOOKUP(Inventory!$I235,$V$4:$W$5,2,FALSE),"x"))</f>
        <v>x</v>
      </c>
      <c r="AY228" s="476" t="str">
        <f t="shared" si="162"/>
        <v>aaa0</v>
      </c>
      <c r="AZ228" s="477" t="str">
        <f t="shared" si="163"/>
        <v>No</v>
      </c>
      <c r="BA228" s="759" t="str">
        <f t="shared" si="164"/>
        <v>No</v>
      </c>
      <c r="BB228" s="477">
        <f>IF($Z228="c",Inventory!$AB235,Inventory!$K235)</f>
        <v>0</v>
      </c>
      <c r="BC228" s="478">
        <f>IF(AND($Z228="b",Inventory!$N235="Btu/hr"),Inventory!$M235,IF(AND($Z228="b",Inventory!$N235="Tons"),Inventory!$M235*12000,IF(AND($Z228&lt;&gt;"b",Inventory!$AK235="Btu/hr"),Inventory!$AD235,IF(AND($Z228&lt;&gt;"b",Inventory!$AK235="Tons"),Inventory!$AD235*12000,0))))</f>
        <v>0</v>
      </c>
      <c r="BD228" s="478">
        <f t="shared" si="136"/>
        <v>0</v>
      </c>
      <c r="BE228" s="479">
        <f t="shared" si="165"/>
        <v>0</v>
      </c>
      <c r="BF228" s="477" t="s">
        <v>50</v>
      </c>
      <c r="BG228" s="479">
        <f t="shared" si="144"/>
        <v>0</v>
      </c>
      <c r="BH228" s="477" t="s">
        <v>46</v>
      </c>
      <c r="BI228" s="760">
        <f>IF(AND($Z228="b",Inventory!$P235="Btu/hr"),Inventory!$O235,IF(AND($Z228="b",Inventory!$P235="Tons"),Inventory!$O235*12000,IF(AND($Z228&lt;&gt;"b",Inventory!$AM235="Btu/hr"),Inventory!$AL235,IF(AND($Z228&lt;&gt;"b",Inventory!$AM235="Tons"),Inventory!$AL235*12000,0))))</f>
        <v>0</v>
      </c>
      <c r="BJ228" s="760">
        <f t="shared" si="137"/>
        <v>0</v>
      </c>
      <c r="BK228" s="598">
        <f t="shared" si="166"/>
        <v>0</v>
      </c>
      <c r="BL228" s="759" t="s">
        <v>567</v>
      </c>
      <c r="BM228" s="477" t="str">
        <f t="shared" si="145"/>
        <v>No</v>
      </c>
      <c r="BN228" s="477" t="str">
        <f>IF(OR(Inventory!$H235="",$BM228="No"),"-",Inventory!$H235)</f>
        <v>-</v>
      </c>
      <c r="BO228" s="477" t="str">
        <f>IFERROR(VLOOKUP(BN228,'Early Retirement'!$B$6:$C$33,2,FALSE),"-")</f>
        <v>-</v>
      </c>
      <c r="BP228" s="477" t="str">
        <f>IF(Inventory!$J235="Centrifugal","Yes","No")</f>
        <v>No</v>
      </c>
      <c r="BQ228" s="477">
        <f t="shared" si="167"/>
        <v>0</v>
      </c>
      <c r="BR228" s="477" t="str">
        <f t="shared" si="168"/>
        <v>-</v>
      </c>
      <c r="BS228" s="479">
        <f>IFERROR(INDEX('Early Retirement'!$C$4:$AC$33,$BO228,$BR228),0)</f>
        <v>0</v>
      </c>
      <c r="BT228" s="477">
        <f>IFERROR(HLOOKUP($BR228,'Early Retirement'!$D$4:$AC$5,2,FALSE),0)</f>
        <v>0</v>
      </c>
      <c r="BU228" s="761">
        <f>IFERROR(INDEX('Early Retirement'!$AE$4:$BE$33,$BO228,$BR228),0)</f>
        <v>0</v>
      </c>
      <c r="BV228" s="759">
        <f>IFERROR(HLOOKUP($BR228,'Early Retirement'!$AF$4:$BE$5,2,FALSE),0)</f>
        <v>0</v>
      </c>
      <c r="BW228" s="479">
        <f t="shared" si="175"/>
        <v>0</v>
      </c>
      <c r="BX228" s="761">
        <f t="shared" si="169"/>
        <v>0</v>
      </c>
      <c r="BY228" s="477" t="s">
        <v>46</v>
      </c>
      <c r="BZ228" s="598">
        <f>IFERROR(INDEX('Early Retirement'!$BG$4:$CG$33,$BO228,$BR228),0)</f>
        <v>0</v>
      </c>
      <c r="CA228" s="759">
        <f>IFERROR(HLOOKUP($BR228,'Early Retirement'!$BH$4:$CH$5,2,FALSE),0)</f>
        <v>0</v>
      </c>
      <c r="CB228" s="598">
        <f t="shared" si="170"/>
        <v>0</v>
      </c>
      <c r="CC228" s="759" t="s">
        <v>567</v>
      </c>
      <c r="CD228" s="477" t="str">
        <f t="shared" si="146"/>
        <v>Yes</v>
      </c>
      <c r="CE228" s="479">
        <f t="shared" si="147"/>
        <v>0</v>
      </c>
      <c r="CF228" s="761">
        <f t="shared" si="148"/>
        <v>0</v>
      </c>
      <c r="CG228" s="759" t="s">
        <v>46</v>
      </c>
      <c r="CH228" s="598">
        <f t="shared" si="171"/>
        <v>0</v>
      </c>
      <c r="CI228" s="759" t="s">
        <v>567</v>
      </c>
      <c r="CJ228" s="480">
        <f t="shared" si="172"/>
        <v>0</v>
      </c>
      <c r="CK228" s="583">
        <f t="shared" si="173"/>
        <v>0</v>
      </c>
      <c r="CL228" s="596" t="s">
        <v>46</v>
      </c>
      <c r="CM228" s="581">
        <f t="shared" si="174"/>
        <v>0</v>
      </c>
      <c r="CN228" s="762" t="s">
        <v>567</v>
      </c>
      <c r="CW228" s="630"/>
      <c r="CX228" s="630"/>
      <c r="CY228" s="630"/>
      <c r="CZ228" s="630"/>
      <c r="DA228" s="630"/>
    </row>
    <row r="229" spans="2:105" s="78" customFormat="1" ht="15" customHeight="1" x14ac:dyDescent="0.25">
      <c r="B229" s="77"/>
      <c r="E229" s="77"/>
      <c r="H229" s="77"/>
      <c r="Y229" s="90">
        <v>227</v>
      </c>
      <c r="Z229" s="559" t="str">
        <f>IF(Inventory!$C236="","",VLOOKUP(Inventory!$C236,$B$3:$C$5,2,FALSE))</f>
        <v/>
      </c>
      <c r="AA229" s="559" t="str">
        <f>IF($Z229="","",IF(AND($Z229="b",Inventory!$G236=""),"",IF(AND($Z229="b",Inventory!$G236&lt;&gt;""),VLOOKUP(Inventory!$G236,$E$3:$F$10,2,FALSE),IF(AND($Z229="a",Inventory!$Z236=""),"",IF(AND($Z229="a",Inventory!$Z236&lt;&gt;""),VLOOKUP(Inventory!$Z236,$E$3:$F$10,2,FALSE),IF(AND($Z229="c",Inventory!$Z236=""),"",IF(AND($Z229="c",Inventory!$Z236&lt;&gt;""),VLOOKUP(Inventory!$Z236,$E$3:$F$10,2,FALSE),"")))))))</f>
        <v/>
      </c>
      <c r="AB229" s="559" t="str">
        <f>IF($Z229="","a",IF(AND($Z229="b",Inventory!$J236=""),"a",IF(AND($Z229="b",Inventory!$J236&lt;&gt;""),VLOOKUP(Inventory!$J236,$H$4:$I$6,2,FALSE),IF(AND($Z229="a",Inventory!$AA236=""),"a",IF(AND($Z229="a",Inventory!$AA236&lt;&gt;""),VLOOKUP(Inventory!$AA236,$H$4:$I$6,2,FALSE),IF(AND($Z229="c",Inventory!$AA236=""),"a",IF(AND($Z229="c",Inventory!$AA236&lt;&gt;""),VLOOKUP(Inventory!$AA236,$H$4:$I$6,2,FALSE),"a")))))))</f>
        <v>a</v>
      </c>
      <c r="AC229" s="559" t="str">
        <f t="shared" si="149"/>
        <v>a</v>
      </c>
      <c r="AD229" s="473" t="str">
        <f>IF($Z229="","a",IF(AND($Z229="b",Inventory!$L236=""),"a",IF(AND($Z229="b",Inventory!$L236&lt;&gt;""),VLOOKUP(Inventory!$L236,$N$4:$O$5,2,FALSE),IF(AND($Z229="a",Inventory!$AC236=""),"a",IF(AND($Z229="a",Inventory!$AC236&lt;&gt;""),VLOOKUP(Inventory!$AC236,$N$4:$O$5,2,FALSE),IF(AND($Z229="c",Inventory!$AC236=""),"a",IF(AND($Z229="c",Inventory!$AC236&lt;&gt;""),VLOOKUP(Inventory!$AC236,$N$4:$O$5,2,FALSE),"a")))))))</f>
        <v>a</v>
      </c>
      <c r="AE229" s="474">
        <f>IF(OR(Inventory!C236="New Construction",Inventory!C236="Replace-on-Burnout"),Inventory!AF236,IF(Inventory!C236="Early Retirement",MIN(Inventory!AE236,Inventory!AF236),0))</f>
        <v>0</v>
      </c>
      <c r="AF229" s="475" t="str">
        <f t="shared" si="150"/>
        <v/>
      </c>
      <c r="AG229" s="475" t="str">
        <f t="shared" si="138"/>
        <v/>
      </c>
      <c r="AH229" s="475" t="str">
        <f t="shared" si="139"/>
        <v/>
      </c>
      <c r="AI229" s="475" t="str">
        <f t="shared" si="140"/>
        <v/>
      </c>
      <c r="AJ229" s="475" t="str">
        <f t="shared" si="141"/>
        <v/>
      </c>
      <c r="AK229" s="475" t="str">
        <f t="shared" si="151"/>
        <v/>
      </c>
      <c r="AL229" s="475" t="str">
        <f t="shared" si="152"/>
        <v/>
      </c>
      <c r="AM229" s="475" t="str">
        <f t="shared" si="153"/>
        <v/>
      </c>
      <c r="AN229" s="475" t="str">
        <f t="shared" si="154"/>
        <v/>
      </c>
      <c r="AO229" s="475" t="str">
        <f t="shared" si="155"/>
        <v/>
      </c>
      <c r="AP229" s="475" t="str">
        <f t="shared" si="156"/>
        <v/>
      </c>
      <c r="AQ229" s="475" t="str">
        <f t="shared" si="157"/>
        <v/>
      </c>
      <c r="AR229" s="475" t="str">
        <f t="shared" si="158"/>
        <v/>
      </c>
      <c r="AS229" s="475" t="str">
        <f t="shared" si="159"/>
        <v/>
      </c>
      <c r="AT229" s="475" t="str">
        <f t="shared" si="160"/>
        <v/>
      </c>
      <c r="AU229" s="475" t="str">
        <f t="shared" si="161"/>
        <v/>
      </c>
      <c r="AV229" s="475" t="str">
        <f t="shared" si="142"/>
        <v/>
      </c>
      <c r="AW229" s="473">
        <f t="shared" si="143"/>
        <v>0</v>
      </c>
      <c r="AX229" s="473" t="str">
        <f>IF(AND($Z229="b",OR($AA229="a",$AA229="b"),Inventory!$I236="",$AE229&lt;(65000/12000)),"x",IF(AND($Z229="b",OR($AA229="a",$AA229="b"),Inventory!$I236&lt;&gt;"",$AE229&lt;(65000/12000)),VLOOKUP(Inventory!$I236,$V$4:$W$5,2,FALSE),"x"))</f>
        <v>x</v>
      </c>
      <c r="AY229" s="476" t="str">
        <f t="shared" si="162"/>
        <v>aaa0</v>
      </c>
      <c r="AZ229" s="477" t="str">
        <f t="shared" si="163"/>
        <v>No</v>
      </c>
      <c r="BA229" s="759" t="str">
        <f t="shared" si="164"/>
        <v>No</v>
      </c>
      <c r="BB229" s="477">
        <f>IF($Z229="c",Inventory!$AB236,Inventory!$K236)</f>
        <v>0</v>
      </c>
      <c r="BC229" s="478">
        <f>IF(AND($Z229="b",Inventory!$N236="Btu/hr"),Inventory!$M236,IF(AND($Z229="b",Inventory!$N236="Tons"),Inventory!$M236*12000,IF(AND($Z229&lt;&gt;"b",Inventory!$AK236="Btu/hr"),Inventory!$AD236,IF(AND($Z229&lt;&gt;"b",Inventory!$AK236="Tons"),Inventory!$AD236*12000,0))))</f>
        <v>0</v>
      </c>
      <c r="BD229" s="478">
        <f t="shared" si="136"/>
        <v>0</v>
      </c>
      <c r="BE229" s="479">
        <f t="shared" si="165"/>
        <v>0</v>
      </c>
      <c r="BF229" s="477" t="s">
        <v>50</v>
      </c>
      <c r="BG229" s="479">
        <f t="shared" si="144"/>
        <v>0</v>
      </c>
      <c r="BH229" s="477" t="s">
        <v>46</v>
      </c>
      <c r="BI229" s="760">
        <f>IF(AND($Z229="b",Inventory!$P236="Btu/hr"),Inventory!$O236,IF(AND($Z229="b",Inventory!$P236="Tons"),Inventory!$O236*12000,IF(AND($Z229&lt;&gt;"b",Inventory!$AM236="Btu/hr"),Inventory!$AL236,IF(AND($Z229&lt;&gt;"b",Inventory!$AM236="Tons"),Inventory!$AL236*12000,0))))</f>
        <v>0</v>
      </c>
      <c r="BJ229" s="760">
        <f t="shared" si="137"/>
        <v>0</v>
      </c>
      <c r="BK229" s="598">
        <f t="shared" si="166"/>
        <v>0</v>
      </c>
      <c r="BL229" s="759" t="s">
        <v>567</v>
      </c>
      <c r="BM229" s="477" t="str">
        <f t="shared" si="145"/>
        <v>No</v>
      </c>
      <c r="BN229" s="477" t="str">
        <f>IF(OR(Inventory!$H236="",$BM229="No"),"-",Inventory!$H236)</f>
        <v>-</v>
      </c>
      <c r="BO229" s="477" t="str">
        <f>IFERROR(VLOOKUP(BN229,'Early Retirement'!$B$6:$C$33,2,FALSE),"-")</f>
        <v>-</v>
      </c>
      <c r="BP229" s="477" t="str">
        <f>IF(Inventory!$J236="Centrifugal","Yes","No")</f>
        <v>No</v>
      </c>
      <c r="BQ229" s="477">
        <f t="shared" si="167"/>
        <v>0</v>
      </c>
      <c r="BR229" s="477" t="str">
        <f t="shared" si="168"/>
        <v>-</v>
      </c>
      <c r="BS229" s="479">
        <f>IFERROR(INDEX('Early Retirement'!$C$4:$AC$33,$BO229,$BR229),0)</f>
        <v>0</v>
      </c>
      <c r="BT229" s="477">
        <f>IFERROR(HLOOKUP($BR229,'Early Retirement'!$D$4:$AC$5,2,FALSE),0)</f>
        <v>0</v>
      </c>
      <c r="BU229" s="761">
        <f>IFERROR(INDEX('Early Retirement'!$AE$4:$BE$33,$BO229,$BR229),0)</f>
        <v>0</v>
      </c>
      <c r="BV229" s="759">
        <f>IFERROR(HLOOKUP($BR229,'Early Retirement'!$AF$4:$BE$5,2,FALSE),0)</f>
        <v>0</v>
      </c>
      <c r="BW229" s="479">
        <f t="shared" si="175"/>
        <v>0</v>
      </c>
      <c r="BX229" s="761">
        <f t="shared" si="169"/>
        <v>0</v>
      </c>
      <c r="BY229" s="477" t="s">
        <v>46</v>
      </c>
      <c r="BZ229" s="598">
        <f>IFERROR(INDEX('Early Retirement'!$BG$4:$CG$33,$BO229,$BR229),0)</f>
        <v>0</v>
      </c>
      <c r="CA229" s="759">
        <f>IFERROR(HLOOKUP($BR229,'Early Retirement'!$BH$4:$CH$5,2,FALSE),0)</f>
        <v>0</v>
      </c>
      <c r="CB229" s="598">
        <f t="shared" si="170"/>
        <v>0</v>
      </c>
      <c r="CC229" s="759" t="s">
        <v>567</v>
      </c>
      <c r="CD229" s="477" t="str">
        <f t="shared" si="146"/>
        <v>Yes</v>
      </c>
      <c r="CE229" s="479">
        <f t="shared" si="147"/>
        <v>0</v>
      </c>
      <c r="CF229" s="761">
        <f t="shared" si="148"/>
        <v>0</v>
      </c>
      <c r="CG229" s="759" t="s">
        <v>46</v>
      </c>
      <c r="CH229" s="598">
        <f t="shared" si="171"/>
        <v>0</v>
      </c>
      <c r="CI229" s="759" t="s">
        <v>567</v>
      </c>
      <c r="CJ229" s="480">
        <f t="shared" si="172"/>
        <v>0</v>
      </c>
      <c r="CK229" s="583">
        <f t="shared" si="173"/>
        <v>0</v>
      </c>
      <c r="CL229" s="596" t="s">
        <v>46</v>
      </c>
      <c r="CM229" s="581">
        <f t="shared" si="174"/>
        <v>0</v>
      </c>
      <c r="CN229" s="762" t="s">
        <v>567</v>
      </c>
      <c r="CW229" s="630"/>
      <c r="CX229" s="630"/>
      <c r="CY229" s="630"/>
      <c r="CZ229" s="630"/>
      <c r="DA229" s="630"/>
    </row>
    <row r="230" spans="2:105" s="78" customFormat="1" ht="15" customHeight="1" x14ac:dyDescent="0.25">
      <c r="B230" s="77"/>
      <c r="E230" s="77"/>
      <c r="H230" s="77"/>
      <c r="Y230" s="90">
        <v>228</v>
      </c>
      <c r="Z230" s="559" t="str">
        <f>IF(Inventory!$C237="","",VLOOKUP(Inventory!$C237,$B$3:$C$5,2,FALSE))</f>
        <v/>
      </c>
      <c r="AA230" s="559" t="str">
        <f>IF($Z230="","",IF(AND($Z230="b",Inventory!$G237=""),"",IF(AND($Z230="b",Inventory!$G237&lt;&gt;""),VLOOKUP(Inventory!$G237,$E$3:$F$10,2,FALSE),IF(AND($Z230="a",Inventory!$Z237=""),"",IF(AND($Z230="a",Inventory!$Z237&lt;&gt;""),VLOOKUP(Inventory!$Z237,$E$3:$F$10,2,FALSE),IF(AND($Z230="c",Inventory!$Z237=""),"",IF(AND($Z230="c",Inventory!$Z237&lt;&gt;""),VLOOKUP(Inventory!$Z237,$E$3:$F$10,2,FALSE),"")))))))</f>
        <v/>
      </c>
      <c r="AB230" s="559" t="str">
        <f>IF($Z230="","a",IF(AND($Z230="b",Inventory!$J237=""),"a",IF(AND($Z230="b",Inventory!$J237&lt;&gt;""),VLOOKUP(Inventory!$J237,$H$4:$I$6,2,FALSE),IF(AND($Z230="a",Inventory!$AA237=""),"a",IF(AND($Z230="a",Inventory!$AA237&lt;&gt;""),VLOOKUP(Inventory!$AA237,$H$4:$I$6,2,FALSE),IF(AND($Z230="c",Inventory!$AA237=""),"a",IF(AND($Z230="c",Inventory!$AA237&lt;&gt;""),VLOOKUP(Inventory!$AA237,$H$4:$I$6,2,FALSE),"a")))))))</f>
        <v>a</v>
      </c>
      <c r="AC230" s="559" t="str">
        <f t="shared" si="149"/>
        <v>a</v>
      </c>
      <c r="AD230" s="473" t="str">
        <f>IF($Z230="","a",IF(AND($Z230="b",Inventory!$L237=""),"a",IF(AND($Z230="b",Inventory!$L237&lt;&gt;""),VLOOKUP(Inventory!$L237,$N$4:$O$5,2,FALSE),IF(AND($Z230="a",Inventory!$AC237=""),"a",IF(AND($Z230="a",Inventory!$AC237&lt;&gt;""),VLOOKUP(Inventory!$AC237,$N$4:$O$5,2,FALSE),IF(AND($Z230="c",Inventory!$AC237=""),"a",IF(AND($Z230="c",Inventory!$AC237&lt;&gt;""),VLOOKUP(Inventory!$AC237,$N$4:$O$5,2,FALSE),"a")))))))</f>
        <v>a</v>
      </c>
      <c r="AE230" s="474">
        <f>IF(OR(Inventory!C237="New Construction",Inventory!C237="Replace-on-Burnout"),Inventory!AF237,IF(Inventory!C237="Early Retirement",MIN(Inventory!AE237,Inventory!AF237),0))</f>
        <v>0</v>
      </c>
      <c r="AF230" s="475" t="str">
        <f t="shared" si="150"/>
        <v/>
      </c>
      <c r="AG230" s="475" t="str">
        <f t="shared" si="138"/>
        <v/>
      </c>
      <c r="AH230" s="475" t="str">
        <f t="shared" si="139"/>
        <v/>
      </c>
      <c r="AI230" s="475" t="str">
        <f t="shared" si="140"/>
        <v/>
      </c>
      <c r="AJ230" s="475" t="str">
        <f t="shared" si="141"/>
        <v/>
      </c>
      <c r="AK230" s="475" t="str">
        <f t="shared" si="151"/>
        <v/>
      </c>
      <c r="AL230" s="475" t="str">
        <f t="shared" si="152"/>
        <v/>
      </c>
      <c r="AM230" s="475" t="str">
        <f t="shared" si="153"/>
        <v/>
      </c>
      <c r="AN230" s="475" t="str">
        <f t="shared" si="154"/>
        <v/>
      </c>
      <c r="AO230" s="475" t="str">
        <f t="shared" si="155"/>
        <v/>
      </c>
      <c r="AP230" s="475" t="str">
        <f t="shared" si="156"/>
        <v/>
      </c>
      <c r="AQ230" s="475" t="str">
        <f t="shared" si="157"/>
        <v/>
      </c>
      <c r="AR230" s="475" t="str">
        <f t="shared" si="158"/>
        <v/>
      </c>
      <c r="AS230" s="475" t="str">
        <f t="shared" si="159"/>
        <v/>
      </c>
      <c r="AT230" s="475" t="str">
        <f t="shared" si="160"/>
        <v/>
      </c>
      <c r="AU230" s="475" t="str">
        <f t="shared" si="161"/>
        <v/>
      </c>
      <c r="AV230" s="475" t="str">
        <f t="shared" si="142"/>
        <v/>
      </c>
      <c r="AW230" s="473">
        <f t="shared" si="143"/>
        <v>0</v>
      </c>
      <c r="AX230" s="473" t="str">
        <f>IF(AND($Z230="b",OR($AA230="a",$AA230="b"),Inventory!$I237="",$AE230&lt;(65000/12000)),"x",IF(AND($Z230="b",OR($AA230="a",$AA230="b"),Inventory!$I237&lt;&gt;"",$AE230&lt;(65000/12000)),VLOOKUP(Inventory!$I237,$V$4:$W$5,2,FALSE),"x"))</f>
        <v>x</v>
      </c>
      <c r="AY230" s="476" t="str">
        <f t="shared" si="162"/>
        <v>aaa0</v>
      </c>
      <c r="AZ230" s="477" t="str">
        <f t="shared" si="163"/>
        <v>No</v>
      </c>
      <c r="BA230" s="759" t="str">
        <f t="shared" si="164"/>
        <v>No</v>
      </c>
      <c r="BB230" s="477">
        <f>IF($Z230="c",Inventory!$AB237,Inventory!$K237)</f>
        <v>0</v>
      </c>
      <c r="BC230" s="478">
        <f>IF(AND($Z230="b",Inventory!$N237="Btu/hr"),Inventory!$M237,IF(AND($Z230="b",Inventory!$N237="Tons"),Inventory!$M237*12000,IF(AND($Z230&lt;&gt;"b",Inventory!$AK237="Btu/hr"),Inventory!$AD237,IF(AND($Z230&lt;&gt;"b",Inventory!$AK237="Tons"),Inventory!$AD237*12000,0))))</f>
        <v>0</v>
      </c>
      <c r="BD230" s="478">
        <f t="shared" si="136"/>
        <v>0</v>
      </c>
      <c r="BE230" s="479">
        <f t="shared" si="165"/>
        <v>0</v>
      </c>
      <c r="BF230" s="477" t="s">
        <v>50</v>
      </c>
      <c r="BG230" s="479">
        <f t="shared" si="144"/>
        <v>0</v>
      </c>
      <c r="BH230" s="477" t="s">
        <v>46</v>
      </c>
      <c r="BI230" s="760">
        <f>IF(AND($Z230="b",Inventory!$P237="Btu/hr"),Inventory!$O237,IF(AND($Z230="b",Inventory!$P237="Tons"),Inventory!$O237*12000,IF(AND($Z230&lt;&gt;"b",Inventory!$AM237="Btu/hr"),Inventory!$AL237,IF(AND($Z230&lt;&gt;"b",Inventory!$AM237="Tons"),Inventory!$AL237*12000,0))))</f>
        <v>0</v>
      </c>
      <c r="BJ230" s="760">
        <f t="shared" si="137"/>
        <v>0</v>
      </c>
      <c r="BK230" s="598">
        <f t="shared" si="166"/>
        <v>0</v>
      </c>
      <c r="BL230" s="759" t="s">
        <v>567</v>
      </c>
      <c r="BM230" s="477" t="str">
        <f t="shared" si="145"/>
        <v>No</v>
      </c>
      <c r="BN230" s="477" t="str">
        <f>IF(OR(Inventory!$H237="",$BM230="No"),"-",Inventory!$H237)</f>
        <v>-</v>
      </c>
      <c r="BO230" s="477" t="str">
        <f>IFERROR(VLOOKUP(BN230,'Early Retirement'!$B$6:$C$33,2,FALSE),"-")</f>
        <v>-</v>
      </c>
      <c r="BP230" s="477" t="str">
        <f>IF(Inventory!$J237="Centrifugal","Yes","No")</f>
        <v>No</v>
      </c>
      <c r="BQ230" s="477">
        <f t="shared" si="167"/>
        <v>0</v>
      </c>
      <c r="BR230" s="477" t="str">
        <f t="shared" si="168"/>
        <v>-</v>
      </c>
      <c r="BS230" s="479">
        <f>IFERROR(INDEX('Early Retirement'!$C$4:$AC$33,$BO230,$BR230),0)</f>
        <v>0</v>
      </c>
      <c r="BT230" s="477">
        <f>IFERROR(HLOOKUP($BR230,'Early Retirement'!$D$4:$AC$5,2,FALSE),0)</f>
        <v>0</v>
      </c>
      <c r="BU230" s="761">
        <f>IFERROR(INDEX('Early Retirement'!$AE$4:$BE$33,$BO230,$BR230),0)</f>
        <v>0</v>
      </c>
      <c r="BV230" s="759">
        <f>IFERROR(HLOOKUP($BR230,'Early Retirement'!$AF$4:$BE$5,2,FALSE),0)</f>
        <v>0</v>
      </c>
      <c r="BW230" s="479">
        <f t="shared" si="175"/>
        <v>0</v>
      </c>
      <c r="BX230" s="761">
        <f t="shared" si="169"/>
        <v>0</v>
      </c>
      <c r="BY230" s="477" t="s">
        <v>46</v>
      </c>
      <c r="BZ230" s="598">
        <f>IFERROR(INDEX('Early Retirement'!$BG$4:$CG$33,$BO230,$BR230),0)</f>
        <v>0</v>
      </c>
      <c r="CA230" s="759">
        <f>IFERROR(HLOOKUP($BR230,'Early Retirement'!$BH$4:$CH$5,2,FALSE),0)</f>
        <v>0</v>
      </c>
      <c r="CB230" s="598">
        <f t="shared" si="170"/>
        <v>0</v>
      </c>
      <c r="CC230" s="759" t="s">
        <v>567</v>
      </c>
      <c r="CD230" s="477" t="str">
        <f t="shared" si="146"/>
        <v>Yes</v>
      </c>
      <c r="CE230" s="479">
        <f t="shared" si="147"/>
        <v>0</v>
      </c>
      <c r="CF230" s="761">
        <f t="shared" si="148"/>
        <v>0</v>
      </c>
      <c r="CG230" s="759" t="s">
        <v>46</v>
      </c>
      <c r="CH230" s="598">
        <f t="shared" si="171"/>
        <v>0</v>
      </c>
      <c r="CI230" s="759" t="s">
        <v>567</v>
      </c>
      <c r="CJ230" s="480">
        <f t="shared" si="172"/>
        <v>0</v>
      </c>
      <c r="CK230" s="583">
        <f t="shared" si="173"/>
        <v>0</v>
      </c>
      <c r="CL230" s="596" t="s">
        <v>46</v>
      </c>
      <c r="CM230" s="581">
        <f t="shared" si="174"/>
        <v>0</v>
      </c>
      <c r="CN230" s="762" t="s">
        <v>567</v>
      </c>
      <c r="CW230" s="630"/>
      <c r="CX230" s="630"/>
      <c r="CY230" s="630"/>
      <c r="CZ230" s="630"/>
      <c r="DA230" s="630"/>
    </row>
    <row r="231" spans="2:105" s="78" customFormat="1" ht="15" customHeight="1" x14ac:dyDescent="0.25">
      <c r="B231" s="77"/>
      <c r="E231" s="193"/>
      <c r="H231" s="77"/>
      <c r="Y231" s="90">
        <v>229</v>
      </c>
      <c r="Z231" s="559" t="str">
        <f>IF(Inventory!$C238="","",VLOOKUP(Inventory!$C238,$B$3:$C$5,2,FALSE))</f>
        <v/>
      </c>
      <c r="AA231" s="559" t="str">
        <f>IF($Z231="","",IF(AND($Z231="b",Inventory!$G238=""),"",IF(AND($Z231="b",Inventory!$G238&lt;&gt;""),VLOOKUP(Inventory!$G238,$E$3:$F$10,2,FALSE),IF(AND($Z231="a",Inventory!$Z238=""),"",IF(AND($Z231="a",Inventory!$Z238&lt;&gt;""),VLOOKUP(Inventory!$Z238,$E$3:$F$10,2,FALSE),IF(AND($Z231="c",Inventory!$Z238=""),"",IF(AND($Z231="c",Inventory!$Z238&lt;&gt;""),VLOOKUP(Inventory!$Z238,$E$3:$F$10,2,FALSE),"")))))))</f>
        <v/>
      </c>
      <c r="AB231" s="559" t="str">
        <f>IF($Z231="","a",IF(AND($Z231="b",Inventory!$J238=""),"a",IF(AND($Z231="b",Inventory!$J238&lt;&gt;""),VLOOKUP(Inventory!$J238,$H$4:$I$6,2,FALSE),IF(AND($Z231="a",Inventory!$AA238=""),"a",IF(AND($Z231="a",Inventory!$AA238&lt;&gt;""),VLOOKUP(Inventory!$AA238,$H$4:$I$6,2,FALSE),IF(AND($Z231="c",Inventory!$AA238=""),"a",IF(AND($Z231="c",Inventory!$AA238&lt;&gt;""),VLOOKUP(Inventory!$AA238,$H$4:$I$6,2,FALSE),"a")))))))</f>
        <v>a</v>
      </c>
      <c r="AC231" s="559" t="str">
        <f t="shared" si="149"/>
        <v>a</v>
      </c>
      <c r="AD231" s="473" t="str">
        <f>IF($Z231="","a",IF(AND($Z231="b",Inventory!$L238=""),"a",IF(AND($Z231="b",Inventory!$L238&lt;&gt;""),VLOOKUP(Inventory!$L238,$N$4:$O$5,2,FALSE),IF(AND($Z231="a",Inventory!$AC238=""),"a",IF(AND($Z231="a",Inventory!$AC238&lt;&gt;""),VLOOKUP(Inventory!$AC238,$N$4:$O$5,2,FALSE),IF(AND($Z231="c",Inventory!$AC238=""),"a",IF(AND($Z231="c",Inventory!$AC238&lt;&gt;""),VLOOKUP(Inventory!$AC238,$N$4:$O$5,2,FALSE),"a")))))))</f>
        <v>a</v>
      </c>
      <c r="AE231" s="474">
        <f>IF(OR(Inventory!C238="New Construction",Inventory!C238="Replace-on-Burnout"),Inventory!AF238,IF(Inventory!C238="Early Retirement",MIN(Inventory!AE238,Inventory!AF238),0))</f>
        <v>0</v>
      </c>
      <c r="AF231" s="475" t="str">
        <f t="shared" si="150"/>
        <v/>
      </c>
      <c r="AG231" s="475" t="str">
        <f t="shared" si="138"/>
        <v/>
      </c>
      <c r="AH231" s="475" t="str">
        <f t="shared" si="139"/>
        <v/>
      </c>
      <c r="AI231" s="475" t="str">
        <f t="shared" si="140"/>
        <v/>
      </c>
      <c r="AJ231" s="475" t="str">
        <f t="shared" si="141"/>
        <v/>
      </c>
      <c r="AK231" s="475" t="str">
        <f t="shared" si="151"/>
        <v/>
      </c>
      <c r="AL231" s="475" t="str">
        <f t="shared" si="152"/>
        <v/>
      </c>
      <c r="AM231" s="475" t="str">
        <f t="shared" si="153"/>
        <v/>
      </c>
      <c r="AN231" s="475" t="str">
        <f t="shared" si="154"/>
        <v/>
      </c>
      <c r="AO231" s="475" t="str">
        <f t="shared" si="155"/>
        <v/>
      </c>
      <c r="AP231" s="475" t="str">
        <f t="shared" si="156"/>
        <v/>
      </c>
      <c r="AQ231" s="475" t="str">
        <f t="shared" si="157"/>
        <v/>
      </c>
      <c r="AR231" s="475" t="str">
        <f t="shared" si="158"/>
        <v/>
      </c>
      <c r="AS231" s="475" t="str">
        <f t="shared" si="159"/>
        <v/>
      </c>
      <c r="AT231" s="475" t="str">
        <f t="shared" si="160"/>
        <v/>
      </c>
      <c r="AU231" s="475" t="str">
        <f t="shared" si="161"/>
        <v/>
      </c>
      <c r="AV231" s="475" t="str">
        <f t="shared" si="142"/>
        <v/>
      </c>
      <c r="AW231" s="473">
        <f t="shared" si="143"/>
        <v>0</v>
      </c>
      <c r="AX231" s="473" t="str">
        <f>IF(AND($Z231="b",OR($AA231="a",$AA231="b"),Inventory!$I238="",$AE231&lt;(65000/12000)),"x",IF(AND($Z231="b",OR($AA231="a",$AA231="b"),Inventory!$I238&lt;&gt;"",$AE231&lt;(65000/12000)),VLOOKUP(Inventory!$I238,$V$4:$W$5,2,FALSE),"x"))</f>
        <v>x</v>
      </c>
      <c r="AY231" s="476" t="str">
        <f t="shared" si="162"/>
        <v>aaa0</v>
      </c>
      <c r="AZ231" s="477" t="str">
        <f t="shared" si="163"/>
        <v>No</v>
      </c>
      <c r="BA231" s="759" t="str">
        <f t="shared" si="164"/>
        <v>No</v>
      </c>
      <c r="BB231" s="477">
        <f>IF($Z231="c",Inventory!$AB238,Inventory!$K238)</f>
        <v>0</v>
      </c>
      <c r="BC231" s="478">
        <f>IF(AND($Z231="b",Inventory!$N238="Btu/hr"),Inventory!$M238,IF(AND($Z231="b",Inventory!$N238="Tons"),Inventory!$M238*12000,IF(AND($Z231&lt;&gt;"b",Inventory!$AK238="Btu/hr"),Inventory!$AD238,IF(AND($Z231&lt;&gt;"b",Inventory!$AK238="Tons"),Inventory!$AD238*12000,0))))</f>
        <v>0</v>
      </c>
      <c r="BD231" s="478">
        <f t="shared" si="136"/>
        <v>0</v>
      </c>
      <c r="BE231" s="479">
        <f t="shared" si="165"/>
        <v>0</v>
      </c>
      <c r="BF231" s="477" t="s">
        <v>50</v>
      </c>
      <c r="BG231" s="479">
        <f t="shared" si="144"/>
        <v>0</v>
      </c>
      <c r="BH231" s="477" t="s">
        <v>46</v>
      </c>
      <c r="BI231" s="760">
        <f>IF(AND($Z231="b",Inventory!$P238="Btu/hr"),Inventory!$O238,IF(AND($Z231="b",Inventory!$P238="Tons"),Inventory!$O238*12000,IF(AND($Z231&lt;&gt;"b",Inventory!$AM238="Btu/hr"),Inventory!$AL238,IF(AND($Z231&lt;&gt;"b",Inventory!$AM238="Tons"),Inventory!$AL238*12000,0))))</f>
        <v>0</v>
      </c>
      <c r="BJ231" s="760">
        <f t="shared" si="137"/>
        <v>0</v>
      </c>
      <c r="BK231" s="598">
        <f t="shared" si="166"/>
        <v>0</v>
      </c>
      <c r="BL231" s="759" t="s">
        <v>567</v>
      </c>
      <c r="BM231" s="477" t="str">
        <f t="shared" si="145"/>
        <v>No</v>
      </c>
      <c r="BN231" s="477" t="str">
        <f>IF(OR(Inventory!$H238="",$BM231="No"),"-",Inventory!$H238)</f>
        <v>-</v>
      </c>
      <c r="BO231" s="477" t="str">
        <f>IFERROR(VLOOKUP(BN231,'Early Retirement'!$B$6:$C$33,2,FALSE),"-")</f>
        <v>-</v>
      </c>
      <c r="BP231" s="477" t="str">
        <f>IF(Inventory!$J238="Centrifugal","Yes","No")</f>
        <v>No</v>
      </c>
      <c r="BQ231" s="477">
        <f t="shared" si="167"/>
        <v>0</v>
      </c>
      <c r="BR231" s="477" t="str">
        <f t="shared" si="168"/>
        <v>-</v>
      </c>
      <c r="BS231" s="479">
        <f>IFERROR(INDEX('Early Retirement'!$C$4:$AC$33,$BO231,$BR231),0)</f>
        <v>0</v>
      </c>
      <c r="BT231" s="477">
        <f>IFERROR(HLOOKUP($BR231,'Early Retirement'!$D$4:$AC$5,2,FALSE),0)</f>
        <v>0</v>
      </c>
      <c r="BU231" s="761">
        <f>IFERROR(INDEX('Early Retirement'!$AE$4:$BE$33,$BO231,$BR231),0)</f>
        <v>0</v>
      </c>
      <c r="BV231" s="759">
        <f>IFERROR(HLOOKUP($BR231,'Early Retirement'!$AF$4:$BE$5,2,FALSE),0)</f>
        <v>0</v>
      </c>
      <c r="BW231" s="479">
        <f t="shared" si="175"/>
        <v>0</v>
      </c>
      <c r="BX231" s="761">
        <f t="shared" si="169"/>
        <v>0</v>
      </c>
      <c r="BY231" s="477" t="s">
        <v>46</v>
      </c>
      <c r="BZ231" s="598">
        <f>IFERROR(INDEX('Early Retirement'!$BG$4:$CG$33,$BO231,$BR231),0)</f>
        <v>0</v>
      </c>
      <c r="CA231" s="759">
        <f>IFERROR(HLOOKUP($BR231,'Early Retirement'!$BH$4:$CH$5,2,FALSE),0)</f>
        <v>0</v>
      </c>
      <c r="CB231" s="598">
        <f t="shared" si="170"/>
        <v>0</v>
      </c>
      <c r="CC231" s="759" t="s">
        <v>567</v>
      </c>
      <c r="CD231" s="477" t="str">
        <f t="shared" si="146"/>
        <v>Yes</v>
      </c>
      <c r="CE231" s="479">
        <f t="shared" si="147"/>
        <v>0</v>
      </c>
      <c r="CF231" s="761">
        <f t="shared" si="148"/>
        <v>0</v>
      </c>
      <c r="CG231" s="759" t="s">
        <v>46</v>
      </c>
      <c r="CH231" s="598">
        <f t="shared" si="171"/>
        <v>0</v>
      </c>
      <c r="CI231" s="759" t="s">
        <v>567</v>
      </c>
      <c r="CJ231" s="480">
        <f t="shared" si="172"/>
        <v>0</v>
      </c>
      <c r="CK231" s="583">
        <f t="shared" si="173"/>
        <v>0</v>
      </c>
      <c r="CL231" s="596" t="s">
        <v>46</v>
      </c>
      <c r="CM231" s="581">
        <f t="shared" si="174"/>
        <v>0</v>
      </c>
      <c r="CN231" s="762" t="s">
        <v>567</v>
      </c>
      <c r="CW231" s="630"/>
      <c r="CX231" s="630"/>
      <c r="CY231" s="630"/>
      <c r="CZ231" s="630"/>
      <c r="DA231" s="630"/>
    </row>
    <row r="232" spans="2:105" s="78" customFormat="1" ht="15" customHeight="1" x14ac:dyDescent="0.25">
      <c r="B232" s="77"/>
      <c r="E232" s="77"/>
      <c r="H232" s="77"/>
      <c r="Y232" s="90">
        <v>230</v>
      </c>
      <c r="Z232" s="559" t="str">
        <f>IF(Inventory!$C239="","",VLOOKUP(Inventory!$C239,$B$3:$C$5,2,FALSE))</f>
        <v/>
      </c>
      <c r="AA232" s="559" t="str">
        <f>IF($Z232="","",IF(AND($Z232="b",Inventory!$G239=""),"",IF(AND($Z232="b",Inventory!$G239&lt;&gt;""),VLOOKUP(Inventory!$G239,$E$3:$F$10,2,FALSE),IF(AND($Z232="a",Inventory!$Z239=""),"",IF(AND($Z232="a",Inventory!$Z239&lt;&gt;""),VLOOKUP(Inventory!$Z239,$E$3:$F$10,2,FALSE),IF(AND($Z232="c",Inventory!$Z239=""),"",IF(AND($Z232="c",Inventory!$Z239&lt;&gt;""),VLOOKUP(Inventory!$Z239,$E$3:$F$10,2,FALSE),"")))))))</f>
        <v/>
      </c>
      <c r="AB232" s="559" t="str">
        <f>IF($Z232="","a",IF(AND($Z232="b",Inventory!$J239=""),"a",IF(AND($Z232="b",Inventory!$J239&lt;&gt;""),VLOOKUP(Inventory!$J239,$H$4:$I$6,2,FALSE),IF(AND($Z232="a",Inventory!$AA239=""),"a",IF(AND($Z232="a",Inventory!$AA239&lt;&gt;""),VLOOKUP(Inventory!$AA239,$H$4:$I$6,2,FALSE),IF(AND($Z232="c",Inventory!$AA239=""),"a",IF(AND($Z232="c",Inventory!$AA239&lt;&gt;""),VLOOKUP(Inventory!$AA239,$H$4:$I$6,2,FALSE),"a")))))))</f>
        <v>a</v>
      </c>
      <c r="AC232" s="559" t="str">
        <f t="shared" si="149"/>
        <v>a</v>
      </c>
      <c r="AD232" s="473" t="str">
        <f>IF($Z232="","a",IF(AND($Z232="b",Inventory!$L239=""),"a",IF(AND($Z232="b",Inventory!$L239&lt;&gt;""),VLOOKUP(Inventory!$L239,$N$4:$O$5,2,FALSE),IF(AND($Z232="a",Inventory!$AC239=""),"a",IF(AND($Z232="a",Inventory!$AC239&lt;&gt;""),VLOOKUP(Inventory!$AC239,$N$4:$O$5,2,FALSE),IF(AND($Z232="c",Inventory!$AC239=""),"a",IF(AND($Z232="c",Inventory!$AC239&lt;&gt;""),VLOOKUP(Inventory!$AC239,$N$4:$O$5,2,FALSE),"a")))))))</f>
        <v>a</v>
      </c>
      <c r="AE232" s="474">
        <f>IF(OR(Inventory!C239="New Construction",Inventory!C239="Replace-on-Burnout"),Inventory!AF239,IF(Inventory!C239="Early Retirement",MIN(Inventory!AE239,Inventory!AF239),0))</f>
        <v>0</v>
      </c>
      <c r="AF232" s="475" t="str">
        <f t="shared" si="150"/>
        <v/>
      </c>
      <c r="AG232" s="475" t="str">
        <f t="shared" si="138"/>
        <v/>
      </c>
      <c r="AH232" s="475" t="str">
        <f t="shared" si="139"/>
        <v/>
      </c>
      <c r="AI232" s="475" t="str">
        <f t="shared" si="140"/>
        <v/>
      </c>
      <c r="AJ232" s="475" t="str">
        <f t="shared" si="141"/>
        <v/>
      </c>
      <c r="AK232" s="475" t="str">
        <f t="shared" si="151"/>
        <v/>
      </c>
      <c r="AL232" s="475" t="str">
        <f t="shared" si="152"/>
        <v/>
      </c>
      <c r="AM232" s="475" t="str">
        <f t="shared" si="153"/>
        <v/>
      </c>
      <c r="AN232" s="475" t="str">
        <f t="shared" si="154"/>
        <v/>
      </c>
      <c r="AO232" s="475" t="str">
        <f t="shared" si="155"/>
        <v/>
      </c>
      <c r="AP232" s="475" t="str">
        <f t="shared" si="156"/>
        <v/>
      </c>
      <c r="AQ232" s="475" t="str">
        <f t="shared" si="157"/>
        <v/>
      </c>
      <c r="AR232" s="475" t="str">
        <f t="shared" si="158"/>
        <v/>
      </c>
      <c r="AS232" s="475" t="str">
        <f t="shared" si="159"/>
        <v/>
      </c>
      <c r="AT232" s="475" t="str">
        <f t="shared" si="160"/>
        <v/>
      </c>
      <c r="AU232" s="475" t="str">
        <f t="shared" si="161"/>
        <v/>
      </c>
      <c r="AV232" s="475" t="str">
        <f t="shared" si="142"/>
        <v/>
      </c>
      <c r="AW232" s="473">
        <f t="shared" si="143"/>
        <v>0</v>
      </c>
      <c r="AX232" s="473" t="str">
        <f>IF(AND($Z232="b",OR($AA232="a",$AA232="b"),Inventory!$I239="",$AE232&lt;(65000/12000)),"x",IF(AND($Z232="b",OR($AA232="a",$AA232="b"),Inventory!$I239&lt;&gt;"",$AE232&lt;(65000/12000)),VLOOKUP(Inventory!$I239,$V$4:$W$5,2,FALSE),"x"))</f>
        <v>x</v>
      </c>
      <c r="AY232" s="476" t="str">
        <f t="shared" si="162"/>
        <v>aaa0</v>
      </c>
      <c r="AZ232" s="477" t="str">
        <f t="shared" si="163"/>
        <v>No</v>
      </c>
      <c r="BA232" s="759" t="str">
        <f t="shared" si="164"/>
        <v>No</v>
      </c>
      <c r="BB232" s="477">
        <f>IF($Z232="c",Inventory!$AB239,Inventory!$K239)</f>
        <v>0</v>
      </c>
      <c r="BC232" s="478">
        <f>IF(AND($Z232="b",Inventory!$N239="Btu/hr"),Inventory!$M239,IF(AND($Z232="b",Inventory!$N239="Tons"),Inventory!$M239*12000,IF(AND($Z232&lt;&gt;"b",Inventory!$AK239="Btu/hr"),Inventory!$AD239,IF(AND($Z232&lt;&gt;"b",Inventory!$AK239="Tons"),Inventory!$AD239*12000,0))))</f>
        <v>0</v>
      </c>
      <c r="BD232" s="478">
        <f t="shared" si="136"/>
        <v>0</v>
      </c>
      <c r="BE232" s="479">
        <f t="shared" si="165"/>
        <v>0</v>
      </c>
      <c r="BF232" s="477" t="s">
        <v>50</v>
      </c>
      <c r="BG232" s="479">
        <f t="shared" si="144"/>
        <v>0</v>
      </c>
      <c r="BH232" s="477" t="s">
        <v>46</v>
      </c>
      <c r="BI232" s="760">
        <f>IF(AND($Z232="b",Inventory!$P239="Btu/hr"),Inventory!$O239,IF(AND($Z232="b",Inventory!$P239="Tons"),Inventory!$O239*12000,IF(AND($Z232&lt;&gt;"b",Inventory!$AM239="Btu/hr"),Inventory!$AL239,IF(AND($Z232&lt;&gt;"b",Inventory!$AM239="Tons"),Inventory!$AL239*12000,0))))</f>
        <v>0</v>
      </c>
      <c r="BJ232" s="760">
        <f t="shared" si="137"/>
        <v>0</v>
      </c>
      <c r="BK232" s="598">
        <f t="shared" si="166"/>
        <v>0</v>
      </c>
      <c r="BL232" s="759" t="s">
        <v>567</v>
      </c>
      <c r="BM232" s="477" t="str">
        <f t="shared" si="145"/>
        <v>No</v>
      </c>
      <c r="BN232" s="477" t="str">
        <f>IF(OR(Inventory!$H239="",$BM232="No"),"-",Inventory!$H239)</f>
        <v>-</v>
      </c>
      <c r="BO232" s="477" t="str">
        <f>IFERROR(VLOOKUP(BN232,'Early Retirement'!$B$6:$C$33,2,FALSE),"-")</f>
        <v>-</v>
      </c>
      <c r="BP232" s="477" t="str">
        <f>IF(Inventory!$J239="Centrifugal","Yes","No")</f>
        <v>No</v>
      </c>
      <c r="BQ232" s="477">
        <f t="shared" si="167"/>
        <v>0</v>
      </c>
      <c r="BR232" s="477" t="str">
        <f t="shared" si="168"/>
        <v>-</v>
      </c>
      <c r="BS232" s="479">
        <f>IFERROR(INDEX('Early Retirement'!$C$4:$AC$33,$BO232,$BR232),0)</f>
        <v>0</v>
      </c>
      <c r="BT232" s="477">
        <f>IFERROR(HLOOKUP($BR232,'Early Retirement'!$D$4:$AC$5,2,FALSE),0)</f>
        <v>0</v>
      </c>
      <c r="BU232" s="761">
        <f>IFERROR(INDEX('Early Retirement'!$AE$4:$BE$33,$BO232,$BR232),0)</f>
        <v>0</v>
      </c>
      <c r="BV232" s="759">
        <f>IFERROR(HLOOKUP($BR232,'Early Retirement'!$AF$4:$BE$5,2,FALSE),0)</f>
        <v>0</v>
      </c>
      <c r="BW232" s="479">
        <f t="shared" si="175"/>
        <v>0</v>
      </c>
      <c r="BX232" s="761">
        <f t="shared" si="169"/>
        <v>0</v>
      </c>
      <c r="BY232" s="477" t="s">
        <v>46</v>
      </c>
      <c r="BZ232" s="598">
        <f>IFERROR(INDEX('Early Retirement'!$BG$4:$CG$33,$BO232,$BR232),0)</f>
        <v>0</v>
      </c>
      <c r="CA232" s="759">
        <f>IFERROR(HLOOKUP($BR232,'Early Retirement'!$BH$4:$CH$5,2,FALSE),0)</f>
        <v>0</v>
      </c>
      <c r="CB232" s="598">
        <f t="shared" si="170"/>
        <v>0</v>
      </c>
      <c r="CC232" s="759" t="s">
        <v>567</v>
      </c>
      <c r="CD232" s="477" t="str">
        <f t="shared" si="146"/>
        <v>Yes</v>
      </c>
      <c r="CE232" s="479">
        <f t="shared" si="147"/>
        <v>0</v>
      </c>
      <c r="CF232" s="761">
        <f t="shared" si="148"/>
        <v>0</v>
      </c>
      <c r="CG232" s="759" t="s">
        <v>46</v>
      </c>
      <c r="CH232" s="598">
        <f t="shared" si="171"/>
        <v>0</v>
      </c>
      <c r="CI232" s="759" t="s">
        <v>567</v>
      </c>
      <c r="CJ232" s="480">
        <f t="shared" si="172"/>
        <v>0</v>
      </c>
      <c r="CK232" s="583">
        <f t="shared" si="173"/>
        <v>0</v>
      </c>
      <c r="CL232" s="596" t="s">
        <v>46</v>
      </c>
      <c r="CM232" s="581">
        <f t="shared" si="174"/>
        <v>0</v>
      </c>
      <c r="CN232" s="762" t="s">
        <v>567</v>
      </c>
      <c r="CW232" s="630"/>
      <c r="CX232" s="630"/>
      <c r="CY232" s="630"/>
      <c r="CZ232" s="630"/>
      <c r="DA232" s="630"/>
    </row>
    <row r="233" spans="2:105" s="78" customFormat="1" ht="15" customHeight="1" x14ac:dyDescent="0.25">
      <c r="B233" s="77"/>
      <c r="E233" s="77"/>
      <c r="H233" s="77"/>
      <c r="Y233" s="90">
        <v>231</v>
      </c>
      <c r="Z233" s="559" t="str">
        <f>IF(Inventory!$C240="","",VLOOKUP(Inventory!$C240,$B$3:$C$5,2,FALSE))</f>
        <v/>
      </c>
      <c r="AA233" s="559" t="str">
        <f>IF($Z233="","",IF(AND($Z233="b",Inventory!$G240=""),"",IF(AND($Z233="b",Inventory!$G240&lt;&gt;""),VLOOKUP(Inventory!$G240,$E$3:$F$10,2,FALSE),IF(AND($Z233="a",Inventory!$Z240=""),"",IF(AND($Z233="a",Inventory!$Z240&lt;&gt;""),VLOOKUP(Inventory!$Z240,$E$3:$F$10,2,FALSE),IF(AND($Z233="c",Inventory!$Z240=""),"",IF(AND($Z233="c",Inventory!$Z240&lt;&gt;""),VLOOKUP(Inventory!$Z240,$E$3:$F$10,2,FALSE),"")))))))</f>
        <v/>
      </c>
      <c r="AB233" s="559" t="str">
        <f>IF($Z233="","a",IF(AND($Z233="b",Inventory!$J240=""),"a",IF(AND($Z233="b",Inventory!$J240&lt;&gt;""),VLOOKUP(Inventory!$J240,$H$4:$I$6,2,FALSE),IF(AND($Z233="a",Inventory!$AA240=""),"a",IF(AND($Z233="a",Inventory!$AA240&lt;&gt;""),VLOOKUP(Inventory!$AA240,$H$4:$I$6,2,FALSE),IF(AND($Z233="c",Inventory!$AA240=""),"a",IF(AND($Z233="c",Inventory!$AA240&lt;&gt;""),VLOOKUP(Inventory!$AA240,$H$4:$I$6,2,FALSE),"a")))))))</f>
        <v>a</v>
      </c>
      <c r="AC233" s="559" t="str">
        <f t="shared" si="149"/>
        <v>a</v>
      </c>
      <c r="AD233" s="473" t="str">
        <f>IF($Z233="","a",IF(AND($Z233="b",Inventory!$L240=""),"a",IF(AND($Z233="b",Inventory!$L240&lt;&gt;""),VLOOKUP(Inventory!$L240,$N$4:$O$5,2,FALSE),IF(AND($Z233="a",Inventory!$AC240=""),"a",IF(AND($Z233="a",Inventory!$AC240&lt;&gt;""),VLOOKUP(Inventory!$AC240,$N$4:$O$5,2,FALSE),IF(AND($Z233="c",Inventory!$AC240=""),"a",IF(AND($Z233="c",Inventory!$AC240&lt;&gt;""),VLOOKUP(Inventory!$AC240,$N$4:$O$5,2,FALSE),"a")))))))</f>
        <v>a</v>
      </c>
      <c r="AE233" s="474">
        <f>IF(OR(Inventory!C240="New Construction",Inventory!C240="Replace-on-Burnout"),Inventory!AF240,IF(Inventory!C240="Early Retirement",MIN(Inventory!AE240,Inventory!AF240),0))</f>
        <v>0</v>
      </c>
      <c r="AF233" s="475" t="str">
        <f t="shared" si="150"/>
        <v/>
      </c>
      <c r="AG233" s="475" t="str">
        <f t="shared" si="138"/>
        <v/>
      </c>
      <c r="AH233" s="475" t="str">
        <f t="shared" si="139"/>
        <v/>
      </c>
      <c r="AI233" s="475" t="str">
        <f t="shared" si="140"/>
        <v/>
      </c>
      <c r="AJ233" s="475" t="str">
        <f t="shared" si="141"/>
        <v/>
      </c>
      <c r="AK233" s="475" t="str">
        <f t="shared" si="151"/>
        <v/>
      </c>
      <c r="AL233" s="475" t="str">
        <f t="shared" si="152"/>
        <v/>
      </c>
      <c r="AM233" s="475" t="str">
        <f t="shared" si="153"/>
        <v/>
      </c>
      <c r="AN233" s="475" t="str">
        <f t="shared" si="154"/>
        <v/>
      </c>
      <c r="AO233" s="475" t="str">
        <f t="shared" si="155"/>
        <v/>
      </c>
      <c r="AP233" s="475" t="str">
        <f t="shared" si="156"/>
        <v/>
      </c>
      <c r="AQ233" s="475" t="str">
        <f t="shared" si="157"/>
        <v/>
      </c>
      <c r="AR233" s="475" t="str">
        <f t="shared" si="158"/>
        <v/>
      </c>
      <c r="AS233" s="475" t="str">
        <f t="shared" si="159"/>
        <v/>
      </c>
      <c r="AT233" s="475" t="str">
        <f t="shared" si="160"/>
        <v/>
      </c>
      <c r="AU233" s="475" t="str">
        <f t="shared" si="161"/>
        <v/>
      </c>
      <c r="AV233" s="475" t="str">
        <f t="shared" si="142"/>
        <v/>
      </c>
      <c r="AW233" s="473">
        <f t="shared" si="143"/>
        <v>0</v>
      </c>
      <c r="AX233" s="473" t="str">
        <f>IF(AND($Z233="b",OR($AA233="a",$AA233="b"),Inventory!$I240="",$AE233&lt;(65000/12000)),"x",IF(AND($Z233="b",OR($AA233="a",$AA233="b"),Inventory!$I240&lt;&gt;"",$AE233&lt;(65000/12000)),VLOOKUP(Inventory!$I240,$V$4:$W$5,2,FALSE),"x"))</f>
        <v>x</v>
      </c>
      <c r="AY233" s="476" t="str">
        <f t="shared" si="162"/>
        <v>aaa0</v>
      </c>
      <c r="AZ233" s="477" t="str">
        <f t="shared" si="163"/>
        <v>No</v>
      </c>
      <c r="BA233" s="759" t="str">
        <f t="shared" si="164"/>
        <v>No</v>
      </c>
      <c r="BB233" s="477">
        <f>IF($Z233="c",Inventory!$AB240,Inventory!$K240)</f>
        <v>0</v>
      </c>
      <c r="BC233" s="478">
        <f>IF(AND($Z233="b",Inventory!$N240="Btu/hr"),Inventory!$M240,IF(AND($Z233="b",Inventory!$N240="Tons"),Inventory!$M240*12000,IF(AND($Z233&lt;&gt;"b",Inventory!$AK240="Btu/hr"),Inventory!$AD240,IF(AND($Z233&lt;&gt;"b",Inventory!$AK240="Tons"),Inventory!$AD240*12000,0))))</f>
        <v>0</v>
      </c>
      <c r="BD233" s="478">
        <f t="shared" si="136"/>
        <v>0</v>
      </c>
      <c r="BE233" s="479">
        <f t="shared" si="165"/>
        <v>0</v>
      </c>
      <c r="BF233" s="477" t="s">
        <v>50</v>
      </c>
      <c r="BG233" s="479">
        <f t="shared" si="144"/>
        <v>0</v>
      </c>
      <c r="BH233" s="477" t="s">
        <v>46</v>
      </c>
      <c r="BI233" s="760">
        <f>IF(AND($Z233="b",Inventory!$P240="Btu/hr"),Inventory!$O240,IF(AND($Z233="b",Inventory!$P240="Tons"),Inventory!$O240*12000,IF(AND($Z233&lt;&gt;"b",Inventory!$AM240="Btu/hr"),Inventory!$AL240,IF(AND($Z233&lt;&gt;"b",Inventory!$AM240="Tons"),Inventory!$AL240*12000,0))))</f>
        <v>0</v>
      </c>
      <c r="BJ233" s="760">
        <f t="shared" si="137"/>
        <v>0</v>
      </c>
      <c r="BK233" s="598">
        <f t="shared" si="166"/>
        <v>0</v>
      </c>
      <c r="BL233" s="759" t="s">
        <v>567</v>
      </c>
      <c r="BM233" s="477" t="str">
        <f t="shared" si="145"/>
        <v>No</v>
      </c>
      <c r="BN233" s="477" t="str">
        <f>IF(OR(Inventory!$H240="",$BM233="No"),"-",Inventory!$H240)</f>
        <v>-</v>
      </c>
      <c r="BO233" s="477" t="str">
        <f>IFERROR(VLOOKUP(BN233,'Early Retirement'!$B$6:$C$33,2,FALSE),"-")</f>
        <v>-</v>
      </c>
      <c r="BP233" s="477" t="str">
        <f>IF(Inventory!$J240="Centrifugal","Yes","No")</f>
        <v>No</v>
      </c>
      <c r="BQ233" s="477">
        <f t="shared" si="167"/>
        <v>0</v>
      </c>
      <c r="BR233" s="477" t="str">
        <f t="shared" si="168"/>
        <v>-</v>
      </c>
      <c r="BS233" s="479">
        <f>IFERROR(INDEX('Early Retirement'!$C$4:$AC$33,$BO233,$BR233),0)</f>
        <v>0</v>
      </c>
      <c r="BT233" s="477">
        <f>IFERROR(HLOOKUP($BR233,'Early Retirement'!$D$4:$AC$5,2,FALSE),0)</f>
        <v>0</v>
      </c>
      <c r="BU233" s="761">
        <f>IFERROR(INDEX('Early Retirement'!$AE$4:$BE$33,$BO233,$BR233),0)</f>
        <v>0</v>
      </c>
      <c r="BV233" s="759">
        <f>IFERROR(HLOOKUP($BR233,'Early Retirement'!$AF$4:$BE$5,2,FALSE),0)</f>
        <v>0</v>
      </c>
      <c r="BW233" s="479">
        <f t="shared" si="175"/>
        <v>0</v>
      </c>
      <c r="BX233" s="761">
        <f t="shared" si="169"/>
        <v>0</v>
      </c>
      <c r="BY233" s="477" t="s">
        <v>46</v>
      </c>
      <c r="BZ233" s="598">
        <f>IFERROR(INDEX('Early Retirement'!$BG$4:$CG$33,$BO233,$BR233),0)</f>
        <v>0</v>
      </c>
      <c r="CA233" s="759">
        <f>IFERROR(HLOOKUP($BR233,'Early Retirement'!$BH$4:$CH$5,2,FALSE),0)</f>
        <v>0</v>
      </c>
      <c r="CB233" s="598">
        <f t="shared" si="170"/>
        <v>0</v>
      </c>
      <c r="CC233" s="759" t="s">
        <v>567</v>
      </c>
      <c r="CD233" s="477" t="str">
        <f t="shared" si="146"/>
        <v>Yes</v>
      </c>
      <c r="CE233" s="479">
        <f t="shared" si="147"/>
        <v>0</v>
      </c>
      <c r="CF233" s="761">
        <f t="shared" si="148"/>
        <v>0</v>
      </c>
      <c r="CG233" s="759" t="s">
        <v>46</v>
      </c>
      <c r="CH233" s="598">
        <f t="shared" si="171"/>
        <v>0</v>
      </c>
      <c r="CI233" s="759" t="s">
        <v>567</v>
      </c>
      <c r="CJ233" s="480">
        <f t="shared" si="172"/>
        <v>0</v>
      </c>
      <c r="CK233" s="583">
        <f t="shared" si="173"/>
        <v>0</v>
      </c>
      <c r="CL233" s="596" t="s">
        <v>46</v>
      </c>
      <c r="CM233" s="581">
        <f t="shared" si="174"/>
        <v>0</v>
      </c>
      <c r="CN233" s="762" t="s">
        <v>567</v>
      </c>
      <c r="CW233" s="630"/>
      <c r="CX233" s="630"/>
      <c r="CY233" s="630"/>
      <c r="CZ233" s="630"/>
      <c r="DA233" s="630"/>
    </row>
    <row r="234" spans="2:105" s="78" customFormat="1" ht="15" customHeight="1" x14ac:dyDescent="0.25">
      <c r="B234" s="77"/>
      <c r="E234" s="77"/>
      <c r="H234" s="77"/>
      <c r="Y234" s="90">
        <v>232</v>
      </c>
      <c r="Z234" s="559" t="str">
        <f>IF(Inventory!$C241="","",VLOOKUP(Inventory!$C241,$B$3:$C$5,2,FALSE))</f>
        <v/>
      </c>
      <c r="AA234" s="559" t="str">
        <f>IF($Z234="","",IF(AND($Z234="b",Inventory!$G241=""),"",IF(AND($Z234="b",Inventory!$G241&lt;&gt;""),VLOOKUP(Inventory!$G241,$E$3:$F$10,2,FALSE),IF(AND($Z234="a",Inventory!$Z241=""),"",IF(AND($Z234="a",Inventory!$Z241&lt;&gt;""),VLOOKUP(Inventory!$Z241,$E$3:$F$10,2,FALSE),IF(AND($Z234="c",Inventory!$Z241=""),"",IF(AND($Z234="c",Inventory!$Z241&lt;&gt;""),VLOOKUP(Inventory!$Z241,$E$3:$F$10,2,FALSE),"")))))))</f>
        <v/>
      </c>
      <c r="AB234" s="559" t="str">
        <f>IF($Z234="","a",IF(AND($Z234="b",Inventory!$J241=""),"a",IF(AND($Z234="b",Inventory!$J241&lt;&gt;""),VLOOKUP(Inventory!$J241,$H$4:$I$6,2,FALSE),IF(AND($Z234="a",Inventory!$AA241=""),"a",IF(AND($Z234="a",Inventory!$AA241&lt;&gt;""),VLOOKUP(Inventory!$AA241,$H$4:$I$6,2,FALSE),IF(AND($Z234="c",Inventory!$AA241=""),"a",IF(AND($Z234="c",Inventory!$AA241&lt;&gt;""),VLOOKUP(Inventory!$AA241,$H$4:$I$6,2,FALSE),"a")))))))</f>
        <v>a</v>
      </c>
      <c r="AC234" s="559" t="str">
        <f t="shared" si="149"/>
        <v>a</v>
      </c>
      <c r="AD234" s="473" t="str">
        <f>IF($Z234="","a",IF(AND($Z234="b",Inventory!$L241=""),"a",IF(AND($Z234="b",Inventory!$L241&lt;&gt;""),VLOOKUP(Inventory!$L241,$N$4:$O$5,2,FALSE),IF(AND($Z234="a",Inventory!$AC241=""),"a",IF(AND($Z234="a",Inventory!$AC241&lt;&gt;""),VLOOKUP(Inventory!$AC241,$N$4:$O$5,2,FALSE),IF(AND($Z234="c",Inventory!$AC241=""),"a",IF(AND($Z234="c",Inventory!$AC241&lt;&gt;""),VLOOKUP(Inventory!$AC241,$N$4:$O$5,2,FALSE),"a")))))))</f>
        <v>a</v>
      </c>
      <c r="AE234" s="474">
        <f>IF(OR(Inventory!C241="New Construction",Inventory!C241="Replace-on-Burnout"),Inventory!AF241,IF(Inventory!C241="Early Retirement",MIN(Inventory!AE241,Inventory!AF241),0))</f>
        <v>0</v>
      </c>
      <c r="AF234" s="475" t="str">
        <f t="shared" si="150"/>
        <v/>
      </c>
      <c r="AG234" s="475" t="str">
        <f t="shared" si="138"/>
        <v/>
      </c>
      <c r="AH234" s="475" t="str">
        <f t="shared" si="139"/>
        <v/>
      </c>
      <c r="AI234" s="475" t="str">
        <f t="shared" si="140"/>
        <v/>
      </c>
      <c r="AJ234" s="475" t="str">
        <f t="shared" si="141"/>
        <v/>
      </c>
      <c r="AK234" s="475" t="str">
        <f t="shared" si="151"/>
        <v/>
      </c>
      <c r="AL234" s="475" t="str">
        <f t="shared" si="152"/>
        <v/>
      </c>
      <c r="AM234" s="475" t="str">
        <f t="shared" si="153"/>
        <v/>
      </c>
      <c r="AN234" s="475" t="str">
        <f t="shared" si="154"/>
        <v/>
      </c>
      <c r="AO234" s="475" t="str">
        <f t="shared" si="155"/>
        <v/>
      </c>
      <c r="AP234" s="475" t="str">
        <f t="shared" si="156"/>
        <v/>
      </c>
      <c r="AQ234" s="475" t="str">
        <f t="shared" si="157"/>
        <v/>
      </c>
      <c r="AR234" s="475" t="str">
        <f t="shared" si="158"/>
        <v/>
      </c>
      <c r="AS234" s="475" t="str">
        <f t="shared" si="159"/>
        <v/>
      </c>
      <c r="AT234" s="475" t="str">
        <f t="shared" si="160"/>
        <v/>
      </c>
      <c r="AU234" s="475" t="str">
        <f t="shared" si="161"/>
        <v/>
      </c>
      <c r="AV234" s="475" t="str">
        <f t="shared" si="142"/>
        <v/>
      </c>
      <c r="AW234" s="473">
        <f t="shared" si="143"/>
        <v>0</v>
      </c>
      <c r="AX234" s="473" t="str">
        <f>IF(AND($Z234="b",OR($AA234="a",$AA234="b"),Inventory!$I241="",$AE234&lt;(65000/12000)),"x",IF(AND($Z234="b",OR($AA234="a",$AA234="b"),Inventory!$I241&lt;&gt;"",$AE234&lt;(65000/12000)),VLOOKUP(Inventory!$I241,$V$4:$W$5,2,FALSE),"x"))</f>
        <v>x</v>
      </c>
      <c r="AY234" s="476" t="str">
        <f t="shared" si="162"/>
        <v>aaa0</v>
      </c>
      <c r="AZ234" s="477" t="str">
        <f t="shared" si="163"/>
        <v>No</v>
      </c>
      <c r="BA234" s="759" t="str">
        <f t="shared" si="164"/>
        <v>No</v>
      </c>
      <c r="BB234" s="477">
        <f>IF($Z234="c",Inventory!$AB241,Inventory!$K241)</f>
        <v>0</v>
      </c>
      <c r="BC234" s="478">
        <f>IF(AND($Z234="b",Inventory!$N241="Btu/hr"),Inventory!$M241,IF(AND($Z234="b",Inventory!$N241="Tons"),Inventory!$M241*12000,IF(AND($Z234&lt;&gt;"b",Inventory!$AK241="Btu/hr"),Inventory!$AD241,IF(AND($Z234&lt;&gt;"b",Inventory!$AK241="Tons"),Inventory!$AD241*12000,0))))</f>
        <v>0</v>
      </c>
      <c r="BD234" s="478">
        <f t="shared" si="136"/>
        <v>0</v>
      </c>
      <c r="BE234" s="479">
        <f t="shared" si="165"/>
        <v>0</v>
      </c>
      <c r="BF234" s="477" t="s">
        <v>50</v>
      </c>
      <c r="BG234" s="479">
        <f t="shared" si="144"/>
        <v>0</v>
      </c>
      <c r="BH234" s="477" t="s">
        <v>46</v>
      </c>
      <c r="BI234" s="760">
        <f>IF(AND($Z234="b",Inventory!$P241="Btu/hr"),Inventory!$O241,IF(AND($Z234="b",Inventory!$P241="Tons"),Inventory!$O241*12000,IF(AND($Z234&lt;&gt;"b",Inventory!$AM241="Btu/hr"),Inventory!$AL241,IF(AND($Z234&lt;&gt;"b",Inventory!$AM241="Tons"),Inventory!$AL241*12000,0))))</f>
        <v>0</v>
      </c>
      <c r="BJ234" s="760">
        <f t="shared" si="137"/>
        <v>0</v>
      </c>
      <c r="BK234" s="598">
        <f t="shared" si="166"/>
        <v>0</v>
      </c>
      <c r="BL234" s="759" t="s">
        <v>567</v>
      </c>
      <c r="BM234" s="477" t="str">
        <f t="shared" si="145"/>
        <v>No</v>
      </c>
      <c r="BN234" s="477" t="str">
        <f>IF(OR(Inventory!$H241="",$BM234="No"),"-",Inventory!$H241)</f>
        <v>-</v>
      </c>
      <c r="BO234" s="477" t="str">
        <f>IFERROR(VLOOKUP(BN234,'Early Retirement'!$B$6:$C$33,2,FALSE),"-")</f>
        <v>-</v>
      </c>
      <c r="BP234" s="477" t="str">
        <f>IF(Inventory!$J241="Centrifugal","Yes","No")</f>
        <v>No</v>
      </c>
      <c r="BQ234" s="477">
        <f t="shared" si="167"/>
        <v>0</v>
      </c>
      <c r="BR234" s="477" t="str">
        <f t="shared" si="168"/>
        <v>-</v>
      </c>
      <c r="BS234" s="479">
        <f>IFERROR(INDEX('Early Retirement'!$C$4:$AC$33,$BO234,$BR234),0)</f>
        <v>0</v>
      </c>
      <c r="BT234" s="477">
        <f>IFERROR(HLOOKUP($BR234,'Early Retirement'!$D$4:$AC$5,2,FALSE),0)</f>
        <v>0</v>
      </c>
      <c r="BU234" s="761">
        <f>IFERROR(INDEX('Early Retirement'!$AE$4:$BE$33,$BO234,$BR234),0)</f>
        <v>0</v>
      </c>
      <c r="BV234" s="759">
        <f>IFERROR(HLOOKUP($BR234,'Early Retirement'!$AF$4:$BE$5,2,FALSE),0)</f>
        <v>0</v>
      </c>
      <c r="BW234" s="479">
        <f t="shared" si="175"/>
        <v>0</v>
      </c>
      <c r="BX234" s="761">
        <f t="shared" si="169"/>
        <v>0</v>
      </c>
      <c r="BY234" s="477" t="s">
        <v>46</v>
      </c>
      <c r="BZ234" s="598">
        <f>IFERROR(INDEX('Early Retirement'!$BG$4:$CG$33,$BO234,$BR234),0)</f>
        <v>0</v>
      </c>
      <c r="CA234" s="759">
        <f>IFERROR(HLOOKUP($BR234,'Early Retirement'!$BH$4:$CH$5,2,FALSE),0)</f>
        <v>0</v>
      </c>
      <c r="CB234" s="598">
        <f t="shared" si="170"/>
        <v>0</v>
      </c>
      <c r="CC234" s="759" t="s">
        <v>567</v>
      </c>
      <c r="CD234" s="477" t="str">
        <f t="shared" si="146"/>
        <v>Yes</v>
      </c>
      <c r="CE234" s="479">
        <f t="shared" si="147"/>
        <v>0</v>
      </c>
      <c r="CF234" s="761">
        <f t="shared" si="148"/>
        <v>0</v>
      </c>
      <c r="CG234" s="759" t="s">
        <v>46</v>
      </c>
      <c r="CH234" s="598">
        <f t="shared" si="171"/>
        <v>0</v>
      </c>
      <c r="CI234" s="759" t="s">
        <v>567</v>
      </c>
      <c r="CJ234" s="480">
        <f t="shared" si="172"/>
        <v>0</v>
      </c>
      <c r="CK234" s="583">
        <f t="shared" si="173"/>
        <v>0</v>
      </c>
      <c r="CL234" s="596" t="s">
        <v>46</v>
      </c>
      <c r="CM234" s="581">
        <f t="shared" si="174"/>
        <v>0</v>
      </c>
      <c r="CN234" s="762" t="s">
        <v>567</v>
      </c>
      <c r="CW234" s="630"/>
      <c r="CX234" s="630"/>
      <c r="CY234" s="630"/>
      <c r="CZ234" s="630"/>
      <c r="DA234" s="630"/>
    </row>
    <row r="235" spans="2:105" s="78" customFormat="1" ht="15" customHeight="1" x14ac:dyDescent="0.25">
      <c r="B235" s="77"/>
      <c r="E235" s="77"/>
      <c r="H235" s="77"/>
      <c r="Y235" s="90">
        <v>233</v>
      </c>
      <c r="Z235" s="559" t="str">
        <f>IF(Inventory!$C242="","",VLOOKUP(Inventory!$C242,$B$3:$C$5,2,FALSE))</f>
        <v/>
      </c>
      <c r="AA235" s="559" t="str">
        <f>IF($Z235="","",IF(AND($Z235="b",Inventory!$G242=""),"",IF(AND($Z235="b",Inventory!$G242&lt;&gt;""),VLOOKUP(Inventory!$G242,$E$3:$F$10,2,FALSE),IF(AND($Z235="a",Inventory!$Z242=""),"",IF(AND($Z235="a",Inventory!$Z242&lt;&gt;""),VLOOKUP(Inventory!$Z242,$E$3:$F$10,2,FALSE),IF(AND($Z235="c",Inventory!$Z242=""),"",IF(AND($Z235="c",Inventory!$Z242&lt;&gt;""),VLOOKUP(Inventory!$Z242,$E$3:$F$10,2,FALSE),"")))))))</f>
        <v/>
      </c>
      <c r="AB235" s="559" t="str">
        <f>IF($Z235="","a",IF(AND($Z235="b",Inventory!$J242=""),"a",IF(AND($Z235="b",Inventory!$J242&lt;&gt;""),VLOOKUP(Inventory!$J242,$H$4:$I$6,2,FALSE),IF(AND($Z235="a",Inventory!$AA242=""),"a",IF(AND($Z235="a",Inventory!$AA242&lt;&gt;""),VLOOKUP(Inventory!$AA242,$H$4:$I$6,2,FALSE),IF(AND($Z235="c",Inventory!$AA242=""),"a",IF(AND($Z235="c",Inventory!$AA242&lt;&gt;""),VLOOKUP(Inventory!$AA242,$H$4:$I$6,2,FALSE),"a")))))))</f>
        <v>a</v>
      </c>
      <c r="AC235" s="559" t="str">
        <f t="shared" si="149"/>
        <v>a</v>
      </c>
      <c r="AD235" s="473" t="str">
        <f>IF($Z235="","a",IF(AND($Z235="b",Inventory!$L242=""),"a",IF(AND($Z235="b",Inventory!$L242&lt;&gt;""),VLOOKUP(Inventory!$L242,$N$4:$O$5,2,FALSE),IF(AND($Z235="a",Inventory!$AC242=""),"a",IF(AND($Z235="a",Inventory!$AC242&lt;&gt;""),VLOOKUP(Inventory!$AC242,$N$4:$O$5,2,FALSE),IF(AND($Z235="c",Inventory!$AC242=""),"a",IF(AND($Z235="c",Inventory!$AC242&lt;&gt;""),VLOOKUP(Inventory!$AC242,$N$4:$O$5,2,FALSE),"a")))))))</f>
        <v>a</v>
      </c>
      <c r="AE235" s="474">
        <f>IF(OR(Inventory!C242="New Construction",Inventory!C242="Replace-on-Burnout"),Inventory!AF242,IF(Inventory!C242="Early Retirement",MIN(Inventory!AE242,Inventory!AF242),0))</f>
        <v>0</v>
      </c>
      <c r="AF235" s="475" t="str">
        <f t="shared" si="150"/>
        <v/>
      </c>
      <c r="AG235" s="475" t="str">
        <f t="shared" si="138"/>
        <v/>
      </c>
      <c r="AH235" s="475" t="str">
        <f t="shared" si="139"/>
        <v/>
      </c>
      <c r="AI235" s="475" t="str">
        <f t="shared" si="140"/>
        <v/>
      </c>
      <c r="AJ235" s="475" t="str">
        <f t="shared" si="141"/>
        <v/>
      </c>
      <c r="AK235" s="475" t="str">
        <f t="shared" si="151"/>
        <v/>
      </c>
      <c r="AL235" s="475" t="str">
        <f t="shared" si="152"/>
        <v/>
      </c>
      <c r="AM235" s="475" t="str">
        <f t="shared" si="153"/>
        <v/>
      </c>
      <c r="AN235" s="475" t="str">
        <f t="shared" si="154"/>
        <v/>
      </c>
      <c r="AO235" s="475" t="str">
        <f t="shared" si="155"/>
        <v/>
      </c>
      <c r="AP235" s="475" t="str">
        <f t="shared" si="156"/>
        <v/>
      </c>
      <c r="AQ235" s="475" t="str">
        <f t="shared" si="157"/>
        <v/>
      </c>
      <c r="AR235" s="475" t="str">
        <f t="shared" si="158"/>
        <v/>
      </c>
      <c r="AS235" s="475" t="str">
        <f t="shared" si="159"/>
        <v/>
      </c>
      <c r="AT235" s="475" t="str">
        <f t="shared" si="160"/>
        <v/>
      </c>
      <c r="AU235" s="475" t="str">
        <f t="shared" si="161"/>
        <v/>
      </c>
      <c r="AV235" s="475" t="str">
        <f t="shared" si="142"/>
        <v/>
      </c>
      <c r="AW235" s="473">
        <f t="shared" si="143"/>
        <v>0</v>
      </c>
      <c r="AX235" s="473" t="str">
        <f>IF(AND($Z235="b",OR($AA235="a",$AA235="b"),Inventory!$I242="",$AE235&lt;(65000/12000)),"x",IF(AND($Z235="b",OR($AA235="a",$AA235="b"),Inventory!$I242&lt;&gt;"",$AE235&lt;(65000/12000)),VLOOKUP(Inventory!$I242,$V$4:$W$5,2,FALSE),"x"))</f>
        <v>x</v>
      </c>
      <c r="AY235" s="476" t="str">
        <f t="shared" si="162"/>
        <v>aaa0</v>
      </c>
      <c r="AZ235" s="477" t="str">
        <f t="shared" si="163"/>
        <v>No</v>
      </c>
      <c r="BA235" s="759" t="str">
        <f t="shared" si="164"/>
        <v>No</v>
      </c>
      <c r="BB235" s="477">
        <f>IF($Z235="c",Inventory!$AB242,Inventory!$K242)</f>
        <v>0</v>
      </c>
      <c r="BC235" s="478">
        <f>IF(AND($Z235="b",Inventory!$N242="Btu/hr"),Inventory!$M242,IF(AND($Z235="b",Inventory!$N242="Tons"),Inventory!$M242*12000,IF(AND($Z235&lt;&gt;"b",Inventory!$AK242="Btu/hr"),Inventory!$AD242,IF(AND($Z235&lt;&gt;"b",Inventory!$AK242="Tons"),Inventory!$AD242*12000,0))))</f>
        <v>0</v>
      </c>
      <c r="BD235" s="478">
        <f t="shared" si="136"/>
        <v>0</v>
      </c>
      <c r="BE235" s="479">
        <f t="shared" si="165"/>
        <v>0</v>
      </c>
      <c r="BF235" s="477" t="s">
        <v>50</v>
      </c>
      <c r="BG235" s="479">
        <f t="shared" si="144"/>
        <v>0</v>
      </c>
      <c r="BH235" s="477" t="s">
        <v>46</v>
      </c>
      <c r="BI235" s="760">
        <f>IF(AND($Z235="b",Inventory!$P242="Btu/hr"),Inventory!$O242,IF(AND($Z235="b",Inventory!$P242="Tons"),Inventory!$O242*12000,IF(AND($Z235&lt;&gt;"b",Inventory!$AM242="Btu/hr"),Inventory!$AL242,IF(AND($Z235&lt;&gt;"b",Inventory!$AM242="Tons"),Inventory!$AL242*12000,0))))</f>
        <v>0</v>
      </c>
      <c r="BJ235" s="760">
        <f t="shared" si="137"/>
        <v>0</v>
      </c>
      <c r="BK235" s="598">
        <f t="shared" si="166"/>
        <v>0</v>
      </c>
      <c r="BL235" s="759" t="s">
        <v>567</v>
      </c>
      <c r="BM235" s="477" t="str">
        <f t="shared" si="145"/>
        <v>No</v>
      </c>
      <c r="BN235" s="477" t="str">
        <f>IF(OR(Inventory!$H242="",$BM235="No"),"-",Inventory!$H242)</f>
        <v>-</v>
      </c>
      <c r="BO235" s="477" t="str">
        <f>IFERROR(VLOOKUP(BN235,'Early Retirement'!$B$6:$C$33,2,FALSE),"-")</f>
        <v>-</v>
      </c>
      <c r="BP235" s="477" t="str">
        <f>IF(Inventory!$J242="Centrifugal","Yes","No")</f>
        <v>No</v>
      </c>
      <c r="BQ235" s="477">
        <f t="shared" si="167"/>
        <v>0</v>
      </c>
      <c r="BR235" s="477" t="str">
        <f t="shared" si="168"/>
        <v>-</v>
      </c>
      <c r="BS235" s="479">
        <f>IFERROR(INDEX('Early Retirement'!$C$4:$AC$33,$BO235,$BR235),0)</f>
        <v>0</v>
      </c>
      <c r="BT235" s="477">
        <f>IFERROR(HLOOKUP($BR235,'Early Retirement'!$D$4:$AC$5,2,FALSE),0)</f>
        <v>0</v>
      </c>
      <c r="BU235" s="761">
        <f>IFERROR(INDEX('Early Retirement'!$AE$4:$BE$33,$BO235,$BR235),0)</f>
        <v>0</v>
      </c>
      <c r="BV235" s="759">
        <f>IFERROR(HLOOKUP($BR235,'Early Retirement'!$AF$4:$BE$5,2,FALSE),0)</f>
        <v>0</v>
      </c>
      <c r="BW235" s="479">
        <f t="shared" si="175"/>
        <v>0</v>
      </c>
      <c r="BX235" s="761">
        <f t="shared" si="169"/>
        <v>0</v>
      </c>
      <c r="BY235" s="477" t="s">
        <v>46</v>
      </c>
      <c r="BZ235" s="598">
        <f>IFERROR(INDEX('Early Retirement'!$BG$4:$CG$33,$BO235,$BR235),0)</f>
        <v>0</v>
      </c>
      <c r="CA235" s="759">
        <f>IFERROR(HLOOKUP($BR235,'Early Retirement'!$BH$4:$CH$5,2,FALSE),0)</f>
        <v>0</v>
      </c>
      <c r="CB235" s="598">
        <f t="shared" si="170"/>
        <v>0</v>
      </c>
      <c r="CC235" s="759" t="s">
        <v>567</v>
      </c>
      <c r="CD235" s="477" t="str">
        <f t="shared" si="146"/>
        <v>Yes</v>
      </c>
      <c r="CE235" s="479">
        <f t="shared" si="147"/>
        <v>0</v>
      </c>
      <c r="CF235" s="761">
        <f t="shared" si="148"/>
        <v>0</v>
      </c>
      <c r="CG235" s="759" t="s">
        <v>46</v>
      </c>
      <c r="CH235" s="598">
        <f t="shared" si="171"/>
        <v>0</v>
      </c>
      <c r="CI235" s="759" t="s">
        <v>567</v>
      </c>
      <c r="CJ235" s="480">
        <f t="shared" si="172"/>
        <v>0</v>
      </c>
      <c r="CK235" s="583">
        <f t="shared" si="173"/>
        <v>0</v>
      </c>
      <c r="CL235" s="596" t="s">
        <v>46</v>
      </c>
      <c r="CM235" s="581">
        <f t="shared" si="174"/>
        <v>0</v>
      </c>
      <c r="CN235" s="762" t="s">
        <v>567</v>
      </c>
      <c r="CW235" s="630"/>
      <c r="CX235" s="630"/>
      <c r="CY235" s="630"/>
      <c r="CZ235" s="630"/>
      <c r="DA235" s="630"/>
    </row>
    <row r="236" spans="2:105" s="78" customFormat="1" ht="15" customHeight="1" x14ac:dyDescent="0.25">
      <c r="B236" s="77"/>
      <c r="E236" s="77"/>
      <c r="H236" s="77"/>
      <c r="Y236" s="90">
        <v>234</v>
      </c>
      <c r="Z236" s="559" t="str">
        <f>IF(Inventory!$C243="","",VLOOKUP(Inventory!$C243,$B$3:$C$5,2,FALSE))</f>
        <v/>
      </c>
      <c r="AA236" s="559" t="str">
        <f>IF($Z236="","",IF(AND($Z236="b",Inventory!$G243=""),"",IF(AND($Z236="b",Inventory!$G243&lt;&gt;""),VLOOKUP(Inventory!$G243,$E$3:$F$10,2,FALSE),IF(AND($Z236="a",Inventory!$Z243=""),"",IF(AND($Z236="a",Inventory!$Z243&lt;&gt;""),VLOOKUP(Inventory!$Z243,$E$3:$F$10,2,FALSE),IF(AND($Z236="c",Inventory!$Z243=""),"",IF(AND($Z236="c",Inventory!$Z243&lt;&gt;""),VLOOKUP(Inventory!$Z243,$E$3:$F$10,2,FALSE),"")))))))</f>
        <v/>
      </c>
      <c r="AB236" s="559" t="str">
        <f>IF($Z236="","a",IF(AND($Z236="b",Inventory!$J243=""),"a",IF(AND($Z236="b",Inventory!$J243&lt;&gt;""),VLOOKUP(Inventory!$J243,$H$4:$I$6,2,FALSE),IF(AND($Z236="a",Inventory!$AA243=""),"a",IF(AND($Z236="a",Inventory!$AA243&lt;&gt;""),VLOOKUP(Inventory!$AA243,$H$4:$I$6,2,FALSE),IF(AND($Z236="c",Inventory!$AA243=""),"a",IF(AND($Z236="c",Inventory!$AA243&lt;&gt;""),VLOOKUP(Inventory!$AA243,$H$4:$I$6,2,FALSE),"a")))))))</f>
        <v>a</v>
      </c>
      <c r="AC236" s="559" t="str">
        <f t="shared" si="149"/>
        <v>a</v>
      </c>
      <c r="AD236" s="473" t="str">
        <f>IF($Z236="","a",IF(AND($Z236="b",Inventory!$L243=""),"a",IF(AND($Z236="b",Inventory!$L243&lt;&gt;""),VLOOKUP(Inventory!$L243,$N$4:$O$5,2,FALSE),IF(AND($Z236="a",Inventory!$AC243=""),"a",IF(AND($Z236="a",Inventory!$AC243&lt;&gt;""),VLOOKUP(Inventory!$AC243,$N$4:$O$5,2,FALSE),IF(AND($Z236="c",Inventory!$AC243=""),"a",IF(AND($Z236="c",Inventory!$AC243&lt;&gt;""),VLOOKUP(Inventory!$AC243,$N$4:$O$5,2,FALSE),"a")))))))</f>
        <v>a</v>
      </c>
      <c r="AE236" s="474">
        <f>IF(OR(Inventory!C243="New Construction",Inventory!C243="Replace-on-Burnout"),Inventory!AF243,IF(Inventory!C243="Early Retirement",MIN(Inventory!AE243,Inventory!AF243),0))</f>
        <v>0</v>
      </c>
      <c r="AF236" s="475" t="str">
        <f t="shared" si="150"/>
        <v/>
      </c>
      <c r="AG236" s="475" t="str">
        <f t="shared" si="138"/>
        <v/>
      </c>
      <c r="AH236" s="475" t="str">
        <f t="shared" si="139"/>
        <v/>
      </c>
      <c r="AI236" s="475" t="str">
        <f t="shared" si="140"/>
        <v/>
      </c>
      <c r="AJ236" s="475" t="str">
        <f t="shared" si="141"/>
        <v/>
      </c>
      <c r="AK236" s="475" t="str">
        <f t="shared" si="151"/>
        <v/>
      </c>
      <c r="AL236" s="475" t="str">
        <f t="shared" si="152"/>
        <v/>
      </c>
      <c r="AM236" s="475" t="str">
        <f t="shared" si="153"/>
        <v/>
      </c>
      <c r="AN236" s="475" t="str">
        <f t="shared" si="154"/>
        <v/>
      </c>
      <c r="AO236" s="475" t="str">
        <f t="shared" si="155"/>
        <v/>
      </c>
      <c r="AP236" s="475" t="str">
        <f t="shared" si="156"/>
        <v/>
      </c>
      <c r="AQ236" s="475" t="str">
        <f t="shared" si="157"/>
        <v/>
      </c>
      <c r="AR236" s="475" t="str">
        <f t="shared" si="158"/>
        <v/>
      </c>
      <c r="AS236" s="475" t="str">
        <f t="shared" si="159"/>
        <v/>
      </c>
      <c r="AT236" s="475" t="str">
        <f t="shared" si="160"/>
        <v/>
      </c>
      <c r="AU236" s="475" t="str">
        <f t="shared" si="161"/>
        <v/>
      </c>
      <c r="AV236" s="475" t="str">
        <f t="shared" si="142"/>
        <v/>
      </c>
      <c r="AW236" s="473">
        <f t="shared" si="143"/>
        <v>0</v>
      </c>
      <c r="AX236" s="473" t="str">
        <f>IF(AND($Z236="b",OR($AA236="a",$AA236="b"),Inventory!$I243="",$AE236&lt;(65000/12000)),"x",IF(AND($Z236="b",OR($AA236="a",$AA236="b"),Inventory!$I243&lt;&gt;"",$AE236&lt;(65000/12000)),VLOOKUP(Inventory!$I243,$V$4:$W$5,2,FALSE),"x"))</f>
        <v>x</v>
      </c>
      <c r="AY236" s="476" t="str">
        <f t="shared" si="162"/>
        <v>aaa0</v>
      </c>
      <c r="AZ236" s="477" t="str">
        <f t="shared" si="163"/>
        <v>No</v>
      </c>
      <c r="BA236" s="759" t="str">
        <f t="shared" si="164"/>
        <v>No</v>
      </c>
      <c r="BB236" s="477">
        <f>IF($Z236="c",Inventory!$AB243,Inventory!$K243)</f>
        <v>0</v>
      </c>
      <c r="BC236" s="478">
        <f>IF(AND($Z236="b",Inventory!$N243="Btu/hr"),Inventory!$M243,IF(AND($Z236="b",Inventory!$N243="Tons"),Inventory!$M243*12000,IF(AND($Z236&lt;&gt;"b",Inventory!$AK243="Btu/hr"),Inventory!$AD243,IF(AND($Z236&lt;&gt;"b",Inventory!$AK243="Tons"),Inventory!$AD243*12000,0))))</f>
        <v>0</v>
      </c>
      <c r="BD236" s="478">
        <f t="shared" si="136"/>
        <v>0</v>
      </c>
      <c r="BE236" s="479">
        <f t="shared" si="165"/>
        <v>0</v>
      </c>
      <c r="BF236" s="477" t="s">
        <v>50</v>
      </c>
      <c r="BG236" s="479">
        <f t="shared" si="144"/>
        <v>0</v>
      </c>
      <c r="BH236" s="477" t="s">
        <v>46</v>
      </c>
      <c r="BI236" s="760">
        <f>IF(AND($Z236="b",Inventory!$P243="Btu/hr"),Inventory!$O243,IF(AND($Z236="b",Inventory!$P243="Tons"),Inventory!$O243*12000,IF(AND($Z236&lt;&gt;"b",Inventory!$AM243="Btu/hr"),Inventory!$AL243,IF(AND($Z236&lt;&gt;"b",Inventory!$AM243="Tons"),Inventory!$AL243*12000,0))))</f>
        <v>0</v>
      </c>
      <c r="BJ236" s="760">
        <f t="shared" si="137"/>
        <v>0</v>
      </c>
      <c r="BK236" s="598">
        <f t="shared" si="166"/>
        <v>0</v>
      </c>
      <c r="BL236" s="759" t="s">
        <v>567</v>
      </c>
      <c r="BM236" s="477" t="str">
        <f t="shared" si="145"/>
        <v>No</v>
      </c>
      <c r="BN236" s="477" t="str">
        <f>IF(OR(Inventory!$H243="",$BM236="No"),"-",Inventory!$H243)</f>
        <v>-</v>
      </c>
      <c r="BO236" s="477" t="str">
        <f>IFERROR(VLOOKUP(BN236,'Early Retirement'!$B$6:$C$33,2,FALSE),"-")</f>
        <v>-</v>
      </c>
      <c r="BP236" s="477" t="str">
        <f>IF(Inventory!$J243="Centrifugal","Yes","No")</f>
        <v>No</v>
      </c>
      <c r="BQ236" s="477">
        <f t="shared" si="167"/>
        <v>0</v>
      </c>
      <c r="BR236" s="477" t="str">
        <f t="shared" si="168"/>
        <v>-</v>
      </c>
      <c r="BS236" s="479">
        <f>IFERROR(INDEX('Early Retirement'!$C$4:$AC$33,$BO236,$BR236),0)</f>
        <v>0</v>
      </c>
      <c r="BT236" s="477">
        <f>IFERROR(HLOOKUP($BR236,'Early Retirement'!$D$4:$AC$5,2,FALSE),0)</f>
        <v>0</v>
      </c>
      <c r="BU236" s="761">
        <f>IFERROR(INDEX('Early Retirement'!$AE$4:$BE$33,$BO236,$BR236),0)</f>
        <v>0</v>
      </c>
      <c r="BV236" s="759">
        <f>IFERROR(HLOOKUP($BR236,'Early Retirement'!$AF$4:$BE$5,2,FALSE),0)</f>
        <v>0</v>
      </c>
      <c r="BW236" s="479">
        <f t="shared" si="175"/>
        <v>0</v>
      </c>
      <c r="BX236" s="761">
        <f t="shared" si="169"/>
        <v>0</v>
      </c>
      <c r="BY236" s="477" t="s">
        <v>46</v>
      </c>
      <c r="BZ236" s="598">
        <f>IFERROR(INDEX('Early Retirement'!$BG$4:$CG$33,$BO236,$BR236),0)</f>
        <v>0</v>
      </c>
      <c r="CA236" s="759">
        <f>IFERROR(HLOOKUP($BR236,'Early Retirement'!$BH$4:$CH$5,2,FALSE),0)</f>
        <v>0</v>
      </c>
      <c r="CB236" s="598">
        <f t="shared" si="170"/>
        <v>0</v>
      </c>
      <c r="CC236" s="759" t="s">
        <v>567</v>
      </c>
      <c r="CD236" s="477" t="str">
        <f t="shared" si="146"/>
        <v>Yes</v>
      </c>
      <c r="CE236" s="479">
        <f t="shared" si="147"/>
        <v>0</v>
      </c>
      <c r="CF236" s="761">
        <f t="shared" si="148"/>
        <v>0</v>
      </c>
      <c r="CG236" s="759" t="s">
        <v>46</v>
      </c>
      <c r="CH236" s="598">
        <f t="shared" si="171"/>
        <v>0</v>
      </c>
      <c r="CI236" s="759" t="s">
        <v>567</v>
      </c>
      <c r="CJ236" s="480">
        <f t="shared" si="172"/>
        <v>0</v>
      </c>
      <c r="CK236" s="583">
        <f t="shared" si="173"/>
        <v>0</v>
      </c>
      <c r="CL236" s="596" t="s">
        <v>46</v>
      </c>
      <c r="CM236" s="581">
        <f t="shared" si="174"/>
        <v>0</v>
      </c>
      <c r="CN236" s="762" t="s">
        <v>567</v>
      </c>
      <c r="CW236" s="630"/>
      <c r="CX236" s="630"/>
      <c r="CY236" s="630"/>
      <c r="CZ236" s="630"/>
      <c r="DA236" s="630"/>
    </row>
    <row r="237" spans="2:105" s="78" customFormat="1" ht="15" customHeight="1" x14ac:dyDescent="0.25">
      <c r="B237" s="77"/>
      <c r="E237" s="77"/>
      <c r="H237" s="77"/>
      <c r="Y237" s="90">
        <v>235</v>
      </c>
      <c r="Z237" s="559" t="str">
        <f>IF(Inventory!$C244="","",VLOOKUP(Inventory!$C244,$B$3:$C$5,2,FALSE))</f>
        <v/>
      </c>
      <c r="AA237" s="559" t="str">
        <f>IF($Z237="","",IF(AND($Z237="b",Inventory!$G244=""),"",IF(AND($Z237="b",Inventory!$G244&lt;&gt;""),VLOOKUP(Inventory!$G244,$E$3:$F$10,2,FALSE),IF(AND($Z237="a",Inventory!$Z244=""),"",IF(AND($Z237="a",Inventory!$Z244&lt;&gt;""),VLOOKUP(Inventory!$Z244,$E$3:$F$10,2,FALSE),IF(AND($Z237="c",Inventory!$Z244=""),"",IF(AND($Z237="c",Inventory!$Z244&lt;&gt;""),VLOOKUP(Inventory!$Z244,$E$3:$F$10,2,FALSE),"")))))))</f>
        <v/>
      </c>
      <c r="AB237" s="559" t="str">
        <f>IF($Z237="","a",IF(AND($Z237="b",Inventory!$J244=""),"a",IF(AND($Z237="b",Inventory!$J244&lt;&gt;""),VLOOKUP(Inventory!$J244,$H$4:$I$6,2,FALSE),IF(AND($Z237="a",Inventory!$AA244=""),"a",IF(AND($Z237="a",Inventory!$AA244&lt;&gt;""),VLOOKUP(Inventory!$AA244,$H$4:$I$6,2,FALSE),IF(AND($Z237="c",Inventory!$AA244=""),"a",IF(AND($Z237="c",Inventory!$AA244&lt;&gt;""),VLOOKUP(Inventory!$AA244,$H$4:$I$6,2,FALSE),"a")))))))</f>
        <v>a</v>
      </c>
      <c r="AC237" s="559" t="str">
        <f t="shared" si="149"/>
        <v>a</v>
      </c>
      <c r="AD237" s="473" t="str">
        <f>IF($Z237="","a",IF(AND($Z237="b",Inventory!$L244=""),"a",IF(AND($Z237="b",Inventory!$L244&lt;&gt;""),VLOOKUP(Inventory!$L244,$N$4:$O$5,2,FALSE),IF(AND($Z237="a",Inventory!$AC244=""),"a",IF(AND($Z237="a",Inventory!$AC244&lt;&gt;""),VLOOKUP(Inventory!$AC244,$N$4:$O$5,2,FALSE),IF(AND($Z237="c",Inventory!$AC244=""),"a",IF(AND($Z237="c",Inventory!$AC244&lt;&gt;""),VLOOKUP(Inventory!$AC244,$N$4:$O$5,2,FALSE),"a")))))))</f>
        <v>a</v>
      </c>
      <c r="AE237" s="474">
        <f>IF(OR(Inventory!C244="New Construction",Inventory!C244="Replace-on-Burnout"),Inventory!AF244,IF(Inventory!C244="Early Retirement",MIN(Inventory!AE244,Inventory!AF244),0))</f>
        <v>0</v>
      </c>
      <c r="AF237" s="475" t="str">
        <f t="shared" si="150"/>
        <v/>
      </c>
      <c r="AG237" s="475" t="str">
        <f t="shared" si="138"/>
        <v/>
      </c>
      <c r="AH237" s="475" t="str">
        <f t="shared" si="139"/>
        <v/>
      </c>
      <c r="AI237" s="475" t="str">
        <f t="shared" si="140"/>
        <v/>
      </c>
      <c r="AJ237" s="475" t="str">
        <f t="shared" si="141"/>
        <v/>
      </c>
      <c r="AK237" s="475" t="str">
        <f t="shared" si="151"/>
        <v/>
      </c>
      <c r="AL237" s="475" t="str">
        <f t="shared" si="152"/>
        <v/>
      </c>
      <c r="AM237" s="475" t="str">
        <f t="shared" si="153"/>
        <v/>
      </c>
      <c r="AN237" s="475" t="str">
        <f t="shared" si="154"/>
        <v/>
      </c>
      <c r="AO237" s="475" t="str">
        <f t="shared" si="155"/>
        <v/>
      </c>
      <c r="AP237" s="475" t="str">
        <f t="shared" si="156"/>
        <v/>
      </c>
      <c r="AQ237" s="475" t="str">
        <f t="shared" si="157"/>
        <v/>
      </c>
      <c r="AR237" s="475" t="str">
        <f t="shared" si="158"/>
        <v/>
      </c>
      <c r="AS237" s="475" t="str">
        <f t="shared" si="159"/>
        <v/>
      </c>
      <c r="AT237" s="475" t="str">
        <f t="shared" si="160"/>
        <v/>
      </c>
      <c r="AU237" s="475" t="str">
        <f t="shared" si="161"/>
        <v/>
      </c>
      <c r="AV237" s="475" t="str">
        <f t="shared" si="142"/>
        <v/>
      </c>
      <c r="AW237" s="473">
        <f t="shared" si="143"/>
        <v>0</v>
      </c>
      <c r="AX237" s="473" t="str">
        <f>IF(AND($Z237="b",OR($AA237="a",$AA237="b"),Inventory!$I244="",$AE237&lt;(65000/12000)),"x",IF(AND($Z237="b",OR($AA237="a",$AA237="b"),Inventory!$I244&lt;&gt;"",$AE237&lt;(65000/12000)),VLOOKUP(Inventory!$I244,$V$4:$W$5,2,FALSE),"x"))</f>
        <v>x</v>
      </c>
      <c r="AY237" s="476" t="str">
        <f t="shared" si="162"/>
        <v>aaa0</v>
      </c>
      <c r="AZ237" s="477" t="str">
        <f t="shared" si="163"/>
        <v>No</v>
      </c>
      <c r="BA237" s="759" t="str">
        <f t="shared" si="164"/>
        <v>No</v>
      </c>
      <c r="BB237" s="477">
        <f>IF($Z237="c",Inventory!$AB244,Inventory!$K244)</f>
        <v>0</v>
      </c>
      <c r="BC237" s="478">
        <f>IF(AND($Z237="b",Inventory!$N244="Btu/hr"),Inventory!$M244,IF(AND($Z237="b",Inventory!$N244="Tons"),Inventory!$M244*12000,IF(AND($Z237&lt;&gt;"b",Inventory!$AK244="Btu/hr"),Inventory!$AD244,IF(AND($Z237&lt;&gt;"b",Inventory!$AK244="Tons"),Inventory!$AD244*12000,0))))</f>
        <v>0</v>
      </c>
      <c r="BD237" s="478">
        <f t="shared" si="136"/>
        <v>0</v>
      </c>
      <c r="BE237" s="479">
        <f t="shared" si="165"/>
        <v>0</v>
      </c>
      <c r="BF237" s="477" t="s">
        <v>50</v>
      </c>
      <c r="BG237" s="479">
        <f t="shared" si="144"/>
        <v>0</v>
      </c>
      <c r="BH237" s="477" t="s">
        <v>46</v>
      </c>
      <c r="BI237" s="760">
        <f>IF(AND($Z237="b",Inventory!$P244="Btu/hr"),Inventory!$O244,IF(AND($Z237="b",Inventory!$P244="Tons"),Inventory!$O244*12000,IF(AND($Z237&lt;&gt;"b",Inventory!$AM244="Btu/hr"),Inventory!$AL244,IF(AND($Z237&lt;&gt;"b",Inventory!$AM244="Tons"),Inventory!$AL244*12000,0))))</f>
        <v>0</v>
      </c>
      <c r="BJ237" s="760">
        <f t="shared" si="137"/>
        <v>0</v>
      </c>
      <c r="BK237" s="598">
        <f t="shared" si="166"/>
        <v>0</v>
      </c>
      <c r="BL237" s="759" t="s">
        <v>567</v>
      </c>
      <c r="BM237" s="477" t="str">
        <f t="shared" si="145"/>
        <v>No</v>
      </c>
      <c r="BN237" s="477" t="str">
        <f>IF(OR(Inventory!$H244="",$BM237="No"),"-",Inventory!$H244)</f>
        <v>-</v>
      </c>
      <c r="BO237" s="477" t="str">
        <f>IFERROR(VLOOKUP(BN237,'Early Retirement'!$B$6:$C$33,2,FALSE),"-")</f>
        <v>-</v>
      </c>
      <c r="BP237" s="477" t="str">
        <f>IF(Inventory!$J244="Centrifugal","Yes","No")</f>
        <v>No</v>
      </c>
      <c r="BQ237" s="477">
        <f t="shared" si="167"/>
        <v>0</v>
      </c>
      <c r="BR237" s="477" t="str">
        <f t="shared" si="168"/>
        <v>-</v>
      </c>
      <c r="BS237" s="479">
        <f>IFERROR(INDEX('Early Retirement'!$C$4:$AC$33,$BO237,$BR237),0)</f>
        <v>0</v>
      </c>
      <c r="BT237" s="477">
        <f>IFERROR(HLOOKUP($BR237,'Early Retirement'!$D$4:$AC$5,2,FALSE),0)</f>
        <v>0</v>
      </c>
      <c r="BU237" s="761">
        <f>IFERROR(INDEX('Early Retirement'!$AE$4:$BE$33,$BO237,$BR237),0)</f>
        <v>0</v>
      </c>
      <c r="BV237" s="759">
        <f>IFERROR(HLOOKUP($BR237,'Early Retirement'!$AF$4:$BE$5,2,FALSE),0)</f>
        <v>0</v>
      </c>
      <c r="BW237" s="479">
        <f t="shared" si="175"/>
        <v>0</v>
      </c>
      <c r="BX237" s="761">
        <f t="shared" si="169"/>
        <v>0</v>
      </c>
      <c r="BY237" s="477" t="s">
        <v>46</v>
      </c>
      <c r="BZ237" s="598">
        <f>IFERROR(INDEX('Early Retirement'!$BG$4:$CG$33,$BO237,$BR237),0)</f>
        <v>0</v>
      </c>
      <c r="CA237" s="759">
        <f>IFERROR(HLOOKUP($BR237,'Early Retirement'!$BH$4:$CH$5,2,FALSE),0)</f>
        <v>0</v>
      </c>
      <c r="CB237" s="598">
        <f t="shared" si="170"/>
        <v>0</v>
      </c>
      <c r="CC237" s="759" t="s">
        <v>567</v>
      </c>
      <c r="CD237" s="477" t="str">
        <f t="shared" si="146"/>
        <v>Yes</v>
      </c>
      <c r="CE237" s="479">
        <f t="shared" si="147"/>
        <v>0</v>
      </c>
      <c r="CF237" s="761">
        <f t="shared" si="148"/>
        <v>0</v>
      </c>
      <c r="CG237" s="759" t="s">
        <v>46</v>
      </c>
      <c r="CH237" s="598">
        <f t="shared" si="171"/>
        <v>0</v>
      </c>
      <c r="CI237" s="759" t="s">
        <v>567</v>
      </c>
      <c r="CJ237" s="480">
        <f t="shared" si="172"/>
        <v>0</v>
      </c>
      <c r="CK237" s="583">
        <f t="shared" si="173"/>
        <v>0</v>
      </c>
      <c r="CL237" s="596" t="s">
        <v>46</v>
      </c>
      <c r="CM237" s="581">
        <f t="shared" si="174"/>
        <v>0</v>
      </c>
      <c r="CN237" s="762" t="s">
        <v>567</v>
      </c>
      <c r="CW237" s="630"/>
      <c r="CX237" s="630"/>
      <c r="CY237" s="630"/>
      <c r="CZ237" s="630"/>
      <c r="DA237" s="630"/>
    </row>
    <row r="238" spans="2:105" s="78" customFormat="1" ht="15" customHeight="1" x14ac:dyDescent="0.25">
      <c r="B238" s="77"/>
      <c r="E238" s="77"/>
      <c r="H238" s="77"/>
      <c r="Y238" s="90">
        <v>236</v>
      </c>
      <c r="Z238" s="559" t="str">
        <f>IF(Inventory!$C245="","",VLOOKUP(Inventory!$C245,$B$3:$C$5,2,FALSE))</f>
        <v/>
      </c>
      <c r="AA238" s="559" t="str">
        <f>IF($Z238="","",IF(AND($Z238="b",Inventory!$G245=""),"",IF(AND($Z238="b",Inventory!$G245&lt;&gt;""),VLOOKUP(Inventory!$G245,$E$3:$F$10,2,FALSE),IF(AND($Z238="a",Inventory!$Z245=""),"",IF(AND($Z238="a",Inventory!$Z245&lt;&gt;""),VLOOKUP(Inventory!$Z245,$E$3:$F$10,2,FALSE),IF(AND($Z238="c",Inventory!$Z245=""),"",IF(AND($Z238="c",Inventory!$Z245&lt;&gt;""),VLOOKUP(Inventory!$Z245,$E$3:$F$10,2,FALSE),"")))))))</f>
        <v/>
      </c>
      <c r="AB238" s="559" t="str">
        <f>IF($Z238="","a",IF(AND($Z238="b",Inventory!$J245=""),"a",IF(AND($Z238="b",Inventory!$J245&lt;&gt;""),VLOOKUP(Inventory!$J245,$H$4:$I$6,2,FALSE),IF(AND($Z238="a",Inventory!$AA245=""),"a",IF(AND($Z238="a",Inventory!$AA245&lt;&gt;""),VLOOKUP(Inventory!$AA245,$H$4:$I$6,2,FALSE),IF(AND($Z238="c",Inventory!$AA245=""),"a",IF(AND($Z238="c",Inventory!$AA245&lt;&gt;""),VLOOKUP(Inventory!$AA245,$H$4:$I$6,2,FALSE),"a")))))))</f>
        <v>a</v>
      </c>
      <c r="AC238" s="559" t="str">
        <f t="shared" si="149"/>
        <v>a</v>
      </c>
      <c r="AD238" s="473" t="str">
        <f>IF($Z238="","a",IF(AND($Z238="b",Inventory!$L245=""),"a",IF(AND($Z238="b",Inventory!$L245&lt;&gt;""),VLOOKUP(Inventory!$L245,$N$4:$O$5,2,FALSE),IF(AND($Z238="a",Inventory!$AC245=""),"a",IF(AND($Z238="a",Inventory!$AC245&lt;&gt;""),VLOOKUP(Inventory!$AC245,$N$4:$O$5,2,FALSE),IF(AND($Z238="c",Inventory!$AC245=""),"a",IF(AND($Z238="c",Inventory!$AC245&lt;&gt;""),VLOOKUP(Inventory!$AC245,$N$4:$O$5,2,FALSE),"a")))))))</f>
        <v>a</v>
      </c>
      <c r="AE238" s="474">
        <f>IF(OR(Inventory!C245="New Construction",Inventory!C245="Replace-on-Burnout"),Inventory!AF245,IF(Inventory!C245="Early Retirement",MIN(Inventory!AE245,Inventory!AF245),0))</f>
        <v>0</v>
      </c>
      <c r="AF238" s="475" t="str">
        <f t="shared" si="150"/>
        <v/>
      </c>
      <c r="AG238" s="475" t="str">
        <f t="shared" si="138"/>
        <v/>
      </c>
      <c r="AH238" s="475" t="str">
        <f t="shared" si="139"/>
        <v/>
      </c>
      <c r="AI238" s="475" t="str">
        <f t="shared" si="140"/>
        <v/>
      </c>
      <c r="AJ238" s="475" t="str">
        <f t="shared" si="141"/>
        <v/>
      </c>
      <c r="AK238" s="475" t="str">
        <f t="shared" si="151"/>
        <v/>
      </c>
      <c r="AL238" s="475" t="str">
        <f t="shared" si="152"/>
        <v/>
      </c>
      <c r="AM238" s="475" t="str">
        <f t="shared" si="153"/>
        <v/>
      </c>
      <c r="AN238" s="475" t="str">
        <f t="shared" si="154"/>
        <v/>
      </c>
      <c r="AO238" s="475" t="str">
        <f t="shared" si="155"/>
        <v/>
      </c>
      <c r="AP238" s="475" t="str">
        <f t="shared" si="156"/>
        <v/>
      </c>
      <c r="AQ238" s="475" t="str">
        <f t="shared" si="157"/>
        <v/>
      </c>
      <c r="AR238" s="475" t="str">
        <f t="shared" si="158"/>
        <v/>
      </c>
      <c r="AS238" s="475" t="str">
        <f t="shared" si="159"/>
        <v/>
      </c>
      <c r="AT238" s="475" t="str">
        <f t="shared" si="160"/>
        <v/>
      </c>
      <c r="AU238" s="475" t="str">
        <f t="shared" si="161"/>
        <v/>
      </c>
      <c r="AV238" s="475" t="str">
        <f t="shared" si="142"/>
        <v/>
      </c>
      <c r="AW238" s="473">
        <f t="shared" si="143"/>
        <v>0</v>
      </c>
      <c r="AX238" s="473" t="str">
        <f>IF(AND($Z238="b",OR($AA238="a",$AA238="b"),Inventory!$I245="",$AE238&lt;(65000/12000)),"x",IF(AND($Z238="b",OR($AA238="a",$AA238="b"),Inventory!$I245&lt;&gt;"",$AE238&lt;(65000/12000)),VLOOKUP(Inventory!$I245,$V$4:$W$5,2,FALSE),"x"))</f>
        <v>x</v>
      </c>
      <c r="AY238" s="476" t="str">
        <f t="shared" si="162"/>
        <v>aaa0</v>
      </c>
      <c r="AZ238" s="477" t="str">
        <f t="shared" si="163"/>
        <v>No</v>
      </c>
      <c r="BA238" s="759" t="str">
        <f t="shared" si="164"/>
        <v>No</v>
      </c>
      <c r="BB238" s="477">
        <f>IF($Z238="c",Inventory!$AB245,Inventory!$K245)</f>
        <v>0</v>
      </c>
      <c r="BC238" s="478">
        <f>IF(AND($Z238="b",Inventory!$N245="Btu/hr"),Inventory!$M245,IF(AND($Z238="b",Inventory!$N245="Tons"),Inventory!$M245*12000,IF(AND($Z238&lt;&gt;"b",Inventory!$AK245="Btu/hr"),Inventory!$AD245,IF(AND($Z238&lt;&gt;"b",Inventory!$AK245="Tons"),Inventory!$AD245*12000,0))))</f>
        <v>0</v>
      </c>
      <c r="BD238" s="478">
        <f t="shared" si="136"/>
        <v>0</v>
      </c>
      <c r="BE238" s="479">
        <f t="shared" si="165"/>
        <v>0</v>
      </c>
      <c r="BF238" s="477" t="s">
        <v>50</v>
      </c>
      <c r="BG238" s="479">
        <f t="shared" si="144"/>
        <v>0</v>
      </c>
      <c r="BH238" s="477" t="s">
        <v>46</v>
      </c>
      <c r="BI238" s="760">
        <f>IF(AND($Z238="b",Inventory!$P245="Btu/hr"),Inventory!$O245,IF(AND($Z238="b",Inventory!$P245="Tons"),Inventory!$O245*12000,IF(AND($Z238&lt;&gt;"b",Inventory!$AM245="Btu/hr"),Inventory!$AL245,IF(AND($Z238&lt;&gt;"b",Inventory!$AM245="Tons"),Inventory!$AL245*12000,0))))</f>
        <v>0</v>
      </c>
      <c r="BJ238" s="760">
        <f t="shared" si="137"/>
        <v>0</v>
      </c>
      <c r="BK238" s="598">
        <f t="shared" si="166"/>
        <v>0</v>
      </c>
      <c r="BL238" s="759" t="s">
        <v>567</v>
      </c>
      <c r="BM238" s="477" t="str">
        <f t="shared" si="145"/>
        <v>No</v>
      </c>
      <c r="BN238" s="477" t="str">
        <f>IF(OR(Inventory!$H245="",$BM238="No"),"-",Inventory!$H245)</f>
        <v>-</v>
      </c>
      <c r="BO238" s="477" t="str">
        <f>IFERROR(VLOOKUP(BN238,'Early Retirement'!$B$6:$C$33,2,FALSE),"-")</f>
        <v>-</v>
      </c>
      <c r="BP238" s="477" t="str">
        <f>IF(Inventory!$J245="Centrifugal","Yes","No")</f>
        <v>No</v>
      </c>
      <c r="BQ238" s="477">
        <f t="shared" si="167"/>
        <v>0</v>
      </c>
      <c r="BR238" s="477" t="str">
        <f t="shared" si="168"/>
        <v>-</v>
      </c>
      <c r="BS238" s="479">
        <f>IFERROR(INDEX('Early Retirement'!$C$4:$AC$33,$BO238,$BR238),0)</f>
        <v>0</v>
      </c>
      <c r="BT238" s="477">
        <f>IFERROR(HLOOKUP($BR238,'Early Retirement'!$D$4:$AC$5,2,FALSE),0)</f>
        <v>0</v>
      </c>
      <c r="BU238" s="761">
        <f>IFERROR(INDEX('Early Retirement'!$AE$4:$BE$33,$BO238,$BR238),0)</f>
        <v>0</v>
      </c>
      <c r="BV238" s="759">
        <f>IFERROR(HLOOKUP($BR238,'Early Retirement'!$AF$4:$BE$5,2,FALSE),0)</f>
        <v>0</v>
      </c>
      <c r="BW238" s="479">
        <f t="shared" si="175"/>
        <v>0</v>
      </c>
      <c r="BX238" s="761">
        <f t="shared" si="169"/>
        <v>0</v>
      </c>
      <c r="BY238" s="477" t="s">
        <v>46</v>
      </c>
      <c r="BZ238" s="598">
        <f>IFERROR(INDEX('Early Retirement'!$BG$4:$CG$33,$BO238,$BR238),0)</f>
        <v>0</v>
      </c>
      <c r="CA238" s="759">
        <f>IFERROR(HLOOKUP($BR238,'Early Retirement'!$BH$4:$CH$5,2,FALSE),0)</f>
        <v>0</v>
      </c>
      <c r="CB238" s="598">
        <f t="shared" si="170"/>
        <v>0</v>
      </c>
      <c r="CC238" s="759" t="s">
        <v>567</v>
      </c>
      <c r="CD238" s="477" t="str">
        <f t="shared" si="146"/>
        <v>Yes</v>
      </c>
      <c r="CE238" s="479">
        <f t="shared" si="147"/>
        <v>0</v>
      </c>
      <c r="CF238" s="761">
        <f t="shared" si="148"/>
        <v>0</v>
      </c>
      <c r="CG238" s="759" t="s">
        <v>46</v>
      </c>
      <c r="CH238" s="598">
        <f t="shared" si="171"/>
        <v>0</v>
      </c>
      <c r="CI238" s="759" t="s">
        <v>567</v>
      </c>
      <c r="CJ238" s="480">
        <f t="shared" si="172"/>
        <v>0</v>
      </c>
      <c r="CK238" s="583">
        <f t="shared" si="173"/>
        <v>0</v>
      </c>
      <c r="CL238" s="596" t="s">
        <v>46</v>
      </c>
      <c r="CM238" s="581">
        <f t="shared" si="174"/>
        <v>0</v>
      </c>
      <c r="CN238" s="762" t="s">
        <v>567</v>
      </c>
      <c r="CW238" s="630"/>
      <c r="CX238" s="630"/>
      <c r="CY238" s="630"/>
      <c r="CZ238" s="630"/>
      <c r="DA238" s="630"/>
    </row>
    <row r="239" spans="2:105" s="78" customFormat="1" ht="15" customHeight="1" x14ac:dyDescent="0.25">
      <c r="B239" s="77"/>
      <c r="E239" s="77"/>
      <c r="H239" s="77"/>
      <c r="Y239" s="90">
        <v>237</v>
      </c>
      <c r="Z239" s="559" t="str">
        <f>IF(Inventory!$C246="","",VLOOKUP(Inventory!$C246,$B$3:$C$5,2,FALSE))</f>
        <v/>
      </c>
      <c r="AA239" s="559" t="str">
        <f>IF($Z239="","",IF(AND($Z239="b",Inventory!$G246=""),"",IF(AND($Z239="b",Inventory!$G246&lt;&gt;""),VLOOKUP(Inventory!$G246,$E$3:$F$10,2,FALSE),IF(AND($Z239="a",Inventory!$Z246=""),"",IF(AND($Z239="a",Inventory!$Z246&lt;&gt;""),VLOOKUP(Inventory!$Z246,$E$3:$F$10,2,FALSE),IF(AND($Z239="c",Inventory!$Z246=""),"",IF(AND($Z239="c",Inventory!$Z246&lt;&gt;""),VLOOKUP(Inventory!$Z246,$E$3:$F$10,2,FALSE),"")))))))</f>
        <v/>
      </c>
      <c r="AB239" s="559" t="str">
        <f>IF($Z239="","a",IF(AND($Z239="b",Inventory!$J246=""),"a",IF(AND($Z239="b",Inventory!$J246&lt;&gt;""),VLOOKUP(Inventory!$J246,$H$4:$I$6,2,FALSE),IF(AND($Z239="a",Inventory!$AA246=""),"a",IF(AND($Z239="a",Inventory!$AA246&lt;&gt;""),VLOOKUP(Inventory!$AA246,$H$4:$I$6,2,FALSE),IF(AND($Z239="c",Inventory!$AA246=""),"a",IF(AND($Z239="c",Inventory!$AA246&lt;&gt;""),VLOOKUP(Inventory!$AA246,$H$4:$I$6,2,FALSE),"a")))))))</f>
        <v>a</v>
      </c>
      <c r="AC239" s="559" t="str">
        <f t="shared" si="149"/>
        <v>a</v>
      </c>
      <c r="AD239" s="473" t="str">
        <f>IF($Z239="","a",IF(AND($Z239="b",Inventory!$L246=""),"a",IF(AND($Z239="b",Inventory!$L246&lt;&gt;""),VLOOKUP(Inventory!$L246,$N$4:$O$5,2,FALSE),IF(AND($Z239="a",Inventory!$AC246=""),"a",IF(AND($Z239="a",Inventory!$AC246&lt;&gt;""),VLOOKUP(Inventory!$AC246,$N$4:$O$5,2,FALSE),IF(AND($Z239="c",Inventory!$AC246=""),"a",IF(AND($Z239="c",Inventory!$AC246&lt;&gt;""),VLOOKUP(Inventory!$AC246,$N$4:$O$5,2,FALSE),"a")))))))</f>
        <v>a</v>
      </c>
      <c r="AE239" s="474">
        <f>IF(OR(Inventory!C246="New Construction",Inventory!C246="Replace-on-Burnout"),Inventory!AF246,IF(Inventory!C246="Early Retirement",MIN(Inventory!AE246,Inventory!AF246),0))</f>
        <v>0</v>
      </c>
      <c r="AF239" s="475" t="str">
        <f t="shared" si="150"/>
        <v/>
      </c>
      <c r="AG239" s="475" t="str">
        <f t="shared" si="138"/>
        <v/>
      </c>
      <c r="AH239" s="475" t="str">
        <f t="shared" si="139"/>
        <v/>
      </c>
      <c r="AI239" s="475" t="str">
        <f t="shared" si="140"/>
        <v/>
      </c>
      <c r="AJ239" s="475" t="str">
        <f t="shared" si="141"/>
        <v/>
      </c>
      <c r="AK239" s="475" t="str">
        <f t="shared" si="151"/>
        <v/>
      </c>
      <c r="AL239" s="475" t="str">
        <f t="shared" si="152"/>
        <v/>
      </c>
      <c r="AM239" s="475" t="str">
        <f t="shared" si="153"/>
        <v/>
      </c>
      <c r="AN239" s="475" t="str">
        <f t="shared" si="154"/>
        <v/>
      </c>
      <c r="AO239" s="475" t="str">
        <f t="shared" si="155"/>
        <v/>
      </c>
      <c r="AP239" s="475" t="str">
        <f t="shared" si="156"/>
        <v/>
      </c>
      <c r="AQ239" s="475" t="str">
        <f t="shared" si="157"/>
        <v/>
      </c>
      <c r="AR239" s="475" t="str">
        <f t="shared" si="158"/>
        <v/>
      </c>
      <c r="AS239" s="475" t="str">
        <f t="shared" si="159"/>
        <v/>
      </c>
      <c r="AT239" s="475" t="str">
        <f t="shared" si="160"/>
        <v/>
      </c>
      <c r="AU239" s="475" t="str">
        <f t="shared" si="161"/>
        <v/>
      </c>
      <c r="AV239" s="475" t="str">
        <f t="shared" si="142"/>
        <v/>
      </c>
      <c r="AW239" s="473">
        <f t="shared" si="143"/>
        <v>0</v>
      </c>
      <c r="AX239" s="473" t="str">
        <f>IF(AND($Z239="b",OR($AA239="a",$AA239="b"),Inventory!$I246="",$AE239&lt;(65000/12000)),"x",IF(AND($Z239="b",OR($AA239="a",$AA239="b"),Inventory!$I246&lt;&gt;"",$AE239&lt;(65000/12000)),VLOOKUP(Inventory!$I246,$V$4:$W$5,2,FALSE),"x"))</f>
        <v>x</v>
      </c>
      <c r="AY239" s="476" t="str">
        <f t="shared" si="162"/>
        <v>aaa0</v>
      </c>
      <c r="AZ239" s="477" t="str">
        <f t="shared" si="163"/>
        <v>No</v>
      </c>
      <c r="BA239" s="759" t="str">
        <f t="shared" si="164"/>
        <v>No</v>
      </c>
      <c r="BB239" s="477">
        <f>IF($Z239="c",Inventory!$AB246,Inventory!$K246)</f>
        <v>0</v>
      </c>
      <c r="BC239" s="478">
        <f>IF(AND($Z239="b",Inventory!$N246="Btu/hr"),Inventory!$M246,IF(AND($Z239="b",Inventory!$N246="Tons"),Inventory!$M246*12000,IF(AND($Z239&lt;&gt;"b",Inventory!$AK246="Btu/hr"),Inventory!$AD246,IF(AND($Z239&lt;&gt;"b",Inventory!$AK246="Tons"),Inventory!$AD246*12000,0))))</f>
        <v>0</v>
      </c>
      <c r="BD239" s="478">
        <f t="shared" si="136"/>
        <v>0</v>
      </c>
      <c r="BE239" s="479">
        <f t="shared" si="165"/>
        <v>0</v>
      </c>
      <c r="BF239" s="477" t="s">
        <v>50</v>
      </c>
      <c r="BG239" s="479">
        <f t="shared" si="144"/>
        <v>0</v>
      </c>
      <c r="BH239" s="477" t="s">
        <v>46</v>
      </c>
      <c r="BI239" s="760">
        <f>IF(AND($Z239="b",Inventory!$P246="Btu/hr"),Inventory!$O246,IF(AND($Z239="b",Inventory!$P246="Tons"),Inventory!$O246*12000,IF(AND($Z239&lt;&gt;"b",Inventory!$AM246="Btu/hr"),Inventory!$AL246,IF(AND($Z239&lt;&gt;"b",Inventory!$AM246="Tons"),Inventory!$AL246*12000,0))))</f>
        <v>0</v>
      </c>
      <c r="BJ239" s="760">
        <f t="shared" si="137"/>
        <v>0</v>
      </c>
      <c r="BK239" s="598">
        <f t="shared" si="166"/>
        <v>0</v>
      </c>
      <c r="BL239" s="759" t="s">
        <v>567</v>
      </c>
      <c r="BM239" s="477" t="str">
        <f t="shared" si="145"/>
        <v>No</v>
      </c>
      <c r="BN239" s="477" t="str">
        <f>IF(OR(Inventory!$H246="",$BM239="No"),"-",Inventory!$H246)</f>
        <v>-</v>
      </c>
      <c r="BO239" s="477" t="str">
        <f>IFERROR(VLOOKUP(BN239,'Early Retirement'!$B$6:$C$33,2,FALSE),"-")</f>
        <v>-</v>
      </c>
      <c r="BP239" s="477" t="str">
        <f>IF(Inventory!$J246="Centrifugal","Yes","No")</f>
        <v>No</v>
      </c>
      <c r="BQ239" s="477">
        <f t="shared" si="167"/>
        <v>0</v>
      </c>
      <c r="BR239" s="477" t="str">
        <f t="shared" si="168"/>
        <v>-</v>
      </c>
      <c r="BS239" s="479">
        <f>IFERROR(INDEX('Early Retirement'!$C$4:$AC$33,$BO239,$BR239),0)</f>
        <v>0</v>
      </c>
      <c r="BT239" s="477">
        <f>IFERROR(HLOOKUP($BR239,'Early Retirement'!$D$4:$AC$5,2,FALSE),0)</f>
        <v>0</v>
      </c>
      <c r="BU239" s="761">
        <f>IFERROR(INDEX('Early Retirement'!$AE$4:$BE$33,$BO239,$BR239),0)</f>
        <v>0</v>
      </c>
      <c r="BV239" s="759">
        <f>IFERROR(HLOOKUP($BR239,'Early Retirement'!$AF$4:$BE$5,2,FALSE),0)</f>
        <v>0</v>
      </c>
      <c r="BW239" s="479">
        <f t="shared" si="175"/>
        <v>0</v>
      </c>
      <c r="BX239" s="761">
        <f t="shared" si="169"/>
        <v>0</v>
      </c>
      <c r="BY239" s="477" t="s">
        <v>46</v>
      </c>
      <c r="BZ239" s="598">
        <f>IFERROR(INDEX('Early Retirement'!$BG$4:$CG$33,$BO239,$BR239),0)</f>
        <v>0</v>
      </c>
      <c r="CA239" s="759">
        <f>IFERROR(HLOOKUP($BR239,'Early Retirement'!$BH$4:$CH$5,2,FALSE),0)</f>
        <v>0</v>
      </c>
      <c r="CB239" s="598">
        <f t="shared" si="170"/>
        <v>0</v>
      </c>
      <c r="CC239" s="759" t="s">
        <v>567</v>
      </c>
      <c r="CD239" s="477" t="str">
        <f t="shared" si="146"/>
        <v>Yes</v>
      </c>
      <c r="CE239" s="479">
        <f t="shared" si="147"/>
        <v>0</v>
      </c>
      <c r="CF239" s="761">
        <f t="shared" si="148"/>
        <v>0</v>
      </c>
      <c r="CG239" s="759" t="s">
        <v>46</v>
      </c>
      <c r="CH239" s="598">
        <f t="shared" si="171"/>
        <v>0</v>
      </c>
      <c r="CI239" s="759" t="s">
        <v>567</v>
      </c>
      <c r="CJ239" s="480">
        <f t="shared" si="172"/>
        <v>0</v>
      </c>
      <c r="CK239" s="583">
        <f t="shared" si="173"/>
        <v>0</v>
      </c>
      <c r="CL239" s="596" t="s">
        <v>46</v>
      </c>
      <c r="CM239" s="581">
        <f t="shared" si="174"/>
        <v>0</v>
      </c>
      <c r="CN239" s="762" t="s">
        <v>567</v>
      </c>
      <c r="CW239" s="630"/>
      <c r="CX239" s="630"/>
      <c r="CY239" s="630"/>
      <c r="CZ239" s="630"/>
      <c r="DA239" s="630"/>
    </row>
    <row r="240" spans="2:105" s="78" customFormat="1" ht="15" customHeight="1" x14ac:dyDescent="0.25">
      <c r="B240" s="77"/>
      <c r="E240" s="77"/>
      <c r="H240" s="77"/>
      <c r="Y240" s="90">
        <v>238</v>
      </c>
      <c r="Z240" s="559" t="str">
        <f>IF(Inventory!$C247="","",VLOOKUP(Inventory!$C247,$B$3:$C$5,2,FALSE))</f>
        <v/>
      </c>
      <c r="AA240" s="559" t="str">
        <f>IF($Z240="","",IF(AND($Z240="b",Inventory!$G247=""),"",IF(AND($Z240="b",Inventory!$G247&lt;&gt;""),VLOOKUP(Inventory!$G247,$E$3:$F$10,2,FALSE),IF(AND($Z240="a",Inventory!$Z247=""),"",IF(AND($Z240="a",Inventory!$Z247&lt;&gt;""),VLOOKUP(Inventory!$Z247,$E$3:$F$10,2,FALSE),IF(AND($Z240="c",Inventory!$Z247=""),"",IF(AND($Z240="c",Inventory!$Z247&lt;&gt;""),VLOOKUP(Inventory!$Z247,$E$3:$F$10,2,FALSE),"")))))))</f>
        <v/>
      </c>
      <c r="AB240" s="559" t="str">
        <f>IF($Z240="","a",IF(AND($Z240="b",Inventory!$J247=""),"a",IF(AND($Z240="b",Inventory!$J247&lt;&gt;""),VLOOKUP(Inventory!$J247,$H$4:$I$6,2,FALSE),IF(AND($Z240="a",Inventory!$AA247=""),"a",IF(AND($Z240="a",Inventory!$AA247&lt;&gt;""),VLOOKUP(Inventory!$AA247,$H$4:$I$6,2,FALSE),IF(AND($Z240="c",Inventory!$AA247=""),"a",IF(AND($Z240="c",Inventory!$AA247&lt;&gt;""),VLOOKUP(Inventory!$AA247,$H$4:$I$6,2,FALSE),"a")))))))</f>
        <v>a</v>
      </c>
      <c r="AC240" s="559" t="str">
        <f t="shared" si="149"/>
        <v>a</v>
      </c>
      <c r="AD240" s="473" t="str">
        <f>IF($Z240="","a",IF(AND($Z240="b",Inventory!$L247=""),"a",IF(AND($Z240="b",Inventory!$L247&lt;&gt;""),VLOOKUP(Inventory!$L247,$N$4:$O$5,2,FALSE),IF(AND($Z240="a",Inventory!$AC247=""),"a",IF(AND($Z240="a",Inventory!$AC247&lt;&gt;""),VLOOKUP(Inventory!$AC247,$N$4:$O$5,2,FALSE),IF(AND($Z240="c",Inventory!$AC247=""),"a",IF(AND($Z240="c",Inventory!$AC247&lt;&gt;""),VLOOKUP(Inventory!$AC247,$N$4:$O$5,2,FALSE),"a")))))))</f>
        <v>a</v>
      </c>
      <c r="AE240" s="474">
        <f>IF(OR(Inventory!C247="New Construction",Inventory!C247="Replace-on-Burnout"),Inventory!AF247,IF(Inventory!C247="Early Retirement",MIN(Inventory!AE247,Inventory!AF247),0))</f>
        <v>0</v>
      </c>
      <c r="AF240" s="475" t="str">
        <f t="shared" si="150"/>
        <v/>
      </c>
      <c r="AG240" s="475" t="str">
        <f t="shared" si="138"/>
        <v/>
      </c>
      <c r="AH240" s="475" t="str">
        <f t="shared" si="139"/>
        <v/>
      </c>
      <c r="AI240" s="475" t="str">
        <f t="shared" si="140"/>
        <v/>
      </c>
      <c r="AJ240" s="475" t="str">
        <f t="shared" si="141"/>
        <v/>
      </c>
      <c r="AK240" s="475" t="str">
        <f t="shared" si="151"/>
        <v/>
      </c>
      <c r="AL240" s="475" t="str">
        <f t="shared" si="152"/>
        <v/>
      </c>
      <c r="AM240" s="475" t="str">
        <f t="shared" si="153"/>
        <v/>
      </c>
      <c r="AN240" s="475" t="str">
        <f t="shared" si="154"/>
        <v/>
      </c>
      <c r="AO240" s="475" t="str">
        <f t="shared" si="155"/>
        <v/>
      </c>
      <c r="AP240" s="475" t="str">
        <f t="shared" si="156"/>
        <v/>
      </c>
      <c r="AQ240" s="475" t="str">
        <f t="shared" si="157"/>
        <v/>
      </c>
      <c r="AR240" s="475" t="str">
        <f t="shared" si="158"/>
        <v/>
      </c>
      <c r="AS240" s="475" t="str">
        <f t="shared" si="159"/>
        <v/>
      </c>
      <c r="AT240" s="475" t="str">
        <f t="shared" si="160"/>
        <v/>
      </c>
      <c r="AU240" s="475" t="str">
        <f t="shared" si="161"/>
        <v/>
      </c>
      <c r="AV240" s="475" t="str">
        <f t="shared" si="142"/>
        <v/>
      </c>
      <c r="AW240" s="473">
        <f t="shared" si="143"/>
        <v>0</v>
      </c>
      <c r="AX240" s="473" t="str">
        <f>IF(AND($Z240="b",OR($AA240="a",$AA240="b"),Inventory!$I247="",$AE240&lt;(65000/12000)),"x",IF(AND($Z240="b",OR($AA240="a",$AA240="b"),Inventory!$I247&lt;&gt;"",$AE240&lt;(65000/12000)),VLOOKUP(Inventory!$I247,$V$4:$W$5,2,FALSE),"x"))</f>
        <v>x</v>
      </c>
      <c r="AY240" s="476" t="str">
        <f t="shared" si="162"/>
        <v>aaa0</v>
      </c>
      <c r="AZ240" s="477" t="str">
        <f t="shared" si="163"/>
        <v>No</v>
      </c>
      <c r="BA240" s="759" t="str">
        <f t="shared" si="164"/>
        <v>No</v>
      </c>
      <c r="BB240" s="477">
        <f>IF($Z240="c",Inventory!$AB247,Inventory!$K247)</f>
        <v>0</v>
      </c>
      <c r="BC240" s="478">
        <f>IF(AND($Z240="b",Inventory!$N247="Btu/hr"),Inventory!$M247,IF(AND($Z240="b",Inventory!$N247="Tons"),Inventory!$M247*12000,IF(AND($Z240&lt;&gt;"b",Inventory!$AK247="Btu/hr"),Inventory!$AD247,IF(AND($Z240&lt;&gt;"b",Inventory!$AK247="Tons"),Inventory!$AD247*12000,0))))</f>
        <v>0</v>
      </c>
      <c r="BD240" s="478">
        <f t="shared" si="136"/>
        <v>0</v>
      </c>
      <c r="BE240" s="479">
        <f t="shared" si="165"/>
        <v>0</v>
      </c>
      <c r="BF240" s="477" t="s">
        <v>50</v>
      </c>
      <c r="BG240" s="479">
        <f t="shared" si="144"/>
        <v>0</v>
      </c>
      <c r="BH240" s="477" t="s">
        <v>46</v>
      </c>
      <c r="BI240" s="760">
        <f>IF(AND($Z240="b",Inventory!$P247="Btu/hr"),Inventory!$O247,IF(AND($Z240="b",Inventory!$P247="Tons"),Inventory!$O247*12000,IF(AND($Z240&lt;&gt;"b",Inventory!$AM247="Btu/hr"),Inventory!$AL247,IF(AND($Z240&lt;&gt;"b",Inventory!$AM247="Tons"),Inventory!$AL247*12000,0))))</f>
        <v>0</v>
      </c>
      <c r="BJ240" s="760">
        <f t="shared" si="137"/>
        <v>0</v>
      </c>
      <c r="BK240" s="598">
        <f t="shared" si="166"/>
        <v>0</v>
      </c>
      <c r="BL240" s="759" t="s">
        <v>567</v>
      </c>
      <c r="BM240" s="477" t="str">
        <f t="shared" si="145"/>
        <v>No</v>
      </c>
      <c r="BN240" s="477" t="str">
        <f>IF(OR(Inventory!$H247="",$BM240="No"),"-",Inventory!$H247)</f>
        <v>-</v>
      </c>
      <c r="BO240" s="477" t="str">
        <f>IFERROR(VLOOKUP(BN240,'Early Retirement'!$B$6:$C$33,2,FALSE),"-")</f>
        <v>-</v>
      </c>
      <c r="BP240" s="477" t="str">
        <f>IF(Inventory!$J247="Centrifugal","Yes","No")</f>
        <v>No</v>
      </c>
      <c r="BQ240" s="477">
        <f t="shared" si="167"/>
        <v>0</v>
      </c>
      <c r="BR240" s="477" t="str">
        <f t="shared" si="168"/>
        <v>-</v>
      </c>
      <c r="BS240" s="479">
        <f>IFERROR(INDEX('Early Retirement'!$C$4:$AC$33,$BO240,$BR240),0)</f>
        <v>0</v>
      </c>
      <c r="BT240" s="477">
        <f>IFERROR(HLOOKUP($BR240,'Early Retirement'!$D$4:$AC$5,2,FALSE),0)</f>
        <v>0</v>
      </c>
      <c r="BU240" s="761">
        <f>IFERROR(INDEX('Early Retirement'!$AE$4:$BE$33,$BO240,$BR240),0)</f>
        <v>0</v>
      </c>
      <c r="BV240" s="759">
        <f>IFERROR(HLOOKUP($BR240,'Early Retirement'!$AF$4:$BE$5,2,FALSE),0)</f>
        <v>0</v>
      </c>
      <c r="BW240" s="479">
        <f t="shared" si="175"/>
        <v>0</v>
      </c>
      <c r="BX240" s="761">
        <f t="shared" si="169"/>
        <v>0</v>
      </c>
      <c r="BY240" s="477" t="s">
        <v>46</v>
      </c>
      <c r="BZ240" s="598">
        <f>IFERROR(INDEX('Early Retirement'!$BG$4:$CG$33,$BO240,$BR240),0)</f>
        <v>0</v>
      </c>
      <c r="CA240" s="759">
        <f>IFERROR(HLOOKUP($BR240,'Early Retirement'!$BH$4:$CH$5,2,FALSE),0)</f>
        <v>0</v>
      </c>
      <c r="CB240" s="598">
        <f t="shared" si="170"/>
        <v>0</v>
      </c>
      <c r="CC240" s="759" t="s">
        <v>567</v>
      </c>
      <c r="CD240" s="477" t="str">
        <f t="shared" si="146"/>
        <v>Yes</v>
      </c>
      <c r="CE240" s="479">
        <f t="shared" si="147"/>
        <v>0</v>
      </c>
      <c r="CF240" s="761">
        <f t="shared" si="148"/>
        <v>0</v>
      </c>
      <c r="CG240" s="759" t="s">
        <v>46</v>
      </c>
      <c r="CH240" s="598">
        <f t="shared" si="171"/>
        <v>0</v>
      </c>
      <c r="CI240" s="759" t="s">
        <v>567</v>
      </c>
      <c r="CJ240" s="480">
        <f t="shared" si="172"/>
        <v>0</v>
      </c>
      <c r="CK240" s="583">
        <f t="shared" si="173"/>
        <v>0</v>
      </c>
      <c r="CL240" s="596" t="s">
        <v>46</v>
      </c>
      <c r="CM240" s="581">
        <f t="shared" si="174"/>
        <v>0</v>
      </c>
      <c r="CN240" s="762" t="s">
        <v>567</v>
      </c>
      <c r="CW240" s="630"/>
      <c r="CX240" s="630"/>
      <c r="CY240" s="630"/>
      <c r="CZ240" s="630"/>
      <c r="DA240" s="630"/>
    </row>
    <row r="241" spans="2:105" s="78" customFormat="1" ht="15" customHeight="1" x14ac:dyDescent="0.25">
      <c r="B241" s="77"/>
      <c r="E241" s="77"/>
      <c r="H241" s="77"/>
      <c r="Y241" s="90">
        <v>239</v>
      </c>
      <c r="Z241" s="559" t="str">
        <f>IF(Inventory!$C248="","",VLOOKUP(Inventory!$C248,$B$3:$C$5,2,FALSE))</f>
        <v/>
      </c>
      <c r="AA241" s="559" t="str">
        <f>IF($Z241="","",IF(AND($Z241="b",Inventory!$G248=""),"",IF(AND($Z241="b",Inventory!$G248&lt;&gt;""),VLOOKUP(Inventory!$G248,$E$3:$F$10,2,FALSE),IF(AND($Z241="a",Inventory!$Z248=""),"",IF(AND($Z241="a",Inventory!$Z248&lt;&gt;""),VLOOKUP(Inventory!$Z248,$E$3:$F$10,2,FALSE),IF(AND($Z241="c",Inventory!$Z248=""),"",IF(AND($Z241="c",Inventory!$Z248&lt;&gt;""),VLOOKUP(Inventory!$Z248,$E$3:$F$10,2,FALSE),"")))))))</f>
        <v/>
      </c>
      <c r="AB241" s="559" t="str">
        <f>IF($Z241="","a",IF(AND($Z241="b",Inventory!$J248=""),"a",IF(AND($Z241="b",Inventory!$J248&lt;&gt;""),VLOOKUP(Inventory!$J248,$H$4:$I$6,2,FALSE),IF(AND($Z241="a",Inventory!$AA248=""),"a",IF(AND($Z241="a",Inventory!$AA248&lt;&gt;""),VLOOKUP(Inventory!$AA248,$H$4:$I$6,2,FALSE),IF(AND($Z241="c",Inventory!$AA248=""),"a",IF(AND($Z241="c",Inventory!$AA248&lt;&gt;""),VLOOKUP(Inventory!$AA248,$H$4:$I$6,2,FALSE),"a")))))))</f>
        <v>a</v>
      </c>
      <c r="AC241" s="559" t="str">
        <f t="shared" si="149"/>
        <v>a</v>
      </c>
      <c r="AD241" s="473" t="str">
        <f>IF($Z241="","a",IF(AND($Z241="b",Inventory!$L248=""),"a",IF(AND($Z241="b",Inventory!$L248&lt;&gt;""),VLOOKUP(Inventory!$L248,$N$4:$O$5,2,FALSE),IF(AND($Z241="a",Inventory!$AC248=""),"a",IF(AND($Z241="a",Inventory!$AC248&lt;&gt;""),VLOOKUP(Inventory!$AC248,$N$4:$O$5,2,FALSE),IF(AND($Z241="c",Inventory!$AC248=""),"a",IF(AND($Z241="c",Inventory!$AC248&lt;&gt;""),VLOOKUP(Inventory!$AC248,$N$4:$O$5,2,FALSE),"a")))))))</f>
        <v>a</v>
      </c>
      <c r="AE241" s="474">
        <f>IF(OR(Inventory!C248="New Construction",Inventory!C248="Replace-on-Burnout"),Inventory!AF248,IF(Inventory!C248="Early Retirement",MIN(Inventory!AE248,Inventory!AF248),0))</f>
        <v>0</v>
      </c>
      <c r="AF241" s="475" t="str">
        <f t="shared" si="150"/>
        <v/>
      </c>
      <c r="AG241" s="475" t="str">
        <f t="shared" si="138"/>
        <v/>
      </c>
      <c r="AH241" s="475" t="str">
        <f t="shared" si="139"/>
        <v/>
      </c>
      <c r="AI241" s="475" t="str">
        <f t="shared" si="140"/>
        <v/>
      </c>
      <c r="AJ241" s="475" t="str">
        <f t="shared" si="141"/>
        <v/>
      </c>
      <c r="AK241" s="475" t="str">
        <f t="shared" si="151"/>
        <v/>
      </c>
      <c r="AL241" s="475" t="str">
        <f t="shared" si="152"/>
        <v/>
      </c>
      <c r="AM241" s="475" t="str">
        <f t="shared" si="153"/>
        <v/>
      </c>
      <c r="AN241" s="475" t="str">
        <f t="shared" si="154"/>
        <v/>
      </c>
      <c r="AO241" s="475" t="str">
        <f t="shared" si="155"/>
        <v/>
      </c>
      <c r="AP241" s="475" t="str">
        <f t="shared" si="156"/>
        <v/>
      </c>
      <c r="AQ241" s="475" t="str">
        <f t="shared" si="157"/>
        <v/>
      </c>
      <c r="AR241" s="475" t="str">
        <f t="shared" si="158"/>
        <v/>
      </c>
      <c r="AS241" s="475" t="str">
        <f t="shared" si="159"/>
        <v/>
      </c>
      <c r="AT241" s="475" t="str">
        <f t="shared" si="160"/>
        <v/>
      </c>
      <c r="AU241" s="475" t="str">
        <f t="shared" si="161"/>
        <v/>
      </c>
      <c r="AV241" s="475" t="str">
        <f t="shared" si="142"/>
        <v/>
      </c>
      <c r="AW241" s="473">
        <f t="shared" si="143"/>
        <v>0</v>
      </c>
      <c r="AX241" s="473" t="str">
        <f>IF(AND($Z241="b",OR($AA241="a",$AA241="b"),Inventory!$I248="",$AE241&lt;(65000/12000)),"x",IF(AND($Z241="b",OR($AA241="a",$AA241="b"),Inventory!$I248&lt;&gt;"",$AE241&lt;(65000/12000)),VLOOKUP(Inventory!$I248,$V$4:$W$5,2,FALSE),"x"))</f>
        <v>x</v>
      </c>
      <c r="AY241" s="476" t="str">
        <f t="shared" si="162"/>
        <v>aaa0</v>
      </c>
      <c r="AZ241" s="477" t="str">
        <f t="shared" si="163"/>
        <v>No</v>
      </c>
      <c r="BA241" s="759" t="str">
        <f t="shared" si="164"/>
        <v>No</v>
      </c>
      <c r="BB241" s="477">
        <f>IF($Z241="c",Inventory!$AB248,Inventory!$K248)</f>
        <v>0</v>
      </c>
      <c r="BC241" s="478">
        <f>IF(AND($Z241="b",Inventory!$N248="Btu/hr"),Inventory!$M248,IF(AND($Z241="b",Inventory!$N248="Tons"),Inventory!$M248*12000,IF(AND($Z241&lt;&gt;"b",Inventory!$AK248="Btu/hr"),Inventory!$AD248,IF(AND($Z241&lt;&gt;"b",Inventory!$AK248="Tons"),Inventory!$AD248*12000,0))))</f>
        <v>0</v>
      </c>
      <c r="BD241" s="478">
        <f t="shared" si="136"/>
        <v>0</v>
      </c>
      <c r="BE241" s="479">
        <f t="shared" si="165"/>
        <v>0</v>
      </c>
      <c r="BF241" s="477" t="s">
        <v>50</v>
      </c>
      <c r="BG241" s="479">
        <f t="shared" si="144"/>
        <v>0</v>
      </c>
      <c r="BH241" s="477" t="s">
        <v>46</v>
      </c>
      <c r="BI241" s="760">
        <f>IF(AND($Z241="b",Inventory!$P248="Btu/hr"),Inventory!$O248,IF(AND($Z241="b",Inventory!$P248="Tons"),Inventory!$O248*12000,IF(AND($Z241&lt;&gt;"b",Inventory!$AM248="Btu/hr"),Inventory!$AL248,IF(AND($Z241&lt;&gt;"b",Inventory!$AM248="Tons"),Inventory!$AL248*12000,0))))</f>
        <v>0</v>
      </c>
      <c r="BJ241" s="760">
        <f t="shared" si="137"/>
        <v>0</v>
      </c>
      <c r="BK241" s="598">
        <f t="shared" si="166"/>
        <v>0</v>
      </c>
      <c r="BL241" s="759" t="s">
        <v>567</v>
      </c>
      <c r="BM241" s="477" t="str">
        <f t="shared" si="145"/>
        <v>No</v>
      </c>
      <c r="BN241" s="477" t="str">
        <f>IF(OR(Inventory!$H248="",$BM241="No"),"-",Inventory!$H248)</f>
        <v>-</v>
      </c>
      <c r="BO241" s="477" t="str">
        <f>IFERROR(VLOOKUP(BN241,'Early Retirement'!$B$6:$C$33,2,FALSE),"-")</f>
        <v>-</v>
      </c>
      <c r="BP241" s="477" t="str">
        <f>IF(Inventory!$J248="Centrifugal","Yes","No")</f>
        <v>No</v>
      </c>
      <c r="BQ241" s="477">
        <f t="shared" si="167"/>
        <v>0</v>
      </c>
      <c r="BR241" s="477" t="str">
        <f t="shared" si="168"/>
        <v>-</v>
      </c>
      <c r="BS241" s="479">
        <f>IFERROR(INDEX('Early Retirement'!$C$4:$AC$33,$BO241,$BR241),0)</f>
        <v>0</v>
      </c>
      <c r="BT241" s="477">
        <f>IFERROR(HLOOKUP($BR241,'Early Retirement'!$D$4:$AC$5,2,FALSE),0)</f>
        <v>0</v>
      </c>
      <c r="BU241" s="761">
        <f>IFERROR(INDEX('Early Retirement'!$AE$4:$BE$33,$BO241,$BR241),0)</f>
        <v>0</v>
      </c>
      <c r="BV241" s="759">
        <f>IFERROR(HLOOKUP($BR241,'Early Retirement'!$AF$4:$BE$5,2,FALSE),0)</f>
        <v>0</v>
      </c>
      <c r="BW241" s="479">
        <f t="shared" si="175"/>
        <v>0</v>
      </c>
      <c r="BX241" s="761">
        <f t="shared" si="169"/>
        <v>0</v>
      </c>
      <c r="BY241" s="477" t="s">
        <v>46</v>
      </c>
      <c r="BZ241" s="598">
        <f>IFERROR(INDEX('Early Retirement'!$BG$4:$CG$33,$BO241,$BR241),0)</f>
        <v>0</v>
      </c>
      <c r="CA241" s="759">
        <f>IFERROR(HLOOKUP($BR241,'Early Retirement'!$BH$4:$CH$5,2,FALSE),0)</f>
        <v>0</v>
      </c>
      <c r="CB241" s="598">
        <f t="shared" si="170"/>
        <v>0</v>
      </c>
      <c r="CC241" s="759" t="s">
        <v>567</v>
      </c>
      <c r="CD241" s="477" t="str">
        <f t="shared" si="146"/>
        <v>Yes</v>
      </c>
      <c r="CE241" s="479">
        <f t="shared" si="147"/>
        <v>0</v>
      </c>
      <c r="CF241" s="761">
        <f t="shared" si="148"/>
        <v>0</v>
      </c>
      <c r="CG241" s="759" t="s">
        <v>46</v>
      </c>
      <c r="CH241" s="598">
        <f t="shared" si="171"/>
        <v>0</v>
      </c>
      <c r="CI241" s="759" t="s">
        <v>567</v>
      </c>
      <c r="CJ241" s="480">
        <f t="shared" si="172"/>
        <v>0</v>
      </c>
      <c r="CK241" s="583">
        <f t="shared" si="173"/>
        <v>0</v>
      </c>
      <c r="CL241" s="596" t="s">
        <v>46</v>
      </c>
      <c r="CM241" s="581">
        <f t="shared" si="174"/>
        <v>0</v>
      </c>
      <c r="CN241" s="762" t="s">
        <v>567</v>
      </c>
      <c r="CW241" s="630"/>
      <c r="CX241" s="630"/>
      <c r="CY241" s="630"/>
      <c r="CZ241" s="630"/>
      <c r="DA241" s="630"/>
    </row>
    <row r="242" spans="2:105" s="78" customFormat="1" ht="15" customHeight="1" x14ac:dyDescent="0.25">
      <c r="B242" s="77"/>
      <c r="E242" s="77"/>
      <c r="H242" s="77"/>
      <c r="Y242" s="90">
        <v>240</v>
      </c>
      <c r="Z242" s="559" t="str">
        <f>IF(Inventory!$C249="","",VLOOKUP(Inventory!$C249,$B$3:$C$5,2,FALSE))</f>
        <v/>
      </c>
      <c r="AA242" s="559" t="str">
        <f>IF($Z242="","",IF(AND($Z242="b",Inventory!$G249=""),"",IF(AND($Z242="b",Inventory!$G249&lt;&gt;""),VLOOKUP(Inventory!$G249,$E$3:$F$10,2,FALSE),IF(AND($Z242="a",Inventory!$Z249=""),"",IF(AND($Z242="a",Inventory!$Z249&lt;&gt;""),VLOOKUP(Inventory!$Z249,$E$3:$F$10,2,FALSE),IF(AND($Z242="c",Inventory!$Z249=""),"",IF(AND($Z242="c",Inventory!$Z249&lt;&gt;""),VLOOKUP(Inventory!$Z249,$E$3:$F$10,2,FALSE),"")))))))</f>
        <v/>
      </c>
      <c r="AB242" s="559" t="str">
        <f>IF($Z242="","a",IF(AND($Z242="b",Inventory!$J249=""),"a",IF(AND($Z242="b",Inventory!$J249&lt;&gt;""),VLOOKUP(Inventory!$J249,$H$4:$I$6,2,FALSE),IF(AND($Z242="a",Inventory!$AA249=""),"a",IF(AND($Z242="a",Inventory!$AA249&lt;&gt;""),VLOOKUP(Inventory!$AA249,$H$4:$I$6,2,FALSE),IF(AND($Z242="c",Inventory!$AA249=""),"a",IF(AND($Z242="c",Inventory!$AA249&lt;&gt;""),VLOOKUP(Inventory!$AA249,$H$4:$I$6,2,FALSE),"a")))))))</f>
        <v>a</v>
      </c>
      <c r="AC242" s="559" t="str">
        <f t="shared" si="149"/>
        <v>a</v>
      </c>
      <c r="AD242" s="473" t="str">
        <f>IF($Z242="","a",IF(AND($Z242="b",Inventory!$L249=""),"a",IF(AND($Z242="b",Inventory!$L249&lt;&gt;""),VLOOKUP(Inventory!$L249,$N$4:$O$5,2,FALSE),IF(AND($Z242="a",Inventory!$AC249=""),"a",IF(AND($Z242="a",Inventory!$AC249&lt;&gt;""),VLOOKUP(Inventory!$AC249,$N$4:$O$5,2,FALSE),IF(AND($Z242="c",Inventory!$AC249=""),"a",IF(AND($Z242="c",Inventory!$AC249&lt;&gt;""),VLOOKUP(Inventory!$AC249,$N$4:$O$5,2,FALSE),"a")))))))</f>
        <v>a</v>
      </c>
      <c r="AE242" s="474">
        <f>IF(OR(Inventory!C249="New Construction",Inventory!C249="Replace-on-Burnout"),Inventory!AF249,IF(Inventory!C249="Early Retirement",MIN(Inventory!AE249,Inventory!AF249),0))</f>
        <v>0</v>
      </c>
      <c r="AF242" s="475" t="str">
        <f t="shared" si="150"/>
        <v/>
      </c>
      <c r="AG242" s="475" t="str">
        <f t="shared" si="138"/>
        <v/>
      </c>
      <c r="AH242" s="475" t="str">
        <f t="shared" si="139"/>
        <v/>
      </c>
      <c r="AI242" s="475" t="str">
        <f t="shared" si="140"/>
        <v/>
      </c>
      <c r="AJ242" s="475" t="str">
        <f t="shared" si="141"/>
        <v/>
      </c>
      <c r="AK242" s="475" t="str">
        <f t="shared" si="151"/>
        <v/>
      </c>
      <c r="AL242" s="475" t="str">
        <f t="shared" si="152"/>
        <v/>
      </c>
      <c r="AM242" s="475" t="str">
        <f t="shared" si="153"/>
        <v/>
      </c>
      <c r="AN242" s="475" t="str">
        <f t="shared" si="154"/>
        <v/>
      </c>
      <c r="AO242" s="475" t="str">
        <f t="shared" si="155"/>
        <v/>
      </c>
      <c r="AP242" s="475" t="str">
        <f t="shared" si="156"/>
        <v/>
      </c>
      <c r="AQ242" s="475" t="str">
        <f t="shared" si="157"/>
        <v/>
      </c>
      <c r="AR242" s="475" t="str">
        <f t="shared" si="158"/>
        <v/>
      </c>
      <c r="AS242" s="475" t="str">
        <f t="shared" si="159"/>
        <v/>
      </c>
      <c r="AT242" s="475" t="str">
        <f t="shared" si="160"/>
        <v/>
      </c>
      <c r="AU242" s="475" t="str">
        <f t="shared" si="161"/>
        <v/>
      </c>
      <c r="AV242" s="475" t="str">
        <f t="shared" si="142"/>
        <v/>
      </c>
      <c r="AW242" s="473">
        <f t="shared" si="143"/>
        <v>0</v>
      </c>
      <c r="AX242" s="473" t="str">
        <f>IF(AND($Z242="b",OR($AA242="a",$AA242="b"),Inventory!$I249="",$AE242&lt;(65000/12000)),"x",IF(AND($Z242="b",OR($AA242="a",$AA242="b"),Inventory!$I249&lt;&gt;"",$AE242&lt;(65000/12000)),VLOOKUP(Inventory!$I249,$V$4:$W$5,2,FALSE),"x"))</f>
        <v>x</v>
      </c>
      <c r="AY242" s="476" t="str">
        <f t="shared" si="162"/>
        <v>aaa0</v>
      </c>
      <c r="AZ242" s="477" t="str">
        <f t="shared" si="163"/>
        <v>No</v>
      </c>
      <c r="BA242" s="759" t="str">
        <f t="shared" si="164"/>
        <v>No</v>
      </c>
      <c r="BB242" s="477">
        <f>IF($Z242="c",Inventory!$AB249,Inventory!$K249)</f>
        <v>0</v>
      </c>
      <c r="BC242" s="478">
        <f>IF(AND($Z242="b",Inventory!$N249="Btu/hr"),Inventory!$M249,IF(AND($Z242="b",Inventory!$N249="Tons"),Inventory!$M249*12000,IF(AND($Z242&lt;&gt;"b",Inventory!$AK249="Btu/hr"),Inventory!$AD249,IF(AND($Z242&lt;&gt;"b",Inventory!$AK249="Tons"),Inventory!$AD249*12000,0))))</f>
        <v>0</v>
      </c>
      <c r="BD242" s="478">
        <f t="shared" si="136"/>
        <v>0</v>
      </c>
      <c r="BE242" s="479">
        <f t="shared" si="165"/>
        <v>0</v>
      </c>
      <c r="BF242" s="477" t="s">
        <v>50</v>
      </c>
      <c r="BG242" s="479">
        <f t="shared" si="144"/>
        <v>0</v>
      </c>
      <c r="BH242" s="477" t="s">
        <v>46</v>
      </c>
      <c r="BI242" s="760">
        <f>IF(AND($Z242="b",Inventory!$P249="Btu/hr"),Inventory!$O249,IF(AND($Z242="b",Inventory!$P249="Tons"),Inventory!$O249*12000,IF(AND($Z242&lt;&gt;"b",Inventory!$AM249="Btu/hr"),Inventory!$AL249,IF(AND($Z242&lt;&gt;"b",Inventory!$AM249="Tons"),Inventory!$AL249*12000,0))))</f>
        <v>0</v>
      </c>
      <c r="BJ242" s="760">
        <f t="shared" si="137"/>
        <v>0</v>
      </c>
      <c r="BK242" s="598">
        <f t="shared" si="166"/>
        <v>0</v>
      </c>
      <c r="BL242" s="759" t="s">
        <v>567</v>
      </c>
      <c r="BM242" s="477" t="str">
        <f t="shared" si="145"/>
        <v>No</v>
      </c>
      <c r="BN242" s="477" t="str">
        <f>IF(OR(Inventory!$H249="",$BM242="No"),"-",Inventory!$H249)</f>
        <v>-</v>
      </c>
      <c r="BO242" s="477" t="str">
        <f>IFERROR(VLOOKUP(BN242,'Early Retirement'!$B$6:$C$33,2,FALSE),"-")</f>
        <v>-</v>
      </c>
      <c r="BP242" s="477" t="str">
        <f>IF(Inventory!$J249="Centrifugal","Yes","No")</f>
        <v>No</v>
      </c>
      <c r="BQ242" s="477">
        <f t="shared" si="167"/>
        <v>0</v>
      </c>
      <c r="BR242" s="477" t="str">
        <f t="shared" si="168"/>
        <v>-</v>
      </c>
      <c r="BS242" s="479">
        <f>IFERROR(INDEX('Early Retirement'!$C$4:$AC$33,$BO242,$BR242),0)</f>
        <v>0</v>
      </c>
      <c r="BT242" s="477">
        <f>IFERROR(HLOOKUP($BR242,'Early Retirement'!$D$4:$AC$5,2,FALSE),0)</f>
        <v>0</v>
      </c>
      <c r="BU242" s="761">
        <f>IFERROR(INDEX('Early Retirement'!$AE$4:$BE$33,$BO242,$BR242),0)</f>
        <v>0</v>
      </c>
      <c r="BV242" s="759">
        <f>IFERROR(HLOOKUP($BR242,'Early Retirement'!$AF$4:$BE$5,2,FALSE),0)</f>
        <v>0</v>
      </c>
      <c r="BW242" s="479">
        <f t="shared" si="175"/>
        <v>0</v>
      </c>
      <c r="BX242" s="761">
        <f t="shared" si="169"/>
        <v>0</v>
      </c>
      <c r="BY242" s="477" t="s">
        <v>46</v>
      </c>
      <c r="BZ242" s="598">
        <f>IFERROR(INDEX('Early Retirement'!$BG$4:$CG$33,$BO242,$BR242),0)</f>
        <v>0</v>
      </c>
      <c r="CA242" s="759">
        <f>IFERROR(HLOOKUP($BR242,'Early Retirement'!$BH$4:$CH$5,2,FALSE),0)</f>
        <v>0</v>
      </c>
      <c r="CB242" s="598">
        <f t="shared" si="170"/>
        <v>0</v>
      </c>
      <c r="CC242" s="759" t="s">
        <v>567</v>
      </c>
      <c r="CD242" s="477" t="str">
        <f t="shared" si="146"/>
        <v>Yes</v>
      </c>
      <c r="CE242" s="479">
        <f t="shared" si="147"/>
        <v>0</v>
      </c>
      <c r="CF242" s="761">
        <f t="shared" si="148"/>
        <v>0</v>
      </c>
      <c r="CG242" s="759" t="s">
        <v>46</v>
      </c>
      <c r="CH242" s="598">
        <f t="shared" si="171"/>
        <v>0</v>
      </c>
      <c r="CI242" s="759" t="s">
        <v>567</v>
      </c>
      <c r="CJ242" s="480">
        <f t="shared" si="172"/>
        <v>0</v>
      </c>
      <c r="CK242" s="583">
        <f t="shared" si="173"/>
        <v>0</v>
      </c>
      <c r="CL242" s="596" t="s">
        <v>46</v>
      </c>
      <c r="CM242" s="581">
        <f t="shared" si="174"/>
        <v>0</v>
      </c>
      <c r="CN242" s="762" t="s">
        <v>567</v>
      </c>
      <c r="CW242" s="630"/>
      <c r="CX242" s="630"/>
      <c r="CY242" s="630"/>
      <c r="CZ242" s="630"/>
      <c r="DA242" s="630"/>
    </row>
    <row r="243" spans="2:105" s="78" customFormat="1" ht="15" customHeight="1" x14ac:dyDescent="0.25">
      <c r="B243" s="77"/>
      <c r="E243" s="77"/>
      <c r="H243" s="77"/>
      <c r="Y243" s="90">
        <v>241</v>
      </c>
      <c r="Z243" s="559" t="str">
        <f>IF(Inventory!$C250="","",VLOOKUP(Inventory!$C250,$B$3:$C$5,2,FALSE))</f>
        <v/>
      </c>
      <c r="AA243" s="559" t="str">
        <f>IF($Z243="","",IF(AND($Z243="b",Inventory!$G250=""),"",IF(AND($Z243="b",Inventory!$G250&lt;&gt;""),VLOOKUP(Inventory!$G250,$E$3:$F$10,2,FALSE),IF(AND($Z243="a",Inventory!$Z250=""),"",IF(AND($Z243="a",Inventory!$Z250&lt;&gt;""),VLOOKUP(Inventory!$Z250,$E$3:$F$10,2,FALSE),IF(AND($Z243="c",Inventory!$Z250=""),"",IF(AND($Z243="c",Inventory!$Z250&lt;&gt;""),VLOOKUP(Inventory!$Z250,$E$3:$F$10,2,FALSE),"")))))))</f>
        <v/>
      </c>
      <c r="AB243" s="559" t="str">
        <f>IF($Z243="","a",IF(AND($Z243="b",Inventory!$J250=""),"a",IF(AND($Z243="b",Inventory!$J250&lt;&gt;""),VLOOKUP(Inventory!$J250,$H$4:$I$6,2,FALSE),IF(AND($Z243="a",Inventory!$AA250=""),"a",IF(AND($Z243="a",Inventory!$AA250&lt;&gt;""),VLOOKUP(Inventory!$AA250,$H$4:$I$6,2,FALSE),IF(AND($Z243="c",Inventory!$AA250=""),"a",IF(AND($Z243="c",Inventory!$AA250&lt;&gt;""),VLOOKUP(Inventory!$AA250,$H$4:$I$6,2,FALSE),"a")))))))</f>
        <v>a</v>
      </c>
      <c r="AC243" s="559" t="str">
        <f t="shared" si="149"/>
        <v>a</v>
      </c>
      <c r="AD243" s="473" t="str">
        <f>IF($Z243="","a",IF(AND($Z243="b",Inventory!$L250=""),"a",IF(AND($Z243="b",Inventory!$L250&lt;&gt;""),VLOOKUP(Inventory!$L250,$N$4:$O$5,2,FALSE),IF(AND($Z243="a",Inventory!$AC250=""),"a",IF(AND($Z243="a",Inventory!$AC250&lt;&gt;""),VLOOKUP(Inventory!$AC250,$N$4:$O$5,2,FALSE),IF(AND($Z243="c",Inventory!$AC250=""),"a",IF(AND($Z243="c",Inventory!$AC250&lt;&gt;""),VLOOKUP(Inventory!$AC250,$N$4:$O$5,2,FALSE),"a")))))))</f>
        <v>a</v>
      </c>
      <c r="AE243" s="474">
        <f>IF(OR(Inventory!C250="New Construction",Inventory!C250="Replace-on-Burnout"),Inventory!AF250,IF(Inventory!C250="Early Retirement",MIN(Inventory!AE250,Inventory!AF250),0))</f>
        <v>0</v>
      </c>
      <c r="AF243" s="475" t="str">
        <f t="shared" si="150"/>
        <v/>
      </c>
      <c r="AG243" s="475" t="str">
        <f t="shared" si="138"/>
        <v/>
      </c>
      <c r="AH243" s="475" t="str">
        <f t="shared" si="139"/>
        <v/>
      </c>
      <c r="AI243" s="475" t="str">
        <f t="shared" si="140"/>
        <v/>
      </c>
      <c r="AJ243" s="475" t="str">
        <f t="shared" si="141"/>
        <v/>
      </c>
      <c r="AK243" s="475" t="str">
        <f t="shared" si="151"/>
        <v/>
      </c>
      <c r="AL243" s="475" t="str">
        <f t="shared" si="152"/>
        <v/>
      </c>
      <c r="AM243" s="475" t="str">
        <f t="shared" si="153"/>
        <v/>
      </c>
      <c r="AN243" s="475" t="str">
        <f t="shared" si="154"/>
        <v/>
      </c>
      <c r="AO243" s="475" t="str">
        <f t="shared" si="155"/>
        <v/>
      </c>
      <c r="AP243" s="475" t="str">
        <f t="shared" si="156"/>
        <v/>
      </c>
      <c r="AQ243" s="475" t="str">
        <f t="shared" si="157"/>
        <v/>
      </c>
      <c r="AR243" s="475" t="str">
        <f t="shared" si="158"/>
        <v/>
      </c>
      <c r="AS243" s="475" t="str">
        <f t="shared" si="159"/>
        <v/>
      </c>
      <c r="AT243" s="475" t="str">
        <f t="shared" si="160"/>
        <v/>
      </c>
      <c r="AU243" s="475" t="str">
        <f t="shared" si="161"/>
        <v/>
      </c>
      <c r="AV243" s="475" t="str">
        <f t="shared" si="142"/>
        <v/>
      </c>
      <c r="AW243" s="473">
        <f t="shared" si="143"/>
        <v>0</v>
      </c>
      <c r="AX243" s="473" t="str">
        <f>IF(AND($Z243="b",OR($AA243="a",$AA243="b"),Inventory!$I250="",$AE243&lt;(65000/12000)),"x",IF(AND($Z243="b",OR($AA243="a",$AA243="b"),Inventory!$I250&lt;&gt;"",$AE243&lt;(65000/12000)),VLOOKUP(Inventory!$I250,$V$4:$W$5,2,FALSE),"x"))</f>
        <v>x</v>
      </c>
      <c r="AY243" s="476" t="str">
        <f t="shared" si="162"/>
        <v>aaa0</v>
      </c>
      <c r="AZ243" s="477" t="str">
        <f t="shared" si="163"/>
        <v>No</v>
      </c>
      <c r="BA243" s="759" t="str">
        <f t="shared" si="164"/>
        <v>No</v>
      </c>
      <c r="BB243" s="477">
        <f>IF($Z243="c",Inventory!$AB250,Inventory!$K250)</f>
        <v>0</v>
      </c>
      <c r="BC243" s="478">
        <f>IF(AND($Z243="b",Inventory!$N250="Btu/hr"),Inventory!$M250,IF(AND($Z243="b",Inventory!$N250="Tons"),Inventory!$M250*12000,IF(AND($Z243&lt;&gt;"b",Inventory!$AK250="Btu/hr"),Inventory!$AD250,IF(AND($Z243&lt;&gt;"b",Inventory!$AK250="Tons"),Inventory!$AD250*12000,0))))</f>
        <v>0</v>
      </c>
      <c r="BD243" s="478">
        <f t="shared" si="136"/>
        <v>0</v>
      </c>
      <c r="BE243" s="479">
        <f t="shared" si="165"/>
        <v>0</v>
      </c>
      <c r="BF243" s="477" t="s">
        <v>50</v>
      </c>
      <c r="BG243" s="479">
        <f t="shared" si="144"/>
        <v>0</v>
      </c>
      <c r="BH243" s="477" t="s">
        <v>46</v>
      </c>
      <c r="BI243" s="760">
        <f>IF(AND($Z243="b",Inventory!$P250="Btu/hr"),Inventory!$O250,IF(AND($Z243="b",Inventory!$P250="Tons"),Inventory!$O250*12000,IF(AND($Z243&lt;&gt;"b",Inventory!$AM250="Btu/hr"),Inventory!$AL250,IF(AND($Z243&lt;&gt;"b",Inventory!$AM250="Tons"),Inventory!$AL250*12000,0))))</f>
        <v>0</v>
      </c>
      <c r="BJ243" s="760">
        <f t="shared" si="137"/>
        <v>0</v>
      </c>
      <c r="BK243" s="598">
        <f t="shared" si="166"/>
        <v>0</v>
      </c>
      <c r="BL243" s="759" t="s">
        <v>567</v>
      </c>
      <c r="BM243" s="477" t="str">
        <f t="shared" si="145"/>
        <v>No</v>
      </c>
      <c r="BN243" s="477" t="str">
        <f>IF(OR(Inventory!$H250="",$BM243="No"),"-",Inventory!$H250)</f>
        <v>-</v>
      </c>
      <c r="BO243" s="477" t="str">
        <f>IFERROR(VLOOKUP(BN243,'Early Retirement'!$B$6:$C$33,2,FALSE),"-")</f>
        <v>-</v>
      </c>
      <c r="BP243" s="477" t="str">
        <f>IF(Inventory!$J250="Centrifugal","Yes","No")</f>
        <v>No</v>
      </c>
      <c r="BQ243" s="477">
        <f t="shared" si="167"/>
        <v>0</v>
      </c>
      <c r="BR243" s="477" t="str">
        <f t="shared" si="168"/>
        <v>-</v>
      </c>
      <c r="BS243" s="479">
        <f>IFERROR(INDEX('Early Retirement'!$C$4:$AC$33,$BO243,$BR243),0)</f>
        <v>0</v>
      </c>
      <c r="BT243" s="477">
        <f>IFERROR(HLOOKUP($BR243,'Early Retirement'!$D$4:$AC$5,2,FALSE),0)</f>
        <v>0</v>
      </c>
      <c r="BU243" s="761">
        <f>IFERROR(INDEX('Early Retirement'!$AE$4:$BE$33,$BO243,$BR243),0)</f>
        <v>0</v>
      </c>
      <c r="BV243" s="759">
        <f>IFERROR(HLOOKUP($BR243,'Early Retirement'!$AF$4:$BE$5,2,FALSE),0)</f>
        <v>0</v>
      </c>
      <c r="BW243" s="479">
        <f t="shared" si="175"/>
        <v>0</v>
      </c>
      <c r="BX243" s="761">
        <f t="shared" si="169"/>
        <v>0</v>
      </c>
      <c r="BY243" s="477" t="s">
        <v>46</v>
      </c>
      <c r="BZ243" s="598">
        <f>IFERROR(INDEX('Early Retirement'!$BG$4:$CG$33,$BO243,$BR243),0)</f>
        <v>0</v>
      </c>
      <c r="CA243" s="759">
        <f>IFERROR(HLOOKUP($BR243,'Early Retirement'!$BH$4:$CH$5,2,FALSE),0)</f>
        <v>0</v>
      </c>
      <c r="CB243" s="598">
        <f t="shared" si="170"/>
        <v>0</v>
      </c>
      <c r="CC243" s="759" t="s">
        <v>567</v>
      </c>
      <c r="CD243" s="477" t="str">
        <f t="shared" si="146"/>
        <v>Yes</v>
      </c>
      <c r="CE243" s="479">
        <f t="shared" si="147"/>
        <v>0</v>
      </c>
      <c r="CF243" s="761">
        <f t="shared" si="148"/>
        <v>0</v>
      </c>
      <c r="CG243" s="759" t="s">
        <v>46</v>
      </c>
      <c r="CH243" s="598">
        <f t="shared" si="171"/>
        <v>0</v>
      </c>
      <c r="CI243" s="759" t="s">
        <v>567</v>
      </c>
      <c r="CJ243" s="480">
        <f t="shared" si="172"/>
        <v>0</v>
      </c>
      <c r="CK243" s="583">
        <f t="shared" si="173"/>
        <v>0</v>
      </c>
      <c r="CL243" s="596" t="s">
        <v>46</v>
      </c>
      <c r="CM243" s="581">
        <f t="shared" si="174"/>
        <v>0</v>
      </c>
      <c r="CN243" s="762" t="s">
        <v>567</v>
      </c>
      <c r="CW243" s="630"/>
      <c r="CX243" s="630"/>
      <c r="CY243" s="630"/>
      <c r="CZ243" s="630"/>
      <c r="DA243" s="630"/>
    </row>
    <row r="244" spans="2:105" s="78" customFormat="1" ht="15" customHeight="1" x14ac:dyDescent="0.25">
      <c r="B244" s="77"/>
      <c r="E244" s="77"/>
      <c r="H244" s="77"/>
      <c r="Y244" s="90">
        <v>242</v>
      </c>
      <c r="Z244" s="559" t="str">
        <f>IF(Inventory!$C251="","",VLOOKUP(Inventory!$C251,$B$3:$C$5,2,FALSE))</f>
        <v/>
      </c>
      <c r="AA244" s="559" t="str">
        <f>IF($Z244="","",IF(AND($Z244="b",Inventory!$G251=""),"",IF(AND($Z244="b",Inventory!$G251&lt;&gt;""),VLOOKUP(Inventory!$G251,$E$3:$F$10,2,FALSE),IF(AND($Z244="a",Inventory!$Z251=""),"",IF(AND($Z244="a",Inventory!$Z251&lt;&gt;""),VLOOKUP(Inventory!$Z251,$E$3:$F$10,2,FALSE),IF(AND($Z244="c",Inventory!$Z251=""),"",IF(AND($Z244="c",Inventory!$Z251&lt;&gt;""),VLOOKUP(Inventory!$Z251,$E$3:$F$10,2,FALSE),"")))))))</f>
        <v/>
      </c>
      <c r="AB244" s="559" t="str">
        <f>IF($Z244="","a",IF(AND($Z244="b",Inventory!$J251=""),"a",IF(AND($Z244="b",Inventory!$J251&lt;&gt;""),VLOOKUP(Inventory!$J251,$H$4:$I$6,2,FALSE),IF(AND($Z244="a",Inventory!$AA251=""),"a",IF(AND($Z244="a",Inventory!$AA251&lt;&gt;""),VLOOKUP(Inventory!$AA251,$H$4:$I$6,2,FALSE),IF(AND($Z244="c",Inventory!$AA251=""),"a",IF(AND($Z244="c",Inventory!$AA251&lt;&gt;""),VLOOKUP(Inventory!$AA251,$H$4:$I$6,2,FALSE),"a")))))))</f>
        <v>a</v>
      </c>
      <c r="AC244" s="559" t="str">
        <f t="shared" si="149"/>
        <v>a</v>
      </c>
      <c r="AD244" s="473" t="str">
        <f>IF($Z244="","a",IF(AND($Z244="b",Inventory!$L251=""),"a",IF(AND($Z244="b",Inventory!$L251&lt;&gt;""),VLOOKUP(Inventory!$L251,$N$4:$O$5,2,FALSE),IF(AND($Z244="a",Inventory!$AC251=""),"a",IF(AND($Z244="a",Inventory!$AC251&lt;&gt;""),VLOOKUP(Inventory!$AC251,$N$4:$O$5,2,FALSE),IF(AND($Z244="c",Inventory!$AC251=""),"a",IF(AND($Z244="c",Inventory!$AC251&lt;&gt;""),VLOOKUP(Inventory!$AC251,$N$4:$O$5,2,FALSE),"a")))))))</f>
        <v>a</v>
      </c>
      <c r="AE244" s="474">
        <f>IF(OR(Inventory!C251="New Construction",Inventory!C251="Replace-on-Burnout"),Inventory!AF251,IF(Inventory!C251="Early Retirement",MIN(Inventory!AE251,Inventory!AF251),0))</f>
        <v>0</v>
      </c>
      <c r="AF244" s="475" t="str">
        <f t="shared" si="150"/>
        <v/>
      </c>
      <c r="AG244" s="475" t="str">
        <f t="shared" si="138"/>
        <v/>
      </c>
      <c r="AH244" s="475" t="str">
        <f t="shared" si="139"/>
        <v/>
      </c>
      <c r="AI244" s="475" t="str">
        <f t="shared" si="140"/>
        <v/>
      </c>
      <c r="AJ244" s="475" t="str">
        <f t="shared" si="141"/>
        <v/>
      </c>
      <c r="AK244" s="475" t="str">
        <f t="shared" si="151"/>
        <v/>
      </c>
      <c r="AL244" s="475" t="str">
        <f t="shared" si="152"/>
        <v/>
      </c>
      <c r="AM244" s="475" t="str">
        <f t="shared" si="153"/>
        <v/>
      </c>
      <c r="AN244" s="475" t="str">
        <f t="shared" si="154"/>
        <v/>
      </c>
      <c r="AO244" s="475" t="str">
        <f t="shared" si="155"/>
        <v/>
      </c>
      <c r="AP244" s="475" t="str">
        <f t="shared" si="156"/>
        <v/>
      </c>
      <c r="AQ244" s="475" t="str">
        <f t="shared" si="157"/>
        <v/>
      </c>
      <c r="AR244" s="475" t="str">
        <f t="shared" si="158"/>
        <v/>
      </c>
      <c r="AS244" s="475" t="str">
        <f t="shared" si="159"/>
        <v/>
      </c>
      <c r="AT244" s="475" t="str">
        <f t="shared" si="160"/>
        <v/>
      </c>
      <c r="AU244" s="475" t="str">
        <f t="shared" si="161"/>
        <v/>
      </c>
      <c r="AV244" s="475" t="str">
        <f t="shared" si="142"/>
        <v/>
      </c>
      <c r="AW244" s="473">
        <f t="shared" si="143"/>
        <v>0</v>
      </c>
      <c r="AX244" s="473" t="str">
        <f>IF(AND($Z244="b",OR($AA244="a",$AA244="b"),Inventory!$I251="",$AE244&lt;(65000/12000)),"x",IF(AND($Z244="b",OR($AA244="a",$AA244="b"),Inventory!$I251&lt;&gt;"",$AE244&lt;(65000/12000)),VLOOKUP(Inventory!$I251,$V$4:$W$5,2,FALSE),"x"))</f>
        <v>x</v>
      </c>
      <c r="AY244" s="476" t="str">
        <f t="shared" si="162"/>
        <v>aaa0</v>
      </c>
      <c r="AZ244" s="477" t="str">
        <f t="shared" si="163"/>
        <v>No</v>
      </c>
      <c r="BA244" s="759" t="str">
        <f t="shared" si="164"/>
        <v>No</v>
      </c>
      <c r="BB244" s="477">
        <f>IF($Z244="c",Inventory!$AB251,Inventory!$K251)</f>
        <v>0</v>
      </c>
      <c r="BC244" s="478">
        <f>IF(AND($Z244="b",Inventory!$N251="Btu/hr"),Inventory!$M251,IF(AND($Z244="b",Inventory!$N251="Tons"),Inventory!$M251*12000,IF(AND($Z244&lt;&gt;"b",Inventory!$AK251="Btu/hr"),Inventory!$AD251,IF(AND($Z244&lt;&gt;"b",Inventory!$AK251="Tons"),Inventory!$AD251*12000,0))))</f>
        <v>0</v>
      </c>
      <c r="BD244" s="478">
        <f t="shared" ref="BD244:BD252" si="176">IF(BC244=0,0,IF($BC244&lt;7000,7000,IF($BC244&gt;15000,15000,$BC244)))</f>
        <v>0</v>
      </c>
      <c r="BE244" s="479">
        <f t="shared" si="165"/>
        <v>0</v>
      </c>
      <c r="BF244" s="477" t="s">
        <v>50</v>
      </c>
      <c r="BG244" s="479">
        <f t="shared" si="144"/>
        <v>0</v>
      </c>
      <c r="BH244" s="477" t="s">
        <v>46</v>
      </c>
      <c r="BI244" s="760">
        <f>IF(AND($Z244="b",Inventory!$P251="Btu/hr"),Inventory!$O251,IF(AND($Z244="b",Inventory!$P251="Tons"),Inventory!$O251*12000,IF(AND($Z244&lt;&gt;"b",Inventory!$AM251="Btu/hr"),Inventory!$AL251,IF(AND($Z244&lt;&gt;"b",Inventory!$AM251="Tons"),Inventory!$AL251*12000,0))))</f>
        <v>0</v>
      </c>
      <c r="BJ244" s="760">
        <f t="shared" ref="BJ244:BJ252" si="177">IF(BI244=0,0,IF($BI244&lt;7000,7000,IF($BI244&gt;15000,15000,$BI244)))</f>
        <v>0</v>
      </c>
      <c r="BK244" s="598">
        <f t="shared" si="166"/>
        <v>0</v>
      </c>
      <c r="BL244" s="759" t="s">
        <v>567</v>
      </c>
      <c r="BM244" s="477" t="str">
        <f t="shared" si="145"/>
        <v>No</v>
      </c>
      <c r="BN244" s="477" t="str">
        <f>IF(OR(Inventory!$H251="",$BM244="No"),"-",Inventory!$H251)</f>
        <v>-</v>
      </c>
      <c r="BO244" s="477" t="str">
        <f>IFERROR(VLOOKUP(BN244,'Early Retirement'!$B$6:$C$33,2,FALSE),"-")</f>
        <v>-</v>
      </c>
      <c r="BP244" s="477" t="str">
        <f>IF(Inventory!$J251="Centrifugal","Yes","No")</f>
        <v>No</v>
      </c>
      <c r="BQ244" s="477">
        <f t="shared" si="167"/>
        <v>0</v>
      </c>
      <c r="BR244" s="477" t="str">
        <f t="shared" si="168"/>
        <v>-</v>
      </c>
      <c r="BS244" s="479">
        <f>IFERROR(INDEX('Early Retirement'!$C$4:$AC$33,$BO244,$BR244),0)</f>
        <v>0</v>
      </c>
      <c r="BT244" s="477">
        <f>IFERROR(HLOOKUP($BR244,'Early Retirement'!$D$4:$AC$5,2,FALSE),0)</f>
        <v>0</v>
      </c>
      <c r="BU244" s="761">
        <f>IFERROR(INDEX('Early Retirement'!$AE$4:$BE$33,$BO244,$BR244),0)</f>
        <v>0</v>
      </c>
      <c r="BV244" s="759">
        <f>IFERROR(HLOOKUP($BR244,'Early Retirement'!$AF$4:$BE$5,2,FALSE),0)</f>
        <v>0</v>
      </c>
      <c r="BW244" s="479">
        <f t="shared" si="175"/>
        <v>0</v>
      </c>
      <c r="BX244" s="761">
        <f t="shared" si="169"/>
        <v>0</v>
      </c>
      <c r="BY244" s="477" t="s">
        <v>46</v>
      </c>
      <c r="BZ244" s="598">
        <f>IFERROR(INDEX('Early Retirement'!$BG$4:$CG$33,$BO244,$BR244),0)</f>
        <v>0</v>
      </c>
      <c r="CA244" s="759">
        <f>IFERROR(HLOOKUP($BR244,'Early Retirement'!$BH$4:$CH$5,2,FALSE),0)</f>
        <v>0</v>
      </c>
      <c r="CB244" s="598">
        <f t="shared" si="170"/>
        <v>0</v>
      </c>
      <c r="CC244" s="759" t="s">
        <v>567</v>
      </c>
      <c r="CD244" s="477" t="str">
        <f t="shared" si="146"/>
        <v>Yes</v>
      </c>
      <c r="CE244" s="479">
        <f t="shared" si="147"/>
        <v>0</v>
      </c>
      <c r="CF244" s="761">
        <f t="shared" si="148"/>
        <v>0</v>
      </c>
      <c r="CG244" s="759" t="s">
        <v>46</v>
      </c>
      <c r="CH244" s="598">
        <f t="shared" si="171"/>
        <v>0</v>
      </c>
      <c r="CI244" s="759" t="s">
        <v>567</v>
      </c>
      <c r="CJ244" s="480">
        <f t="shared" si="172"/>
        <v>0</v>
      </c>
      <c r="CK244" s="583">
        <f t="shared" si="173"/>
        <v>0</v>
      </c>
      <c r="CL244" s="596" t="s">
        <v>46</v>
      </c>
      <c r="CM244" s="581">
        <f t="shared" si="174"/>
        <v>0</v>
      </c>
      <c r="CN244" s="762" t="s">
        <v>567</v>
      </c>
      <c r="CW244" s="630"/>
      <c r="CX244" s="630"/>
      <c r="CY244" s="630"/>
      <c r="CZ244" s="630"/>
      <c r="DA244" s="630"/>
    </row>
    <row r="245" spans="2:105" s="78" customFormat="1" ht="15" customHeight="1" x14ac:dyDescent="0.25">
      <c r="B245" s="77"/>
      <c r="E245" s="77"/>
      <c r="H245" s="77"/>
      <c r="Y245" s="90">
        <v>243</v>
      </c>
      <c r="Z245" s="559" t="str">
        <f>IF(Inventory!$C252="","",VLOOKUP(Inventory!$C252,$B$3:$C$5,2,FALSE))</f>
        <v/>
      </c>
      <c r="AA245" s="559" t="str">
        <f>IF($Z245="","",IF(AND($Z245="b",Inventory!$G252=""),"",IF(AND($Z245="b",Inventory!$G252&lt;&gt;""),VLOOKUP(Inventory!$G252,$E$3:$F$10,2,FALSE),IF(AND($Z245="a",Inventory!$Z252=""),"",IF(AND($Z245="a",Inventory!$Z252&lt;&gt;""),VLOOKUP(Inventory!$Z252,$E$3:$F$10,2,FALSE),IF(AND($Z245="c",Inventory!$Z252=""),"",IF(AND($Z245="c",Inventory!$Z252&lt;&gt;""),VLOOKUP(Inventory!$Z252,$E$3:$F$10,2,FALSE),"")))))))</f>
        <v/>
      </c>
      <c r="AB245" s="559" t="str">
        <f>IF($Z245="","a",IF(AND($Z245="b",Inventory!$J252=""),"a",IF(AND($Z245="b",Inventory!$J252&lt;&gt;""),VLOOKUP(Inventory!$J252,$H$4:$I$6,2,FALSE),IF(AND($Z245="a",Inventory!$AA252=""),"a",IF(AND($Z245="a",Inventory!$AA252&lt;&gt;""),VLOOKUP(Inventory!$AA252,$H$4:$I$6,2,FALSE),IF(AND($Z245="c",Inventory!$AA252=""),"a",IF(AND($Z245="c",Inventory!$AA252&lt;&gt;""),VLOOKUP(Inventory!$AA252,$H$4:$I$6,2,FALSE),"a")))))))</f>
        <v>a</v>
      </c>
      <c r="AC245" s="559" t="str">
        <f t="shared" si="149"/>
        <v>a</v>
      </c>
      <c r="AD245" s="473" t="str">
        <f>IF($Z245="","a",IF(AND($Z245="b",Inventory!$L252=""),"a",IF(AND($Z245="b",Inventory!$L252&lt;&gt;""),VLOOKUP(Inventory!$L252,$N$4:$O$5,2,FALSE),IF(AND($Z245="a",Inventory!$AC252=""),"a",IF(AND($Z245="a",Inventory!$AC252&lt;&gt;""),VLOOKUP(Inventory!$AC252,$N$4:$O$5,2,FALSE),IF(AND($Z245="c",Inventory!$AC252=""),"a",IF(AND($Z245="c",Inventory!$AC252&lt;&gt;""),VLOOKUP(Inventory!$AC252,$N$4:$O$5,2,FALSE),"a")))))))</f>
        <v>a</v>
      </c>
      <c r="AE245" s="474">
        <f>IF(OR(Inventory!C252="New Construction",Inventory!C252="Replace-on-Burnout"),Inventory!AF252,IF(Inventory!C252="Early Retirement",MIN(Inventory!AE252,Inventory!AF252),0))</f>
        <v>0</v>
      </c>
      <c r="AF245" s="475" t="str">
        <f t="shared" si="150"/>
        <v/>
      </c>
      <c r="AG245" s="475" t="str">
        <f t="shared" si="138"/>
        <v/>
      </c>
      <c r="AH245" s="475" t="str">
        <f t="shared" si="139"/>
        <v/>
      </c>
      <c r="AI245" s="475" t="str">
        <f t="shared" si="140"/>
        <v/>
      </c>
      <c r="AJ245" s="475" t="str">
        <f t="shared" si="141"/>
        <v/>
      </c>
      <c r="AK245" s="475" t="str">
        <f t="shared" si="151"/>
        <v/>
      </c>
      <c r="AL245" s="475" t="str">
        <f t="shared" si="152"/>
        <v/>
      </c>
      <c r="AM245" s="475" t="str">
        <f t="shared" si="153"/>
        <v/>
      </c>
      <c r="AN245" s="475" t="str">
        <f t="shared" si="154"/>
        <v/>
      </c>
      <c r="AO245" s="475" t="str">
        <f t="shared" si="155"/>
        <v/>
      </c>
      <c r="AP245" s="475" t="str">
        <f t="shared" si="156"/>
        <v/>
      </c>
      <c r="AQ245" s="475" t="str">
        <f t="shared" si="157"/>
        <v/>
      </c>
      <c r="AR245" s="475" t="str">
        <f t="shared" si="158"/>
        <v/>
      </c>
      <c r="AS245" s="475" t="str">
        <f t="shared" si="159"/>
        <v/>
      </c>
      <c r="AT245" s="475" t="str">
        <f t="shared" si="160"/>
        <v/>
      </c>
      <c r="AU245" s="475" t="str">
        <f t="shared" si="161"/>
        <v/>
      </c>
      <c r="AV245" s="475" t="str">
        <f t="shared" si="142"/>
        <v/>
      </c>
      <c r="AW245" s="473">
        <f t="shared" si="143"/>
        <v>0</v>
      </c>
      <c r="AX245" s="473" t="str">
        <f>IF(AND($Z245="b",OR($AA245="a",$AA245="b"),Inventory!$I252="",$AE245&lt;(65000/12000)),"x",IF(AND($Z245="b",OR($AA245="a",$AA245="b"),Inventory!$I252&lt;&gt;"",$AE245&lt;(65000/12000)),VLOOKUP(Inventory!$I252,$V$4:$W$5,2,FALSE),"x"))</f>
        <v>x</v>
      </c>
      <c r="AY245" s="476" t="str">
        <f t="shared" si="162"/>
        <v>aaa0</v>
      </c>
      <c r="AZ245" s="477" t="str">
        <f t="shared" si="163"/>
        <v>No</v>
      </c>
      <c r="BA245" s="759" t="str">
        <f t="shared" si="164"/>
        <v>No</v>
      </c>
      <c r="BB245" s="477">
        <f>IF($Z245="c",Inventory!$AB252,Inventory!$K252)</f>
        <v>0</v>
      </c>
      <c r="BC245" s="478">
        <f>IF(AND($Z245="b",Inventory!$N252="Btu/hr"),Inventory!$M252,IF(AND($Z245="b",Inventory!$N252="Tons"),Inventory!$M252*12000,IF(AND($Z245&lt;&gt;"b",Inventory!$AK252="Btu/hr"),Inventory!$AD252,IF(AND($Z245&lt;&gt;"b",Inventory!$AK252="Tons"),Inventory!$AD252*12000,0))))</f>
        <v>0</v>
      </c>
      <c r="BD245" s="478">
        <f t="shared" si="176"/>
        <v>0</v>
      </c>
      <c r="BE245" s="479">
        <f t="shared" si="165"/>
        <v>0</v>
      </c>
      <c r="BF245" s="477" t="s">
        <v>50</v>
      </c>
      <c r="BG245" s="479">
        <f t="shared" si="144"/>
        <v>0</v>
      </c>
      <c r="BH245" s="477" t="s">
        <v>46</v>
      </c>
      <c r="BI245" s="760">
        <f>IF(AND($Z245="b",Inventory!$P252="Btu/hr"),Inventory!$O252,IF(AND($Z245="b",Inventory!$P252="Tons"),Inventory!$O252*12000,IF(AND($Z245&lt;&gt;"b",Inventory!$AM252="Btu/hr"),Inventory!$AL252,IF(AND($Z245&lt;&gt;"b",Inventory!$AM252="Tons"),Inventory!$AL252*12000,0))))</f>
        <v>0</v>
      </c>
      <c r="BJ245" s="760">
        <f t="shared" si="177"/>
        <v>0</v>
      </c>
      <c r="BK245" s="598">
        <f t="shared" si="166"/>
        <v>0</v>
      </c>
      <c r="BL245" s="759" t="s">
        <v>567</v>
      </c>
      <c r="BM245" s="477" t="str">
        <f t="shared" si="145"/>
        <v>No</v>
      </c>
      <c r="BN245" s="477" t="str">
        <f>IF(OR(Inventory!$H252="",$BM245="No"),"-",Inventory!$H252)</f>
        <v>-</v>
      </c>
      <c r="BO245" s="477" t="str">
        <f>IFERROR(VLOOKUP(BN245,'Early Retirement'!$B$6:$C$33,2,FALSE),"-")</f>
        <v>-</v>
      </c>
      <c r="BP245" s="477" t="str">
        <f>IF(Inventory!$J252="Centrifugal","Yes","No")</f>
        <v>No</v>
      </c>
      <c r="BQ245" s="477">
        <f t="shared" si="167"/>
        <v>0</v>
      </c>
      <c r="BR245" s="477" t="str">
        <f t="shared" si="168"/>
        <v>-</v>
      </c>
      <c r="BS245" s="479">
        <f>IFERROR(INDEX('Early Retirement'!$C$4:$AC$33,$BO245,$BR245),0)</f>
        <v>0</v>
      </c>
      <c r="BT245" s="477">
        <f>IFERROR(HLOOKUP($BR245,'Early Retirement'!$D$4:$AC$5,2,FALSE),0)</f>
        <v>0</v>
      </c>
      <c r="BU245" s="761">
        <f>IFERROR(INDEX('Early Retirement'!$AE$4:$BE$33,$BO245,$BR245),0)</f>
        <v>0</v>
      </c>
      <c r="BV245" s="759">
        <f>IFERROR(HLOOKUP($BR245,'Early Retirement'!$AF$4:$BE$5,2,FALSE),0)</f>
        <v>0</v>
      </c>
      <c r="BW245" s="479">
        <f t="shared" si="175"/>
        <v>0</v>
      </c>
      <c r="BX245" s="761">
        <f t="shared" si="169"/>
        <v>0</v>
      </c>
      <c r="BY245" s="477" t="s">
        <v>46</v>
      </c>
      <c r="BZ245" s="598">
        <f>IFERROR(INDEX('Early Retirement'!$BG$4:$CG$33,$BO245,$BR245),0)</f>
        <v>0</v>
      </c>
      <c r="CA245" s="759">
        <f>IFERROR(HLOOKUP($BR245,'Early Retirement'!$BH$4:$CH$5,2,FALSE),0)</f>
        <v>0</v>
      </c>
      <c r="CB245" s="598">
        <f t="shared" si="170"/>
        <v>0</v>
      </c>
      <c r="CC245" s="759" t="s">
        <v>567</v>
      </c>
      <c r="CD245" s="477" t="str">
        <f t="shared" si="146"/>
        <v>Yes</v>
      </c>
      <c r="CE245" s="479">
        <f t="shared" si="147"/>
        <v>0</v>
      </c>
      <c r="CF245" s="761">
        <f t="shared" si="148"/>
        <v>0</v>
      </c>
      <c r="CG245" s="759" t="s">
        <v>46</v>
      </c>
      <c r="CH245" s="598">
        <f t="shared" si="171"/>
        <v>0</v>
      </c>
      <c r="CI245" s="759" t="s">
        <v>567</v>
      </c>
      <c r="CJ245" s="480">
        <f t="shared" si="172"/>
        <v>0</v>
      </c>
      <c r="CK245" s="583">
        <f t="shared" si="173"/>
        <v>0</v>
      </c>
      <c r="CL245" s="596" t="s">
        <v>46</v>
      </c>
      <c r="CM245" s="581">
        <f t="shared" si="174"/>
        <v>0</v>
      </c>
      <c r="CN245" s="762" t="s">
        <v>567</v>
      </c>
      <c r="CW245" s="630"/>
      <c r="CX245" s="630"/>
      <c r="CY245" s="630"/>
      <c r="CZ245" s="630"/>
      <c r="DA245" s="630"/>
    </row>
    <row r="246" spans="2:105" s="78" customFormat="1" ht="15" customHeight="1" x14ac:dyDescent="0.25">
      <c r="B246" s="77"/>
      <c r="E246" s="77"/>
      <c r="H246" s="77"/>
      <c r="Y246" s="90">
        <v>244</v>
      </c>
      <c r="Z246" s="559" t="str">
        <f>IF(Inventory!$C253="","",VLOOKUP(Inventory!$C253,$B$3:$C$5,2,FALSE))</f>
        <v/>
      </c>
      <c r="AA246" s="559" t="str">
        <f>IF($Z246="","",IF(AND($Z246="b",Inventory!$G253=""),"",IF(AND($Z246="b",Inventory!$G253&lt;&gt;""),VLOOKUP(Inventory!$G253,$E$3:$F$10,2,FALSE),IF(AND($Z246="a",Inventory!$Z253=""),"",IF(AND($Z246="a",Inventory!$Z253&lt;&gt;""),VLOOKUP(Inventory!$Z253,$E$3:$F$10,2,FALSE),IF(AND($Z246="c",Inventory!$Z253=""),"",IF(AND($Z246="c",Inventory!$Z253&lt;&gt;""),VLOOKUP(Inventory!$Z253,$E$3:$F$10,2,FALSE),"")))))))</f>
        <v/>
      </c>
      <c r="AB246" s="559" t="str">
        <f>IF($Z246="","a",IF(AND($Z246="b",Inventory!$J253=""),"a",IF(AND($Z246="b",Inventory!$J253&lt;&gt;""),VLOOKUP(Inventory!$J253,$H$4:$I$6,2,FALSE),IF(AND($Z246="a",Inventory!$AA253=""),"a",IF(AND($Z246="a",Inventory!$AA253&lt;&gt;""),VLOOKUP(Inventory!$AA253,$H$4:$I$6,2,FALSE),IF(AND($Z246="c",Inventory!$AA253=""),"a",IF(AND($Z246="c",Inventory!$AA253&lt;&gt;""),VLOOKUP(Inventory!$AA253,$H$4:$I$6,2,FALSE),"a")))))))</f>
        <v>a</v>
      </c>
      <c r="AC246" s="559" t="str">
        <f t="shared" si="149"/>
        <v>a</v>
      </c>
      <c r="AD246" s="473" t="str">
        <f>IF($Z246="","a",IF(AND($Z246="b",Inventory!$L253=""),"a",IF(AND($Z246="b",Inventory!$L253&lt;&gt;""),VLOOKUP(Inventory!$L253,$N$4:$O$5,2,FALSE),IF(AND($Z246="a",Inventory!$AC253=""),"a",IF(AND($Z246="a",Inventory!$AC253&lt;&gt;""),VLOOKUP(Inventory!$AC253,$N$4:$O$5,2,FALSE),IF(AND($Z246="c",Inventory!$AC253=""),"a",IF(AND($Z246="c",Inventory!$AC253&lt;&gt;""),VLOOKUP(Inventory!$AC253,$N$4:$O$5,2,FALSE),"a")))))))</f>
        <v>a</v>
      </c>
      <c r="AE246" s="474">
        <f>IF(OR(Inventory!C253="New Construction",Inventory!C253="Replace-on-Burnout"),Inventory!AF253,IF(Inventory!C253="Early Retirement",MIN(Inventory!AE253,Inventory!AF253),0))</f>
        <v>0</v>
      </c>
      <c r="AF246" s="475" t="str">
        <f t="shared" si="150"/>
        <v/>
      </c>
      <c r="AG246" s="475" t="str">
        <f t="shared" si="138"/>
        <v/>
      </c>
      <c r="AH246" s="475" t="str">
        <f t="shared" si="139"/>
        <v/>
      </c>
      <c r="AI246" s="475" t="str">
        <f t="shared" si="140"/>
        <v/>
      </c>
      <c r="AJ246" s="475" t="str">
        <f t="shared" si="141"/>
        <v/>
      </c>
      <c r="AK246" s="475" t="str">
        <f t="shared" si="151"/>
        <v/>
      </c>
      <c r="AL246" s="475" t="str">
        <f t="shared" si="152"/>
        <v/>
      </c>
      <c r="AM246" s="475" t="str">
        <f t="shared" si="153"/>
        <v/>
      </c>
      <c r="AN246" s="475" t="str">
        <f t="shared" si="154"/>
        <v/>
      </c>
      <c r="AO246" s="475" t="str">
        <f t="shared" si="155"/>
        <v/>
      </c>
      <c r="AP246" s="475" t="str">
        <f t="shared" si="156"/>
        <v/>
      </c>
      <c r="AQ246" s="475" t="str">
        <f t="shared" si="157"/>
        <v/>
      </c>
      <c r="AR246" s="475" t="str">
        <f t="shared" si="158"/>
        <v/>
      </c>
      <c r="AS246" s="475" t="str">
        <f t="shared" si="159"/>
        <v/>
      </c>
      <c r="AT246" s="475" t="str">
        <f t="shared" si="160"/>
        <v/>
      </c>
      <c r="AU246" s="475" t="str">
        <f t="shared" si="161"/>
        <v/>
      </c>
      <c r="AV246" s="475" t="str">
        <f t="shared" si="142"/>
        <v/>
      </c>
      <c r="AW246" s="473">
        <f t="shared" si="143"/>
        <v>0</v>
      </c>
      <c r="AX246" s="473" t="str">
        <f>IF(AND($Z246="b",OR($AA246="a",$AA246="b"),Inventory!$I253="",$AE246&lt;(65000/12000)),"x",IF(AND($Z246="b",OR($AA246="a",$AA246="b"),Inventory!$I253&lt;&gt;"",$AE246&lt;(65000/12000)),VLOOKUP(Inventory!$I253,$V$4:$W$5,2,FALSE),"x"))</f>
        <v>x</v>
      </c>
      <c r="AY246" s="476" t="str">
        <f t="shared" si="162"/>
        <v>aaa0</v>
      </c>
      <c r="AZ246" s="477" t="str">
        <f t="shared" si="163"/>
        <v>No</v>
      </c>
      <c r="BA246" s="759" t="str">
        <f t="shared" si="164"/>
        <v>No</v>
      </c>
      <c r="BB246" s="477">
        <f>IF($Z246="c",Inventory!$AB253,Inventory!$K253)</f>
        <v>0</v>
      </c>
      <c r="BC246" s="478">
        <f>IF(AND($Z246="b",Inventory!$N253="Btu/hr"),Inventory!$M253,IF(AND($Z246="b",Inventory!$N253="Tons"),Inventory!$M253*12000,IF(AND($Z246&lt;&gt;"b",Inventory!$AK253="Btu/hr"),Inventory!$AD253,IF(AND($Z246&lt;&gt;"b",Inventory!$AK253="Tons"),Inventory!$AD253*12000,0))))</f>
        <v>0</v>
      </c>
      <c r="BD246" s="478">
        <f t="shared" si="176"/>
        <v>0</v>
      </c>
      <c r="BE246" s="479">
        <f t="shared" si="165"/>
        <v>0</v>
      </c>
      <c r="BF246" s="477" t="s">
        <v>50</v>
      </c>
      <c r="BG246" s="479">
        <f t="shared" si="144"/>
        <v>0</v>
      </c>
      <c r="BH246" s="477" t="s">
        <v>46</v>
      </c>
      <c r="BI246" s="760">
        <f>IF(AND($Z246="b",Inventory!$P253="Btu/hr"),Inventory!$O253,IF(AND($Z246="b",Inventory!$P253="Tons"),Inventory!$O253*12000,IF(AND($Z246&lt;&gt;"b",Inventory!$AM253="Btu/hr"),Inventory!$AL253,IF(AND($Z246&lt;&gt;"b",Inventory!$AM253="Tons"),Inventory!$AL253*12000,0))))</f>
        <v>0</v>
      </c>
      <c r="BJ246" s="760">
        <f t="shared" si="177"/>
        <v>0</v>
      </c>
      <c r="BK246" s="598">
        <f t="shared" si="166"/>
        <v>0</v>
      </c>
      <c r="BL246" s="759" t="s">
        <v>567</v>
      </c>
      <c r="BM246" s="477" t="str">
        <f t="shared" si="145"/>
        <v>No</v>
      </c>
      <c r="BN246" s="477" t="str">
        <f>IF(OR(Inventory!$H253="",$BM246="No"),"-",Inventory!$H253)</f>
        <v>-</v>
      </c>
      <c r="BO246" s="477" t="str">
        <f>IFERROR(VLOOKUP(BN246,'Early Retirement'!$B$6:$C$33,2,FALSE),"-")</f>
        <v>-</v>
      </c>
      <c r="BP246" s="477" t="str">
        <f>IF(Inventory!$J253="Centrifugal","Yes","No")</f>
        <v>No</v>
      </c>
      <c r="BQ246" s="477">
        <f t="shared" si="167"/>
        <v>0</v>
      </c>
      <c r="BR246" s="477" t="str">
        <f t="shared" si="168"/>
        <v>-</v>
      </c>
      <c r="BS246" s="479">
        <f>IFERROR(INDEX('Early Retirement'!$C$4:$AC$33,$BO246,$BR246),0)</f>
        <v>0</v>
      </c>
      <c r="BT246" s="477">
        <f>IFERROR(HLOOKUP($BR246,'Early Retirement'!$D$4:$AC$5,2,FALSE),0)</f>
        <v>0</v>
      </c>
      <c r="BU246" s="761">
        <f>IFERROR(INDEX('Early Retirement'!$AE$4:$BE$33,$BO246,$BR246),0)</f>
        <v>0</v>
      </c>
      <c r="BV246" s="759">
        <f>IFERROR(HLOOKUP($BR246,'Early Retirement'!$AF$4:$BE$5,2,FALSE),0)</f>
        <v>0</v>
      </c>
      <c r="BW246" s="479">
        <f t="shared" si="175"/>
        <v>0</v>
      </c>
      <c r="BX246" s="761">
        <f t="shared" si="169"/>
        <v>0</v>
      </c>
      <c r="BY246" s="477" t="s">
        <v>46</v>
      </c>
      <c r="BZ246" s="598">
        <f>IFERROR(INDEX('Early Retirement'!$BG$4:$CG$33,$BO246,$BR246),0)</f>
        <v>0</v>
      </c>
      <c r="CA246" s="759">
        <f>IFERROR(HLOOKUP($BR246,'Early Retirement'!$BH$4:$CH$5,2,FALSE),0)</f>
        <v>0</v>
      </c>
      <c r="CB246" s="598">
        <f t="shared" si="170"/>
        <v>0</v>
      </c>
      <c r="CC246" s="759" t="s">
        <v>567</v>
      </c>
      <c r="CD246" s="477" t="str">
        <f t="shared" si="146"/>
        <v>Yes</v>
      </c>
      <c r="CE246" s="479">
        <f t="shared" si="147"/>
        <v>0</v>
      </c>
      <c r="CF246" s="761">
        <f t="shared" si="148"/>
        <v>0</v>
      </c>
      <c r="CG246" s="759" t="s">
        <v>46</v>
      </c>
      <c r="CH246" s="598">
        <f t="shared" si="171"/>
        <v>0</v>
      </c>
      <c r="CI246" s="759" t="s">
        <v>567</v>
      </c>
      <c r="CJ246" s="480">
        <f t="shared" si="172"/>
        <v>0</v>
      </c>
      <c r="CK246" s="583">
        <f t="shared" si="173"/>
        <v>0</v>
      </c>
      <c r="CL246" s="596" t="s">
        <v>46</v>
      </c>
      <c r="CM246" s="581">
        <f t="shared" si="174"/>
        <v>0</v>
      </c>
      <c r="CN246" s="762" t="s">
        <v>567</v>
      </c>
      <c r="CW246" s="630"/>
      <c r="CX246" s="630"/>
      <c r="CY246" s="630"/>
      <c r="CZ246" s="630"/>
      <c r="DA246" s="630"/>
    </row>
    <row r="247" spans="2:105" s="78" customFormat="1" ht="15" customHeight="1" x14ac:dyDescent="0.25">
      <c r="B247" s="77"/>
      <c r="E247" s="77"/>
      <c r="H247" s="77"/>
      <c r="Y247" s="90">
        <v>245</v>
      </c>
      <c r="Z247" s="559" t="str">
        <f>IF(Inventory!$C254="","",VLOOKUP(Inventory!$C254,$B$3:$C$5,2,FALSE))</f>
        <v/>
      </c>
      <c r="AA247" s="559" t="str">
        <f>IF($Z247="","",IF(AND($Z247="b",Inventory!$G254=""),"",IF(AND($Z247="b",Inventory!$G254&lt;&gt;""),VLOOKUP(Inventory!$G254,$E$3:$F$10,2,FALSE),IF(AND($Z247="a",Inventory!$Z254=""),"",IF(AND($Z247="a",Inventory!$Z254&lt;&gt;""),VLOOKUP(Inventory!$Z254,$E$3:$F$10,2,FALSE),IF(AND($Z247="c",Inventory!$Z254=""),"",IF(AND($Z247="c",Inventory!$Z254&lt;&gt;""),VLOOKUP(Inventory!$Z254,$E$3:$F$10,2,FALSE),"")))))))</f>
        <v/>
      </c>
      <c r="AB247" s="559" t="str">
        <f>IF($Z247="","a",IF(AND($Z247="b",Inventory!$J254=""),"a",IF(AND($Z247="b",Inventory!$J254&lt;&gt;""),VLOOKUP(Inventory!$J254,$H$4:$I$6,2,FALSE),IF(AND($Z247="a",Inventory!$AA254=""),"a",IF(AND($Z247="a",Inventory!$AA254&lt;&gt;""),VLOOKUP(Inventory!$AA254,$H$4:$I$6,2,FALSE),IF(AND($Z247="c",Inventory!$AA254=""),"a",IF(AND($Z247="c",Inventory!$AA254&lt;&gt;""),VLOOKUP(Inventory!$AA254,$H$4:$I$6,2,FALSE),"a")))))))</f>
        <v>a</v>
      </c>
      <c r="AC247" s="559" t="str">
        <f t="shared" si="149"/>
        <v>a</v>
      </c>
      <c r="AD247" s="473" t="str">
        <f>IF($Z247="","a",IF(AND($Z247="b",Inventory!$L254=""),"a",IF(AND($Z247="b",Inventory!$L254&lt;&gt;""),VLOOKUP(Inventory!$L254,$N$4:$O$5,2,FALSE),IF(AND($Z247="a",Inventory!$AC254=""),"a",IF(AND($Z247="a",Inventory!$AC254&lt;&gt;""),VLOOKUP(Inventory!$AC254,$N$4:$O$5,2,FALSE),IF(AND($Z247="c",Inventory!$AC254=""),"a",IF(AND($Z247="c",Inventory!$AC254&lt;&gt;""),VLOOKUP(Inventory!$AC254,$N$4:$O$5,2,FALSE),"a")))))))</f>
        <v>a</v>
      </c>
      <c r="AE247" s="474">
        <f>IF(OR(Inventory!C254="New Construction",Inventory!C254="Replace-on-Burnout"),Inventory!AF254,IF(Inventory!C254="Early Retirement",MIN(Inventory!AE254,Inventory!AF254),0))</f>
        <v>0</v>
      </c>
      <c r="AF247" s="475" t="str">
        <f t="shared" si="150"/>
        <v/>
      </c>
      <c r="AG247" s="475" t="str">
        <f t="shared" si="138"/>
        <v/>
      </c>
      <c r="AH247" s="475" t="str">
        <f t="shared" si="139"/>
        <v/>
      </c>
      <c r="AI247" s="475" t="str">
        <f t="shared" si="140"/>
        <v/>
      </c>
      <c r="AJ247" s="475" t="str">
        <f t="shared" si="141"/>
        <v/>
      </c>
      <c r="AK247" s="475" t="str">
        <f t="shared" si="151"/>
        <v/>
      </c>
      <c r="AL247" s="475" t="str">
        <f t="shared" si="152"/>
        <v/>
      </c>
      <c r="AM247" s="475" t="str">
        <f t="shared" si="153"/>
        <v/>
      </c>
      <c r="AN247" s="475" t="str">
        <f t="shared" si="154"/>
        <v/>
      </c>
      <c r="AO247" s="475" t="str">
        <f t="shared" si="155"/>
        <v/>
      </c>
      <c r="AP247" s="475" t="str">
        <f t="shared" si="156"/>
        <v/>
      </c>
      <c r="AQ247" s="475" t="str">
        <f t="shared" si="157"/>
        <v/>
      </c>
      <c r="AR247" s="475" t="str">
        <f t="shared" si="158"/>
        <v/>
      </c>
      <c r="AS247" s="475" t="str">
        <f t="shared" si="159"/>
        <v/>
      </c>
      <c r="AT247" s="475" t="str">
        <f t="shared" si="160"/>
        <v/>
      </c>
      <c r="AU247" s="475" t="str">
        <f t="shared" si="161"/>
        <v/>
      </c>
      <c r="AV247" s="475" t="str">
        <f t="shared" si="142"/>
        <v/>
      </c>
      <c r="AW247" s="473">
        <f t="shared" si="143"/>
        <v>0</v>
      </c>
      <c r="AX247" s="473" t="str">
        <f>IF(AND($Z247="b",OR($AA247="a",$AA247="b"),Inventory!$I254="",$AE247&lt;(65000/12000)),"x",IF(AND($Z247="b",OR($AA247="a",$AA247="b"),Inventory!$I254&lt;&gt;"",$AE247&lt;(65000/12000)),VLOOKUP(Inventory!$I254,$V$4:$W$5,2,FALSE),"x"))</f>
        <v>x</v>
      </c>
      <c r="AY247" s="476" t="str">
        <f t="shared" si="162"/>
        <v>aaa0</v>
      </c>
      <c r="AZ247" s="477" t="str">
        <f t="shared" si="163"/>
        <v>No</v>
      </c>
      <c r="BA247" s="759" t="str">
        <f t="shared" si="164"/>
        <v>No</v>
      </c>
      <c r="BB247" s="477">
        <f>IF($Z247="c",Inventory!$AB254,Inventory!$K254)</f>
        <v>0</v>
      </c>
      <c r="BC247" s="478">
        <f>IF(AND($Z247="b",Inventory!$N254="Btu/hr"),Inventory!$M254,IF(AND($Z247="b",Inventory!$N254="Tons"),Inventory!$M254*12000,IF(AND($Z247&lt;&gt;"b",Inventory!$AK254="Btu/hr"),Inventory!$AD254,IF(AND($Z247&lt;&gt;"b",Inventory!$AK254="Tons"),Inventory!$AD254*12000,0))))</f>
        <v>0</v>
      </c>
      <c r="BD247" s="478">
        <f t="shared" si="176"/>
        <v>0</v>
      </c>
      <c r="BE247" s="479">
        <f t="shared" si="165"/>
        <v>0</v>
      </c>
      <c r="BF247" s="477" t="s">
        <v>50</v>
      </c>
      <c r="BG247" s="479">
        <f t="shared" si="144"/>
        <v>0</v>
      </c>
      <c r="BH247" s="477" t="s">
        <v>46</v>
      </c>
      <c r="BI247" s="760">
        <f>IF(AND($Z247="b",Inventory!$P254="Btu/hr"),Inventory!$O254,IF(AND($Z247="b",Inventory!$P254="Tons"),Inventory!$O254*12000,IF(AND($Z247&lt;&gt;"b",Inventory!$AM254="Btu/hr"),Inventory!$AL254,IF(AND($Z247&lt;&gt;"b",Inventory!$AM254="Tons"),Inventory!$AL254*12000,0))))</f>
        <v>0</v>
      </c>
      <c r="BJ247" s="760">
        <f t="shared" si="177"/>
        <v>0</v>
      </c>
      <c r="BK247" s="598">
        <f t="shared" si="166"/>
        <v>0</v>
      </c>
      <c r="BL247" s="759" t="s">
        <v>567</v>
      </c>
      <c r="BM247" s="477" t="str">
        <f t="shared" si="145"/>
        <v>No</v>
      </c>
      <c r="BN247" s="477" t="str">
        <f>IF(OR(Inventory!$H254="",$BM247="No"),"-",Inventory!$H254)</f>
        <v>-</v>
      </c>
      <c r="BO247" s="477" t="str">
        <f>IFERROR(VLOOKUP(BN247,'Early Retirement'!$B$6:$C$33,2,FALSE),"-")</f>
        <v>-</v>
      </c>
      <c r="BP247" s="477" t="str">
        <f>IF(Inventory!$J254="Centrifugal","Yes","No")</f>
        <v>No</v>
      </c>
      <c r="BQ247" s="477">
        <f t="shared" si="167"/>
        <v>0</v>
      </c>
      <c r="BR247" s="477" t="str">
        <f t="shared" si="168"/>
        <v>-</v>
      </c>
      <c r="BS247" s="479">
        <f>IFERROR(INDEX('Early Retirement'!$C$4:$AC$33,$BO247,$BR247),0)</f>
        <v>0</v>
      </c>
      <c r="BT247" s="477">
        <f>IFERROR(HLOOKUP($BR247,'Early Retirement'!$D$4:$AC$5,2,FALSE),0)</f>
        <v>0</v>
      </c>
      <c r="BU247" s="761">
        <f>IFERROR(INDEX('Early Retirement'!$AE$4:$BE$33,$BO247,$BR247),0)</f>
        <v>0</v>
      </c>
      <c r="BV247" s="759">
        <f>IFERROR(HLOOKUP($BR247,'Early Retirement'!$AF$4:$BE$5,2,FALSE),0)</f>
        <v>0</v>
      </c>
      <c r="BW247" s="479">
        <f t="shared" si="175"/>
        <v>0</v>
      </c>
      <c r="BX247" s="761">
        <f t="shared" si="169"/>
        <v>0</v>
      </c>
      <c r="BY247" s="477" t="s">
        <v>46</v>
      </c>
      <c r="BZ247" s="598">
        <f>IFERROR(INDEX('Early Retirement'!$BG$4:$CG$33,$BO247,$BR247),0)</f>
        <v>0</v>
      </c>
      <c r="CA247" s="759">
        <f>IFERROR(HLOOKUP($BR247,'Early Retirement'!$BH$4:$CH$5,2,FALSE),0)</f>
        <v>0</v>
      </c>
      <c r="CB247" s="598">
        <f t="shared" si="170"/>
        <v>0</v>
      </c>
      <c r="CC247" s="759" t="s">
        <v>567</v>
      </c>
      <c r="CD247" s="477" t="str">
        <f t="shared" si="146"/>
        <v>Yes</v>
      </c>
      <c r="CE247" s="479">
        <f t="shared" si="147"/>
        <v>0</v>
      </c>
      <c r="CF247" s="761">
        <f t="shared" si="148"/>
        <v>0</v>
      </c>
      <c r="CG247" s="759" t="s">
        <v>46</v>
      </c>
      <c r="CH247" s="598">
        <f t="shared" si="171"/>
        <v>0</v>
      </c>
      <c r="CI247" s="759" t="s">
        <v>567</v>
      </c>
      <c r="CJ247" s="480">
        <f t="shared" si="172"/>
        <v>0</v>
      </c>
      <c r="CK247" s="583">
        <f t="shared" si="173"/>
        <v>0</v>
      </c>
      <c r="CL247" s="596" t="s">
        <v>46</v>
      </c>
      <c r="CM247" s="581">
        <f t="shared" si="174"/>
        <v>0</v>
      </c>
      <c r="CN247" s="762" t="s">
        <v>567</v>
      </c>
      <c r="CW247" s="630"/>
      <c r="CX247" s="630"/>
      <c r="CY247" s="630"/>
      <c r="CZ247" s="630"/>
      <c r="DA247" s="630"/>
    </row>
    <row r="248" spans="2:105" s="78" customFormat="1" ht="15" customHeight="1" x14ac:dyDescent="0.25">
      <c r="B248" s="77"/>
      <c r="E248" s="77"/>
      <c r="H248" s="77"/>
      <c r="Y248" s="90">
        <v>246</v>
      </c>
      <c r="Z248" s="559" t="str">
        <f>IF(Inventory!$C255="","",VLOOKUP(Inventory!$C255,$B$3:$C$5,2,FALSE))</f>
        <v/>
      </c>
      <c r="AA248" s="559" t="str">
        <f>IF($Z248="","",IF(AND($Z248="b",Inventory!$G255=""),"",IF(AND($Z248="b",Inventory!$G255&lt;&gt;""),VLOOKUP(Inventory!$G255,$E$3:$F$10,2,FALSE),IF(AND($Z248="a",Inventory!$Z255=""),"",IF(AND($Z248="a",Inventory!$Z255&lt;&gt;""),VLOOKUP(Inventory!$Z255,$E$3:$F$10,2,FALSE),IF(AND($Z248="c",Inventory!$Z255=""),"",IF(AND($Z248="c",Inventory!$Z255&lt;&gt;""),VLOOKUP(Inventory!$Z255,$E$3:$F$10,2,FALSE),"")))))))</f>
        <v/>
      </c>
      <c r="AB248" s="559" t="str">
        <f>IF($Z248="","a",IF(AND($Z248="b",Inventory!$J255=""),"a",IF(AND($Z248="b",Inventory!$J255&lt;&gt;""),VLOOKUP(Inventory!$J255,$H$4:$I$6,2,FALSE),IF(AND($Z248="a",Inventory!$AA255=""),"a",IF(AND($Z248="a",Inventory!$AA255&lt;&gt;""),VLOOKUP(Inventory!$AA255,$H$4:$I$6,2,FALSE),IF(AND($Z248="c",Inventory!$AA255=""),"a",IF(AND($Z248="c",Inventory!$AA255&lt;&gt;""),VLOOKUP(Inventory!$AA255,$H$4:$I$6,2,FALSE),"a")))))))</f>
        <v>a</v>
      </c>
      <c r="AC248" s="559" t="str">
        <f t="shared" si="149"/>
        <v>a</v>
      </c>
      <c r="AD248" s="473" t="str">
        <f>IF($Z248="","a",IF(AND($Z248="b",Inventory!$L255=""),"a",IF(AND($Z248="b",Inventory!$L255&lt;&gt;""),VLOOKUP(Inventory!$L255,$N$4:$O$5,2,FALSE),IF(AND($Z248="a",Inventory!$AC255=""),"a",IF(AND($Z248="a",Inventory!$AC255&lt;&gt;""),VLOOKUP(Inventory!$AC255,$N$4:$O$5,2,FALSE),IF(AND($Z248="c",Inventory!$AC255=""),"a",IF(AND($Z248="c",Inventory!$AC255&lt;&gt;""),VLOOKUP(Inventory!$AC255,$N$4:$O$5,2,FALSE),"a")))))))</f>
        <v>a</v>
      </c>
      <c r="AE248" s="474">
        <f>IF(OR(Inventory!C255="New Construction",Inventory!C255="Replace-on-Burnout"),Inventory!AF255,IF(Inventory!C255="Early Retirement",MIN(Inventory!AE255,Inventory!AF255),0))</f>
        <v>0</v>
      </c>
      <c r="AF248" s="475" t="str">
        <f t="shared" si="150"/>
        <v/>
      </c>
      <c r="AG248" s="475" t="str">
        <f t="shared" si="138"/>
        <v/>
      </c>
      <c r="AH248" s="475" t="str">
        <f t="shared" si="139"/>
        <v/>
      </c>
      <c r="AI248" s="475" t="str">
        <f t="shared" si="140"/>
        <v/>
      </c>
      <c r="AJ248" s="475" t="str">
        <f t="shared" si="141"/>
        <v/>
      </c>
      <c r="AK248" s="475" t="str">
        <f t="shared" si="151"/>
        <v/>
      </c>
      <c r="AL248" s="475" t="str">
        <f t="shared" si="152"/>
        <v/>
      </c>
      <c r="AM248" s="475" t="str">
        <f t="shared" si="153"/>
        <v/>
      </c>
      <c r="AN248" s="475" t="str">
        <f t="shared" si="154"/>
        <v/>
      </c>
      <c r="AO248" s="475" t="str">
        <f t="shared" si="155"/>
        <v/>
      </c>
      <c r="AP248" s="475" t="str">
        <f t="shared" si="156"/>
        <v/>
      </c>
      <c r="AQ248" s="475" t="str">
        <f t="shared" si="157"/>
        <v/>
      </c>
      <c r="AR248" s="475" t="str">
        <f t="shared" si="158"/>
        <v/>
      </c>
      <c r="AS248" s="475" t="str">
        <f t="shared" si="159"/>
        <v/>
      </c>
      <c r="AT248" s="475" t="str">
        <f t="shared" si="160"/>
        <v/>
      </c>
      <c r="AU248" s="475" t="str">
        <f t="shared" si="161"/>
        <v/>
      </c>
      <c r="AV248" s="475" t="str">
        <f t="shared" si="142"/>
        <v/>
      </c>
      <c r="AW248" s="473">
        <f t="shared" si="143"/>
        <v>0</v>
      </c>
      <c r="AX248" s="473" t="str">
        <f>IF(AND($Z248="b",OR($AA248="a",$AA248="b"),Inventory!$I255="",$AE248&lt;(65000/12000)),"x",IF(AND($Z248="b",OR($AA248="a",$AA248="b"),Inventory!$I255&lt;&gt;"",$AE248&lt;(65000/12000)),VLOOKUP(Inventory!$I255,$V$4:$W$5,2,FALSE),"x"))</f>
        <v>x</v>
      </c>
      <c r="AY248" s="476" t="str">
        <f t="shared" si="162"/>
        <v>aaa0</v>
      </c>
      <c r="AZ248" s="477" t="str">
        <f t="shared" si="163"/>
        <v>No</v>
      </c>
      <c r="BA248" s="759" t="str">
        <f t="shared" si="164"/>
        <v>No</v>
      </c>
      <c r="BB248" s="477">
        <f>IF($Z248="c",Inventory!$AB255,Inventory!$K255)</f>
        <v>0</v>
      </c>
      <c r="BC248" s="478">
        <f>IF(AND($Z248="b",Inventory!$N255="Btu/hr"),Inventory!$M255,IF(AND($Z248="b",Inventory!$N255="Tons"),Inventory!$M255*12000,IF(AND($Z248&lt;&gt;"b",Inventory!$AK255="Btu/hr"),Inventory!$AD255,IF(AND($Z248&lt;&gt;"b",Inventory!$AK255="Tons"),Inventory!$AD255*12000,0))))</f>
        <v>0</v>
      </c>
      <c r="BD248" s="478">
        <f t="shared" si="176"/>
        <v>0</v>
      </c>
      <c r="BE248" s="479">
        <f t="shared" si="165"/>
        <v>0</v>
      </c>
      <c r="BF248" s="477" t="s">
        <v>50</v>
      </c>
      <c r="BG248" s="479">
        <f t="shared" si="144"/>
        <v>0</v>
      </c>
      <c r="BH248" s="477" t="s">
        <v>46</v>
      </c>
      <c r="BI248" s="760">
        <f>IF(AND($Z248="b",Inventory!$P255="Btu/hr"),Inventory!$O255,IF(AND($Z248="b",Inventory!$P255="Tons"),Inventory!$O255*12000,IF(AND($Z248&lt;&gt;"b",Inventory!$AM255="Btu/hr"),Inventory!$AL255,IF(AND($Z248&lt;&gt;"b",Inventory!$AM255="Tons"),Inventory!$AL255*12000,0))))</f>
        <v>0</v>
      </c>
      <c r="BJ248" s="760">
        <f t="shared" si="177"/>
        <v>0</v>
      </c>
      <c r="BK248" s="598">
        <f t="shared" si="166"/>
        <v>0</v>
      </c>
      <c r="BL248" s="759" t="s">
        <v>567</v>
      </c>
      <c r="BM248" s="477" t="str">
        <f t="shared" si="145"/>
        <v>No</v>
      </c>
      <c r="BN248" s="477" t="str">
        <f>IF(OR(Inventory!$H255="",$BM248="No"),"-",Inventory!$H255)</f>
        <v>-</v>
      </c>
      <c r="BO248" s="477" t="str">
        <f>IFERROR(VLOOKUP(BN248,'Early Retirement'!$B$6:$C$33,2,FALSE),"-")</f>
        <v>-</v>
      </c>
      <c r="BP248" s="477" t="str">
        <f>IF(Inventory!$J255="Centrifugal","Yes","No")</f>
        <v>No</v>
      </c>
      <c r="BQ248" s="477">
        <f t="shared" si="167"/>
        <v>0</v>
      </c>
      <c r="BR248" s="477" t="str">
        <f t="shared" si="168"/>
        <v>-</v>
      </c>
      <c r="BS248" s="479">
        <f>IFERROR(INDEX('Early Retirement'!$C$4:$AC$33,$BO248,$BR248),0)</f>
        <v>0</v>
      </c>
      <c r="BT248" s="477">
        <f>IFERROR(HLOOKUP($BR248,'Early Retirement'!$D$4:$AC$5,2,FALSE),0)</f>
        <v>0</v>
      </c>
      <c r="BU248" s="761">
        <f>IFERROR(INDEX('Early Retirement'!$AE$4:$BE$33,$BO248,$BR248),0)</f>
        <v>0</v>
      </c>
      <c r="BV248" s="759">
        <f>IFERROR(HLOOKUP($BR248,'Early Retirement'!$AF$4:$BE$5,2,FALSE),0)</f>
        <v>0</v>
      </c>
      <c r="BW248" s="479">
        <f t="shared" si="175"/>
        <v>0</v>
      </c>
      <c r="BX248" s="761">
        <f t="shared" si="169"/>
        <v>0</v>
      </c>
      <c r="BY248" s="477" t="s">
        <v>46</v>
      </c>
      <c r="BZ248" s="598">
        <f>IFERROR(INDEX('Early Retirement'!$BG$4:$CG$33,$BO248,$BR248),0)</f>
        <v>0</v>
      </c>
      <c r="CA248" s="759">
        <f>IFERROR(HLOOKUP($BR248,'Early Retirement'!$BH$4:$CH$5,2,FALSE),0)</f>
        <v>0</v>
      </c>
      <c r="CB248" s="598">
        <f t="shared" si="170"/>
        <v>0</v>
      </c>
      <c r="CC248" s="759" t="s">
        <v>567</v>
      </c>
      <c r="CD248" s="477" t="str">
        <f t="shared" si="146"/>
        <v>Yes</v>
      </c>
      <c r="CE248" s="479">
        <f t="shared" si="147"/>
        <v>0</v>
      </c>
      <c r="CF248" s="761">
        <f t="shared" si="148"/>
        <v>0</v>
      </c>
      <c r="CG248" s="759" t="s">
        <v>46</v>
      </c>
      <c r="CH248" s="598">
        <f t="shared" si="171"/>
        <v>0</v>
      </c>
      <c r="CI248" s="759" t="s">
        <v>567</v>
      </c>
      <c r="CJ248" s="480">
        <f t="shared" si="172"/>
        <v>0</v>
      </c>
      <c r="CK248" s="583">
        <f t="shared" si="173"/>
        <v>0</v>
      </c>
      <c r="CL248" s="596" t="s">
        <v>46</v>
      </c>
      <c r="CM248" s="581">
        <f t="shared" si="174"/>
        <v>0</v>
      </c>
      <c r="CN248" s="762" t="s">
        <v>567</v>
      </c>
      <c r="CW248" s="630"/>
      <c r="CX248" s="630"/>
      <c r="CY248" s="630"/>
      <c r="CZ248" s="630"/>
      <c r="DA248" s="630"/>
    </row>
    <row r="249" spans="2:105" s="78" customFormat="1" ht="15" customHeight="1" x14ac:dyDescent="0.25">
      <c r="B249" s="77"/>
      <c r="E249" s="77"/>
      <c r="H249" s="77"/>
      <c r="Y249" s="90">
        <v>247</v>
      </c>
      <c r="Z249" s="559" t="str">
        <f>IF(Inventory!$C256="","",VLOOKUP(Inventory!$C256,$B$3:$C$5,2,FALSE))</f>
        <v/>
      </c>
      <c r="AA249" s="559" t="str">
        <f>IF($Z249="","",IF(AND($Z249="b",Inventory!$G256=""),"",IF(AND($Z249="b",Inventory!$G256&lt;&gt;""),VLOOKUP(Inventory!$G256,$E$3:$F$10,2,FALSE),IF(AND($Z249="a",Inventory!$Z256=""),"",IF(AND($Z249="a",Inventory!$Z256&lt;&gt;""),VLOOKUP(Inventory!$Z256,$E$3:$F$10,2,FALSE),IF(AND($Z249="c",Inventory!$Z256=""),"",IF(AND($Z249="c",Inventory!$Z256&lt;&gt;""),VLOOKUP(Inventory!$Z256,$E$3:$F$10,2,FALSE),"")))))))</f>
        <v/>
      </c>
      <c r="AB249" s="559" t="str">
        <f>IF($Z249="","a",IF(AND($Z249="b",Inventory!$J256=""),"a",IF(AND($Z249="b",Inventory!$J256&lt;&gt;""),VLOOKUP(Inventory!$J256,$H$4:$I$6,2,FALSE),IF(AND($Z249="a",Inventory!$AA256=""),"a",IF(AND($Z249="a",Inventory!$AA256&lt;&gt;""),VLOOKUP(Inventory!$AA256,$H$4:$I$6,2,FALSE),IF(AND($Z249="c",Inventory!$AA256=""),"a",IF(AND($Z249="c",Inventory!$AA256&lt;&gt;""),VLOOKUP(Inventory!$AA256,$H$4:$I$6,2,FALSE),"a")))))))</f>
        <v>a</v>
      </c>
      <c r="AC249" s="559" t="str">
        <f t="shared" si="149"/>
        <v>a</v>
      </c>
      <c r="AD249" s="473" t="str">
        <f>IF($Z249="","a",IF(AND($Z249="b",Inventory!$L256=""),"a",IF(AND($Z249="b",Inventory!$L256&lt;&gt;""),VLOOKUP(Inventory!$L256,$N$4:$O$5,2,FALSE),IF(AND($Z249="a",Inventory!$AC256=""),"a",IF(AND($Z249="a",Inventory!$AC256&lt;&gt;""),VLOOKUP(Inventory!$AC256,$N$4:$O$5,2,FALSE),IF(AND($Z249="c",Inventory!$AC256=""),"a",IF(AND($Z249="c",Inventory!$AC256&lt;&gt;""),VLOOKUP(Inventory!$AC256,$N$4:$O$5,2,FALSE),"a")))))))</f>
        <v>a</v>
      </c>
      <c r="AE249" s="474">
        <f>IF(OR(Inventory!C256="New Construction",Inventory!C256="Replace-on-Burnout"),Inventory!AF256,IF(Inventory!C256="Early Retirement",MIN(Inventory!AE256,Inventory!AF256),0))</f>
        <v>0</v>
      </c>
      <c r="AF249" s="475" t="str">
        <f t="shared" si="150"/>
        <v/>
      </c>
      <c r="AG249" s="475" t="str">
        <f t="shared" si="138"/>
        <v/>
      </c>
      <c r="AH249" s="475" t="str">
        <f t="shared" si="139"/>
        <v/>
      </c>
      <c r="AI249" s="475" t="str">
        <f t="shared" si="140"/>
        <v/>
      </c>
      <c r="AJ249" s="475" t="str">
        <f t="shared" si="141"/>
        <v/>
      </c>
      <c r="AK249" s="475" t="str">
        <f t="shared" si="151"/>
        <v/>
      </c>
      <c r="AL249" s="475" t="str">
        <f t="shared" si="152"/>
        <v/>
      </c>
      <c r="AM249" s="475" t="str">
        <f t="shared" si="153"/>
        <v/>
      </c>
      <c r="AN249" s="475" t="str">
        <f t="shared" si="154"/>
        <v/>
      </c>
      <c r="AO249" s="475" t="str">
        <f t="shared" si="155"/>
        <v/>
      </c>
      <c r="AP249" s="475" t="str">
        <f t="shared" si="156"/>
        <v/>
      </c>
      <c r="AQ249" s="475" t="str">
        <f t="shared" si="157"/>
        <v/>
      </c>
      <c r="AR249" s="475" t="str">
        <f t="shared" si="158"/>
        <v/>
      </c>
      <c r="AS249" s="475" t="str">
        <f t="shared" si="159"/>
        <v/>
      </c>
      <c r="AT249" s="475" t="str">
        <f t="shared" si="160"/>
        <v/>
      </c>
      <c r="AU249" s="475" t="str">
        <f t="shared" si="161"/>
        <v/>
      </c>
      <c r="AV249" s="475" t="str">
        <f t="shared" si="142"/>
        <v/>
      </c>
      <c r="AW249" s="473">
        <f t="shared" si="143"/>
        <v>0</v>
      </c>
      <c r="AX249" s="473" t="str">
        <f>IF(AND($Z249="b",OR($AA249="a",$AA249="b"),Inventory!$I256="",$AE249&lt;(65000/12000)),"x",IF(AND($Z249="b",OR($AA249="a",$AA249="b"),Inventory!$I256&lt;&gt;"",$AE249&lt;(65000/12000)),VLOOKUP(Inventory!$I256,$V$4:$W$5,2,FALSE),"x"))</f>
        <v>x</v>
      </c>
      <c r="AY249" s="476" t="str">
        <f t="shared" si="162"/>
        <v>aaa0</v>
      </c>
      <c r="AZ249" s="477" t="str">
        <f t="shared" si="163"/>
        <v>No</v>
      </c>
      <c r="BA249" s="759" t="str">
        <f t="shared" si="164"/>
        <v>No</v>
      </c>
      <c r="BB249" s="477">
        <f>IF($Z249="c",Inventory!$AB256,Inventory!$K256)</f>
        <v>0</v>
      </c>
      <c r="BC249" s="478">
        <f>IF(AND($Z249="b",Inventory!$N256="Btu/hr"),Inventory!$M256,IF(AND($Z249="b",Inventory!$N256="Tons"),Inventory!$M256*12000,IF(AND($Z249&lt;&gt;"b",Inventory!$AK256="Btu/hr"),Inventory!$AD256,IF(AND($Z249&lt;&gt;"b",Inventory!$AK256="Tons"),Inventory!$AD256*12000,0))))</f>
        <v>0</v>
      </c>
      <c r="BD249" s="478">
        <f t="shared" si="176"/>
        <v>0</v>
      </c>
      <c r="BE249" s="479">
        <f t="shared" si="165"/>
        <v>0</v>
      </c>
      <c r="BF249" s="477" t="s">
        <v>50</v>
      </c>
      <c r="BG249" s="479">
        <f t="shared" si="144"/>
        <v>0</v>
      </c>
      <c r="BH249" s="477" t="s">
        <v>46</v>
      </c>
      <c r="BI249" s="760">
        <f>IF(AND($Z249="b",Inventory!$P256="Btu/hr"),Inventory!$O256,IF(AND($Z249="b",Inventory!$P256="Tons"),Inventory!$O256*12000,IF(AND($Z249&lt;&gt;"b",Inventory!$AM256="Btu/hr"),Inventory!$AL256,IF(AND($Z249&lt;&gt;"b",Inventory!$AM256="Tons"),Inventory!$AL256*12000,0))))</f>
        <v>0</v>
      </c>
      <c r="BJ249" s="760">
        <f t="shared" si="177"/>
        <v>0</v>
      </c>
      <c r="BK249" s="598">
        <f t="shared" si="166"/>
        <v>0</v>
      </c>
      <c r="BL249" s="759" t="s">
        <v>567</v>
      </c>
      <c r="BM249" s="477" t="str">
        <f t="shared" si="145"/>
        <v>No</v>
      </c>
      <c r="BN249" s="477" t="str">
        <f>IF(OR(Inventory!$H256="",$BM249="No"),"-",Inventory!$H256)</f>
        <v>-</v>
      </c>
      <c r="BO249" s="477" t="str">
        <f>IFERROR(VLOOKUP(BN249,'Early Retirement'!$B$6:$C$33,2,FALSE),"-")</f>
        <v>-</v>
      </c>
      <c r="BP249" s="477" t="str">
        <f>IF(Inventory!$J256="Centrifugal","Yes","No")</f>
        <v>No</v>
      </c>
      <c r="BQ249" s="477">
        <f t="shared" si="167"/>
        <v>0</v>
      </c>
      <c r="BR249" s="477" t="str">
        <f t="shared" si="168"/>
        <v>-</v>
      </c>
      <c r="BS249" s="479">
        <f>IFERROR(INDEX('Early Retirement'!$C$4:$AC$33,$BO249,$BR249),0)</f>
        <v>0</v>
      </c>
      <c r="BT249" s="477">
        <f>IFERROR(HLOOKUP($BR249,'Early Retirement'!$D$4:$AC$5,2,FALSE),0)</f>
        <v>0</v>
      </c>
      <c r="BU249" s="761">
        <f>IFERROR(INDEX('Early Retirement'!$AE$4:$BE$33,$BO249,$BR249),0)</f>
        <v>0</v>
      </c>
      <c r="BV249" s="759">
        <f>IFERROR(HLOOKUP($BR249,'Early Retirement'!$AF$4:$BE$5,2,FALSE),0)</f>
        <v>0</v>
      </c>
      <c r="BW249" s="479">
        <f t="shared" si="175"/>
        <v>0</v>
      </c>
      <c r="BX249" s="761">
        <f t="shared" si="169"/>
        <v>0</v>
      </c>
      <c r="BY249" s="477" t="s">
        <v>46</v>
      </c>
      <c r="BZ249" s="598">
        <f>IFERROR(INDEX('Early Retirement'!$BG$4:$CG$33,$BO249,$BR249),0)</f>
        <v>0</v>
      </c>
      <c r="CA249" s="759">
        <f>IFERROR(HLOOKUP($BR249,'Early Retirement'!$BH$4:$CH$5,2,FALSE),0)</f>
        <v>0</v>
      </c>
      <c r="CB249" s="598">
        <f t="shared" si="170"/>
        <v>0</v>
      </c>
      <c r="CC249" s="759" t="s">
        <v>567</v>
      </c>
      <c r="CD249" s="477" t="str">
        <f t="shared" si="146"/>
        <v>Yes</v>
      </c>
      <c r="CE249" s="479">
        <f t="shared" si="147"/>
        <v>0</v>
      </c>
      <c r="CF249" s="761">
        <f t="shared" si="148"/>
        <v>0</v>
      </c>
      <c r="CG249" s="759" t="s">
        <v>46</v>
      </c>
      <c r="CH249" s="598">
        <f t="shared" si="171"/>
        <v>0</v>
      </c>
      <c r="CI249" s="759" t="s">
        <v>567</v>
      </c>
      <c r="CJ249" s="480">
        <f t="shared" si="172"/>
        <v>0</v>
      </c>
      <c r="CK249" s="583">
        <f t="shared" si="173"/>
        <v>0</v>
      </c>
      <c r="CL249" s="596" t="s">
        <v>46</v>
      </c>
      <c r="CM249" s="581">
        <f t="shared" si="174"/>
        <v>0</v>
      </c>
      <c r="CN249" s="762" t="s">
        <v>567</v>
      </c>
      <c r="CW249" s="630"/>
      <c r="CX249" s="630"/>
      <c r="CY249" s="630"/>
      <c r="CZ249" s="630"/>
      <c r="DA249" s="630"/>
    </row>
    <row r="250" spans="2:105" s="78" customFormat="1" ht="15" customHeight="1" x14ac:dyDescent="0.25">
      <c r="B250" s="77"/>
      <c r="E250" s="77"/>
      <c r="H250" s="77"/>
      <c r="Y250" s="90">
        <v>248</v>
      </c>
      <c r="Z250" s="559" t="str">
        <f>IF(Inventory!$C257="","",VLOOKUP(Inventory!$C257,$B$3:$C$5,2,FALSE))</f>
        <v/>
      </c>
      <c r="AA250" s="559" t="str">
        <f>IF($Z250="","",IF(AND($Z250="b",Inventory!$G257=""),"",IF(AND($Z250="b",Inventory!$G257&lt;&gt;""),VLOOKUP(Inventory!$G257,$E$3:$F$10,2,FALSE),IF(AND($Z250="a",Inventory!$Z257=""),"",IF(AND($Z250="a",Inventory!$Z257&lt;&gt;""),VLOOKUP(Inventory!$Z257,$E$3:$F$10,2,FALSE),IF(AND($Z250="c",Inventory!$Z257=""),"",IF(AND($Z250="c",Inventory!$Z257&lt;&gt;""),VLOOKUP(Inventory!$Z257,$E$3:$F$10,2,FALSE),"")))))))</f>
        <v/>
      </c>
      <c r="AB250" s="559" t="str">
        <f>IF($Z250="","a",IF(AND($Z250="b",Inventory!$J257=""),"a",IF(AND($Z250="b",Inventory!$J257&lt;&gt;""),VLOOKUP(Inventory!$J257,$H$4:$I$6,2,FALSE),IF(AND($Z250="a",Inventory!$AA257=""),"a",IF(AND($Z250="a",Inventory!$AA257&lt;&gt;""),VLOOKUP(Inventory!$AA257,$H$4:$I$6,2,FALSE),IF(AND($Z250="c",Inventory!$AA257=""),"a",IF(AND($Z250="c",Inventory!$AA257&lt;&gt;""),VLOOKUP(Inventory!$AA257,$H$4:$I$6,2,FALSE),"a")))))))</f>
        <v>a</v>
      </c>
      <c r="AC250" s="559" t="str">
        <f t="shared" si="149"/>
        <v>a</v>
      </c>
      <c r="AD250" s="473" t="str">
        <f>IF($Z250="","a",IF(AND($Z250="b",Inventory!$L257=""),"a",IF(AND($Z250="b",Inventory!$L257&lt;&gt;""),VLOOKUP(Inventory!$L257,$N$4:$O$5,2,FALSE),IF(AND($Z250="a",Inventory!$AC257=""),"a",IF(AND($Z250="a",Inventory!$AC257&lt;&gt;""),VLOOKUP(Inventory!$AC257,$N$4:$O$5,2,FALSE),IF(AND($Z250="c",Inventory!$AC257=""),"a",IF(AND($Z250="c",Inventory!$AC257&lt;&gt;""),VLOOKUP(Inventory!$AC257,$N$4:$O$5,2,FALSE),"a")))))))</f>
        <v>a</v>
      </c>
      <c r="AE250" s="474">
        <f>IF(OR(Inventory!C257="New Construction",Inventory!C257="Replace-on-Burnout"),Inventory!AF257,IF(Inventory!C257="Early Retirement",MIN(Inventory!AE257,Inventory!AF257),0))</f>
        <v>0</v>
      </c>
      <c r="AF250" s="475" t="str">
        <f t="shared" si="150"/>
        <v/>
      </c>
      <c r="AG250" s="475" t="str">
        <f t="shared" si="138"/>
        <v/>
      </c>
      <c r="AH250" s="475" t="str">
        <f t="shared" si="139"/>
        <v/>
      </c>
      <c r="AI250" s="475" t="str">
        <f t="shared" si="140"/>
        <v/>
      </c>
      <c r="AJ250" s="475" t="str">
        <f t="shared" si="141"/>
        <v/>
      </c>
      <c r="AK250" s="475" t="str">
        <f t="shared" si="151"/>
        <v/>
      </c>
      <c r="AL250" s="475" t="str">
        <f t="shared" si="152"/>
        <v/>
      </c>
      <c r="AM250" s="475" t="str">
        <f t="shared" si="153"/>
        <v/>
      </c>
      <c r="AN250" s="475" t="str">
        <f t="shared" si="154"/>
        <v/>
      </c>
      <c r="AO250" s="475" t="str">
        <f t="shared" si="155"/>
        <v/>
      </c>
      <c r="AP250" s="475" t="str">
        <f t="shared" si="156"/>
        <v/>
      </c>
      <c r="AQ250" s="475" t="str">
        <f t="shared" si="157"/>
        <v/>
      </c>
      <c r="AR250" s="475" t="str">
        <f t="shared" si="158"/>
        <v/>
      </c>
      <c r="AS250" s="475" t="str">
        <f t="shared" si="159"/>
        <v/>
      </c>
      <c r="AT250" s="475" t="str">
        <f t="shared" si="160"/>
        <v/>
      </c>
      <c r="AU250" s="475" t="str">
        <f t="shared" si="161"/>
        <v/>
      </c>
      <c r="AV250" s="475" t="str">
        <f t="shared" si="142"/>
        <v/>
      </c>
      <c r="AW250" s="473">
        <f t="shared" si="143"/>
        <v>0</v>
      </c>
      <c r="AX250" s="473" t="str">
        <f>IF(AND($Z250="b",OR($AA250="a",$AA250="b"),Inventory!$I257="",$AE250&lt;(65000/12000)),"x",IF(AND($Z250="b",OR($AA250="a",$AA250="b"),Inventory!$I257&lt;&gt;"",$AE250&lt;(65000/12000)),VLOOKUP(Inventory!$I257,$V$4:$W$5,2,FALSE),"x"))</f>
        <v>x</v>
      </c>
      <c r="AY250" s="476" t="str">
        <f t="shared" si="162"/>
        <v>aaa0</v>
      </c>
      <c r="AZ250" s="477" t="str">
        <f t="shared" si="163"/>
        <v>No</v>
      </c>
      <c r="BA250" s="759" t="str">
        <f t="shared" si="164"/>
        <v>No</v>
      </c>
      <c r="BB250" s="477">
        <f>IF($Z250="c",Inventory!$AB257,Inventory!$K257)</f>
        <v>0</v>
      </c>
      <c r="BC250" s="478">
        <f>IF(AND($Z250="b",Inventory!$N257="Btu/hr"),Inventory!$M257,IF(AND($Z250="b",Inventory!$N257="Tons"),Inventory!$M257*12000,IF(AND($Z250&lt;&gt;"b",Inventory!$AK257="Btu/hr"),Inventory!$AD257,IF(AND($Z250&lt;&gt;"b",Inventory!$AK257="Tons"),Inventory!$AD257*12000,0))))</f>
        <v>0</v>
      </c>
      <c r="BD250" s="478">
        <f t="shared" si="176"/>
        <v>0</v>
      </c>
      <c r="BE250" s="479">
        <f t="shared" si="165"/>
        <v>0</v>
      </c>
      <c r="BF250" s="477" t="s">
        <v>50</v>
      </c>
      <c r="BG250" s="479">
        <f t="shared" si="144"/>
        <v>0</v>
      </c>
      <c r="BH250" s="477" t="s">
        <v>46</v>
      </c>
      <c r="BI250" s="760">
        <f>IF(AND($Z250="b",Inventory!$P257="Btu/hr"),Inventory!$O257,IF(AND($Z250="b",Inventory!$P257="Tons"),Inventory!$O257*12000,IF(AND($Z250&lt;&gt;"b",Inventory!$AM257="Btu/hr"),Inventory!$AL257,IF(AND($Z250&lt;&gt;"b",Inventory!$AM257="Tons"),Inventory!$AL257*12000,0))))</f>
        <v>0</v>
      </c>
      <c r="BJ250" s="760">
        <f t="shared" si="177"/>
        <v>0</v>
      </c>
      <c r="BK250" s="598">
        <f t="shared" si="166"/>
        <v>0</v>
      </c>
      <c r="BL250" s="759" t="s">
        <v>567</v>
      </c>
      <c r="BM250" s="477" t="str">
        <f t="shared" si="145"/>
        <v>No</v>
      </c>
      <c r="BN250" s="477" t="str">
        <f>IF(OR(Inventory!$H257="",$BM250="No"),"-",Inventory!$H257)</f>
        <v>-</v>
      </c>
      <c r="BO250" s="477" t="str">
        <f>IFERROR(VLOOKUP(BN250,'Early Retirement'!$B$6:$C$33,2,FALSE),"-")</f>
        <v>-</v>
      </c>
      <c r="BP250" s="477" t="str">
        <f>IF(Inventory!$J257="Centrifugal","Yes","No")</f>
        <v>No</v>
      </c>
      <c r="BQ250" s="477">
        <f t="shared" si="167"/>
        <v>0</v>
      </c>
      <c r="BR250" s="477" t="str">
        <f t="shared" si="168"/>
        <v>-</v>
      </c>
      <c r="BS250" s="479">
        <f>IFERROR(INDEX('Early Retirement'!$C$4:$AC$33,$BO250,$BR250),0)</f>
        <v>0</v>
      </c>
      <c r="BT250" s="477">
        <f>IFERROR(HLOOKUP($BR250,'Early Retirement'!$D$4:$AC$5,2,FALSE),0)</f>
        <v>0</v>
      </c>
      <c r="BU250" s="761">
        <f>IFERROR(INDEX('Early Retirement'!$AE$4:$BE$33,$BO250,$BR250),0)</f>
        <v>0</v>
      </c>
      <c r="BV250" s="759">
        <f>IFERROR(HLOOKUP($BR250,'Early Retirement'!$AF$4:$BE$5,2,FALSE),0)</f>
        <v>0</v>
      </c>
      <c r="BW250" s="479">
        <f t="shared" si="175"/>
        <v>0</v>
      </c>
      <c r="BX250" s="761">
        <f t="shared" si="169"/>
        <v>0</v>
      </c>
      <c r="BY250" s="477" t="s">
        <v>46</v>
      </c>
      <c r="BZ250" s="598">
        <f>IFERROR(INDEX('Early Retirement'!$BG$4:$CG$33,$BO250,$BR250),0)</f>
        <v>0</v>
      </c>
      <c r="CA250" s="759">
        <f>IFERROR(HLOOKUP($BR250,'Early Retirement'!$BH$4:$CH$5,2,FALSE),0)</f>
        <v>0</v>
      </c>
      <c r="CB250" s="598">
        <f t="shared" si="170"/>
        <v>0</v>
      </c>
      <c r="CC250" s="759" t="s">
        <v>567</v>
      </c>
      <c r="CD250" s="477" t="str">
        <f t="shared" si="146"/>
        <v>Yes</v>
      </c>
      <c r="CE250" s="479">
        <f t="shared" si="147"/>
        <v>0</v>
      </c>
      <c r="CF250" s="761">
        <f t="shared" si="148"/>
        <v>0</v>
      </c>
      <c r="CG250" s="759" t="s">
        <v>46</v>
      </c>
      <c r="CH250" s="598">
        <f t="shared" si="171"/>
        <v>0</v>
      </c>
      <c r="CI250" s="759" t="s">
        <v>567</v>
      </c>
      <c r="CJ250" s="480">
        <f t="shared" si="172"/>
        <v>0</v>
      </c>
      <c r="CK250" s="583">
        <f t="shared" si="173"/>
        <v>0</v>
      </c>
      <c r="CL250" s="596" t="s">
        <v>46</v>
      </c>
      <c r="CM250" s="581">
        <f t="shared" si="174"/>
        <v>0</v>
      </c>
      <c r="CN250" s="762" t="s">
        <v>567</v>
      </c>
      <c r="CW250" s="630"/>
      <c r="CX250" s="630"/>
      <c r="CY250" s="630"/>
      <c r="CZ250" s="630"/>
      <c r="DA250" s="630"/>
    </row>
    <row r="251" spans="2:105" s="78" customFormat="1" ht="15" customHeight="1" x14ac:dyDescent="0.25">
      <c r="B251" s="77"/>
      <c r="E251" s="77"/>
      <c r="H251" s="77"/>
      <c r="Y251" s="90">
        <v>249</v>
      </c>
      <c r="Z251" s="559" t="str">
        <f>IF(Inventory!$C258="","",VLOOKUP(Inventory!$C258,$B$3:$C$5,2,FALSE))</f>
        <v/>
      </c>
      <c r="AA251" s="559" t="str">
        <f>IF($Z251="","",IF(AND($Z251="b",Inventory!$G258=""),"",IF(AND($Z251="b",Inventory!$G258&lt;&gt;""),VLOOKUP(Inventory!$G258,$E$3:$F$10,2,FALSE),IF(AND($Z251="a",Inventory!$Z258=""),"",IF(AND($Z251="a",Inventory!$Z258&lt;&gt;""),VLOOKUP(Inventory!$Z258,$E$3:$F$10,2,FALSE),IF(AND($Z251="c",Inventory!$Z258=""),"",IF(AND($Z251="c",Inventory!$Z258&lt;&gt;""),VLOOKUP(Inventory!$Z258,$E$3:$F$10,2,FALSE),"")))))))</f>
        <v/>
      </c>
      <c r="AB251" s="559" t="str">
        <f>IF($Z251="","a",IF(AND($Z251="b",Inventory!$J258=""),"a",IF(AND($Z251="b",Inventory!$J258&lt;&gt;""),VLOOKUP(Inventory!$J258,$H$4:$I$6,2,FALSE),IF(AND($Z251="a",Inventory!$AA258=""),"a",IF(AND($Z251="a",Inventory!$AA258&lt;&gt;""),VLOOKUP(Inventory!$AA258,$H$4:$I$6,2,FALSE),IF(AND($Z251="c",Inventory!$AA258=""),"a",IF(AND($Z251="c",Inventory!$AA258&lt;&gt;""),VLOOKUP(Inventory!$AA258,$H$4:$I$6,2,FALSE),"a")))))))</f>
        <v>a</v>
      </c>
      <c r="AC251" s="559" t="str">
        <f t="shared" si="149"/>
        <v>a</v>
      </c>
      <c r="AD251" s="473" t="str">
        <f>IF($Z251="","a",IF(AND($Z251="b",Inventory!$L258=""),"a",IF(AND($Z251="b",Inventory!$L258&lt;&gt;""),VLOOKUP(Inventory!$L258,$N$4:$O$5,2,FALSE),IF(AND($Z251="a",Inventory!$AC258=""),"a",IF(AND($Z251="a",Inventory!$AC258&lt;&gt;""),VLOOKUP(Inventory!$AC258,$N$4:$O$5,2,FALSE),IF(AND($Z251="c",Inventory!$AC258=""),"a",IF(AND($Z251="c",Inventory!$AC258&lt;&gt;""),VLOOKUP(Inventory!$AC258,$N$4:$O$5,2,FALSE),"a")))))))</f>
        <v>a</v>
      </c>
      <c r="AE251" s="474">
        <f>IF(OR(Inventory!C258="New Construction",Inventory!C258="Replace-on-Burnout"),Inventory!AF258,IF(Inventory!C258="Early Retirement",MIN(Inventory!AE258,Inventory!AF258),0))</f>
        <v>0</v>
      </c>
      <c r="AF251" s="475" t="str">
        <f t="shared" si="150"/>
        <v/>
      </c>
      <c r="AG251" s="475" t="str">
        <f t="shared" si="138"/>
        <v/>
      </c>
      <c r="AH251" s="475" t="str">
        <f t="shared" si="139"/>
        <v/>
      </c>
      <c r="AI251" s="475" t="str">
        <f t="shared" si="140"/>
        <v/>
      </c>
      <c r="AJ251" s="475" t="str">
        <f t="shared" si="141"/>
        <v/>
      </c>
      <c r="AK251" s="475" t="str">
        <f t="shared" si="151"/>
        <v/>
      </c>
      <c r="AL251" s="475" t="str">
        <f t="shared" si="152"/>
        <v/>
      </c>
      <c r="AM251" s="475" t="str">
        <f t="shared" si="153"/>
        <v/>
      </c>
      <c r="AN251" s="475" t="str">
        <f t="shared" si="154"/>
        <v/>
      </c>
      <c r="AO251" s="475" t="str">
        <f t="shared" si="155"/>
        <v/>
      </c>
      <c r="AP251" s="475" t="str">
        <f t="shared" si="156"/>
        <v/>
      </c>
      <c r="AQ251" s="475" t="str">
        <f t="shared" si="157"/>
        <v/>
      </c>
      <c r="AR251" s="475" t="str">
        <f t="shared" si="158"/>
        <v/>
      </c>
      <c r="AS251" s="475" t="str">
        <f t="shared" si="159"/>
        <v/>
      </c>
      <c r="AT251" s="475" t="str">
        <f t="shared" si="160"/>
        <v/>
      </c>
      <c r="AU251" s="475" t="str">
        <f t="shared" si="161"/>
        <v/>
      </c>
      <c r="AV251" s="475" t="str">
        <f t="shared" si="142"/>
        <v/>
      </c>
      <c r="AW251" s="473">
        <f t="shared" si="143"/>
        <v>0</v>
      </c>
      <c r="AX251" s="473" t="str">
        <f>IF(AND($Z251="b",OR($AA251="a",$AA251="b"),Inventory!$I258="",$AE251&lt;(65000/12000)),"x",IF(AND($Z251="b",OR($AA251="a",$AA251="b"),Inventory!$I258&lt;&gt;"",$AE251&lt;(65000/12000)),VLOOKUP(Inventory!$I258,$V$4:$W$5,2,FALSE),"x"))</f>
        <v>x</v>
      </c>
      <c r="AY251" s="476" t="str">
        <f t="shared" si="162"/>
        <v>aaa0</v>
      </c>
      <c r="AZ251" s="477" t="str">
        <f t="shared" si="163"/>
        <v>No</v>
      </c>
      <c r="BA251" s="759" t="str">
        <f t="shared" si="164"/>
        <v>No</v>
      </c>
      <c r="BB251" s="477">
        <f>IF($Z251="c",Inventory!$AB258,Inventory!$K258)</f>
        <v>0</v>
      </c>
      <c r="BC251" s="478">
        <f>IF(AND($Z251="b",Inventory!$N258="Btu/hr"),Inventory!$M258,IF(AND($Z251="b",Inventory!$N258="Tons"),Inventory!$M258*12000,IF(AND($Z251&lt;&gt;"b",Inventory!$AK258="Btu/hr"),Inventory!$AD258,IF(AND($Z251&lt;&gt;"b",Inventory!$AK258="Tons"),Inventory!$AD258*12000,0))))</f>
        <v>0</v>
      </c>
      <c r="BD251" s="478">
        <f t="shared" si="176"/>
        <v>0</v>
      </c>
      <c r="BE251" s="479">
        <f t="shared" si="165"/>
        <v>0</v>
      </c>
      <c r="BF251" s="477" t="s">
        <v>50</v>
      </c>
      <c r="BG251" s="479">
        <f t="shared" si="144"/>
        <v>0</v>
      </c>
      <c r="BH251" s="477" t="s">
        <v>46</v>
      </c>
      <c r="BI251" s="760">
        <f>IF(AND($Z251="b",Inventory!$P258="Btu/hr"),Inventory!$O258,IF(AND($Z251="b",Inventory!$P258="Tons"),Inventory!$O258*12000,IF(AND($Z251&lt;&gt;"b",Inventory!$AM258="Btu/hr"),Inventory!$AL258,IF(AND($Z251&lt;&gt;"b",Inventory!$AM258="Tons"),Inventory!$AL258*12000,0))))</f>
        <v>0</v>
      </c>
      <c r="BJ251" s="760">
        <f t="shared" si="177"/>
        <v>0</v>
      </c>
      <c r="BK251" s="598">
        <f t="shared" si="166"/>
        <v>0</v>
      </c>
      <c r="BL251" s="759" t="s">
        <v>567</v>
      </c>
      <c r="BM251" s="477" t="str">
        <f t="shared" si="145"/>
        <v>No</v>
      </c>
      <c r="BN251" s="477" t="str">
        <f>IF(OR(Inventory!$H258="",$BM251="No"),"-",Inventory!$H258)</f>
        <v>-</v>
      </c>
      <c r="BO251" s="477" t="str">
        <f>IFERROR(VLOOKUP(BN251,'Early Retirement'!$B$6:$C$33,2,FALSE),"-")</f>
        <v>-</v>
      </c>
      <c r="BP251" s="477" t="str">
        <f>IF(Inventory!$J258="Centrifugal","Yes","No")</f>
        <v>No</v>
      </c>
      <c r="BQ251" s="477">
        <f t="shared" si="167"/>
        <v>0</v>
      </c>
      <c r="BR251" s="477" t="str">
        <f t="shared" si="168"/>
        <v>-</v>
      </c>
      <c r="BS251" s="479">
        <f>IFERROR(INDEX('Early Retirement'!$C$4:$AC$33,$BO251,$BR251),0)</f>
        <v>0</v>
      </c>
      <c r="BT251" s="477">
        <f>IFERROR(HLOOKUP($BR251,'Early Retirement'!$D$4:$AC$5,2,FALSE),0)</f>
        <v>0</v>
      </c>
      <c r="BU251" s="761">
        <f>IFERROR(INDEX('Early Retirement'!$AE$4:$BE$33,$BO251,$BR251),0)</f>
        <v>0</v>
      </c>
      <c r="BV251" s="759">
        <f>IFERROR(HLOOKUP($BR251,'Early Retirement'!$AF$4:$BE$5,2,FALSE),0)</f>
        <v>0</v>
      </c>
      <c r="BW251" s="479">
        <f t="shared" si="175"/>
        <v>0</v>
      </c>
      <c r="BX251" s="761">
        <f t="shared" si="169"/>
        <v>0</v>
      </c>
      <c r="BY251" s="477" t="s">
        <v>46</v>
      </c>
      <c r="BZ251" s="598">
        <f>IFERROR(INDEX('Early Retirement'!$BG$4:$CG$33,$BO251,$BR251),0)</f>
        <v>0</v>
      </c>
      <c r="CA251" s="759">
        <f>IFERROR(HLOOKUP($BR251,'Early Retirement'!$BH$4:$CH$5,2,FALSE),0)</f>
        <v>0</v>
      </c>
      <c r="CB251" s="598">
        <f t="shared" si="170"/>
        <v>0</v>
      </c>
      <c r="CC251" s="759" t="s">
        <v>567</v>
      </c>
      <c r="CD251" s="477" t="str">
        <f t="shared" si="146"/>
        <v>Yes</v>
      </c>
      <c r="CE251" s="479">
        <f t="shared" si="147"/>
        <v>0</v>
      </c>
      <c r="CF251" s="761">
        <f t="shared" si="148"/>
        <v>0</v>
      </c>
      <c r="CG251" s="759" t="s">
        <v>46</v>
      </c>
      <c r="CH251" s="598">
        <f t="shared" si="171"/>
        <v>0</v>
      </c>
      <c r="CI251" s="759" t="s">
        <v>567</v>
      </c>
      <c r="CJ251" s="480">
        <f t="shared" si="172"/>
        <v>0</v>
      </c>
      <c r="CK251" s="583">
        <f t="shared" si="173"/>
        <v>0</v>
      </c>
      <c r="CL251" s="596" t="s">
        <v>46</v>
      </c>
      <c r="CM251" s="581">
        <f t="shared" si="174"/>
        <v>0</v>
      </c>
      <c r="CN251" s="762" t="s">
        <v>567</v>
      </c>
      <c r="CW251" s="630"/>
      <c r="CX251" s="630"/>
      <c r="CY251" s="630"/>
      <c r="CZ251" s="630"/>
      <c r="DA251" s="630"/>
    </row>
    <row r="252" spans="2:105" s="78" customFormat="1" ht="15" customHeight="1" thickBot="1" x14ac:dyDescent="0.3">
      <c r="B252" s="77"/>
      <c r="E252" s="77"/>
      <c r="H252" s="77"/>
      <c r="Y252" s="96">
        <v>250</v>
      </c>
      <c r="Z252" s="101" t="str">
        <f>IF(Inventory!$C259="","",VLOOKUP(Inventory!$C259,$B$3:$C$5,2,FALSE))</f>
        <v/>
      </c>
      <c r="AA252" s="101" t="str">
        <f>IF($Z252="","",IF(AND($Z252="b",Inventory!$G259=""),"",IF(AND($Z252="b",Inventory!$G259&lt;&gt;""),VLOOKUP(Inventory!$G259,$E$3:$F$10,2,FALSE),IF(AND($Z252="a",Inventory!$Z259=""),"",IF(AND($Z252="a",Inventory!$Z259&lt;&gt;""),VLOOKUP(Inventory!$Z259,$E$3:$F$10,2,FALSE),IF(AND($Z252="c",Inventory!$Z259=""),"",IF(AND($Z252="c",Inventory!$Z259&lt;&gt;""),VLOOKUP(Inventory!$Z259,$E$3:$F$10,2,FALSE),"")))))))</f>
        <v/>
      </c>
      <c r="AB252" s="101" t="str">
        <f>IF($Z252="","a",IF(AND($Z252="b",Inventory!$J259=""),"a",IF(AND($Z252="b",Inventory!$J259&lt;&gt;""),VLOOKUP(Inventory!$J259,$H$4:$I$6,2,FALSE),IF(AND($Z252="a",Inventory!$AA259=""),"a",IF(AND($Z252="a",Inventory!$AA259&lt;&gt;""),VLOOKUP(Inventory!$AA259,$H$4:$I$6,2,FALSE),IF(AND($Z252="c",Inventory!$AA259=""),"a",IF(AND($Z252="c",Inventory!$AA259&lt;&gt;""),VLOOKUP(Inventory!$AA259,$H$4:$I$6,2,FALSE),"a")))))))</f>
        <v>a</v>
      </c>
      <c r="AC252" s="101" t="str">
        <f t="shared" si="149"/>
        <v>a</v>
      </c>
      <c r="AD252" s="102" t="str">
        <f>IF($Z252="","a",IF(AND($Z252="b",Inventory!$L259=""),"a",IF(AND($Z252="b",Inventory!$L259&lt;&gt;""),VLOOKUP(Inventory!$L259,$N$4:$O$5,2,FALSE),IF(AND($Z252="a",Inventory!$AC259=""),"a",IF(AND($Z252="a",Inventory!$AC259&lt;&gt;""),VLOOKUP(Inventory!$AC259,$N$4:$O$5,2,FALSE),IF(AND($Z252="c",Inventory!$AC259=""),"a",IF(AND($Z252="c",Inventory!$AC259&lt;&gt;""),VLOOKUP(Inventory!$AC259,$N$4:$O$5,2,FALSE),"a")))))))</f>
        <v>a</v>
      </c>
      <c r="AE252" s="118">
        <f>IF(OR(Inventory!C259="New Construction",Inventory!C259="Replace-on-Burnout"),Inventory!AF259,IF(Inventory!C259="Early Retirement",MIN(Inventory!AE259,Inventory!AF259),0))</f>
        <v>0</v>
      </c>
      <c r="AF252" s="119" t="str">
        <f t="shared" si="150"/>
        <v/>
      </c>
      <c r="AG252" s="119" t="str">
        <f t="shared" si="138"/>
        <v/>
      </c>
      <c r="AH252" s="119" t="str">
        <f t="shared" si="139"/>
        <v/>
      </c>
      <c r="AI252" s="119" t="str">
        <f t="shared" si="140"/>
        <v/>
      </c>
      <c r="AJ252" s="119" t="str">
        <f t="shared" si="141"/>
        <v/>
      </c>
      <c r="AK252" s="119" t="str">
        <f t="shared" si="151"/>
        <v/>
      </c>
      <c r="AL252" s="119" t="str">
        <f t="shared" si="152"/>
        <v/>
      </c>
      <c r="AM252" s="119" t="str">
        <f t="shared" si="153"/>
        <v/>
      </c>
      <c r="AN252" s="119" t="str">
        <f t="shared" si="154"/>
        <v/>
      </c>
      <c r="AO252" s="119" t="str">
        <f t="shared" si="155"/>
        <v/>
      </c>
      <c r="AP252" s="119" t="str">
        <f t="shared" si="156"/>
        <v/>
      </c>
      <c r="AQ252" s="119" t="str">
        <f t="shared" si="157"/>
        <v/>
      </c>
      <c r="AR252" s="119" t="str">
        <f t="shared" si="158"/>
        <v/>
      </c>
      <c r="AS252" s="119" t="str">
        <f t="shared" si="159"/>
        <v/>
      </c>
      <c r="AT252" s="119" t="str">
        <f t="shared" si="160"/>
        <v/>
      </c>
      <c r="AU252" s="119" t="str">
        <f t="shared" si="161"/>
        <v/>
      </c>
      <c r="AV252" s="119" t="str">
        <f t="shared" si="142"/>
        <v/>
      </c>
      <c r="AW252" s="102">
        <f t="shared" si="143"/>
        <v>0</v>
      </c>
      <c r="AX252" s="102" t="str">
        <f>IF(AND($Z252="b",OR($AA252="a",$AA252="b"),Inventory!$I259="",$AE252&lt;(65000/12000)),"x",IF(AND($Z252="b",OR($AA252="a",$AA252="b"),Inventory!$I259&lt;&gt;"",$AE252&lt;(65000/12000)),VLOOKUP(Inventory!$I259,$V$4:$W$5,2,FALSE),"x"))</f>
        <v>x</v>
      </c>
      <c r="AY252" s="147" t="str">
        <f t="shared" si="162"/>
        <v>aaa0</v>
      </c>
      <c r="AZ252" s="151" t="str">
        <f t="shared" si="163"/>
        <v>No</v>
      </c>
      <c r="BA252" s="670" t="str">
        <f t="shared" si="164"/>
        <v>No</v>
      </c>
      <c r="BB252" s="151">
        <f>IF($Z252="c",Inventory!$AB259,Inventory!$K259)</f>
        <v>0</v>
      </c>
      <c r="BC252" s="154">
        <f>IF(AND($Z252="b",Inventory!$N259="Btu/hr"),Inventory!$M259,IF(AND($Z252="b",Inventory!$N259="Tons"),Inventory!$M259*12000,IF(AND($Z252&lt;&gt;"b",Inventory!$AK259="Btu/hr"),Inventory!$AD259,IF(AND($Z252&lt;&gt;"b",Inventory!$AK259="Tons"),Inventory!$AD259*12000,0))))</f>
        <v>0</v>
      </c>
      <c r="BD252" s="154">
        <f t="shared" si="176"/>
        <v>0</v>
      </c>
      <c r="BE252" s="160">
        <f t="shared" si="165"/>
        <v>0</v>
      </c>
      <c r="BF252" s="151" t="s">
        <v>50</v>
      </c>
      <c r="BG252" s="160">
        <f t="shared" si="144"/>
        <v>0</v>
      </c>
      <c r="BH252" s="151" t="s">
        <v>46</v>
      </c>
      <c r="BI252" s="673">
        <f>IF(AND($Z252="b",Inventory!$P259="Btu/hr"),Inventory!$O259,IF(AND($Z252="b",Inventory!$P259="Tons"),Inventory!$O259*12000,IF(AND($Z252&lt;&gt;"b",Inventory!$AM259="Btu/hr"),Inventory!$AL259,IF(AND($Z252&lt;&gt;"b",Inventory!$AM259="Tons"),Inventory!$AL259*12000,0))))</f>
        <v>0</v>
      </c>
      <c r="BJ252" s="673">
        <f t="shared" si="177"/>
        <v>0</v>
      </c>
      <c r="BK252" s="611">
        <f t="shared" si="166"/>
        <v>0</v>
      </c>
      <c r="BL252" s="670" t="s">
        <v>567</v>
      </c>
      <c r="BM252" s="151" t="str">
        <f t="shared" si="145"/>
        <v>No</v>
      </c>
      <c r="BN252" s="151" t="str">
        <f>IF(OR(Inventory!$H259="",$BM252="No"),"-",Inventory!$H259)</f>
        <v>-</v>
      </c>
      <c r="BO252" s="151" t="str">
        <f>IFERROR(VLOOKUP(BN252,'Early Retirement'!$B$6:$C$33,2,FALSE),"-")</f>
        <v>-</v>
      </c>
      <c r="BP252" s="151" t="str">
        <f>IF(Inventory!$J259="Centrifugal","Yes","No")</f>
        <v>No</v>
      </c>
      <c r="BQ252" s="151">
        <f t="shared" si="167"/>
        <v>0</v>
      </c>
      <c r="BR252" s="151" t="str">
        <f t="shared" si="168"/>
        <v>-</v>
      </c>
      <c r="BS252" s="160">
        <f>IFERROR(INDEX('Early Retirement'!$C$4:$AC$33,$BO252,$BR252),0)</f>
        <v>0</v>
      </c>
      <c r="BT252" s="151">
        <f>IFERROR(HLOOKUP($BR252,'Early Retirement'!$D$4:$AC$5,2,FALSE),0)</f>
        <v>0</v>
      </c>
      <c r="BU252" s="679">
        <f>IFERROR(INDEX('Early Retirement'!$AE$4:$BE$33,$BO252,$BR252),0)</f>
        <v>0</v>
      </c>
      <c r="BV252" s="670">
        <f>IFERROR(HLOOKUP($BR252,'Early Retirement'!$AF$4:$BE$5,2,FALSE),0)</f>
        <v>0</v>
      </c>
      <c r="BW252" s="160">
        <f t="shared" si="175"/>
        <v>0</v>
      </c>
      <c r="BX252" s="679">
        <f t="shared" si="169"/>
        <v>0</v>
      </c>
      <c r="BY252" s="151" t="s">
        <v>46</v>
      </c>
      <c r="BZ252" s="611">
        <f>IFERROR(INDEX('Early Retirement'!$BG$4:$CG$33,$BO252,$BR252),0)</f>
        <v>0</v>
      </c>
      <c r="CA252" s="670">
        <f>IFERROR(HLOOKUP($BR252,'Early Retirement'!$BH$4:$CH$5,2,FALSE),0)</f>
        <v>0</v>
      </c>
      <c r="CB252" s="611">
        <f t="shared" si="170"/>
        <v>0</v>
      </c>
      <c r="CC252" s="670" t="s">
        <v>567</v>
      </c>
      <c r="CD252" s="151" t="str">
        <f t="shared" si="146"/>
        <v>Yes</v>
      </c>
      <c r="CE252" s="160">
        <f t="shared" si="147"/>
        <v>0</v>
      </c>
      <c r="CF252" s="679">
        <f t="shared" si="148"/>
        <v>0</v>
      </c>
      <c r="CG252" s="670" t="s">
        <v>46</v>
      </c>
      <c r="CH252" s="611">
        <f t="shared" si="171"/>
        <v>0</v>
      </c>
      <c r="CI252" s="670" t="s">
        <v>567</v>
      </c>
      <c r="CJ252" s="163">
        <f t="shared" si="172"/>
        <v>0</v>
      </c>
      <c r="CK252" s="614">
        <f t="shared" si="173"/>
        <v>0</v>
      </c>
      <c r="CL252" s="590" t="s">
        <v>46</v>
      </c>
      <c r="CM252" s="587">
        <f t="shared" si="174"/>
        <v>0</v>
      </c>
      <c r="CN252" s="666" t="s">
        <v>567</v>
      </c>
      <c r="CW252" s="630"/>
      <c r="CX252" s="630"/>
      <c r="CY252" s="630"/>
      <c r="CZ252" s="630"/>
      <c r="DA252" s="630"/>
    </row>
    <row r="253" spans="2:105" s="78" customFormat="1" ht="15" customHeight="1" thickBot="1" x14ac:dyDescent="0.3">
      <c r="B253" s="77"/>
      <c r="E253" s="77"/>
      <c r="H253" s="77"/>
      <c r="BA253" s="630"/>
      <c r="BI253" s="630"/>
      <c r="BJ253" s="630"/>
      <c r="BK253" s="630"/>
      <c r="BL253" s="630"/>
      <c r="BU253" s="630"/>
      <c r="BV253" s="630"/>
      <c r="BX253" s="630"/>
      <c r="BZ253" s="630"/>
      <c r="CA253" s="630"/>
      <c r="CB253" s="630"/>
      <c r="CC253" s="630"/>
      <c r="CF253" s="630"/>
      <c r="CG253" s="630"/>
      <c r="CH253" s="630"/>
      <c r="CI253" s="630"/>
      <c r="CK253" s="630"/>
      <c r="CM253" s="630"/>
      <c r="CN253" s="630"/>
      <c r="CW253" s="630"/>
      <c r="CX253" s="630"/>
      <c r="CY253" s="630"/>
      <c r="CZ253" s="630"/>
      <c r="DA253" s="630"/>
    </row>
    <row r="254" spans="2:105" s="78" customFormat="1" ht="15" customHeight="1" x14ac:dyDescent="0.25">
      <c r="B254" s="77"/>
      <c r="E254" s="77"/>
      <c r="H254" s="77"/>
      <c r="Y254" s="83">
        <v>1</v>
      </c>
      <c r="Z254" s="86" t="str">
        <f>IF(Inventory!$C10="","",VLOOKUP(Inventory!$C10,$B$7:$C$9,2,FALSE))</f>
        <v/>
      </c>
      <c r="AA254" s="86" t="str">
        <f>IF($Z254="","",IF(AND($Z254="b",Inventory!$G10=""),"",IF(AND($Z254="b",Inventory!$G10&lt;&gt;""),VLOOKUP(Inventory!$G10,$E$3:$F$10,2,FALSE),IF(AND($Z254="a",Inventory!$Z10=""),"",IF(AND($Z254="a",Inventory!$Z10&lt;&gt;""),VLOOKUP(Inventory!$Z10,$E$3:$F$10,2,FALSE),IF(AND($Z254="c",Inventory!$Z10=""),"",IF(AND($Z254="c",Inventory!$Z10&lt;&gt;""),VLOOKUP(Inventory!$Z10,$E$3:$F$10,2,FALSE),"")))))))</f>
        <v/>
      </c>
      <c r="AB254" s="86" t="str">
        <f>IF($Z254="","a",IF(AND($Z254="b",Inventory!$J10=""),"a",IF(AND($Z254="b",Inventory!$J10&lt;&gt;""),VLOOKUP(Inventory!$J10,$H$4:$I$6,2,FALSE),IF(AND($Z254="a",Inventory!$AA10=""),"a",IF(AND($Z254="a",Inventory!$AA10&lt;&gt;""),VLOOKUP(Inventory!$AA10,$H$4:$I$6,2,FALSE),IF(AND($Z254="c",Inventory!$AA10=""),"a",IF(AND($Z254="c",Inventory!$AA10&lt;&gt;""),VLOOKUP(Inventory!$AA10,$H$4:$I$6,2,FALSE),"a")))))))</f>
        <v>a</v>
      </c>
      <c r="AC254" s="86" t="str">
        <f t="shared" ref="AC254:AC285" si="178">IF($AA254="f","b",IF($AA254="e","c","a"))</f>
        <v>a</v>
      </c>
      <c r="AD254" s="87" t="str">
        <f>IF($Z254="","a",IF(AND($Z254="b",Inventory!$L10=""),"a",IF(AND($Z254="b",Inventory!$L10&lt;&gt;""),VLOOKUP(Inventory!$L10,$N$4:$O$5,2,FALSE),IF(AND($Z254="a",Inventory!$AC10=""),"a",IF(AND($Z254="a",Inventory!$AC10&lt;&gt;""),VLOOKUP(Inventory!$AC10,$N$4:$O$5,2,FALSE),IF(AND($Z254="c",Inventory!$AC10=""),"a",IF(AND($Z254="c",Inventory!$AC10&lt;&gt;""),VLOOKUP(Inventory!$AC10,$N$4:$O$5,2,FALSE),"a")))))))</f>
        <v>a</v>
      </c>
      <c r="AE254" s="114">
        <f>IF(OR(Inventory!C10="New Construction",Inventory!C10="Replace-on-Burnout"),Inventory!AF10,IF(Inventory!C10="Early Retirement",MIN(Inventory!AE10,Inventory!AF10),0))</f>
        <v>0</v>
      </c>
      <c r="AF254" s="115" t="str">
        <f t="shared" ref="AF254:AF285" si="179">IF(OR(AND($AA254&lt;&gt;"a",$AA254&lt;&gt;"b"),$AE254=""),"",IF(AND($AE254&gt;=$AF$2,$AA254="a"),5,IF(AND($AE254&gt;=$AF$2,$AA254="b"),10,0)))</f>
        <v/>
      </c>
      <c r="AG254" s="115" t="str">
        <f t="shared" ref="AG254:AG285" si="180">IF(OR(AND($AA254&lt;&gt;"a",$AA254&lt;&gt;"b"),$AE254="",$AF254&lt;&gt;0),"",IF(AND($AE254&gt;=$AG$2,$AA254="a"),4,IF(AND($AE254&gt;=$AG$2,$AA254="b"),9,0)))</f>
        <v/>
      </c>
      <c r="AH254" s="115" t="str">
        <f t="shared" ref="AH254:AH285" si="181">IF(OR(AND($AA254&lt;&gt;"a",$AA254&lt;&gt;"b"),$AE254="",$AG254&lt;&gt;0),"",IF(AND($AE254&gt;=$AH$2,$AA254="a"),3,IF(AND($AE254&gt;=$AH$2,$AA254="b"),8,0)))</f>
        <v/>
      </c>
      <c r="AI254" s="115" t="str">
        <f t="shared" ref="AI254:AI285" si="182">IF(OR(AND($AA254&lt;&gt;"a",$AA254&lt;&gt;"b"),$AE254="",$AH254&lt;&gt;0),"",IF(AND($AE254&gt;=$AI$2,$AA254="a"),2,IF(AND($AE254&gt;=$AI$2,$AA254="b"),7,0)))</f>
        <v/>
      </c>
      <c r="AJ254" s="115" t="str">
        <f t="shared" ref="AJ254:AJ285" si="183">IF(OR(AND($AA254&lt;&gt;"a",$AA254&lt;&gt;"b"),$AE254="",$AI254&lt;&gt;0),"",IF(AND($AE254&gt;=$AJ$2,$AA254="a"),1,IF(AND($AE254&gt;=$AJ$2,$AA254="b"),6,0)))</f>
        <v/>
      </c>
      <c r="AK254" s="115" t="str">
        <f t="shared" ref="AK254:AK285" si="184">IF(OR(AND($AA254&lt;&gt;"e",$AA254&lt;&gt;"f"),$AE254=""),"",IF(AND($AE254&gt;=$AK$2,OR($AA254="e",$AA254="f"),$AC254="b",$AD254="b"),26,IF(AND($AE254&gt;$AK$2,OR($AA254="e",$AA254="f"),$AC254="b",$AD254="c"),28,IF(AND($AE254&gt;$AK$2,OR($AA254="e",$AA254="f"),$AC254="c",$AD254="b"),19,IF(AND($AE254&gt;$AK$2,OR($AA254="e",$AA254="f"),$AC254="c",$AD254="c"),24,0)))))</f>
        <v/>
      </c>
      <c r="AL254" s="115" t="str">
        <f t="shared" ref="AL254:AL285" si="185">IF(OR(AND($AA254&lt;&gt;"e",$AA254&lt;&gt;"f"),$AE254="",$AK254&lt;&gt;0),"",IF(AND($AE254&gt;=$AL$2,OR($AA254="e",$AA254="f"),$AC254="b",$AD254="b"),26,IF(AND($AE254&gt;$AL$2,OR($AA254="e",$AA254="f"),$AC254="b",$AD254="c"),28,IF(AND($AE254&gt;$AL$2,OR($AA254="e",$AA254="f"),$AC254="c",$AD254="b"),18,IF(AND($AE254&gt;$AL$2,OR($AA254="e",$AA254="f"),$AC254="c",$AD254="c"),24,0)))))</f>
        <v/>
      </c>
      <c r="AM254" s="115" t="str">
        <f t="shared" ref="AM254:AM285" si="186">IF(OR(AND($AA254&lt;&gt;"e",$AA254&lt;&gt;"f"),$AE254="",$AL254&lt;&gt;0),"",IF(AND($AE254&gt;=$AM$2,OR($AA254="e",$AA254="f"),$AC254="b",$AD254="b"),25,IF(AND($AE254&gt;$AM$2,OR($AA254="e",$AA254="f"),$AC254="b",$AD254="c"),28,IF(AND($AE254&gt;$AM$2,OR($AA254="e",$AA254="f"),$AC254="c",$AD254="b"),17,IF(AND($AE254&gt;$AM$2,OR($AA254="e",$AA254="f"),$AC254="c",$AD254="c"),23,0)))))</f>
        <v/>
      </c>
      <c r="AN254" s="115" t="str">
        <f t="shared" ref="AN254:AN285" si="187">IF(OR(AND($AA254&lt;&gt;"e",$AA254&lt;&gt;"f"),$AE254="",$AM254&lt;&gt;0),"",IF(AND($AE254&gt;=$AN$2,OR($AA254="e",$AA254="f"),$AC254="b",$AD254="b"),25,IF(AND($AE254&gt;$AN$2,OR($AA254="e",$AA254="f"),$AC254="b",$AD254="c"),27,IF(AND($AE254&gt;$AN$2,OR($AA254="e",$AA254="f"),$AC254="c",$AD254="b"),16,IF(AND($AE254&gt;$AN$2,OR($AA254="e",$AA254="f"),$AC254="c",$AD254="c"),22,0)))))</f>
        <v/>
      </c>
      <c r="AO254" s="115" t="str">
        <f t="shared" ref="AO254:AO285" si="188">IF(OR(AND($AA254&lt;&gt;"e",$AA254&lt;&gt;"f"),$AE254="",$AN254&lt;&gt;0),"",IF(AND($AE254&gt;=$AO$2,OR($AA254="e",$AA254="f"),$AC254="b",$AD254="b"),25,IF(AND($AE254&gt;$AO$2,OR($AA254="e",$AA254="f"),$AC254="b",$AD254="c"),27,IF(AND($AE254&gt;$AO$2,OR($AA254="e",$AA254="f"),$AC254="c",$AD254="b"),16,IF(AND($AE254&gt;$AO$2,OR($AA254="e",$AA254="f"),$AC254="c",$AD254="c"),21,0)))))</f>
        <v/>
      </c>
      <c r="AP254" s="115" t="str">
        <f t="shared" ref="AP254:AP285" si="189">IF(OR(AND($AA254&lt;&gt;"e",$AA254&lt;&gt;"f"),$AE254="",$AO254&lt;&gt;0),"",IF(AND($AE254&gt;=$AP$2,OR($AA254="e",$AA254="f"),$AC254="b",$AD254="b"),25,IF(AND($AE254&gt;$AP$2,OR($AA254="e",$AA254="f"),$AC254="b",$AD254="c"),27,IF(AND($AE254&gt;$AP$2,OR($AA254="e",$AA254="f"),$AC254="c",$AD254="b"),15,IF(AND($AE254&gt;$AP$2,OR($AA254="e",$AA254="f"),$AC254="c",$AD254="c"),20,0)))))</f>
        <v/>
      </c>
      <c r="AQ254" s="115" t="str">
        <f t="shared" ref="AQ254:AQ285" si="190">IF(OR(AND($AA254&lt;&gt;"g",$AA254&lt;&gt;"h"),$AE254=""),"",IF(AND($AE254&gt;=$AQ$2,$AA254="g"),33,IF(AND($AE254&gt;=$AQ$2,$AA254="h",$AB254="b"),38,IF(AND($AE254&gt;=$AQ$2,$AA254="h",$AB254&lt;&gt;"b"),43,0))))</f>
        <v/>
      </c>
      <c r="AR254" s="115" t="str">
        <f t="shared" ref="AR254:AR285" si="191">IF(OR(AND($AA254&lt;&gt;"g",$AA254&lt;&gt;"h"),$AE254="",$AQ254&lt;&gt;0),"",IF(AND($AE254&gt;=$AR$2,$AA254="g"),32,IF(AND($AE254&gt;=$AR$2,$AA254="h",$AB254="b"),37,IF(AND($AE254&gt;=$AR$2,$AA254="h",$AB254&lt;&gt;"b"),42,0))))</f>
        <v/>
      </c>
      <c r="AS254" s="115" t="str">
        <f>IF(OR(AND($AA254&lt;&gt;"g",$AA254&lt;&gt;"h"),$AE254="",$AR254&lt;&gt;0),"",IF(AND($AE254&gt;=$AS$2,$AA254="g"),31,IF(AND($AE254&gt;=$AS$2,$AA254="h",$AB254="b"),36,IF(AND($AE254&gt;=$AS$2,$AA254="h",$AB254&lt;&gt;"b"),41,0))))</f>
        <v/>
      </c>
      <c r="AT254" s="115" t="str">
        <f t="shared" ref="AT254:AT285" si="192">IF(OR(AND($AA254&lt;&gt;"g",$AA254&lt;&gt;"h"),$AE254="",$AS254&lt;&gt;0),"",IF(AND($AE254&gt;=$AT$2,$AA254="g"),30,IF(AND($AE254&gt;=$AT$2,$AA254="h",$AB254="b"),35,IF(AND($AE254&gt;=$AT$2,$AA254="h",$AB254&lt;&gt;"b"),40,0))))</f>
        <v/>
      </c>
      <c r="AU254" s="115" t="str">
        <f t="shared" ref="AU254:AU285" si="193">IF(OR(AND($AA254&lt;&gt;"g",$AA254&lt;&gt;"h"),$AE254="",$AT254&lt;&gt;0),"",IF(AND($AE254&gt;=$AU$2,$AA254="g"),29,IF(AND($AE254&gt;=$AU$2,$AA254="h",$AB254="b"),34,IF(AND($AE254&gt;=$AU$2,$AA254="h",$AB254&lt;&gt;"b"),39,0))))</f>
        <v/>
      </c>
      <c r="AV254" s="115" t="str">
        <f t="shared" ref="AV254:AV285" si="194">IF($AE254="","",IF(AND($Z254="c",$AA254="c"),10,IF(AND($Z254="a",$AA254="c"),11,IF(AND($Z254="c",$AA254="d"),12,IF(AND($Z254="a",$AA254="d"),13,"")))))</f>
        <v/>
      </c>
      <c r="AW254" s="113">
        <f t="shared" ref="AW254:AW285" si="195">SUM($AF254:$AV254)</f>
        <v>0</v>
      </c>
      <c r="AX254" s="113" t="str">
        <f>IF(AND($Z254="b",OR($AA254="a",$AA254="b"),Inventory!$I10="",$AE254&lt;(65000/12000)),"x",IF(AND($Z254="b",OR($AA254="a",$AA254="b"),Inventory!$I10&lt;&gt;"",$AE254&lt;(65000/12000)),VLOOKUP(Inventory!$I261,$V$4:$W$5,2,FALSE),"x"))</f>
        <v>x</v>
      </c>
      <c r="AY254" s="312" t="str">
        <f t="shared" ref="AY254:AY285" si="196">CONCATENATE($Z254,$AA254,$AB254,$AC254,$AD254,$AW254)</f>
        <v>aaa0</v>
      </c>
      <c r="AZ254" s="313" t="str">
        <f t="shared" ref="AZ254:AZ317" si="197">IF($AA254="c","Yes","No")</f>
        <v>No</v>
      </c>
      <c r="BA254" s="731" t="str">
        <f t="shared" ref="BA254:BA317" si="198">IF($AA254="d","Yes","No")</f>
        <v>No</v>
      </c>
      <c r="BB254" s="313">
        <f>IF($Z254="c",Inventory!$AB10,Inventory!$K10)</f>
        <v>0</v>
      </c>
      <c r="BC254" s="314">
        <f>IF(AND($Z254="b",Inventory!$N10="Btu/hr"),Inventory!$M10,IF(AND($Z254="b",Inventory!$N10="Tons"),Inventory!$M10*12000,IF(AND($Z254&lt;&gt;"b",Inventory!$AK10="Btu/hr"),Inventory!$AD10,IF(AND($Z254&lt;&gt;"b",Inventory!$AK10="Tons"),Inventory!$AD10*12000,0))))</f>
        <v>0</v>
      </c>
      <c r="BD254" s="314">
        <f t="shared" ref="BD254:BD285" si="199">IF(BC254=0,0,IF($BC254&lt;7000,7000,IF($BC254&gt;15000,15000,$BC254)))</f>
        <v>0</v>
      </c>
      <c r="BE254" s="315">
        <f>IF(OR(AND($AZ254="No",$BA254="No"),$BC254=0),0,IF(AND($Z254&lt;&gt;"b",$AZ254="Yes",$BB254="Yes"),13.8-(0.3*$BD254/1000),IF(AND($Z254&lt;&gt;"b",$AZ254="Yes",$BB254="No"),10.9-(0.213*$BD254/1000),IF(AND($Z254="b",$AZ254="Yes"),12.5-(0.213*$BD254/1000),IF(AND($Z254&lt;&gt;"b",$BA254="Yes",$BB254="Yes"),14-(0.3*$BD254/1000),IF(AND($Z254&lt;&gt;"b",$BA254="Yes",$BB254="No"),10.8-(0.213*$BD254/1000),IF(AND($Z254="b",$BA254="Yes"),12.3-(0.213*$BD254/1000),0)))))))</f>
        <v>0</v>
      </c>
      <c r="BF254" s="313" t="s">
        <v>50</v>
      </c>
      <c r="BG254" s="315">
        <f t="shared" ref="BG254:BG285" si="200">IFERROR(12/$BE254,0)</f>
        <v>0</v>
      </c>
      <c r="BH254" s="313" t="s">
        <v>46</v>
      </c>
      <c r="BI254" s="732">
        <f>IF(AND($Z254="b",Inventory!$P10="Btu/hr"),Inventory!$O10,IF(AND($Z254="b",Inventory!$P10="Tons"),Inventory!$O10*12000,IF(AND($Z254&lt;&gt;"b",Inventory!$AM10="Btu/hr"),Inventory!$AL10,IF(AND($Z254&lt;&gt;"b",Inventory!$AM10="Tons"),Inventory!$AL10*12000,0))))</f>
        <v>0</v>
      </c>
      <c r="BJ254" s="732">
        <f t="shared" ref="BJ254:BJ302" si="201">IF(BI254=0,0,IF($BI254&lt;7000,7000,IF($BI254&gt;15000,15000,$BI254)))</f>
        <v>0</v>
      </c>
      <c r="BK254" s="605">
        <f t="shared" ref="BK254:BK317" si="202">IF(OR($BA254="No",$BI254=0),0,IF(AND($Z254&lt;&gt;"b",$BA254="Yes",$BB254="Yes"),3.7-(0.052*$BJ254/1000),IF(AND($Z254&lt;&gt;"b",$BA254="Yes",$BB254="No"),2.9-(0.026*$BJ254/1000),IF(AND($Z254="b",$BA254="Yes"),3.2-(0.026*$BJ254/1000),0))))</f>
        <v>0</v>
      </c>
      <c r="BL254" s="731" t="s">
        <v>567</v>
      </c>
      <c r="BM254" s="313" t="str">
        <f t="shared" ref="BM254:BM285" si="203">IF($Z254="b","Yes","No")</f>
        <v>No</v>
      </c>
      <c r="BN254" s="313" t="str">
        <f>IF(OR(Inventory!$H10="",$BM254="No"),"-",Inventory!$H10)</f>
        <v>-</v>
      </c>
      <c r="BO254" s="313" t="str">
        <f>IFERROR(VLOOKUP(BN254,'Early Retirement'!$B$6:$C$33,2,FALSE),"-")</f>
        <v>-</v>
      </c>
      <c r="BP254" s="313" t="str">
        <f>IF(Inventory!$J10="Centrifugal","Yes","No")</f>
        <v>No</v>
      </c>
      <c r="BQ254" s="316">
        <f t="shared" ref="BQ254:BQ285" si="204">IF($BM254="No",0,IF($BP254="Yes",CONCATENATE($AW254,$AX254,"c"),CONCATENATE($AW254,$AX254)))</f>
        <v>0</v>
      </c>
      <c r="BR254" s="313" t="str">
        <f t="shared" ref="BR254:BR259" si="205">IFERROR(VLOOKUP($BQ254,$BQ$506:$BR$537,2,FALSE),"-")</f>
        <v>-</v>
      </c>
      <c r="BS254" s="315">
        <f>IFERROR(INDEX('Early Retirement'!$C$4:$AC$33,$BO254,$BR254),0)</f>
        <v>0</v>
      </c>
      <c r="BT254" s="313">
        <f>IFERROR(HLOOKUP($BR254,'Early Retirement'!$D$4:$AC$5,2,FALSE),0)</f>
        <v>0</v>
      </c>
      <c r="BU254" s="733">
        <f>IFERROR(INDEX('Early Retirement'!$AE$4:$BE$33,$BO254,$BR254),0)</f>
        <v>0</v>
      </c>
      <c r="BV254" s="731">
        <f>IFERROR(HLOOKUP($BR254,'Early Retirement'!$AF$4:$BE$5,2,FALSE),0)</f>
        <v>0</v>
      </c>
      <c r="BW254" s="315">
        <f t="shared" ref="BW254:BW285" si="206">IF($BT254="SEER",12/($BS254*0.697+2.0394),IF($BT254="EER",12/$BS254,IF($BT254="kW/ton",$BS254,0)))</f>
        <v>0</v>
      </c>
      <c r="BX254" s="733">
        <f t="shared" ref="BX254:BX317" si="207">IF(OR($BV254="SEER",$BV254="IEER (EER)",$BV254="IPLV (EER)"),12/$BU254,IF($BV254="IPLV (kW/ton)",$BU254,0))</f>
        <v>0</v>
      </c>
      <c r="BY254" s="313" t="s">
        <v>46</v>
      </c>
      <c r="BZ254" s="605">
        <f>IFERROR(INDEX('Early Retirement'!$BG$4:$CG$33,$BO254,$BR254),0)</f>
        <v>0</v>
      </c>
      <c r="CA254" s="731">
        <f>IFERROR(HLOOKUP($BR254,'Early Retirement'!$BH$4:$CH$5,2,FALSE),0)</f>
        <v>0</v>
      </c>
      <c r="CB254" s="605">
        <f t="shared" ref="CB254:CB317" si="208">IF($CA254="HSPF",$BZ254/3.412,IF($CA254="COP",$BZ254,0))</f>
        <v>0</v>
      </c>
      <c r="CC254" s="731" t="s">
        <v>567</v>
      </c>
      <c r="CD254" s="313" t="str">
        <f t="shared" ref="CD254:CD285" si="209">IF(AND($AZ254="No",$BM254="No"),"Yes","No")</f>
        <v>Yes</v>
      </c>
      <c r="CE254" s="315">
        <f t="shared" ref="CE254:CE317" si="210">IF($CD254="Yes",IFERROR(VLOOKUP($AY254,$CP:$CW,6,FALSE),0),0)</f>
        <v>0</v>
      </c>
      <c r="CF254" s="733">
        <f t="shared" ref="CF254:CF317" si="211">IF($CD254="Yes",IFERROR(VLOOKUP($AY254,$CP:$CW,7,FALSE),0),0)</f>
        <v>0</v>
      </c>
      <c r="CG254" s="731" t="s">
        <v>46</v>
      </c>
      <c r="CH254" s="605">
        <f>IF($CD254="Yes",IFERROR(VLOOKUP($AY254,$CP:$DA,11,FALSE),0),0)</f>
        <v>0</v>
      </c>
      <c r="CI254" s="731" t="s">
        <v>567</v>
      </c>
      <c r="CJ254" s="317">
        <f t="shared" ref="CJ254:CJ285" si="212">MAX($BG254,$BW254,$CE254)</f>
        <v>0</v>
      </c>
      <c r="CK254" s="600">
        <f t="shared" ref="CK254:CK317" si="213">MAX($BG254,$BX254,$CF254)</f>
        <v>0</v>
      </c>
      <c r="CL254" s="593" t="s">
        <v>46</v>
      </c>
      <c r="CM254" s="591">
        <f t="shared" ref="CM254:CM317" si="214">MAX($BK254,$CB254,$CH254)</f>
        <v>0</v>
      </c>
      <c r="CN254" s="734" t="s">
        <v>567</v>
      </c>
      <c r="CW254" s="630"/>
      <c r="CX254" s="630"/>
      <c r="CY254" s="630"/>
      <c r="CZ254" s="630"/>
      <c r="DA254" s="630"/>
    </row>
    <row r="255" spans="2:105" s="78" customFormat="1" ht="15" customHeight="1" x14ac:dyDescent="0.25">
      <c r="B255" s="77"/>
      <c r="E255" s="77"/>
      <c r="H255" s="77"/>
      <c r="Y255" s="90">
        <v>2</v>
      </c>
      <c r="Z255" s="307" t="str">
        <f>IF(Inventory!$C11="","",VLOOKUP(Inventory!$C11,$B$7:$C$9,2,FALSE))</f>
        <v/>
      </c>
      <c r="AA255" s="307" t="str">
        <f>IF($Z255="","",IF(AND($Z255="b",Inventory!$G11=""),"",IF(AND($Z255="b",Inventory!$G11&lt;&gt;""),VLOOKUP(Inventory!$G11,$E$3:$F$10,2,FALSE),IF(AND($Z255="a",Inventory!$Z11=""),"",IF(AND($Z255="a",Inventory!$Z11&lt;&gt;""),VLOOKUP(Inventory!$Z11,$E$3:$F$10,2,FALSE),IF(AND($Z255="c",Inventory!$Z11=""),"",IF(AND($Z255="c",Inventory!$Z11&lt;&gt;""),VLOOKUP(Inventory!$Z11,$E$3:$F$10,2,FALSE),"")))))))</f>
        <v/>
      </c>
      <c r="AB255" s="307" t="str">
        <f>IF($Z255="","a",IF(AND($Z255="b",Inventory!$J11=""),"a",IF(AND($Z255="b",Inventory!$J11&lt;&gt;""),VLOOKUP(Inventory!$J11,$H$4:$I$6,2,FALSE),IF(AND($Z255="a",Inventory!$AA11=""),"a",IF(AND($Z255="a",Inventory!$AA11&lt;&gt;""),VLOOKUP(Inventory!$AA11,$H$4:$I$6,2,FALSE),IF(AND($Z255="c",Inventory!$AA11=""),"a",IF(AND($Z255="c",Inventory!$AA11&lt;&gt;""),VLOOKUP(Inventory!$AA11,$H$4:$I$6,2,FALSE),"a")))))))</f>
        <v>a</v>
      </c>
      <c r="AC255" s="307" t="str">
        <f t="shared" si="178"/>
        <v>a</v>
      </c>
      <c r="AD255" s="93" t="str">
        <f>IF($Z255="","a",IF(AND($Z255="b",Inventory!$L11=""),"a",IF(AND($Z255="b",Inventory!$L11&lt;&gt;""),VLOOKUP(Inventory!$L11,$N$4:$O$5,2,FALSE),IF(AND($Z255="a",Inventory!$AC11=""),"a",IF(AND($Z255="a",Inventory!$AC11&lt;&gt;""),VLOOKUP(Inventory!$AC11,$N$4:$O$5,2,FALSE),IF(AND($Z255="c",Inventory!$AC11=""),"a",IF(AND($Z255="c",Inventory!$AC11&lt;&gt;""),VLOOKUP(Inventory!$AC11,$N$4:$O$5,2,FALSE),"a")))))))</f>
        <v>a</v>
      </c>
      <c r="AE255" s="116">
        <f>IF(OR(Inventory!C11="New Construction",Inventory!C11="Replace-on-Burnout"),Inventory!AF11,IF(Inventory!C11="Early Retirement",MIN(Inventory!AE11,Inventory!AF11),0))</f>
        <v>0</v>
      </c>
      <c r="AF255" s="117" t="str">
        <f t="shared" si="179"/>
        <v/>
      </c>
      <c r="AG255" s="117" t="str">
        <f t="shared" si="180"/>
        <v/>
      </c>
      <c r="AH255" s="117" t="str">
        <f t="shared" si="181"/>
        <v/>
      </c>
      <c r="AI255" s="117" t="str">
        <f t="shared" si="182"/>
        <v/>
      </c>
      <c r="AJ255" s="117" t="str">
        <f t="shared" si="183"/>
        <v/>
      </c>
      <c r="AK255" s="117" t="str">
        <f t="shared" si="184"/>
        <v/>
      </c>
      <c r="AL255" s="117" t="str">
        <f t="shared" si="185"/>
        <v/>
      </c>
      <c r="AM255" s="117" t="str">
        <f t="shared" si="186"/>
        <v/>
      </c>
      <c r="AN255" s="117" t="str">
        <f t="shared" si="187"/>
        <v/>
      </c>
      <c r="AO255" s="117" t="str">
        <f t="shared" si="188"/>
        <v/>
      </c>
      <c r="AP255" s="117" t="str">
        <f t="shared" si="189"/>
        <v/>
      </c>
      <c r="AQ255" s="117" t="str">
        <f t="shared" si="190"/>
        <v/>
      </c>
      <c r="AR255" s="117" t="str">
        <f t="shared" si="191"/>
        <v/>
      </c>
      <c r="AS255" s="117" t="str">
        <f t="shared" ref="AS255:AS318" si="215">IF(OR(AND($AA255&lt;&gt;"g",$AA255&lt;&gt;"h"),$AE255="",$AR255&lt;&gt;0),"",IF(AND($AE255&gt;=$AS$2,$AA255="g"),31,IF(AND($AE255&gt;=$AS$2,$AA255="h",$AB255="b"),36,IF(AND($AE255&gt;=$AS$2,$AA255="h",$AB255&lt;&gt;"b"),41,0))))</f>
        <v/>
      </c>
      <c r="AT255" s="117" t="str">
        <f t="shared" si="192"/>
        <v/>
      </c>
      <c r="AU255" s="117" t="str">
        <f t="shared" si="193"/>
        <v/>
      </c>
      <c r="AV255" s="117" t="str">
        <f t="shared" si="194"/>
        <v/>
      </c>
      <c r="AW255" s="93">
        <f t="shared" si="195"/>
        <v>0</v>
      </c>
      <c r="AX255" s="93" t="str">
        <f>IF(AND($Z255="b",OR($AA255="a",$AA255="b"),Inventory!$I11="",$AE255&lt;(65000/12000)),"x",IF(AND($Z255="b",OR($AA255="a",$AA255="b"),Inventory!$I11&lt;&gt;"",$AE255&lt;(65000/12000)),VLOOKUP(Inventory!$I262,$V$4:$W$5,2,FALSE),"x"))</f>
        <v>x</v>
      </c>
      <c r="AY255" s="146" t="str">
        <f t="shared" si="196"/>
        <v>aaa0</v>
      </c>
      <c r="AZ255" s="150" t="str">
        <f t="shared" si="197"/>
        <v>No</v>
      </c>
      <c r="BA255" s="669" t="str">
        <f t="shared" si="198"/>
        <v>No</v>
      </c>
      <c r="BB255" s="150">
        <f>IF($Z255="c",Inventory!$AB11,Inventory!$K11)</f>
        <v>0</v>
      </c>
      <c r="BC255" s="153">
        <f>IF(AND($Z255="b",Inventory!$N11="Btu/hr"),Inventory!$M11,IF(AND($Z255="b",Inventory!$N11="Tons"),Inventory!$M11*12000,IF(AND($Z255&lt;&gt;"b",Inventory!$AK11="Btu/hr"),Inventory!$AD11,IF(AND($Z255&lt;&gt;"b",Inventory!$AK11="Tons"),Inventory!$AD11*12000,0))))</f>
        <v>0</v>
      </c>
      <c r="BD255" s="153">
        <f t="shared" si="199"/>
        <v>0</v>
      </c>
      <c r="BE255" s="159">
        <f t="shared" ref="BE255:BE318" si="216">IF(OR(AND($AZ255="No",$BA255="No"),$BC255=0),0,IF(AND($Z255&lt;&gt;"b",$AZ255="Yes",$BB255="Yes"),13.8-(0.3*$BD255/1000),IF(AND($Z255&lt;&gt;"b",$AZ255="Yes",$BB255="No"),10.9-(0.213*$BD255/1000),IF(AND($Z255="b",$AZ255="Yes"),12.5-(0.213*$BD255/1000),IF(AND($Z255&lt;&gt;"b",$BA255="Yes",$BB255="Yes"),14-(0.3*$BD255/1000),IF(AND($Z255&lt;&gt;"b",$BA255="Yes",$BB255="No"),10.8-(0.213*$BD255/1000),IF(AND($Z255="b",$BA255="Yes"),12.3-(0.213*$BD255/1000),0)))))))</f>
        <v>0</v>
      </c>
      <c r="BF255" s="150" t="s">
        <v>50</v>
      </c>
      <c r="BG255" s="159">
        <f t="shared" si="200"/>
        <v>0</v>
      </c>
      <c r="BH255" s="150" t="s">
        <v>46</v>
      </c>
      <c r="BI255" s="672">
        <f>IF(AND($Z255="b",Inventory!$P11="Btu/hr"),Inventory!$O11,IF(AND($Z255="b",Inventory!$P11="Tons"),Inventory!$O11*12000,IF(AND($Z255&lt;&gt;"b",Inventory!$AM11="Btu/hr"),Inventory!$AL11,IF(AND($Z255&lt;&gt;"b",Inventory!$AM11="Tons"),Inventory!$AL11*12000,0))))</f>
        <v>0</v>
      </c>
      <c r="BJ255" s="672">
        <f t="shared" si="201"/>
        <v>0</v>
      </c>
      <c r="BK255" s="608">
        <f t="shared" si="202"/>
        <v>0</v>
      </c>
      <c r="BL255" s="669" t="s">
        <v>567</v>
      </c>
      <c r="BM255" s="150" t="str">
        <f t="shared" si="203"/>
        <v>No</v>
      </c>
      <c r="BN255" s="150" t="str">
        <f>IF(OR(Inventory!$H11="",$BM255="No"),"-",Inventory!$H11)</f>
        <v>-</v>
      </c>
      <c r="BO255" s="150" t="str">
        <f>IFERROR(VLOOKUP(BN255,'Early Retirement'!$B$6:$C$33,2,FALSE),"-")</f>
        <v>-</v>
      </c>
      <c r="BP255" s="150" t="str">
        <f>IF(Inventory!$J11="Centrifugal","Yes","No")</f>
        <v>No</v>
      </c>
      <c r="BQ255" s="150">
        <f t="shared" si="204"/>
        <v>0</v>
      </c>
      <c r="BR255" s="150" t="str">
        <f t="shared" si="205"/>
        <v>-</v>
      </c>
      <c r="BS255" s="159">
        <f>IFERROR(INDEX('Early Retirement'!$C$4:$AC$33,$BO255,$BR255),0)</f>
        <v>0</v>
      </c>
      <c r="BT255" s="150">
        <f>IFERROR(HLOOKUP($BR255,'Early Retirement'!$D$4:$AC$5,2,FALSE),0)</f>
        <v>0</v>
      </c>
      <c r="BU255" s="678">
        <f>IFERROR(INDEX('Early Retirement'!$AE$4:$BE$33,$BO255,$BR255),0)</f>
        <v>0</v>
      </c>
      <c r="BV255" s="669">
        <f>IFERROR(HLOOKUP($BR255,'Early Retirement'!$AF$4:$BE$5,2,FALSE),0)</f>
        <v>0</v>
      </c>
      <c r="BW255" s="159">
        <f t="shared" si="206"/>
        <v>0</v>
      </c>
      <c r="BX255" s="678">
        <f t="shared" si="207"/>
        <v>0</v>
      </c>
      <c r="BY255" s="150" t="s">
        <v>46</v>
      </c>
      <c r="BZ255" s="608">
        <f>IFERROR(INDEX('Early Retirement'!$BG$4:$CG$33,$BO255,$BR255),0)</f>
        <v>0</v>
      </c>
      <c r="CA255" s="669">
        <f>IFERROR(HLOOKUP($BR255,'Early Retirement'!$BH$4:$CH$5,2,FALSE),0)</f>
        <v>0</v>
      </c>
      <c r="CB255" s="608">
        <f t="shared" si="208"/>
        <v>0</v>
      </c>
      <c r="CC255" s="669" t="s">
        <v>567</v>
      </c>
      <c r="CD255" s="150" t="str">
        <f t="shared" si="209"/>
        <v>Yes</v>
      </c>
      <c r="CE255" s="159">
        <f t="shared" si="210"/>
        <v>0</v>
      </c>
      <c r="CF255" s="678">
        <f t="shared" si="211"/>
        <v>0</v>
      </c>
      <c r="CG255" s="669" t="s">
        <v>46</v>
      </c>
      <c r="CH255" s="608">
        <f t="shared" ref="CH255:CH318" si="217">IF($CD255="Yes",IFERROR(VLOOKUP($AY255,$CP:$DA,11,FALSE),0),0)</f>
        <v>0</v>
      </c>
      <c r="CI255" s="669" t="s">
        <v>567</v>
      </c>
      <c r="CJ255" s="162">
        <f t="shared" si="212"/>
        <v>0</v>
      </c>
      <c r="CK255" s="602">
        <f t="shared" si="213"/>
        <v>0</v>
      </c>
      <c r="CL255" s="610" t="s">
        <v>46</v>
      </c>
      <c r="CM255" s="592">
        <f t="shared" si="214"/>
        <v>0</v>
      </c>
      <c r="CN255" s="665" t="s">
        <v>567</v>
      </c>
      <c r="CW255" s="630"/>
      <c r="CX255" s="630"/>
      <c r="CY255" s="630"/>
      <c r="CZ255" s="630"/>
      <c r="DA255" s="630"/>
    </row>
    <row r="256" spans="2:105" s="78" customFormat="1" ht="15" customHeight="1" x14ac:dyDescent="0.25">
      <c r="B256" s="77"/>
      <c r="H256" s="77"/>
      <c r="Y256" s="90">
        <v>3</v>
      </c>
      <c r="Z256" s="307" t="str">
        <f>IF(Inventory!$C12="","",VLOOKUP(Inventory!$C12,$B$7:$C$9,2,FALSE))</f>
        <v/>
      </c>
      <c r="AA256" s="307" t="str">
        <f>IF($Z256="","",IF(AND($Z256="b",Inventory!$G12=""),"",IF(AND($Z256="b",Inventory!$G12&lt;&gt;""),VLOOKUP(Inventory!$G12,$E$3:$F$10,2,FALSE),IF(AND($Z256="a",Inventory!$Z12=""),"",IF(AND($Z256="a",Inventory!$Z12&lt;&gt;""),VLOOKUP(Inventory!$Z12,$E$3:$F$10,2,FALSE),IF(AND($Z256="c",Inventory!$Z12=""),"",IF(AND($Z256="c",Inventory!$Z12&lt;&gt;""),VLOOKUP(Inventory!$Z12,$E$3:$F$10,2,FALSE),"")))))))</f>
        <v/>
      </c>
      <c r="AB256" s="307" t="str">
        <f>IF($Z256="","a",IF(AND($Z256="b",Inventory!$J12=""),"a",IF(AND($Z256="b",Inventory!$J12&lt;&gt;""),VLOOKUP(Inventory!$J12,$H$4:$I$6,2,FALSE),IF(AND($Z256="a",Inventory!$AA12=""),"a",IF(AND($Z256="a",Inventory!$AA12&lt;&gt;""),VLOOKUP(Inventory!$AA12,$H$4:$I$6,2,FALSE),IF(AND($Z256="c",Inventory!$AA12=""),"a",IF(AND($Z256="c",Inventory!$AA12&lt;&gt;""),VLOOKUP(Inventory!$AA12,$H$4:$I$6,2,FALSE),"a")))))))</f>
        <v>a</v>
      </c>
      <c r="AC256" s="307" t="str">
        <f t="shared" si="178"/>
        <v>a</v>
      </c>
      <c r="AD256" s="93" t="str">
        <f>IF($Z256="","a",IF(AND($Z256="b",Inventory!$L12=""),"a",IF(AND($Z256="b",Inventory!$L12&lt;&gt;""),VLOOKUP(Inventory!$L12,$N$4:$O$5,2,FALSE),IF(AND($Z256="a",Inventory!$AC12=""),"a",IF(AND($Z256="a",Inventory!$AC12&lt;&gt;""),VLOOKUP(Inventory!$AC12,$N$4:$O$5,2,FALSE),IF(AND($Z256="c",Inventory!$AC12=""),"a",IF(AND($Z256="c",Inventory!$AC12&lt;&gt;""),VLOOKUP(Inventory!$AC12,$N$4:$O$5,2,FALSE),"a")))))))</f>
        <v>a</v>
      </c>
      <c r="AE256" s="116">
        <f>IF(OR(Inventory!C12="New Construction",Inventory!C12="Replace-on-Burnout"),Inventory!AF12,IF(Inventory!C12="Early Retirement",MIN(Inventory!AE12,Inventory!AF12),0))</f>
        <v>0</v>
      </c>
      <c r="AF256" s="117" t="str">
        <f t="shared" si="179"/>
        <v/>
      </c>
      <c r="AG256" s="117" t="str">
        <f t="shared" si="180"/>
        <v/>
      </c>
      <c r="AH256" s="117" t="str">
        <f t="shared" si="181"/>
        <v/>
      </c>
      <c r="AI256" s="117" t="str">
        <f t="shared" si="182"/>
        <v/>
      </c>
      <c r="AJ256" s="117" t="str">
        <f t="shared" si="183"/>
        <v/>
      </c>
      <c r="AK256" s="117" t="str">
        <f t="shared" si="184"/>
        <v/>
      </c>
      <c r="AL256" s="117" t="str">
        <f t="shared" si="185"/>
        <v/>
      </c>
      <c r="AM256" s="117" t="str">
        <f t="shared" si="186"/>
        <v/>
      </c>
      <c r="AN256" s="117" t="str">
        <f t="shared" si="187"/>
        <v/>
      </c>
      <c r="AO256" s="117" t="str">
        <f t="shared" si="188"/>
        <v/>
      </c>
      <c r="AP256" s="117" t="str">
        <f t="shared" si="189"/>
        <v/>
      </c>
      <c r="AQ256" s="117" t="str">
        <f t="shared" si="190"/>
        <v/>
      </c>
      <c r="AR256" s="117" t="str">
        <f t="shared" si="191"/>
        <v/>
      </c>
      <c r="AS256" s="117" t="str">
        <f t="shared" si="215"/>
        <v/>
      </c>
      <c r="AT256" s="117" t="str">
        <f t="shared" si="192"/>
        <v/>
      </c>
      <c r="AU256" s="117" t="str">
        <f t="shared" si="193"/>
        <v/>
      </c>
      <c r="AV256" s="117" t="str">
        <f t="shared" si="194"/>
        <v/>
      </c>
      <c r="AW256" s="112">
        <f t="shared" si="195"/>
        <v>0</v>
      </c>
      <c r="AX256" s="112" t="str">
        <f>IF(AND($Z256="b",OR($AA256="a",$AA256="b"),Inventory!$I12="",$AE256&lt;(65000/12000)),"x",IF(AND($Z256="b",OR($AA256="a",$AA256="b"),Inventory!$I12&lt;&gt;"",$AE256&lt;(65000/12000)),VLOOKUP(Inventory!$I263,$V$4:$W$5,2,FALSE),"x"))</f>
        <v>x</v>
      </c>
      <c r="AY256" s="146" t="str">
        <f t="shared" si="196"/>
        <v>aaa0</v>
      </c>
      <c r="AZ256" s="150" t="str">
        <f t="shared" si="197"/>
        <v>No</v>
      </c>
      <c r="BA256" s="669" t="str">
        <f t="shared" si="198"/>
        <v>No</v>
      </c>
      <c r="BB256" s="150">
        <f>IF($Z256="c",Inventory!$AB12,Inventory!$K12)</f>
        <v>0</v>
      </c>
      <c r="BC256" s="153">
        <f>IF(AND($Z256="b",Inventory!$N12="Btu/hr"),Inventory!$M12,IF(AND($Z256="b",Inventory!$N12="Tons"),Inventory!$M12*12000,IF(AND($Z256&lt;&gt;"b",Inventory!$AK12="Btu/hr"),Inventory!$AD12,IF(AND($Z256&lt;&gt;"b",Inventory!$AK12="Tons"),Inventory!$AD12*12000,0))))</f>
        <v>0</v>
      </c>
      <c r="BD256" s="153">
        <f t="shared" si="199"/>
        <v>0</v>
      </c>
      <c r="BE256" s="159">
        <f t="shared" si="216"/>
        <v>0</v>
      </c>
      <c r="BF256" s="150" t="s">
        <v>50</v>
      </c>
      <c r="BG256" s="159">
        <f t="shared" si="200"/>
        <v>0</v>
      </c>
      <c r="BH256" s="150" t="s">
        <v>46</v>
      </c>
      <c r="BI256" s="672">
        <f>IF(AND($Z256="b",Inventory!$P12="Btu/hr"),Inventory!$O12,IF(AND($Z256="b",Inventory!$P12="Tons"),Inventory!$O12*12000,IF(AND($Z256&lt;&gt;"b",Inventory!$AM12="Btu/hr"),Inventory!$AL12,IF(AND($Z256&lt;&gt;"b",Inventory!$AM12="Tons"),Inventory!$AL12*12000,0))))</f>
        <v>0</v>
      </c>
      <c r="BJ256" s="672">
        <f t="shared" si="201"/>
        <v>0</v>
      </c>
      <c r="BK256" s="608">
        <f t="shared" si="202"/>
        <v>0</v>
      </c>
      <c r="BL256" s="669" t="s">
        <v>567</v>
      </c>
      <c r="BM256" s="150" t="str">
        <f t="shared" si="203"/>
        <v>No</v>
      </c>
      <c r="BN256" s="150" t="str">
        <f>IF(OR(Inventory!$H12="",$BM256="No"),"-",Inventory!$H12)</f>
        <v>-</v>
      </c>
      <c r="BO256" s="150" t="str">
        <f>IFERROR(VLOOKUP(BN256,'Early Retirement'!$B$6:$C$33,2,FALSE),"-")</f>
        <v>-</v>
      </c>
      <c r="BP256" s="150" t="str">
        <f>IF(Inventory!$J12="Centrifugal","Yes","No")</f>
        <v>No</v>
      </c>
      <c r="BQ256" s="150">
        <f t="shared" si="204"/>
        <v>0</v>
      </c>
      <c r="BR256" s="150" t="str">
        <f t="shared" si="205"/>
        <v>-</v>
      </c>
      <c r="BS256" s="159">
        <f>IFERROR(INDEX('Early Retirement'!$C$4:$AC$33,$BO256,$BR256),0)</f>
        <v>0</v>
      </c>
      <c r="BT256" s="150">
        <f>IFERROR(HLOOKUP($BR256,'Early Retirement'!$D$4:$AC$5,2,FALSE),0)</f>
        <v>0</v>
      </c>
      <c r="BU256" s="678">
        <f>IFERROR(INDEX('Early Retirement'!$AE$4:$BE$33,$BO256,$BR256),0)</f>
        <v>0</v>
      </c>
      <c r="BV256" s="669">
        <f>IFERROR(HLOOKUP($BR256,'Early Retirement'!$AF$4:$BE$5,2,FALSE),0)</f>
        <v>0</v>
      </c>
      <c r="BW256" s="159">
        <f t="shared" si="206"/>
        <v>0</v>
      </c>
      <c r="BX256" s="678">
        <f t="shared" si="207"/>
        <v>0</v>
      </c>
      <c r="BY256" s="150" t="s">
        <v>46</v>
      </c>
      <c r="BZ256" s="608">
        <f>IFERROR(INDEX('Early Retirement'!$BG$4:$CG$33,$BO256,$BR256),0)</f>
        <v>0</v>
      </c>
      <c r="CA256" s="669">
        <f>IFERROR(HLOOKUP($BR256,'Early Retirement'!$BH$4:$CH$5,2,FALSE),0)</f>
        <v>0</v>
      </c>
      <c r="CB256" s="608">
        <f t="shared" si="208"/>
        <v>0</v>
      </c>
      <c r="CC256" s="669" t="s">
        <v>567</v>
      </c>
      <c r="CD256" s="150" t="str">
        <f t="shared" si="209"/>
        <v>Yes</v>
      </c>
      <c r="CE256" s="159">
        <f t="shared" si="210"/>
        <v>0</v>
      </c>
      <c r="CF256" s="678">
        <f t="shared" si="211"/>
        <v>0</v>
      </c>
      <c r="CG256" s="669" t="s">
        <v>46</v>
      </c>
      <c r="CH256" s="608">
        <f t="shared" si="217"/>
        <v>0</v>
      </c>
      <c r="CI256" s="669" t="s">
        <v>567</v>
      </c>
      <c r="CJ256" s="162">
        <f t="shared" si="212"/>
        <v>0</v>
      </c>
      <c r="CK256" s="602">
        <f t="shared" si="213"/>
        <v>0</v>
      </c>
      <c r="CL256" s="610" t="s">
        <v>46</v>
      </c>
      <c r="CM256" s="592">
        <f t="shared" si="214"/>
        <v>0</v>
      </c>
      <c r="CN256" s="665" t="s">
        <v>567</v>
      </c>
      <c r="CW256" s="630"/>
      <c r="CX256" s="630"/>
      <c r="CY256" s="630"/>
      <c r="CZ256" s="630"/>
      <c r="DA256" s="630"/>
    </row>
    <row r="257" spans="2:105" s="78" customFormat="1" ht="15" customHeight="1" x14ac:dyDescent="0.25">
      <c r="B257" s="77"/>
      <c r="H257" s="77"/>
      <c r="Y257" s="90">
        <v>4</v>
      </c>
      <c r="Z257" s="307" t="str">
        <f>IF(Inventory!$C13="","",VLOOKUP(Inventory!$C13,$B$7:$C$9,2,FALSE))</f>
        <v/>
      </c>
      <c r="AA257" s="307" t="str">
        <f>IF($Z257="","",IF(AND($Z257="b",Inventory!$G13=""),"",IF(AND($Z257="b",Inventory!$G13&lt;&gt;""),VLOOKUP(Inventory!$G13,$E$3:$F$10,2,FALSE),IF(AND($Z257="a",Inventory!$Z13=""),"",IF(AND($Z257="a",Inventory!$Z13&lt;&gt;""),VLOOKUP(Inventory!$Z13,$E$3:$F$10,2,FALSE),IF(AND($Z257="c",Inventory!$Z13=""),"",IF(AND($Z257="c",Inventory!$Z13&lt;&gt;""),VLOOKUP(Inventory!$Z13,$E$3:$F$10,2,FALSE),"")))))))</f>
        <v/>
      </c>
      <c r="AB257" s="307" t="str">
        <f>IF($Z257="","a",IF(AND($Z257="b",Inventory!$J13=""),"a",IF(AND($Z257="b",Inventory!$J13&lt;&gt;""),VLOOKUP(Inventory!$J13,$H$4:$I$6,2,FALSE),IF(AND($Z257="a",Inventory!$AA13=""),"a",IF(AND($Z257="a",Inventory!$AA13&lt;&gt;""),VLOOKUP(Inventory!$AA13,$H$4:$I$6,2,FALSE),IF(AND($Z257="c",Inventory!$AA13=""),"a",IF(AND($Z257="c",Inventory!$AA13&lt;&gt;""),VLOOKUP(Inventory!$AA13,$H$4:$I$6,2,FALSE),"a")))))))</f>
        <v>a</v>
      </c>
      <c r="AC257" s="307" t="str">
        <f t="shared" si="178"/>
        <v>a</v>
      </c>
      <c r="AD257" s="93" t="str">
        <f>IF($Z257="","a",IF(AND($Z257="b",Inventory!$L13=""),"a",IF(AND($Z257="b",Inventory!$L13&lt;&gt;""),VLOOKUP(Inventory!$L13,$N$4:$O$5,2,FALSE),IF(AND($Z257="a",Inventory!$AC13=""),"a",IF(AND($Z257="a",Inventory!$AC13&lt;&gt;""),VLOOKUP(Inventory!$AC13,$N$4:$O$5,2,FALSE),IF(AND($Z257="c",Inventory!$AC13=""),"a",IF(AND($Z257="c",Inventory!$AC13&lt;&gt;""),VLOOKUP(Inventory!$AC13,$N$4:$O$5,2,FALSE),"a")))))))</f>
        <v>a</v>
      </c>
      <c r="AE257" s="116">
        <f>IF(OR(Inventory!C13="New Construction",Inventory!C13="Replace-on-Burnout"),Inventory!AF13,IF(Inventory!C13="Early Retirement",MIN(Inventory!AE13,Inventory!AF13),0))</f>
        <v>0</v>
      </c>
      <c r="AF257" s="117" t="str">
        <f t="shared" si="179"/>
        <v/>
      </c>
      <c r="AG257" s="117" t="str">
        <f t="shared" si="180"/>
        <v/>
      </c>
      <c r="AH257" s="117" t="str">
        <f t="shared" si="181"/>
        <v/>
      </c>
      <c r="AI257" s="117" t="str">
        <f t="shared" si="182"/>
        <v/>
      </c>
      <c r="AJ257" s="117" t="str">
        <f t="shared" si="183"/>
        <v/>
      </c>
      <c r="AK257" s="117" t="str">
        <f t="shared" si="184"/>
        <v/>
      </c>
      <c r="AL257" s="117" t="str">
        <f t="shared" si="185"/>
        <v/>
      </c>
      <c r="AM257" s="117" t="str">
        <f t="shared" si="186"/>
        <v/>
      </c>
      <c r="AN257" s="117" t="str">
        <f t="shared" si="187"/>
        <v/>
      </c>
      <c r="AO257" s="117" t="str">
        <f t="shared" si="188"/>
        <v/>
      </c>
      <c r="AP257" s="117" t="str">
        <f t="shared" si="189"/>
        <v/>
      </c>
      <c r="AQ257" s="117" t="str">
        <f t="shared" si="190"/>
        <v/>
      </c>
      <c r="AR257" s="117" t="str">
        <f t="shared" si="191"/>
        <v/>
      </c>
      <c r="AS257" s="117" t="str">
        <f t="shared" si="215"/>
        <v/>
      </c>
      <c r="AT257" s="117" t="str">
        <f t="shared" si="192"/>
        <v/>
      </c>
      <c r="AU257" s="117" t="str">
        <f t="shared" si="193"/>
        <v/>
      </c>
      <c r="AV257" s="117" t="str">
        <f t="shared" si="194"/>
        <v/>
      </c>
      <c r="AW257" s="93">
        <f t="shared" si="195"/>
        <v>0</v>
      </c>
      <c r="AX257" s="93" t="str">
        <f>IF(AND($Z257="b",OR($AA257="a",$AA257="b"),Inventory!$I13="",$AE257&lt;(65000/12000)),"x",IF(AND($Z257="b",OR($AA257="a",$AA257="b"),Inventory!$I13&lt;&gt;"",$AE257&lt;(65000/12000)),VLOOKUP(Inventory!$I264,$V$4:$W$5,2,FALSE),"x"))</f>
        <v>x</v>
      </c>
      <c r="AY257" s="146" t="str">
        <f t="shared" si="196"/>
        <v>aaa0</v>
      </c>
      <c r="AZ257" s="150" t="str">
        <f t="shared" si="197"/>
        <v>No</v>
      </c>
      <c r="BA257" s="669" t="str">
        <f t="shared" si="198"/>
        <v>No</v>
      </c>
      <c r="BB257" s="150">
        <f>IF($Z257="c",Inventory!$AB13,Inventory!$K13)</f>
        <v>0</v>
      </c>
      <c r="BC257" s="153">
        <f>IF(AND($Z257="b",Inventory!$N13="Btu/hr"),Inventory!$M13,IF(AND($Z257="b",Inventory!$N13="Tons"),Inventory!$M13*12000,IF(AND($Z257&lt;&gt;"b",Inventory!$AK13="Btu/hr"),Inventory!$AD13,IF(AND($Z257&lt;&gt;"b",Inventory!$AK13="Tons"),Inventory!$AD13*12000,0))))</f>
        <v>0</v>
      </c>
      <c r="BD257" s="153">
        <f t="shared" si="199"/>
        <v>0</v>
      </c>
      <c r="BE257" s="159">
        <f t="shared" si="216"/>
        <v>0</v>
      </c>
      <c r="BF257" s="150" t="s">
        <v>50</v>
      </c>
      <c r="BG257" s="159">
        <f t="shared" si="200"/>
        <v>0</v>
      </c>
      <c r="BH257" s="150" t="s">
        <v>46</v>
      </c>
      <c r="BI257" s="672">
        <f>IF(AND($Z257="b",Inventory!$P13="Btu/hr"),Inventory!$O13,IF(AND($Z257="b",Inventory!$P13="Tons"),Inventory!$O13*12000,IF(AND($Z257&lt;&gt;"b",Inventory!$AM13="Btu/hr"),Inventory!$AL13,IF(AND($Z257&lt;&gt;"b",Inventory!$AM13="Tons"),Inventory!$AL13*12000,0))))</f>
        <v>0</v>
      </c>
      <c r="BJ257" s="672">
        <f t="shared" si="201"/>
        <v>0</v>
      </c>
      <c r="BK257" s="608">
        <f t="shared" si="202"/>
        <v>0</v>
      </c>
      <c r="BL257" s="669" t="s">
        <v>567</v>
      </c>
      <c r="BM257" s="150" t="str">
        <f t="shared" si="203"/>
        <v>No</v>
      </c>
      <c r="BN257" s="150" t="str">
        <f>IF(OR(Inventory!$H13="",$BM257="No"),"-",Inventory!$H13)</f>
        <v>-</v>
      </c>
      <c r="BO257" s="150" t="str">
        <f>IFERROR(VLOOKUP(BN257,'Early Retirement'!$B$6:$C$33,2,FALSE),"-")</f>
        <v>-</v>
      </c>
      <c r="BP257" s="150" t="str">
        <f>IF(Inventory!$J13="Centrifugal","Yes","No")</f>
        <v>No</v>
      </c>
      <c r="BQ257" s="150">
        <f t="shared" si="204"/>
        <v>0</v>
      </c>
      <c r="BR257" s="150" t="str">
        <f t="shared" si="205"/>
        <v>-</v>
      </c>
      <c r="BS257" s="159">
        <f>IFERROR(INDEX('Early Retirement'!$C$4:$AC$33,$BO257,$BR257),0)</f>
        <v>0</v>
      </c>
      <c r="BT257" s="150">
        <f>IFERROR(HLOOKUP($BR257,'Early Retirement'!$D$4:$AC$5,2,FALSE),0)</f>
        <v>0</v>
      </c>
      <c r="BU257" s="678">
        <f>IFERROR(INDEX('Early Retirement'!$AE$4:$BE$33,$BO257,$BR257),0)</f>
        <v>0</v>
      </c>
      <c r="BV257" s="669">
        <f>IFERROR(HLOOKUP($BR257,'Early Retirement'!$AF$4:$BE$5,2,FALSE),0)</f>
        <v>0</v>
      </c>
      <c r="BW257" s="159">
        <f t="shared" si="206"/>
        <v>0</v>
      </c>
      <c r="BX257" s="678">
        <f t="shared" si="207"/>
        <v>0</v>
      </c>
      <c r="BY257" s="150" t="s">
        <v>46</v>
      </c>
      <c r="BZ257" s="608">
        <f>IFERROR(INDEX('Early Retirement'!$BG$4:$CG$33,$BO257,$BR257),0)</f>
        <v>0</v>
      </c>
      <c r="CA257" s="669">
        <f>IFERROR(HLOOKUP($BR257,'Early Retirement'!$BH$4:$CH$5,2,FALSE),0)</f>
        <v>0</v>
      </c>
      <c r="CB257" s="608">
        <f t="shared" si="208"/>
        <v>0</v>
      </c>
      <c r="CC257" s="669" t="s">
        <v>567</v>
      </c>
      <c r="CD257" s="150" t="str">
        <f t="shared" si="209"/>
        <v>Yes</v>
      </c>
      <c r="CE257" s="159">
        <f t="shared" si="210"/>
        <v>0</v>
      </c>
      <c r="CF257" s="678">
        <f t="shared" si="211"/>
        <v>0</v>
      </c>
      <c r="CG257" s="669" t="s">
        <v>46</v>
      </c>
      <c r="CH257" s="608">
        <f t="shared" si="217"/>
        <v>0</v>
      </c>
      <c r="CI257" s="669" t="s">
        <v>567</v>
      </c>
      <c r="CJ257" s="162">
        <f t="shared" si="212"/>
        <v>0</v>
      </c>
      <c r="CK257" s="602">
        <f t="shared" si="213"/>
        <v>0</v>
      </c>
      <c r="CL257" s="610" t="s">
        <v>46</v>
      </c>
      <c r="CM257" s="592">
        <f t="shared" si="214"/>
        <v>0</v>
      </c>
      <c r="CN257" s="665" t="s">
        <v>567</v>
      </c>
      <c r="CW257" s="630"/>
      <c r="CX257" s="630"/>
      <c r="CY257" s="630"/>
      <c r="CZ257" s="630"/>
      <c r="DA257" s="630"/>
    </row>
    <row r="258" spans="2:105" s="78" customFormat="1" ht="15" customHeight="1" x14ac:dyDescent="0.25">
      <c r="B258" s="77"/>
      <c r="E258" s="77"/>
      <c r="H258" s="77"/>
      <c r="Y258" s="90">
        <v>5</v>
      </c>
      <c r="Z258" s="307" t="str">
        <f>IF(Inventory!$C14="","",VLOOKUP(Inventory!$C14,$B$7:$C$9,2,FALSE))</f>
        <v/>
      </c>
      <c r="AA258" s="307" t="str">
        <f>IF($Z258="","",IF(AND($Z258="b",Inventory!$G14=""),"",IF(AND($Z258="b",Inventory!$G14&lt;&gt;""),VLOOKUP(Inventory!$G14,$E$3:$F$10,2,FALSE),IF(AND($Z258="a",Inventory!$Z14=""),"",IF(AND($Z258="a",Inventory!$Z14&lt;&gt;""),VLOOKUP(Inventory!$Z14,$E$3:$F$10,2,FALSE),IF(AND($Z258="c",Inventory!$Z14=""),"",IF(AND($Z258="c",Inventory!$Z14&lt;&gt;""),VLOOKUP(Inventory!$Z14,$E$3:$F$10,2,FALSE),"")))))))</f>
        <v/>
      </c>
      <c r="AB258" s="307" t="str">
        <f>IF($Z258="","a",IF(AND($Z258="b",Inventory!$J14=""),"a",IF(AND($Z258="b",Inventory!$J14&lt;&gt;""),VLOOKUP(Inventory!$J14,$H$4:$I$6,2,FALSE),IF(AND($Z258="a",Inventory!$AA14=""),"a",IF(AND($Z258="a",Inventory!$AA14&lt;&gt;""),VLOOKUP(Inventory!$AA14,$H$4:$I$6,2,FALSE),IF(AND($Z258="c",Inventory!$AA14=""),"a",IF(AND($Z258="c",Inventory!$AA14&lt;&gt;""),VLOOKUP(Inventory!$AA14,$H$4:$I$6,2,FALSE),"a")))))))</f>
        <v>a</v>
      </c>
      <c r="AC258" s="307" t="str">
        <f t="shared" si="178"/>
        <v>a</v>
      </c>
      <c r="AD258" s="93" t="str">
        <f>IF($Z258="","a",IF(AND($Z258="b",Inventory!$L14=""),"a",IF(AND($Z258="b",Inventory!$L14&lt;&gt;""),VLOOKUP(Inventory!$L14,$N$4:$O$5,2,FALSE),IF(AND($Z258="a",Inventory!$AC14=""),"a",IF(AND($Z258="a",Inventory!$AC14&lt;&gt;""),VLOOKUP(Inventory!$AC14,$N$4:$O$5,2,FALSE),IF(AND($Z258="c",Inventory!$AC14=""),"a",IF(AND($Z258="c",Inventory!$AC14&lt;&gt;""),VLOOKUP(Inventory!$AC14,$N$4:$O$5,2,FALSE),"a")))))))</f>
        <v>a</v>
      </c>
      <c r="AE258" s="116">
        <f>IF(OR(Inventory!C14="New Construction",Inventory!C14="Replace-on-Burnout"),Inventory!AF14,IF(Inventory!C14="Early Retirement",MIN(Inventory!AE14,Inventory!AF14),0))</f>
        <v>0</v>
      </c>
      <c r="AF258" s="117" t="str">
        <f t="shared" si="179"/>
        <v/>
      </c>
      <c r="AG258" s="117" t="str">
        <f t="shared" si="180"/>
        <v/>
      </c>
      <c r="AH258" s="117" t="str">
        <f t="shared" si="181"/>
        <v/>
      </c>
      <c r="AI258" s="117" t="str">
        <f t="shared" si="182"/>
        <v/>
      </c>
      <c r="AJ258" s="117" t="str">
        <f t="shared" si="183"/>
        <v/>
      </c>
      <c r="AK258" s="117" t="str">
        <f t="shared" si="184"/>
        <v/>
      </c>
      <c r="AL258" s="117" t="str">
        <f t="shared" si="185"/>
        <v/>
      </c>
      <c r="AM258" s="117" t="str">
        <f t="shared" si="186"/>
        <v/>
      </c>
      <c r="AN258" s="117" t="str">
        <f t="shared" si="187"/>
        <v/>
      </c>
      <c r="AO258" s="117" t="str">
        <f t="shared" si="188"/>
        <v/>
      </c>
      <c r="AP258" s="117" t="str">
        <f t="shared" si="189"/>
        <v/>
      </c>
      <c r="AQ258" s="117" t="str">
        <f t="shared" si="190"/>
        <v/>
      </c>
      <c r="AR258" s="117" t="str">
        <f t="shared" si="191"/>
        <v/>
      </c>
      <c r="AS258" s="117" t="str">
        <f t="shared" si="215"/>
        <v/>
      </c>
      <c r="AT258" s="117" t="str">
        <f t="shared" si="192"/>
        <v/>
      </c>
      <c r="AU258" s="117" t="str">
        <f t="shared" si="193"/>
        <v/>
      </c>
      <c r="AV258" s="117" t="str">
        <f t="shared" si="194"/>
        <v/>
      </c>
      <c r="AW258" s="93">
        <f t="shared" si="195"/>
        <v>0</v>
      </c>
      <c r="AX258" s="93" t="str">
        <f>IF(AND($Z258="b",OR($AA258="a",$AA258="b"),Inventory!$I14="",$AE258&lt;(65000/12000)),"x",IF(AND($Z258="b",OR($AA258="a",$AA258="b"),Inventory!$I14&lt;&gt;"",$AE258&lt;(65000/12000)),VLOOKUP(Inventory!$I265,$V$4:$W$5,2,FALSE),"x"))</f>
        <v>x</v>
      </c>
      <c r="AY258" s="146" t="str">
        <f t="shared" si="196"/>
        <v>aaa0</v>
      </c>
      <c r="AZ258" s="150" t="str">
        <f t="shared" si="197"/>
        <v>No</v>
      </c>
      <c r="BA258" s="669" t="str">
        <f t="shared" si="198"/>
        <v>No</v>
      </c>
      <c r="BB258" s="150">
        <f>IF($Z258="c",Inventory!$AB14,Inventory!$K14)</f>
        <v>0</v>
      </c>
      <c r="BC258" s="153">
        <f>IF(AND($Z258="b",Inventory!$N14="Btu/hr"),Inventory!$M14,IF(AND($Z258="b",Inventory!$N14="Tons"),Inventory!$M14*12000,IF(AND($Z258&lt;&gt;"b",Inventory!$AK14="Btu/hr"),Inventory!$AD14,IF(AND($Z258&lt;&gt;"b",Inventory!$AK14="Tons"),Inventory!$AD14*12000,0))))</f>
        <v>0</v>
      </c>
      <c r="BD258" s="153">
        <f t="shared" si="199"/>
        <v>0</v>
      </c>
      <c r="BE258" s="159">
        <f t="shared" si="216"/>
        <v>0</v>
      </c>
      <c r="BF258" s="150" t="s">
        <v>50</v>
      </c>
      <c r="BG258" s="159">
        <f t="shared" si="200"/>
        <v>0</v>
      </c>
      <c r="BH258" s="150" t="s">
        <v>46</v>
      </c>
      <c r="BI258" s="672">
        <f>IF(AND($Z258="b",Inventory!$P14="Btu/hr"),Inventory!$O14,IF(AND($Z258="b",Inventory!$P14="Tons"),Inventory!$O14*12000,IF(AND($Z258&lt;&gt;"b",Inventory!$AM14="Btu/hr"),Inventory!$AL14,IF(AND($Z258&lt;&gt;"b",Inventory!$AM14="Tons"),Inventory!$AL14*12000,0))))</f>
        <v>0</v>
      </c>
      <c r="BJ258" s="672">
        <f t="shared" si="201"/>
        <v>0</v>
      </c>
      <c r="BK258" s="608">
        <f t="shared" si="202"/>
        <v>0</v>
      </c>
      <c r="BL258" s="669" t="s">
        <v>567</v>
      </c>
      <c r="BM258" s="150" t="str">
        <f t="shared" si="203"/>
        <v>No</v>
      </c>
      <c r="BN258" s="150" t="str">
        <f>IF(OR(Inventory!$H14="",$BM258="No"),"-",Inventory!$H14)</f>
        <v>-</v>
      </c>
      <c r="BO258" s="150" t="str">
        <f>IFERROR(VLOOKUP(BN258,'Early Retirement'!$B$6:$C$33,2,FALSE),"-")</f>
        <v>-</v>
      </c>
      <c r="BP258" s="150" t="str">
        <f>IF(Inventory!$J14="Centrifugal","Yes","No")</f>
        <v>No</v>
      </c>
      <c r="BQ258" s="150">
        <f t="shared" si="204"/>
        <v>0</v>
      </c>
      <c r="BR258" s="150" t="str">
        <f t="shared" si="205"/>
        <v>-</v>
      </c>
      <c r="BS258" s="159">
        <f>IFERROR(INDEX('Early Retirement'!$C$4:$AC$33,$BO258,$BR258),0)</f>
        <v>0</v>
      </c>
      <c r="BT258" s="150">
        <f>IFERROR(HLOOKUP($BR258,'Early Retirement'!$D$4:$AC$5,2,FALSE),0)</f>
        <v>0</v>
      </c>
      <c r="BU258" s="678">
        <f>IFERROR(INDEX('Early Retirement'!$AE$4:$BE$33,$BO258,$BR258),0)</f>
        <v>0</v>
      </c>
      <c r="BV258" s="669">
        <f>IFERROR(HLOOKUP($BR258,'Early Retirement'!$AF$4:$BE$5,2,FALSE),0)</f>
        <v>0</v>
      </c>
      <c r="BW258" s="159">
        <f t="shared" si="206"/>
        <v>0</v>
      </c>
      <c r="BX258" s="678">
        <f t="shared" si="207"/>
        <v>0</v>
      </c>
      <c r="BY258" s="150" t="s">
        <v>46</v>
      </c>
      <c r="BZ258" s="608">
        <f>IFERROR(INDEX('Early Retirement'!$BG$4:$CG$33,$BO258,$BR258),0)</f>
        <v>0</v>
      </c>
      <c r="CA258" s="669">
        <f>IFERROR(HLOOKUP($BR258,'Early Retirement'!$BH$4:$CH$5,2,FALSE),0)</f>
        <v>0</v>
      </c>
      <c r="CB258" s="608">
        <f t="shared" si="208"/>
        <v>0</v>
      </c>
      <c r="CC258" s="669" t="s">
        <v>567</v>
      </c>
      <c r="CD258" s="150" t="str">
        <f t="shared" si="209"/>
        <v>Yes</v>
      </c>
      <c r="CE258" s="159">
        <f t="shared" si="210"/>
        <v>0</v>
      </c>
      <c r="CF258" s="678">
        <f t="shared" si="211"/>
        <v>0</v>
      </c>
      <c r="CG258" s="669" t="s">
        <v>46</v>
      </c>
      <c r="CH258" s="608">
        <f t="shared" si="217"/>
        <v>0</v>
      </c>
      <c r="CI258" s="669" t="s">
        <v>567</v>
      </c>
      <c r="CJ258" s="162">
        <f t="shared" si="212"/>
        <v>0</v>
      </c>
      <c r="CK258" s="602">
        <f t="shared" si="213"/>
        <v>0</v>
      </c>
      <c r="CL258" s="610" t="s">
        <v>46</v>
      </c>
      <c r="CM258" s="592">
        <f t="shared" si="214"/>
        <v>0</v>
      </c>
      <c r="CN258" s="665" t="s">
        <v>567</v>
      </c>
      <c r="CW258" s="630"/>
      <c r="CX258" s="630"/>
      <c r="CY258" s="630"/>
      <c r="CZ258" s="630"/>
      <c r="DA258" s="630"/>
    </row>
    <row r="259" spans="2:105" s="78" customFormat="1" ht="15" customHeight="1" x14ac:dyDescent="0.25">
      <c r="B259" s="77"/>
      <c r="E259" s="77"/>
      <c r="H259" s="77"/>
      <c r="Y259" s="90">
        <v>6</v>
      </c>
      <c r="Z259" s="307" t="str">
        <f>IF(Inventory!$C15="","",VLOOKUP(Inventory!$C15,$B$7:$C$9,2,FALSE))</f>
        <v/>
      </c>
      <c r="AA259" s="307" t="str">
        <f>IF($Z259="","",IF(AND($Z259="b",Inventory!$G15=""),"",IF(AND($Z259="b",Inventory!$G15&lt;&gt;""),VLOOKUP(Inventory!$G15,$E$3:$F$10,2,FALSE),IF(AND($Z259="a",Inventory!$Z15=""),"",IF(AND($Z259="a",Inventory!$Z15&lt;&gt;""),VLOOKUP(Inventory!$Z15,$E$3:$F$10,2,FALSE),IF(AND($Z259="c",Inventory!$Z15=""),"",IF(AND($Z259="c",Inventory!$Z15&lt;&gt;""),VLOOKUP(Inventory!$Z15,$E$3:$F$10,2,FALSE),"")))))))</f>
        <v/>
      </c>
      <c r="AB259" s="307" t="str">
        <f>IF($Z259="","a",IF(AND($Z259="b",Inventory!$J15=""),"a",IF(AND($Z259="b",Inventory!$J15&lt;&gt;""),VLOOKUP(Inventory!$J15,$H$4:$I$6,2,FALSE),IF(AND($Z259="a",Inventory!$AA15=""),"a",IF(AND($Z259="a",Inventory!$AA15&lt;&gt;""),VLOOKUP(Inventory!$AA15,$H$4:$I$6,2,FALSE),IF(AND($Z259="c",Inventory!$AA15=""),"a",IF(AND($Z259="c",Inventory!$AA15&lt;&gt;""),VLOOKUP(Inventory!$AA15,$H$4:$I$6,2,FALSE),"a")))))))</f>
        <v>a</v>
      </c>
      <c r="AC259" s="307" t="str">
        <f t="shared" si="178"/>
        <v>a</v>
      </c>
      <c r="AD259" s="93" t="str">
        <f>IF($Z259="","a",IF(AND($Z259="b",Inventory!$L15=""),"a",IF(AND($Z259="b",Inventory!$L15&lt;&gt;""),VLOOKUP(Inventory!$L15,$N$4:$O$5,2,FALSE),IF(AND($Z259="a",Inventory!$AC15=""),"a",IF(AND($Z259="a",Inventory!$AC15&lt;&gt;""),VLOOKUP(Inventory!$AC15,$N$4:$O$5,2,FALSE),IF(AND($Z259="c",Inventory!$AC15=""),"a",IF(AND($Z259="c",Inventory!$AC15&lt;&gt;""),VLOOKUP(Inventory!$AC15,$N$4:$O$5,2,FALSE),"a")))))))</f>
        <v>a</v>
      </c>
      <c r="AE259" s="116">
        <f>IF(OR(Inventory!C15="New Construction",Inventory!C15="Replace-on-Burnout"),Inventory!AF15,IF(Inventory!C15="Early Retirement",MIN(Inventory!AE15,Inventory!AF15),0))</f>
        <v>0</v>
      </c>
      <c r="AF259" s="117" t="str">
        <f t="shared" si="179"/>
        <v/>
      </c>
      <c r="AG259" s="117" t="str">
        <f t="shared" si="180"/>
        <v/>
      </c>
      <c r="AH259" s="117" t="str">
        <f t="shared" si="181"/>
        <v/>
      </c>
      <c r="AI259" s="117" t="str">
        <f t="shared" si="182"/>
        <v/>
      </c>
      <c r="AJ259" s="117" t="str">
        <f t="shared" si="183"/>
        <v/>
      </c>
      <c r="AK259" s="117" t="str">
        <f t="shared" si="184"/>
        <v/>
      </c>
      <c r="AL259" s="117" t="str">
        <f t="shared" si="185"/>
        <v/>
      </c>
      <c r="AM259" s="117" t="str">
        <f t="shared" si="186"/>
        <v/>
      </c>
      <c r="AN259" s="117" t="str">
        <f t="shared" si="187"/>
        <v/>
      </c>
      <c r="AO259" s="117" t="str">
        <f t="shared" si="188"/>
        <v/>
      </c>
      <c r="AP259" s="117" t="str">
        <f t="shared" si="189"/>
        <v/>
      </c>
      <c r="AQ259" s="117" t="str">
        <f t="shared" si="190"/>
        <v/>
      </c>
      <c r="AR259" s="117" t="str">
        <f t="shared" si="191"/>
        <v/>
      </c>
      <c r="AS259" s="117" t="str">
        <f t="shared" si="215"/>
        <v/>
      </c>
      <c r="AT259" s="117" t="str">
        <f t="shared" si="192"/>
        <v/>
      </c>
      <c r="AU259" s="117" t="str">
        <f t="shared" si="193"/>
        <v/>
      </c>
      <c r="AV259" s="117" t="str">
        <f t="shared" si="194"/>
        <v/>
      </c>
      <c r="AW259" s="93">
        <f t="shared" si="195"/>
        <v>0</v>
      </c>
      <c r="AX259" s="93" t="str">
        <f>IF(AND($Z259="b",OR($AA259="a",$AA259="b"),Inventory!$I15="",$AE259&lt;(65000/12000)),"x",IF(AND($Z259="b",OR($AA259="a",$AA259="b"),Inventory!$I15&lt;&gt;"",$AE259&lt;(65000/12000)),VLOOKUP(Inventory!$I266,$V$4:$W$5,2,FALSE),"x"))</f>
        <v>x</v>
      </c>
      <c r="AY259" s="146" t="str">
        <f t="shared" si="196"/>
        <v>aaa0</v>
      </c>
      <c r="AZ259" s="150" t="str">
        <f t="shared" si="197"/>
        <v>No</v>
      </c>
      <c r="BA259" s="669" t="str">
        <f t="shared" si="198"/>
        <v>No</v>
      </c>
      <c r="BB259" s="150">
        <f>IF($Z259="c",Inventory!$AB15,Inventory!$K15)</f>
        <v>0</v>
      </c>
      <c r="BC259" s="153">
        <f>IF(AND($Z259="b",Inventory!$N15="Btu/hr"),Inventory!$M15,IF(AND($Z259="b",Inventory!$N15="Tons"),Inventory!$M15*12000,IF(AND($Z259&lt;&gt;"b",Inventory!$AK15="Btu/hr"),Inventory!$AD15,IF(AND($Z259&lt;&gt;"b",Inventory!$AK15="Tons"),Inventory!$AD15*12000,0))))</f>
        <v>0</v>
      </c>
      <c r="BD259" s="153">
        <f t="shared" si="199"/>
        <v>0</v>
      </c>
      <c r="BE259" s="159">
        <f t="shared" si="216"/>
        <v>0</v>
      </c>
      <c r="BF259" s="150" t="s">
        <v>50</v>
      </c>
      <c r="BG259" s="159">
        <f t="shared" si="200"/>
        <v>0</v>
      </c>
      <c r="BH259" s="150" t="s">
        <v>46</v>
      </c>
      <c r="BI259" s="672">
        <f>IF(AND($Z259="b",Inventory!$P15="Btu/hr"),Inventory!$O15,IF(AND($Z259="b",Inventory!$P15="Tons"),Inventory!$O15*12000,IF(AND($Z259&lt;&gt;"b",Inventory!$AM15="Btu/hr"),Inventory!$AL15,IF(AND($Z259&lt;&gt;"b",Inventory!$AM15="Tons"),Inventory!$AL15*12000,0))))</f>
        <v>0</v>
      </c>
      <c r="BJ259" s="672">
        <f t="shared" si="201"/>
        <v>0</v>
      </c>
      <c r="BK259" s="608">
        <f t="shared" si="202"/>
        <v>0</v>
      </c>
      <c r="BL259" s="669" t="s">
        <v>567</v>
      </c>
      <c r="BM259" s="150" t="str">
        <f t="shared" si="203"/>
        <v>No</v>
      </c>
      <c r="BN259" s="150" t="str">
        <f>IF(OR(Inventory!$H15="",$BM259="No"),"-",Inventory!$H15)</f>
        <v>-</v>
      </c>
      <c r="BO259" s="150" t="str">
        <f>IFERROR(VLOOKUP(BN259,'Early Retirement'!$B$6:$C$33,2,FALSE),"-")</f>
        <v>-</v>
      </c>
      <c r="BP259" s="150" t="str">
        <f>IF(Inventory!$J15="Centrifugal","Yes","No")</f>
        <v>No</v>
      </c>
      <c r="BQ259" s="150">
        <f t="shared" si="204"/>
        <v>0</v>
      </c>
      <c r="BR259" s="150" t="str">
        <f t="shared" si="205"/>
        <v>-</v>
      </c>
      <c r="BS259" s="159">
        <f>IFERROR(INDEX('Early Retirement'!$C$4:$AC$33,$BO259,$BR259),0)</f>
        <v>0</v>
      </c>
      <c r="BT259" s="150">
        <f>IFERROR(HLOOKUP($BR259,'Early Retirement'!$D$4:$AC$5,2,FALSE),0)</f>
        <v>0</v>
      </c>
      <c r="BU259" s="678">
        <f>IFERROR(INDEX('Early Retirement'!$AE$4:$BE$33,$BO259,$BR259),0)</f>
        <v>0</v>
      </c>
      <c r="BV259" s="669">
        <f>IFERROR(HLOOKUP($BR259,'Early Retirement'!$AF$4:$BE$5,2,FALSE),0)</f>
        <v>0</v>
      </c>
      <c r="BW259" s="159">
        <f t="shared" si="206"/>
        <v>0</v>
      </c>
      <c r="BX259" s="678">
        <f t="shared" si="207"/>
        <v>0</v>
      </c>
      <c r="BY259" s="150" t="s">
        <v>46</v>
      </c>
      <c r="BZ259" s="608">
        <f>IFERROR(INDEX('Early Retirement'!$BG$4:$CG$33,$BO259,$BR259),0)</f>
        <v>0</v>
      </c>
      <c r="CA259" s="669">
        <f>IFERROR(HLOOKUP($BR259,'Early Retirement'!$BH$4:$CH$5,2,FALSE),0)</f>
        <v>0</v>
      </c>
      <c r="CB259" s="608">
        <f t="shared" si="208"/>
        <v>0</v>
      </c>
      <c r="CC259" s="669" t="s">
        <v>567</v>
      </c>
      <c r="CD259" s="150" t="str">
        <f t="shared" si="209"/>
        <v>Yes</v>
      </c>
      <c r="CE259" s="159">
        <f t="shared" si="210"/>
        <v>0</v>
      </c>
      <c r="CF259" s="678">
        <f t="shared" si="211"/>
        <v>0</v>
      </c>
      <c r="CG259" s="669" t="s">
        <v>46</v>
      </c>
      <c r="CH259" s="608">
        <f t="shared" si="217"/>
        <v>0</v>
      </c>
      <c r="CI259" s="669" t="s">
        <v>567</v>
      </c>
      <c r="CJ259" s="162">
        <f t="shared" si="212"/>
        <v>0</v>
      </c>
      <c r="CK259" s="602">
        <f t="shared" si="213"/>
        <v>0</v>
      </c>
      <c r="CL259" s="610" t="s">
        <v>46</v>
      </c>
      <c r="CM259" s="592">
        <f t="shared" si="214"/>
        <v>0</v>
      </c>
      <c r="CN259" s="665" t="s">
        <v>567</v>
      </c>
      <c r="CW259" s="630"/>
      <c r="CX259" s="630"/>
      <c r="CY259" s="630"/>
      <c r="CZ259" s="630"/>
      <c r="DA259" s="630"/>
    </row>
    <row r="260" spans="2:105" s="78" customFormat="1" ht="15" customHeight="1" x14ac:dyDescent="0.25">
      <c r="B260" s="77"/>
      <c r="H260" s="77"/>
      <c r="Y260" s="90">
        <v>7</v>
      </c>
      <c r="Z260" s="307" t="str">
        <f>IF(Inventory!$C16="","",VLOOKUP(Inventory!$C16,$B$7:$C$9,2,FALSE))</f>
        <v/>
      </c>
      <c r="AA260" s="307" t="str">
        <f>IF($Z260="","",IF(AND($Z260="b",Inventory!$G16=""),"",IF(AND($Z260="b",Inventory!$G16&lt;&gt;""),VLOOKUP(Inventory!$G16,$E$3:$F$10,2,FALSE),IF(AND($Z260="a",Inventory!$Z16=""),"",IF(AND($Z260="a",Inventory!$Z16&lt;&gt;""),VLOOKUP(Inventory!$Z16,$E$3:$F$10,2,FALSE),IF(AND($Z260="c",Inventory!$Z16=""),"",IF(AND($Z260="c",Inventory!$Z16&lt;&gt;""),VLOOKUP(Inventory!$Z16,$E$3:$F$10,2,FALSE),"")))))))</f>
        <v/>
      </c>
      <c r="AB260" s="307" t="str">
        <f>IF($Z260="","a",IF(AND($Z260="b",Inventory!$J16=""),"a",IF(AND($Z260="b",Inventory!$J16&lt;&gt;""),VLOOKUP(Inventory!$J16,$H$4:$I$6,2,FALSE),IF(AND($Z260="a",Inventory!$AA16=""),"a",IF(AND($Z260="a",Inventory!$AA16&lt;&gt;""),VLOOKUP(Inventory!$AA16,$H$4:$I$6,2,FALSE),IF(AND($Z260="c",Inventory!$AA16=""),"a",IF(AND($Z260="c",Inventory!$AA16&lt;&gt;""),VLOOKUP(Inventory!$AA16,$H$4:$I$6,2,FALSE),"a")))))))</f>
        <v>a</v>
      </c>
      <c r="AC260" s="307" t="str">
        <f t="shared" si="178"/>
        <v>a</v>
      </c>
      <c r="AD260" s="93" t="str">
        <f>IF($Z260="","a",IF(AND($Z260="b",Inventory!$L16=""),"a",IF(AND($Z260="b",Inventory!$L16&lt;&gt;""),VLOOKUP(Inventory!$L16,$N$4:$O$5,2,FALSE),IF(AND($Z260="a",Inventory!$AC16=""),"a",IF(AND($Z260="a",Inventory!$AC16&lt;&gt;""),VLOOKUP(Inventory!$AC16,$N$4:$O$5,2,FALSE),IF(AND($Z260="c",Inventory!$AC16=""),"a",IF(AND($Z260="c",Inventory!$AC16&lt;&gt;""),VLOOKUP(Inventory!$AC16,$N$4:$O$5,2,FALSE),"a")))))))</f>
        <v>a</v>
      </c>
      <c r="AE260" s="116">
        <f>IF(OR(Inventory!C16="New Construction",Inventory!C16="Replace-on-Burnout"),Inventory!AF16,IF(Inventory!C16="Early Retirement",MIN(Inventory!AE16,Inventory!AF16),0))</f>
        <v>0</v>
      </c>
      <c r="AF260" s="117" t="str">
        <f t="shared" si="179"/>
        <v/>
      </c>
      <c r="AG260" s="117" t="str">
        <f t="shared" si="180"/>
        <v/>
      </c>
      <c r="AH260" s="117" t="str">
        <f t="shared" si="181"/>
        <v/>
      </c>
      <c r="AI260" s="117" t="str">
        <f t="shared" si="182"/>
        <v/>
      </c>
      <c r="AJ260" s="117" t="str">
        <f t="shared" si="183"/>
        <v/>
      </c>
      <c r="AK260" s="117" t="str">
        <f t="shared" si="184"/>
        <v/>
      </c>
      <c r="AL260" s="117" t="str">
        <f t="shared" si="185"/>
        <v/>
      </c>
      <c r="AM260" s="117" t="str">
        <f t="shared" si="186"/>
        <v/>
      </c>
      <c r="AN260" s="117" t="str">
        <f t="shared" si="187"/>
        <v/>
      </c>
      <c r="AO260" s="117" t="str">
        <f t="shared" si="188"/>
        <v/>
      </c>
      <c r="AP260" s="117" t="str">
        <f t="shared" si="189"/>
        <v/>
      </c>
      <c r="AQ260" s="117" t="str">
        <f t="shared" si="190"/>
        <v/>
      </c>
      <c r="AR260" s="117" t="str">
        <f t="shared" si="191"/>
        <v/>
      </c>
      <c r="AS260" s="117" t="str">
        <f t="shared" si="215"/>
        <v/>
      </c>
      <c r="AT260" s="117" t="str">
        <f t="shared" si="192"/>
        <v/>
      </c>
      <c r="AU260" s="117" t="str">
        <f t="shared" si="193"/>
        <v/>
      </c>
      <c r="AV260" s="117" t="str">
        <f t="shared" si="194"/>
        <v/>
      </c>
      <c r="AW260" s="93">
        <f t="shared" si="195"/>
        <v>0</v>
      </c>
      <c r="AX260" s="93" t="str">
        <f>IF(AND($Z260="b",OR($AA260="a",$AA260="b"),Inventory!$I16="",$AE260&lt;(65000/12000)),"x",IF(AND($Z260="b",OR($AA260="a",$AA260="b"),Inventory!$I16&lt;&gt;"",$AE260&lt;(65000/12000)),VLOOKUP(Inventory!$I267,$V$4:$W$5,2,FALSE),"x"))</f>
        <v>x</v>
      </c>
      <c r="AY260" s="146" t="str">
        <f t="shared" si="196"/>
        <v>aaa0</v>
      </c>
      <c r="AZ260" s="150" t="str">
        <f t="shared" si="197"/>
        <v>No</v>
      </c>
      <c r="BA260" s="669" t="str">
        <f t="shared" si="198"/>
        <v>No</v>
      </c>
      <c r="BB260" s="150">
        <f>IF($Z260="c",Inventory!$AB16,Inventory!$K16)</f>
        <v>0</v>
      </c>
      <c r="BC260" s="153">
        <f>IF(AND($Z260="b",Inventory!$N16="Btu/hr"),Inventory!$M16,IF(AND($Z260="b",Inventory!$N16="Tons"),Inventory!$M16*12000,IF(AND($Z260&lt;&gt;"b",Inventory!$AK16="Btu/hr"),Inventory!$AD16,IF(AND($Z260&lt;&gt;"b",Inventory!$AK16="Tons"),Inventory!$AD16*12000,0))))</f>
        <v>0</v>
      </c>
      <c r="BD260" s="153">
        <f t="shared" si="199"/>
        <v>0</v>
      </c>
      <c r="BE260" s="159">
        <f t="shared" si="216"/>
        <v>0</v>
      </c>
      <c r="BF260" s="150" t="s">
        <v>50</v>
      </c>
      <c r="BG260" s="159">
        <f t="shared" si="200"/>
        <v>0</v>
      </c>
      <c r="BH260" s="150" t="s">
        <v>46</v>
      </c>
      <c r="BI260" s="672">
        <f>IF(AND($Z260="b",Inventory!$P16="Btu/hr"),Inventory!$O16,IF(AND($Z260="b",Inventory!$P16="Tons"),Inventory!$O16*12000,IF(AND($Z260&lt;&gt;"b",Inventory!$AM16="Btu/hr"),Inventory!$AL16,IF(AND($Z260&lt;&gt;"b",Inventory!$AM16="Tons"),Inventory!$AL16*12000,0))))</f>
        <v>0</v>
      </c>
      <c r="BJ260" s="672">
        <f t="shared" si="201"/>
        <v>0</v>
      </c>
      <c r="BK260" s="608">
        <f t="shared" si="202"/>
        <v>0</v>
      </c>
      <c r="BL260" s="669" t="s">
        <v>567</v>
      </c>
      <c r="BM260" s="150" t="str">
        <f t="shared" si="203"/>
        <v>No</v>
      </c>
      <c r="BN260" s="150" t="str">
        <f>IF(OR(Inventory!$H16="",$BM260="No"),"-",Inventory!$H16)</f>
        <v>-</v>
      </c>
      <c r="BO260" s="150" t="str">
        <f>IFERROR(VLOOKUP(BN260,'Early Retirement'!$B$6:$C$33,2,FALSE),"-")</f>
        <v>-</v>
      </c>
      <c r="BP260" s="150" t="str">
        <f>IF(Inventory!$J16="Centrifugal","Yes","No")</f>
        <v>No</v>
      </c>
      <c r="BQ260" s="150">
        <f t="shared" si="204"/>
        <v>0</v>
      </c>
      <c r="BR260" s="150" t="str">
        <f t="shared" ref="BR260:BR323" si="218">IFERROR(VLOOKUP($BQ260,$BQ$506:$BR$537,2,FALSE),"-")</f>
        <v>-</v>
      </c>
      <c r="BS260" s="159">
        <f>IFERROR(INDEX('Early Retirement'!$C$4:$AC$33,$BO260,$BR260),0)</f>
        <v>0</v>
      </c>
      <c r="BT260" s="150">
        <f>IFERROR(HLOOKUP($BR260,'Early Retirement'!$D$4:$AC$5,2,FALSE),0)</f>
        <v>0</v>
      </c>
      <c r="BU260" s="678">
        <f>IFERROR(INDEX('Early Retirement'!$AE$4:$BE$33,$BO260,$BR260),0)</f>
        <v>0</v>
      </c>
      <c r="BV260" s="669">
        <f>IFERROR(HLOOKUP($BR260,'Early Retirement'!$AF$4:$BE$5,2,FALSE),0)</f>
        <v>0</v>
      </c>
      <c r="BW260" s="159">
        <f t="shared" si="206"/>
        <v>0</v>
      </c>
      <c r="BX260" s="678">
        <f t="shared" si="207"/>
        <v>0</v>
      </c>
      <c r="BY260" s="150" t="s">
        <v>46</v>
      </c>
      <c r="BZ260" s="608">
        <f>IFERROR(INDEX('Early Retirement'!$BG$4:$CG$33,$BO260,$BR260),0)</f>
        <v>0</v>
      </c>
      <c r="CA260" s="669">
        <f>IFERROR(HLOOKUP($BR260,'Early Retirement'!$BH$4:$CH$5,2,FALSE),0)</f>
        <v>0</v>
      </c>
      <c r="CB260" s="608">
        <f t="shared" si="208"/>
        <v>0</v>
      </c>
      <c r="CC260" s="669" t="s">
        <v>567</v>
      </c>
      <c r="CD260" s="150" t="str">
        <f t="shared" si="209"/>
        <v>Yes</v>
      </c>
      <c r="CE260" s="159">
        <f t="shared" si="210"/>
        <v>0</v>
      </c>
      <c r="CF260" s="678">
        <f t="shared" si="211"/>
        <v>0</v>
      </c>
      <c r="CG260" s="669" t="s">
        <v>46</v>
      </c>
      <c r="CH260" s="608">
        <f t="shared" si="217"/>
        <v>0</v>
      </c>
      <c r="CI260" s="669" t="s">
        <v>567</v>
      </c>
      <c r="CJ260" s="162">
        <f t="shared" si="212"/>
        <v>0</v>
      </c>
      <c r="CK260" s="602">
        <f t="shared" si="213"/>
        <v>0</v>
      </c>
      <c r="CL260" s="610" t="s">
        <v>46</v>
      </c>
      <c r="CM260" s="592">
        <f t="shared" si="214"/>
        <v>0</v>
      </c>
      <c r="CN260" s="665" t="s">
        <v>567</v>
      </c>
      <c r="CW260" s="630"/>
      <c r="CX260" s="630"/>
      <c r="CY260" s="630"/>
      <c r="CZ260" s="630"/>
      <c r="DA260" s="630"/>
    </row>
    <row r="261" spans="2:105" s="78" customFormat="1" ht="15" customHeight="1" x14ac:dyDescent="0.25">
      <c r="B261" s="77"/>
      <c r="H261" s="77"/>
      <c r="Y261" s="90">
        <v>8</v>
      </c>
      <c r="Z261" s="307" t="str">
        <f>IF(Inventory!$C17="","",VLOOKUP(Inventory!$C17,$B$7:$C$9,2,FALSE))</f>
        <v/>
      </c>
      <c r="AA261" s="307" t="str">
        <f>IF($Z261="","",IF(AND($Z261="b",Inventory!$G17=""),"",IF(AND($Z261="b",Inventory!$G17&lt;&gt;""),VLOOKUP(Inventory!$G17,$E$3:$F$10,2,FALSE),IF(AND($Z261="a",Inventory!$Z17=""),"",IF(AND($Z261="a",Inventory!$Z17&lt;&gt;""),VLOOKUP(Inventory!$Z17,$E$3:$F$10,2,FALSE),IF(AND($Z261="c",Inventory!$Z17=""),"",IF(AND($Z261="c",Inventory!$Z17&lt;&gt;""),VLOOKUP(Inventory!$Z17,$E$3:$F$10,2,FALSE),"")))))))</f>
        <v/>
      </c>
      <c r="AB261" s="307" t="str">
        <f>IF($Z261="","a",IF(AND($Z261="b",Inventory!$J17=""),"a",IF(AND($Z261="b",Inventory!$J17&lt;&gt;""),VLOOKUP(Inventory!$J17,$H$4:$I$6,2,FALSE),IF(AND($Z261="a",Inventory!$AA17=""),"a",IF(AND($Z261="a",Inventory!$AA17&lt;&gt;""),VLOOKUP(Inventory!$AA17,$H$4:$I$6,2,FALSE),IF(AND($Z261="c",Inventory!$AA17=""),"a",IF(AND($Z261="c",Inventory!$AA17&lt;&gt;""),VLOOKUP(Inventory!$AA17,$H$4:$I$6,2,FALSE),"a")))))))</f>
        <v>a</v>
      </c>
      <c r="AC261" s="307" t="str">
        <f t="shared" si="178"/>
        <v>a</v>
      </c>
      <c r="AD261" s="93" t="str">
        <f>IF($Z261="","a",IF(AND($Z261="b",Inventory!$L17=""),"a",IF(AND($Z261="b",Inventory!$L17&lt;&gt;""),VLOOKUP(Inventory!$L17,$N$4:$O$5,2,FALSE),IF(AND($Z261="a",Inventory!$AC17=""),"a",IF(AND($Z261="a",Inventory!$AC17&lt;&gt;""),VLOOKUP(Inventory!$AC17,$N$4:$O$5,2,FALSE),IF(AND($Z261="c",Inventory!$AC17=""),"a",IF(AND($Z261="c",Inventory!$AC17&lt;&gt;""),VLOOKUP(Inventory!$AC17,$N$4:$O$5,2,FALSE),"a")))))))</f>
        <v>a</v>
      </c>
      <c r="AE261" s="116">
        <f>IF(OR(Inventory!C17="New Construction",Inventory!C17="Replace-on-Burnout"),Inventory!AF17,IF(Inventory!C17="Early Retirement",MIN(Inventory!AE17,Inventory!AF17),0))</f>
        <v>0</v>
      </c>
      <c r="AF261" s="117" t="str">
        <f t="shared" si="179"/>
        <v/>
      </c>
      <c r="AG261" s="117" t="str">
        <f t="shared" si="180"/>
        <v/>
      </c>
      <c r="AH261" s="117" t="str">
        <f t="shared" si="181"/>
        <v/>
      </c>
      <c r="AI261" s="117" t="str">
        <f t="shared" si="182"/>
        <v/>
      </c>
      <c r="AJ261" s="117" t="str">
        <f t="shared" si="183"/>
        <v/>
      </c>
      <c r="AK261" s="117" t="str">
        <f t="shared" si="184"/>
        <v/>
      </c>
      <c r="AL261" s="117" t="str">
        <f t="shared" si="185"/>
        <v/>
      </c>
      <c r="AM261" s="117" t="str">
        <f t="shared" si="186"/>
        <v/>
      </c>
      <c r="AN261" s="117" t="str">
        <f t="shared" si="187"/>
        <v/>
      </c>
      <c r="AO261" s="117" t="str">
        <f t="shared" si="188"/>
        <v/>
      </c>
      <c r="AP261" s="117" t="str">
        <f t="shared" si="189"/>
        <v/>
      </c>
      <c r="AQ261" s="117" t="str">
        <f t="shared" si="190"/>
        <v/>
      </c>
      <c r="AR261" s="117" t="str">
        <f t="shared" si="191"/>
        <v/>
      </c>
      <c r="AS261" s="117" t="str">
        <f t="shared" si="215"/>
        <v/>
      </c>
      <c r="AT261" s="117" t="str">
        <f t="shared" si="192"/>
        <v/>
      </c>
      <c r="AU261" s="117" t="str">
        <f t="shared" si="193"/>
        <v/>
      </c>
      <c r="AV261" s="117" t="str">
        <f t="shared" si="194"/>
        <v/>
      </c>
      <c r="AW261" s="93">
        <f t="shared" si="195"/>
        <v>0</v>
      </c>
      <c r="AX261" s="93" t="str">
        <f>IF(AND($Z261="b",OR($AA261="a",$AA261="b"),Inventory!$I17="",$AE261&lt;(65000/12000)),"x",IF(AND($Z261="b",OR($AA261="a",$AA261="b"),Inventory!$I17&lt;&gt;"",$AE261&lt;(65000/12000)),VLOOKUP(Inventory!$I268,$V$4:$W$5,2,FALSE),"x"))</f>
        <v>x</v>
      </c>
      <c r="AY261" s="146" t="str">
        <f t="shared" si="196"/>
        <v>aaa0</v>
      </c>
      <c r="AZ261" s="150" t="str">
        <f t="shared" si="197"/>
        <v>No</v>
      </c>
      <c r="BA261" s="669" t="str">
        <f t="shared" si="198"/>
        <v>No</v>
      </c>
      <c r="BB261" s="150">
        <f>IF($Z261="c",Inventory!$AB17,Inventory!$K17)</f>
        <v>0</v>
      </c>
      <c r="BC261" s="153">
        <f>IF(AND($Z261="b",Inventory!$N17="Btu/hr"),Inventory!$M17,IF(AND($Z261="b",Inventory!$N17="Tons"),Inventory!$M17*12000,IF(AND($Z261&lt;&gt;"b",Inventory!$AK17="Btu/hr"),Inventory!$AD17,IF(AND($Z261&lt;&gt;"b",Inventory!$AK17="Tons"),Inventory!$AD17*12000,0))))</f>
        <v>0</v>
      </c>
      <c r="BD261" s="153">
        <f t="shared" si="199"/>
        <v>0</v>
      </c>
      <c r="BE261" s="159">
        <f t="shared" si="216"/>
        <v>0</v>
      </c>
      <c r="BF261" s="150" t="s">
        <v>50</v>
      </c>
      <c r="BG261" s="159">
        <f t="shared" si="200"/>
        <v>0</v>
      </c>
      <c r="BH261" s="150" t="s">
        <v>46</v>
      </c>
      <c r="BI261" s="672">
        <f>IF(AND($Z261="b",Inventory!$P17="Btu/hr"),Inventory!$O17,IF(AND($Z261="b",Inventory!$P17="Tons"),Inventory!$O17*12000,IF(AND($Z261&lt;&gt;"b",Inventory!$AM17="Btu/hr"),Inventory!$AL17,IF(AND($Z261&lt;&gt;"b",Inventory!$AM17="Tons"),Inventory!$AL17*12000,0))))</f>
        <v>0</v>
      </c>
      <c r="BJ261" s="672">
        <f t="shared" si="201"/>
        <v>0</v>
      </c>
      <c r="BK261" s="608">
        <f t="shared" si="202"/>
        <v>0</v>
      </c>
      <c r="BL261" s="669" t="s">
        <v>567</v>
      </c>
      <c r="BM261" s="150" t="str">
        <f t="shared" si="203"/>
        <v>No</v>
      </c>
      <c r="BN261" s="150" t="str">
        <f>IF(OR(Inventory!$H17="",$BM261="No"),"-",Inventory!$H17)</f>
        <v>-</v>
      </c>
      <c r="BO261" s="150" t="str">
        <f>IFERROR(VLOOKUP(BN261,'Early Retirement'!$B$6:$C$33,2,FALSE),"-")</f>
        <v>-</v>
      </c>
      <c r="BP261" s="150" t="str">
        <f>IF(Inventory!$J17="Centrifugal","Yes","No")</f>
        <v>No</v>
      </c>
      <c r="BQ261" s="150">
        <f t="shared" si="204"/>
        <v>0</v>
      </c>
      <c r="BR261" s="150" t="str">
        <f t="shared" si="218"/>
        <v>-</v>
      </c>
      <c r="BS261" s="159">
        <f>IFERROR(INDEX('Early Retirement'!$C$4:$AC$33,$BO261,$BR261),0)</f>
        <v>0</v>
      </c>
      <c r="BT261" s="150">
        <f>IFERROR(HLOOKUP($BR261,'Early Retirement'!$D$4:$AC$5,2,FALSE),0)</f>
        <v>0</v>
      </c>
      <c r="BU261" s="678">
        <f>IFERROR(INDEX('Early Retirement'!$AE$4:$BE$33,$BO261,$BR261),0)</f>
        <v>0</v>
      </c>
      <c r="BV261" s="669">
        <f>IFERROR(HLOOKUP($BR261,'Early Retirement'!$AF$4:$BE$5,2,FALSE),0)</f>
        <v>0</v>
      </c>
      <c r="BW261" s="159">
        <f t="shared" si="206"/>
        <v>0</v>
      </c>
      <c r="BX261" s="678">
        <f t="shared" si="207"/>
        <v>0</v>
      </c>
      <c r="BY261" s="150" t="s">
        <v>46</v>
      </c>
      <c r="BZ261" s="608">
        <f>IFERROR(INDEX('Early Retirement'!$BG$4:$CG$33,$BO261,$BR261),0)</f>
        <v>0</v>
      </c>
      <c r="CA261" s="669">
        <f>IFERROR(HLOOKUP($BR261,'Early Retirement'!$BH$4:$CH$5,2,FALSE),0)</f>
        <v>0</v>
      </c>
      <c r="CB261" s="608">
        <f t="shared" si="208"/>
        <v>0</v>
      </c>
      <c r="CC261" s="669" t="s">
        <v>567</v>
      </c>
      <c r="CD261" s="150" t="str">
        <f t="shared" si="209"/>
        <v>Yes</v>
      </c>
      <c r="CE261" s="159">
        <f t="shared" si="210"/>
        <v>0</v>
      </c>
      <c r="CF261" s="678">
        <f t="shared" si="211"/>
        <v>0</v>
      </c>
      <c r="CG261" s="669" t="s">
        <v>46</v>
      </c>
      <c r="CH261" s="608">
        <f t="shared" si="217"/>
        <v>0</v>
      </c>
      <c r="CI261" s="669" t="s">
        <v>567</v>
      </c>
      <c r="CJ261" s="162">
        <f t="shared" si="212"/>
        <v>0</v>
      </c>
      <c r="CK261" s="602">
        <f t="shared" si="213"/>
        <v>0</v>
      </c>
      <c r="CL261" s="610" t="s">
        <v>46</v>
      </c>
      <c r="CM261" s="592">
        <f t="shared" si="214"/>
        <v>0</v>
      </c>
      <c r="CN261" s="665" t="s">
        <v>567</v>
      </c>
      <c r="CW261" s="630"/>
      <c r="CX261" s="630"/>
      <c r="CY261" s="630"/>
      <c r="CZ261" s="630"/>
      <c r="DA261" s="630"/>
    </row>
    <row r="262" spans="2:105" s="78" customFormat="1" ht="15" customHeight="1" x14ac:dyDescent="0.25">
      <c r="B262" s="77"/>
      <c r="H262" s="77"/>
      <c r="Y262" s="90">
        <v>9</v>
      </c>
      <c r="Z262" s="307" t="str">
        <f>IF(Inventory!$C18="","",VLOOKUP(Inventory!$C18,$B$7:$C$9,2,FALSE))</f>
        <v/>
      </c>
      <c r="AA262" s="307" t="str">
        <f>IF($Z262="","",IF(AND($Z262="b",Inventory!$G18=""),"",IF(AND($Z262="b",Inventory!$G18&lt;&gt;""),VLOOKUP(Inventory!$G18,$E$3:$F$10,2,FALSE),IF(AND($Z262="a",Inventory!$Z18=""),"",IF(AND($Z262="a",Inventory!$Z18&lt;&gt;""),VLOOKUP(Inventory!$Z18,$E$3:$F$10,2,FALSE),IF(AND($Z262="c",Inventory!$Z18=""),"",IF(AND($Z262="c",Inventory!$Z18&lt;&gt;""),VLOOKUP(Inventory!$Z18,$E$3:$F$10,2,FALSE),"")))))))</f>
        <v/>
      </c>
      <c r="AB262" s="307" t="str">
        <f>IF($Z262="","a",IF(AND($Z262="b",Inventory!$J18=""),"a",IF(AND($Z262="b",Inventory!$J18&lt;&gt;""),VLOOKUP(Inventory!$J18,$H$4:$I$6,2,FALSE),IF(AND($Z262="a",Inventory!$AA18=""),"a",IF(AND($Z262="a",Inventory!$AA18&lt;&gt;""),VLOOKUP(Inventory!$AA18,$H$4:$I$6,2,FALSE),IF(AND($Z262="c",Inventory!$AA18=""),"a",IF(AND($Z262="c",Inventory!$AA18&lt;&gt;""),VLOOKUP(Inventory!$AA18,$H$4:$I$6,2,FALSE),"a")))))))</f>
        <v>a</v>
      </c>
      <c r="AC262" s="307" t="str">
        <f t="shared" si="178"/>
        <v>a</v>
      </c>
      <c r="AD262" s="93" t="str">
        <f>IF($Z262="","a",IF(AND($Z262="b",Inventory!$L18=""),"a",IF(AND($Z262="b",Inventory!$L18&lt;&gt;""),VLOOKUP(Inventory!$L18,$N$4:$O$5,2,FALSE),IF(AND($Z262="a",Inventory!$AC18=""),"a",IF(AND($Z262="a",Inventory!$AC18&lt;&gt;""),VLOOKUP(Inventory!$AC18,$N$4:$O$5,2,FALSE),IF(AND($Z262="c",Inventory!$AC18=""),"a",IF(AND($Z262="c",Inventory!$AC18&lt;&gt;""),VLOOKUP(Inventory!$AC18,$N$4:$O$5,2,FALSE),"a")))))))</f>
        <v>a</v>
      </c>
      <c r="AE262" s="116">
        <f>IF(OR(Inventory!C18="New Construction",Inventory!C18="Replace-on-Burnout"),Inventory!AF18,IF(Inventory!C18="Early Retirement",MIN(Inventory!AE18,Inventory!AF18),0))</f>
        <v>0</v>
      </c>
      <c r="AF262" s="117" t="str">
        <f t="shared" si="179"/>
        <v/>
      </c>
      <c r="AG262" s="117" t="str">
        <f t="shared" si="180"/>
        <v/>
      </c>
      <c r="AH262" s="117" t="str">
        <f t="shared" si="181"/>
        <v/>
      </c>
      <c r="AI262" s="117" t="str">
        <f t="shared" si="182"/>
        <v/>
      </c>
      <c r="AJ262" s="117" t="str">
        <f t="shared" si="183"/>
        <v/>
      </c>
      <c r="AK262" s="117" t="str">
        <f t="shared" si="184"/>
        <v/>
      </c>
      <c r="AL262" s="117" t="str">
        <f t="shared" si="185"/>
        <v/>
      </c>
      <c r="AM262" s="117" t="str">
        <f t="shared" si="186"/>
        <v/>
      </c>
      <c r="AN262" s="117" t="str">
        <f t="shared" si="187"/>
        <v/>
      </c>
      <c r="AO262" s="117" t="str">
        <f t="shared" si="188"/>
        <v/>
      </c>
      <c r="AP262" s="117" t="str">
        <f t="shared" si="189"/>
        <v/>
      </c>
      <c r="AQ262" s="117" t="str">
        <f t="shared" si="190"/>
        <v/>
      </c>
      <c r="AR262" s="117" t="str">
        <f t="shared" si="191"/>
        <v/>
      </c>
      <c r="AS262" s="117" t="str">
        <f t="shared" si="215"/>
        <v/>
      </c>
      <c r="AT262" s="117" t="str">
        <f t="shared" si="192"/>
        <v/>
      </c>
      <c r="AU262" s="117" t="str">
        <f t="shared" si="193"/>
        <v/>
      </c>
      <c r="AV262" s="117" t="str">
        <f t="shared" si="194"/>
        <v/>
      </c>
      <c r="AW262" s="93">
        <f t="shared" si="195"/>
        <v>0</v>
      </c>
      <c r="AX262" s="93" t="str">
        <f>IF(AND($Z262="b",OR($AA262="a",$AA262="b"),Inventory!$I18="",$AE262&lt;(65000/12000)),"x",IF(AND($Z262="b",OR($AA262="a",$AA262="b"),Inventory!$I18&lt;&gt;"",$AE262&lt;(65000/12000)),VLOOKUP(Inventory!$I269,$V$4:$W$5,2,FALSE),"x"))</f>
        <v>x</v>
      </c>
      <c r="AY262" s="146" t="str">
        <f t="shared" si="196"/>
        <v>aaa0</v>
      </c>
      <c r="AZ262" s="150" t="str">
        <f t="shared" si="197"/>
        <v>No</v>
      </c>
      <c r="BA262" s="669" t="str">
        <f t="shared" si="198"/>
        <v>No</v>
      </c>
      <c r="BB262" s="150">
        <f>IF($Z262="c",Inventory!$AB18,Inventory!$K18)</f>
        <v>0</v>
      </c>
      <c r="BC262" s="153">
        <f>IF(AND($Z262="b",Inventory!$N18="Btu/hr"),Inventory!$M18,IF(AND($Z262="b",Inventory!$N18="Tons"),Inventory!$M18*12000,IF(AND($Z262&lt;&gt;"b",Inventory!$AK18="Btu/hr"),Inventory!$AD18,IF(AND($Z262&lt;&gt;"b",Inventory!$AK18="Tons"),Inventory!$AD18*12000,0))))</f>
        <v>0</v>
      </c>
      <c r="BD262" s="153">
        <f t="shared" si="199"/>
        <v>0</v>
      </c>
      <c r="BE262" s="159">
        <f t="shared" si="216"/>
        <v>0</v>
      </c>
      <c r="BF262" s="150" t="s">
        <v>50</v>
      </c>
      <c r="BG262" s="159">
        <f t="shared" si="200"/>
        <v>0</v>
      </c>
      <c r="BH262" s="150" t="s">
        <v>46</v>
      </c>
      <c r="BI262" s="672">
        <f>IF(AND($Z262="b",Inventory!$P18="Btu/hr"),Inventory!$O18,IF(AND($Z262="b",Inventory!$P18="Tons"),Inventory!$O18*12000,IF(AND($Z262&lt;&gt;"b",Inventory!$AM18="Btu/hr"),Inventory!$AL18,IF(AND($Z262&lt;&gt;"b",Inventory!$AM18="Tons"),Inventory!$AL18*12000,0))))</f>
        <v>0</v>
      </c>
      <c r="BJ262" s="672">
        <f t="shared" si="201"/>
        <v>0</v>
      </c>
      <c r="BK262" s="608">
        <f t="shared" si="202"/>
        <v>0</v>
      </c>
      <c r="BL262" s="669" t="s">
        <v>567</v>
      </c>
      <c r="BM262" s="150" t="str">
        <f t="shared" si="203"/>
        <v>No</v>
      </c>
      <c r="BN262" s="150" t="str">
        <f>IF(OR(Inventory!$H18="",$BM262="No"),"-",Inventory!$H18)</f>
        <v>-</v>
      </c>
      <c r="BO262" s="150" t="str">
        <f>IFERROR(VLOOKUP(BN262,'Early Retirement'!$B$6:$C$33,2,FALSE),"-")</f>
        <v>-</v>
      </c>
      <c r="BP262" s="150" t="str">
        <f>IF(Inventory!$J18="Centrifugal","Yes","No")</f>
        <v>No</v>
      </c>
      <c r="BQ262" s="150">
        <f t="shared" si="204"/>
        <v>0</v>
      </c>
      <c r="BR262" s="150" t="str">
        <f t="shared" si="218"/>
        <v>-</v>
      </c>
      <c r="BS262" s="159">
        <f>IFERROR(INDEX('Early Retirement'!$C$4:$AC$33,$BO262,$BR262),0)</f>
        <v>0</v>
      </c>
      <c r="BT262" s="150">
        <f>IFERROR(HLOOKUP($BR262,'Early Retirement'!$D$4:$AC$5,2,FALSE),0)</f>
        <v>0</v>
      </c>
      <c r="BU262" s="678">
        <f>IFERROR(INDEX('Early Retirement'!$AE$4:$BE$33,$BO262,$BR262),0)</f>
        <v>0</v>
      </c>
      <c r="BV262" s="669">
        <f>IFERROR(HLOOKUP($BR262,'Early Retirement'!$AF$4:$BE$5,2,FALSE),0)</f>
        <v>0</v>
      </c>
      <c r="BW262" s="159">
        <f t="shared" si="206"/>
        <v>0</v>
      </c>
      <c r="BX262" s="678">
        <f t="shared" si="207"/>
        <v>0</v>
      </c>
      <c r="BY262" s="150" t="s">
        <v>46</v>
      </c>
      <c r="BZ262" s="608">
        <f>IFERROR(INDEX('Early Retirement'!$BG$4:$CG$33,$BO262,$BR262),0)</f>
        <v>0</v>
      </c>
      <c r="CA262" s="669">
        <f>IFERROR(HLOOKUP($BR262,'Early Retirement'!$BH$4:$CH$5,2,FALSE),0)</f>
        <v>0</v>
      </c>
      <c r="CB262" s="608">
        <f t="shared" si="208"/>
        <v>0</v>
      </c>
      <c r="CC262" s="669" t="s">
        <v>567</v>
      </c>
      <c r="CD262" s="150" t="str">
        <f t="shared" si="209"/>
        <v>Yes</v>
      </c>
      <c r="CE262" s="159">
        <f t="shared" si="210"/>
        <v>0</v>
      </c>
      <c r="CF262" s="678">
        <f t="shared" si="211"/>
        <v>0</v>
      </c>
      <c r="CG262" s="669" t="s">
        <v>46</v>
      </c>
      <c r="CH262" s="608">
        <f t="shared" si="217"/>
        <v>0</v>
      </c>
      <c r="CI262" s="669" t="s">
        <v>567</v>
      </c>
      <c r="CJ262" s="162">
        <f t="shared" si="212"/>
        <v>0</v>
      </c>
      <c r="CK262" s="602">
        <f t="shared" si="213"/>
        <v>0</v>
      </c>
      <c r="CL262" s="610" t="s">
        <v>46</v>
      </c>
      <c r="CM262" s="592">
        <f t="shared" si="214"/>
        <v>0</v>
      </c>
      <c r="CN262" s="665" t="s">
        <v>567</v>
      </c>
      <c r="CW262" s="630"/>
      <c r="CX262" s="630"/>
      <c r="CY262" s="630"/>
      <c r="CZ262" s="630"/>
      <c r="DA262" s="630"/>
    </row>
    <row r="263" spans="2:105" s="78" customFormat="1" ht="15" customHeight="1" x14ac:dyDescent="0.25">
      <c r="B263" s="77"/>
      <c r="E263" s="77"/>
      <c r="H263" s="77"/>
      <c r="Y263" s="90">
        <v>10</v>
      </c>
      <c r="Z263" s="307" t="str">
        <f>IF(Inventory!$C19="","",VLOOKUP(Inventory!$C19,$B$7:$C$9,2,FALSE))</f>
        <v/>
      </c>
      <c r="AA263" s="307" t="str">
        <f>IF($Z263="","",IF(AND($Z263="b",Inventory!$G19=""),"",IF(AND($Z263="b",Inventory!$G19&lt;&gt;""),VLOOKUP(Inventory!$G19,$E$3:$F$10,2,FALSE),IF(AND($Z263="a",Inventory!$Z19=""),"",IF(AND($Z263="a",Inventory!$Z19&lt;&gt;""),VLOOKUP(Inventory!$Z19,$E$3:$F$10,2,FALSE),IF(AND($Z263="c",Inventory!$Z19=""),"",IF(AND($Z263="c",Inventory!$Z19&lt;&gt;""),VLOOKUP(Inventory!$Z19,$E$3:$F$10,2,FALSE),"")))))))</f>
        <v/>
      </c>
      <c r="AB263" s="307" t="str">
        <f>IF($Z263="","a",IF(AND($Z263="b",Inventory!$J19=""),"a",IF(AND($Z263="b",Inventory!$J19&lt;&gt;""),VLOOKUP(Inventory!$J19,$H$4:$I$6,2,FALSE),IF(AND($Z263="a",Inventory!$AA19=""),"a",IF(AND($Z263="a",Inventory!$AA19&lt;&gt;""),VLOOKUP(Inventory!$AA19,$H$4:$I$6,2,FALSE),IF(AND($Z263="c",Inventory!$AA19=""),"a",IF(AND($Z263="c",Inventory!$AA19&lt;&gt;""),VLOOKUP(Inventory!$AA19,$H$4:$I$6,2,FALSE),"a")))))))</f>
        <v>a</v>
      </c>
      <c r="AC263" s="307" t="str">
        <f t="shared" si="178"/>
        <v>a</v>
      </c>
      <c r="AD263" s="93" t="str">
        <f>IF($Z263="","a",IF(AND($Z263="b",Inventory!$L19=""),"a",IF(AND($Z263="b",Inventory!$L19&lt;&gt;""),VLOOKUP(Inventory!$L19,$N$4:$O$5,2,FALSE),IF(AND($Z263="a",Inventory!$AC19=""),"a",IF(AND($Z263="a",Inventory!$AC19&lt;&gt;""),VLOOKUP(Inventory!$AC19,$N$4:$O$5,2,FALSE),IF(AND($Z263="c",Inventory!$AC19=""),"a",IF(AND($Z263="c",Inventory!$AC19&lt;&gt;""),VLOOKUP(Inventory!$AC19,$N$4:$O$5,2,FALSE),"a")))))))</f>
        <v>a</v>
      </c>
      <c r="AE263" s="116">
        <f>IF(OR(Inventory!C19="New Construction",Inventory!C19="Replace-on-Burnout"),Inventory!AF19,IF(Inventory!C19="Early Retirement",MIN(Inventory!AE19,Inventory!AF19),0))</f>
        <v>0</v>
      </c>
      <c r="AF263" s="117" t="str">
        <f t="shared" si="179"/>
        <v/>
      </c>
      <c r="AG263" s="117" t="str">
        <f t="shared" si="180"/>
        <v/>
      </c>
      <c r="AH263" s="117" t="str">
        <f t="shared" si="181"/>
        <v/>
      </c>
      <c r="AI263" s="117" t="str">
        <f t="shared" si="182"/>
        <v/>
      </c>
      <c r="AJ263" s="117" t="str">
        <f t="shared" si="183"/>
        <v/>
      </c>
      <c r="AK263" s="117" t="str">
        <f t="shared" si="184"/>
        <v/>
      </c>
      <c r="AL263" s="117" t="str">
        <f t="shared" si="185"/>
        <v/>
      </c>
      <c r="AM263" s="117" t="str">
        <f t="shared" si="186"/>
        <v/>
      </c>
      <c r="AN263" s="117" t="str">
        <f t="shared" si="187"/>
        <v/>
      </c>
      <c r="AO263" s="117" t="str">
        <f t="shared" si="188"/>
        <v/>
      </c>
      <c r="AP263" s="117" t="str">
        <f t="shared" si="189"/>
        <v/>
      </c>
      <c r="AQ263" s="117" t="str">
        <f t="shared" si="190"/>
        <v/>
      </c>
      <c r="AR263" s="117" t="str">
        <f t="shared" si="191"/>
        <v/>
      </c>
      <c r="AS263" s="117" t="str">
        <f t="shared" si="215"/>
        <v/>
      </c>
      <c r="AT263" s="117" t="str">
        <f t="shared" si="192"/>
        <v/>
      </c>
      <c r="AU263" s="117" t="str">
        <f t="shared" si="193"/>
        <v/>
      </c>
      <c r="AV263" s="117" t="str">
        <f t="shared" si="194"/>
        <v/>
      </c>
      <c r="AW263" s="93">
        <f t="shared" si="195"/>
        <v>0</v>
      </c>
      <c r="AX263" s="93" t="str">
        <f>IF(AND($Z263="b",OR($AA263="a",$AA263="b"),Inventory!$I19="",$AE263&lt;(65000/12000)),"x",IF(AND($Z263="b",OR($AA263="a",$AA263="b"),Inventory!$I19&lt;&gt;"",$AE263&lt;(65000/12000)),VLOOKUP(Inventory!$I270,$V$4:$W$5,2,FALSE),"x"))</f>
        <v>x</v>
      </c>
      <c r="AY263" s="146" t="str">
        <f t="shared" si="196"/>
        <v>aaa0</v>
      </c>
      <c r="AZ263" s="150" t="str">
        <f t="shared" si="197"/>
        <v>No</v>
      </c>
      <c r="BA263" s="669" t="str">
        <f t="shared" si="198"/>
        <v>No</v>
      </c>
      <c r="BB263" s="150">
        <f>IF($Z263="c",Inventory!$AB19,Inventory!$K19)</f>
        <v>0</v>
      </c>
      <c r="BC263" s="153">
        <f>IF(AND($Z263="b",Inventory!$N19="Btu/hr"),Inventory!$M19,IF(AND($Z263="b",Inventory!$N19="Tons"),Inventory!$M19*12000,IF(AND($Z263&lt;&gt;"b",Inventory!$AK19="Btu/hr"),Inventory!$AD19,IF(AND($Z263&lt;&gt;"b",Inventory!$AK19="Tons"),Inventory!$AD19*12000,0))))</f>
        <v>0</v>
      </c>
      <c r="BD263" s="153">
        <f t="shared" si="199"/>
        <v>0</v>
      </c>
      <c r="BE263" s="159">
        <f t="shared" si="216"/>
        <v>0</v>
      </c>
      <c r="BF263" s="150" t="s">
        <v>50</v>
      </c>
      <c r="BG263" s="159">
        <f t="shared" si="200"/>
        <v>0</v>
      </c>
      <c r="BH263" s="150" t="s">
        <v>46</v>
      </c>
      <c r="BI263" s="672">
        <f>IF(AND($Z263="b",Inventory!$P19="Btu/hr"),Inventory!$O19,IF(AND($Z263="b",Inventory!$P19="Tons"),Inventory!$O19*12000,IF(AND($Z263&lt;&gt;"b",Inventory!$AM19="Btu/hr"),Inventory!$AL19,IF(AND($Z263&lt;&gt;"b",Inventory!$AM19="Tons"),Inventory!$AL19*12000,0))))</f>
        <v>0</v>
      </c>
      <c r="BJ263" s="672">
        <f t="shared" si="201"/>
        <v>0</v>
      </c>
      <c r="BK263" s="608">
        <f t="shared" si="202"/>
        <v>0</v>
      </c>
      <c r="BL263" s="669" t="s">
        <v>567</v>
      </c>
      <c r="BM263" s="150" t="str">
        <f t="shared" si="203"/>
        <v>No</v>
      </c>
      <c r="BN263" s="150" t="str">
        <f>IF(OR(Inventory!$H19="",$BM263="No"),"-",Inventory!$H19)</f>
        <v>-</v>
      </c>
      <c r="BO263" s="150" t="str">
        <f>IFERROR(VLOOKUP(BN263,'Early Retirement'!$B$6:$C$33,2,FALSE),"-")</f>
        <v>-</v>
      </c>
      <c r="BP263" s="150" t="str">
        <f>IF(Inventory!$J19="Centrifugal","Yes","No")</f>
        <v>No</v>
      </c>
      <c r="BQ263" s="150">
        <f t="shared" si="204"/>
        <v>0</v>
      </c>
      <c r="BR263" s="150" t="str">
        <f t="shared" si="218"/>
        <v>-</v>
      </c>
      <c r="BS263" s="159">
        <f>IFERROR(INDEX('Early Retirement'!$C$4:$AC$33,$BO263,$BR263),0)</f>
        <v>0</v>
      </c>
      <c r="BT263" s="150">
        <f>IFERROR(HLOOKUP($BR263,'Early Retirement'!$D$4:$AC$5,2,FALSE),0)</f>
        <v>0</v>
      </c>
      <c r="BU263" s="678">
        <f>IFERROR(INDEX('Early Retirement'!$AE$4:$BE$33,$BO263,$BR263),0)</f>
        <v>0</v>
      </c>
      <c r="BV263" s="669">
        <f>IFERROR(HLOOKUP($BR263,'Early Retirement'!$AF$4:$BE$5,2,FALSE),0)</f>
        <v>0</v>
      </c>
      <c r="BW263" s="159">
        <f t="shared" si="206"/>
        <v>0</v>
      </c>
      <c r="BX263" s="678">
        <f t="shared" si="207"/>
        <v>0</v>
      </c>
      <c r="BY263" s="150" t="s">
        <v>46</v>
      </c>
      <c r="BZ263" s="608">
        <f>IFERROR(INDEX('Early Retirement'!$BG$4:$CG$33,$BO263,$BR263),0)</f>
        <v>0</v>
      </c>
      <c r="CA263" s="669">
        <f>IFERROR(HLOOKUP($BR263,'Early Retirement'!$BH$4:$CH$5,2,FALSE),0)</f>
        <v>0</v>
      </c>
      <c r="CB263" s="608">
        <f t="shared" si="208"/>
        <v>0</v>
      </c>
      <c r="CC263" s="669" t="s">
        <v>567</v>
      </c>
      <c r="CD263" s="150" t="str">
        <f t="shared" si="209"/>
        <v>Yes</v>
      </c>
      <c r="CE263" s="159">
        <f t="shared" si="210"/>
        <v>0</v>
      </c>
      <c r="CF263" s="678">
        <f t="shared" si="211"/>
        <v>0</v>
      </c>
      <c r="CG263" s="669" t="s">
        <v>46</v>
      </c>
      <c r="CH263" s="608">
        <f t="shared" si="217"/>
        <v>0</v>
      </c>
      <c r="CI263" s="669" t="s">
        <v>567</v>
      </c>
      <c r="CJ263" s="162">
        <f t="shared" si="212"/>
        <v>0</v>
      </c>
      <c r="CK263" s="602">
        <f t="shared" si="213"/>
        <v>0</v>
      </c>
      <c r="CL263" s="610" t="s">
        <v>46</v>
      </c>
      <c r="CM263" s="592">
        <f t="shared" si="214"/>
        <v>0</v>
      </c>
      <c r="CN263" s="665" t="s">
        <v>567</v>
      </c>
      <c r="CW263" s="630"/>
      <c r="CX263" s="630"/>
      <c r="CY263" s="630"/>
      <c r="CZ263" s="630"/>
      <c r="DA263" s="630"/>
    </row>
    <row r="264" spans="2:105" s="78" customFormat="1" ht="15" customHeight="1" x14ac:dyDescent="0.25">
      <c r="B264" s="77"/>
      <c r="H264" s="77"/>
      <c r="Y264" s="90">
        <v>11</v>
      </c>
      <c r="Z264" s="307" t="str">
        <f>IF(Inventory!$C20="","",VLOOKUP(Inventory!$C20,$B$7:$C$9,2,FALSE))</f>
        <v/>
      </c>
      <c r="AA264" s="307" t="str">
        <f>IF($Z264="","",IF(AND($Z264="b",Inventory!$G20=""),"",IF(AND($Z264="b",Inventory!$G20&lt;&gt;""),VLOOKUP(Inventory!$G20,$E$3:$F$10,2,FALSE),IF(AND($Z264="a",Inventory!$Z20=""),"",IF(AND($Z264="a",Inventory!$Z20&lt;&gt;""),VLOOKUP(Inventory!$Z20,$E$3:$F$10,2,FALSE),IF(AND($Z264="c",Inventory!$Z20=""),"",IF(AND($Z264="c",Inventory!$Z20&lt;&gt;""),VLOOKUP(Inventory!$Z20,$E$3:$F$10,2,FALSE),"")))))))</f>
        <v/>
      </c>
      <c r="AB264" s="307" t="str">
        <f>IF($Z264="","a",IF(AND($Z264="b",Inventory!$J20=""),"a",IF(AND($Z264="b",Inventory!$J20&lt;&gt;""),VLOOKUP(Inventory!$J20,$H$4:$I$6,2,FALSE),IF(AND($Z264="a",Inventory!$AA20=""),"a",IF(AND($Z264="a",Inventory!$AA20&lt;&gt;""),VLOOKUP(Inventory!$AA20,$H$4:$I$6,2,FALSE),IF(AND($Z264="c",Inventory!$AA20=""),"a",IF(AND($Z264="c",Inventory!$AA20&lt;&gt;""),VLOOKUP(Inventory!$AA20,$H$4:$I$6,2,FALSE),"a")))))))</f>
        <v>a</v>
      </c>
      <c r="AC264" s="307" t="str">
        <f t="shared" si="178"/>
        <v>a</v>
      </c>
      <c r="AD264" s="93" t="str">
        <f>IF($Z264="","a",IF(AND($Z264="b",Inventory!$L20=""),"a",IF(AND($Z264="b",Inventory!$L20&lt;&gt;""),VLOOKUP(Inventory!$L20,$N$4:$O$5,2,FALSE),IF(AND($Z264="a",Inventory!$AC20=""),"a",IF(AND($Z264="a",Inventory!$AC20&lt;&gt;""),VLOOKUP(Inventory!$AC20,$N$4:$O$5,2,FALSE),IF(AND($Z264="c",Inventory!$AC20=""),"a",IF(AND($Z264="c",Inventory!$AC20&lt;&gt;""),VLOOKUP(Inventory!$AC20,$N$4:$O$5,2,FALSE),"a")))))))</f>
        <v>a</v>
      </c>
      <c r="AE264" s="116">
        <f>IF(OR(Inventory!C20="New Construction",Inventory!C20="Replace-on-Burnout"),Inventory!AF20,IF(Inventory!C20="Early Retirement",MIN(Inventory!AE20,Inventory!AF20),0))</f>
        <v>0</v>
      </c>
      <c r="AF264" s="117" t="str">
        <f t="shared" si="179"/>
        <v/>
      </c>
      <c r="AG264" s="117" t="str">
        <f t="shared" si="180"/>
        <v/>
      </c>
      <c r="AH264" s="117" t="str">
        <f t="shared" si="181"/>
        <v/>
      </c>
      <c r="AI264" s="117" t="str">
        <f t="shared" si="182"/>
        <v/>
      </c>
      <c r="AJ264" s="117" t="str">
        <f t="shared" si="183"/>
        <v/>
      </c>
      <c r="AK264" s="117" t="str">
        <f t="shared" si="184"/>
        <v/>
      </c>
      <c r="AL264" s="117" t="str">
        <f t="shared" si="185"/>
        <v/>
      </c>
      <c r="AM264" s="117" t="str">
        <f t="shared" si="186"/>
        <v/>
      </c>
      <c r="AN264" s="117" t="str">
        <f t="shared" si="187"/>
        <v/>
      </c>
      <c r="AO264" s="117" t="str">
        <f t="shared" si="188"/>
        <v/>
      </c>
      <c r="AP264" s="117" t="str">
        <f t="shared" si="189"/>
        <v/>
      </c>
      <c r="AQ264" s="117" t="str">
        <f t="shared" si="190"/>
        <v/>
      </c>
      <c r="AR264" s="117" t="str">
        <f t="shared" si="191"/>
        <v/>
      </c>
      <c r="AS264" s="117" t="str">
        <f t="shared" si="215"/>
        <v/>
      </c>
      <c r="AT264" s="117" t="str">
        <f t="shared" si="192"/>
        <v/>
      </c>
      <c r="AU264" s="117" t="str">
        <f t="shared" si="193"/>
        <v/>
      </c>
      <c r="AV264" s="117" t="str">
        <f t="shared" si="194"/>
        <v/>
      </c>
      <c r="AW264" s="93">
        <f t="shared" si="195"/>
        <v>0</v>
      </c>
      <c r="AX264" s="93" t="str">
        <f>IF(AND($Z264="b",OR($AA264="a",$AA264="b"),Inventory!$I20="",$AE264&lt;(65000/12000)),"x",IF(AND($Z264="b",OR($AA264="a",$AA264="b"),Inventory!$I20&lt;&gt;"",$AE264&lt;(65000/12000)),VLOOKUP(Inventory!$I271,$V$4:$W$5,2,FALSE),"x"))</f>
        <v>x</v>
      </c>
      <c r="AY264" s="146" t="str">
        <f t="shared" si="196"/>
        <v>aaa0</v>
      </c>
      <c r="AZ264" s="150" t="str">
        <f t="shared" si="197"/>
        <v>No</v>
      </c>
      <c r="BA264" s="669" t="str">
        <f t="shared" si="198"/>
        <v>No</v>
      </c>
      <c r="BB264" s="150">
        <f>IF($Z264="c",Inventory!$AB20,Inventory!$K20)</f>
        <v>0</v>
      </c>
      <c r="BC264" s="153">
        <f>IF(AND($Z264="b",Inventory!$N20="Btu/hr"),Inventory!$M20,IF(AND($Z264="b",Inventory!$N20="Tons"),Inventory!$M20*12000,IF(AND($Z264&lt;&gt;"b",Inventory!$AK20="Btu/hr"),Inventory!$AD20,IF(AND($Z264&lt;&gt;"b",Inventory!$AK20="Tons"),Inventory!$AD20*12000,0))))</f>
        <v>0</v>
      </c>
      <c r="BD264" s="153">
        <f t="shared" si="199"/>
        <v>0</v>
      </c>
      <c r="BE264" s="159">
        <f t="shared" si="216"/>
        <v>0</v>
      </c>
      <c r="BF264" s="150" t="s">
        <v>50</v>
      </c>
      <c r="BG264" s="159">
        <f t="shared" si="200"/>
        <v>0</v>
      </c>
      <c r="BH264" s="150" t="s">
        <v>46</v>
      </c>
      <c r="BI264" s="672">
        <f>IF(AND($Z264="b",Inventory!$P20="Btu/hr"),Inventory!$O20,IF(AND($Z264="b",Inventory!$P20="Tons"),Inventory!$O20*12000,IF(AND($Z264&lt;&gt;"b",Inventory!$AM20="Btu/hr"),Inventory!$AL20,IF(AND($Z264&lt;&gt;"b",Inventory!$AM20="Tons"),Inventory!$AL20*12000,0))))</f>
        <v>0</v>
      </c>
      <c r="BJ264" s="672">
        <f t="shared" si="201"/>
        <v>0</v>
      </c>
      <c r="BK264" s="608">
        <f t="shared" si="202"/>
        <v>0</v>
      </c>
      <c r="BL264" s="669" t="s">
        <v>567</v>
      </c>
      <c r="BM264" s="150" t="str">
        <f t="shared" si="203"/>
        <v>No</v>
      </c>
      <c r="BN264" s="150" t="str">
        <f>IF(OR(Inventory!$H20="",$BM264="No"),"-",Inventory!$H20)</f>
        <v>-</v>
      </c>
      <c r="BO264" s="150" t="str">
        <f>IFERROR(VLOOKUP(BN264,'Early Retirement'!$B$6:$C$33,2,FALSE),"-")</f>
        <v>-</v>
      </c>
      <c r="BP264" s="150" t="str">
        <f>IF(Inventory!$J20="Centrifugal","Yes","No")</f>
        <v>No</v>
      </c>
      <c r="BQ264" s="150">
        <f t="shared" si="204"/>
        <v>0</v>
      </c>
      <c r="BR264" s="150" t="str">
        <f t="shared" si="218"/>
        <v>-</v>
      </c>
      <c r="BS264" s="159">
        <f>IFERROR(INDEX('Early Retirement'!$C$4:$AC$33,$BO264,$BR264),0)</f>
        <v>0</v>
      </c>
      <c r="BT264" s="150">
        <f>IFERROR(HLOOKUP($BR264,'Early Retirement'!$D$4:$AC$5,2,FALSE),0)</f>
        <v>0</v>
      </c>
      <c r="BU264" s="678">
        <f>IFERROR(INDEX('Early Retirement'!$AE$4:$BE$33,$BO264,$BR264),0)</f>
        <v>0</v>
      </c>
      <c r="BV264" s="669">
        <f>IFERROR(HLOOKUP($BR264,'Early Retirement'!$AF$4:$BE$5,2,FALSE),0)</f>
        <v>0</v>
      </c>
      <c r="BW264" s="159">
        <f t="shared" si="206"/>
        <v>0</v>
      </c>
      <c r="BX264" s="678">
        <f t="shared" si="207"/>
        <v>0</v>
      </c>
      <c r="BY264" s="150" t="s">
        <v>46</v>
      </c>
      <c r="BZ264" s="608">
        <f>IFERROR(INDEX('Early Retirement'!$BG$4:$CG$33,$BO264,$BR264),0)</f>
        <v>0</v>
      </c>
      <c r="CA264" s="669">
        <f>IFERROR(HLOOKUP($BR264,'Early Retirement'!$BH$4:$CH$5,2,FALSE),0)</f>
        <v>0</v>
      </c>
      <c r="CB264" s="608">
        <f t="shared" si="208"/>
        <v>0</v>
      </c>
      <c r="CC264" s="669" t="s">
        <v>567</v>
      </c>
      <c r="CD264" s="150" t="str">
        <f t="shared" si="209"/>
        <v>Yes</v>
      </c>
      <c r="CE264" s="159">
        <f t="shared" si="210"/>
        <v>0</v>
      </c>
      <c r="CF264" s="678">
        <f t="shared" si="211"/>
        <v>0</v>
      </c>
      <c r="CG264" s="669" t="s">
        <v>46</v>
      </c>
      <c r="CH264" s="608">
        <f t="shared" si="217"/>
        <v>0</v>
      </c>
      <c r="CI264" s="669" t="s">
        <v>567</v>
      </c>
      <c r="CJ264" s="162">
        <f t="shared" si="212"/>
        <v>0</v>
      </c>
      <c r="CK264" s="602">
        <f t="shared" si="213"/>
        <v>0</v>
      </c>
      <c r="CL264" s="610" t="s">
        <v>46</v>
      </c>
      <c r="CM264" s="592">
        <f t="shared" si="214"/>
        <v>0</v>
      </c>
      <c r="CN264" s="665" t="s">
        <v>567</v>
      </c>
      <c r="CW264" s="630"/>
      <c r="CX264" s="630"/>
      <c r="CY264" s="630"/>
      <c r="CZ264" s="630"/>
      <c r="DA264" s="630"/>
    </row>
    <row r="265" spans="2:105" s="78" customFormat="1" ht="15" customHeight="1" x14ac:dyDescent="0.25">
      <c r="B265" s="77"/>
      <c r="H265" s="77"/>
      <c r="Y265" s="90">
        <v>12</v>
      </c>
      <c r="Z265" s="307" t="str">
        <f>IF(Inventory!$C21="","",VLOOKUP(Inventory!$C21,$B$7:$C$9,2,FALSE))</f>
        <v/>
      </c>
      <c r="AA265" s="307" t="str">
        <f>IF($Z265="","",IF(AND($Z265="b",Inventory!$G21=""),"",IF(AND($Z265="b",Inventory!$G21&lt;&gt;""),VLOOKUP(Inventory!$G21,$E$3:$F$10,2,FALSE),IF(AND($Z265="a",Inventory!$Z21=""),"",IF(AND($Z265="a",Inventory!$Z21&lt;&gt;""),VLOOKUP(Inventory!$Z21,$E$3:$F$10,2,FALSE),IF(AND($Z265="c",Inventory!$Z21=""),"",IF(AND($Z265="c",Inventory!$Z21&lt;&gt;""),VLOOKUP(Inventory!$Z21,$E$3:$F$10,2,FALSE),"")))))))</f>
        <v/>
      </c>
      <c r="AB265" s="307" t="str">
        <f>IF($Z265="","a",IF(AND($Z265="b",Inventory!$J21=""),"a",IF(AND($Z265="b",Inventory!$J21&lt;&gt;""),VLOOKUP(Inventory!$J21,$H$4:$I$6,2,FALSE),IF(AND($Z265="a",Inventory!$AA21=""),"a",IF(AND($Z265="a",Inventory!$AA21&lt;&gt;""),VLOOKUP(Inventory!$AA21,$H$4:$I$6,2,FALSE),IF(AND($Z265="c",Inventory!$AA21=""),"a",IF(AND($Z265="c",Inventory!$AA21&lt;&gt;""),VLOOKUP(Inventory!$AA21,$H$4:$I$6,2,FALSE),"a")))))))</f>
        <v>a</v>
      </c>
      <c r="AC265" s="307" t="str">
        <f t="shared" si="178"/>
        <v>a</v>
      </c>
      <c r="AD265" s="93" t="str">
        <f>IF($Z265="","a",IF(AND($Z265="b",Inventory!$L21=""),"a",IF(AND($Z265="b",Inventory!$L21&lt;&gt;""),VLOOKUP(Inventory!$L21,$N$4:$O$5,2,FALSE),IF(AND($Z265="a",Inventory!$AC21=""),"a",IF(AND($Z265="a",Inventory!$AC21&lt;&gt;""),VLOOKUP(Inventory!$AC21,$N$4:$O$5,2,FALSE),IF(AND($Z265="c",Inventory!$AC21=""),"a",IF(AND($Z265="c",Inventory!$AC21&lt;&gt;""),VLOOKUP(Inventory!$AC21,$N$4:$O$5,2,FALSE),"a")))))))</f>
        <v>a</v>
      </c>
      <c r="AE265" s="116">
        <f>IF(OR(Inventory!C21="New Construction",Inventory!C21="Replace-on-Burnout"),Inventory!AF21,IF(Inventory!C21="Early Retirement",MIN(Inventory!AE21,Inventory!AF21),0))</f>
        <v>0</v>
      </c>
      <c r="AF265" s="117" t="str">
        <f t="shared" si="179"/>
        <v/>
      </c>
      <c r="AG265" s="117" t="str">
        <f t="shared" si="180"/>
        <v/>
      </c>
      <c r="AH265" s="117" t="str">
        <f t="shared" si="181"/>
        <v/>
      </c>
      <c r="AI265" s="117" t="str">
        <f t="shared" si="182"/>
        <v/>
      </c>
      <c r="AJ265" s="117" t="str">
        <f t="shared" si="183"/>
        <v/>
      </c>
      <c r="AK265" s="117" t="str">
        <f t="shared" si="184"/>
        <v/>
      </c>
      <c r="AL265" s="117" t="str">
        <f t="shared" si="185"/>
        <v/>
      </c>
      <c r="AM265" s="117" t="str">
        <f t="shared" si="186"/>
        <v/>
      </c>
      <c r="AN265" s="117" t="str">
        <f t="shared" si="187"/>
        <v/>
      </c>
      <c r="AO265" s="117" t="str">
        <f t="shared" si="188"/>
        <v/>
      </c>
      <c r="AP265" s="117" t="str">
        <f t="shared" si="189"/>
        <v/>
      </c>
      <c r="AQ265" s="117" t="str">
        <f t="shared" si="190"/>
        <v/>
      </c>
      <c r="AR265" s="117" t="str">
        <f t="shared" si="191"/>
        <v/>
      </c>
      <c r="AS265" s="117" t="str">
        <f t="shared" si="215"/>
        <v/>
      </c>
      <c r="AT265" s="117" t="str">
        <f t="shared" si="192"/>
        <v/>
      </c>
      <c r="AU265" s="117" t="str">
        <f t="shared" si="193"/>
        <v/>
      </c>
      <c r="AV265" s="117" t="str">
        <f t="shared" si="194"/>
        <v/>
      </c>
      <c r="AW265" s="93">
        <f t="shared" si="195"/>
        <v>0</v>
      </c>
      <c r="AX265" s="93" t="str">
        <f>IF(AND($Z265="b",OR($AA265="a",$AA265="b"),Inventory!$I21="",$AE265&lt;(65000/12000)),"x",IF(AND($Z265="b",OR($AA265="a",$AA265="b"),Inventory!$I21&lt;&gt;"",$AE265&lt;(65000/12000)),VLOOKUP(Inventory!$I272,$V$4:$W$5,2,FALSE),"x"))</f>
        <v>x</v>
      </c>
      <c r="AY265" s="146" t="str">
        <f t="shared" si="196"/>
        <v>aaa0</v>
      </c>
      <c r="AZ265" s="150" t="str">
        <f t="shared" si="197"/>
        <v>No</v>
      </c>
      <c r="BA265" s="669" t="str">
        <f t="shared" si="198"/>
        <v>No</v>
      </c>
      <c r="BB265" s="150">
        <f>IF($Z265="c",Inventory!$AB21,Inventory!$K21)</f>
        <v>0</v>
      </c>
      <c r="BC265" s="153">
        <f>IF(AND($Z265="b",Inventory!$N21="Btu/hr"),Inventory!$M21,IF(AND($Z265="b",Inventory!$N21="Tons"),Inventory!$M21*12000,IF(AND($Z265&lt;&gt;"b",Inventory!$AK21="Btu/hr"),Inventory!$AD21,IF(AND($Z265&lt;&gt;"b",Inventory!$AK21="Tons"),Inventory!$AD21*12000,0))))</f>
        <v>0</v>
      </c>
      <c r="BD265" s="153">
        <f t="shared" si="199"/>
        <v>0</v>
      </c>
      <c r="BE265" s="159">
        <f t="shared" si="216"/>
        <v>0</v>
      </c>
      <c r="BF265" s="150" t="s">
        <v>50</v>
      </c>
      <c r="BG265" s="159">
        <f t="shared" si="200"/>
        <v>0</v>
      </c>
      <c r="BH265" s="150" t="s">
        <v>46</v>
      </c>
      <c r="BI265" s="672">
        <f>IF(AND($Z265="b",Inventory!$P21="Btu/hr"),Inventory!$O21,IF(AND($Z265="b",Inventory!$P21="Tons"),Inventory!$O21*12000,IF(AND($Z265&lt;&gt;"b",Inventory!$AM21="Btu/hr"),Inventory!$AL21,IF(AND($Z265&lt;&gt;"b",Inventory!$AM21="Tons"),Inventory!$AL21*12000,0))))</f>
        <v>0</v>
      </c>
      <c r="BJ265" s="672">
        <f t="shared" si="201"/>
        <v>0</v>
      </c>
      <c r="BK265" s="608">
        <f t="shared" si="202"/>
        <v>0</v>
      </c>
      <c r="BL265" s="669" t="s">
        <v>567</v>
      </c>
      <c r="BM265" s="150" t="str">
        <f t="shared" si="203"/>
        <v>No</v>
      </c>
      <c r="BN265" s="150" t="str">
        <f>IF(OR(Inventory!$H21="",$BM265="No"),"-",Inventory!$H21)</f>
        <v>-</v>
      </c>
      <c r="BO265" s="150" t="str">
        <f>IFERROR(VLOOKUP(BN265,'Early Retirement'!$B$6:$C$33,2,FALSE),"-")</f>
        <v>-</v>
      </c>
      <c r="BP265" s="150" t="str">
        <f>IF(Inventory!$J21="Centrifugal","Yes","No")</f>
        <v>No</v>
      </c>
      <c r="BQ265" s="150">
        <f t="shared" si="204"/>
        <v>0</v>
      </c>
      <c r="BR265" s="150" t="str">
        <f t="shared" si="218"/>
        <v>-</v>
      </c>
      <c r="BS265" s="159">
        <f>IFERROR(INDEX('Early Retirement'!$C$4:$AC$33,$BO265,$BR265),0)</f>
        <v>0</v>
      </c>
      <c r="BT265" s="150">
        <f>IFERROR(HLOOKUP($BR265,'Early Retirement'!$D$4:$AC$5,2,FALSE),0)</f>
        <v>0</v>
      </c>
      <c r="BU265" s="678">
        <f>IFERROR(INDEX('Early Retirement'!$AE$4:$BE$33,$BO265,$BR265),0)</f>
        <v>0</v>
      </c>
      <c r="BV265" s="669">
        <f>IFERROR(HLOOKUP($BR265,'Early Retirement'!$AF$4:$BE$5,2,FALSE),0)</f>
        <v>0</v>
      </c>
      <c r="BW265" s="159">
        <f t="shared" si="206"/>
        <v>0</v>
      </c>
      <c r="BX265" s="678">
        <f t="shared" si="207"/>
        <v>0</v>
      </c>
      <c r="BY265" s="150" t="s">
        <v>46</v>
      </c>
      <c r="BZ265" s="608">
        <f>IFERROR(INDEX('Early Retirement'!$BG$4:$CG$33,$BO265,$BR265),0)</f>
        <v>0</v>
      </c>
      <c r="CA265" s="669">
        <f>IFERROR(HLOOKUP($BR265,'Early Retirement'!$BH$4:$CH$5,2,FALSE),0)</f>
        <v>0</v>
      </c>
      <c r="CB265" s="608">
        <f t="shared" si="208"/>
        <v>0</v>
      </c>
      <c r="CC265" s="669" t="s">
        <v>567</v>
      </c>
      <c r="CD265" s="150" t="str">
        <f t="shared" si="209"/>
        <v>Yes</v>
      </c>
      <c r="CE265" s="159">
        <f t="shared" si="210"/>
        <v>0</v>
      </c>
      <c r="CF265" s="678">
        <f t="shared" si="211"/>
        <v>0</v>
      </c>
      <c r="CG265" s="669" t="s">
        <v>46</v>
      </c>
      <c r="CH265" s="608">
        <f t="shared" si="217"/>
        <v>0</v>
      </c>
      <c r="CI265" s="669" t="s">
        <v>567</v>
      </c>
      <c r="CJ265" s="162">
        <f t="shared" si="212"/>
        <v>0</v>
      </c>
      <c r="CK265" s="602">
        <f t="shared" si="213"/>
        <v>0</v>
      </c>
      <c r="CL265" s="610" t="s">
        <v>46</v>
      </c>
      <c r="CM265" s="592">
        <f t="shared" si="214"/>
        <v>0</v>
      </c>
      <c r="CN265" s="665" t="s">
        <v>567</v>
      </c>
      <c r="CW265" s="630"/>
      <c r="CX265" s="630"/>
      <c r="CY265" s="630"/>
      <c r="CZ265" s="630"/>
      <c r="DA265" s="630"/>
    </row>
    <row r="266" spans="2:105" s="78" customFormat="1" ht="15" customHeight="1" x14ac:dyDescent="0.25">
      <c r="B266" s="77"/>
      <c r="H266" s="77"/>
      <c r="Y266" s="90">
        <v>13</v>
      </c>
      <c r="Z266" s="307" t="str">
        <f>IF(Inventory!$C22="","",VLOOKUP(Inventory!$C22,$B$7:$C$9,2,FALSE))</f>
        <v/>
      </c>
      <c r="AA266" s="307" t="str">
        <f>IF($Z266="","",IF(AND($Z266="b",Inventory!$G22=""),"",IF(AND($Z266="b",Inventory!$G22&lt;&gt;""),VLOOKUP(Inventory!$G22,$E$3:$F$10,2,FALSE),IF(AND($Z266="a",Inventory!$Z22=""),"",IF(AND($Z266="a",Inventory!$Z22&lt;&gt;""),VLOOKUP(Inventory!$Z22,$E$3:$F$10,2,FALSE),IF(AND($Z266="c",Inventory!$Z22=""),"",IF(AND($Z266="c",Inventory!$Z22&lt;&gt;""),VLOOKUP(Inventory!$Z22,$E$3:$F$10,2,FALSE),"")))))))</f>
        <v/>
      </c>
      <c r="AB266" s="307" t="str">
        <f>IF($Z266="","a",IF(AND($Z266="b",Inventory!$J22=""),"a",IF(AND($Z266="b",Inventory!$J22&lt;&gt;""),VLOOKUP(Inventory!$J22,$H$4:$I$6,2,FALSE),IF(AND($Z266="a",Inventory!$AA22=""),"a",IF(AND($Z266="a",Inventory!$AA22&lt;&gt;""),VLOOKUP(Inventory!$AA22,$H$4:$I$6,2,FALSE),IF(AND($Z266="c",Inventory!$AA22=""),"a",IF(AND($Z266="c",Inventory!$AA22&lt;&gt;""),VLOOKUP(Inventory!$AA22,$H$4:$I$6,2,FALSE),"a")))))))</f>
        <v>a</v>
      </c>
      <c r="AC266" s="307" t="str">
        <f t="shared" si="178"/>
        <v>a</v>
      </c>
      <c r="AD266" s="93" t="str">
        <f>IF($Z266="","a",IF(AND($Z266="b",Inventory!$L22=""),"a",IF(AND($Z266="b",Inventory!$L22&lt;&gt;""),VLOOKUP(Inventory!$L22,$N$4:$O$5,2,FALSE),IF(AND($Z266="a",Inventory!$AC22=""),"a",IF(AND($Z266="a",Inventory!$AC22&lt;&gt;""),VLOOKUP(Inventory!$AC22,$N$4:$O$5,2,FALSE),IF(AND($Z266="c",Inventory!$AC22=""),"a",IF(AND($Z266="c",Inventory!$AC22&lt;&gt;""),VLOOKUP(Inventory!$AC22,$N$4:$O$5,2,FALSE),"a")))))))</f>
        <v>a</v>
      </c>
      <c r="AE266" s="116">
        <f>IF(OR(Inventory!C22="New Construction",Inventory!C22="Replace-on-Burnout"),Inventory!AF22,IF(Inventory!C22="Early Retirement",MIN(Inventory!AE22,Inventory!AF22),0))</f>
        <v>0</v>
      </c>
      <c r="AF266" s="117" t="str">
        <f t="shared" si="179"/>
        <v/>
      </c>
      <c r="AG266" s="117" t="str">
        <f t="shared" si="180"/>
        <v/>
      </c>
      <c r="AH266" s="117" t="str">
        <f t="shared" si="181"/>
        <v/>
      </c>
      <c r="AI266" s="117" t="str">
        <f t="shared" si="182"/>
        <v/>
      </c>
      <c r="AJ266" s="117" t="str">
        <f t="shared" si="183"/>
        <v/>
      </c>
      <c r="AK266" s="117" t="str">
        <f t="shared" si="184"/>
        <v/>
      </c>
      <c r="AL266" s="117" t="str">
        <f t="shared" si="185"/>
        <v/>
      </c>
      <c r="AM266" s="117" t="str">
        <f t="shared" si="186"/>
        <v/>
      </c>
      <c r="AN266" s="117" t="str">
        <f t="shared" si="187"/>
        <v/>
      </c>
      <c r="AO266" s="117" t="str">
        <f t="shared" si="188"/>
        <v/>
      </c>
      <c r="AP266" s="117" t="str">
        <f t="shared" si="189"/>
        <v/>
      </c>
      <c r="AQ266" s="117" t="str">
        <f t="shared" si="190"/>
        <v/>
      </c>
      <c r="AR266" s="117" t="str">
        <f t="shared" si="191"/>
        <v/>
      </c>
      <c r="AS266" s="117" t="str">
        <f t="shared" si="215"/>
        <v/>
      </c>
      <c r="AT266" s="117" t="str">
        <f t="shared" si="192"/>
        <v/>
      </c>
      <c r="AU266" s="117" t="str">
        <f t="shared" si="193"/>
        <v/>
      </c>
      <c r="AV266" s="117" t="str">
        <f t="shared" si="194"/>
        <v/>
      </c>
      <c r="AW266" s="93">
        <f t="shared" si="195"/>
        <v>0</v>
      </c>
      <c r="AX266" s="93" t="str">
        <f>IF(AND($Z266="b",OR($AA266="a",$AA266="b"),Inventory!$I22="",$AE266&lt;(65000/12000)),"x",IF(AND($Z266="b",OR($AA266="a",$AA266="b"),Inventory!$I22&lt;&gt;"",$AE266&lt;(65000/12000)),VLOOKUP(Inventory!$I273,$V$4:$W$5,2,FALSE),"x"))</f>
        <v>x</v>
      </c>
      <c r="AY266" s="146" t="str">
        <f t="shared" si="196"/>
        <v>aaa0</v>
      </c>
      <c r="AZ266" s="150" t="str">
        <f t="shared" si="197"/>
        <v>No</v>
      </c>
      <c r="BA266" s="669" t="str">
        <f t="shared" si="198"/>
        <v>No</v>
      </c>
      <c r="BB266" s="150">
        <f>IF($Z266="c",Inventory!$AB22,Inventory!$K22)</f>
        <v>0</v>
      </c>
      <c r="BC266" s="153">
        <f>IF(AND($Z266="b",Inventory!$N22="Btu/hr"),Inventory!$M22,IF(AND($Z266="b",Inventory!$N22="Tons"),Inventory!$M22*12000,IF(AND($Z266&lt;&gt;"b",Inventory!$AK22="Btu/hr"),Inventory!$AD22,IF(AND($Z266&lt;&gt;"b",Inventory!$AK22="Tons"),Inventory!$AD22*12000,0))))</f>
        <v>0</v>
      </c>
      <c r="BD266" s="153">
        <f t="shared" si="199"/>
        <v>0</v>
      </c>
      <c r="BE266" s="159">
        <f t="shared" si="216"/>
        <v>0</v>
      </c>
      <c r="BF266" s="150" t="s">
        <v>50</v>
      </c>
      <c r="BG266" s="159">
        <f t="shared" si="200"/>
        <v>0</v>
      </c>
      <c r="BH266" s="150" t="s">
        <v>46</v>
      </c>
      <c r="BI266" s="672">
        <f>IF(AND($Z266="b",Inventory!$P22="Btu/hr"),Inventory!$O22,IF(AND($Z266="b",Inventory!$P22="Tons"),Inventory!$O22*12000,IF(AND($Z266&lt;&gt;"b",Inventory!$AM22="Btu/hr"),Inventory!$AL22,IF(AND($Z266&lt;&gt;"b",Inventory!$AM22="Tons"),Inventory!$AL22*12000,0))))</f>
        <v>0</v>
      </c>
      <c r="BJ266" s="672">
        <f t="shared" si="201"/>
        <v>0</v>
      </c>
      <c r="BK266" s="608">
        <f t="shared" si="202"/>
        <v>0</v>
      </c>
      <c r="BL266" s="669" t="s">
        <v>567</v>
      </c>
      <c r="BM266" s="150" t="str">
        <f t="shared" si="203"/>
        <v>No</v>
      </c>
      <c r="BN266" s="150" t="str">
        <f>IF(OR(Inventory!$H22="",$BM266="No"),"-",Inventory!$H22)</f>
        <v>-</v>
      </c>
      <c r="BO266" s="150" t="str">
        <f>IFERROR(VLOOKUP(BN266,'Early Retirement'!$B$6:$C$33,2,FALSE),"-")</f>
        <v>-</v>
      </c>
      <c r="BP266" s="150" t="str">
        <f>IF(Inventory!$J22="Centrifugal","Yes","No")</f>
        <v>No</v>
      </c>
      <c r="BQ266" s="150">
        <f t="shared" si="204"/>
        <v>0</v>
      </c>
      <c r="BR266" s="150" t="str">
        <f t="shared" si="218"/>
        <v>-</v>
      </c>
      <c r="BS266" s="159">
        <f>IFERROR(INDEX('Early Retirement'!$C$4:$AC$33,$BO266,$BR266),0)</f>
        <v>0</v>
      </c>
      <c r="BT266" s="150">
        <f>IFERROR(HLOOKUP($BR266,'Early Retirement'!$D$4:$AC$5,2,FALSE),0)</f>
        <v>0</v>
      </c>
      <c r="BU266" s="678">
        <f>IFERROR(INDEX('Early Retirement'!$AE$4:$BE$33,$BO266,$BR266),0)</f>
        <v>0</v>
      </c>
      <c r="BV266" s="669">
        <f>IFERROR(HLOOKUP($BR266,'Early Retirement'!$AF$4:$BE$5,2,FALSE),0)</f>
        <v>0</v>
      </c>
      <c r="BW266" s="159">
        <f t="shared" si="206"/>
        <v>0</v>
      </c>
      <c r="BX266" s="678">
        <f t="shared" si="207"/>
        <v>0</v>
      </c>
      <c r="BY266" s="150" t="s">
        <v>46</v>
      </c>
      <c r="BZ266" s="608">
        <f>IFERROR(INDEX('Early Retirement'!$BG$4:$CG$33,$BO266,$BR266),0)</f>
        <v>0</v>
      </c>
      <c r="CA266" s="669">
        <f>IFERROR(HLOOKUP($BR266,'Early Retirement'!$BH$4:$CH$5,2,FALSE),0)</f>
        <v>0</v>
      </c>
      <c r="CB266" s="608">
        <f t="shared" si="208"/>
        <v>0</v>
      </c>
      <c r="CC266" s="669" t="s">
        <v>567</v>
      </c>
      <c r="CD266" s="150" t="str">
        <f t="shared" si="209"/>
        <v>Yes</v>
      </c>
      <c r="CE266" s="159">
        <f t="shared" si="210"/>
        <v>0</v>
      </c>
      <c r="CF266" s="678">
        <f t="shared" si="211"/>
        <v>0</v>
      </c>
      <c r="CG266" s="669" t="s">
        <v>46</v>
      </c>
      <c r="CH266" s="608">
        <f t="shared" si="217"/>
        <v>0</v>
      </c>
      <c r="CI266" s="669" t="s">
        <v>567</v>
      </c>
      <c r="CJ266" s="162">
        <f t="shared" si="212"/>
        <v>0</v>
      </c>
      <c r="CK266" s="602">
        <f t="shared" si="213"/>
        <v>0</v>
      </c>
      <c r="CL266" s="610" t="s">
        <v>46</v>
      </c>
      <c r="CM266" s="592">
        <f t="shared" si="214"/>
        <v>0</v>
      </c>
      <c r="CN266" s="665" t="s">
        <v>567</v>
      </c>
      <c r="CW266" s="630"/>
      <c r="CX266" s="630"/>
      <c r="CY266" s="630"/>
      <c r="CZ266" s="630"/>
      <c r="DA266" s="630"/>
    </row>
    <row r="267" spans="2:105" s="78" customFormat="1" ht="15" customHeight="1" x14ac:dyDescent="0.25">
      <c r="B267" s="77"/>
      <c r="H267" s="77"/>
      <c r="Y267" s="90">
        <v>14</v>
      </c>
      <c r="Z267" s="307" t="str">
        <f>IF(Inventory!$C23="","",VLOOKUP(Inventory!$C23,$B$7:$C$9,2,FALSE))</f>
        <v/>
      </c>
      <c r="AA267" s="307" t="str">
        <f>IF($Z267="","",IF(AND($Z267="b",Inventory!$G23=""),"",IF(AND($Z267="b",Inventory!$G23&lt;&gt;""),VLOOKUP(Inventory!$G23,$E$3:$F$10,2,FALSE),IF(AND($Z267="a",Inventory!$Z23=""),"",IF(AND($Z267="a",Inventory!$Z23&lt;&gt;""),VLOOKUP(Inventory!$Z23,$E$3:$F$10,2,FALSE),IF(AND($Z267="c",Inventory!$Z23=""),"",IF(AND($Z267="c",Inventory!$Z23&lt;&gt;""),VLOOKUP(Inventory!$Z23,$E$3:$F$10,2,FALSE),"")))))))</f>
        <v/>
      </c>
      <c r="AB267" s="307" t="str">
        <f>IF($Z267="","a",IF(AND($Z267="b",Inventory!$J23=""),"a",IF(AND($Z267="b",Inventory!$J23&lt;&gt;""),VLOOKUP(Inventory!$J23,$H$4:$I$6,2,FALSE),IF(AND($Z267="a",Inventory!$AA23=""),"a",IF(AND($Z267="a",Inventory!$AA23&lt;&gt;""),VLOOKUP(Inventory!$AA23,$H$4:$I$6,2,FALSE),IF(AND($Z267="c",Inventory!$AA23=""),"a",IF(AND($Z267="c",Inventory!$AA23&lt;&gt;""),VLOOKUP(Inventory!$AA23,$H$4:$I$6,2,FALSE),"a")))))))</f>
        <v>a</v>
      </c>
      <c r="AC267" s="307" t="str">
        <f t="shared" si="178"/>
        <v>a</v>
      </c>
      <c r="AD267" s="93" t="str">
        <f>IF($Z267="","a",IF(AND($Z267="b",Inventory!$L23=""),"a",IF(AND($Z267="b",Inventory!$L23&lt;&gt;""),VLOOKUP(Inventory!$L23,$N$4:$O$5,2,FALSE),IF(AND($Z267="a",Inventory!$AC23=""),"a",IF(AND($Z267="a",Inventory!$AC23&lt;&gt;""),VLOOKUP(Inventory!$AC23,$N$4:$O$5,2,FALSE),IF(AND($Z267="c",Inventory!$AC23=""),"a",IF(AND($Z267="c",Inventory!$AC23&lt;&gt;""),VLOOKUP(Inventory!$AC23,$N$4:$O$5,2,FALSE),"a")))))))</f>
        <v>a</v>
      </c>
      <c r="AE267" s="116">
        <f>IF(OR(Inventory!C23="New Construction",Inventory!C23="Replace-on-Burnout"),Inventory!AF23,IF(Inventory!C23="Early Retirement",MIN(Inventory!AE23,Inventory!AF23),0))</f>
        <v>0</v>
      </c>
      <c r="AF267" s="117" t="str">
        <f t="shared" si="179"/>
        <v/>
      </c>
      <c r="AG267" s="117" t="str">
        <f t="shared" si="180"/>
        <v/>
      </c>
      <c r="AH267" s="117" t="str">
        <f t="shared" si="181"/>
        <v/>
      </c>
      <c r="AI267" s="117" t="str">
        <f t="shared" si="182"/>
        <v/>
      </c>
      <c r="AJ267" s="117" t="str">
        <f t="shared" si="183"/>
        <v/>
      </c>
      <c r="AK267" s="117" t="str">
        <f t="shared" si="184"/>
        <v/>
      </c>
      <c r="AL267" s="117" t="str">
        <f t="shared" si="185"/>
        <v/>
      </c>
      <c r="AM267" s="117" t="str">
        <f t="shared" si="186"/>
        <v/>
      </c>
      <c r="AN267" s="117" t="str">
        <f t="shared" si="187"/>
        <v/>
      </c>
      <c r="AO267" s="117" t="str">
        <f t="shared" si="188"/>
        <v/>
      </c>
      <c r="AP267" s="117" t="str">
        <f t="shared" si="189"/>
        <v/>
      </c>
      <c r="AQ267" s="117" t="str">
        <f t="shared" si="190"/>
        <v/>
      </c>
      <c r="AR267" s="117" t="str">
        <f t="shared" si="191"/>
        <v/>
      </c>
      <c r="AS267" s="117" t="str">
        <f t="shared" si="215"/>
        <v/>
      </c>
      <c r="AT267" s="117" t="str">
        <f t="shared" si="192"/>
        <v/>
      </c>
      <c r="AU267" s="117" t="str">
        <f t="shared" si="193"/>
        <v/>
      </c>
      <c r="AV267" s="117" t="str">
        <f t="shared" si="194"/>
        <v/>
      </c>
      <c r="AW267" s="93">
        <f t="shared" si="195"/>
        <v>0</v>
      </c>
      <c r="AX267" s="93" t="str">
        <f>IF(AND($Z267="b",OR($AA267="a",$AA267="b"),Inventory!$I23="",$AE267&lt;(65000/12000)),"x",IF(AND($Z267="b",OR($AA267="a",$AA267="b"),Inventory!$I23&lt;&gt;"",$AE267&lt;(65000/12000)),VLOOKUP(Inventory!$I274,$V$4:$W$5,2,FALSE),"x"))</f>
        <v>x</v>
      </c>
      <c r="AY267" s="146" t="str">
        <f t="shared" si="196"/>
        <v>aaa0</v>
      </c>
      <c r="AZ267" s="150" t="str">
        <f t="shared" si="197"/>
        <v>No</v>
      </c>
      <c r="BA267" s="669" t="str">
        <f t="shared" si="198"/>
        <v>No</v>
      </c>
      <c r="BB267" s="150">
        <f>IF($Z267="c",Inventory!$AB23,Inventory!$K23)</f>
        <v>0</v>
      </c>
      <c r="BC267" s="153">
        <f>IF(AND($Z267="b",Inventory!$N23="Btu/hr"),Inventory!$M23,IF(AND($Z267="b",Inventory!$N23="Tons"),Inventory!$M23*12000,IF(AND($Z267&lt;&gt;"b",Inventory!$AK23="Btu/hr"),Inventory!$AD23,IF(AND($Z267&lt;&gt;"b",Inventory!$AK23="Tons"),Inventory!$AD23*12000,0))))</f>
        <v>0</v>
      </c>
      <c r="BD267" s="153">
        <f t="shared" si="199"/>
        <v>0</v>
      </c>
      <c r="BE267" s="159">
        <f t="shared" si="216"/>
        <v>0</v>
      </c>
      <c r="BF267" s="150" t="s">
        <v>50</v>
      </c>
      <c r="BG267" s="159">
        <f t="shared" si="200"/>
        <v>0</v>
      </c>
      <c r="BH267" s="150" t="s">
        <v>46</v>
      </c>
      <c r="BI267" s="672">
        <f>IF(AND($Z267="b",Inventory!$P23="Btu/hr"),Inventory!$O23,IF(AND($Z267="b",Inventory!$P23="Tons"),Inventory!$O23*12000,IF(AND($Z267&lt;&gt;"b",Inventory!$AM23="Btu/hr"),Inventory!$AL23,IF(AND($Z267&lt;&gt;"b",Inventory!$AM23="Tons"),Inventory!$AL23*12000,0))))</f>
        <v>0</v>
      </c>
      <c r="BJ267" s="672">
        <f t="shared" si="201"/>
        <v>0</v>
      </c>
      <c r="BK267" s="608">
        <f t="shared" si="202"/>
        <v>0</v>
      </c>
      <c r="BL267" s="669" t="s">
        <v>567</v>
      </c>
      <c r="BM267" s="150" t="str">
        <f t="shared" si="203"/>
        <v>No</v>
      </c>
      <c r="BN267" s="150" t="str">
        <f>IF(OR(Inventory!$H23="",$BM267="No"),"-",Inventory!$H23)</f>
        <v>-</v>
      </c>
      <c r="BO267" s="150" t="str">
        <f>IFERROR(VLOOKUP(BN267,'Early Retirement'!$B$6:$C$33,2,FALSE),"-")</f>
        <v>-</v>
      </c>
      <c r="BP267" s="150" t="str">
        <f>IF(Inventory!$J23="Centrifugal","Yes","No")</f>
        <v>No</v>
      </c>
      <c r="BQ267" s="150">
        <f t="shared" si="204"/>
        <v>0</v>
      </c>
      <c r="BR267" s="150" t="str">
        <f t="shared" si="218"/>
        <v>-</v>
      </c>
      <c r="BS267" s="159">
        <f>IFERROR(INDEX('Early Retirement'!$C$4:$AC$33,$BO267,$BR267),0)</f>
        <v>0</v>
      </c>
      <c r="BT267" s="150">
        <f>IFERROR(HLOOKUP($BR267,'Early Retirement'!$D$4:$AC$5,2,FALSE),0)</f>
        <v>0</v>
      </c>
      <c r="BU267" s="678">
        <f>IFERROR(INDEX('Early Retirement'!$AE$4:$BE$33,$BO267,$BR267),0)</f>
        <v>0</v>
      </c>
      <c r="BV267" s="669">
        <f>IFERROR(HLOOKUP($BR267,'Early Retirement'!$AF$4:$BE$5,2,FALSE),0)</f>
        <v>0</v>
      </c>
      <c r="BW267" s="159">
        <f t="shared" si="206"/>
        <v>0</v>
      </c>
      <c r="BX267" s="678">
        <f t="shared" si="207"/>
        <v>0</v>
      </c>
      <c r="BY267" s="150" t="s">
        <v>46</v>
      </c>
      <c r="BZ267" s="608">
        <f>IFERROR(INDEX('Early Retirement'!$BG$4:$CG$33,$BO267,$BR267),0)</f>
        <v>0</v>
      </c>
      <c r="CA267" s="669">
        <f>IFERROR(HLOOKUP($BR267,'Early Retirement'!$BH$4:$CH$5,2,FALSE),0)</f>
        <v>0</v>
      </c>
      <c r="CB267" s="608">
        <f t="shared" si="208"/>
        <v>0</v>
      </c>
      <c r="CC267" s="669" t="s">
        <v>567</v>
      </c>
      <c r="CD267" s="150" t="str">
        <f t="shared" si="209"/>
        <v>Yes</v>
      </c>
      <c r="CE267" s="159">
        <f t="shared" si="210"/>
        <v>0</v>
      </c>
      <c r="CF267" s="678">
        <f t="shared" si="211"/>
        <v>0</v>
      </c>
      <c r="CG267" s="669" t="s">
        <v>46</v>
      </c>
      <c r="CH267" s="608">
        <f t="shared" si="217"/>
        <v>0</v>
      </c>
      <c r="CI267" s="669" t="s">
        <v>567</v>
      </c>
      <c r="CJ267" s="162">
        <f t="shared" si="212"/>
        <v>0</v>
      </c>
      <c r="CK267" s="602">
        <f t="shared" si="213"/>
        <v>0</v>
      </c>
      <c r="CL267" s="610" t="s">
        <v>46</v>
      </c>
      <c r="CM267" s="592">
        <f t="shared" si="214"/>
        <v>0</v>
      </c>
      <c r="CN267" s="665" t="s">
        <v>567</v>
      </c>
      <c r="CW267" s="630"/>
      <c r="CX267" s="630"/>
      <c r="CY267" s="630"/>
      <c r="CZ267" s="630"/>
      <c r="DA267" s="630"/>
    </row>
    <row r="268" spans="2:105" s="78" customFormat="1" ht="15" customHeight="1" x14ac:dyDescent="0.25">
      <c r="B268" s="77"/>
      <c r="H268" s="77"/>
      <c r="Y268" s="90">
        <v>15</v>
      </c>
      <c r="Z268" s="307" t="str">
        <f>IF(Inventory!$C24="","",VLOOKUP(Inventory!$C24,$B$7:$C$9,2,FALSE))</f>
        <v/>
      </c>
      <c r="AA268" s="307" t="str">
        <f>IF($Z268="","",IF(AND($Z268="b",Inventory!$G24=""),"",IF(AND($Z268="b",Inventory!$G24&lt;&gt;""),VLOOKUP(Inventory!$G24,$E$3:$F$10,2,FALSE),IF(AND($Z268="a",Inventory!$Z24=""),"",IF(AND($Z268="a",Inventory!$Z24&lt;&gt;""),VLOOKUP(Inventory!$Z24,$E$3:$F$10,2,FALSE),IF(AND($Z268="c",Inventory!$Z24=""),"",IF(AND($Z268="c",Inventory!$Z24&lt;&gt;""),VLOOKUP(Inventory!$Z24,$E$3:$F$10,2,FALSE),"")))))))</f>
        <v/>
      </c>
      <c r="AB268" s="307" t="str">
        <f>IF($Z268="","a",IF(AND($Z268="b",Inventory!$J24=""),"a",IF(AND($Z268="b",Inventory!$J24&lt;&gt;""),VLOOKUP(Inventory!$J24,$H$4:$I$6,2,FALSE),IF(AND($Z268="a",Inventory!$AA24=""),"a",IF(AND($Z268="a",Inventory!$AA24&lt;&gt;""),VLOOKUP(Inventory!$AA24,$H$4:$I$6,2,FALSE),IF(AND($Z268="c",Inventory!$AA24=""),"a",IF(AND($Z268="c",Inventory!$AA24&lt;&gt;""),VLOOKUP(Inventory!$AA24,$H$4:$I$6,2,FALSE),"a")))))))</f>
        <v>a</v>
      </c>
      <c r="AC268" s="307" t="str">
        <f t="shared" si="178"/>
        <v>a</v>
      </c>
      <c r="AD268" s="93" t="str">
        <f>IF($Z268="","a",IF(AND($Z268="b",Inventory!$L24=""),"a",IF(AND($Z268="b",Inventory!$L24&lt;&gt;""),VLOOKUP(Inventory!$L24,$N$4:$O$5,2,FALSE),IF(AND($Z268="a",Inventory!$AC24=""),"a",IF(AND($Z268="a",Inventory!$AC24&lt;&gt;""),VLOOKUP(Inventory!$AC24,$N$4:$O$5,2,FALSE),IF(AND($Z268="c",Inventory!$AC24=""),"a",IF(AND($Z268="c",Inventory!$AC24&lt;&gt;""),VLOOKUP(Inventory!$AC24,$N$4:$O$5,2,FALSE),"a")))))))</f>
        <v>a</v>
      </c>
      <c r="AE268" s="116">
        <f>IF(OR(Inventory!C24="New Construction",Inventory!C24="Replace-on-Burnout"),Inventory!AF24,IF(Inventory!C24="Early Retirement",MIN(Inventory!AE24,Inventory!AF24),0))</f>
        <v>0</v>
      </c>
      <c r="AF268" s="117" t="str">
        <f t="shared" si="179"/>
        <v/>
      </c>
      <c r="AG268" s="117" t="str">
        <f t="shared" si="180"/>
        <v/>
      </c>
      <c r="AH268" s="117" t="str">
        <f t="shared" si="181"/>
        <v/>
      </c>
      <c r="AI268" s="117" t="str">
        <f t="shared" si="182"/>
        <v/>
      </c>
      <c r="AJ268" s="117" t="str">
        <f t="shared" si="183"/>
        <v/>
      </c>
      <c r="AK268" s="117" t="str">
        <f t="shared" si="184"/>
        <v/>
      </c>
      <c r="AL268" s="117" t="str">
        <f t="shared" si="185"/>
        <v/>
      </c>
      <c r="AM268" s="117" t="str">
        <f t="shared" si="186"/>
        <v/>
      </c>
      <c r="AN268" s="117" t="str">
        <f t="shared" si="187"/>
        <v/>
      </c>
      <c r="AO268" s="117" t="str">
        <f t="shared" si="188"/>
        <v/>
      </c>
      <c r="AP268" s="117" t="str">
        <f t="shared" si="189"/>
        <v/>
      </c>
      <c r="AQ268" s="117" t="str">
        <f t="shared" si="190"/>
        <v/>
      </c>
      <c r="AR268" s="117" t="str">
        <f t="shared" si="191"/>
        <v/>
      </c>
      <c r="AS268" s="117" t="str">
        <f t="shared" si="215"/>
        <v/>
      </c>
      <c r="AT268" s="117" t="str">
        <f t="shared" si="192"/>
        <v/>
      </c>
      <c r="AU268" s="117" t="str">
        <f t="shared" si="193"/>
        <v/>
      </c>
      <c r="AV268" s="117" t="str">
        <f t="shared" si="194"/>
        <v/>
      </c>
      <c r="AW268" s="93">
        <f t="shared" si="195"/>
        <v>0</v>
      </c>
      <c r="AX268" s="93" t="str">
        <f>IF(AND($Z268="b",OR($AA268="a",$AA268="b"),Inventory!$I24="",$AE268&lt;(65000/12000)),"x",IF(AND($Z268="b",OR($AA268="a",$AA268="b"),Inventory!$I24&lt;&gt;"",$AE268&lt;(65000/12000)),VLOOKUP(Inventory!$I275,$V$4:$W$5,2,FALSE),"x"))</f>
        <v>x</v>
      </c>
      <c r="AY268" s="146" t="str">
        <f t="shared" si="196"/>
        <v>aaa0</v>
      </c>
      <c r="AZ268" s="150" t="str">
        <f t="shared" si="197"/>
        <v>No</v>
      </c>
      <c r="BA268" s="669" t="str">
        <f t="shared" si="198"/>
        <v>No</v>
      </c>
      <c r="BB268" s="150">
        <f>IF($Z268="c",Inventory!$AB24,Inventory!$K24)</f>
        <v>0</v>
      </c>
      <c r="BC268" s="153">
        <f>IF(AND($Z268="b",Inventory!$N24="Btu/hr"),Inventory!$M24,IF(AND($Z268="b",Inventory!$N24="Tons"),Inventory!$M24*12000,IF(AND($Z268&lt;&gt;"b",Inventory!$AK24="Btu/hr"),Inventory!$AD24,IF(AND($Z268&lt;&gt;"b",Inventory!$AK24="Tons"),Inventory!$AD24*12000,0))))</f>
        <v>0</v>
      </c>
      <c r="BD268" s="153">
        <f t="shared" si="199"/>
        <v>0</v>
      </c>
      <c r="BE268" s="159">
        <f t="shared" si="216"/>
        <v>0</v>
      </c>
      <c r="BF268" s="150" t="s">
        <v>50</v>
      </c>
      <c r="BG268" s="159">
        <f t="shared" si="200"/>
        <v>0</v>
      </c>
      <c r="BH268" s="150" t="s">
        <v>46</v>
      </c>
      <c r="BI268" s="672">
        <f>IF(AND($Z268="b",Inventory!$P24="Btu/hr"),Inventory!$O24,IF(AND($Z268="b",Inventory!$P24="Tons"),Inventory!$O24*12000,IF(AND($Z268&lt;&gt;"b",Inventory!$AM24="Btu/hr"),Inventory!$AL24,IF(AND($Z268&lt;&gt;"b",Inventory!$AM24="Tons"),Inventory!$AL24*12000,0))))</f>
        <v>0</v>
      </c>
      <c r="BJ268" s="672">
        <f t="shared" si="201"/>
        <v>0</v>
      </c>
      <c r="BK268" s="608">
        <f t="shared" si="202"/>
        <v>0</v>
      </c>
      <c r="BL268" s="669" t="s">
        <v>567</v>
      </c>
      <c r="BM268" s="150" t="str">
        <f t="shared" si="203"/>
        <v>No</v>
      </c>
      <c r="BN268" s="150" t="str">
        <f>IF(OR(Inventory!$H24="",$BM268="No"),"-",Inventory!$H24)</f>
        <v>-</v>
      </c>
      <c r="BO268" s="150" t="str">
        <f>IFERROR(VLOOKUP(BN268,'Early Retirement'!$B$6:$C$33,2,FALSE),"-")</f>
        <v>-</v>
      </c>
      <c r="BP268" s="150" t="str">
        <f>IF(Inventory!$J24="Centrifugal","Yes","No")</f>
        <v>No</v>
      </c>
      <c r="BQ268" s="150">
        <f t="shared" si="204"/>
        <v>0</v>
      </c>
      <c r="BR268" s="150" t="str">
        <f t="shared" si="218"/>
        <v>-</v>
      </c>
      <c r="BS268" s="159">
        <f>IFERROR(INDEX('Early Retirement'!$C$4:$AC$33,$BO268,$BR268),0)</f>
        <v>0</v>
      </c>
      <c r="BT268" s="150">
        <f>IFERROR(HLOOKUP($BR268,'Early Retirement'!$D$4:$AC$5,2,FALSE),0)</f>
        <v>0</v>
      </c>
      <c r="BU268" s="678">
        <f>IFERROR(INDEX('Early Retirement'!$AE$4:$BE$33,$BO268,$BR268),0)</f>
        <v>0</v>
      </c>
      <c r="BV268" s="669">
        <f>IFERROR(HLOOKUP($BR268,'Early Retirement'!$AF$4:$BE$5,2,FALSE),0)</f>
        <v>0</v>
      </c>
      <c r="BW268" s="159">
        <f t="shared" si="206"/>
        <v>0</v>
      </c>
      <c r="BX268" s="678">
        <f t="shared" si="207"/>
        <v>0</v>
      </c>
      <c r="BY268" s="150" t="s">
        <v>46</v>
      </c>
      <c r="BZ268" s="608">
        <f>IFERROR(INDEX('Early Retirement'!$BG$4:$CG$33,$BO268,$BR268),0)</f>
        <v>0</v>
      </c>
      <c r="CA268" s="669">
        <f>IFERROR(HLOOKUP($BR268,'Early Retirement'!$BH$4:$CH$5,2,FALSE),0)</f>
        <v>0</v>
      </c>
      <c r="CB268" s="608">
        <f t="shared" si="208"/>
        <v>0</v>
      </c>
      <c r="CC268" s="669" t="s">
        <v>567</v>
      </c>
      <c r="CD268" s="150" t="str">
        <f t="shared" si="209"/>
        <v>Yes</v>
      </c>
      <c r="CE268" s="159">
        <f t="shared" si="210"/>
        <v>0</v>
      </c>
      <c r="CF268" s="678">
        <f t="shared" si="211"/>
        <v>0</v>
      </c>
      <c r="CG268" s="669" t="s">
        <v>46</v>
      </c>
      <c r="CH268" s="608">
        <f t="shared" si="217"/>
        <v>0</v>
      </c>
      <c r="CI268" s="669" t="s">
        <v>567</v>
      </c>
      <c r="CJ268" s="162">
        <f t="shared" si="212"/>
        <v>0</v>
      </c>
      <c r="CK268" s="602">
        <f t="shared" si="213"/>
        <v>0</v>
      </c>
      <c r="CL268" s="610" t="s">
        <v>46</v>
      </c>
      <c r="CM268" s="592">
        <f t="shared" si="214"/>
        <v>0</v>
      </c>
      <c r="CN268" s="665" t="s">
        <v>567</v>
      </c>
      <c r="CW268" s="630"/>
      <c r="CX268" s="630"/>
      <c r="CY268" s="630"/>
      <c r="CZ268" s="630"/>
      <c r="DA268" s="630"/>
    </row>
    <row r="269" spans="2:105" s="78" customFormat="1" ht="15" customHeight="1" x14ac:dyDescent="0.25">
      <c r="B269" s="77"/>
      <c r="H269" s="77"/>
      <c r="Y269" s="90">
        <v>16</v>
      </c>
      <c r="Z269" s="307" t="str">
        <f>IF(Inventory!$C25="","",VLOOKUP(Inventory!$C25,$B$7:$C$9,2,FALSE))</f>
        <v/>
      </c>
      <c r="AA269" s="307" t="str">
        <f>IF($Z269="","",IF(AND($Z269="b",Inventory!$G25=""),"",IF(AND($Z269="b",Inventory!$G25&lt;&gt;""),VLOOKUP(Inventory!$G25,$E$3:$F$10,2,FALSE),IF(AND($Z269="a",Inventory!$Z25=""),"",IF(AND($Z269="a",Inventory!$Z25&lt;&gt;""),VLOOKUP(Inventory!$Z25,$E$3:$F$10,2,FALSE),IF(AND($Z269="c",Inventory!$Z25=""),"",IF(AND($Z269="c",Inventory!$Z25&lt;&gt;""),VLOOKUP(Inventory!$Z25,$E$3:$F$10,2,FALSE),"")))))))</f>
        <v/>
      </c>
      <c r="AB269" s="307" t="str">
        <f>IF($Z269="","a",IF(AND($Z269="b",Inventory!$J25=""),"a",IF(AND($Z269="b",Inventory!$J25&lt;&gt;""),VLOOKUP(Inventory!$J25,$H$4:$I$6,2,FALSE),IF(AND($Z269="a",Inventory!$AA25=""),"a",IF(AND($Z269="a",Inventory!$AA25&lt;&gt;""),VLOOKUP(Inventory!$AA25,$H$4:$I$6,2,FALSE),IF(AND($Z269="c",Inventory!$AA25=""),"a",IF(AND($Z269="c",Inventory!$AA25&lt;&gt;""),VLOOKUP(Inventory!$AA25,$H$4:$I$6,2,FALSE),"a")))))))</f>
        <v>a</v>
      </c>
      <c r="AC269" s="307" t="str">
        <f t="shared" si="178"/>
        <v>a</v>
      </c>
      <c r="AD269" s="93" t="str">
        <f>IF($Z269="","a",IF(AND($Z269="b",Inventory!$L25=""),"a",IF(AND($Z269="b",Inventory!$L25&lt;&gt;""),VLOOKUP(Inventory!$L25,$N$4:$O$5,2,FALSE),IF(AND($Z269="a",Inventory!$AC25=""),"a",IF(AND($Z269="a",Inventory!$AC25&lt;&gt;""),VLOOKUP(Inventory!$AC25,$N$4:$O$5,2,FALSE),IF(AND($Z269="c",Inventory!$AC25=""),"a",IF(AND($Z269="c",Inventory!$AC25&lt;&gt;""),VLOOKUP(Inventory!$AC25,$N$4:$O$5,2,FALSE),"a")))))))</f>
        <v>a</v>
      </c>
      <c r="AE269" s="116">
        <f>IF(OR(Inventory!C25="New Construction",Inventory!C25="Replace-on-Burnout"),Inventory!AF25,IF(Inventory!C25="Early Retirement",MIN(Inventory!AE25,Inventory!AF25),0))</f>
        <v>0</v>
      </c>
      <c r="AF269" s="117" t="str">
        <f t="shared" si="179"/>
        <v/>
      </c>
      <c r="AG269" s="117" t="str">
        <f t="shared" si="180"/>
        <v/>
      </c>
      <c r="AH269" s="117" t="str">
        <f t="shared" si="181"/>
        <v/>
      </c>
      <c r="AI269" s="117" t="str">
        <f t="shared" si="182"/>
        <v/>
      </c>
      <c r="AJ269" s="117" t="str">
        <f t="shared" si="183"/>
        <v/>
      </c>
      <c r="AK269" s="117" t="str">
        <f t="shared" si="184"/>
        <v/>
      </c>
      <c r="AL269" s="117" t="str">
        <f t="shared" si="185"/>
        <v/>
      </c>
      <c r="AM269" s="117" t="str">
        <f t="shared" si="186"/>
        <v/>
      </c>
      <c r="AN269" s="117" t="str">
        <f t="shared" si="187"/>
        <v/>
      </c>
      <c r="AO269" s="117" t="str">
        <f t="shared" si="188"/>
        <v/>
      </c>
      <c r="AP269" s="117" t="str">
        <f t="shared" si="189"/>
        <v/>
      </c>
      <c r="AQ269" s="117" t="str">
        <f t="shared" si="190"/>
        <v/>
      </c>
      <c r="AR269" s="117" t="str">
        <f t="shared" si="191"/>
        <v/>
      </c>
      <c r="AS269" s="117" t="str">
        <f t="shared" si="215"/>
        <v/>
      </c>
      <c r="AT269" s="117" t="str">
        <f t="shared" si="192"/>
        <v/>
      </c>
      <c r="AU269" s="117" t="str">
        <f t="shared" si="193"/>
        <v/>
      </c>
      <c r="AV269" s="117" t="str">
        <f t="shared" si="194"/>
        <v/>
      </c>
      <c r="AW269" s="93">
        <f t="shared" si="195"/>
        <v>0</v>
      </c>
      <c r="AX269" s="93" t="str">
        <f>IF(AND($Z269="b",OR($AA269="a",$AA269="b"),Inventory!$I25="",$AE269&lt;(65000/12000)),"x",IF(AND($Z269="b",OR($AA269="a",$AA269="b"),Inventory!$I25&lt;&gt;"",$AE269&lt;(65000/12000)),VLOOKUP(Inventory!$I276,$V$4:$W$5,2,FALSE),"x"))</f>
        <v>x</v>
      </c>
      <c r="AY269" s="146" t="str">
        <f t="shared" si="196"/>
        <v>aaa0</v>
      </c>
      <c r="AZ269" s="150" t="str">
        <f t="shared" si="197"/>
        <v>No</v>
      </c>
      <c r="BA269" s="669" t="str">
        <f t="shared" si="198"/>
        <v>No</v>
      </c>
      <c r="BB269" s="150">
        <f>IF($Z269="c",Inventory!$AB25,Inventory!$K25)</f>
        <v>0</v>
      </c>
      <c r="BC269" s="153">
        <f>IF(AND($Z269="b",Inventory!$N25="Btu/hr"),Inventory!$M25,IF(AND($Z269="b",Inventory!$N25="Tons"),Inventory!$M25*12000,IF(AND($Z269&lt;&gt;"b",Inventory!$AK25="Btu/hr"),Inventory!$AD25,IF(AND($Z269&lt;&gt;"b",Inventory!$AK25="Tons"),Inventory!$AD25*12000,0))))</f>
        <v>0</v>
      </c>
      <c r="BD269" s="153">
        <f t="shared" si="199"/>
        <v>0</v>
      </c>
      <c r="BE269" s="159">
        <f t="shared" si="216"/>
        <v>0</v>
      </c>
      <c r="BF269" s="150" t="s">
        <v>50</v>
      </c>
      <c r="BG269" s="159">
        <f t="shared" si="200"/>
        <v>0</v>
      </c>
      <c r="BH269" s="150" t="s">
        <v>46</v>
      </c>
      <c r="BI269" s="672">
        <f>IF(AND($Z269="b",Inventory!$P25="Btu/hr"),Inventory!$O25,IF(AND($Z269="b",Inventory!$P25="Tons"),Inventory!$O25*12000,IF(AND($Z269&lt;&gt;"b",Inventory!$AM25="Btu/hr"),Inventory!$AL25,IF(AND($Z269&lt;&gt;"b",Inventory!$AM25="Tons"),Inventory!$AL25*12000,0))))</f>
        <v>0</v>
      </c>
      <c r="BJ269" s="672">
        <f t="shared" si="201"/>
        <v>0</v>
      </c>
      <c r="BK269" s="608">
        <f t="shared" si="202"/>
        <v>0</v>
      </c>
      <c r="BL269" s="669" t="s">
        <v>567</v>
      </c>
      <c r="BM269" s="150" t="str">
        <f t="shared" si="203"/>
        <v>No</v>
      </c>
      <c r="BN269" s="150" t="str">
        <f>IF(OR(Inventory!$H25="",$BM269="No"),"-",Inventory!$H25)</f>
        <v>-</v>
      </c>
      <c r="BO269" s="150" t="str">
        <f>IFERROR(VLOOKUP(BN269,'Early Retirement'!$B$6:$C$33,2,FALSE),"-")</f>
        <v>-</v>
      </c>
      <c r="BP269" s="150" t="str">
        <f>IF(Inventory!$J25="Centrifugal","Yes","No")</f>
        <v>No</v>
      </c>
      <c r="BQ269" s="150">
        <f t="shared" si="204"/>
        <v>0</v>
      </c>
      <c r="BR269" s="150" t="str">
        <f t="shared" si="218"/>
        <v>-</v>
      </c>
      <c r="BS269" s="159">
        <f>IFERROR(INDEX('Early Retirement'!$C$4:$AC$33,$BO269,$BR269),0)</f>
        <v>0</v>
      </c>
      <c r="BT269" s="150">
        <f>IFERROR(HLOOKUP($BR269,'Early Retirement'!$D$4:$AC$5,2,FALSE),0)</f>
        <v>0</v>
      </c>
      <c r="BU269" s="678">
        <f>IFERROR(INDEX('Early Retirement'!$AE$4:$BE$33,$BO269,$BR269),0)</f>
        <v>0</v>
      </c>
      <c r="BV269" s="669">
        <f>IFERROR(HLOOKUP($BR269,'Early Retirement'!$AF$4:$BE$5,2,FALSE),0)</f>
        <v>0</v>
      </c>
      <c r="BW269" s="159">
        <f t="shared" si="206"/>
        <v>0</v>
      </c>
      <c r="BX269" s="678">
        <f t="shared" si="207"/>
        <v>0</v>
      </c>
      <c r="BY269" s="150" t="s">
        <v>46</v>
      </c>
      <c r="BZ269" s="608">
        <f>IFERROR(INDEX('Early Retirement'!$BG$4:$CG$33,$BO269,$BR269),0)</f>
        <v>0</v>
      </c>
      <c r="CA269" s="669">
        <f>IFERROR(HLOOKUP($BR269,'Early Retirement'!$BH$4:$CH$5,2,FALSE),0)</f>
        <v>0</v>
      </c>
      <c r="CB269" s="608">
        <f t="shared" si="208"/>
        <v>0</v>
      </c>
      <c r="CC269" s="669" t="s">
        <v>567</v>
      </c>
      <c r="CD269" s="150" t="str">
        <f t="shared" si="209"/>
        <v>Yes</v>
      </c>
      <c r="CE269" s="159">
        <f t="shared" si="210"/>
        <v>0</v>
      </c>
      <c r="CF269" s="678">
        <f t="shared" si="211"/>
        <v>0</v>
      </c>
      <c r="CG269" s="669" t="s">
        <v>46</v>
      </c>
      <c r="CH269" s="608">
        <f t="shared" si="217"/>
        <v>0</v>
      </c>
      <c r="CI269" s="669" t="s">
        <v>567</v>
      </c>
      <c r="CJ269" s="162">
        <f t="shared" si="212"/>
        <v>0</v>
      </c>
      <c r="CK269" s="602">
        <f t="shared" si="213"/>
        <v>0</v>
      </c>
      <c r="CL269" s="610" t="s">
        <v>46</v>
      </c>
      <c r="CM269" s="592">
        <f t="shared" si="214"/>
        <v>0</v>
      </c>
      <c r="CN269" s="665" t="s">
        <v>567</v>
      </c>
      <c r="CW269" s="630"/>
      <c r="CX269" s="630"/>
      <c r="CY269" s="630"/>
      <c r="CZ269" s="630"/>
      <c r="DA269" s="630"/>
    </row>
    <row r="270" spans="2:105" s="78" customFormat="1" ht="15" customHeight="1" x14ac:dyDescent="0.25">
      <c r="B270" s="77"/>
      <c r="H270" s="77"/>
      <c r="Y270" s="90">
        <v>17</v>
      </c>
      <c r="Z270" s="307" t="str">
        <f>IF(Inventory!$C26="","",VLOOKUP(Inventory!$C26,$B$7:$C$9,2,FALSE))</f>
        <v/>
      </c>
      <c r="AA270" s="307" t="str">
        <f>IF($Z270="","",IF(AND($Z270="b",Inventory!$G26=""),"",IF(AND($Z270="b",Inventory!$G26&lt;&gt;""),VLOOKUP(Inventory!$G26,$E$3:$F$10,2,FALSE),IF(AND($Z270="a",Inventory!$Z26=""),"",IF(AND($Z270="a",Inventory!$Z26&lt;&gt;""),VLOOKUP(Inventory!$Z26,$E$3:$F$10,2,FALSE),IF(AND($Z270="c",Inventory!$Z26=""),"",IF(AND($Z270="c",Inventory!$Z26&lt;&gt;""),VLOOKUP(Inventory!$Z26,$E$3:$F$10,2,FALSE),"")))))))</f>
        <v/>
      </c>
      <c r="AB270" s="307" t="str">
        <f>IF($Z270="","a",IF(AND($Z270="b",Inventory!$J26=""),"a",IF(AND($Z270="b",Inventory!$J26&lt;&gt;""),VLOOKUP(Inventory!$J26,$H$4:$I$6,2,FALSE),IF(AND($Z270="a",Inventory!$AA26=""),"a",IF(AND($Z270="a",Inventory!$AA26&lt;&gt;""),VLOOKUP(Inventory!$AA26,$H$4:$I$6,2,FALSE),IF(AND($Z270="c",Inventory!$AA26=""),"a",IF(AND($Z270="c",Inventory!$AA26&lt;&gt;""),VLOOKUP(Inventory!$AA26,$H$4:$I$6,2,FALSE),"a")))))))</f>
        <v>a</v>
      </c>
      <c r="AC270" s="307" t="str">
        <f t="shared" si="178"/>
        <v>a</v>
      </c>
      <c r="AD270" s="93" t="str">
        <f>IF($Z270="","a",IF(AND($Z270="b",Inventory!$L26=""),"a",IF(AND($Z270="b",Inventory!$L26&lt;&gt;""),VLOOKUP(Inventory!$L26,$N$4:$O$5,2,FALSE),IF(AND($Z270="a",Inventory!$AC26=""),"a",IF(AND($Z270="a",Inventory!$AC26&lt;&gt;""),VLOOKUP(Inventory!$AC26,$N$4:$O$5,2,FALSE),IF(AND($Z270="c",Inventory!$AC26=""),"a",IF(AND($Z270="c",Inventory!$AC26&lt;&gt;""),VLOOKUP(Inventory!$AC26,$N$4:$O$5,2,FALSE),"a")))))))</f>
        <v>a</v>
      </c>
      <c r="AE270" s="116">
        <f>IF(OR(Inventory!C26="New Construction",Inventory!C26="Replace-on-Burnout"),Inventory!AF26,IF(Inventory!C26="Early Retirement",MIN(Inventory!AE26,Inventory!AF26),0))</f>
        <v>0</v>
      </c>
      <c r="AF270" s="117" t="str">
        <f t="shared" si="179"/>
        <v/>
      </c>
      <c r="AG270" s="117" t="str">
        <f t="shared" si="180"/>
        <v/>
      </c>
      <c r="AH270" s="117" t="str">
        <f t="shared" si="181"/>
        <v/>
      </c>
      <c r="AI270" s="117" t="str">
        <f t="shared" si="182"/>
        <v/>
      </c>
      <c r="AJ270" s="117" t="str">
        <f t="shared" si="183"/>
        <v/>
      </c>
      <c r="AK270" s="117" t="str">
        <f t="shared" si="184"/>
        <v/>
      </c>
      <c r="AL270" s="117" t="str">
        <f t="shared" si="185"/>
        <v/>
      </c>
      <c r="AM270" s="117" t="str">
        <f t="shared" si="186"/>
        <v/>
      </c>
      <c r="AN270" s="117" t="str">
        <f t="shared" si="187"/>
        <v/>
      </c>
      <c r="AO270" s="117" t="str">
        <f t="shared" si="188"/>
        <v/>
      </c>
      <c r="AP270" s="117" t="str">
        <f t="shared" si="189"/>
        <v/>
      </c>
      <c r="AQ270" s="117" t="str">
        <f t="shared" si="190"/>
        <v/>
      </c>
      <c r="AR270" s="117" t="str">
        <f t="shared" si="191"/>
        <v/>
      </c>
      <c r="AS270" s="117" t="str">
        <f t="shared" si="215"/>
        <v/>
      </c>
      <c r="AT270" s="117" t="str">
        <f t="shared" si="192"/>
        <v/>
      </c>
      <c r="AU270" s="117" t="str">
        <f t="shared" si="193"/>
        <v/>
      </c>
      <c r="AV270" s="117" t="str">
        <f t="shared" si="194"/>
        <v/>
      </c>
      <c r="AW270" s="93">
        <f t="shared" si="195"/>
        <v>0</v>
      </c>
      <c r="AX270" s="93" t="str">
        <f>IF(AND($Z270="b",OR($AA270="a",$AA270="b"),Inventory!$I26="",$AE270&lt;(65000/12000)),"x",IF(AND($Z270="b",OR($AA270="a",$AA270="b"),Inventory!$I26&lt;&gt;"",$AE270&lt;(65000/12000)),VLOOKUP(Inventory!$I277,$V$4:$W$5,2,FALSE),"x"))</f>
        <v>x</v>
      </c>
      <c r="AY270" s="146" t="str">
        <f t="shared" si="196"/>
        <v>aaa0</v>
      </c>
      <c r="AZ270" s="150" t="str">
        <f t="shared" si="197"/>
        <v>No</v>
      </c>
      <c r="BA270" s="669" t="str">
        <f t="shared" si="198"/>
        <v>No</v>
      </c>
      <c r="BB270" s="150">
        <f>IF($Z270="c",Inventory!$AB26,Inventory!$K26)</f>
        <v>0</v>
      </c>
      <c r="BC270" s="153">
        <f>IF(AND($Z270="b",Inventory!$N26="Btu/hr"),Inventory!$M26,IF(AND($Z270="b",Inventory!$N26="Tons"),Inventory!$M26*12000,IF(AND($Z270&lt;&gt;"b",Inventory!$AK26="Btu/hr"),Inventory!$AD26,IF(AND($Z270&lt;&gt;"b",Inventory!$AK26="Tons"),Inventory!$AD26*12000,0))))</f>
        <v>0</v>
      </c>
      <c r="BD270" s="153">
        <f t="shared" si="199"/>
        <v>0</v>
      </c>
      <c r="BE270" s="159">
        <f t="shared" si="216"/>
        <v>0</v>
      </c>
      <c r="BF270" s="150" t="s">
        <v>50</v>
      </c>
      <c r="BG270" s="159">
        <f t="shared" si="200"/>
        <v>0</v>
      </c>
      <c r="BH270" s="150" t="s">
        <v>46</v>
      </c>
      <c r="BI270" s="672">
        <f>IF(AND($Z270="b",Inventory!$P26="Btu/hr"),Inventory!$O26,IF(AND($Z270="b",Inventory!$P26="Tons"),Inventory!$O26*12000,IF(AND($Z270&lt;&gt;"b",Inventory!$AM26="Btu/hr"),Inventory!$AL26,IF(AND($Z270&lt;&gt;"b",Inventory!$AM26="Tons"),Inventory!$AL26*12000,0))))</f>
        <v>0</v>
      </c>
      <c r="BJ270" s="672">
        <f t="shared" si="201"/>
        <v>0</v>
      </c>
      <c r="BK270" s="608">
        <f t="shared" si="202"/>
        <v>0</v>
      </c>
      <c r="BL270" s="669" t="s">
        <v>567</v>
      </c>
      <c r="BM270" s="150" t="str">
        <f t="shared" si="203"/>
        <v>No</v>
      </c>
      <c r="BN270" s="150" t="str">
        <f>IF(OR(Inventory!$H26="",$BM270="No"),"-",Inventory!$H26)</f>
        <v>-</v>
      </c>
      <c r="BO270" s="150" t="str">
        <f>IFERROR(VLOOKUP(BN270,'Early Retirement'!$B$6:$C$33,2,FALSE),"-")</f>
        <v>-</v>
      </c>
      <c r="BP270" s="150" t="str">
        <f>IF(Inventory!$J26="Centrifugal","Yes","No")</f>
        <v>No</v>
      </c>
      <c r="BQ270" s="150">
        <f t="shared" si="204"/>
        <v>0</v>
      </c>
      <c r="BR270" s="150" t="str">
        <f t="shared" si="218"/>
        <v>-</v>
      </c>
      <c r="BS270" s="159">
        <f>IFERROR(INDEX('Early Retirement'!$C$4:$AC$33,$BO270,$BR270),0)</f>
        <v>0</v>
      </c>
      <c r="BT270" s="150">
        <f>IFERROR(HLOOKUP($BR270,'Early Retirement'!$D$4:$AC$5,2,FALSE),0)</f>
        <v>0</v>
      </c>
      <c r="BU270" s="678">
        <f>IFERROR(INDEX('Early Retirement'!$AE$4:$BE$33,$BO270,$BR270),0)</f>
        <v>0</v>
      </c>
      <c r="BV270" s="669">
        <f>IFERROR(HLOOKUP($BR270,'Early Retirement'!$AF$4:$BE$5,2,FALSE),0)</f>
        <v>0</v>
      </c>
      <c r="BW270" s="159">
        <f t="shared" si="206"/>
        <v>0</v>
      </c>
      <c r="BX270" s="678">
        <f t="shared" si="207"/>
        <v>0</v>
      </c>
      <c r="BY270" s="150" t="s">
        <v>46</v>
      </c>
      <c r="BZ270" s="608">
        <f>IFERROR(INDEX('Early Retirement'!$BG$4:$CG$33,$BO270,$BR270),0)</f>
        <v>0</v>
      </c>
      <c r="CA270" s="669">
        <f>IFERROR(HLOOKUP($BR270,'Early Retirement'!$BH$4:$CH$5,2,FALSE),0)</f>
        <v>0</v>
      </c>
      <c r="CB270" s="608">
        <f t="shared" si="208"/>
        <v>0</v>
      </c>
      <c r="CC270" s="669" t="s">
        <v>567</v>
      </c>
      <c r="CD270" s="150" t="str">
        <f t="shared" si="209"/>
        <v>Yes</v>
      </c>
      <c r="CE270" s="159">
        <f t="shared" si="210"/>
        <v>0</v>
      </c>
      <c r="CF270" s="678">
        <f t="shared" si="211"/>
        <v>0</v>
      </c>
      <c r="CG270" s="669" t="s">
        <v>46</v>
      </c>
      <c r="CH270" s="608">
        <f t="shared" si="217"/>
        <v>0</v>
      </c>
      <c r="CI270" s="669" t="s">
        <v>567</v>
      </c>
      <c r="CJ270" s="162">
        <f t="shared" si="212"/>
        <v>0</v>
      </c>
      <c r="CK270" s="602">
        <f t="shared" si="213"/>
        <v>0</v>
      </c>
      <c r="CL270" s="610" t="s">
        <v>46</v>
      </c>
      <c r="CM270" s="592">
        <f t="shared" si="214"/>
        <v>0</v>
      </c>
      <c r="CN270" s="665" t="s">
        <v>567</v>
      </c>
      <c r="CW270" s="630"/>
      <c r="CX270" s="630"/>
      <c r="CY270" s="630"/>
      <c r="CZ270" s="630"/>
      <c r="DA270" s="630"/>
    </row>
    <row r="271" spans="2:105" s="78" customFormat="1" ht="15" customHeight="1" x14ac:dyDescent="0.25">
      <c r="B271" s="77"/>
      <c r="H271" s="77"/>
      <c r="Y271" s="90">
        <v>18</v>
      </c>
      <c r="Z271" s="307" t="str">
        <f>IF(Inventory!$C27="","",VLOOKUP(Inventory!$C27,$B$7:$C$9,2,FALSE))</f>
        <v/>
      </c>
      <c r="AA271" s="307" t="str">
        <f>IF($Z271="","",IF(AND($Z271="b",Inventory!$G27=""),"",IF(AND($Z271="b",Inventory!$G27&lt;&gt;""),VLOOKUP(Inventory!$G27,$E$3:$F$10,2,FALSE),IF(AND($Z271="a",Inventory!$Z27=""),"",IF(AND($Z271="a",Inventory!$Z27&lt;&gt;""),VLOOKUP(Inventory!$Z27,$E$3:$F$10,2,FALSE),IF(AND($Z271="c",Inventory!$Z27=""),"",IF(AND($Z271="c",Inventory!$Z27&lt;&gt;""),VLOOKUP(Inventory!$Z27,$E$3:$F$10,2,FALSE),"")))))))</f>
        <v/>
      </c>
      <c r="AB271" s="307" t="str">
        <f>IF($Z271="","a",IF(AND($Z271="b",Inventory!$J27=""),"a",IF(AND($Z271="b",Inventory!$J27&lt;&gt;""),VLOOKUP(Inventory!$J27,$H$4:$I$6,2,FALSE),IF(AND($Z271="a",Inventory!$AA27=""),"a",IF(AND($Z271="a",Inventory!$AA27&lt;&gt;""),VLOOKUP(Inventory!$AA27,$H$4:$I$6,2,FALSE),IF(AND($Z271="c",Inventory!$AA27=""),"a",IF(AND($Z271="c",Inventory!$AA27&lt;&gt;""),VLOOKUP(Inventory!$AA27,$H$4:$I$6,2,FALSE),"a")))))))</f>
        <v>a</v>
      </c>
      <c r="AC271" s="307" t="str">
        <f t="shared" si="178"/>
        <v>a</v>
      </c>
      <c r="AD271" s="93" t="str">
        <f>IF($Z271="","a",IF(AND($Z271="b",Inventory!$L27=""),"a",IF(AND($Z271="b",Inventory!$L27&lt;&gt;""),VLOOKUP(Inventory!$L27,$N$4:$O$5,2,FALSE),IF(AND($Z271="a",Inventory!$AC27=""),"a",IF(AND($Z271="a",Inventory!$AC27&lt;&gt;""),VLOOKUP(Inventory!$AC27,$N$4:$O$5,2,FALSE),IF(AND($Z271="c",Inventory!$AC27=""),"a",IF(AND($Z271="c",Inventory!$AC27&lt;&gt;""),VLOOKUP(Inventory!$AC27,$N$4:$O$5,2,FALSE),"a")))))))</f>
        <v>a</v>
      </c>
      <c r="AE271" s="116">
        <f>IF(OR(Inventory!C27="New Construction",Inventory!C27="Replace-on-Burnout"),Inventory!AF27,IF(Inventory!C27="Early Retirement",MIN(Inventory!AE27,Inventory!AF27),0))</f>
        <v>0</v>
      </c>
      <c r="AF271" s="117" t="str">
        <f t="shared" si="179"/>
        <v/>
      </c>
      <c r="AG271" s="117" t="str">
        <f t="shared" si="180"/>
        <v/>
      </c>
      <c r="AH271" s="117" t="str">
        <f t="shared" si="181"/>
        <v/>
      </c>
      <c r="AI271" s="117" t="str">
        <f t="shared" si="182"/>
        <v/>
      </c>
      <c r="AJ271" s="117" t="str">
        <f t="shared" si="183"/>
        <v/>
      </c>
      <c r="AK271" s="117" t="str">
        <f t="shared" si="184"/>
        <v/>
      </c>
      <c r="AL271" s="117" t="str">
        <f t="shared" si="185"/>
        <v/>
      </c>
      <c r="AM271" s="117" t="str">
        <f t="shared" si="186"/>
        <v/>
      </c>
      <c r="AN271" s="117" t="str">
        <f t="shared" si="187"/>
        <v/>
      </c>
      <c r="AO271" s="117" t="str">
        <f t="shared" si="188"/>
        <v/>
      </c>
      <c r="AP271" s="117" t="str">
        <f t="shared" si="189"/>
        <v/>
      </c>
      <c r="AQ271" s="117" t="str">
        <f t="shared" si="190"/>
        <v/>
      </c>
      <c r="AR271" s="117" t="str">
        <f t="shared" si="191"/>
        <v/>
      </c>
      <c r="AS271" s="117" t="str">
        <f t="shared" si="215"/>
        <v/>
      </c>
      <c r="AT271" s="117" t="str">
        <f t="shared" si="192"/>
        <v/>
      </c>
      <c r="AU271" s="117" t="str">
        <f t="shared" si="193"/>
        <v/>
      </c>
      <c r="AV271" s="117" t="str">
        <f t="shared" si="194"/>
        <v/>
      </c>
      <c r="AW271" s="93">
        <f t="shared" si="195"/>
        <v>0</v>
      </c>
      <c r="AX271" s="93" t="str">
        <f>IF(AND($Z271="b",OR($AA271="a",$AA271="b"),Inventory!$I27="",$AE271&lt;(65000/12000)),"x",IF(AND($Z271="b",OR($AA271="a",$AA271="b"),Inventory!$I27&lt;&gt;"",$AE271&lt;(65000/12000)),VLOOKUP(Inventory!$I278,$V$4:$W$5,2,FALSE),"x"))</f>
        <v>x</v>
      </c>
      <c r="AY271" s="146" t="str">
        <f t="shared" si="196"/>
        <v>aaa0</v>
      </c>
      <c r="AZ271" s="150" t="str">
        <f t="shared" si="197"/>
        <v>No</v>
      </c>
      <c r="BA271" s="669" t="str">
        <f t="shared" si="198"/>
        <v>No</v>
      </c>
      <c r="BB271" s="150">
        <f>IF($Z271="c",Inventory!$AB27,Inventory!$K27)</f>
        <v>0</v>
      </c>
      <c r="BC271" s="153">
        <f>IF(AND($Z271="b",Inventory!$N27="Btu/hr"),Inventory!$M27,IF(AND($Z271="b",Inventory!$N27="Tons"),Inventory!$M27*12000,IF(AND($Z271&lt;&gt;"b",Inventory!$AK27="Btu/hr"),Inventory!$AD27,IF(AND($Z271&lt;&gt;"b",Inventory!$AK27="Tons"),Inventory!$AD27*12000,0))))</f>
        <v>0</v>
      </c>
      <c r="BD271" s="153">
        <f t="shared" si="199"/>
        <v>0</v>
      </c>
      <c r="BE271" s="159">
        <f t="shared" si="216"/>
        <v>0</v>
      </c>
      <c r="BF271" s="150" t="s">
        <v>50</v>
      </c>
      <c r="BG271" s="159">
        <f t="shared" si="200"/>
        <v>0</v>
      </c>
      <c r="BH271" s="150" t="s">
        <v>46</v>
      </c>
      <c r="BI271" s="672">
        <f>IF(AND($Z271="b",Inventory!$P27="Btu/hr"),Inventory!$O27,IF(AND($Z271="b",Inventory!$P27="Tons"),Inventory!$O27*12000,IF(AND($Z271&lt;&gt;"b",Inventory!$AM27="Btu/hr"),Inventory!$AL27,IF(AND($Z271&lt;&gt;"b",Inventory!$AM27="Tons"),Inventory!$AL27*12000,0))))</f>
        <v>0</v>
      </c>
      <c r="BJ271" s="672">
        <f t="shared" si="201"/>
        <v>0</v>
      </c>
      <c r="BK271" s="608">
        <f t="shared" si="202"/>
        <v>0</v>
      </c>
      <c r="BL271" s="669" t="s">
        <v>567</v>
      </c>
      <c r="BM271" s="150" t="str">
        <f t="shared" si="203"/>
        <v>No</v>
      </c>
      <c r="BN271" s="150" t="str">
        <f>IF(OR(Inventory!$H27="",$BM271="No"),"-",Inventory!$H27)</f>
        <v>-</v>
      </c>
      <c r="BO271" s="150" t="str">
        <f>IFERROR(VLOOKUP(BN271,'Early Retirement'!$B$6:$C$33,2,FALSE),"-")</f>
        <v>-</v>
      </c>
      <c r="BP271" s="150" t="str">
        <f>IF(Inventory!$J27="Centrifugal","Yes","No")</f>
        <v>No</v>
      </c>
      <c r="BQ271" s="150">
        <f t="shared" si="204"/>
        <v>0</v>
      </c>
      <c r="BR271" s="150" t="str">
        <f t="shared" si="218"/>
        <v>-</v>
      </c>
      <c r="BS271" s="159">
        <f>IFERROR(INDEX('Early Retirement'!$C$4:$AC$33,$BO271,$BR271),0)</f>
        <v>0</v>
      </c>
      <c r="BT271" s="150">
        <f>IFERROR(HLOOKUP($BR271,'Early Retirement'!$D$4:$AC$5,2,FALSE),0)</f>
        <v>0</v>
      </c>
      <c r="BU271" s="678">
        <f>IFERROR(INDEX('Early Retirement'!$AE$4:$BE$33,$BO271,$BR271),0)</f>
        <v>0</v>
      </c>
      <c r="BV271" s="669">
        <f>IFERROR(HLOOKUP($BR271,'Early Retirement'!$AF$4:$BE$5,2,FALSE),0)</f>
        <v>0</v>
      </c>
      <c r="BW271" s="159">
        <f t="shared" si="206"/>
        <v>0</v>
      </c>
      <c r="BX271" s="678">
        <f t="shared" si="207"/>
        <v>0</v>
      </c>
      <c r="BY271" s="150" t="s">
        <v>46</v>
      </c>
      <c r="BZ271" s="608">
        <f>IFERROR(INDEX('Early Retirement'!$BG$4:$CG$33,$BO271,$BR271),0)</f>
        <v>0</v>
      </c>
      <c r="CA271" s="669">
        <f>IFERROR(HLOOKUP($BR271,'Early Retirement'!$BH$4:$CH$5,2,FALSE),0)</f>
        <v>0</v>
      </c>
      <c r="CB271" s="608">
        <f t="shared" si="208"/>
        <v>0</v>
      </c>
      <c r="CC271" s="669" t="s">
        <v>567</v>
      </c>
      <c r="CD271" s="150" t="str">
        <f t="shared" si="209"/>
        <v>Yes</v>
      </c>
      <c r="CE271" s="159">
        <f t="shared" si="210"/>
        <v>0</v>
      </c>
      <c r="CF271" s="678">
        <f t="shared" si="211"/>
        <v>0</v>
      </c>
      <c r="CG271" s="669" t="s">
        <v>46</v>
      </c>
      <c r="CH271" s="608">
        <f t="shared" si="217"/>
        <v>0</v>
      </c>
      <c r="CI271" s="669" t="s">
        <v>567</v>
      </c>
      <c r="CJ271" s="162">
        <f t="shared" si="212"/>
        <v>0</v>
      </c>
      <c r="CK271" s="602">
        <f t="shared" si="213"/>
        <v>0</v>
      </c>
      <c r="CL271" s="610" t="s">
        <v>46</v>
      </c>
      <c r="CM271" s="592">
        <f t="shared" si="214"/>
        <v>0</v>
      </c>
      <c r="CN271" s="665" t="s">
        <v>567</v>
      </c>
      <c r="CW271" s="630"/>
      <c r="CX271" s="630"/>
      <c r="CY271" s="630"/>
      <c r="CZ271" s="630"/>
      <c r="DA271" s="630"/>
    </row>
    <row r="272" spans="2:105" s="78" customFormat="1" ht="15" customHeight="1" x14ac:dyDescent="0.25">
      <c r="B272" s="77"/>
      <c r="H272" s="77"/>
      <c r="Y272" s="90">
        <v>19</v>
      </c>
      <c r="Z272" s="307" t="str">
        <f>IF(Inventory!$C28="","",VLOOKUP(Inventory!$C28,$B$7:$C$9,2,FALSE))</f>
        <v/>
      </c>
      <c r="AA272" s="307" t="str">
        <f>IF($Z272="","",IF(AND($Z272="b",Inventory!$G28=""),"",IF(AND($Z272="b",Inventory!$G28&lt;&gt;""),VLOOKUP(Inventory!$G28,$E$3:$F$10,2,FALSE),IF(AND($Z272="a",Inventory!$Z28=""),"",IF(AND($Z272="a",Inventory!$Z28&lt;&gt;""),VLOOKUP(Inventory!$Z28,$E$3:$F$10,2,FALSE),IF(AND($Z272="c",Inventory!$Z28=""),"",IF(AND($Z272="c",Inventory!$Z28&lt;&gt;""),VLOOKUP(Inventory!$Z28,$E$3:$F$10,2,FALSE),"")))))))</f>
        <v/>
      </c>
      <c r="AB272" s="307" t="str">
        <f>IF($Z272="","a",IF(AND($Z272="b",Inventory!$J28=""),"a",IF(AND($Z272="b",Inventory!$J28&lt;&gt;""),VLOOKUP(Inventory!$J28,$H$4:$I$6,2,FALSE),IF(AND($Z272="a",Inventory!$AA28=""),"a",IF(AND($Z272="a",Inventory!$AA28&lt;&gt;""),VLOOKUP(Inventory!$AA28,$H$4:$I$6,2,FALSE),IF(AND($Z272="c",Inventory!$AA28=""),"a",IF(AND($Z272="c",Inventory!$AA28&lt;&gt;""),VLOOKUP(Inventory!$AA28,$H$4:$I$6,2,FALSE),"a")))))))</f>
        <v>a</v>
      </c>
      <c r="AC272" s="307" t="str">
        <f t="shared" si="178"/>
        <v>a</v>
      </c>
      <c r="AD272" s="93" t="str">
        <f>IF($Z272="","a",IF(AND($Z272="b",Inventory!$L28=""),"a",IF(AND($Z272="b",Inventory!$L28&lt;&gt;""),VLOOKUP(Inventory!$L28,$N$4:$O$5,2,FALSE),IF(AND($Z272="a",Inventory!$AC28=""),"a",IF(AND($Z272="a",Inventory!$AC28&lt;&gt;""),VLOOKUP(Inventory!$AC28,$N$4:$O$5,2,FALSE),IF(AND($Z272="c",Inventory!$AC28=""),"a",IF(AND($Z272="c",Inventory!$AC28&lt;&gt;""),VLOOKUP(Inventory!$AC28,$N$4:$O$5,2,FALSE),"a")))))))</f>
        <v>a</v>
      </c>
      <c r="AE272" s="116">
        <f>IF(OR(Inventory!C28="New Construction",Inventory!C28="Replace-on-Burnout"),Inventory!AF28,IF(Inventory!C28="Early Retirement",MIN(Inventory!AE28,Inventory!AF28),0))</f>
        <v>0</v>
      </c>
      <c r="AF272" s="117" t="str">
        <f t="shared" si="179"/>
        <v/>
      </c>
      <c r="AG272" s="117" t="str">
        <f t="shared" si="180"/>
        <v/>
      </c>
      <c r="AH272" s="117" t="str">
        <f t="shared" si="181"/>
        <v/>
      </c>
      <c r="AI272" s="117" t="str">
        <f t="shared" si="182"/>
        <v/>
      </c>
      <c r="AJ272" s="117" t="str">
        <f t="shared" si="183"/>
        <v/>
      </c>
      <c r="AK272" s="117" t="str">
        <f t="shared" si="184"/>
        <v/>
      </c>
      <c r="AL272" s="117" t="str">
        <f t="shared" si="185"/>
        <v/>
      </c>
      <c r="AM272" s="117" t="str">
        <f t="shared" si="186"/>
        <v/>
      </c>
      <c r="AN272" s="117" t="str">
        <f t="shared" si="187"/>
        <v/>
      </c>
      <c r="AO272" s="117" t="str">
        <f t="shared" si="188"/>
        <v/>
      </c>
      <c r="AP272" s="117" t="str">
        <f t="shared" si="189"/>
        <v/>
      </c>
      <c r="AQ272" s="117" t="str">
        <f t="shared" si="190"/>
        <v/>
      </c>
      <c r="AR272" s="117" t="str">
        <f t="shared" si="191"/>
        <v/>
      </c>
      <c r="AS272" s="117" t="str">
        <f t="shared" si="215"/>
        <v/>
      </c>
      <c r="AT272" s="117" t="str">
        <f t="shared" si="192"/>
        <v/>
      </c>
      <c r="AU272" s="117" t="str">
        <f t="shared" si="193"/>
        <v/>
      </c>
      <c r="AV272" s="117" t="str">
        <f t="shared" si="194"/>
        <v/>
      </c>
      <c r="AW272" s="93">
        <f t="shared" si="195"/>
        <v>0</v>
      </c>
      <c r="AX272" s="93" t="str">
        <f>IF(AND($Z272="b",OR($AA272="a",$AA272="b"),Inventory!$I28="",$AE272&lt;(65000/12000)),"x",IF(AND($Z272="b",OR($AA272="a",$AA272="b"),Inventory!$I28&lt;&gt;"",$AE272&lt;(65000/12000)),VLOOKUP(Inventory!$I279,$V$4:$W$5,2,FALSE),"x"))</f>
        <v>x</v>
      </c>
      <c r="AY272" s="146" t="str">
        <f t="shared" si="196"/>
        <v>aaa0</v>
      </c>
      <c r="AZ272" s="150" t="str">
        <f t="shared" si="197"/>
        <v>No</v>
      </c>
      <c r="BA272" s="669" t="str">
        <f t="shared" si="198"/>
        <v>No</v>
      </c>
      <c r="BB272" s="150">
        <f>IF($Z272="c",Inventory!$AB28,Inventory!$K28)</f>
        <v>0</v>
      </c>
      <c r="BC272" s="153">
        <f>IF(AND($Z272="b",Inventory!$N28="Btu/hr"),Inventory!$M28,IF(AND($Z272="b",Inventory!$N28="Tons"),Inventory!$M28*12000,IF(AND($Z272&lt;&gt;"b",Inventory!$AK28="Btu/hr"),Inventory!$AD28,IF(AND($Z272&lt;&gt;"b",Inventory!$AK28="Tons"),Inventory!$AD28*12000,0))))</f>
        <v>0</v>
      </c>
      <c r="BD272" s="153">
        <f t="shared" si="199"/>
        <v>0</v>
      </c>
      <c r="BE272" s="159">
        <f t="shared" si="216"/>
        <v>0</v>
      </c>
      <c r="BF272" s="150" t="s">
        <v>50</v>
      </c>
      <c r="BG272" s="159">
        <f t="shared" si="200"/>
        <v>0</v>
      </c>
      <c r="BH272" s="150" t="s">
        <v>46</v>
      </c>
      <c r="BI272" s="672">
        <f>IF(AND($Z272="b",Inventory!$P28="Btu/hr"),Inventory!$O28,IF(AND($Z272="b",Inventory!$P28="Tons"),Inventory!$O28*12000,IF(AND($Z272&lt;&gt;"b",Inventory!$AM28="Btu/hr"),Inventory!$AL28,IF(AND($Z272&lt;&gt;"b",Inventory!$AM28="Tons"),Inventory!$AL28*12000,0))))</f>
        <v>0</v>
      </c>
      <c r="BJ272" s="672">
        <f t="shared" si="201"/>
        <v>0</v>
      </c>
      <c r="BK272" s="608">
        <f t="shared" si="202"/>
        <v>0</v>
      </c>
      <c r="BL272" s="669" t="s">
        <v>567</v>
      </c>
      <c r="BM272" s="150" t="str">
        <f t="shared" si="203"/>
        <v>No</v>
      </c>
      <c r="BN272" s="150" t="str">
        <f>IF(OR(Inventory!$H28="",$BM272="No"),"-",Inventory!$H28)</f>
        <v>-</v>
      </c>
      <c r="BO272" s="150" t="str">
        <f>IFERROR(VLOOKUP(BN272,'Early Retirement'!$B$6:$C$33,2,FALSE),"-")</f>
        <v>-</v>
      </c>
      <c r="BP272" s="150" t="str">
        <f>IF(Inventory!$J28="Centrifugal","Yes","No")</f>
        <v>No</v>
      </c>
      <c r="BQ272" s="150">
        <f t="shared" si="204"/>
        <v>0</v>
      </c>
      <c r="BR272" s="150" t="str">
        <f t="shared" si="218"/>
        <v>-</v>
      </c>
      <c r="BS272" s="159">
        <f>IFERROR(INDEX('Early Retirement'!$C$4:$AC$33,$BO272,$BR272),0)</f>
        <v>0</v>
      </c>
      <c r="BT272" s="150">
        <f>IFERROR(HLOOKUP($BR272,'Early Retirement'!$D$4:$AC$5,2,FALSE),0)</f>
        <v>0</v>
      </c>
      <c r="BU272" s="678">
        <f>IFERROR(INDEX('Early Retirement'!$AE$4:$BE$33,$BO272,$BR272),0)</f>
        <v>0</v>
      </c>
      <c r="BV272" s="669">
        <f>IFERROR(HLOOKUP($BR272,'Early Retirement'!$AF$4:$BE$5,2,FALSE),0)</f>
        <v>0</v>
      </c>
      <c r="BW272" s="159">
        <f t="shared" si="206"/>
        <v>0</v>
      </c>
      <c r="BX272" s="678">
        <f t="shared" si="207"/>
        <v>0</v>
      </c>
      <c r="BY272" s="150" t="s">
        <v>46</v>
      </c>
      <c r="BZ272" s="608">
        <f>IFERROR(INDEX('Early Retirement'!$BG$4:$CG$33,$BO272,$BR272),0)</f>
        <v>0</v>
      </c>
      <c r="CA272" s="669">
        <f>IFERROR(HLOOKUP($BR272,'Early Retirement'!$BH$4:$CH$5,2,FALSE),0)</f>
        <v>0</v>
      </c>
      <c r="CB272" s="608">
        <f t="shared" si="208"/>
        <v>0</v>
      </c>
      <c r="CC272" s="669" t="s">
        <v>567</v>
      </c>
      <c r="CD272" s="150" t="str">
        <f t="shared" si="209"/>
        <v>Yes</v>
      </c>
      <c r="CE272" s="159">
        <f t="shared" si="210"/>
        <v>0</v>
      </c>
      <c r="CF272" s="678">
        <f t="shared" si="211"/>
        <v>0</v>
      </c>
      <c r="CG272" s="669" t="s">
        <v>46</v>
      </c>
      <c r="CH272" s="608">
        <f t="shared" si="217"/>
        <v>0</v>
      </c>
      <c r="CI272" s="669" t="s">
        <v>567</v>
      </c>
      <c r="CJ272" s="162">
        <f t="shared" si="212"/>
        <v>0</v>
      </c>
      <c r="CK272" s="602">
        <f t="shared" si="213"/>
        <v>0</v>
      </c>
      <c r="CL272" s="610" t="s">
        <v>46</v>
      </c>
      <c r="CM272" s="592">
        <f t="shared" si="214"/>
        <v>0</v>
      </c>
      <c r="CN272" s="665" t="s">
        <v>567</v>
      </c>
      <c r="CW272" s="630"/>
      <c r="CX272" s="630"/>
      <c r="CY272" s="630"/>
      <c r="CZ272" s="630"/>
      <c r="DA272" s="630"/>
    </row>
    <row r="273" spans="2:105" s="78" customFormat="1" ht="15" customHeight="1" x14ac:dyDescent="0.25">
      <c r="B273" s="77"/>
      <c r="H273" s="77"/>
      <c r="Y273" s="90">
        <v>20</v>
      </c>
      <c r="Z273" s="472" t="str">
        <f>IF(Inventory!$C29="","",VLOOKUP(Inventory!$C29,$B$7:$C$9,2,FALSE))</f>
        <v/>
      </c>
      <c r="AA273" s="472" t="str">
        <f>IF($Z273="","",IF(AND($Z273="b",Inventory!$G29=""),"",IF(AND($Z273="b",Inventory!$G29&lt;&gt;""),VLOOKUP(Inventory!$G29,$E$3:$F$10,2,FALSE),IF(AND($Z273="a",Inventory!$Z29=""),"",IF(AND($Z273="a",Inventory!$Z29&lt;&gt;""),VLOOKUP(Inventory!$Z29,$E$3:$F$10,2,FALSE),IF(AND($Z273="c",Inventory!$Z29=""),"",IF(AND($Z273="c",Inventory!$Z29&lt;&gt;""),VLOOKUP(Inventory!$Z29,$E$3:$F$10,2,FALSE),"")))))))</f>
        <v/>
      </c>
      <c r="AB273" s="472" t="str">
        <f>IF($Z273="","a",IF(AND($Z273="b",Inventory!$J29=""),"a",IF(AND($Z273="b",Inventory!$J29&lt;&gt;""),VLOOKUP(Inventory!$J29,$H$4:$I$6,2,FALSE),IF(AND($Z273="a",Inventory!$AA29=""),"a",IF(AND($Z273="a",Inventory!$AA29&lt;&gt;""),VLOOKUP(Inventory!$AA29,$H$4:$I$6,2,FALSE),IF(AND($Z273="c",Inventory!$AA29=""),"a",IF(AND($Z273="c",Inventory!$AA29&lt;&gt;""),VLOOKUP(Inventory!$AA29,$H$4:$I$6,2,FALSE),"a")))))))</f>
        <v>a</v>
      </c>
      <c r="AC273" s="506" t="str">
        <f t="shared" si="178"/>
        <v>a</v>
      </c>
      <c r="AD273" s="473" t="str">
        <f>IF($Z273="","a",IF(AND($Z273="b",Inventory!$L29=""),"a",IF(AND($Z273="b",Inventory!$L29&lt;&gt;""),VLOOKUP(Inventory!$L29,$N$4:$O$5,2,FALSE),IF(AND($Z273="a",Inventory!$AC29=""),"a",IF(AND($Z273="a",Inventory!$AC29&lt;&gt;""),VLOOKUP(Inventory!$AC29,$N$4:$O$5,2,FALSE),IF(AND($Z273="c",Inventory!$AC29=""),"a",IF(AND($Z273="c",Inventory!$AC29&lt;&gt;""),VLOOKUP(Inventory!$AC29,$N$4:$O$5,2,FALSE),"a")))))))</f>
        <v>a</v>
      </c>
      <c r="AE273" s="474">
        <f>IF(OR(Inventory!C29="New Construction",Inventory!C29="Replace-on-Burnout"),Inventory!AF29,IF(Inventory!C29="Early Retirement",MIN(Inventory!AE29,Inventory!AF29),0))</f>
        <v>0</v>
      </c>
      <c r="AF273" s="475" t="str">
        <f t="shared" si="179"/>
        <v/>
      </c>
      <c r="AG273" s="475" t="str">
        <f t="shared" si="180"/>
        <v/>
      </c>
      <c r="AH273" s="475" t="str">
        <f t="shared" si="181"/>
        <v/>
      </c>
      <c r="AI273" s="475" t="str">
        <f t="shared" si="182"/>
        <v/>
      </c>
      <c r="AJ273" s="475" t="str">
        <f t="shared" si="183"/>
        <v/>
      </c>
      <c r="AK273" s="475" t="str">
        <f t="shared" si="184"/>
        <v/>
      </c>
      <c r="AL273" s="475" t="str">
        <f t="shared" si="185"/>
        <v/>
      </c>
      <c r="AM273" s="475" t="str">
        <f t="shared" si="186"/>
        <v/>
      </c>
      <c r="AN273" s="475" t="str">
        <f t="shared" si="187"/>
        <v/>
      </c>
      <c r="AO273" s="475" t="str">
        <f t="shared" si="188"/>
        <v/>
      </c>
      <c r="AP273" s="475" t="str">
        <f t="shared" si="189"/>
        <v/>
      </c>
      <c r="AQ273" s="475" t="str">
        <f t="shared" si="190"/>
        <v/>
      </c>
      <c r="AR273" s="475" t="str">
        <f t="shared" si="191"/>
        <v/>
      </c>
      <c r="AS273" s="475" t="str">
        <f t="shared" si="215"/>
        <v/>
      </c>
      <c r="AT273" s="475" t="str">
        <f t="shared" si="192"/>
        <v/>
      </c>
      <c r="AU273" s="475" t="str">
        <f t="shared" si="193"/>
        <v/>
      </c>
      <c r="AV273" s="475" t="str">
        <f t="shared" si="194"/>
        <v/>
      </c>
      <c r="AW273" s="473">
        <f t="shared" si="195"/>
        <v>0</v>
      </c>
      <c r="AX273" s="473" t="str">
        <f>IF(AND($Z273="b",OR($AA273="a",$AA273="b"),Inventory!$I29="",$AE273&lt;(65000/12000)),"x",IF(AND($Z273="b",OR($AA273="a",$AA273="b"),Inventory!$I29&lt;&gt;"",$AE273&lt;(65000/12000)),VLOOKUP(Inventory!$I280,$V$4:$W$5,2,FALSE),"x"))</f>
        <v>x</v>
      </c>
      <c r="AY273" s="476" t="str">
        <f t="shared" si="196"/>
        <v>aaa0</v>
      </c>
      <c r="AZ273" s="477" t="str">
        <f t="shared" si="197"/>
        <v>No</v>
      </c>
      <c r="BA273" s="759" t="str">
        <f t="shared" si="198"/>
        <v>No</v>
      </c>
      <c r="BB273" s="477">
        <f>IF($Z273="c",Inventory!$AB29,Inventory!$K29)</f>
        <v>0</v>
      </c>
      <c r="BC273" s="478">
        <f>IF(AND($Z273="b",Inventory!$N29="Btu/hr"),Inventory!$M29,IF(AND($Z273="b",Inventory!$N29="Tons"),Inventory!$M29*12000,IF(AND($Z273&lt;&gt;"b",Inventory!$AK29="Btu/hr"),Inventory!$AD29,IF(AND($Z273&lt;&gt;"b",Inventory!$AK29="Tons"),Inventory!$AD29*12000,0))))</f>
        <v>0</v>
      </c>
      <c r="BD273" s="478">
        <f t="shared" si="199"/>
        <v>0</v>
      </c>
      <c r="BE273" s="479">
        <f t="shared" si="216"/>
        <v>0</v>
      </c>
      <c r="BF273" s="477" t="s">
        <v>50</v>
      </c>
      <c r="BG273" s="479">
        <f t="shared" si="200"/>
        <v>0</v>
      </c>
      <c r="BH273" s="477" t="s">
        <v>46</v>
      </c>
      <c r="BI273" s="760">
        <f>IF(AND($Z273="b",Inventory!$P29="Btu/hr"),Inventory!$O29,IF(AND($Z273="b",Inventory!$P29="Tons"),Inventory!$O29*12000,IF(AND($Z273&lt;&gt;"b",Inventory!$AM29="Btu/hr"),Inventory!$AL29,IF(AND($Z273&lt;&gt;"b",Inventory!$AM29="Tons"),Inventory!$AL29*12000,0))))</f>
        <v>0</v>
      </c>
      <c r="BJ273" s="760">
        <f t="shared" si="201"/>
        <v>0</v>
      </c>
      <c r="BK273" s="598">
        <f t="shared" si="202"/>
        <v>0</v>
      </c>
      <c r="BL273" s="759" t="s">
        <v>567</v>
      </c>
      <c r="BM273" s="477" t="str">
        <f t="shared" si="203"/>
        <v>No</v>
      </c>
      <c r="BN273" s="477" t="str">
        <f>IF(OR(Inventory!$H29="",$BM273="No"),"-",Inventory!$H29)</f>
        <v>-</v>
      </c>
      <c r="BO273" s="477" t="str">
        <f>IFERROR(VLOOKUP(BN273,'Early Retirement'!$B$6:$C$33,2,FALSE),"-")</f>
        <v>-</v>
      </c>
      <c r="BP273" s="477" t="str">
        <f>IF(Inventory!$J29="Centrifugal","Yes","No")</f>
        <v>No</v>
      </c>
      <c r="BQ273" s="477">
        <f t="shared" si="204"/>
        <v>0</v>
      </c>
      <c r="BR273" s="477" t="str">
        <f t="shared" si="218"/>
        <v>-</v>
      </c>
      <c r="BS273" s="479">
        <f>IFERROR(INDEX('Early Retirement'!$C$4:$AC$33,$BO273,$BR273),0)</f>
        <v>0</v>
      </c>
      <c r="BT273" s="477">
        <f>IFERROR(HLOOKUP($BR273,'Early Retirement'!$D$4:$AC$5,2,FALSE),0)</f>
        <v>0</v>
      </c>
      <c r="BU273" s="761">
        <f>IFERROR(INDEX('Early Retirement'!$AE$4:$BE$33,$BO273,$BR273),0)</f>
        <v>0</v>
      </c>
      <c r="BV273" s="759">
        <f>IFERROR(HLOOKUP($BR273,'Early Retirement'!$AF$4:$BE$5,2,FALSE),0)</f>
        <v>0</v>
      </c>
      <c r="BW273" s="479">
        <f t="shared" si="206"/>
        <v>0</v>
      </c>
      <c r="BX273" s="761">
        <f t="shared" si="207"/>
        <v>0</v>
      </c>
      <c r="BY273" s="477" t="s">
        <v>46</v>
      </c>
      <c r="BZ273" s="598">
        <f>IFERROR(INDEX('Early Retirement'!$BG$4:$CG$33,$BO273,$BR273),0)</f>
        <v>0</v>
      </c>
      <c r="CA273" s="759">
        <f>IFERROR(HLOOKUP($BR273,'Early Retirement'!$BH$4:$CH$5,2,FALSE),0)</f>
        <v>0</v>
      </c>
      <c r="CB273" s="598">
        <f t="shared" si="208"/>
        <v>0</v>
      </c>
      <c r="CC273" s="759" t="s">
        <v>567</v>
      </c>
      <c r="CD273" s="477" t="str">
        <f t="shared" si="209"/>
        <v>Yes</v>
      </c>
      <c r="CE273" s="479">
        <f t="shared" si="210"/>
        <v>0</v>
      </c>
      <c r="CF273" s="761">
        <f t="shared" si="211"/>
        <v>0</v>
      </c>
      <c r="CG273" s="759" t="s">
        <v>46</v>
      </c>
      <c r="CH273" s="598">
        <f t="shared" si="217"/>
        <v>0</v>
      </c>
      <c r="CI273" s="759" t="s">
        <v>567</v>
      </c>
      <c r="CJ273" s="480">
        <f t="shared" si="212"/>
        <v>0</v>
      </c>
      <c r="CK273" s="583">
        <f t="shared" si="213"/>
        <v>0</v>
      </c>
      <c r="CL273" s="596" t="s">
        <v>46</v>
      </c>
      <c r="CM273" s="581">
        <f t="shared" si="214"/>
        <v>0</v>
      </c>
      <c r="CN273" s="762" t="s">
        <v>567</v>
      </c>
      <c r="CW273" s="630"/>
      <c r="CX273" s="630"/>
      <c r="CY273" s="630"/>
      <c r="CZ273" s="630"/>
      <c r="DA273" s="630"/>
    </row>
    <row r="274" spans="2:105" s="78" customFormat="1" ht="15" customHeight="1" x14ac:dyDescent="0.25">
      <c r="B274" s="77"/>
      <c r="H274" s="77"/>
      <c r="Y274" s="90">
        <v>21</v>
      </c>
      <c r="Z274" s="472" t="str">
        <f>IF(Inventory!$C30="","",VLOOKUP(Inventory!$C30,$B$7:$C$9,2,FALSE))</f>
        <v/>
      </c>
      <c r="AA274" s="472" t="str">
        <f>IF($Z274="","",IF(AND($Z274="b",Inventory!$G30=""),"",IF(AND($Z274="b",Inventory!$G30&lt;&gt;""),VLOOKUP(Inventory!$G30,$E$3:$F$10,2,FALSE),IF(AND($Z274="a",Inventory!$Z30=""),"",IF(AND($Z274="a",Inventory!$Z30&lt;&gt;""),VLOOKUP(Inventory!$Z30,$E$3:$F$10,2,FALSE),IF(AND($Z274="c",Inventory!$Z30=""),"",IF(AND($Z274="c",Inventory!$Z30&lt;&gt;""),VLOOKUP(Inventory!$Z30,$E$3:$F$10,2,FALSE),"")))))))</f>
        <v/>
      </c>
      <c r="AB274" s="472" t="str">
        <f>IF($Z274="","a",IF(AND($Z274="b",Inventory!$J30=""),"a",IF(AND($Z274="b",Inventory!$J30&lt;&gt;""),VLOOKUP(Inventory!$J30,$H$4:$I$6,2,FALSE),IF(AND($Z274="a",Inventory!$AA30=""),"a",IF(AND($Z274="a",Inventory!$AA30&lt;&gt;""),VLOOKUP(Inventory!$AA30,$H$4:$I$6,2,FALSE),IF(AND($Z274="c",Inventory!$AA30=""),"a",IF(AND($Z274="c",Inventory!$AA30&lt;&gt;""),VLOOKUP(Inventory!$AA30,$H$4:$I$6,2,FALSE),"a")))))))</f>
        <v>a</v>
      </c>
      <c r="AC274" s="506" t="str">
        <f t="shared" si="178"/>
        <v>a</v>
      </c>
      <c r="AD274" s="473" t="str">
        <f>IF($Z274="","a",IF(AND($Z274="b",Inventory!$L30=""),"a",IF(AND($Z274="b",Inventory!$L30&lt;&gt;""),VLOOKUP(Inventory!$L30,$N$4:$O$5,2,FALSE),IF(AND($Z274="a",Inventory!$AC30=""),"a",IF(AND($Z274="a",Inventory!$AC30&lt;&gt;""),VLOOKUP(Inventory!$AC30,$N$4:$O$5,2,FALSE),IF(AND($Z274="c",Inventory!$AC30=""),"a",IF(AND($Z274="c",Inventory!$AC30&lt;&gt;""),VLOOKUP(Inventory!$AC30,$N$4:$O$5,2,FALSE),"a")))))))</f>
        <v>a</v>
      </c>
      <c r="AE274" s="474">
        <f>IF(OR(Inventory!C30="New Construction",Inventory!C30="Replace-on-Burnout"),Inventory!AF30,IF(Inventory!C30="Early Retirement",MIN(Inventory!AE30,Inventory!AF30),0))</f>
        <v>0</v>
      </c>
      <c r="AF274" s="475" t="str">
        <f t="shared" si="179"/>
        <v/>
      </c>
      <c r="AG274" s="475" t="str">
        <f t="shared" si="180"/>
        <v/>
      </c>
      <c r="AH274" s="475" t="str">
        <f t="shared" si="181"/>
        <v/>
      </c>
      <c r="AI274" s="475" t="str">
        <f t="shared" si="182"/>
        <v/>
      </c>
      <c r="AJ274" s="475" t="str">
        <f t="shared" si="183"/>
        <v/>
      </c>
      <c r="AK274" s="475" t="str">
        <f t="shared" si="184"/>
        <v/>
      </c>
      <c r="AL274" s="475" t="str">
        <f t="shared" si="185"/>
        <v/>
      </c>
      <c r="AM274" s="475" t="str">
        <f t="shared" si="186"/>
        <v/>
      </c>
      <c r="AN274" s="475" t="str">
        <f t="shared" si="187"/>
        <v/>
      </c>
      <c r="AO274" s="475" t="str">
        <f t="shared" si="188"/>
        <v/>
      </c>
      <c r="AP274" s="475" t="str">
        <f t="shared" si="189"/>
        <v/>
      </c>
      <c r="AQ274" s="475" t="str">
        <f t="shared" si="190"/>
        <v/>
      </c>
      <c r="AR274" s="475" t="str">
        <f t="shared" si="191"/>
        <v/>
      </c>
      <c r="AS274" s="475" t="str">
        <f t="shared" si="215"/>
        <v/>
      </c>
      <c r="AT274" s="475" t="str">
        <f t="shared" si="192"/>
        <v/>
      </c>
      <c r="AU274" s="475" t="str">
        <f t="shared" si="193"/>
        <v/>
      </c>
      <c r="AV274" s="475" t="str">
        <f t="shared" si="194"/>
        <v/>
      </c>
      <c r="AW274" s="473">
        <f t="shared" si="195"/>
        <v>0</v>
      </c>
      <c r="AX274" s="473" t="str">
        <f>IF(AND($Z274="b",OR($AA274="a",$AA274="b"),Inventory!$I30="",$AE274&lt;(65000/12000)),"x",IF(AND($Z274="b",OR($AA274="a",$AA274="b"),Inventory!$I30&lt;&gt;"",$AE274&lt;(65000/12000)),VLOOKUP(Inventory!$I281,$V$4:$W$5,2,FALSE),"x"))</f>
        <v>x</v>
      </c>
      <c r="AY274" s="476" t="str">
        <f t="shared" si="196"/>
        <v>aaa0</v>
      </c>
      <c r="AZ274" s="477" t="str">
        <f t="shared" si="197"/>
        <v>No</v>
      </c>
      <c r="BA274" s="759" t="str">
        <f t="shared" si="198"/>
        <v>No</v>
      </c>
      <c r="BB274" s="477">
        <f>IF($Z274="c",Inventory!$AB30,Inventory!$K30)</f>
        <v>0</v>
      </c>
      <c r="BC274" s="478">
        <f>IF(AND($Z274="b",Inventory!$N30="Btu/hr"),Inventory!$M30,IF(AND($Z274="b",Inventory!$N30="Tons"),Inventory!$M30*12000,IF(AND($Z274&lt;&gt;"b",Inventory!$AK30="Btu/hr"),Inventory!$AD30,IF(AND($Z274&lt;&gt;"b",Inventory!$AK30="Tons"),Inventory!$AD30*12000,0))))</f>
        <v>0</v>
      </c>
      <c r="BD274" s="478">
        <f t="shared" si="199"/>
        <v>0</v>
      </c>
      <c r="BE274" s="479">
        <f t="shared" si="216"/>
        <v>0</v>
      </c>
      <c r="BF274" s="477" t="s">
        <v>50</v>
      </c>
      <c r="BG274" s="479">
        <f t="shared" si="200"/>
        <v>0</v>
      </c>
      <c r="BH274" s="477" t="s">
        <v>46</v>
      </c>
      <c r="BI274" s="760">
        <f>IF(AND($Z274="b",Inventory!$P30="Btu/hr"),Inventory!$O30,IF(AND($Z274="b",Inventory!$P30="Tons"),Inventory!$O30*12000,IF(AND($Z274&lt;&gt;"b",Inventory!$AM30="Btu/hr"),Inventory!$AL30,IF(AND($Z274&lt;&gt;"b",Inventory!$AM30="Tons"),Inventory!$AL30*12000,0))))</f>
        <v>0</v>
      </c>
      <c r="BJ274" s="760">
        <f t="shared" si="201"/>
        <v>0</v>
      </c>
      <c r="BK274" s="598">
        <f t="shared" si="202"/>
        <v>0</v>
      </c>
      <c r="BL274" s="759" t="s">
        <v>567</v>
      </c>
      <c r="BM274" s="477" t="str">
        <f t="shared" si="203"/>
        <v>No</v>
      </c>
      <c r="BN274" s="477" t="str">
        <f>IF(OR(Inventory!$H30="",$BM274="No"),"-",Inventory!$H30)</f>
        <v>-</v>
      </c>
      <c r="BO274" s="477" t="str">
        <f>IFERROR(VLOOKUP(BN274,'Early Retirement'!$B$6:$C$33,2,FALSE),"-")</f>
        <v>-</v>
      </c>
      <c r="BP274" s="477" t="str">
        <f>IF(Inventory!$J30="Centrifugal","Yes","No")</f>
        <v>No</v>
      </c>
      <c r="BQ274" s="477">
        <f t="shared" si="204"/>
        <v>0</v>
      </c>
      <c r="BR274" s="477" t="str">
        <f t="shared" si="218"/>
        <v>-</v>
      </c>
      <c r="BS274" s="479">
        <f>IFERROR(INDEX('Early Retirement'!$C$4:$AC$33,$BO274,$BR274),0)</f>
        <v>0</v>
      </c>
      <c r="BT274" s="477">
        <f>IFERROR(HLOOKUP($BR274,'Early Retirement'!$D$4:$AC$5,2,FALSE),0)</f>
        <v>0</v>
      </c>
      <c r="BU274" s="761">
        <f>IFERROR(INDEX('Early Retirement'!$AE$4:$BE$33,$BO274,$BR274),0)</f>
        <v>0</v>
      </c>
      <c r="BV274" s="759">
        <f>IFERROR(HLOOKUP($BR274,'Early Retirement'!$AF$4:$BE$5,2,FALSE),0)</f>
        <v>0</v>
      </c>
      <c r="BW274" s="479">
        <f t="shared" si="206"/>
        <v>0</v>
      </c>
      <c r="BX274" s="761">
        <f t="shared" si="207"/>
        <v>0</v>
      </c>
      <c r="BY274" s="477" t="s">
        <v>46</v>
      </c>
      <c r="BZ274" s="598">
        <f>IFERROR(INDEX('Early Retirement'!$BG$4:$CG$33,$BO274,$BR274),0)</f>
        <v>0</v>
      </c>
      <c r="CA274" s="759">
        <f>IFERROR(HLOOKUP($BR274,'Early Retirement'!$BH$4:$CH$5,2,FALSE),0)</f>
        <v>0</v>
      </c>
      <c r="CB274" s="598">
        <f t="shared" si="208"/>
        <v>0</v>
      </c>
      <c r="CC274" s="759" t="s">
        <v>567</v>
      </c>
      <c r="CD274" s="477" t="str">
        <f t="shared" si="209"/>
        <v>Yes</v>
      </c>
      <c r="CE274" s="479">
        <f t="shared" si="210"/>
        <v>0</v>
      </c>
      <c r="CF274" s="761">
        <f t="shared" si="211"/>
        <v>0</v>
      </c>
      <c r="CG274" s="759" t="s">
        <v>46</v>
      </c>
      <c r="CH274" s="598">
        <f t="shared" si="217"/>
        <v>0</v>
      </c>
      <c r="CI274" s="759" t="s">
        <v>567</v>
      </c>
      <c r="CJ274" s="480">
        <f t="shared" si="212"/>
        <v>0</v>
      </c>
      <c r="CK274" s="583">
        <f t="shared" si="213"/>
        <v>0</v>
      </c>
      <c r="CL274" s="596" t="s">
        <v>46</v>
      </c>
      <c r="CM274" s="581">
        <f t="shared" si="214"/>
        <v>0</v>
      </c>
      <c r="CN274" s="762" t="s">
        <v>567</v>
      </c>
      <c r="CW274" s="630"/>
      <c r="CX274" s="630"/>
      <c r="CY274" s="630"/>
      <c r="CZ274" s="630"/>
      <c r="DA274" s="630"/>
    </row>
    <row r="275" spans="2:105" s="78" customFormat="1" ht="15" customHeight="1" x14ac:dyDescent="0.25">
      <c r="B275" s="77"/>
      <c r="H275" s="77"/>
      <c r="Y275" s="90">
        <v>22</v>
      </c>
      <c r="Z275" s="472" t="str">
        <f>IF(Inventory!$C31="","",VLOOKUP(Inventory!$C31,$B$7:$C$9,2,FALSE))</f>
        <v/>
      </c>
      <c r="AA275" s="472" t="str">
        <f>IF($Z275="","",IF(AND($Z275="b",Inventory!$G31=""),"",IF(AND($Z275="b",Inventory!$G31&lt;&gt;""),VLOOKUP(Inventory!$G31,$E$3:$F$10,2,FALSE),IF(AND($Z275="a",Inventory!$Z31=""),"",IF(AND($Z275="a",Inventory!$Z31&lt;&gt;""),VLOOKUP(Inventory!$Z31,$E$3:$F$10,2,FALSE),IF(AND($Z275="c",Inventory!$Z31=""),"",IF(AND($Z275="c",Inventory!$Z31&lt;&gt;""),VLOOKUP(Inventory!$Z31,$E$3:$F$10,2,FALSE),"")))))))</f>
        <v/>
      </c>
      <c r="AB275" s="472" t="str">
        <f>IF($Z275="","a",IF(AND($Z275="b",Inventory!$J31=""),"a",IF(AND($Z275="b",Inventory!$J31&lt;&gt;""),VLOOKUP(Inventory!$J31,$H$4:$I$6,2,FALSE),IF(AND($Z275="a",Inventory!$AA31=""),"a",IF(AND($Z275="a",Inventory!$AA31&lt;&gt;""),VLOOKUP(Inventory!$AA31,$H$4:$I$6,2,FALSE),IF(AND($Z275="c",Inventory!$AA31=""),"a",IF(AND($Z275="c",Inventory!$AA31&lt;&gt;""),VLOOKUP(Inventory!$AA31,$H$4:$I$6,2,FALSE),"a")))))))</f>
        <v>a</v>
      </c>
      <c r="AC275" s="506" t="str">
        <f t="shared" si="178"/>
        <v>a</v>
      </c>
      <c r="AD275" s="473" t="str">
        <f>IF($Z275="","a",IF(AND($Z275="b",Inventory!$L31=""),"a",IF(AND($Z275="b",Inventory!$L31&lt;&gt;""),VLOOKUP(Inventory!$L31,$N$4:$O$5,2,FALSE),IF(AND($Z275="a",Inventory!$AC31=""),"a",IF(AND($Z275="a",Inventory!$AC31&lt;&gt;""),VLOOKUP(Inventory!$AC31,$N$4:$O$5,2,FALSE),IF(AND($Z275="c",Inventory!$AC31=""),"a",IF(AND($Z275="c",Inventory!$AC31&lt;&gt;""),VLOOKUP(Inventory!$AC31,$N$4:$O$5,2,FALSE),"a")))))))</f>
        <v>a</v>
      </c>
      <c r="AE275" s="474">
        <f>IF(OR(Inventory!C31="New Construction",Inventory!C31="Replace-on-Burnout"),Inventory!AF31,IF(Inventory!C31="Early Retirement",MIN(Inventory!AE31,Inventory!AF31),0))</f>
        <v>0</v>
      </c>
      <c r="AF275" s="475" t="str">
        <f t="shared" si="179"/>
        <v/>
      </c>
      <c r="AG275" s="475" t="str">
        <f t="shared" si="180"/>
        <v/>
      </c>
      <c r="AH275" s="475" t="str">
        <f t="shared" si="181"/>
        <v/>
      </c>
      <c r="AI275" s="475" t="str">
        <f t="shared" si="182"/>
        <v/>
      </c>
      <c r="AJ275" s="475" t="str">
        <f t="shared" si="183"/>
        <v/>
      </c>
      <c r="AK275" s="475" t="str">
        <f t="shared" si="184"/>
        <v/>
      </c>
      <c r="AL275" s="475" t="str">
        <f t="shared" si="185"/>
        <v/>
      </c>
      <c r="AM275" s="475" t="str">
        <f t="shared" si="186"/>
        <v/>
      </c>
      <c r="AN275" s="475" t="str">
        <f t="shared" si="187"/>
        <v/>
      </c>
      <c r="AO275" s="475" t="str">
        <f t="shared" si="188"/>
        <v/>
      </c>
      <c r="AP275" s="475" t="str">
        <f t="shared" si="189"/>
        <v/>
      </c>
      <c r="AQ275" s="475" t="str">
        <f t="shared" si="190"/>
        <v/>
      </c>
      <c r="AR275" s="475" t="str">
        <f t="shared" si="191"/>
        <v/>
      </c>
      <c r="AS275" s="475" t="str">
        <f t="shared" si="215"/>
        <v/>
      </c>
      <c r="AT275" s="475" t="str">
        <f t="shared" si="192"/>
        <v/>
      </c>
      <c r="AU275" s="475" t="str">
        <f t="shared" si="193"/>
        <v/>
      </c>
      <c r="AV275" s="475" t="str">
        <f t="shared" si="194"/>
        <v/>
      </c>
      <c r="AW275" s="473">
        <f t="shared" si="195"/>
        <v>0</v>
      </c>
      <c r="AX275" s="473" t="str">
        <f>IF(AND($Z275="b",OR($AA275="a",$AA275="b"),Inventory!$I31="",$AE275&lt;(65000/12000)),"x",IF(AND($Z275="b",OR($AA275="a",$AA275="b"),Inventory!$I31&lt;&gt;"",$AE275&lt;(65000/12000)),VLOOKUP(Inventory!$I282,$V$4:$W$5,2,FALSE),"x"))</f>
        <v>x</v>
      </c>
      <c r="AY275" s="476" t="str">
        <f t="shared" si="196"/>
        <v>aaa0</v>
      </c>
      <c r="AZ275" s="477" t="str">
        <f t="shared" si="197"/>
        <v>No</v>
      </c>
      <c r="BA275" s="759" t="str">
        <f t="shared" si="198"/>
        <v>No</v>
      </c>
      <c r="BB275" s="477">
        <f>IF($Z275="c",Inventory!$AB31,Inventory!$K31)</f>
        <v>0</v>
      </c>
      <c r="BC275" s="478">
        <f>IF(AND($Z275="b",Inventory!$N31="Btu/hr"),Inventory!$M31,IF(AND($Z275="b",Inventory!$N31="Tons"),Inventory!$M31*12000,IF(AND($Z275&lt;&gt;"b",Inventory!$AK31="Btu/hr"),Inventory!$AD31,IF(AND($Z275&lt;&gt;"b",Inventory!$AK31="Tons"),Inventory!$AD31*12000,0))))</f>
        <v>0</v>
      </c>
      <c r="BD275" s="478">
        <f t="shared" si="199"/>
        <v>0</v>
      </c>
      <c r="BE275" s="479">
        <f t="shared" si="216"/>
        <v>0</v>
      </c>
      <c r="BF275" s="477" t="s">
        <v>50</v>
      </c>
      <c r="BG275" s="479">
        <f t="shared" si="200"/>
        <v>0</v>
      </c>
      <c r="BH275" s="477" t="s">
        <v>46</v>
      </c>
      <c r="BI275" s="760">
        <f>IF(AND($Z275="b",Inventory!$P31="Btu/hr"),Inventory!$O31,IF(AND($Z275="b",Inventory!$P31="Tons"),Inventory!$O31*12000,IF(AND($Z275&lt;&gt;"b",Inventory!$AM31="Btu/hr"),Inventory!$AL31,IF(AND($Z275&lt;&gt;"b",Inventory!$AM31="Tons"),Inventory!$AL31*12000,0))))</f>
        <v>0</v>
      </c>
      <c r="BJ275" s="760">
        <f t="shared" si="201"/>
        <v>0</v>
      </c>
      <c r="BK275" s="598">
        <f t="shared" si="202"/>
        <v>0</v>
      </c>
      <c r="BL275" s="759" t="s">
        <v>567</v>
      </c>
      <c r="BM275" s="477" t="str">
        <f t="shared" si="203"/>
        <v>No</v>
      </c>
      <c r="BN275" s="477" t="str">
        <f>IF(OR(Inventory!$H31="",$BM275="No"),"-",Inventory!$H31)</f>
        <v>-</v>
      </c>
      <c r="BO275" s="477" t="str">
        <f>IFERROR(VLOOKUP(BN275,'Early Retirement'!$B$6:$C$33,2,FALSE),"-")</f>
        <v>-</v>
      </c>
      <c r="BP275" s="477" t="str">
        <f>IF(Inventory!$J31="Centrifugal","Yes","No")</f>
        <v>No</v>
      </c>
      <c r="BQ275" s="477">
        <f t="shared" si="204"/>
        <v>0</v>
      </c>
      <c r="BR275" s="477" t="str">
        <f t="shared" si="218"/>
        <v>-</v>
      </c>
      <c r="BS275" s="479">
        <f>IFERROR(INDEX('Early Retirement'!$C$4:$AC$33,$BO275,$BR275),0)</f>
        <v>0</v>
      </c>
      <c r="BT275" s="477">
        <f>IFERROR(HLOOKUP($BR275,'Early Retirement'!$D$4:$AC$5,2,FALSE),0)</f>
        <v>0</v>
      </c>
      <c r="BU275" s="761">
        <f>IFERROR(INDEX('Early Retirement'!$AE$4:$BE$33,$BO275,$BR275),0)</f>
        <v>0</v>
      </c>
      <c r="BV275" s="759">
        <f>IFERROR(HLOOKUP($BR275,'Early Retirement'!$AF$4:$BE$5,2,FALSE),0)</f>
        <v>0</v>
      </c>
      <c r="BW275" s="479">
        <f t="shared" si="206"/>
        <v>0</v>
      </c>
      <c r="BX275" s="761">
        <f t="shared" si="207"/>
        <v>0</v>
      </c>
      <c r="BY275" s="477" t="s">
        <v>46</v>
      </c>
      <c r="BZ275" s="598">
        <f>IFERROR(INDEX('Early Retirement'!$BG$4:$CG$33,$BO275,$BR275),0)</f>
        <v>0</v>
      </c>
      <c r="CA275" s="759">
        <f>IFERROR(HLOOKUP($BR275,'Early Retirement'!$BH$4:$CH$5,2,FALSE),0)</f>
        <v>0</v>
      </c>
      <c r="CB275" s="598">
        <f t="shared" si="208"/>
        <v>0</v>
      </c>
      <c r="CC275" s="759" t="s">
        <v>567</v>
      </c>
      <c r="CD275" s="477" t="str">
        <f t="shared" si="209"/>
        <v>Yes</v>
      </c>
      <c r="CE275" s="479">
        <f t="shared" si="210"/>
        <v>0</v>
      </c>
      <c r="CF275" s="761">
        <f t="shared" si="211"/>
        <v>0</v>
      </c>
      <c r="CG275" s="759" t="s">
        <v>46</v>
      </c>
      <c r="CH275" s="598">
        <f t="shared" si="217"/>
        <v>0</v>
      </c>
      <c r="CI275" s="759" t="s">
        <v>567</v>
      </c>
      <c r="CJ275" s="480">
        <f t="shared" si="212"/>
        <v>0</v>
      </c>
      <c r="CK275" s="583">
        <f t="shared" si="213"/>
        <v>0</v>
      </c>
      <c r="CL275" s="596" t="s">
        <v>46</v>
      </c>
      <c r="CM275" s="581">
        <f t="shared" si="214"/>
        <v>0</v>
      </c>
      <c r="CN275" s="762" t="s">
        <v>567</v>
      </c>
      <c r="CW275" s="630"/>
      <c r="CX275" s="630"/>
      <c r="CY275" s="630"/>
      <c r="CZ275" s="630"/>
      <c r="DA275" s="630"/>
    </row>
    <row r="276" spans="2:105" s="78" customFormat="1" ht="15" customHeight="1" x14ac:dyDescent="0.25">
      <c r="B276" s="77"/>
      <c r="H276" s="77"/>
      <c r="Y276" s="90">
        <v>23</v>
      </c>
      <c r="Z276" s="472" t="str">
        <f>IF(Inventory!$C32="","",VLOOKUP(Inventory!$C32,$B$7:$C$9,2,FALSE))</f>
        <v/>
      </c>
      <c r="AA276" s="472" t="str">
        <f>IF($Z276="","",IF(AND($Z276="b",Inventory!$G32=""),"",IF(AND($Z276="b",Inventory!$G32&lt;&gt;""),VLOOKUP(Inventory!$G32,$E$3:$F$10,2,FALSE),IF(AND($Z276="a",Inventory!$Z32=""),"",IF(AND($Z276="a",Inventory!$Z32&lt;&gt;""),VLOOKUP(Inventory!$Z32,$E$3:$F$10,2,FALSE),IF(AND($Z276="c",Inventory!$Z32=""),"",IF(AND($Z276="c",Inventory!$Z32&lt;&gt;""),VLOOKUP(Inventory!$Z32,$E$3:$F$10,2,FALSE),"")))))))</f>
        <v/>
      </c>
      <c r="AB276" s="472" t="str">
        <f>IF($Z276="","a",IF(AND($Z276="b",Inventory!$J32=""),"a",IF(AND($Z276="b",Inventory!$J32&lt;&gt;""),VLOOKUP(Inventory!$J32,$H$4:$I$6,2,FALSE),IF(AND($Z276="a",Inventory!$AA32=""),"a",IF(AND($Z276="a",Inventory!$AA32&lt;&gt;""),VLOOKUP(Inventory!$AA32,$H$4:$I$6,2,FALSE),IF(AND($Z276="c",Inventory!$AA32=""),"a",IF(AND($Z276="c",Inventory!$AA32&lt;&gt;""),VLOOKUP(Inventory!$AA32,$H$4:$I$6,2,FALSE),"a")))))))</f>
        <v>a</v>
      </c>
      <c r="AC276" s="506" t="str">
        <f t="shared" si="178"/>
        <v>a</v>
      </c>
      <c r="AD276" s="473" t="str">
        <f>IF($Z276="","a",IF(AND($Z276="b",Inventory!$L32=""),"a",IF(AND($Z276="b",Inventory!$L32&lt;&gt;""),VLOOKUP(Inventory!$L32,$N$4:$O$5,2,FALSE),IF(AND($Z276="a",Inventory!$AC32=""),"a",IF(AND($Z276="a",Inventory!$AC32&lt;&gt;""),VLOOKUP(Inventory!$AC32,$N$4:$O$5,2,FALSE),IF(AND($Z276="c",Inventory!$AC32=""),"a",IF(AND($Z276="c",Inventory!$AC32&lt;&gt;""),VLOOKUP(Inventory!$AC32,$N$4:$O$5,2,FALSE),"a")))))))</f>
        <v>a</v>
      </c>
      <c r="AE276" s="474">
        <f>IF(OR(Inventory!C32="New Construction",Inventory!C32="Replace-on-Burnout"),Inventory!AF32,IF(Inventory!C32="Early Retirement",MIN(Inventory!AE32,Inventory!AF32),0))</f>
        <v>0</v>
      </c>
      <c r="AF276" s="475" t="str">
        <f t="shared" si="179"/>
        <v/>
      </c>
      <c r="AG276" s="475" t="str">
        <f t="shared" si="180"/>
        <v/>
      </c>
      <c r="AH276" s="475" t="str">
        <f t="shared" si="181"/>
        <v/>
      </c>
      <c r="AI276" s="475" t="str">
        <f t="shared" si="182"/>
        <v/>
      </c>
      <c r="AJ276" s="475" t="str">
        <f t="shared" si="183"/>
        <v/>
      </c>
      <c r="AK276" s="475" t="str">
        <f t="shared" si="184"/>
        <v/>
      </c>
      <c r="AL276" s="475" t="str">
        <f t="shared" si="185"/>
        <v/>
      </c>
      <c r="AM276" s="475" t="str">
        <f t="shared" si="186"/>
        <v/>
      </c>
      <c r="AN276" s="475" t="str">
        <f t="shared" si="187"/>
        <v/>
      </c>
      <c r="AO276" s="475" t="str">
        <f t="shared" si="188"/>
        <v/>
      </c>
      <c r="AP276" s="475" t="str">
        <f t="shared" si="189"/>
        <v/>
      </c>
      <c r="AQ276" s="475" t="str">
        <f t="shared" si="190"/>
        <v/>
      </c>
      <c r="AR276" s="475" t="str">
        <f t="shared" si="191"/>
        <v/>
      </c>
      <c r="AS276" s="475" t="str">
        <f t="shared" si="215"/>
        <v/>
      </c>
      <c r="AT276" s="475" t="str">
        <f t="shared" si="192"/>
        <v/>
      </c>
      <c r="AU276" s="475" t="str">
        <f t="shared" si="193"/>
        <v/>
      </c>
      <c r="AV276" s="475" t="str">
        <f t="shared" si="194"/>
        <v/>
      </c>
      <c r="AW276" s="473">
        <f t="shared" si="195"/>
        <v>0</v>
      </c>
      <c r="AX276" s="473" t="str">
        <f>IF(AND($Z276="b",OR($AA276="a",$AA276="b"),Inventory!$I32="",$AE276&lt;(65000/12000)),"x",IF(AND($Z276="b",OR($AA276="a",$AA276="b"),Inventory!$I32&lt;&gt;"",$AE276&lt;(65000/12000)),VLOOKUP(Inventory!$I283,$V$4:$W$5,2,FALSE),"x"))</f>
        <v>x</v>
      </c>
      <c r="AY276" s="476" t="str">
        <f t="shared" si="196"/>
        <v>aaa0</v>
      </c>
      <c r="AZ276" s="477" t="str">
        <f t="shared" si="197"/>
        <v>No</v>
      </c>
      <c r="BA276" s="759" t="str">
        <f t="shared" si="198"/>
        <v>No</v>
      </c>
      <c r="BB276" s="477">
        <f>IF($Z276="c",Inventory!$AB32,Inventory!$K32)</f>
        <v>0</v>
      </c>
      <c r="BC276" s="478">
        <f>IF(AND($Z276="b",Inventory!$N32="Btu/hr"),Inventory!$M32,IF(AND($Z276="b",Inventory!$N32="Tons"),Inventory!$M32*12000,IF(AND($Z276&lt;&gt;"b",Inventory!$AK32="Btu/hr"),Inventory!$AD32,IF(AND($Z276&lt;&gt;"b",Inventory!$AK32="Tons"),Inventory!$AD32*12000,0))))</f>
        <v>0</v>
      </c>
      <c r="BD276" s="478">
        <f t="shared" si="199"/>
        <v>0</v>
      </c>
      <c r="BE276" s="479">
        <f t="shared" si="216"/>
        <v>0</v>
      </c>
      <c r="BF276" s="477" t="s">
        <v>50</v>
      </c>
      <c r="BG276" s="479">
        <f t="shared" si="200"/>
        <v>0</v>
      </c>
      <c r="BH276" s="477" t="s">
        <v>46</v>
      </c>
      <c r="BI276" s="760">
        <f>IF(AND($Z276="b",Inventory!$P32="Btu/hr"),Inventory!$O32,IF(AND($Z276="b",Inventory!$P32="Tons"),Inventory!$O32*12000,IF(AND($Z276&lt;&gt;"b",Inventory!$AM32="Btu/hr"),Inventory!$AL32,IF(AND($Z276&lt;&gt;"b",Inventory!$AM32="Tons"),Inventory!$AL32*12000,0))))</f>
        <v>0</v>
      </c>
      <c r="BJ276" s="760">
        <f t="shared" si="201"/>
        <v>0</v>
      </c>
      <c r="BK276" s="598">
        <f t="shared" si="202"/>
        <v>0</v>
      </c>
      <c r="BL276" s="759" t="s">
        <v>567</v>
      </c>
      <c r="BM276" s="477" t="str">
        <f t="shared" si="203"/>
        <v>No</v>
      </c>
      <c r="BN276" s="477" t="str">
        <f>IF(OR(Inventory!$H32="",$BM276="No"),"-",Inventory!$H32)</f>
        <v>-</v>
      </c>
      <c r="BO276" s="477" t="str">
        <f>IFERROR(VLOOKUP(BN276,'Early Retirement'!$B$6:$C$33,2,FALSE),"-")</f>
        <v>-</v>
      </c>
      <c r="BP276" s="477" t="str">
        <f>IF(Inventory!$J32="Centrifugal","Yes","No")</f>
        <v>No</v>
      </c>
      <c r="BQ276" s="477">
        <f t="shared" si="204"/>
        <v>0</v>
      </c>
      <c r="BR276" s="477" t="str">
        <f t="shared" si="218"/>
        <v>-</v>
      </c>
      <c r="BS276" s="479">
        <f>IFERROR(INDEX('Early Retirement'!$C$4:$AC$33,$BO276,$BR276),0)</f>
        <v>0</v>
      </c>
      <c r="BT276" s="477">
        <f>IFERROR(HLOOKUP($BR276,'Early Retirement'!$D$4:$AC$5,2,FALSE),0)</f>
        <v>0</v>
      </c>
      <c r="BU276" s="761">
        <f>IFERROR(INDEX('Early Retirement'!$AE$4:$BE$33,$BO276,$BR276),0)</f>
        <v>0</v>
      </c>
      <c r="BV276" s="759">
        <f>IFERROR(HLOOKUP($BR276,'Early Retirement'!$AF$4:$BE$5,2,FALSE),0)</f>
        <v>0</v>
      </c>
      <c r="BW276" s="479">
        <f t="shared" si="206"/>
        <v>0</v>
      </c>
      <c r="BX276" s="761">
        <f t="shared" si="207"/>
        <v>0</v>
      </c>
      <c r="BY276" s="477" t="s">
        <v>46</v>
      </c>
      <c r="BZ276" s="598">
        <f>IFERROR(INDEX('Early Retirement'!$BG$4:$CG$33,$BO276,$BR276),0)</f>
        <v>0</v>
      </c>
      <c r="CA276" s="759">
        <f>IFERROR(HLOOKUP($BR276,'Early Retirement'!$BH$4:$CH$5,2,FALSE),0)</f>
        <v>0</v>
      </c>
      <c r="CB276" s="598">
        <f t="shared" si="208"/>
        <v>0</v>
      </c>
      <c r="CC276" s="759" t="s">
        <v>567</v>
      </c>
      <c r="CD276" s="477" t="str">
        <f t="shared" si="209"/>
        <v>Yes</v>
      </c>
      <c r="CE276" s="479">
        <f t="shared" si="210"/>
        <v>0</v>
      </c>
      <c r="CF276" s="761">
        <f t="shared" si="211"/>
        <v>0</v>
      </c>
      <c r="CG276" s="759" t="s">
        <v>46</v>
      </c>
      <c r="CH276" s="598">
        <f t="shared" si="217"/>
        <v>0</v>
      </c>
      <c r="CI276" s="759" t="s">
        <v>567</v>
      </c>
      <c r="CJ276" s="480">
        <f t="shared" si="212"/>
        <v>0</v>
      </c>
      <c r="CK276" s="583">
        <f t="shared" si="213"/>
        <v>0</v>
      </c>
      <c r="CL276" s="596" t="s">
        <v>46</v>
      </c>
      <c r="CM276" s="581">
        <f t="shared" si="214"/>
        <v>0</v>
      </c>
      <c r="CN276" s="762" t="s">
        <v>567</v>
      </c>
      <c r="CW276" s="630"/>
      <c r="CX276" s="630"/>
      <c r="CY276" s="630"/>
      <c r="CZ276" s="630"/>
      <c r="DA276" s="630"/>
    </row>
    <row r="277" spans="2:105" s="78" customFormat="1" ht="15" customHeight="1" x14ac:dyDescent="0.25">
      <c r="B277" s="77"/>
      <c r="H277" s="77"/>
      <c r="Y277" s="90">
        <v>24</v>
      </c>
      <c r="Z277" s="472" t="str">
        <f>IF(Inventory!$C33="","",VLOOKUP(Inventory!$C33,$B$7:$C$9,2,FALSE))</f>
        <v/>
      </c>
      <c r="AA277" s="472" t="str">
        <f>IF($Z277="","",IF(AND($Z277="b",Inventory!$G33=""),"",IF(AND($Z277="b",Inventory!$G33&lt;&gt;""),VLOOKUP(Inventory!$G33,$E$3:$F$10,2,FALSE),IF(AND($Z277="a",Inventory!$Z33=""),"",IF(AND($Z277="a",Inventory!$Z33&lt;&gt;""),VLOOKUP(Inventory!$Z33,$E$3:$F$10,2,FALSE),IF(AND($Z277="c",Inventory!$Z33=""),"",IF(AND($Z277="c",Inventory!$Z33&lt;&gt;""),VLOOKUP(Inventory!$Z33,$E$3:$F$10,2,FALSE),"")))))))</f>
        <v/>
      </c>
      <c r="AB277" s="472" t="str">
        <f>IF($Z277="","a",IF(AND($Z277="b",Inventory!$J33=""),"a",IF(AND($Z277="b",Inventory!$J33&lt;&gt;""),VLOOKUP(Inventory!$J33,$H$4:$I$6,2,FALSE),IF(AND($Z277="a",Inventory!$AA33=""),"a",IF(AND($Z277="a",Inventory!$AA33&lt;&gt;""),VLOOKUP(Inventory!$AA33,$H$4:$I$6,2,FALSE),IF(AND($Z277="c",Inventory!$AA33=""),"a",IF(AND($Z277="c",Inventory!$AA33&lt;&gt;""),VLOOKUP(Inventory!$AA33,$H$4:$I$6,2,FALSE),"a")))))))</f>
        <v>a</v>
      </c>
      <c r="AC277" s="506" t="str">
        <f t="shared" si="178"/>
        <v>a</v>
      </c>
      <c r="AD277" s="473" t="str">
        <f>IF($Z277="","a",IF(AND($Z277="b",Inventory!$L33=""),"a",IF(AND($Z277="b",Inventory!$L33&lt;&gt;""),VLOOKUP(Inventory!$L33,$N$4:$O$5,2,FALSE),IF(AND($Z277="a",Inventory!$AC33=""),"a",IF(AND($Z277="a",Inventory!$AC33&lt;&gt;""),VLOOKUP(Inventory!$AC33,$N$4:$O$5,2,FALSE),IF(AND($Z277="c",Inventory!$AC33=""),"a",IF(AND($Z277="c",Inventory!$AC33&lt;&gt;""),VLOOKUP(Inventory!$AC33,$N$4:$O$5,2,FALSE),"a")))))))</f>
        <v>a</v>
      </c>
      <c r="AE277" s="474">
        <f>IF(OR(Inventory!C33="New Construction",Inventory!C33="Replace-on-Burnout"),Inventory!AF33,IF(Inventory!C33="Early Retirement",MIN(Inventory!AE33,Inventory!AF33),0))</f>
        <v>0</v>
      </c>
      <c r="AF277" s="475" t="str">
        <f t="shared" si="179"/>
        <v/>
      </c>
      <c r="AG277" s="475" t="str">
        <f t="shared" si="180"/>
        <v/>
      </c>
      <c r="AH277" s="475" t="str">
        <f t="shared" si="181"/>
        <v/>
      </c>
      <c r="AI277" s="475" t="str">
        <f t="shared" si="182"/>
        <v/>
      </c>
      <c r="AJ277" s="475" t="str">
        <f t="shared" si="183"/>
        <v/>
      </c>
      <c r="AK277" s="475" t="str">
        <f t="shared" si="184"/>
        <v/>
      </c>
      <c r="AL277" s="475" t="str">
        <f t="shared" si="185"/>
        <v/>
      </c>
      <c r="AM277" s="475" t="str">
        <f t="shared" si="186"/>
        <v/>
      </c>
      <c r="AN277" s="475" t="str">
        <f t="shared" si="187"/>
        <v/>
      </c>
      <c r="AO277" s="475" t="str">
        <f t="shared" si="188"/>
        <v/>
      </c>
      <c r="AP277" s="475" t="str">
        <f t="shared" si="189"/>
        <v/>
      </c>
      <c r="AQ277" s="475" t="str">
        <f t="shared" si="190"/>
        <v/>
      </c>
      <c r="AR277" s="475" t="str">
        <f t="shared" si="191"/>
        <v/>
      </c>
      <c r="AS277" s="475" t="str">
        <f t="shared" si="215"/>
        <v/>
      </c>
      <c r="AT277" s="475" t="str">
        <f t="shared" si="192"/>
        <v/>
      </c>
      <c r="AU277" s="475" t="str">
        <f t="shared" si="193"/>
        <v/>
      </c>
      <c r="AV277" s="475" t="str">
        <f t="shared" si="194"/>
        <v/>
      </c>
      <c r="AW277" s="473">
        <f t="shared" si="195"/>
        <v>0</v>
      </c>
      <c r="AX277" s="473" t="str">
        <f>IF(AND($Z277="b",OR($AA277="a",$AA277="b"),Inventory!$I33="",$AE277&lt;(65000/12000)),"x",IF(AND($Z277="b",OR($AA277="a",$AA277="b"),Inventory!$I33&lt;&gt;"",$AE277&lt;(65000/12000)),VLOOKUP(Inventory!$I284,$V$4:$W$5,2,FALSE),"x"))</f>
        <v>x</v>
      </c>
      <c r="AY277" s="476" t="str">
        <f t="shared" si="196"/>
        <v>aaa0</v>
      </c>
      <c r="AZ277" s="477" t="str">
        <f t="shared" si="197"/>
        <v>No</v>
      </c>
      <c r="BA277" s="759" t="str">
        <f t="shared" si="198"/>
        <v>No</v>
      </c>
      <c r="BB277" s="477">
        <f>IF($Z277="c",Inventory!$AB33,Inventory!$K33)</f>
        <v>0</v>
      </c>
      <c r="BC277" s="478">
        <f>IF(AND($Z277="b",Inventory!$N33="Btu/hr"),Inventory!$M33,IF(AND($Z277="b",Inventory!$N33="Tons"),Inventory!$M33*12000,IF(AND($Z277&lt;&gt;"b",Inventory!$AK33="Btu/hr"),Inventory!$AD33,IF(AND($Z277&lt;&gt;"b",Inventory!$AK33="Tons"),Inventory!$AD33*12000,0))))</f>
        <v>0</v>
      </c>
      <c r="BD277" s="478">
        <f t="shared" si="199"/>
        <v>0</v>
      </c>
      <c r="BE277" s="479">
        <f t="shared" si="216"/>
        <v>0</v>
      </c>
      <c r="BF277" s="477" t="s">
        <v>50</v>
      </c>
      <c r="BG277" s="479">
        <f t="shared" si="200"/>
        <v>0</v>
      </c>
      <c r="BH277" s="477" t="s">
        <v>46</v>
      </c>
      <c r="BI277" s="760">
        <f>IF(AND($Z277="b",Inventory!$P33="Btu/hr"),Inventory!$O33,IF(AND($Z277="b",Inventory!$P33="Tons"),Inventory!$O33*12000,IF(AND($Z277&lt;&gt;"b",Inventory!$AM33="Btu/hr"),Inventory!$AL33,IF(AND($Z277&lt;&gt;"b",Inventory!$AM33="Tons"),Inventory!$AL33*12000,0))))</f>
        <v>0</v>
      </c>
      <c r="BJ277" s="760">
        <f t="shared" si="201"/>
        <v>0</v>
      </c>
      <c r="BK277" s="598">
        <f t="shared" si="202"/>
        <v>0</v>
      </c>
      <c r="BL277" s="759" t="s">
        <v>567</v>
      </c>
      <c r="BM277" s="477" t="str">
        <f t="shared" si="203"/>
        <v>No</v>
      </c>
      <c r="BN277" s="477" t="str">
        <f>IF(OR(Inventory!$H33="",$BM277="No"),"-",Inventory!$H33)</f>
        <v>-</v>
      </c>
      <c r="BO277" s="477" t="str">
        <f>IFERROR(VLOOKUP(BN277,'Early Retirement'!$B$6:$C$33,2,FALSE),"-")</f>
        <v>-</v>
      </c>
      <c r="BP277" s="477" t="str">
        <f>IF(Inventory!$J33="Centrifugal","Yes","No")</f>
        <v>No</v>
      </c>
      <c r="BQ277" s="477">
        <f t="shared" si="204"/>
        <v>0</v>
      </c>
      <c r="BR277" s="477" t="str">
        <f t="shared" si="218"/>
        <v>-</v>
      </c>
      <c r="BS277" s="479">
        <f>IFERROR(INDEX('Early Retirement'!$C$4:$AC$33,$BO277,$BR277),0)</f>
        <v>0</v>
      </c>
      <c r="BT277" s="477">
        <f>IFERROR(HLOOKUP($BR277,'Early Retirement'!$D$4:$AC$5,2,FALSE),0)</f>
        <v>0</v>
      </c>
      <c r="BU277" s="761">
        <f>IFERROR(INDEX('Early Retirement'!$AE$4:$BE$33,$BO277,$BR277),0)</f>
        <v>0</v>
      </c>
      <c r="BV277" s="759">
        <f>IFERROR(HLOOKUP($BR277,'Early Retirement'!$AF$4:$BE$5,2,FALSE),0)</f>
        <v>0</v>
      </c>
      <c r="BW277" s="479">
        <f t="shared" si="206"/>
        <v>0</v>
      </c>
      <c r="BX277" s="761">
        <f t="shared" si="207"/>
        <v>0</v>
      </c>
      <c r="BY277" s="477" t="s">
        <v>46</v>
      </c>
      <c r="BZ277" s="598">
        <f>IFERROR(INDEX('Early Retirement'!$BG$4:$CG$33,$BO277,$BR277),0)</f>
        <v>0</v>
      </c>
      <c r="CA277" s="759">
        <f>IFERROR(HLOOKUP($BR277,'Early Retirement'!$BH$4:$CH$5,2,FALSE),0)</f>
        <v>0</v>
      </c>
      <c r="CB277" s="598">
        <f t="shared" si="208"/>
        <v>0</v>
      </c>
      <c r="CC277" s="759" t="s">
        <v>567</v>
      </c>
      <c r="CD277" s="477" t="str">
        <f t="shared" si="209"/>
        <v>Yes</v>
      </c>
      <c r="CE277" s="479">
        <f t="shared" si="210"/>
        <v>0</v>
      </c>
      <c r="CF277" s="761">
        <f t="shared" si="211"/>
        <v>0</v>
      </c>
      <c r="CG277" s="759" t="s">
        <v>46</v>
      </c>
      <c r="CH277" s="598">
        <f t="shared" si="217"/>
        <v>0</v>
      </c>
      <c r="CI277" s="759" t="s">
        <v>567</v>
      </c>
      <c r="CJ277" s="480">
        <f t="shared" si="212"/>
        <v>0</v>
      </c>
      <c r="CK277" s="583">
        <f t="shared" si="213"/>
        <v>0</v>
      </c>
      <c r="CL277" s="596" t="s">
        <v>46</v>
      </c>
      <c r="CM277" s="581">
        <f t="shared" si="214"/>
        <v>0</v>
      </c>
      <c r="CN277" s="762" t="s">
        <v>567</v>
      </c>
      <c r="CW277" s="630"/>
      <c r="CX277" s="630"/>
      <c r="CY277" s="630"/>
      <c r="CZ277" s="630"/>
      <c r="DA277" s="630"/>
    </row>
    <row r="278" spans="2:105" s="78" customFormat="1" ht="15" customHeight="1" x14ac:dyDescent="0.25">
      <c r="B278" s="77"/>
      <c r="H278" s="77"/>
      <c r="Y278" s="90">
        <v>25</v>
      </c>
      <c r="Z278" s="472" t="str">
        <f>IF(Inventory!$C34="","",VLOOKUP(Inventory!$C34,$B$7:$C$9,2,FALSE))</f>
        <v/>
      </c>
      <c r="AA278" s="472" t="str">
        <f>IF($Z278="","",IF(AND($Z278="b",Inventory!$G34=""),"",IF(AND($Z278="b",Inventory!$G34&lt;&gt;""),VLOOKUP(Inventory!$G34,$E$3:$F$10,2,FALSE),IF(AND($Z278="a",Inventory!$Z34=""),"",IF(AND($Z278="a",Inventory!$Z34&lt;&gt;""),VLOOKUP(Inventory!$Z34,$E$3:$F$10,2,FALSE),IF(AND($Z278="c",Inventory!$Z34=""),"",IF(AND($Z278="c",Inventory!$Z34&lt;&gt;""),VLOOKUP(Inventory!$Z34,$E$3:$F$10,2,FALSE),"")))))))</f>
        <v/>
      </c>
      <c r="AB278" s="472" t="str">
        <f>IF($Z278="","a",IF(AND($Z278="b",Inventory!$J34=""),"a",IF(AND($Z278="b",Inventory!$J34&lt;&gt;""),VLOOKUP(Inventory!$J34,$H$4:$I$6,2,FALSE),IF(AND($Z278="a",Inventory!$AA34=""),"a",IF(AND($Z278="a",Inventory!$AA34&lt;&gt;""),VLOOKUP(Inventory!$AA34,$H$4:$I$6,2,FALSE),IF(AND($Z278="c",Inventory!$AA34=""),"a",IF(AND($Z278="c",Inventory!$AA34&lt;&gt;""),VLOOKUP(Inventory!$AA34,$H$4:$I$6,2,FALSE),"a")))))))</f>
        <v>a</v>
      </c>
      <c r="AC278" s="506" t="str">
        <f t="shared" si="178"/>
        <v>a</v>
      </c>
      <c r="AD278" s="473" t="str">
        <f>IF($Z278="","a",IF(AND($Z278="b",Inventory!$L34=""),"a",IF(AND($Z278="b",Inventory!$L34&lt;&gt;""),VLOOKUP(Inventory!$L34,$N$4:$O$5,2,FALSE),IF(AND($Z278="a",Inventory!$AC34=""),"a",IF(AND($Z278="a",Inventory!$AC34&lt;&gt;""),VLOOKUP(Inventory!$AC34,$N$4:$O$5,2,FALSE),IF(AND($Z278="c",Inventory!$AC34=""),"a",IF(AND($Z278="c",Inventory!$AC34&lt;&gt;""),VLOOKUP(Inventory!$AC34,$N$4:$O$5,2,FALSE),"a")))))))</f>
        <v>a</v>
      </c>
      <c r="AE278" s="474">
        <f>IF(OR(Inventory!C34="New Construction",Inventory!C34="Replace-on-Burnout"),Inventory!AF34,IF(Inventory!C34="Early Retirement",MIN(Inventory!AE34,Inventory!AF34),0))</f>
        <v>0</v>
      </c>
      <c r="AF278" s="475" t="str">
        <f t="shared" si="179"/>
        <v/>
      </c>
      <c r="AG278" s="475" t="str">
        <f t="shared" si="180"/>
        <v/>
      </c>
      <c r="AH278" s="475" t="str">
        <f t="shared" si="181"/>
        <v/>
      </c>
      <c r="AI278" s="475" t="str">
        <f t="shared" si="182"/>
        <v/>
      </c>
      <c r="AJ278" s="475" t="str">
        <f t="shared" si="183"/>
        <v/>
      </c>
      <c r="AK278" s="475" t="str">
        <f t="shared" si="184"/>
        <v/>
      </c>
      <c r="AL278" s="475" t="str">
        <f t="shared" si="185"/>
        <v/>
      </c>
      <c r="AM278" s="475" t="str">
        <f t="shared" si="186"/>
        <v/>
      </c>
      <c r="AN278" s="475" t="str">
        <f t="shared" si="187"/>
        <v/>
      </c>
      <c r="AO278" s="475" t="str">
        <f t="shared" si="188"/>
        <v/>
      </c>
      <c r="AP278" s="475" t="str">
        <f t="shared" si="189"/>
        <v/>
      </c>
      <c r="AQ278" s="475" t="str">
        <f t="shared" si="190"/>
        <v/>
      </c>
      <c r="AR278" s="475" t="str">
        <f t="shared" si="191"/>
        <v/>
      </c>
      <c r="AS278" s="475" t="str">
        <f t="shared" si="215"/>
        <v/>
      </c>
      <c r="AT278" s="475" t="str">
        <f t="shared" si="192"/>
        <v/>
      </c>
      <c r="AU278" s="475" t="str">
        <f t="shared" si="193"/>
        <v/>
      </c>
      <c r="AV278" s="475" t="str">
        <f t="shared" si="194"/>
        <v/>
      </c>
      <c r="AW278" s="473">
        <f t="shared" si="195"/>
        <v>0</v>
      </c>
      <c r="AX278" s="473" t="str">
        <f>IF(AND($Z278="b",OR($AA278="a",$AA278="b"),Inventory!$I34="",$AE278&lt;(65000/12000)),"x",IF(AND($Z278="b",OR($AA278="a",$AA278="b"),Inventory!$I34&lt;&gt;"",$AE278&lt;(65000/12000)),VLOOKUP(Inventory!$I285,$V$4:$W$5,2,FALSE),"x"))</f>
        <v>x</v>
      </c>
      <c r="AY278" s="476" t="str">
        <f t="shared" si="196"/>
        <v>aaa0</v>
      </c>
      <c r="AZ278" s="477" t="str">
        <f t="shared" si="197"/>
        <v>No</v>
      </c>
      <c r="BA278" s="759" t="str">
        <f t="shared" si="198"/>
        <v>No</v>
      </c>
      <c r="BB278" s="477">
        <f>IF($Z278="c",Inventory!$AB34,Inventory!$K34)</f>
        <v>0</v>
      </c>
      <c r="BC278" s="478">
        <f>IF(AND($Z278="b",Inventory!$N34="Btu/hr"),Inventory!$M34,IF(AND($Z278="b",Inventory!$N34="Tons"),Inventory!$M34*12000,IF(AND($Z278&lt;&gt;"b",Inventory!$AK34="Btu/hr"),Inventory!$AD34,IF(AND($Z278&lt;&gt;"b",Inventory!$AK34="Tons"),Inventory!$AD34*12000,0))))</f>
        <v>0</v>
      </c>
      <c r="BD278" s="478">
        <f t="shared" si="199"/>
        <v>0</v>
      </c>
      <c r="BE278" s="479">
        <f t="shared" si="216"/>
        <v>0</v>
      </c>
      <c r="BF278" s="477" t="s">
        <v>50</v>
      </c>
      <c r="BG278" s="479">
        <f t="shared" si="200"/>
        <v>0</v>
      </c>
      <c r="BH278" s="477" t="s">
        <v>46</v>
      </c>
      <c r="BI278" s="760">
        <f>IF(AND($Z278="b",Inventory!$P34="Btu/hr"),Inventory!$O34,IF(AND($Z278="b",Inventory!$P34="Tons"),Inventory!$O34*12000,IF(AND($Z278&lt;&gt;"b",Inventory!$AM34="Btu/hr"),Inventory!$AL34,IF(AND($Z278&lt;&gt;"b",Inventory!$AM34="Tons"),Inventory!$AL34*12000,0))))</f>
        <v>0</v>
      </c>
      <c r="BJ278" s="760">
        <f t="shared" si="201"/>
        <v>0</v>
      </c>
      <c r="BK278" s="598">
        <f t="shared" si="202"/>
        <v>0</v>
      </c>
      <c r="BL278" s="759" t="s">
        <v>567</v>
      </c>
      <c r="BM278" s="477" t="str">
        <f t="shared" si="203"/>
        <v>No</v>
      </c>
      <c r="BN278" s="477" t="str">
        <f>IF(OR(Inventory!$H34="",$BM278="No"),"-",Inventory!$H34)</f>
        <v>-</v>
      </c>
      <c r="BO278" s="477" t="str">
        <f>IFERROR(VLOOKUP(BN278,'Early Retirement'!$B$6:$C$33,2,FALSE),"-")</f>
        <v>-</v>
      </c>
      <c r="BP278" s="477" t="str">
        <f>IF(Inventory!$J34="Centrifugal","Yes","No")</f>
        <v>No</v>
      </c>
      <c r="BQ278" s="477">
        <f t="shared" si="204"/>
        <v>0</v>
      </c>
      <c r="BR278" s="477" t="str">
        <f t="shared" si="218"/>
        <v>-</v>
      </c>
      <c r="BS278" s="479">
        <f>IFERROR(INDEX('Early Retirement'!$C$4:$AC$33,$BO278,$BR278),0)</f>
        <v>0</v>
      </c>
      <c r="BT278" s="477">
        <f>IFERROR(HLOOKUP($BR278,'Early Retirement'!$D$4:$AC$5,2,FALSE),0)</f>
        <v>0</v>
      </c>
      <c r="BU278" s="761">
        <f>IFERROR(INDEX('Early Retirement'!$AE$4:$BE$33,$BO278,$BR278),0)</f>
        <v>0</v>
      </c>
      <c r="BV278" s="759">
        <f>IFERROR(HLOOKUP($BR278,'Early Retirement'!$AF$4:$BE$5,2,FALSE),0)</f>
        <v>0</v>
      </c>
      <c r="BW278" s="479">
        <f t="shared" si="206"/>
        <v>0</v>
      </c>
      <c r="BX278" s="761">
        <f t="shared" si="207"/>
        <v>0</v>
      </c>
      <c r="BY278" s="477" t="s">
        <v>46</v>
      </c>
      <c r="BZ278" s="598">
        <f>IFERROR(INDEX('Early Retirement'!$BG$4:$CG$33,$BO278,$BR278),0)</f>
        <v>0</v>
      </c>
      <c r="CA278" s="759">
        <f>IFERROR(HLOOKUP($BR278,'Early Retirement'!$BH$4:$CH$5,2,FALSE),0)</f>
        <v>0</v>
      </c>
      <c r="CB278" s="598">
        <f t="shared" si="208"/>
        <v>0</v>
      </c>
      <c r="CC278" s="759" t="s">
        <v>567</v>
      </c>
      <c r="CD278" s="477" t="str">
        <f t="shared" si="209"/>
        <v>Yes</v>
      </c>
      <c r="CE278" s="479">
        <f t="shared" si="210"/>
        <v>0</v>
      </c>
      <c r="CF278" s="761">
        <f t="shared" si="211"/>
        <v>0</v>
      </c>
      <c r="CG278" s="759" t="s">
        <v>46</v>
      </c>
      <c r="CH278" s="598">
        <f t="shared" si="217"/>
        <v>0</v>
      </c>
      <c r="CI278" s="759" t="s">
        <v>567</v>
      </c>
      <c r="CJ278" s="480">
        <f t="shared" si="212"/>
        <v>0</v>
      </c>
      <c r="CK278" s="583">
        <f t="shared" si="213"/>
        <v>0</v>
      </c>
      <c r="CL278" s="596" t="s">
        <v>46</v>
      </c>
      <c r="CM278" s="581">
        <f t="shared" si="214"/>
        <v>0</v>
      </c>
      <c r="CN278" s="762" t="s">
        <v>567</v>
      </c>
      <c r="CW278" s="630"/>
      <c r="CX278" s="630"/>
      <c r="CY278" s="630"/>
      <c r="CZ278" s="630"/>
      <c r="DA278" s="630"/>
    </row>
    <row r="279" spans="2:105" s="78" customFormat="1" ht="15" customHeight="1" x14ac:dyDescent="0.25">
      <c r="B279" s="77"/>
      <c r="H279" s="77"/>
      <c r="Y279" s="90">
        <v>26</v>
      </c>
      <c r="Z279" s="472" t="str">
        <f>IF(Inventory!$C35="","",VLOOKUP(Inventory!$C35,$B$7:$C$9,2,FALSE))</f>
        <v/>
      </c>
      <c r="AA279" s="472" t="str">
        <f>IF($Z279="","",IF(AND($Z279="b",Inventory!$G35=""),"",IF(AND($Z279="b",Inventory!$G35&lt;&gt;""),VLOOKUP(Inventory!$G35,$E$3:$F$10,2,FALSE),IF(AND($Z279="a",Inventory!$Z35=""),"",IF(AND($Z279="a",Inventory!$Z35&lt;&gt;""),VLOOKUP(Inventory!$Z35,$E$3:$F$10,2,FALSE),IF(AND($Z279="c",Inventory!$Z35=""),"",IF(AND($Z279="c",Inventory!$Z35&lt;&gt;""),VLOOKUP(Inventory!$Z35,$E$3:$F$10,2,FALSE),"")))))))</f>
        <v/>
      </c>
      <c r="AB279" s="472" t="str">
        <f>IF($Z279="","a",IF(AND($Z279="b",Inventory!$J35=""),"a",IF(AND($Z279="b",Inventory!$J35&lt;&gt;""),VLOOKUP(Inventory!$J35,$H$4:$I$6,2,FALSE),IF(AND($Z279="a",Inventory!$AA35=""),"a",IF(AND($Z279="a",Inventory!$AA35&lt;&gt;""),VLOOKUP(Inventory!$AA35,$H$4:$I$6,2,FALSE),IF(AND($Z279="c",Inventory!$AA35=""),"a",IF(AND($Z279="c",Inventory!$AA35&lt;&gt;""),VLOOKUP(Inventory!$AA35,$H$4:$I$6,2,FALSE),"a")))))))</f>
        <v>a</v>
      </c>
      <c r="AC279" s="506" t="str">
        <f t="shared" si="178"/>
        <v>a</v>
      </c>
      <c r="AD279" s="473" t="str">
        <f>IF($Z279="","a",IF(AND($Z279="b",Inventory!$L35=""),"a",IF(AND($Z279="b",Inventory!$L35&lt;&gt;""),VLOOKUP(Inventory!$L35,$N$4:$O$5,2,FALSE),IF(AND($Z279="a",Inventory!$AC35=""),"a",IF(AND($Z279="a",Inventory!$AC35&lt;&gt;""),VLOOKUP(Inventory!$AC35,$N$4:$O$5,2,FALSE),IF(AND($Z279="c",Inventory!$AC35=""),"a",IF(AND($Z279="c",Inventory!$AC35&lt;&gt;""),VLOOKUP(Inventory!$AC35,$N$4:$O$5,2,FALSE),"a")))))))</f>
        <v>a</v>
      </c>
      <c r="AE279" s="474">
        <f>IF(OR(Inventory!C35="New Construction",Inventory!C35="Replace-on-Burnout"),Inventory!AF35,IF(Inventory!C35="Early Retirement",MIN(Inventory!AE35,Inventory!AF35),0))</f>
        <v>0</v>
      </c>
      <c r="AF279" s="475" t="str">
        <f t="shared" si="179"/>
        <v/>
      </c>
      <c r="AG279" s="475" t="str">
        <f t="shared" si="180"/>
        <v/>
      </c>
      <c r="AH279" s="475" t="str">
        <f t="shared" si="181"/>
        <v/>
      </c>
      <c r="AI279" s="475" t="str">
        <f t="shared" si="182"/>
        <v/>
      </c>
      <c r="AJ279" s="475" t="str">
        <f t="shared" si="183"/>
        <v/>
      </c>
      <c r="AK279" s="475" t="str">
        <f t="shared" si="184"/>
        <v/>
      </c>
      <c r="AL279" s="475" t="str">
        <f t="shared" si="185"/>
        <v/>
      </c>
      <c r="AM279" s="475" t="str">
        <f t="shared" si="186"/>
        <v/>
      </c>
      <c r="AN279" s="475" t="str">
        <f t="shared" si="187"/>
        <v/>
      </c>
      <c r="AO279" s="475" t="str">
        <f t="shared" si="188"/>
        <v/>
      </c>
      <c r="AP279" s="475" t="str">
        <f t="shared" si="189"/>
        <v/>
      </c>
      <c r="AQ279" s="475" t="str">
        <f t="shared" si="190"/>
        <v/>
      </c>
      <c r="AR279" s="475" t="str">
        <f t="shared" si="191"/>
        <v/>
      </c>
      <c r="AS279" s="475" t="str">
        <f t="shared" si="215"/>
        <v/>
      </c>
      <c r="AT279" s="475" t="str">
        <f t="shared" si="192"/>
        <v/>
      </c>
      <c r="AU279" s="475" t="str">
        <f t="shared" si="193"/>
        <v/>
      </c>
      <c r="AV279" s="475" t="str">
        <f t="shared" si="194"/>
        <v/>
      </c>
      <c r="AW279" s="473">
        <f t="shared" si="195"/>
        <v>0</v>
      </c>
      <c r="AX279" s="473" t="str">
        <f>IF(AND($Z279="b",OR($AA279="a",$AA279="b"),Inventory!$I35="",$AE279&lt;(65000/12000)),"x",IF(AND($Z279="b",OR($AA279="a",$AA279="b"),Inventory!$I35&lt;&gt;"",$AE279&lt;(65000/12000)),VLOOKUP(Inventory!$I286,$V$4:$W$5,2,FALSE),"x"))</f>
        <v>x</v>
      </c>
      <c r="AY279" s="476" t="str">
        <f t="shared" si="196"/>
        <v>aaa0</v>
      </c>
      <c r="AZ279" s="477" t="str">
        <f t="shared" si="197"/>
        <v>No</v>
      </c>
      <c r="BA279" s="759" t="str">
        <f t="shared" si="198"/>
        <v>No</v>
      </c>
      <c r="BB279" s="477">
        <f>IF($Z279="c",Inventory!$AB35,Inventory!$K35)</f>
        <v>0</v>
      </c>
      <c r="BC279" s="478">
        <f>IF(AND($Z279="b",Inventory!$N35="Btu/hr"),Inventory!$M35,IF(AND($Z279="b",Inventory!$N35="Tons"),Inventory!$M35*12000,IF(AND($Z279&lt;&gt;"b",Inventory!$AK35="Btu/hr"),Inventory!$AD35,IF(AND($Z279&lt;&gt;"b",Inventory!$AK35="Tons"),Inventory!$AD35*12000,0))))</f>
        <v>0</v>
      </c>
      <c r="BD279" s="478">
        <f t="shared" si="199"/>
        <v>0</v>
      </c>
      <c r="BE279" s="479">
        <f t="shared" si="216"/>
        <v>0</v>
      </c>
      <c r="BF279" s="477" t="s">
        <v>50</v>
      </c>
      <c r="BG279" s="479">
        <f t="shared" si="200"/>
        <v>0</v>
      </c>
      <c r="BH279" s="477" t="s">
        <v>46</v>
      </c>
      <c r="BI279" s="760">
        <f>IF(AND($Z279="b",Inventory!$P35="Btu/hr"),Inventory!$O35,IF(AND($Z279="b",Inventory!$P35="Tons"),Inventory!$O35*12000,IF(AND($Z279&lt;&gt;"b",Inventory!$AM35="Btu/hr"),Inventory!$AL35,IF(AND($Z279&lt;&gt;"b",Inventory!$AM35="Tons"),Inventory!$AL35*12000,0))))</f>
        <v>0</v>
      </c>
      <c r="BJ279" s="760">
        <f t="shared" si="201"/>
        <v>0</v>
      </c>
      <c r="BK279" s="598">
        <f t="shared" si="202"/>
        <v>0</v>
      </c>
      <c r="BL279" s="759" t="s">
        <v>567</v>
      </c>
      <c r="BM279" s="477" t="str">
        <f t="shared" si="203"/>
        <v>No</v>
      </c>
      <c r="BN279" s="477" t="str">
        <f>IF(OR(Inventory!$H35="",$BM279="No"),"-",Inventory!$H35)</f>
        <v>-</v>
      </c>
      <c r="BO279" s="477" t="str">
        <f>IFERROR(VLOOKUP(BN279,'Early Retirement'!$B$6:$C$33,2,FALSE),"-")</f>
        <v>-</v>
      </c>
      <c r="BP279" s="477" t="str">
        <f>IF(Inventory!$J35="Centrifugal","Yes","No")</f>
        <v>No</v>
      </c>
      <c r="BQ279" s="477">
        <f t="shared" si="204"/>
        <v>0</v>
      </c>
      <c r="BR279" s="477" t="str">
        <f t="shared" si="218"/>
        <v>-</v>
      </c>
      <c r="BS279" s="479">
        <f>IFERROR(INDEX('Early Retirement'!$C$4:$AC$33,$BO279,$BR279),0)</f>
        <v>0</v>
      </c>
      <c r="BT279" s="477">
        <f>IFERROR(HLOOKUP($BR279,'Early Retirement'!$D$4:$AC$5,2,FALSE),0)</f>
        <v>0</v>
      </c>
      <c r="BU279" s="761">
        <f>IFERROR(INDEX('Early Retirement'!$AE$4:$BE$33,$BO279,$BR279),0)</f>
        <v>0</v>
      </c>
      <c r="BV279" s="759">
        <f>IFERROR(HLOOKUP($BR279,'Early Retirement'!$AF$4:$BE$5,2,FALSE),0)</f>
        <v>0</v>
      </c>
      <c r="BW279" s="479">
        <f t="shared" si="206"/>
        <v>0</v>
      </c>
      <c r="BX279" s="761">
        <f t="shared" si="207"/>
        <v>0</v>
      </c>
      <c r="BY279" s="477" t="s">
        <v>46</v>
      </c>
      <c r="BZ279" s="598">
        <f>IFERROR(INDEX('Early Retirement'!$BG$4:$CG$33,$BO279,$BR279),0)</f>
        <v>0</v>
      </c>
      <c r="CA279" s="759">
        <f>IFERROR(HLOOKUP($BR279,'Early Retirement'!$BH$4:$CH$5,2,FALSE),0)</f>
        <v>0</v>
      </c>
      <c r="CB279" s="598">
        <f t="shared" si="208"/>
        <v>0</v>
      </c>
      <c r="CC279" s="759" t="s">
        <v>567</v>
      </c>
      <c r="CD279" s="477" t="str">
        <f t="shared" si="209"/>
        <v>Yes</v>
      </c>
      <c r="CE279" s="479">
        <f t="shared" si="210"/>
        <v>0</v>
      </c>
      <c r="CF279" s="761">
        <f t="shared" si="211"/>
        <v>0</v>
      </c>
      <c r="CG279" s="759" t="s">
        <v>46</v>
      </c>
      <c r="CH279" s="598">
        <f t="shared" si="217"/>
        <v>0</v>
      </c>
      <c r="CI279" s="759" t="s">
        <v>567</v>
      </c>
      <c r="CJ279" s="480">
        <f t="shared" si="212"/>
        <v>0</v>
      </c>
      <c r="CK279" s="583">
        <f t="shared" si="213"/>
        <v>0</v>
      </c>
      <c r="CL279" s="596" t="s">
        <v>46</v>
      </c>
      <c r="CM279" s="581">
        <f t="shared" si="214"/>
        <v>0</v>
      </c>
      <c r="CN279" s="762" t="s">
        <v>567</v>
      </c>
      <c r="CW279" s="630"/>
      <c r="CX279" s="630"/>
      <c r="CY279" s="630"/>
      <c r="CZ279" s="630"/>
      <c r="DA279" s="630"/>
    </row>
    <row r="280" spans="2:105" s="78" customFormat="1" ht="15" customHeight="1" x14ac:dyDescent="0.25">
      <c r="B280" s="77"/>
      <c r="H280" s="77"/>
      <c r="Y280" s="90">
        <v>27</v>
      </c>
      <c r="Z280" s="472" t="str">
        <f>IF(Inventory!$C36="","",VLOOKUP(Inventory!$C36,$B$7:$C$9,2,FALSE))</f>
        <v/>
      </c>
      <c r="AA280" s="472" t="str">
        <f>IF($Z280="","",IF(AND($Z280="b",Inventory!$G36=""),"",IF(AND($Z280="b",Inventory!$G36&lt;&gt;""),VLOOKUP(Inventory!$G36,$E$3:$F$10,2,FALSE),IF(AND($Z280="a",Inventory!$Z36=""),"",IF(AND($Z280="a",Inventory!$Z36&lt;&gt;""),VLOOKUP(Inventory!$Z36,$E$3:$F$10,2,FALSE),IF(AND($Z280="c",Inventory!$Z36=""),"",IF(AND($Z280="c",Inventory!$Z36&lt;&gt;""),VLOOKUP(Inventory!$Z36,$E$3:$F$10,2,FALSE),"")))))))</f>
        <v/>
      </c>
      <c r="AB280" s="472" t="str">
        <f>IF($Z280="","a",IF(AND($Z280="b",Inventory!$J36=""),"a",IF(AND($Z280="b",Inventory!$J36&lt;&gt;""),VLOOKUP(Inventory!$J36,$H$4:$I$6,2,FALSE),IF(AND($Z280="a",Inventory!$AA36=""),"a",IF(AND($Z280="a",Inventory!$AA36&lt;&gt;""),VLOOKUP(Inventory!$AA36,$H$4:$I$6,2,FALSE),IF(AND($Z280="c",Inventory!$AA36=""),"a",IF(AND($Z280="c",Inventory!$AA36&lt;&gt;""),VLOOKUP(Inventory!$AA36,$H$4:$I$6,2,FALSE),"a")))))))</f>
        <v>a</v>
      </c>
      <c r="AC280" s="506" t="str">
        <f t="shared" si="178"/>
        <v>a</v>
      </c>
      <c r="AD280" s="473" t="str">
        <f>IF($Z280="","a",IF(AND($Z280="b",Inventory!$L36=""),"a",IF(AND($Z280="b",Inventory!$L36&lt;&gt;""),VLOOKUP(Inventory!$L36,$N$4:$O$5,2,FALSE),IF(AND($Z280="a",Inventory!$AC36=""),"a",IF(AND($Z280="a",Inventory!$AC36&lt;&gt;""),VLOOKUP(Inventory!$AC36,$N$4:$O$5,2,FALSE),IF(AND($Z280="c",Inventory!$AC36=""),"a",IF(AND($Z280="c",Inventory!$AC36&lt;&gt;""),VLOOKUP(Inventory!$AC36,$N$4:$O$5,2,FALSE),"a")))))))</f>
        <v>a</v>
      </c>
      <c r="AE280" s="474">
        <f>IF(OR(Inventory!C36="New Construction",Inventory!C36="Replace-on-Burnout"),Inventory!AF36,IF(Inventory!C36="Early Retirement",MIN(Inventory!AE36,Inventory!AF36),0))</f>
        <v>0</v>
      </c>
      <c r="AF280" s="475" t="str">
        <f t="shared" si="179"/>
        <v/>
      </c>
      <c r="AG280" s="475" t="str">
        <f t="shared" si="180"/>
        <v/>
      </c>
      <c r="AH280" s="475" t="str">
        <f t="shared" si="181"/>
        <v/>
      </c>
      <c r="AI280" s="475" t="str">
        <f t="shared" si="182"/>
        <v/>
      </c>
      <c r="AJ280" s="475" t="str">
        <f t="shared" si="183"/>
        <v/>
      </c>
      <c r="AK280" s="475" t="str">
        <f t="shared" si="184"/>
        <v/>
      </c>
      <c r="AL280" s="475" t="str">
        <f t="shared" si="185"/>
        <v/>
      </c>
      <c r="AM280" s="475" t="str">
        <f t="shared" si="186"/>
        <v/>
      </c>
      <c r="AN280" s="475" t="str">
        <f t="shared" si="187"/>
        <v/>
      </c>
      <c r="AO280" s="475" t="str">
        <f t="shared" si="188"/>
        <v/>
      </c>
      <c r="AP280" s="475" t="str">
        <f t="shared" si="189"/>
        <v/>
      </c>
      <c r="AQ280" s="475" t="str">
        <f t="shared" si="190"/>
        <v/>
      </c>
      <c r="AR280" s="475" t="str">
        <f t="shared" si="191"/>
        <v/>
      </c>
      <c r="AS280" s="475" t="str">
        <f t="shared" si="215"/>
        <v/>
      </c>
      <c r="AT280" s="475" t="str">
        <f t="shared" si="192"/>
        <v/>
      </c>
      <c r="AU280" s="475" t="str">
        <f t="shared" si="193"/>
        <v/>
      </c>
      <c r="AV280" s="475" t="str">
        <f t="shared" si="194"/>
        <v/>
      </c>
      <c r="AW280" s="473">
        <f t="shared" si="195"/>
        <v>0</v>
      </c>
      <c r="AX280" s="473" t="str">
        <f>IF(AND($Z280="b",OR($AA280="a",$AA280="b"),Inventory!$I36="",$AE280&lt;(65000/12000)),"x",IF(AND($Z280="b",OR($AA280="a",$AA280="b"),Inventory!$I36&lt;&gt;"",$AE280&lt;(65000/12000)),VLOOKUP(Inventory!$I287,$V$4:$W$5,2,FALSE),"x"))</f>
        <v>x</v>
      </c>
      <c r="AY280" s="476" t="str">
        <f t="shared" si="196"/>
        <v>aaa0</v>
      </c>
      <c r="AZ280" s="477" t="str">
        <f t="shared" si="197"/>
        <v>No</v>
      </c>
      <c r="BA280" s="759" t="str">
        <f t="shared" si="198"/>
        <v>No</v>
      </c>
      <c r="BB280" s="477">
        <f>IF($Z280="c",Inventory!$AB36,Inventory!$K36)</f>
        <v>0</v>
      </c>
      <c r="BC280" s="478">
        <f>IF(AND($Z280="b",Inventory!$N36="Btu/hr"),Inventory!$M36,IF(AND($Z280="b",Inventory!$N36="Tons"),Inventory!$M36*12000,IF(AND($Z280&lt;&gt;"b",Inventory!$AK36="Btu/hr"),Inventory!$AD36,IF(AND($Z280&lt;&gt;"b",Inventory!$AK36="Tons"),Inventory!$AD36*12000,0))))</f>
        <v>0</v>
      </c>
      <c r="BD280" s="478">
        <f t="shared" si="199"/>
        <v>0</v>
      </c>
      <c r="BE280" s="479">
        <f t="shared" si="216"/>
        <v>0</v>
      </c>
      <c r="BF280" s="477" t="s">
        <v>50</v>
      </c>
      <c r="BG280" s="479">
        <f t="shared" si="200"/>
        <v>0</v>
      </c>
      <c r="BH280" s="477" t="s">
        <v>46</v>
      </c>
      <c r="BI280" s="760">
        <f>IF(AND($Z280="b",Inventory!$P36="Btu/hr"),Inventory!$O36,IF(AND($Z280="b",Inventory!$P36="Tons"),Inventory!$O36*12000,IF(AND($Z280&lt;&gt;"b",Inventory!$AM36="Btu/hr"),Inventory!$AL36,IF(AND($Z280&lt;&gt;"b",Inventory!$AM36="Tons"),Inventory!$AL36*12000,0))))</f>
        <v>0</v>
      </c>
      <c r="BJ280" s="760">
        <f t="shared" si="201"/>
        <v>0</v>
      </c>
      <c r="BK280" s="598">
        <f t="shared" si="202"/>
        <v>0</v>
      </c>
      <c r="BL280" s="759" t="s">
        <v>567</v>
      </c>
      <c r="BM280" s="477" t="str">
        <f t="shared" si="203"/>
        <v>No</v>
      </c>
      <c r="BN280" s="477" t="str">
        <f>IF(OR(Inventory!$H36="",$BM280="No"),"-",Inventory!$H36)</f>
        <v>-</v>
      </c>
      <c r="BO280" s="477" t="str">
        <f>IFERROR(VLOOKUP(BN280,'Early Retirement'!$B$6:$C$33,2,FALSE),"-")</f>
        <v>-</v>
      </c>
      <c r="BP280" s="477" t="str">
        <f>IF(Inventory!$J36="Centrifugal","Yes","No")</f>
        <v>No</v>
      </c>
      <c r="BQ280" s="477">
        <f t="shared" si="204"/>
        <v>0</v>
      </c>
      <c r="BR280" s="477" t="str">
        <f t="shared" si="218"/>
        <v>-</v>
      </c>
      <c r="BS280" s="479">
        <f>IFERROR(INDEX('Early Retirement'!$C$4:$AC$33,$BO280,$BR280),0)</f>
        <v>0</v>
      </c>
      <c r="BT280" s="477">
        <f>IFERROR(HLOOKUP($BR280,'Early Retirement'!$D$4:$AC$5,2,FALSE),0)</f>
        <v>0</v>
      </c>
      <c r="BU280" s="761">
        <f>IFERROR(INDEX('Early Retirement'!$AE$4:$BE$33,$BO280,$BR280),0)</f>
        <v>0</v>
      </c>
      <c r="BV280" s="759">
        <f>IFERROR(HLOOKUP($BR280,'Early Retirement'!$AF$4:$BE$5,2,FALSE),0)</f>
        <v>0</v>
      </c>
      <c r="BW280" s="479">
        <f t="shared" si="206"/>
        <v>0</v>
      </c>
      <c r="BX280" s="761">
        <f t="shared" si="207"/>
        <v>0</v>
      </c>
      <c r="BY280" s="477" t="s">
        <v>46</v>
      </c>
      <c r="BZ280" s="598">
        <f>IFERROR(INDEX('Early Retirement'!$BG$4:$CG$33,$BO280,$BR280),0)</f>
        <v>0</v>
      </c>
      <c r="CA280" s="759">
        <f>IFERROR(HLOOKUP($BR280,'Early Retirement'!$BH$4:$CH$5,2,FALSE),0)</f>
        <v>0</v>
      </c>
      <c r="CB280" s="598">
        <f t="shared" si="208"/>
        <v>0</v>
      </c>
      <c r="CC280" s="759" t="s">
        <v>567</v>
      </c>
      <c r="CD280" s="477" t="str">
        <f t="shared" si="209"/>
        <v>Yes</v>
      </c>
      <c r="CE280" s="479">
        <f t="shared" si="210"/>
        <v>0</v>
      </c>
      <c r="CF280" s="761">
        <f t="shared" si="211"/>
        <v>0</v>
      </c>
      <c r="CG280" s="759" t="s">
        <v>46</v>
      </c>
      <c r="CH280" s="598">
        <f t="shared" si="217"/>
        <v>0</v>
      </c>
      <c r="CI280" s="759" t="s">
        <v>567</v>
      </c>
      <c r="CJ280" s="480">
        <f t="shared" si="212"/>
        <v>0</v>
      </c>
      <c r="CK280" s="583">
        <f t="shared" si="213"/>
        <v>0</v>
      </c>
      <c r="CL280" s="596" t="s">
        <v>46</v>
      </c>
      <c r="CM280" s="581">
        <f t="shared" si="214"/>
        <v>0</v>
      </c>
      <c r="CN280" s="762" t="s">
        <v>567</v>
      </c>
      <c r="CW280" s="630"/>
      <c r="CX280" s="630"/>
      <c r="CY280" s="630"/>
      <c r="CZ280" s="630"/>
      <c r="DA280" s="630"/>
    </row>
    <row r="281" spans="2:105" s="78" customFormat="1" ht="15" customHeight="1" x14ac:dyDescent="0.25">
      <c r="B281" s="77"/>
      <c r="E281" s="77"/>
      <c r="H281" s="77"/>
      <c r="Y281" s="90">
        <v>28</v>
      </c>
      <c r="Z281" s="472" t="str">
        <f>IF(Inventory!$C37="","",VLOOKUP(Inventory!$C37,$B$7:$C$9,2,FALSE))</f>
        <v/>
      </c>
      <c r="AA281" s="472" t="str">
        <f>IF($Z281="","",IF(AND($Z281="b",Inventory!$G37=""),"",IF(AND($Z281="b",Inventory!$G37&lt;&gt;""),VLOOKUP(Inventory!$G37,$E$3:$F$10,2,FALSE),IF(AND($Z281="a",Inventory!$Z37=""),"",IF(AND($Z281="a",Inventory!$Z37&lt;&gt;""),VLOOKUP(Inventory!$Z37,$E$3:$F$10,2,FALSE),IF(AND($Z281="c",Inventory!$Z37=""),"",IF(AND($Z281="c",Inventory!$Z37&lt;&gt;""),VLOOKUP(Inventory!$Z37,$E$3:$F$10,2,FALSE),"")))))))</f>
        <v/>
      </c>
      <c r="AB281" s="472" t="str">
        <f>IF($Z281="","a",IF(AND($Z281="b",Inventory!$J37=""),"a",IF(AND($Z281="b",Inventory!$J37&lt;&gt;""),VLOOKUP(Inventory!$J37,$H$4:$I$6,2,FALSE),IF(AND($Z281="a",Inventory!$AA37=""),"a",IF(AND($Z281="a",Inventory!$AA37&lt;&gt;""),VLOOKUP(Inventory!$AA37,$H$4:$I$6,2,FALSE),IF(AND($Z281="c",Inventory!$AA37=""),"a",IF(AND($Z281="c",Inventory!$AA37&lt;&gt;""),VLOOKUP(Inventory!$AA37,$H$4:$I$6,2,FALSE),"a")))))))</f>
        <v>a</v>
      </c>
      <c r="AC281" s="506" t="str">
        <f t="shared" si="178"/>
        <v>a</v>
      </c>
      <c r="AD281" s="473" t="str">
        <f>IF($Z281="","a",IF(AND($Z281="b",Inventory!$L37=""),"a",IF(AND($Z281="b",Inventory!$L37&lt;&gt;""),VLOOKUP(Inventory!$L37,$N$4:$O$5,2,FALSE),IF(AND($Z281="a",Inventory!$AC37=""),"a",IF(AND($Z281="a",Inventory!$AC37&lt;&gt;""),VLOOKUP(Inventory!$AC37,$N$4:$O$5,2,FALSE),IF(AND($Z281="c",Inventory!$AC37=""),"a",IF(AND($Z281="c",Inventory!$AC37&lt;&gt;""),VLOOKUP(Inventory!$AC37,$N$4:$O$5,2,FALSE),"a")))))))</f>
        <v>a</v>
      </c>
      <c r="AE281" s="474">
        <f>IF(OR(Inventory!C37="New Construction",Inventory!C37="Replace-on-Burnout"),Inventory!AF37,IF(Inventory!C37="Early Retirement",MIN(Inventory!AE37,Inventory!AF37),0))</f>
        <v>0</v>
      </c>
      <c r="AF281" s="475" t="str">
        <f t="shared" si="179"/>
        <v/>
      </c>
      <c r="AG281" s="475" t="str">
        <f t="shared" si="180"/>
        <v/>
      </c>
      <c r="AH281" s="475" t="str">
        <f t="shared" si="181"/>
        <v/>
      </c>
      <c r="AI281" s="475" t="str">
        <f t="shared" si="182"/>
        <v/>
      </c>
      <c r="AJ281" s="475" t="str">
        <f t="shared" si="183"/>
        <v/>
      </c>
      <c r="AK281" s="475" t="str">
        <f t="shared" si="184"/>
        <v/>
      </c>
      <c r="AL281" s="475" t="str">
        <f t="shared" si="185"/>
        <v/>
      </c>
      <c r="AM281" s="475" t="str">
        <f t="shared" si="186"/>
        <v/>
      </c>
      <c r="AN281" s="475" t="str">
        <f t="shared" si="187"/>
        <v/>
      </c>
      <c r="AO281" s="475" t="str">
        <f t="shared" si="188"/>
        <v/>
      </c>
      <c r="AP281" s="475" t="str">
        <f t="shared" si="189"/>
        <v/>
      </c>
      <c r="AQ281" s="475" t="str">
        <f t="shared" si="190"/>
        <v/>
      </c>
      <c r="AR281" s="475" t="str">
        <f t="shared" si="191"/>
        <v/>
      </c>
      <c r="AS281" s="475" t="str">
        <f t="shared" si="215"/>
        <v/>
      </c>
      <c r="AT281" s="475" t="str">
        <f t="shared" si="192"/>
        <v/>
      </c>
      <c r="AU281" s="475" t="str">
        <f t="shared" si="193"/>
        <v/>
      </c>
      <c r="AV281" s="475" t="str">
        <f t="shared" si="194"/>
        <v/>
      </c>
      <c r="AW281" s="473">
        <f t="shared" si="195"/>
        <v>0</v>
      </c>
      <c r="AX281" s="473" t="str">
        <f>IF(AND($Z281="b",OR($AA281="a",$AA281="b"),Inventory!$I37="",$AE281&lt;(65000/12000)),"x",IF(AND($Z281="b",OR($AA281="a",$AA281="b"),Inventory!$I37&lt;&gt;"",$AE281&lt;(65000/12000)),VLOOKUP(Inventory!$I288,$V$4:$W$5,2,FALSE),"x"))</f>
        <v>x</v>
      </c>
      <c r="AY281" s="476" t="str">
        <f t="shared" si="196"/>
        <v>aaa0</v>
      </c>
      <c r="AZ281" s="477" t="str">
        <f t="shared" si="197"/>
        <v>No</v>
      </c>
      <c r="BA281" s="759" t="str">
        <f t="shared" si="198"/>
        <v>No</v>
      </c>
      <c r="BB281" s="477">
        <f>IF($Z281="c",Inventory!$AB37,Inventory!$K37)</f>
        <v>0</v>
      </c>
      <c r="BC281" s="478">
        <f>IF(AND($Z281="b",Inventory!$N37="Btu/hr"),Inventory!$M37,IF(AND($Z281="b",Inventory!$N37="Tons"),Inventory!$M37*12000,IF(AND($Z281&lt;&gt;"b",Inventory!$AK37="Btu/hr"),Inventory!$AD37,IF(AND($Z281&lt;&gt;"b",Inventory!$AK37="Tons"),Inventory!$AD37*12000,0))))</f>
        <v>0</v>
      </c>
      <c r="BD281" s="478">
        <f t="shared" si="199"/>
        <v>0</v>
      </c>
      <c r="BE281" s="479">
        <f t="shared" si="216"/>
        <v>0</v>
      </c>
      <c r="BF281" s="477" t="s">
        <v>50</v>
      </c>
      <c r="BG281" s="479">
        <f t="shared" si="200"/>
        <v>0</v>
      </c>
      <c r="BH281" s="477" t="s">
        <v>46</v>
      </c>
      <c r="BI281" s="760">
        <f>IF(AND($Z281="b",Inventory!$P37="Btu/hr"),Inventory!$O37,IF(AND($Z281="b",Inventory!$P37="Tons"),Inventory!$O37*12000,IF(AND($Z281&lt;&gt;"b",Inventory!$AM37="Btu/hr"),Inventory!$AL37,IF(AND($Z281&lt;&gt;"b",Inventory!$AM37="Tons"),Inventory!$AL37*12000,0))))</f>
        <v>0</v>
      </c>
      <c r="BJ281" s="760">
        <f t="shared" si="201"/>
        <v>0</v>
      </c>
      <c r="BK281" s="598">
        <f t="shared" si="202"/>
        <v>0</v>
      </c>
      <c r="BL281" s="759" t="s">
        <v>567</v>
      </c>
      <c r="BM281" s="477" t="str">
        <f t="shared" si="203"/>
        <v>No</v>
      </c>
      <c r="BN281" s="477" t="str">
        <f>IF(OR(Inventory!$H37="",$BM281="No"),"-",Inventory!$H37)</f>
        <v>-</v>
      </c>
      <c r="BO281" s="477" t="str">
        <f>IFERROR(VLOOKUP(BN281,'Early Retirement'!$B$6:$C$33,2,FALSE),"-")</f>
        <v>-</v>
      </c>
      <c r="BP281" s="477" t="str">
        <f>IF(Inventory!$J37="Centrifugal","Yes","No")</f>
        <v>No</v>
      </c>
      <c r="BQ281" s="477">
        <f t="shared" si="204"/>
        <v>0</v>
      </c>
      <c r="BR281" s="477" t="str">
        <f t="shared" si="218"/>
        <v>-</v>
      </c>
      <c r="BS281" s="479">
        <f>IFERROR(INDEX('Early Retirement'!$C$4:$AC$33,$BO281,$BR281),0)</f>
        <v>0</v>
      </c>
      <c r="BT281" s="477">
        <f>IFERROR(HLOOKUP($BR281,'Early Retirement'!$D$4:$AC$5,2,FALSE),0)</f>
        <v>0</v>
      </c>
      <c r="BU281" s="761">
        <f>IFERROR(INDEX('Early Retirement'!$AE$4:$BE$33,$BO281,$BR281),0)</f>
        <v>0</v>
      </c>
      <c r="BV281" s="759">
        <f>IFERROR(HLOOKUP($BR281,'Early Retirement'!$AF$4:$BE$5,2,FALSE),0)</f>
        <v>0</v>
      </c>
      <c r="BW281" s="479">
        <f t="shared" si="206"/>
        <v>0</v>
      </c>
      <c r="BX281" s="761">
        <f t="shared" si="207"/>
        <v>0</v>
      </c>
      <c r="BY281" s="477" t="s">
        <v>46</v>
      </c>
      <c r="BZ281" s="598">
        <f>IFERROR(INDEX('Early Retirement'!$BG$4:$CG$33,$BO281,$BR281),0)</f>
        <v>0</v>
      </c>
      <c r="CA281" s="759">
        <f>IFERROR(HLOOKUP($BR281,'Early Retirement'!$BH$4:$CH$5,2,FALSE),0)</f>
        <v>0</v>
      </c>
      <c r="CB281" s="598">
        <f t="shared" si="208"/>
        <v>0</v>
      </c>
      <c r="CC281" s="759" t="s">
        <v>567</v>
      </c>
      <c r="CD281" s="477" t="str">
        <f t="shared" si="209"/>
        <v>Yes</v>
      </c>
      <c r="CE281" s="479">
        <f t="shared" si="210"/>
        <v>0</v>
      </c>
      <c r="CF281" s="761">
        <f t="shared" si="211"/>
        <v>0</v>
      </c>
      <c r="CG281" s="759" t="s">
        <v>46</v>
      </c>
      <c r="CH281" s="598">
        <f t="shared" si="217"/>
        <v>0</v>
      </c>
      <c r="CI281" s="759" t="s">
        <v>567</v>
      </c>
      <c r="CJ281" s="480">
        <f t="shared" si="212"/>
        <v>0</v>
      </c>
      <c r="CK281" s="583">
        <f t="shared" si="213"/>
        <v>0</v>
      </c>
      <c r="CL281" s="596" t="s">
        <v>46</v>
      </c>
      <c r="CM281" s="581">
        <f t="shared" si="214"/>
        <v>0</v>
      </c>
      <c r="CN281" s="762" t="s">
        <v>567</v>
      </c>
      <c r="CW281" s="630"/>
      <c r="CX281" s="630"/>
      <c r="CY281" s="630"/>
      <c r="CZ281" s="630"/>
      <c r="DA281" s="630"/>
    </row>
    <row r="282" spans="2:105" s="78" customFormat="1" ht="15" customHeight="1" x14ac:dyDescent="0.25">
      <c r="B282" s="77"/>
      <c r="E282" s="77"/>
      <c r="H282" s="77"/>
      <c r="Y282" s="90">
        <v>29</v>
      </c>
      <c r="Z282" s="472" t="str">
        <f>IF(Inventory!$C38="","",VLOOKUP(Inventory!$C38,$B$7:$C$9,2,FALSE))</f>
        <v/>
      </c>
      <c r="AA282" s="472" t="str">
        <f>IF($Z282="","",IF(AND($Z282="b",Inventory!$G38=""),"",IF(AND($Z282="b",Inventory!$G38&lt;&gt;""),VLOOKUP(Inventory!$G38,$E$3:$F$10,2,FALSE),IF(AND($Z282="a",Inventory!$Z38=""),"",IF(AND($Z282="a",Inventory!$Z38&lt;&gt;""),VLOOKUP(Inventory!$Z38,$E$3:$F$10,2,FALSE),IF(AND($Z282="c",Inventory!$Z38=""),"",IF(AND($Z282="c",Inventory!$Z38&lt;&gt;""),VLOOKUP(Inventory!$Z38,$E$3:$F$10,2,FALSE),"")))))))</f>
        <v/>
      </c>
      <c r="AB282" s="472" t="str">
        <f>IF($Z282="","a",IF(AND($Z282="b",Inventory!$J38=""),"a",IF(AND($Z282="b",Inventory!$J38&lt;&gt;""),VLOOKUP(Inventory!$J38,$H$4:$I$6,2,FALSE),IF(AND($Z282="a",Inventory!$AA38=""),"a",IF(AND($Z282="a",Inventory!$AA38&lt;&gt;""),VLOOKUP(Inventory!$AA38,$H$4:$I$6,2,FALSE),IF(AND($Z282="c",Inventory!$AA38=""),"a",IF(AND($Z282="c",Inventory!$AA38&lt;&gt;""),VLOOKUP(Inventory!$AA38,$H$4:$I$6,2,FALSE),"a")))))))</f>
        <v>a</v>
      </c>
      <c r="AC282" s="506" t="str">
        <f t="shared" si="178"/>
        <v>a</v>
      </c>
      <c r="AD282" s="473" t="str">
        <f>IF($Z282="","a",IF(AND($Z282="b",Inventory!$L38=""),"a",IF(AND($Z282="b",Inventory!$L38&lt;&gt;""),VLOOKUP(Inventory!$L38,$N$4:$O$5,2,FALSE),IF(AND($Z282="a",Inventory!$AC38=""),"a",IF(AND($Z282="a",Inventory!$AC38&lt;&gt;""),VLOOKUP(Inventory!$AC38,$N$4:$O$5,2,FALSE),IF(AND($Z282="c",Inventory!$AC38=""),"a",IF(AND($Z282="c",Inventory!$AC38&lt;&gt;""),VLOOKUP(Inventory!$AC38,$N$4:$O$5,2,FALSE),"a")))))))</f>
        <v>a</v>
      </c>
      <c r="AE282" s="474">
        <f>IF(OR(Inventory!C38="New Construction",Inventory!C38="Replace-on-Burnout"),Inventory!AF38,IF(Inventory!C38="Early Retirement",MIN(Inventory!AE38,Inventory!AF38),0))</f>
        <v>0</v>
      </c>
      <c r="AF282" s="475" t="str">
        <f t="shared" si="179"/>
        <v/>
      </c>
      <c r="AG282" s="475" t="str">
        <f t="shared" si="180"/>
        <v/>
      </c>
      <c r="AH282" s="475" t="str">
        <f t="shared" si="181"/>
        <v/>
      </c>
      <c r="AI282" s="475" t="str">
        <f t="shared" si="182"/>
        <v/>
      </c>
      <c r="AJ282" s="475" t="str">
        <f t="shared" si="183"/>
        <v/>
      </c>
      <c r="AK282" s="475" t="str">
        <f t="shared" si="184"/>
        <v/>
      </c>
      <c r="AL282" s="475" t="str">
        <f t="shared" si="185"/>
        <v/>
      </c>
      <c r="AM282" s="475" t="str">
        <f t="shared" si="186"/>
        <v/>
      </c>
      <c r="AN282" s="475" t="str">
        <f t="shared" si="187"/>
        <v/>
      </c>
      <c r="AO282" s="475" t="str">
        <f t="shared" si="188"/>
        <v/>
      </c>
      <c r="AP282" s="475" t="str">
        <f t="shared" si="189"/>
        <v/>
      </c>
      <c r="AQ282" s="475" t="str">
        <f t="shared" si="190"/>
        <v/>
      </c>
      <c r="AR282" s="475" t="str">
        <f t="shared" si="191"/>
        <v/>
      </c>
      <c r="AS282" s="475" t="str">
        <f t="shared" si="215"/>
        <v/>
      </c>
      <c r="AT282" s="475" t="str">
        <f t="shared" si="192"/>
        <v/>
      </c>
      <c r="AU282" s="475" t="str">
        <f t="shared" si="193"/>
        <v/>
      </c>
      <c r="AV282" s="475" t="str">
        <f t="shared" si="194"/>
        <v/>
      </c>
      <c r="AW282" s="473">
        <f t="shared" si="195"/>
        <v>0</v>
      </c>
      <c r="AX282" s="473" t="str">
        <f>IF(AND($Z282="b",OR($AA282="a",$AA282="b"),Inventory!$I38="",$AE282&lt;(65000/12000)),"x",IF(AND($Z282="b",OR($AA282="a",$AA282="b"),Inventory!$I38&lt;&gt;"",$AE282&lt;(65000/12000)),VLOOKUP(Inventory!$I289,$V$4:$W$5,2,FALSE),"x"))</f>
        <v>x</v>
      </c>
      <c r="AY282" s="476" t="str">
        <f t="shared" si="196"/>
        <v>aaa0</v>
      </c>
      <c r="AZ282" s="477" t="str">
        <f t="shared" si="197"/>
        <v>No</v>
      </c>
      <c r="BA282" s="759" t="str">
        <f t="shared" si="198"/>
        <v>No</v>
      </c>
      <c r="BB282" s="477">
        <f>IF($Z282="c",Inventory!$AB38,Inventory!$K38)</f>
        <v>0</v>
      </c>
      <c r="BC282" s="478">
        <f>IF(AND($Z282="b",Inventory!$N38="Btu/hr"),Inventory!$M38,IF(AND($Z282="b",Inventory!$N38="Tons"),Inventory!$M38*12000,IF(AND($Z282&lt;&gt;"b",Inventory!$AK38="Btu/hr"),Inventory!$AD38,IF(AND($Z282&lt;&gt;"b",Inventory!$AK38="Tons"),Inventory!$AD38*12000,0))))</f>
        <v>0</v>
      </c>
      <c r="BD282" s="478">
        <f t="shared" si="199"/>
        <v>0</v>
      </c>
      <c r="BE282" s="479">
        <f t="shared" si="216"/>
        <v>0</v>
      </c>
      <c r="BF282" s="477" t="s">
        <v>50</v>
      </c>
      <c r="BG282" s="479">
        <f t="shared" si="200"/>
        <v>0</v>
      </c>
      <c r="BH282" s="477" t="s">
        <v>46</v>
      </c>
      <c r="BI282" s="760">
        <f>IF(AND($Z282="b",Inventory!$P38="Btu/hr"),Inventory!$O38,IF(AND($Z282="b",Inventory!$P38="Tons"),Inventory!$O38*12000,IF(AND($Z282&lt;&gt;"b",Inventory!$AM38="Btu/hr"),Inventory!$AL38,IF(AND($Z282&lt;&gt;"b",Inventory!$AM38="Tons"),Inventory!$AL38*12000,0))))</f>
        <v>0</v>
      </c>
      <c r="BJ282" s="760">
        <f t="shared" si="201"/>
        <v>0</v>
      </c>
      <c r="BK282" s="598">
        <f t="shared" si="202"/>
        <v>0</v>
      </c>
      <c r="BL282" s="759" t="s">
        <v>567</v>
      </c>
      <c r="BM282" s="477" t="str">
        <f t="shared" si="203"/>
        <v>No</v>
      </c>
      <c r="BN282" s="477" t="str">
        <f>IF(OR(Inventory!$H38="",$BM282="No"),"-",Inventory!$H38)</f>
        <v>-</v>
      </c>
      <c r="BO282" s="477" t="str">
        <f>IFERROR(VLOOKUP(BN282,'Early Retirement'!$B$6:$C$33,2,FALSE),"-")</f>
        <v>-</v>
      </c>
      <c r="BP282" s="477" t="str">
        <f>IF(Inventory!$J38="Centrifugal","Yes","No")</f>
        <v>No</v>
      </c>
      <c r="BQ282" s="477">
        <f t="shared" si="204"/>
        <v>0</v>
      </c>
      <c r="BR282" s="477" t="str">
        <f t="shared" si="218"/>
        <v>-</v>
      </c>
      <c r="BS282" s="479">
        <f>IFERROR(INDEX('Early Retirement'!$C$4:$AC$33,$BO282,$BR282),0)</f>
        <v>0</v>
      </c>
      <c r="BT282" s="477">
        <f>IFERROR(HLOOKUP($BR282,'Early Retirement'!$D$4:$AC$5,2,FALSE),0)</f>
        <v>0</v>
      </c>
      <c r="BU282" s="761">
        <f>IFERROR(INDEX('Early Retirement'!$AE$4:$BE$33,$BO282,$BR282),0)</f>
        <v>0</v>
      </c>
      <c r="BV282" s="759">
        <f>IFERROR(HLOOKUP($BR282,'Early Retirement'!$AF$4:$BE$5,2,FALSE),0)</f>
        <v>0</v>
      </c>
      <c r="BW282" s="479">
        <f t="shared" si="206"/>
        <v>0</v>
      </c>
      <c r="BX282" s="761">
        <f t="shared" si="207"/>
        <v>0</v>
      </c>
      <c r="BY282" s="477" t="s">
        <v>46</v>
      </c>
      <c r="BZ282" s="598">
        <f>IFERROR(INDEX('Early Retirement'!$BG$4:$CG$33,$BO282,$BR282),0)</f>
        <v>0</v>
      </c>
      <c r="CA282" s="759">
        <f>IFERROR(HLOOKUP($BR282,'Early Retirement'!$BH$4:$CH$5,2,FALSE),0)</f>
        <v>0</v>
      </c>
      <c r="CB282" s="598">
        <f t="shared" si="208"/>
        <v>0</v>
      </c>
      <c r="CC282" s="759" t="s">
        <v>567</v>
      </c>
      <c r="CD282" s="477" t="str">
        <f t="shared" si="209"/>
        <v>Yes</v>
      </c>
      <c r="CE282" s="479">
        <f t="shared" si="210"/>
        <v>0</v>
      </c>
      <c r="CF282" s="761">
        <f t="shared" si="211"/>
        <v>0</v>
      </c>
      <c r="CG282" s="759" t="s">
        <v>46</v>
      </c>
      <c r="CH282" s="598">
        <f t="shared" si="217"/>
        <v>0</v>
      </c>
      <c r="CI282" s="759" t="s">
        <v>567</v>
      </c>
      <c r="CJ282" s="480">
        <f t="shared" si="212"/>
        <v>0</v>
      </c>
      <c r="CK282" s="583">
        <f t="shared" si="213"/>
        <v>0</v>
      </c>
      <c r="CL282" s="596" t="s">
        <v>46</v>
      </c>
      <c r="CM282" s="581">
        <f t="shared" si="214"/>
        <v>0</v>
      </c>
      <c r="CN282" s="762" t="s">
        <v>567</v>
      </c>
      <c r="CW282" s="630"/>
      <c r="CX282" s="630"/>
      <c r="CY282" s="630"/>
      <c r="CZ282" s="630"/>
      <c r="DA282" s="630"/>
    </row>
    <row r="283" spans="2:105" s="78" customFormat="1" ht="15" customHeight="1" x14ac:dyDescent="0.25">
      <c r="B283" s="77"/>
      <c r="E283" s="77"/>
      <c r="H283" s="77"/>
      <c r="Y283" s="90">
        <v>30</v>
      </c>
      <c r="Z283" s="472" t="str">
        <f>IF(Inventory!$C39="","",VLOOKUP(Inventory!$C39,$B$7:$C$9,2,FALSE))</f>
        <v/>
      </c>
      <c r="AA283" s="472" t="str">
        <f>IF($Z283="","",IF(AND($Z283="b",Inventory!$G39=""),"",IF(AND($Z283="b",Inventory!$G39&lt;&gt;""),VLOOKUP(Inventory!$G39,$E$3:$F$10,2,FALSE),IF(AND($Z283="a",Inventory!$Z39=""),"",IF(AND($Z283="a",Inventory!$Z39&lt;&gt;""),VLOOKUP(Inventory!$Z39,$E$3:$F$10,2,FALSE),IF(AND($Z283="c",Inventory!$Z39=""),"",IF(AND($Z283="c",Inventory!$Z39&lt;&gt;""),VLOOKUP(Inventory!$Z39,$E$3:$F$10,2,FALSE),"")))))))</f>
        <v/>
      </c>
      <c r="AB283" s="472" t="str">
        <f>IF($Z283="","a",IF(AND($Z283="b",Inventory!$J39=""),"a",IF(AND($Z283="b",Inventory!$J39&lt;&gt;""),VLOOKUP(Inventory!$J39,$H$4:$I$6,2,FALSE),IF(AND($Z283="a",Inventory!$AA39=""),"a",IF(AND($Z283="a",Inventory!$AA39&lt;&gt;""),VLOOKUP(Inventory!$AA39,$H$4:$I$6,2,FALSE),IF(AND($Z283="c",Inventory!$AA39=""),"a",IF(AND($Z283="c",Inventory!$AA39&lt;&gt;""),VLOOKUP(Inventory!$AA39,$H$4:$I$6,2,FALSE),"a")))))))</f>
        <v>a</v>
      </c>
      <c r="AC283" s="506" t="str">
        <f t="shared" si="178"/>
        <v>a</v>
      </c>
      <c r="AD283" s="473" t="str">
        <f>IF($Z283="","a",IF(AND($Z283="b",Inventory!$L39=""),"a",IF(AND($Z283="b",Inventory!$L39&lt;&gt;""),VLOOKUP(Inventory!$L39,$N$4:$O$5,2,FALSE),IF(AND($Z283="a",Inventory!$AC39=""),"a",IF(AND($Z283="a",Inventory!$AC39&lt;&gt;""),VLOOKUP(Inventory!$AC39,$N$4:$O$5,2,FALSE),IF(AND($Z283="c",Inventory!$AC39=""),"a",IF(AND($Z283="c",Inventory!$AC39&lt;&gt;""),VLOOKUP(Inventory!$AC39,$N$4:$O$5,2,FALSE),"a")))))))</f>
        <v>a</v>
      </c>
      <c r="AE283" s="474">
        <f>IF(OR(Inventory!C39="New Construction",Inventory!C39="Replace-on-Burnout"),Inventory!AF39,IF(Inventory!C39="Early Retirement",MIN(Inventory!AE39,Inventory!AF39),0))</f>
        <v>0</v>
      </c>
      <c r="AF283" s="475" t="str">
        <f t="shared" si="179"/>
        <v/>
      </c>
      <c r="AG283" s="475" t="str">
        <f t="shared" si="180"/>
        <v/>
      </c>
      <c r="AH283" s="475" t="str">
        <f t="shared" si="181"/>
        <v/>
      </c>
      <c r="AI283" s="475" t="str">
        <f t="shared" si="182"/>
        <v/>
      </c>
      <c r="AJ283" s="475" t="str">
        <f t="shared" si="183"/>
        <v/>
      </c>
      <c r="AK283" s="475" t="str">
        <f t="shared" si="184"/>
        <v/>
      </c>
      <c r="AL283" s="475" t="str">
        <f t="shared" si="185"/>
        <v/>
      </c>
      <c r="AM283" s="475" t="str">
        <f t="shared" si="186"/>
        <v/>
      </c>
      <c r="AN283" s="475" t="str">
        <f t="shared" si="187"/>
        <v/>
      </c>
      <c r="AO283" s="475" t="str">
        <f t="shared" si="188"/>
        <v/>
      </c>
      <c r="AP283" s="475" t="str">
        <f t="shared" si="189"/>
        <v/>
      </c>
      <c r="AQ283" s="475" t="str">
        <f t="shared" si="190"/>
        <v/>
      </c>
      <c r="AR283" s="475" t="str">
        <f t="shared" si="191"/>
        <v/>
      </c>
      <c r="AS283" s="475" t="str">
        <f t="shared" si="215"/>
        <v/>
      </c>
      <c r="AT283" s="475" t="str">
        <f t="shared" si="192"/>
        <v/>
      </c>
      <c r="AU283" s="475" t="str">
        <f t="shared" si="193"/>
        <v/>
      </c>
      <c r="AV283" s="475" t="str">
        <f t="shared" si="194"/>
        <v/>
      </c>
      <c r="AW283" s="473">
        <f t="shared" si="195"/>
        <v>0</v>
      </c>
      <c r="AX283" s="473" t="str">
        <f>IF(AND($Z283="b",OR($AA283="a",$AA283="b"),Inventory!$I39="",$AE283&lt;(65000/12000)),"x",IF(AND($Z283="b",OR($AA283="a",$AA283="b"),Inventory!$I39&lt;&gt;"",$AE283&lt;(65000/12000)),VLOOKUP(Inventory!$I290,$V$4:$W$5,2,FALSE),"x"))</f>
        <v>x</v>
      </c>
      <c r="AY283" s="476" t="str">
        <f t="shared" si="196"/>
        <v>aaa0</v>
      </c>
      <c r="AZ283" s="477" t="str">
        <f t="shared" si="197"/>
        <v>No</v>
      </c>
      <c r="BA283" s="759" t="str">
        <f t="shared" si="198"/>
        <v>No</v>
      </c>
      <c r="BB283" s="477">
        <f>IF($Z283="c",Inventory!$AB39,Inventory!$K39)</f>
        <v>0</v>
      </c>
      <c r="BC283" s="478">
        <f>IF(AND($Z283="b",Inventory!$N39="Btu/hr"),Inventory!$M39,IF(AND($Z283="b",Inventory!$N39="Tons"),Inventory!$M39*12000,IF(AND($Z283&lt;&gt;"b",Inventory!$AK39="Btu/hr"),Inventory!$AD39,IF(AND($Z283&lt;&gt;"b",Inventory!$AK39="Tons"),Inventory!$AD39*12000,0))))</f>
        <v>0</v>
      </c>
      <c r="BD283" s="478">
        <f t="shared" si="199"/>
        <v>0</v>
      </c>
      <c r="BE283" s="479">
        <f t="shared" si="216"/>
        <v>0</v>
      </c>
      <c r="BF283" s="477" t="s">
        <v>50</v>
      </c>
      <c r="BG283" s="479">
        <f t="shared" si="200"/>
        <v>0</v>
      </c>
      <c r="BH283" s="477" t="s">
        <v>46</v>
      </c>
      <c r="BI283" s="760">
        <f>IF(AND($Z283="b",Inventory!$P39="Btu/hr"),Inventory!$O39,IF(AND($Z283="b",Inventory!$P39="Tons"),Inventory!$O39*12000,IF(AND($Z283&lt;&gt;"b",Inventory!$AM39="Btu/hr"),Inventory!$AL39,IF(AND($Z283&lt;&gt;"b",Inventory!$AM39="Tons"),Inventory!$AL39*12000,0))))</f>
        <v>0</v>
      </c>
      <c r="BJ283" s="760">
        <f t="shared" si="201"/>
        <v>0</v>
      </c>
      <c r="BK283" s="598">
        <f t="shared" si="202"/>
        <v>0</v>
      </c>
      <c r="BL283" s="759" t="s">
        <v>567</v>
      </c>
      <c r="BM283" s="477" t="str">
        <f t="shared" si="203"/>
        <v>No</v>
      </c>
      <c r="BN283" s="477" t="str">
        <f>IF(OR(Inventory!$H39="",$BM283="No"),"-",Inventory!$H39)</f>
        <v>-</v>
      </c>
      <c r="BO283" s="477" t="str">
        <f>IFERROR(VLOOKUP(BN283,'Early Retirement'!$B$6:$C$33,2,FALSE),"-")</f>
        <v>-</v>
      </c>
      <c r="BP283" s="477" t="str">
        <f>IF(Inventory!$J39="Centrifugal","Yes","No")</f>
        <v>No</v>
      </c>
      <c r="BQ283" s="477">
        <f t="shared" si="204"/>
        <v>0</v>
      </c>
      <c r="BR283" s="477" t="str">
        <f t="shared" si="218"/>
        <v>-</v>
      </c>
      <c r="BS283" s="479">
        <f>IFERROR(INDEX('Early Retirement'!$C$4:$AC$33,$BO283,$BR283),0)</f>
        <v>0</v>
      </c>
      <c r="BT283" s="477">
        <f>IFERROR(HLOOKUP($BR283,'Early Retirement'!$D$4:$AC$5,2,FALSE),0)</f>
        <v>0</v>
      </c>
      <c r="BU283" s="761">
        <f>IFERROR(INDEX('Early Retirement'!$AE$4:$BE$33,$BO283,$BR283),0)</f>
        <v>0</v>
      </c>
      <c r="BV283" s="759">
        <f>IFERROR(HLOOKUP($BR283,'Early Retirement'!$AF$4:$BE$5,2,FALSE),0)</f>
        <v>0</v>
      </c>
      <c r="BW283" s="479">
        <f t="shared" si="206"/>
        <v>0</v>
      </c>
      <c r="BX283" s="761">
        <f t="shared" si="207"/>
        <v>0</v>
      </c>
      <c r="BY283" s="477" t="s">
        <v>46</v>
      </c>
      <c r="BZ283" s="598">
        <f>IFERROR(INDEX('Early Retirement'!$BG$4:$CG$33,$BO283,$BR283),0)</f>
        <v>0</v>
      </c>
      <c r="CA283" s="759">
        <f>IFERROR(HLOOKUP($BR283,'Early Retirement'!$BH$4:$CH$5,2,FALSE),0)</f>
        <v>0</v>
      </c>
      <c r="CB283" s="598">
        <f t="shared" si="208"/>
        <v>0</v>
      </c>
      <c r="CC283" s="759" t="s">
        <v>567</v>
      </c>
      <c r="CD283" s="477" t="str">
        <f t="shared" si="209"/>
        <v>Yes</v>
      </c>
      <c r="CE283" s="479">
        <f t="shared" si="210"/>
        <v>0</v>
      </c>
      <c r="CF283" s="761">
        <f t="shared" si="211"/>
        <v>0</v>
      </c>
      <c r="CG283" s="759" t="s">
        <v>46</v>
      </c>
      <c r="CH283" s="598">
        <f t="shared" si="217"/>
        <v>0</v>
      </c>
      <c r="CI283" s="759" t="s">
        <v>567</v>
      </c>
      <c r="CJ283" s="480">
        <f t="shared" si="212"/>
        <v>0</v>
      </c>
      <c r="CK283" s="583">
        <f t="shared" si="213"/>
        <v>0</v>
      </c>
      <c r="CL283" s="596" t="s">
        <v>46</v>
      </c>
      <c r="CM283" s="581">
        <f t="shared" si="214"/>
        <v>0</v>
      </c>
      <c r="CN283" s="762" t="s">
        <v>567</v>
      </c>
      <c r="CW283" s="630"/>
      <c r="CX283" s="630"/>
      <c r="CY283" s="630"/>
      <c r="CZ283" s="630"/>
      <c r="DA283" s="630"/>
    </row>
    <row r="284" spans="2:105" s="78" customFormat="1" ht="15" customHeight="1" x14ac:dyDescent="0.25">
      <c r="B284" s="77"/>
      <c r="E284" s="77"/>
      <c r="H284" s="77"/>
      <c r="Y284" s="90">
        <v>31</v>
      </c>
      <c r="Z284" s="472" t="str">
        <f>IF(Inventory!$C40="","",VLOOKUP(Inventory!$C40,$B$7:$C$9,2,FALSE))</f>
        <v/>
      </c>
      <c r="AA284" s="472" t="str">
        <f>IF($Z284="","",IF(AND($Z284="b",Inventory!$G40=""),"",IF(AND($Z284="b",Inventory!$G40&lt;&gt;""),VLOOKUP(Inventory!$G40,$E$3:$F$10,2,FALSE),IF(AND($Z284="a",Inventory!$Z40=""),"",IF(AND($Z284="a",Inventory!$Z40&lt;&gt;""),VLOOKUP(Inventory!$Z40,$E$3:$F$10,2,FALSE),IF(AND($Z284="c",Inventory!$Z40=""),"",IF(AND($Z284="c",Inventory!$Z40&lt;&gt;""),VLOOKUP(Inventory!$Z40,$E$3:$F$10,2,FALSE),"")))))))</f>
        <v/>
      </c>
      <c r="AB284" s="472" t="str">
        <f>IF($Z284="","a",IF(AND($Z284="b",Inventory!$J40=""),"a",IF(AND($Z284="b",Inventory!$J40&lt;&gt;""),VLOOKUP(Inventory!$J40,$H$4:$I$6,2,FALSE),IF(AND($Z284="a",Inventory!$AA40=""),"a",IF(AND($Z284="a",Inventory!$AA40&lt;&gt;""),VLOOKUP(Inventory!$AA40,$H$4:$I$6,2,FALSE),IF(AND($Z284="c",Inventory!$AA40=""),"a",IF(AND($Z284="c",Inventory!$AA40&lt;&gt;""),VLOOKUP(Inventory!$AA40,$H$4:$I$6,2,FALSE),"a")))))))</f>
        <v>a</v>
      </c>
      <c r="AC284" s="506" t="str">
        <f t="shared" si="178"/>
        <v>a</v>
      </c>
      <c r="AD284" s="473" t="str">
        <f>IF($Z284="","a",IF(AND($Z284="b",Inventory!$L40=""),"a",IF(AND($Z284="b",Inventory!$L40&lt;&gt;""),VLOOKUP(Inventory!$L40,$N$4:$O$5,2,FALSE),IF(AND($Z284="a",Inventory!$AC40=""),"a",IF(AND($Z284="a",Inventory!$AC40&lt;&gt;""),VLOOKUP(Inventory!$AC40,$N$4:$O$5,2,FALSE),IF(AND($Z284="c",Inventory!$AC40=""),"a",IF(AND($Z284="c",Inventory!$AC40&lt;&gt;""),VLOOKUP(Inventory!$AC40,$N$4:$O$5,2,FALSE),"a")))))))</f>
        <v>a</v>
      </c>
      <c r="AE284" s="474">
        <f>IF(OR(Inventory!C40="New Construction",Inventory!C40="Replace-on-Burnout"),Inventory!AF40,IF(Inventory!C40="Early Retirement",MIN(Inventory!AE40,Inventory!AF40),0))</f>
        <v>0</v>
      </c>
      <c r="AF284" s="475" t="str">
        <f t="shared" si="179"/>
        <v/>
      </c>
      <c r="AG284" s="475" t="str">
        <f t="shared" si="180"/>
        <v/>
      </c>
      <c r="AH284" s="475" t="str">
        <f t="shared" si="181"/>
        <v/>
      </c>
      <c r="AI284" s="475" t="str">
        <f t="shared" si="182"/>
        <v/>
      </c>
      <c r="AJ284" s="475" t="str">
        <f t="shared" si="183"/>
        <v/>
      </c>
      <c r="AK284" s="475" t="str">
        <f t="shared" si="184"/>
        <v/>
      </c>
      <c r="AL284" s="475" t="str">
        <f t="shared" si="185"/>
        <v/>
      </c>
      <c r="AM284" s="475" t="str">
        <f t="shared" si="186"/>
        <v/>
      </c>
      <c r="AN284" s="475" t="str">
        <f t="shared" si="187"/>
        <v/>
      </c>
      <c r="AO284" s="475" t="str">
        <f t="shared" si="188"/>
        <v/>
      </c>
      <c r="AP284" s="475" t="str">
        <f t="shared" si="189"/>
        <v/>
      </c>
      <c r="AQ284" s="475" t="str">
        <f t="shared" si="190"/>
        <v/>
      </c>
      <c r="AR284" s="475" t="str">
        <f t="shared" si="191"/>
        <v/>
      </c>
      <c r="AS284" s="475" t="str">
        <f t="shared" si="215"/>
        <v/>
      </c>
      <c r="AT284" s="475" t="str">
        <f t="shared" si="192"/>
        <v/>
      </c>
      <c r="AU284" s="475" t="str">
        <f t="shared" si="193"/>
        <v/>
      </c>
      <c r="AV284" s="475" t="str">
        <f t="shared" si="194"/>
        <v/>
      </c>
      <c r="AW284" s="473">
        <f t="shared" si="195"/>
        <v>0</v>
      </c>
      <c r="AX284" s="473" t="str">
        <f>IF(AND($Z284="b",OR($AA284="a",$AA284="b"),Inventory!$I40="",$AE284&lt;(65000/12000)),"x",IF(AND($Z284="b",OR($AA284="a",$AA284="b"),Inventory!$I40&lt;&gt;"",$AE284&lt;(65000/12000)),VLOOKUP(Inventory!$I291,$V$4:$W$5,2,FALSE),"x"))</f>
        <v>x</v>
      </c>
      <c r="AY284" s="476" t="str">
        <f t="shared" si="196"/>
        <v>aaa0</v>
      </c>
      <c r="AZ284" s="477" t="str">
        <f t="shared" si="197"/>
        <v>No</v>
      </c>
      <c r="BA284" s="759" t="str">
        <f t="shared" si="198"/>
        <v>No</v>
      </c>
      <c r="BB284" s="477">
        <f>IF($Z284="c",Inventory!$AB40,Inventory!$K40)</f>
        <v>0</v>
      </c>
      <c r="BC284" s="478">
        <f>IF(AND($Z284="b",Inventory!$N40="Btu/hr"),Inventory!$M40,IF(AND($Z284="b",Inventory!$N40="Tons"),Inventory!$M40*12000,IF(AND($Z284&lt;&gt;"b",Inventory!$AK40="Btu/hr"),Inventory!$AD40,IF(AND($Z284&lt;&gt;"b",Inventory!$AK40="Tons"),Inventory!$AD40*12000,0))))</f>
        <v>0</v>
      </c>
      <c r="BD284" s="478">
        <f t="shared" si="199"/>
        <v>0</v>
      </c>
      <c r="BE284" s="479">
        <f t="shared" si="216"/>
        <v>0</v>
      </c>
      <c r="BF284" s="477" t="s">
        <v>50</v>
      </c>
      <c r="BG284" s="479">
        <f t="shared" si="200"/>
        <v>0</v>
      </c>
      <c r="BH284" s="477" t="s">
        <v>46</v>
      </c>
      <c r="BI284" s="760">
        <f>IF(AND($Z284="b",Inventory!$P40="Btu/hr"),Inventory!$O40,IF(AND($Z284="b",Inventory!$P40="Tons"),Inventory!$O40*12000,IF(AND($Z284&lt;&gt;"b",Inventory!$AM40="Btu/hr"),Inventory!$AL40,IF(AND($Z284&lt;&gt;"b",Inventory!$AM40="Tons"),Inventory!$AL40*12000,0))))</f>
        <v>0</v>
      </c>
      <c r="BJ284" s="760">
        <f t="shared" si="201"/>
        <v>0</v>
      </c>
      <c r="BK284" s="598">
        <f t="shared" si="202"/>
        <v>0</v>
      </c>
      <c r="BL284" s="759" t="s">
        <v>567</v>
      </c>
      <c r="BM284" s="477" t="str">
        <f t="shared" si="203"/>
        <v>No</v>
      </c>
      <c r="BN284" s="477" t="str">
        <f>IF(OR(Inventory!$H40="",$BM284="No"),"-",Inventory!$H40)</f>
        <v>-</v>
      </c>
      <c r="BO284" s="477" t="str">
        <f>IFERROR(VLOOKUP(BN284,'Early Retirement'!$B$6:$C$33,2,FALSE),"-")</f>
        <v>-</v>
      </c>
      <c r="BP284" s="477" t="str">
        <f>IF(Inventory!$J40="Centrifugal","Yes","No")</f>
        <v>No</v>
      </c>
      <c r="BQ284" s="477">
        <f t="shared" si="204"/>
        <v>0</v>
      </c>
      <c r="BR284" s="477" t="str">
        <f t="shared" si="218"/>
        <v>-</v>
      </c>
      <c r="BS284" s="479">
        <f>IFERROR(INDEX('Early Retirement'!$C$4:$AC$33,$BO284,$BR284),0)</f>
        <v>0</v>
      </c>
      <c r="BT284" s="477">
        <f>IFERROR(HLOOKUP($BR284,'Early Retirement'!$D$4:$AC$5,2,FALSE),0)</f>
        <v>0</v>
      </c>
      <c r="BU284" s="761">
        <f>IFERROR(INDEX('Early Retirement'!$AE$4:$BE$33,$BO284,$BR284),0)</f>
        <v>0</v>
      </c>
      <c r="BV284" s="759">
        <f>IFERROR(HLOOKUP($BR284,'Early Retirement'!$AF$4:$BE$5,2,FALSE),0)</f>
        <v>0</v>
      </c>
      <c r="BW284" s="479">
        <f t="shared" si="206"/>
        <v>0</v>
      </c>
      <c r="BX284" s="761">
        <f t="shared" si="207"/>
        <v>0</v>
      </c>
      <c r="BY284" s="477" t="s">
        <v>46</v>
      </c>
      <c r="BZ284" s="598">
        <f>IFERROR(INDEX('Early Retirement'!$BG$4:$CG$33,$BO284,$BR284),0)</f>
        <v>0</v>
      </c>
      <c r="CA284" s="759">
        <f>IFERROR(HLOOKUP($BR284,'Early Retirement'!$BH$4:$CH$5,2,FALSE),0)</f>
        <v>0</v>
      </c>
      <c r="CB284" s="598">
        <f t="shared" si="208"/>
        <v>0</v>
      </c>
      <c r="CC284" s="759" t="s">
        <v>567</v>
      </c>
      <c r="CD284" s="477" t="str">
        <f t="shared" si="209"/>
        <v>Yes</v>
      </c>
      <c r="CE284" s="479">
        <f t="shared" si="210"/>
        <v>0</v>
      </c>
      <c r="CF284" s="761">
        <f t="shared" si="211"/>
        <v>0</v>
      </c>
      <c r="CG284" s="759" t="s">
        <v>46</v>
      </c>
      <c r="CH284" s="598">
        <f t="shared" si="217"/>
        <v>0</v>
      </c>
      <c r="CI284" s="759" t="s">
        <v>567</v>
      </c>
      <c r="CJ284" s="480">
        <f t="shared" si="212"/>
        <v>0</v>
      </c>
      <c r="CK284" s="583">
        <f t="shared" si="213"/>
        <v>0</v>
      </c>
      <c r="CL284" s="596" t="s">
        <v>46</v>
      </c>
      <c r="CM284" s="581">
        <f t="shared" si="214"/>
        <v>0</v>
      </c>
      <c r="CN284" s="762" t="s">
        <v>567</v>
      </c>
      <c r="CW284" s="630"/>
      <c r="CX284" s="630"/>
      <c r="CY284" s="630"/>
      <c r="CZ284" s="630"/>
      <c r="DA284" s="630"/>
    </row>
    <row r="285" spans="2:105" s="78" customFormat="1" ht="15" customHeight="1" x14ac:dyDescent="0.25">
      <c r="B285" s="77"/>
      <c r="E285" s="77"/>
      <c r="H285" s="77"/>
      <c r="Y285" s="90">
        <v>32</v>
      </c>
      <c r="Z285" s="472" t="str">
        <f>IF(Inventory!$C41="","",VLOOKUP(Inventory!$C41,$B$7:$C$9,2,FALSE))</f>
        <v/>
      </c>
      <c r="AA285" s="472" t="str">
        <f>IF($Z285="","",IF(AND($Z285="b",Inventory!$G41=""),"",IF(AND($Z285="b",Inventory!$G41&lt;&gt;""),VLOOKUP(Inventory!$G41,$E$3:$F$10,2,FALSE),IF(AND($Z285="a",Inventory!$Z41=""),"",IF(AND($Z285="a",Inventory!$Z41&lt;&gt;""),VLOOKUP(Inventory!$Z41,$E$3:$F$10,2,FALSE),IF(AND($Z285="c",Inventory!$Z41=""),"",IF(AND($Z285="c",Inventory!$Z41&lt;&gt;""),VLOOKUP(Inventory!$Z41,$E$3:$F$10,2,FALSE),"")))))))</f>
        <v/>
      </c>
      <c r="AB285" s="472" t="str">
        <f>IF($Z285="","a",IF(AND($Z285="b",Inventory!$J41=""),"a",IF(AND($Z285="b",Inventory!$J41&lt;&gt;""),VLOOKUP(Inventory!$J41,$H$4:$I$6,2,FALSE),IF(AND($Z285="a",Inventory!$AA41=""),"a",IF(AND($Z285="a",Inventory!$AA41&lt;&gt;""),VLOOKUP(Inventory!$AA41,$H$4:$I$6,2,FALSE),IF(AND($Z285="c",Inventory!$AA41=""),"a",IF(AND($Z285="c",Inventory!$AA41&lt;&gt;""),VLOOKUP(Inventory!$AA41,$H$4:$I$6,2,FALSE),"a")))))))</f>
        <v>a</v>
      </c>
      <c r="AC285" s="506" t="str">
        <f t="shared" si="178"/>
        <v>a</v>
      </c>
      <c r="AD285" s="473" t="str">
        <f>IF($Z285="","a",IF(AND($Z285="b",Inventory!$L41=""),"a",IF(AND($Z285="b",Inventory!$L41&lt;&gt;""),VLOOKUP(Inventory!$L41,$N$4:$O$5,2,FALSE),IF(AND($Z285="a",Inventory!$AC41=""),"a",IF(AND($Z285="a",Inventory!$AC41&lt;&gt;""),VLOOKUP(Inventory!$AC41,$N$4:$O$5,2,FALSE),IF(AND($Z285="c",Inventory!$AC41=""),"a",IF(AND($Z285="c",Inventory!$AC41&lt;&gt;""),VLOOKUP(Inventory!$AC41,$N$4:$O$5,2,FALSE),"a")))))))</f>
        <v>a</v>
      </c>
      <c r="AE285" s="474">
        <f>IF(OR(Inventory!C41="New Construction",Inventory!C41="Replace-on-Burnout"),Inventory!AF41,IF(Inventory!C41="Early Retirement",MIN(Inventory!AE41,Inventory!AF41),0))</f>
        <v>0</v>
      </c>
      <c r="AF285" s="475" t="str">
        <f t="shared" si="179"/>
        <v/>
      </c>
      <c r="AG285" s="475" t="str">
        <f t="shared" si="180"/>
        <v/>
      </c>
      <c r="AH285" s="475" t="str">
        <f t="shared" si="181"/>
        <v/>
      </c>
      <c r="AI285" s="475" t="str">
        <f t="shared" si="182"/>
        <v/>
      </c>
      <c r="AJ285" s="475" t="str">
        <f t="shared" si="183"/>
        <v/>
      </c>
      <c r="AK285" s="475" t="str">
        <f t="shared" si="184"/>
        <v/>
      </c>
      <c r="AL285" s="475" t="str">
        <f t="shared" si="185"/>
        <v/>
      </c>
      <c r="AM285" s="475" t="str">
        <f t="shared" si="186"/>
        <v/>
      </c>
      <c r="AN285" s="475" t="str">
        <f t="shared" si="187"/>
        <v/>
      </c>
      <c r="AO285" s="475" t="str">
        <f t="shared" si="188"/>
        <v/>
      </c>
      <c r="AP285" s="475" t="str">
        <f t="shared" si="189"/>
        <v/>
      </c>
      <c r="AQ285" s="475" t="str">
        <f t="shared" si="190"/>
        <v/>
      </c>
      <c r="AR285" s="475" t="str">
        <f t="shared" si="191"/>
        <v/>
      </c>
      <c r="AS285" s="475" t="str">
        <f t="shared" si="215"/>
        <v/>
      </c>
      <c r="AT285" s="475" t="str">
        <f t="shared" si="192"/>
        <v/>
      </c>
      <c r="AU285" s="475" t="str">
        <f t="shared" si="193"/>
        <v/>
      </c>
      <c r="AV285" s="475" t="str">
        <f t="shared" si="194"/>
        <v/>
      </c>
      <c r="AW285" s="473">
        <f t="shared" si="195"/>
        <v>0</v>
      </c>
      <c r="AX285" s="473" t="str">
        <f>IF(AND($Z285="b",OR($AA285="a",$AA285="b"),Inventory!$I41="",$AE285&lt;(65000/12000)),"x",IF(AND($Z285="b",OR($AA285="a",$AA285="b"),Inventory!$I41&lt;&gt;"",$AE285&lt;(65000/12000)),VLOOKUP(Inventory!$I292,$V$4:$W$5,2,FALSE),"x"))</f>
        <v>x</v>
      </c>
      <c r="AY285" s="476" t="str">
        <f t="shared" si="196"/>
        <v>aaa0</v>
      </c>
      <c r="AZ285" s="477" t="str">
        <f t="shared" si="197"/>
        <v>No</v>
      </c>
      <c r="BA285" s="759" t="str">
        <f t="shared" si="198"/>
        <v>No</v>
      </c>
      <c r="BB285" s="477">
        <f>IF($Z285="c",Inventory!$AB41,Inventory!$K41)</f>
        <v>0</v>
      </c>
      <c r="BC285" s="478">
        <f>IF(AND($Z285="b",Inventory!$N41="Btu/hr"),Inventory!$M41,IF(AND($Z285="b",Inventory!$N41="Tons"),Inventory!$M41*12000,IF(AND($Z285&lt;&gt;"b",Inventory!$AK41="Btu/hr"),Inventory!$AD41,IF(AND($Z285&lt;&gt;"b",Inventory!$AK41="Tons"),Inventory!$AD41*12000,0))))</f>
        <v>0</v>
      </c>
      <c r="BD285" s="478">
        <f t="shared" si="199"/>
        <v>0</v>
      </c>
      <c r="BE285" s="479">
        <f t="shared" si="216"/>
        <v>0</v>
      </c>
      <c r="BF285" s="477" t="s">
        <v>50</v>
      </c>
      <c r="BG285" s="479">
        <f t="shared" si="200"/>
        <v>0</v>
      </c>
      <c r="BH285" s="477" t="s">
        <v>46</v>
      </c>
      <c r="BI285" s="760">
        <f>IF(AND($Z285="b",Inventory!$P41="Btu/hr"),Inventory!$O41,IF(AND($Z285="b",Inventory!$P41="Tons"),Inventory!$O41*12000,IF(AND($Z285&lt;&gt;"b",Inventory!$AM41="Btu/hr"),Inventory!$AL41,IF(AND($Z285&lt;&gt;"b",Inventory!$AM41="Tons"),Inventory!$AL41*12000,0))))</f>
        <v>0</v>
      </c>
      <c r="BJ285" s="760">
        <f t="shared" si="201"/>
        <v>0</v>
      </c>
      <c r="BK285" s="598">
        <f t="shared" si="202"/>
        <v>0</v>
      </c>
      <c r="BL285" s="759" t="s">
        <v>567</v>
      </c>
      <c r="BM285" s="477" t="str">
        <f t="shared" si="203"/>
        <v>No</v>
      </c>
      <c r="BN285" s="477" t="str">
        <f>IF(OR(Inventory!$H41="",$BM285="No"),"-",Inventory!$H41)</f>
        <v>-</v>
      </c>
      <c r="BO285" s="477" t="str">
        <f>IFERROR(VLOOKUP(BN285,'Early Retirement'!$B$6:$C$33,2,FALSE),"-")</f>
        <v>-</v>
      </c>
      <c r="BP285" s="477" t="str">
        <f>IF(Inventory!$J41="Centrifugal","Yes","No")</f>
        <v>No</v>
      </c>
      <c r="BQ285" s="477">
        <f t="shared" si="204"/>
        <v>0</v>
      </c>
      <c r="BR285" s="477" t="str">
        <f t="shared" si="218"/>
        <v>-</v>
      </c>
      <c r="BS285" s="479">
        <f>IFERROR(INDEX('Early Retirement'!$C$4:$AC$33,$BO285,$BR285),0)</f>
        <v>0</v>
      </c>
      <c r="BT285" s="477">
        <f>IFERROR(HLOOKUP($BR285,'Early Retirement'!$D$4:$AC$5,2,FALSE),0)</f>
        <v>0</v>
      </c>
      <c r="BU285" s="761">
        <f>IFERROR(INDEX('Early Retirement'!$AE$4:$BE$33,$BO285,$BR285),0)</f>
        <v>0</v>
      </c>
      <c r="BV285" s="759">
        <f>IFERROR(HLOOKUP($BR285,'Early Retirement'!$AF$4:$BE$5,2,FALSE),0)</f>
        <v>0</v>
      </c>
      <c r="BW285" s="479">
        <f t="shared" si="206"/>
        <v>0</v>
      </c>
      <c r="BX285" s="761">
        <f t="shared" si="207"/>
        <v>0</v>
      </c>
      <c r="BY285" s="477" t="s">
        <v>46</v>
      </c>
      <c r="BZ285" s="598">
        <f>IFERROR(INDEX('Early Retirement'!$BG$4:$CG$33,$BO285,$BR285),0)</f>
        <v>0</v>
      </c>
      <c r="CA285" s="759">
        <f>IFERROR(HLOOKUP($BR285,'Early Retirement'!$BH$4:$CH$5,2,FALSE),0)</f>
        <v>0</v>
      </c>
      <c r="CB285" s="598">
        <f t="shared" si="208"/>
        <v>0</v>
      </c>
      <c r="CC285" s="759" t="s">
        <v>567</v>
      </c>
      <c r="CD285" s="477" t="str">
        <f t="shared" si="209"/>
        <v>Yes</v>
      </c>
      <c r="CE285" s="479">
        <f t="shared" si="210"/>
        <v>0</v>
      </c>
      <c r="CF285" s="761">
        <f t="shared" si="211"/>
        <v>0</v>
      </c>
      <c r="CG285" s="759" t="s">
        <v>46</v>
      </c>
      <c r="CH285" s="598">
        <f t="shared" si="217"/>
        <v>0</v>
      </c>
      <c r="CI285" s="759" t="s">
        <v>567</v>
      </c>
      <c r="CJ285" s="480">
        <f t="shared" si="212"/>
        <v>0</v>
      </c>
      <c r="CK285" s="583">
        <f t="shared" si="213"/>
        <v>0</v>
      </c>
      <c r="CL285" s="596" t="s">
        <v>46</v>
      </c>
      <c r="CM285" s="581">
        <f t="shared" si="214"/>
        <v>0</v>
      </c>
      <c r="CN285" s="762" t="s">
        <v>567</v>
      </c>
      <c r="CW285" s="630"/>
      <c r="CX285" s="630"/>
      <c r="CY285" s="630"/>
      <c r="CZ285" s="630"/>
      <c r="DA285" s="630"/>
    </row>
    <row r="286" spans="2:105" s="78" customFormat="1" ht="15" customHeight="1" x14ac:dyDescent="0.25">
      <c r="B286" s="77"/>
      <c r="E286" s="77"/>
      <c r="H286" s="77"/>
      <c r="Y286" s="90">
        <v>33</v>
      </c>
      <c r="Z286" s="472" t="str">
        <f>IF(Inventory!$C42="","",VLOOKUP(Inventory!$C42,$B$7:$C$9,2,FALSE))</f>
        <v/>
      </c>
      <c r="AA286" s="472" t="str">
        <f>IF($Z286="","",IF(AND($Z286="b",Inventory!$G42=""),"",IF(AND($Z286="b",Inventory!$G42&lt;&gt;""),VLOOKUP(Inventory!$G42,$E$3:$F$10,2,FALSE),IF(AND($Z286="a",Inventory!$Z42=""),"",IF(AND($Z286="a",Inventory!$Z42&lt;&gt;""),VLOOKUP(Inventory!$Z42,$E$3:$F$10,2,FALSE),IF(AND($Z286="c",Inventory!$Z42=""),"",IF(AND($Z286="c",Inventory!$Z42&lt;&gt;""),VLOOKUP(Inventory!$Z42,$E$3:$F$10,2,FALSE),"")))))))</f>
        <v/>
      </c>
      <c r="AB286" s="472" t="str">
        <f>IF($Z286="","a",IF(AND($Z286="b",Inventory!$J42=""),"a",IF(AND($Z286="b",Inventory!$J42&lt;&gt;""),VLOOKUP(Inventory!$J42,$H$4:$I$6,2,FALSE),IF(AND($Z286="a",Inventory!$AA42=""),"a",IF(AND($Z286="a",Inventory!$AA42&lt;&gt;""),VLOOKUP(Inventory!$AA42,$H$4:$I$6,2,FALSE),IF(AND($Z286="c",Inventory!$AA42=""),"a",IF(AND($Z286="c",Inventory!$AA42&lt;&gt;""),VLOOKUP(Inventory!$AA42,$H$4:$I$6,2,FALSE),"a")))))))</f>
        <v>a</v>
      </c>
      <c r="AC286" s="506" t="str">
        <f t="shared" ref="AC286:AC349" si="219">IF($AA286="f","b",IF($AA286="e","c","a"))</f>
        <v>a</v>
      </c>
      <c r="AD286" s="473" t="str">
        <f>IF($Z286="","a",IF(AND($Z286="b",Inventory!$L42=""),"a",IF(AND($Z286="b",Inventory!$L42&lt;&gt;""),VLOOKUP(Inventory!$L42,$N$4:$O$5,2,FALSE),IF(AND($Z286="a",Inventory!$AC42=""),"a",IF(AND($Z286="a",Inventory!$AC42&lt;&gt;""),VLOOKUP(Inventory!$AC42,$N$4:$O$5,2,FALSE),IF(AND($Z286="c",Inventory!$AC42=""),"a",IF(AND($Z286="c",Inventory!$AC42&lt;&gt;""),VLOOKUP(Inventory!$AC42,$N$4:$O$5,2,FALSE),"a")))))))</f>
        <v>a</v>
      </c>
      <c r="AE286" s="474">
        <f>IF(OR(Inventory!C42="New Construction",Inventory!C42="Replace-on-Burnout"),Inventory!AF42,IF(Inventory!C42="Early Retirement",MIN(Inventory!AE42,Inventory!AF42),0))</f>
        <v>0</v>
      </c>
      <c r="AF286" s="475" t="str">
        <f t="shared" ref="AF286:AF349" si="220">IF(OR(AND($AA286&lt;&gt;"a",$AA286&lt;&gt;"b"),$AE286=""),"",IF(AND($AE286&gt;=$AF$2,$AA286="a"),5,IF(AND($AE286&gt;=$AF$2,$AA286="b"),10,0)))</f>
        <v/>
      </c>
      <c r="AG286" s="475" t="str">
        <f t="shared" ref="AG286:AG349" si="221">IF(OR(AND($AA286&lt;&gt;"a",$AA286&lt;&gt;"b"),$AE286="",$AF286&lt;&gt;0),"",IF(AND($AE286&gt;=$AG$2,$AA286="a"),4,IF(AND($AE286&gt;=$AG$2,$AA286="b"),9,0)))</f>
        <v/>
      </c>
      <c r="AH286" s="475" t="str">
        <f t="shared" ref="AH286:AH349" si="222">IF(OR(AND($AA286&lt;&gt;"a",$AA286&lt;&gt;"b"),$AE286="",$AG286&lt;&gt;0),"",IF(AND($AE286&gt;=$AH$2,$AA286="a"),3,IF(AND($AE286&gt;=$AH$2,$AA286="b"),8,0)))</f>
        <v/>
      </c>
      <c r="AI286" s="475" t="str">
        <f t="shared" ref="AI286:AI349" si="223">IF(OR(AND($AA286&lt;&gt;"a",$AA286&lt;&gt;"b"),$AE286="",$AH286&lt;&gt;0),"",IF(AND($AE286&gt;=$AI$2,$AA286="a"),2,IF(AND($AE286&gt;=$AI$2,$AA286="b"),7,0)))</f>
        <v/>
      </c>
      <c r="AJ286" s="475" t="str">
        <f t="shared" ref="AJ286:AJ349" si="224">IF(OR(AND($AA286&lt;&gt;"a",$AA286&lt;&gt;"b"),$AE286="",$AI286&lt;&gt;0),"",IF(AND($AE286&gt;=$AJ$2,$AA286="a"),1,IF(AND($AE286&gt;=$AJ$2,$AA286="b"),6,0)))</f>
        <v/>
      </c>
      <c r="AK286" s="475" t="str">
        <f t="shared" ref="AK286:AK349" si="225">IF(OR(AND($AA286&lt;&gt;"e",$AA286&lt;&gt;"f"),$AE286=""),"",IF(AND($AE286&gt;=$AK$2,OR($AA286="e",$AA286="f"),$AC286="b",$AD286="b"),26,IF(AND($AE286&gt;$AK$2,OR($AA286="e",$AA286="f"),$AC286="b",$AD286="c"),28,IF(AND($AE286&gt;$AK$2,OR($AA286="e",$AA286="f"),$AC286="c",$AD286="b"),19,IF(AND($AE286&gt;$AK$2,OR($AA286="e",$AA286="f"),$AC286="c",$AD286="c"),24,0)))))</f>
        <v/>
      </c>
      <c r="AL286" s="475" t="str">
        <f t="shared" ref="AL286:AL349" si="226">IF(OR(AND($AA286&lt;&gt;"e",$AA286&lt;&gt;"f"),$AE286="",$AK286&lt;&gt;0),"",IF(AND($AE286&gt;=$AL$2,OR($AA286="e",$AA286="f"),$AC286="b",$AD286="b"),26,IF(AND($AE286&gt;$AL$2,OR($AA286="e",$AA286="f"),$AC286="b",$AD286="c"),28,IF(AND($AE286&gt;$AL$2,OR($AA286="e",$AA286="f"),$AC286="c",$AD286="b"),18,IF(AND($AE286&gt;$AL$2,OR($AA286="e",$AA286="f"),$AC286="c",$AD286="c"),24,0)))))</f>
        <v/>
      </c>
      <c r="AM286" s="475" t="str">
        <f t="shared" ref="AM286:AM349" si="227">IF(OR(AND($AA286&lt;&gt;"e",$AA286&lt;&gt;"f"),$AE286="",$AL286&lt;&gt;0),"",IF(AND($AE286&gt;=$AM$2,OR($AA286="e",$AA286="f"),$AC286="b",$AD286="b"),25,IF(AND($AE286&gt;$AM$2,OR($AA286="e",$AA286="f"),$AC286="b",$AD286="c"),28,IF(AND($AE286&gt;$AM$2,OR($AA286="e",$AA286="f"),$AC286="c",$AD286="b"),17,IF(AND($AE286&gt;$AM$2,OR($AA286="e",$AA286="f"),$AC286="c",$AD286="c"),23,0)))))</f>
        <v/>
      </c>
      <c r="AN286" s="475" t="str">
        <f t="shared" ref="AN286:AN349" si="228">IF(OR(AND($AA286&lt;&gt;"e",$AA286&lt;&gt;"f"),$AE286="",$AM286&lt;&gt;0),"",IF(AND($AE286&gt;=$AN$2,OR($AA286="e",$AA286="f"),$AC286="b",$AD286="b"),25,IF(AND($AE286&gt;$AN$2,OR($AA286="e",$AA286="f"),$AC286="b",$AD286="c"),27,IF(AND($AE286&gt;$AN$2,OR($AA286="e",$AA286="f"),$AC286="c",$AD286="b"),16,IF(AND($AE286&gt;$AN$2,OR($AA286="e",$AA286="f"),$AC286="c",$AD286="c"),22,0)))))</f>
        <v/>
      </c>
      <c r="AO286" s="475" t="str">
        <f t="shared" ref="AO286:AO349" si="229">IF(OR(AND($AA286&lt;&gt;"e",$AA286&lt;&gt;"f"),$AE286="",$AN286&lt;&gt;0),"",IF(AND($AE286&gt;=$AO$2,OR($AA286="e",$AA286="f"),$AC286="b",$AD286="b"),25,IF(AND($AE286&gt;$AO$2,OR($AA286="e",$AA286="f"),$AC286="b",$AD286="c"),27,IF(AND($AE286&gt;$AO$2,OR($AA286="e",$AA286="f"),$AC286="c",$AD286="b"),16,IF(AND($AE286&gt;$AO$2,OR($AA286="e",$AA286="f"),$AC286="c",$AD286="c"),21,0)))))</f>
        <v/>
      </c>
      <c r="AP286" s="475" t="str">
        <f t="shared" ref="AP286:AP349" si="230">IF(OR(AND($AA286&lt;&gt;"e",$AA286&lt;&gt;"f"),$AE286="",$AO286&lt;&gt;0),"",IF(AND($AE286&gt;=$AP$2,OR($AA286="e",$AA286="f"),$AC286="b",$AD286="b"),25,IF(AND($AE286&gt;$AP$2,OR($AA286="e",$AA286="f"),$AC286="b",$AD286="c"),27,IF(AND($AE286&gt;$AP$2,OR($AA286="e",$AA286="f"),$AC286="c",$AD286="b"),15,IF(AND($AE286&gt;$AP$2,OR($AA286="e",$AA286="f"),$AC286="c",$AD286="c"),20,0)))))</f>
        <v/>
      </c>
      <c r="AQ286" s="475" t="str">
        <f t="shared" ref="AQ286:AQ349" si="231">IF(OR(AND($AA286&lt;&gt;"g",$AA286&lt;&gt;"h"),$AE286=""),"",IF(AND($AE286&gt;=$AQ$2,$AA286="g"),33,IF(AND($AE286&gt;=$AQ$2,$AA286="h",$AB286="b"),38,IF(AND($AE286&gt;=$AQ$2,$AA286="h",$AB286&lt;&gt;"b"),43,0))))</f>
        <v/>
      </c>
      <c r="AR286" s="475" t="str">
        <f t="shared" ref="AR286:AR349" si="232">IF(OR(AND($AA286&lt;&gt;"g",$AA286&lt;&gt;"h"),$AE286="",$AQ286&lt;&gt;0),"",IF(AND($AE286&gt;=$AR$2,$AA286="g"),32,IF(AND($AE286&gt;=$AR$2,$AA286="h",$AB286="b"),37,IF(AND($AE286&gt;=$AR$2,$AA286="h",$AB286&lt;&gt;"b"),42,0))))</f>
        <v/>
      </c>
      <c r="AS286" s="475" t="str">
        <f t="shared" si="215"/>
        <v/>
      </c>
      <c r="AT286" s="475" t="str">
        <f t="shared" ref="AT286:AT349" si="233">IF(OR(AND($AA286&lt;&gt;"g",$AA286&lt;&gt;"h"),$AE286="",$AS286&lt;&gt;0),"",IF(AND($AE286&gt;=$AT$2,$AA286="g"),30,IF(AND($AE286&gt;=$AT$2,$AA286="h",$AB286="b"),35,IF(AND($AE286&gt;=$AT$2,$AA286="h",$AB286&lt;&gt;"b"),40,0))))</f>
        <v/>
      </c>
      <c r="AU286" s="475" t="str">
        <f t="shared" ref="AU286:AU349" si="234">IF(OR(AND($AA286&lt;&gt;"g",$AA286&lt;&gt;"h"),$AE286="",$AT286&lt;&gt;0),"",IF(AND($AE286&gt;=$AU$2,$AA286="g"),29,IF(AND($AE286&gt;=$AU$2,$AA286="h",$AB286="b"),34,IF(AND($AE286&gt;=$AU$2,$AA286="h",$AB286&lt;&gt;"b"),39,0))))</f>
        <v/>
      </c>
      <c r="AV286" s="475" t="str">
        <f t="shared" ref="AV286:AV349" si="235">IF($AE286="","",IF(AND($Z286="c",$AA286="c"),10,IF(AND($Z286="a",$AA286="c"),11,IF(AND($Z286="c",$AA286="d"),12,IF(AND($Z286="a",$AA286="d"),13,"")))))</f>
        <v/>
      </c>
      <c r="AW286" s="473">
        <f t="shared" ref="AW286:AW349" si="236">SUM($AF286:$AV286)</f>
        <v>0</v>
      </c>
      <c r="AX286" s="473" t="str">
        <f>IF(AND($Z286="b",OR($AA286="a",$AA286="b"),Inventory!$I42="",$AE286&lt;(65000/12000)),"x",IF(AND($Z286="b",OR($AA286="a",$AA286="b"),Inventory!$I42&lt;&gt;"",$AE286&lt;(65000/12000)),VLOOKUP(Inventory!$I293,$V$4:$W$5,2,FALSE),"x"))</f>
        <v>x</v>
      </c>
      <c r="AY286" s="476" t="str">
        <f t="shared" ref="AY286:AY349" si="237">CONCATENATE($Z286,$AA286,$AB286,$AC286,$AD286,$AW286)</f>
        <v>aaa0</v>
      </c>
      <c r="AZ286" s="477" t="str">
        <f t="shared" si="197"/>
        <v>No</v>
      </c>
      <c r="BA286" s="759" t="str">
        <f t="shared" si="198"/>
        <v>No</v>
      </c>
      <c r="BB286" s="477">
        <f>IF($Z286="c",Inventory!$AB42,Inventory!$K42)</f>
        <v>0</v>
      </c>
      <c r="BC286" s="478">
        <f>IF(AND($Z286="b",Inventory!$N42="Btu/hr"),Inventory!$M42,IF(AND($Z286="b",Inventory!$N42="Tons"),Inventory!$M42*12000,IF(AND($Z286&lt;&gt;"b",Inventory!$AK42="Btu/hr"),Inventory!$AD42,IF(AND($Z286&lt;&gt;"b",Inventory!$AK42="Tons"),Inventory!$AD42*12000,0))))</f>
        <v>0</v>
      </c>
      <c r="BD286" s="478">
        <f t="shared" ref="BD286:BD302" si="238">IF(BC286=0,0,IF($BC286&lt;7000,7000,IF($BC286&gt;15000,15000,$BC286)))</f>
        <v>0</v>
      </c>
      <c r="BE286" s="479">
        <f t="shared" si="216"/>
        <v>0</v>
      </c>
      <c r="BF286" s="477" t="s">
        <v>50</v>
      </c>
      <c r="BG286" s="479">
        <f t="shared" ref="BG286:BG349" si="239">IFERROR(12/$BE286,0)</f>
        <v>0</v>
      </c>
      <c r="BH286" s="477" t="s">
        <v>46</v>
      </c>
      <c r="BI286" s="760">
        <f>IF(AND($Z286="b",Inventory!$P42="Btu/hr"),Inventory!$O42,IF(AND($Z286="b",Inventory!$P42="Tons"),Inventory!$O42*12000,IF(AND($Z286&lt;&gt;"b",Inventory!$AM42="Btu/hr"),Inventory!$AL42,IF(AND($Z286&lt;&gt;"b",Inventory!$AM42="Tons"),Inventory!$AL42*12000,0))))</f>
        <v>0</v>
      </c>
      <c r="BJ286" s="760">
        <f t="shared" si="201"/>
        <v>0</v>
      </c>
      <c r="BK286" s="598">
        <f t="shared" si="202"/>
        <v>0</v>
      </c>
      <c r="BL286" s="759" t="s">
        <v>567</v>
      </c>
      <c r="BM286" s="477" t="str">
        <f t="shared" ref="BM286:BM349" si="240">IF($Z286="b","Yes","No")</f>
        <v>No</v>
      </c>
      <c r="BN286" s="477" t="str">
        <f>IF(OR(Inventory!$H42="",$BM286="No"),"-",Inventory!$H42)</f>
        <v>-</v>
      </c>
      <c r="BO286" s="477" t="str">
        <f>IFERROR(VLOOKUP(BN286,'Early Retirement'!$B$6:$C$33,2,FALSE),"-")</f>
        <v>-</v>
      </c>
      <c r="BP286" s="477" t="str">
        <f>IF(Inventory!$J42="Centrifugal","Yes","No")</f>
        <v>No</v>
      </c>
      <c r="BQ286" s="477">
        <f t="shared" ref="BQ286:BQ349" si="241">IF($BM286="No",0,IF($BP286="Yes",CONCATENATE($AW286,$AX286,"c"),CONCATENATE($AW286,$AX286)))</f>
        <v>0</v>
      </c>
      <c r="BR286" s="477" t="str">
        <f t="shared" si="218"/>
        <v>-</v>
      </c>
      <c r="BS286" s="479">
        <f>IFERROR(INDEX('Early Retirement'!$C$4:$AC$33,$BO286,$BR286),0)</f>
        <v>0</v>
      </c>
      <c r="BT286" s="477">
        <f>IFERROR(HLOOKUP($BR286,'Early Retirement'!$D$4:$AC$5,2,FALSE),0)</f>
        <v>0</v>
      </c>
      <c r="BU286" s="761">
        <f>IFERROR(INDEX('Early Retirement'!$AE$4:$BE$33,$BO286,$BR286),0)</f>
        <v>0</v>
      </c>
      <c r="BV286" s="759">
        <f>IFERROR(HLOOKUP($BR286,'Early Retirement'!$AF$4:$BE$5,2,FALSE),0)</f>
        <v>0</v>
      </c>
      <c r="BW286" s="479">
        <f t="shared" ref="BW286:BW349" si="242">IF($BT286="SEER",12/($BS286*0.697+2.0394),IF($BT286="EER",12/$BS286,IF($BT286="kW/ton",$BS286,0)))</f>
        <v>0</v>
      </c>
      <c r="BX286" s="761">
        <f t="shared" si="207"/>
        <v>0</v>
      </c>
      <c r="BY286" s="477" t="s">
        <v>46</v>
      </c>
      <c r="BZ286" s="598">
        <f>IFERROR(INDEX('Early Retirement'!$BG$4:$CG$33,$BO286,$BR286),0)</f>
        <v>0</v>
      </c>
      <c r="CA286" s="759">
        <f>IFERROR(HLOOKUP($BR286,'Early Retirement'!$BH$4:$CH$5,2,FALSE),0)</f>
        <v>0</v>
      </c>
      <c r="CB286" s="598">
        <f t="shared" si="208"/>
        <v>0</v>
      </c>
      <c r="CC286" s="759" t="s">
        <v>567</v>
      </c>
      <c r="CD286" s="477" t="str">
        <f t="shared" ref="CD286:CD349" si="243">IF(AND($AZ286="No",$BM286="No"),"Yes","No")</f>
        <v>Yes</v>
      </c>
      <c r="CE286" s="479">
        <f t="shared" si="210"/>
        <v>0</v>
      </c>
      <c r="CF286" s="761">
        <f t="shared" si="211"/>
        <v>0</v>
      </c>
      <c r="CG286" s="759" t="s">
        <v>46</v>
      </c>
      <c r="CH286" s="598">
        <f t="shared" si="217"/>
        <v>0</v>
      </c>
      <c r="CI286" s="759" t="s">
        <v>567</v>
      </c>
      <c r="CJ286" s="480">
        <f t="shared" ref="CJ286:CJ349" si="244">MAX($BG286,$BW286,$CE286)</f>
        <v>0</v>
      </c>
      <c r="CK286" s="583">
        <f t="shared" si="213"/>
        <v>0</v>
      </c>
      <c r="CL286" s="596" t="s">
        <v>46</v>
      </c>
      <c r="CM286" s="581">
        <f t="shared" si="214"/>
        <v>0</v>
      </c>
      <c r="CN286" s="762" t="s">
        <v>567</v>
      </c>
      <c r="CW286" s="630"/>
      <c r="CX286" s="630"/>
      <c r="CY286" s="630"/>
      <c r="CZ286" s="630"/>
      <c r="DA286" s="630"/>
    </row>
    <row r="287" spans="2:105" s="78" customFormat="1" ht="15" customHeight="1" x14ac:dyDescent="0.25">
      <c r="B287" s="77"/>
      <c r="E287" s="77"/>
      <c r="H287" s="77"/>
      <c r="Y287" s="90">
        <v>34</v>
      </c>
      <c r="Z287" s="472" t="str">
        <f>IF(Inventory!$C43="","",VLOOKUP(Inventory!$C43,$B$7:$C$9,2,FALSE))</f>
        <v/>
      </c>
      <c r="AA287" s="472" t="str">
        <f>IF($Z287="","",IF(AND($Z287="b",Inventory!$G43=""),"",IF(AND($Z287="b",Inventory!$G43&lt;&gt;""),VLOOKUP(Inventory!$G43,$E$3:$F$10,2,FALSE),IF(AND($Z287="a",Inventory!$Z43=""),"",IF(AND($Z287="a",Inventory!$Z43&lt;&gt;""),VLOOKUP(Inventory!$Z43,$E$3:$F$10,2,FALSE),IF(AND($Z287="c",Inventory!$Z43=""),"",IF(AND($Z287="c",Inventory!$Z43&lt;&gt;""),VLOOKUP(Inventory!$Z43,$E$3:$F$10,2,FALSE),"")))))))</f>
        <v/>
      </c>
      <c r="AB287" s="472" t="str">
        <f>IF($Z287="","a",IF(AND($Z287="b",Inventory!$J43=""),"a",IF(AND($Z287="b",Inventory!$J43&lt;&gt;""),VLOOKUP(Inventory!$J43,$H$4:$I$6,2,FALSE),IF(AND($Z287="a",Inventory!$AA43=""),"a",IF(AND($Z287="a",Inventory!$AA43&lt;&gt;""),VLOOKUP(Inventory!$AA43,$H$4:$I$6,2,FALSE),IF(AND($Z287="c",Inventory!$AA43=""),"a",IF(AND($Z287="c",Inventory!$AA43&lt;&gt;""),VLOOKUP(Inventory!$AA43,$H$4:$I$6,2,FALSE),"a")))))))</f>
        <v>a</v>
      </c>
      <c r="AC287" s="506" t="str">
        <f t="shared" si="219"/>
        <v>a</v>
      </c>
      <c r="AD287" s="473" t="str">
        <f>IF($Z287="","a",IF(AND($Z287="b",Inventory!$L43=""),"a",IF(AND($Z287="b",Inventory!$L43&lt;&gt;""),VLOOKUP(Inventory!$L43,$N$4:$O$5,2,FALSE),IF(AND($Z287="a",Inventory!$AC43=""),"a",IF(AND($Z287="a",Inventory!$AC43&lt;&gt;""),VLOOKUP(Inventory!$AC43,$N$4:$O$5,2,FALSE),IF(AND($Z287="c",Inventory!$AC43=""),"a",IF(AND($Z287="c",Inventory!$AC43&lt;&gt;""),VLOOKUP(Inventory!$AC43,$N$4:$O$5,2,FALSE),"a")))))))</f>
        <v>a</v>
      </c>
      <c r="AE287" s="474">
        <f>IF(OR(Inventory!C43="New Construction",Inventory!C43="Replace-on-Burnout"),Inventory!AF43,IF(Inventory!C43="Early Retirement",MIN(Inventory!AE43,Inventory!AF43),0))</f>
        <v>0</v>
      </c>
      <c r="AF287" s="475" t="str">
        <f t="shared" si="220"/>
        <v/>
      </c>
      <c r="AG287" s="475" t="str">
        <f t="shared" si="221"/>
        <v/>
      </c>
      <c r="AH287" s="475" t="str">
        <f t="shared" si="222"/>
        <v/>
      </c>
      <c r="AI287" s="475" t="str">
        <f t="shared" si="223"/>
        <v/>
      </c>
      <c r="AJ287" s="475" t="str">
        <f t="shared" si="224"/>
        <v/>
      </c>
      <c r="AK287" s="475" t="str">
        <f t="shared" si="225"/>
        <v/>
      </c>
      <c r="AL287" s="475" t="str">
        <f t="shared" si="226"/>
        <v/>
      </c>
      <c r="AM287" s="475" t="str">
        <f t="shared" si="227"/>
        <v/>
      </c>
      <c r="AN287" s="475" t="str">
        <f t="shared" si="228"/>
        <v/>
      </c>
      <c r="AO287" s="475" t="str">
        <f t="shared" si="229"/>
        <v/>
      </c>
      <c r="AP287" s="475" t="str">
        <f t="shared" si="230"/>
        <v/>
      </c>
      <c r="AQ287" s="475" t="str">
        <f t="shared" si="231"/>
        <v/>
      </c>
      <c r="AR287" s="475" t="str">
        <f t="shared" si="232"/>
        <v/>
      </c>
      <c r="AS287" s="475" t="str">
        <f t="shared" si="215"/>
        <v/>
      </c>
      <c r="AT287" s="475" t="str">
        <f t="shared" si="233"/>
        <v/>
      </c>
      <c r="AU287" s="475" t="str">
        <f t="shared" si="234"/>
        <v/>
      </c>
      <c r="AV287" s="475" t="str">
        <f t="shared" si="235"/>
        <v/>
      </c>
      <c r="AW287" s="473">
        <f t="shared" si="236"/>
        <v>0</v>
      </c>
      <c r="AX287" s="473" t="str">
        <f>IF(AND($Z287="b",OR($AA287="a",$AA287="b"),Inventory!$I43="",$AE287&lt;(65000/12000)),"x",IF(AND($Z287="b",OR($AA287="a",$AA287="b"),Inventory!$I43&lt;&gt;"",$AE287&lt;(65000/12000)),VLOOKUP(Inventory!$I294,$V$4:$W$5,2,FALSE),"x"))</f>
        <v>x</v>
      </c>
      <c r="AY287" s="476" t="str">
        <f t="shared" si="237"/>
        <v>aaa0</v>
      </c>
      <c r="AZ287" s="477" t="str">
        <f t="shared" si="197"/>
        <v>No</v>
      </c>
      <c r="BA287" s="759" t="str">
        <f t="shared" si="198"/>
        <v>No</v>
      </c>
      <c r="BB287" s="477">
        <f>IF($Z287="c",Inventory!$AB43,Inventory!$K43)</f>
        <v>0</v>
      </c>
      <c r="BC287" s="478">
        <f>IF(AND($Z287="b",Inventory!$N43="Btu/hr"),Inventory!$M43,IF(AND($Z287="b",Inventory!$N43="Tons"),Inventory!$M43*12000,IF(AND($Z287&lt;&gt;"b",Inventory!$AK43="Btu/hr"),Inventory!$AD43,IF(AND($Z287&lt;&gt;"b",Inventory!$AK43="Tons"),Inventory!$AD43*12000,0))))</f>
        <v>0</v>
      </c>
      <c r="BD287" s="478">
        <f t="shared" si="238"/>
        <v>0</v>
      </c>
      <c r="BE287" s="479">
        <f t="shared" si="216"/>
        <v>0</v>
      </c>
      <c r="BF287" s="477" t="s">
        <v>50</v>
      </c>
      <c r="BG287" s="479">
        <f t="shared" si="239"/>
        <v>0</v>
      </c>
      <c r="BH287" s="477" t="s">
        <v>46</v>
      </c>
      <c r="BI287" s="760">
        <f>IF(AND($Z287="b",Inventory!$P43="Btu/hr"),Inventory!$O43,IF(AND($Z287="b",Inventory!$P43="Tons"),Inventory!$O43*12000,IF(AND($Z287&lt;&gt;"b",Inventory!$AM43="Btu/hr"),Inventory!$AL43,IF(AND($Z287&lt;&gt;"b",Inventory!$AM43="Tons"),Inventory!$AL43*12000,0))))</f>
        <v>0</v>
      </c>
      <c r="BJ287" s="760">
        <f t="shared" si="201"/>
        <v>0</v>
      </c>
      <c r="BK287" s="598">
        <f t="shared" si="202"/>
        <v>0</v>
      </c>
      <c r="BL287" s="759" t="s">
        <v>567</v>
      </c>
      <c r="BM287" s="477" t="str">
        <f t="shared" si="240"/>
        <v>No</v>
      </c>
      <c r="BN287" s="477" t="str">
        <f>IF(OR(Inventory!$H43="",$BM287="No"),"-",Inventory!$H43)</f>
        <v>-</v>
      </c>
      <c r="BO287" s="477" t="str">
        <f>IFERROR(VLOOKUP(BN287,'Early Retirement'!$B$6:$C$33,2,FALSE),"-")</f>
        <v>-</v>
      </c>
      <c r="BP287" s="477" t="str">
        <f>IF(Inventory!$J43="Centrifugal","Yes","No")</f>
        <v>No</v>
      </c>
      <c r="BQ287" s="477">
        <f t="shared" si="241"/>
        <v>0</v>
      </c>
      <c r="BR287" s="477" t="str">
        <f t="shared" si="218"/>
        <v>-</v>
      </c>
      <c r="BS287" s="479">
        <f>IFERROR(INDEX('Early Retirement'!$C$4:$AC$33,$BO287,$BR287),0)</f>
        <v>0</v>
      </c>
      <c r="BT287" s="477">
        <f>IFERROR(HLOOKUP($BR287,'Early Retirement'!$D$4:$AC$5,2,FALSE),0)</f>
        <v>0</v>
      </c>
      <c r="BU287" s="761">
        <f>IFERROR(INDEX('Early Retirement'!$AE$4:$BE$33,$BO287,$BR287),0)</f>
        <v>0</v>
      </c>
      <c r="BV287" s="759">
        <f>IFERROR(HLOOKUP($BR287,'Early Retirement'!$AF$4:$BE$5,2,FALSE),0)</f>
        <v>0</v>
      </c>
      <c r="BW287" s="479">
        <f t="shared" si="242"/>
        <v>0</v>
      </c>
      <c r="BX287" s="761">
        <f t="shared" si="207"/>
        <v>0</v>
      </c>
      <c r="BY287" s="477" t="s">
        <v>46</v>
      </c>
      <c r="BZ287" s="598">
        <f>IFERROR(INDEX('Early Retirement'!$BG$4:$CG$33,$BO287,$BR287),0)</f>
        <v>0</v>
      </c>
      <c r="CA287" s="759">
        <f>IFERROR(HLOOKUP($BR287,'Early Retirement'!$BH$4:$CH$5,2,FALSE),0)</f>
        <v>0</v>
      </c>
      <c r="CB287" s="598">
        <f t="shared" si="208"/>
        <v>0</v>
      </c>
      <c r="CC287" s="759" t="s">
        <v>567</v>
      </c>
      <c r="CD287" s="477" t="str">
        <f t="shared" si="243"/>
        <v>Yes</v>
      </c>
      <c r="CE287" s="479">
        <f t="shared" si="210"/>
        <v>0</v>
      </c>
      <c r="CF287" s="761">
        <f t="shared" si="211"/>
        <v>0</v>
      </c>
      <c r="CG287" s="759" t="s">
        <v>46</v>
      </c>
      <c r="CH287" s="598">
        <f t="shared" si="217"/>
        <v>0</v>
      </c>
      <c r="CI287" s="759" t="s">
        <v>567</v>
      </c>
      <c r="CJ287" s="480">
        <f t="shared" si="244"/>
        <v>0</v>
      </c>
      <c r="CK287" s="583">
        <f t="shared" si="213"/>
        <v>0</v>
      </c>
      <c r="CL287" s="596" t="s">
        <v>46</v>
      </c>
      <c r="CM287" s="581">
        <f t="shared" si="214"/>
        <v>0</v>
      </c>
      <c r="CN287" s="762" t="s">
        <v>567</v>
      </c>
      <c r="CW287" s="630"/>
      <c r="CX287" s="630"/>
      <c r="CY287" s="630"/>
      <c r="CZ287" s="630"/>
      <c r="DA287" s="630"/>
    </row>
    <row r="288" spans="2:105" s="78" customFormat="1" ht="15" customHeight="1" x14ac:dyDescent="0.25">
      <c r="B288" s="77"/>
      <c r="E288" s="77"/>
      <c r="H288" s="77"/>
      <c r="Y288" s="90">
        <v>35</v>
      </c>
      <c r="Z288" s="472" t="str">
        <f>IF(Inventory!$C44="","",VLOOKUP(Inventory!$C44,$B$7:$C$9,2,FALSE))</f>
        <v/>
      </c>
      <c r="AA288" s="472" t="str">
        <f>IF($Z288="","",IF(AND($Z288="b",Inventory!$G44=""),"",IF(AND($Z288="b",Inventory!$G44&lt;&gt;""),VLOOKUP(Inventory!$G44,$E$3:$F$10,2,FALSE),IF(AND($Z288="a",Inventory!$Z44=""),"",IF(AND($Z288="a",Inventory!$Z44&lt;&gt;""),VLOOKUP(Inventory!$Z44,$E$3:$F$10,2,FALSE),IF(AND($Z288="c",Inventory!$Z44=""),"",IF(AND($Z288="c",Inventory!$Z44&lt;&gt;""),VLOOKUP(Inventory!$Z44,$E$3:$F$10,2,FALSE),"")))))))</f>
        <v/>
      </c>
      <c r="AB288" s="472" t="str">
        <f>IF($Z288="","a",IF(AND($Z288="b",Inventory!$J44=""),"a",IF(AND($Z288="b",Inventory!$J44&lt;&gt;""),VLOOKUP(Inventory!$J44,$H$4:$I$6,2,FALSE),IF(AND($Z288="a",Inventory!$AA44=""),"a",IF(AND($Z288="a",Inventory!$AA44&lt;&gt;""),VLOOKUP(Inventory!$AA44,$H$4:$I$6,2,FALSE),IF(AND($Z288="c",Inventory!$AA44=""),"a",IF(AND($Z288="c",Inventory!$AA44&lt;&gt;""),VLOOKUP(Inventory!$AA44,$H$4:$I$6,2,FALSE),"a")))))))</f>
        <v>a</v>
      </c>
      <c r="AC288" s="506" t="str">
        <f t="shared" si="219"/>
        <v>a</v>
      </c>
      <c r="AD288" s="473" t="str">
        <f>IF($Z288="","a",IF(AND($Z288="b",Inventory!$L44=""),"a",IF(AND($Z288="b",Inventory!$L44&lt;&gt;""),VLOOKUP(Inventory!$L44,$N$4:$O$5,2,FALSE),IF(AND($Z288="a",Inventory!$AC44=""),"a",IF(AND($Z288="a",Inventory!$AC44&lt;&gt;""),VLOOKUP(Inventory!$AC44,$N$4:$O$5,2,FALSE),IF(AND($Z288="c",Inventory!$AC44=""),"a",IF(AND($Z288="c",Inventory!$AC44&lt;&gt;""),VLOOKUP(Inventory!$AC44,$N$4:$O$5,2,FALSE),"a")))))))</f>
        <v>a</v>
      </c>
      <c r="AE288" s="474">
        <f>IF(OR(Inventory!C44="New Construction",Inventory!C44="Replace-on-Burnout"),Inventory!AF44,IF(Inventory!C44="Early Retirement",MIN(Inventory!AE44,Inventory!AF44),0))</f>
        <v>0</v>
      </c>
      <c r="AF288" s="475" t="str">
        <f t="shared" si="220"/>
        <v/>
      </c>
      <c r="AG288" s="475" t="str">
        <f t="shared" si="221"/>
        <v/>
      </c>
      <c r="AH288" s="475" t="str">
        <f t="shared" si="222"/>
        <v/>
      </c>
      <c r="AI288" s="475" t="str">
        <f t="shared" si="223"/>
        <v/>
      </c>
      <c r="AJ288" s="475" t="str">
        <f t="shared" si="224"/>
        <v/>
      </c>
      <c r="AK288" s="475" t="str">
        <f t="shared" si="225"/>
        <v/>
      </c>
      <c r="AL288" s="475" t="str">
        <f t="shared" si="226"/>
        <v/>
      </c>
      <c r="AM288" s="475" t="str">
        <f t="shared" si="227"/>
        <v/>
      </c>
      <c r="AN288" s="475" t="str">
        <f t="shared" si="228"/>
        <v/>
      </c>
      <c r="AO288" s="475" t="str">
        <f t="shared" si="229"/>
        <v/>
      </c>
      <c r="AP288" s="475" t="str">
        <f t="shared" si="230"/>
        <v/>
      </c>
      <c r="AQ288" s="475" t="str">
        <f t="shared" si="231"/>
        <v/>
      </c>
      <c r="AR288" s="475" t="str">
        <f t="shared" si="232"/>
        <v/>
      </c>
      <c r="AS288" s="475" t="str">
        <f t="shared" si="215"/>
        <v/>
      </c>
      <c r="AT288" s="475" t="str">
        <f t="shared" si="233"/>
        <v/>
      </c>
      <c r="AU288" s="475" t="str">
        <f t="shared" si="234"/>
        <v/>
      </c>
      <c r="AV288" s="475" t="str">
        <f t="shared" si="235"/>
        <v/>
      </c>
      <c r="AW288" s="473">
        <f t="shared" si="236"/>
        <v>0</v>
      </c>
      <c r="AX288" s="473" t="str">
        <f>IF(AND($Z288="b",OR($AA288="a",$AA288="b"),Inventory!$I44="",$AE288&lt;(65000/12000)),"x",IF(AND($Z288="b",OR($AA288="a",$AA288="b"),Inventory!$I44&lt;&gt;"",$AE288&lt;(65000/12000)),VLOOKUP(Inventory!$I295,$V$4:$W$5,2,FALSE),"x"))</f>
        <v>x</v>
      </c>
      <c r="AY288" s="476" t="str">
        <f t="shared" si="237"/>
        <v>aaa0</v>
      </c>
      <c r="AZ288" s="477" t="str">
        <f t="shared" si="197"/>
        <v>No</v>
      </c>
      <c r="BA288" s="759" t="str">
        <f t="shared" si="198"/>
        <v>No</v>
      </c>
      <c r="BB288" s="477">
        <f>IF($Z288="c",Inventory!$AB44,Inventory!$K44)</f>
        <v>0</v>
      </c>
      <c r="BC288" s="478">
        <f>IF(AND($Z288="b",Inventory!$N44="Btu/hr"),Inventory!$M44,IF(AND($Z288="b",Inventory!$N44="Tons"),Inventory!$M44*12000,IF(AND($Z288&lt;&gt;"b",Inventory!$AK44="Btu/hr"),Inventory!$AD44,IF(AND($Z288&lt;&gt;"b",Inventory!$AK44="Tons"),Inventory!$AD44*12000,0))))</f>
        <v>0</v>
      </c>
      <c r="BD288" s="478">
        <f t="shared" si="238"/>
        <v>0</v>
      </c>
      <c r="BE288" s="479">
        <f t="shared" si="216"/>
        <v>0</v>
      </c>
      <c r="BF288" s="477" t="s">
        <v>50</v>
      </c>
      <c r="BG288" s="479">
        <f t="shared" si="239"/>
        <v>0</v>
      </c>
      <c r="BH288" s="477" t="s">
        <v>46</v>
      </c>
      <c r="BI288" s="760">
        <f>IF(AND($Z288="b",Inventory!$P44="Btu/hr"),Inventory!$O44,IF(AND($Z288="b",Inventory!$P44="Tons"),Inventory!$O44*12000,IF(AND($Z288&lt;&gt;"b",Inventory!$AM44="Btu/hr"),Inventory!$AL44,IF(AND($Z288&lt;&gt;"b",Inventory!$AM44="Tons"),Inventory!$AL44*12000,0))))</f>
        <v>0</v>
      </c>
      <c r="BJ288" s="760">
        <f t="shared" si="201"/>
        <v>0</v>
      </c>
      <c r="BK288" s="598">
        <f t="shared" si="202"/>
        <v>0</v>
      </c>
      <c r="BL288" s="759" t="s">
        <v>567</v>
      </c>
      <c r="BM288" s="477" t="str">
        <f t="shared" si="240"/>
        <v>No</v>
      </c>
      <c r="BN288" s="477" t="str">
        <f>IF(OR(Inventory!$H44="",$BM288="No"),"-",Inventory!$H44)</f>
        <v>-</v>
      </c>
      <c r="BO288" s="477" t="str">
        <f>IFERROR(VLOOKUP(BN288,'Early Retirement'!$B$6:$C$33,2,FALSE),"-")</f>
        <v>-</v>
      </c>
      <c r="BP288" s="477" t="str">
        <f>IF(Inventory!$J44="Centrifugal","Yes","No")</f>
        <v>No</v>
      </c>
      <c r="BQ288" s="477">
        <f t="shared" si="241"/>
        <v>0</v>
      </c>
      <c r="BR288" s="477" t="str">
        <f t="shared" si="218"/>
        <v>-</v>
      </c>
      <c r="BS288" s="479">
        <f>IFERROR(INDEX('Early Retirement'!$C$4:$AC$33,$BO288,$BR288),0)</f>
        <v>0</v>
      </c>
      <c r="BT288" s="477">
        <f>IFERROR(HLOOKUP($BR288,'Early Retirement'!$D$4:$AC$5,2,FALSE),0)</f>
        <v>0</v>
      </c>
      <c r="BU288" s="761">
        <f>IFERROR(INDEX('Early Retirement'!$AE$4:$BE$33,$BO288,$BR288),0)</f>
        <v>0</v>
      </c>
      <c r="BV288" s="759">
        <f>IFERROR(HLOOKUP($BR288,'Early Retirement'!$AF$4:$BE$5,2,FALSE),0)</f>
        <v>0</v>
      </c>
      <c r="BW288" s="479">
        <f t="shared" si="242"/>
        <v>0</v>
      </c>
      <c r="BX288" s="761">
        <f t="shared" si="207"/>
        <v>0</v>
      </c>
      <c r="BY288" s="477" t="s">
        <v>46</v>
      </c>
      <c r="BZ288" s="598">
        <f>IFERROR(INDEX('Early Retirement'!$BG$4:$CG$33,$BO288,$BR288),0)</f>
        <v>0</v>
      </c>
      <c r="CA288" s="759">
        <f>IFERROR(HLOOKUP($BR288,'Early Retirement'!$BH$4:$CH$5,2,FALSE),0)</f>
        <v>0</v>
      </c>
      <c r="CB288" s="598">
        <f t="shared" si="208"/>
        <v>0</v>
      </c>
      <c r="CC288" s="759" t="s">
        <v>567</v>
      </c>
      <c r="CD288" s="477" t="str">
        <f t="shared" si="243"/>
        <v>Yes</v>
      </c>
      <c r="CE288" s="479">
        <f t="shared" si="210"/>
        <v>0</v>
      </c>
      <c r="CF288" s="761">
        <f t="shared" si="211"/>
        <v>0</v>
      </c>
      <c r="CG288" s="759" t="s">
        <v>46</v>
      </c>
      <c r="CH288" s="598">
        <f t="shared" si="217"/>
        <v>0</v>
      </c>
      <c r="CI288" s="759" t="s">
        <v>567</v>
      </c>
      <c r="CJ288" s="480">
        <f t="shared" si="244"/>
        <v>0</v>
      </c>
      <c r="CK288" s="583">
        <f t="shared" si="213"/>
        <v>0</v>
      </c>
      <c r="CL288" s="596" t="s">
        <v>46</v>
      </c>
      <c r="CM288" s="581">
        <f t="shared" si="214"/>
        <v>0</v>
      </c>
      <c r="CN288" s="762" t="s">
        <v>567</v>
      </c>
      <c r="CW288" s="630"/>
      <c r="CX288" s="630"/>
      <c r="CY288" s="630"/>
      <c r="CZ288" s="630"/>
      <c r="DA288" s="630"/>
    </row>
    <row r="289" spans="2:105" s="78" customFormat="1" ht="15" customHeight="1" x14ac:dyDescent="0.25">
      <c r="B289" s="77"/>
      <c r="E289" s="77"/>
      <c r="H289" s="77"/>
      <c r="Y289" s="90">
        <v>36</v>
      </c>
      <c r="Z289" s="472" t="str">
        <f>IF(Inventory!$C45="","",VLOOKUP(Inventory!$C45,$B$7:$C$9,2,FALSE))</f>
        <v/>
      </c>
      <c r="AA289" s="472" t="str">
        <f>IF($Z289="","",IF(AND($Z289="b",Inventory!$G45=""),"",IF(AND($Z289="b",Inventory!$G45&lt;&gt;""),VLOOKUP(Inventory!$G45,$E$3:$F$10,2,FALSE),IF(AND($Z289="a",Inventory!$Z45=""),"",IF(AND($Z289="a",Inventory!$Z45&lt;&gt;""),VLOOKUP(Inventory!$Z45,$E$3:$F$10,2,FALSE),IF(AND($Z289="c",Inventory!$Z45=""),"",IF(AND($Z289="c",Inventory!$Z45&lt;&gt;""),VLOOKUP(Inventory!$Z45,$E$3:$F$10,2,FALSE),"")))))))</f>
        <v/>
      </c>
      <c r="AB289" s="472" t="str">
        <f>IF($Z289="","a",IF(AND($Z289="b",Inventory!$J45=""),"a",IF(AND($Z289="b",Inventory!$J45&lt;&gt;""),VLOOKUP(Inventory!$J45,$H$4:$I$6,2,FALSE),IF(AND($Z289="a",Inventory!$AA45=""),"a",IF(AND($Z289="a",Inventory!$AA45&lt;&gt;""),VLOOKUP(Inventory!$AA45,$H$4:$I$6,2,FALSE),IF(AND($Z289="c",Inventory!$AA45=""),"a",IF(AND($Z289="c",Inventory!$AA45&lt;&gt;""),VLOOKUP(Inventory!$AA45,$H$4:$I$6,2,FALSE),"a")))))))</f>
        <v>a</v>
      </c>
      <c r="AC289" s="506" t="str">
        <f t="shared" si="219"/>
        <v>a</v>
      </c>
      <c r="AD289" s="473" t="str">
        <f>IF($Z289="","a",IF(AND($Z289="b",Inventory!$L45=""),"a",IF(AND($Z289="b",Inventory!$L45&lt;&gt;""),VLOOKUP(Inventory!$L45,$N$4:$O$5,2,FALSE),IF(AND($Z289="a",Inventory!$AC45=""),"a",IF(AND($Z289="a",Inventory!$AC45&lt;&gt;""),VLOOKUP(Inventory!$AC45,$N$4:$O$5,2,FALSE),IF(AND($Z289="c",Inventory!$AC45=""),"a",IF(AND($Z289="c",Inventory!$AC45&lt;&gt;""),VLOOKUP(Inventory!$AC45,$N$4:$O$5,2,FALSE),"a")))))))</f>
        <v>a</v>
      </c>
      <c r="AE289" s="474">
        <f>IF(OR(Inventory!C45="New Construction",Inventory!C45="Replace-on-Burnout"),Inventory!AF45,IF(Inventory!C45="Early Retirement",MIN(Inventory!AE45,Inventory!AF45),0))</f>
        <v>0</v>
      </c>
      <c r="AF289" s="475" t="str">
        <f t="shared" si="220"/>
        <v/>
      </c>
      <c r="AG289" s="475" t="str">
        <f t="shared" si="221"/>
        <v/>
      </c>
      <c r="AH289" s="475" t="str">
        <f t="shared" si="222"/>
        <v/>
      </c>
      <c r="AI289" s="475" t="str">
        <f t="shared" si="223"/>
        <v/>
      </c>
      <c r="AJ289" s="475" t="str">
        <f t="shared" si="224"/>
        <v/>
      </c>
      <c r="AK289" s="475" t="str">
        <f t="shared" si="225"/>
        <v/>
      </c>
      <c r="AL289" s="475" t="str">
        <f t="shared" si="226"/>
        <v/>
      </c>
      <c r="AM289" s="475" t="str">
        <f t="shared" si="227"/>
        <v/>
      </c>
      <c r="AN289" s="475" t="str">
        <f t="shared" si="228"/>
        <v/>
      </c>
      <c r="AO289" s="475" t="str">
        <f t="shared" si="229"/>
        <v/>
      </c>
      <c r="AP289" s="475" t="str">
        <f t="shared" si="230"/>
        <v/>
      </c>
      <c r="AQ289" s="475" t="str">
        <f t="shared" si="231"/>
        <v/>
      </c>
      <c r="AR289" s="475" t="str">
        <f t="shared" si="232"/>
        <v/>
      </c>
      <c r="AS289" s="475" t="str">
        <f t="shared" si="215"/>
        <v/>
      </c>
      <c r="AT289" s="475" t="str">
        <f t="shared" si="233"/>
        <v/>
      </c>
      <c r="AU289" s="475" t="str">
        <f t="shared" si="234"/>
        <v/>
      </c>
      <c r="AV289" s="475" t="str">
        <f t="shared" si="235"/>
        <v/>
      </c>
      <c r="AW289" s="473">
        <f t="shared" si="236"/>
        <v>0</v>
      </c>
      <c r="AX289" s="473" t="str">
        <f>IF(AND($Z289="b",OR($AA289="a",$AA289="b"),Inventory!$I45="",$AE289&lt;(65000/12000)),"x",IF(AND($Z289="b",OR($AA289="a",$AA289="b"),Inventory!$I45&lt;&gt;"",$AE289&lt;(65000/12000)),VLOOKUP(Inventory!$I296,$V$4:$W$5,2,FALSE),"x"))</f>
        <v>x</v>
      </c>
      <c r="AY289" s="476" t="str">
        <f t="shared" si="237"/>
        <v>aaa0</v>
      </c>
      <c r="AZ289" s="477" t="str">
        <f t="shared" si="197"/>
        <v>No</v>
      </c>
      <c r="BA289" s="759" t="str">
        <f t="shared" si="198"/>
        <v>No</v>
      </c>
      <c r="BB289" s="477">
        <f>IF($Z289="c",Inventory!$AB45,Inventory!$K45)</f>
        <v>0</v>
      </c>
      <c r="BC289" s="478">
        <f>IF(AND($Z289="b",Inventory!$N45="Btu/hr"),Inventory!$M45,IF(AND($Z289="b",Inventory!$N45="Tons"),Inventory!$M45*12000,IF(AND($Z289&lt;&gt;"b",Inventory!$AK45="Btu/hr"),Inventory!$AD45,IF(AND($Z289&lt;&gt;"b",Inventory!$AK45="Tons"),Inventory!$AD45*12000,0))))</f>
        <v>0</v>
      </c>
      <c r="BD289" s="478">
        <f t="shared" si="238"/>
        <v>0</v>
      </c>
      <c r="BE289" s="479">
        <f t="shared" si="216"/>
        <v>0</v>
      </c>
      <c r="BF289" s="477" t="s">
        <v>50</v>
      </c>
      <c r="BG289" s="479">
        <f t="shared" si="239"/>
        <v>0</v>
      </c>
      <c r="BH289" s="477" t="s">
        <v>46</v>
      </c>
      <c r="BI289" s="760">
        <f>IF(AND($Z289="b",Inventory!$P45="Btu/hr"),Inventory!$O45,IF(AND($Z289="b",Inventory!$P45="Tons"),Inventory!$O45*12000,IF(AND($Z289&lt;&gt;"b",Inventory!$AM45="Btu/hr"),Inventory!$AL45,IF(AND($Z289&lt;&gt;"b",Inventory!$AM45="Tons"),Inventory!$AL45*12000,0))))</f>
        <v>0</v>
      </c>
      <c r="BJ289" s="760">
        <f t="shared" si="201"/>
        <v>0</v>
      </c>
      <c r="BK289" s="598">
        <f t="shared" si="202"/>
        <v>0</v>
      </c>
      <c r="BL289" s="759" t="s">
        <v>567</v>
      </c>
      <c r="BM289" s="477" t="str">
        <f t="shared" si="240"/>
        <v>No</v>
      </c>
      <c r="BN289" s="477" t="str">
        <f>IF(OR(Inventory!$H45="",$BM289="No"),"-",Inventory!$H45)</f>
        <v>-</v>
      </c>
      <c r="BO289" s="477" t="str">
        <f>IFERROR(VLOOKUP(BN289,'Early Retirement'!$B$6:$C$33,2,FALSE),"-")</f>
        <v>-</v>
      </c>
      <c r="BP289" s="477" t="str">
        <f>IF(Inventory!$J45="Centrifugal","Yes","No")</f>
        <v>No</v>
      </c>
      <c r="BQ289" s="477">
        <f t="shared" si="241"/>
        <v>0</v>
      </c>
      <c r="BR289" s="477" t="str">
        <f t="shared" si="218"/>
        <v>-</v>
      </c>
      <c r="BS289" s="479">
        <f>IFERROR(INDEX('Early Retirement'!$C$4:$AC$33,$BO289,$BR289),0)</f>
        <v>0</v>
      </c>
      <c r="BT289" s="477">
        <f>IFERROR(HLOOKUP($BR289,'Early Retirement'!$D$4:$AC$5,2,FALSE),0)</f>
        <v>0</v>
      </c>
      <c r="BU289" s="761">
        <f>IFERROR(INDEX('Early Retirement'!$AE$4:$BE$33,$BO289,$BR289),0)</f>
        <v>0</v>
      </c>
      <c r="BV289" s="759">
        <f>IFERROR(HLOOKUP($BR289,'Early Retirement'!$AF$4:$BE$5,2,FALSE),0)</f>
        <v>0</v>
      </c>
      <c r="BW289" s="479">
        <f t="shared" si="242"/>
        <v>0</v>
      </c>
      <c r="BX289" s="761">
        <f t="shared" si="207"/>
        <v>0</v>
      </c>
      <c r="BY289" s="477" t="s">
        <v>46</v>
      </c>
      <c r="BZ289" s="598">
        <f>IFERROR(INDEX('Early Retirement'!$BG$4:$CG$33,$BO289,$BR289),0)</f>
        <v>0</v>
      </c>
      <c r="CA289" s="759">
        <f>IFERROR(HLOOKUP($BR289,'Early Retirement'!$BH$4:$CH$5,2,FALSE),0)</f>
        <v>0</v>
      </c>
      <c r="CB289" s="598">
        <f t="shared" si="208"/>
        <v>0</v>
      </c>
      <c r="CC289" s="759" t="s">
        <v>567</v>
      </c>
      <c r="CD289" s="477" t="str">
        <f t="shared" si="243"/>
        <v>Yes</v>
      </c>
      <c r="CE289" s="479">
        <f t="shared" si="210"/>
        <v>0</v>
      </c>
      <c r="CF289" s="761">
        <f t="shared" si="211"/>
        <v>0</v>
      </c>
      <c r="CG289" s="759" t="s">
        <v>46</v>
      </c>
      <c r="CH289" s="598">
        <f t="shared" si="217"/>
        <v>0</v>
      </c>
      <c r="CI289" s="759" t="s">
        <v>567</v>
      </c>
      <c r="CJ289" s="480">
        <f t="shared" si="244"/>
        <v>0</v>
      </c>
      <c r="CK289" s="583">
        <f t="shared" si="213"/>
        <v>0</v>
      </c>
      <c r="CL289" s="596" t="s">
        <v>46</v>
      </c>
      <c r="CM289" s="581">
        <f t="shared" si="214"/>
        <v>0</v>
      </c>
      <c r="CN289" s="762" t="s">
        <v>567</v>
      </c>
      <c r="CW289" s="630"/>
      <c r="CX289" s="630"/>
      <c r="CY289" s="630"/>
      <c r="CZ289" s="630"/>
      <c r="DA289" s="630"/>
    </row>
    <row r="290" spans="2:105" s="78" customFormat="1" ht="15" customHeight="1" x14ac:dyDescent="0.25">
      <c r="B290" s="77"/>
      <c r="E290" s="77"/>
      <c r="H290" s="77"/>
      <c r="Y290" s="90">
        <v>37</v>
      </c>
      <c r="Z290" s="472" t="str">
        <f>IF(Inventory!$C46="","",VLOOKUP(Inventory!$C46,$B$7:$C$9,2,FALSE))</f>
        <v/>
      </c>
      <c r="AA290" s="472" t="str">
        <f>IF($Z290="","",IF(AND($Z290="b",Inventory!$G46=""),"",IF(AND($Z290="b",Inventory!$G46&lt;&gt;""),VLOOKUP(Inventory!$G46,$E$3:$F$10,2,FALSE),IF(AND($Z290="a",Inventory!$Z46=""),"",IF(AND($Z290="a",Inventory!$Z46&lt;&gt;""),VLOOKUP(Inventory!$Z46,$E$3:$F$10,2,FALSE),IF(AND($Z290="c",Inventory!$Z46=""),"",IF(AND($Z290="c",Inventory!$Z46&lt;&gt;""),VLOOKUP(Inventory!$Z46,$E$3:$F$10,2,FALSE),"")))))))</f>
        <v/>
      </c>
      <c r="AB290" s="472" t="str">
        <f>IF($Z290="","a",IF(AND($Z290="b",Inventory!$J46=""),"a",IF(AND($Z290="b",Inventory!$J46&lt;&gt;""),VLOOKUP(Inventory!$J46,$H$4:$I$6,2,FALSE),IF(AND($Z290="a",Inventory!$AA46=""),"a",IF(AND($Z290="a",Inventory!$AA46&lt;&gt;""),VLOOKUP(Inventory!$AA46,$H$4:$I$6,2,FALSE),IF(AND($Z290="c",Inventory!$AA46=""),"a",IF(AND($Z290="c",Inventory!$AA46&lt;&gt;""),VLOOKUP(Inventory!$AA46,$H$4:$I$6,2,FALSE),"a")))))))</f>
        <v>a</v>
      </c>
      <c r="AC290" s="506" t="str">
        <f t="shared" si="219"/>
        <v>a</v>
      </c>
      <c r="AD290" s="473" t="str">
        <f>IF($Z290="","a",IF(AND($Z290="b",Inventory!$L46=""),"a",IF(AND($Z290="b",Inventory!$L46&lt;&gt;""),VLOOKUP(Inventory!$L46,$N$4:$O$5,2,FALSE),IF(AND($Z290="a",Inventory!$AC46=""),"a",IF(AND($Z290="a",Inventory!$AC46&lt;&gt;""),VLOOKUP(Inventory!$AC46,$N$4:$O$5,2,FALSE),IF(AND($Z290="c",Inventory!$AC46=""),"a",IF(AND($Z290="c",Inventory!$AC46&lt;&gt;""),VLOOKUP(Inventory!$AC46,$N$4:$O$5,2,FALSE),"a")))))))</f>
        <v>a</v>
      </c>
      <c r="AE290" s="474">
        <f>IF(OR(Inventory!C46="New Construction",Inventory!C46="Replace-on-Burnout"),Inventory!AF46,IF(Inventory!C46="Early Retirement",MIN(Inventory!AE46,Inventory!AF46),0))</f>
        <v>0</v>
      </c>
      <c r="AF290" s="475" t="str">
        <f t="shared" si="220"/>
        <v/>
      </c>
      <c r="AG290" s="475" t="str">
        <f t="shared" si="221"/>
        <v/>
      </c>
      <c r="AH290" s="475" t="str">
        <f t="shared" si="222"/>
        <v/>
      </c>
      <c r="AI290" s="475" t="str">
        <f t="shared" si="223"/>
        <v/>
      </c>
      <c r="AJ290" s="475" t="str">
        <f t="shared" si="224"/>
        <v/>
      </c>
      <c r="AK290" s="475" t="str">
        <f t="shared" si="225"/>
        <v/>
      </c>
      <c r="AL290" s="475" t="str">
        <f t="shared" si="226"/>
        <v/>
      </c>
      <c r="AM290" s="475" t="str">
        <f t="shared" si="227"/>
        <v/>
      </c>
      <c r="AN290" s="475" t="str">
        <f t="shared" si="228"/>
        <v/>
      </c>
      <c r="AO290" s="475" t="str">
        <f t="shared" si="229"/>
        <v/>
      </c>
      <c r="AP290" s="475" t="str">
        <f t="shared" si="230"/>
        <v/>
      </c>
      <c r="AQ290" s="475" t="str">
        <f t="shared" si="231"/>
        <v/>
      </c>
      <c r="AR290" s="475" t="str">
        <f t="shared" si="232"/>
        <v/>
      </c>
      <c r="AS290" s="475" t="str">
        <f t="shared" si="215"/>
        <v/>
      </c>
      <c r="AT290" s="475" t="str">
        <f t="shared" si="233"/>
        <v/>
      </c>
      <c r="AU290" s="475" t="str">
        <f t="shared" si="234"/>
        <v/>
      </c>
      <c r="AV290" s="475" t="str">
        <f t="shared" si="235"/>
        <v/>
      </c>
      <c r="AW290" s="473">
        <f t="shared" si="236"/>
        <v>0</v>
      </c>
      <c r="AX290" s="473" t="str">
        <f>IF(AND($Z290="b",OR($AA290="a",$AA290="b"),Inventory!$I46="",$AE290&lt;(65000/12000)),"x",IF(AND($Z290="b",OR($AA290="a",$AA290="b"),Inventory!$I46&lt;&gt;"",$AE290&lt;(65000/12000)),VLOOKUP(Inventory!$I297,$V$4:$W$5,2,FALSE),"x"))</f>
        <v>x</v>
      </c>
      <c r="AY290" s="476" t="str">
        <f t="shared" si="237"/>
        <v>aaa0</v>
      </c>
      <c r="AZ290" s="477" t="str">
        <f t="shared" si="197"/>
        <v>No</v>
      </c>
      <c r="BA290" s="759" t="str">
        <f t="shared" si="198"/>
        <v>No</v>
      </c>
      <c r="BB290" s="477">
        <f>IF($Z290="c",Inventory!$AB46,Inventory!$K46)</f>
        <v>0</v>
      </c>
      <c r="BC290" s="478">
        <f>IF(AND($Z290="b",Inventory!$N46="Btu/hr"),Inventory!$M46,IF(AND($Z290="b",Inventory!$N46="Tons"),Inventory!$M46*12000,IF(AND($Z290&lt;&gt;"b",Inventory!$AK46="Btu/hr"),Inventory!$AD46,IF(AND($Z290&lt;&gt;"b",Inventory!$AK46="Tons"),Inventory!$AD46*12000,0))))</f>
        <v>0</v>
      </c>
      <c r="BD290" s="478">
        <f t="shared" si="238"/>
        <v>0</v>
      </c>
      <c r="BE290" s="479">
        <f t="shared" si="216"/>
        <v>0</v>
      </c>
      <c r="BF290" s="477" t="s">
        <v>50</v>
      </c>
      <c r="BG290" s="479">
        <f t="shared" si="239"/>
        <v>0</v>
      </c>
      <c r="BH290" s="477" t="s">
        <v>46</v>
      </c>
      <c r="BI290" s="760">
        <f>IF(AND($Z290="b",Inventory!$P46="Btu/hr"),Inventory!$O46,IF(AND($Z290="b",Inventory!$P46="Tons"),Inventory!$O46*12000,IF(AND($Z290&lt;&gt;"b",Inventory!$AM46="Btu/hr"),Inventory!$AL46,IF(AND($Z290&lt;&gt;"b",Inventory!$AM46="Tons"),Inventory!$AL46*12000,0))))</f>
        <v>0</v>
      </c>
      <c r="BJ290" s="760">
        <f t="shared" si="201"/>
        <v>0</v>
      </c>
      <c r="BK290" s="598">
        <f t="shared" si="202"/>
        <v>0</v>
      </c>
      <c r="BL290" s="759" t="s">
        <v>567</v>
      </c>
      <c r="BM290" s="477" t="str">
        <f t="shared" si="240"/>
        <v>No</v>
      </c>
      <c r="BN290" s="477" t="str">
        <f>IF(OR(Inventory!$H46="",$BM290="No"),"-",Inventory!$H46)</f>
        <v>-</v>
      </c>
      <c r="BO290" s="477" t="str">
        <f>IFERROR(VLOOKUP(BN290,'Early Retirement'!$B$6:$C$33,2,FALSE),"-")</f>
        <v>-</v>
      </c>
      <c r="BP290" s="477" t="str">
        <f>IF(Inventory!$J46="Centrifugal","Yes","No")</f>
        <v>No</v>
      </c>
      <c r="BQ290" s="477">
        <f t="shared" si="241"/>
        <v>0</v>
      </c>
      <c r="BR290" s="477" t="str">
        <f t="shared" si="218"/>
        <v>-</v>
      </c>
      <c r="BS290" s="479">
        <f>IFERROR(INDEX('Early Retirement'!$C$4:$AC$33,$BO290,$BR290),0)</f>
        <v>0</v>
      </c>
      <c r="BT290" s="477">
        <f>IFERROR(HLOOKUP($BR290,'Early Retirement'!$D$4:$AC$5,2,FALSE),0)</f>
        <v>0</v>
      </c>
      <c r="BU290" s="761">
        <f>IFERROR(INDEX('Early Retirement'!$AE$4:$BE$33,$BO290,$BR290),0)</f>
        <v>0</v>
      </c>
      <c r="BV290" s="759">
        <f>IFERROR(HLOOKUP($BR290,'Early Retirement'!$AF$4:$BE$5,2,FALSE),0)</f>
        <v>0</v>
      </c>
      <c r="BW290" s="479">
        <f t="shared" si="242"/>
        <v>0</v>
      </c>
      <c r="BX290" s="761">
        <f t="shared" si="207"/>
        <v>0</v>
      </c>
      <c r="BY290" s="477" t="s">
        <v>46</v>
      </c>
      <c r="BZ290" s="598">
        <f>IFERROR(INDEX('Early Retirement'!$BG$4:$CG$33,$BO290,$BR290),0)</f>
        <v>0</v>
      </c>
      <c r="CA290" s="759">
        <f>IFERROR(HLOOKUP($BR290,'Early Retirement'!$BH$4:$CH$5,2,FALSE),0)</f>
        <v>0</v>
      </c>
      <c r="CB290" s="598">
        <f t="shared" si="208"/>
        <v>0</v>
      </c>
      <c r="CC290" s="759" t="s">
        <v>567</v>
      </c>
      <c r="CD290" s="477" t="str">
        <f t="shared" si="243"/>
        <v>Yes</v>
      </c>
      <c r="CE290" s="479">
        <f t="shared" si="210"/>
        <v>0</v>
      </c>
      <c r="CF290" s="761">
        <f t="shared" si="211"/>
        <v>0</v>
      </c>
      <c r="CG290" s="759" t="s">
        <v>46</v>
      </c>
      <c r="CH290" s="598">
        <f t="shared" si="217"/>
        <v>0</v>
      </c>
      <c r="CI290" s="759" t="s">
        <v>567</v>
      </c>
      <c r="CJ290" s="480">
        <f t="shared" si="244"/>
        <v>0</v>
      </c>
      <c r="CK290" s="583">
        <f t="shared" si="213"/>
        <v>0</v>
      </c>
      <c r="CL290" s="596" t="s">
        <v>46</v>
      </c>
      <c r="CM290" s="581">
        <f t="shared" si="214"/>
        <v>0</v>
      </c>
      <c r="CN290" s="762" t="s">
        <v>567</v>
      </c>
      <c r="CW290" s="630"/>
      <c r="CX290" s="630"/>
      <c r="CY290" s="630"/>
      <c r="CZ290" s="630"/>
      <c r="DA290" s="630"/>
    </row>
    <row r="291" spans="2:105" s="78" customFormat="1" ht="15" customHeight="1" x14ac:dyDescent="0.25">
      <c r="B291" s="77"/>
      <c r="E291" s="77"/>
      <c r="H291" s="77"/>
      <c r="Y291" s="90">
        <v>38</v>
      </c>
      <c r="Z291" s="472" t="str">
        <f>IF(Inventory!$C47="","",VLOOKUP(Inventory!$C47,$B$7:$C$9,2,FALSE))</f>
        <v/>
      </c>
      <c r="AA291" s="472" t="str">
        <f>IF($Z291="","",IF(AND($Z291="b",Inventory!$G47=""),"",IF(AND($Z291="b",Inventory!$G47&lt;&gt;""),VLOOKUP(Inventory!$G47,$E$3:$F$10,2,FALSE),IF(AND($Z291="a",Inventory!$Z47=""),"",IF(AND($Z291="a",Inventory!$Z47&lt;&gt;""),VLOOKUP(Inventory!$Z47,$E$3:$F$10,2,FALSE),IF(AND($Z291="c",Inventory!$Z47=""),"",IF(AND($Z291="c",Inventory!$Z47&lt;&gt;""),VLOOKUP(Inventory!$Z47,$E$3:$F$10,2,FALSE),"")))))))</f>
        <v/>
      </c>
      <c r="AB291" s="472" t="str">
        <f>IF($Z291="","a",IF(AND($Z291="b",Inventory!$J47=""),"a",IF(AND($Z291="b",Inventory!$J47&lt;&gt;""),VLOOKUP(Inventory!$J47,$H$4:$I$6,2,FALSE),IF(AND($Z291="a",Inventory!$AA47=""),"a",IF(AND($Z291="a",Inventory!$AA47&lt;&gt;""),VLOOKUP(Inventory!$AA47,$H$4:$I$6,2,FALSE),IF(AND($Z291="c",Inventory!$AA47=""),"a",IF(AND($Z291="c",Inventory!$AA47&lt;&gt;""),VLOOKUP(Inventory!$AA47,$H$4:$I$6,2,FALSE),"a")))))))</f>
        <v>a</v>
      </c>
      <c r="AC291" s="506" t="str">
        <f t="shared" si="219"/>
        <v>a</v>
      </c>
      <c r="AD291" s="473" t="str">
        <f>IF($Z291="","a",IF(AND($Z291="b",Inventory!$L47=""),"a",IF(AND($Z291="b",Inventory!$L47&lt;&gt;""),VLOOKUP(Inventory!$L47,$N$4:$O$5,2,FALSE),IF(AND($Z291="a",Inventory!$AC47=""),"a",IF(AND($Z291="a",Inventory!$AC47&lt;&gt;""),VLOOKUP(Inventory!$AC47,$N$4:$O$5,2,FALSE),IF(AND($Z291="c",Inventory!$AC47=""),"a",IF(AND($Z291="c",Inventory!$AC47&lt;&gt;""),VLOOKUP(Inventory!$AC47,$N$4:$O$5,2,FALSE),"a")))))))</f>
        <v>a</v>
      </c>
      <c r="AE291" s="474">
        <f>IF(OR(Inventory!C47="New Construction",Inventory!C47="Replace-on-Burnout"),Inventory!AF47,IF(Inventory!C47="Early Retirement",MIN(Inventory!AE47,Inventory!AF47),0))</f>
        <v>0</v>
      </c>
      <c r="AF291" s="475" t="str">
        <f t="shared" si="220"/>
        <v/>
      </c>
      <c r="AG291" s="475" t="str">
        <f t="shared" si="221"/>
        <v/>
      </c>
      <c r="AH291" s="475" t="str">
        <f t="shared" si="222"/>
        <v/>
      </c>
      <c r="AI291" s="475" t="str">
        <f t="shared" si="223"/>
        <v/>
      </c>
      <c r="AJ291" s="475" t="str">
        <f t="shared" si="224"/>
        <v/>
      </c>
      <c r="AK291" s="475" t="str">
        <f t="shared" si="225"/>
        <v/>
      </c>
      <c r="AL291" s="475" t="str">
        <f t="shared" si="226"/>
        <v/>
      </c>
      <c r="AM291" s="475" t="str">
        <f t="shared" si="227"/>
        <v/>
      </c>
      <c r="AN291" s="475" t="str">
        <f t="shared" si="228"/>
        <v/>
      </c>
      <c r="AO291" s="475" t="str">
        <f t="shared" si="229"/>
        <v/>
      </c>
      <c r="AP291" s="475" t="str">
        <f t="shared" si="230"/>
        <v/>
      </c>
      <c r="AQ291" s="475" t="str">
        <f t="shared" si="231"/>
        <v/>
      </c>
      <c r="AR291" s="475" t="str">
        <f t="shared" si="232"/>
        <v/>
      </c>
      <c r="AS291" s="475" t="str">
        <f t="shared" si="215"/>
        <v/>
      </c>
      <c r="AT291" s="475" t="str">
        <f t="shared" si="233"/>
        <v/>
      </c>
      <c r="AU291" s="475" t="str">
        <f t="shared" si="234"/>
        <v/>
      </c>
      <c r="AV291" s="475" t="str">
        <f t="shared" si="235"/>
        <v/>
      </c>
      <c r="AW291" s="473">
        <f t="shared" si="236"/>
        <v>0</v>
      </c>
      <c r="AX291" s="473" t="str">
        <f>IF(AND($Z291="b",OR($AA291="a",$AA291="b"),Inventory!$I47="",$AE291&lt;(65000/12000)),"x",IF(AND($Z291="b",OR($AA291="a",$AA291="b"),Inventory!$I47&lt;&gt;"",$AE291&lt;(65000/12000)),VLOOKUP(Inventory!$I298,$V$4:$W$5,2,FALSE),"x"))</f>
        <v>x</v>
      </c>
      <c r="AY291" s="476" t="str">
        <f t="shared" si="237"/>
        <v>aaa0</v>
      </c>
      <c r="AZ291" s="477" t="str">
        <f t="shared" si="197"/>
        <v>No</v>
      </c>
      <c r="BA291" s="759" t="str">
        <f t="shared" si="198"/>
        <v>No</v>
      </c>
      <c r="BB291" s="477">
        <f>IF($Z291="c",Inventory!$AB47,Inventory!$K47)</f>
        <v>0</v>
      </c>
      <c r="BC291" s="478">
        <f>IF(AND($Z291="b",Inventory!$N47="Btu/hr"),Inventory!$M47,IF(AND($Z291="b",Inventory!$N47="Tons"),Inventory!$M47*12000,IF(AND($Z291&lt;&gt;"b",Inventory!$AK47="Btu/hr"),Inventory!$AD47,IF(AND($Z291&lt;&gt;"b",Inventory!$AK47="Tons"),Inventory!$AD47*12000,0))))</f>
        <v>0</v>
      </c>
      <c r="BD291" s="478">
        <f t="shared" si="238"/>
        <v>0</v>
      </c>
      <c r="BE291" s="479">
        <f t="shared" si="216"/>
        <v>0</v>
      </c>
      <c r="BF291" s="477" t="s">
        <v>50</v>
      </c>
      <c r="BG291" s="479">
        <f t="shared" si="239"/>
        <v>0</v>
      </c>
      <c r="BH291" s="477" t="s">
        <v>46</v>
      </c>
      <c r="BI291" s="760">
        <f>IF(AND($Z291="b",Inventory!$P47="Btu/hr"),Inventory!$O47,IF(AND($Z291="b",Inventory!$P47="Tons"),Inventory!$O47*12000,IF(AND($Z291&lt;&gt;"b",Inventory!$AM47="Btu/hr"),Inventory!$AL47,IF(AND($Z291&lt;&gt;"b",Inventory!$AM47="Tons"),Inventory!$AL47*12000,0))))</f>
        <v>0</v>
      </c>
      <c r="BJ291" s="760">
        <f t="shared" si="201"/>
        <v>0</v>
      </c>
      <c r="BK291" s="598">
        <f t="shared" si="202"/>
        <v>0</v>
      </c>
      <c r="BL291" s="759" t="s">
        <v>567</v>
      </c>
      <c r="BM291" s="477" t="str">
        <f t="shared" si="240"/>
        <v>No</v>
      </c>
      <c r="BN291" s="477" t="str">
        <f>IF(OR(Inventory!$H47="",$BM291="No"),"-",Inventory!$H47)</f>
        <v>-</v>
      </c>
      <c r="BO291" s="477" t="str">
        <f>IFERROR(VLOOKUP(BN291,'Early Retirement'!$B$6:$C$33,2,FALSE),"-")</f>
        <v>-</v>
      </c>
      <c r="BP291" s="477" t="str">
        <f>IF(Inventory!$J47="Centrifugal","Yes","No")</f>
        <v>No</v>
      </c>
      <c r="BQ291" s="477">
        <f t="shared" si="241"/>
        <v>0</v>
      </c>
      <c r="BR291" s="477" t="str">
        <f t="shared" si="218"/>
        <v>-</v>
      </c>
      <c r="BS291" s="479">
        <f>IFERROR(INDEX('Early Retirement'!$C$4:$AC$33,$BO291,$BR291),0)</f>
        <v>0</v>
      </c>
      <c r="BT291" s="477">
        <f>IFERROR(HLOOKUP($BR291,'Early Retirement'!$D$4:$AC$5,2,FALSE),0)</f>
        <v>0</v>
      </c>
      <c r="BU291" s="761">
        <f>IFERROR(INDEX('Early Retirement'!$AE$4:$BE$33,$BO291,$BR291),0)</f>
        <v>0</v>
      </c>
      <c r="BV291" s="759">
        <f>IFERROR(HLOOKUP($BR291,'Early Retirement'!$AF$4:$BE$5,2,FALSE),0)</f>
        <v>0</v>
      </c>
      <c r="BW291" s="479">
        <f t="shared" si="242"/>
        <v>0</v>
      </c>
      <c r="BX291" s="761">
        <f t="shared" si="207"/>
        <v>0</v>
      </c>
      <c r="BY291" s="477" t="s">
        <v>46</v>
      </c>
      <c r="BZ291" s="598">
        <f>IFERROR(INDEX('Early Retirement'!$BG$4:$CG$33,$BO291,$BR291),0)</f>
        <v>0</v>
      </c>
      <c r="CA291" s="759">
        <f>IFERROR(HLOOKUP($BR291,'Early Retirement'!$BH$4:$CH$5,2,FALSE),0)</f>
        <v>0</v>
      </c>
      <c r="CB291" s="598">
        <f t="shared" si="208"/>
        <v>0</v>
      </c>
      <c r="CC291" s="759" t="s">
        <v>567</v>
      </c>
      <c r="CD291" s="477" t="str">
        <f t="shared" si="243"/>
        <v>Yes</v>
      </c>
      <c r="CE291" s="479">
        <f t="shared" si="210"/>
        <v>0</v>
      </c>
      <c r="CF291" s="761">
        <f t="shared" si="211"/>
        <v>0</v>
      </c>
      <c r="CG291" s="759" t="s">
        <v>46</v>
      </c>
      <c r="CH291" s="598">
        <f t="shared" si="217"/>
        <v>0</v>
      </c>
      <c r="CI291" s="759" t="s">
        <v>567</v>
      </c>
      <c r="CJ291" s="480">
        <f t="shared" si="244"/>
        <v>0</v>
      </c>
      <c r="CK291" s="583">
        <f t="shared" si="213"/>
        <v>0</v>
      </c>
      <c r="CL291" s="596" t="s">
        <v>46</v>
      </c>
      <c r="CM291" s="581">
        <f t="shared" si="214"/>
        <v>0</v>
      </c>
      <c r="CN291" s="762" t="s">
        <v>567</v>
      </c>
      <c r="CW291" s="630"/>
      <c r="CX291" s="630"/>
      <c r="CY291" s="630"/>
      <c r="CZ291" s="630"/>
      <c r="DA291" s="630"/>
    </row>
    <row r="292" spans="2:105" s="78" customFormat="1" ht="15" customHeight="1" x14ac:dyDescent="0.25">
      <c r="B292" s="77"/>
      <c r="E292" s="77"/>
      <c r="H292" s="77"/>
      <c r="Y292" s="90">
        <v>39</v>
      </c>
      <c r="Z292" s="472" t="str">
        <f>IF(Inventory!$C48="","",VLOOKUP(Inventory!$C48,$B$7:$C$9,2,FALSE))</f>
        <v/>
      </c>
      <c r="AA292" s="472" t="str">
        <f>IF($Z292="","",IF(AND($Z292="b",Inventory!$G48=""),"",IF(AND($Z292="b",Inventory!$G48&lt;&gt;""),VLOOKUP(Inventory!$G48,$E$3:$F$10,2,FALSE),IF(AND($Z292="a",Inventory!$Z48=""),"",IF(AND($Z292="a",Inventory!$Z48&lt;&gt;""),VLOOKUP(Inventory!$Z48,$E$3:$F$10,2,FALSE),IF(AND($Z292="c",Inventory!$Z48=""),"",IF(AND($Z292="c",Inventory!$Z48&lt;&gt;""),VLOOKUP(Inventory!$Z48,$E$3:$F$10,2,FALSE),"")))))))</f>
        <v/>
      </c>
      <c r="AB292" s="472" t="str">
        <f>IF($Z292="","a",IF(AND($Z292="b",Inventory!$J48=""),"a",IF(AND($Z292="b",Inventory!$J48&lt;&gt;""),VLOOKUP(Inventory!$J48,$H$4:$I$6,2,FALSE),IF(AND($Z292="a",Inventory!$AA48=""),"a",IF(AND($Z292="a",Inventory!$AA48&lt;&gt;""),VLOOKUP(Inventory!$AA48,$H$4:$I$6,2,FALSE),IF(AND($Z292="c",Inventory!$AA48=""),"a",IF(AND($Z292="c",Inventory!$AA48&lt;&gt;""),VLOOKUP(Inventory!$AA48,$H$4:$I$6,2,FALSE),"a")))))))</f>
        <v>a</v>
      </c>
      <c r="AC292" s="506" t="str">
        <f t="shared" si="219"/>
        <v>a</v>
      </c>
      <c r="AD292" s="473" t="str">
        <f>IF($Z292="","a",IF(AND($Z292="b",Inventory!$L48=""),"a",IF(AND($Z292="b",Inventory!$L48&lt;&gt;""),VLOOKUP(Inventory!$L48,$N$4:$O$5,2,FALSE),IF(AND($Z292="a",Inventory!$AC48=""),"a",IF(AND($Z292="a",Inventory!$AC48&lt;&gt;""),VLOOKUP(Inventory!$AC48,$N$4:$O$5,2,FALSE),IF(AND($Z292="c",Inventory!$AC48=""),"a",IF(AND($Z292="c",Inventory!$AC48&lt;&gt;""),VLOOKUP(Inventory!$AC48,$N$4:$O$5,2,FALSE),"a")))))))</f>
        <v>a</v>
      </c>
      <c r="AE292" s="474">
        <f>IF(OR(Inventory!C48="New Construction",Inventory!C48="Replace-on-Burnout"),Inventory!AF48,IF(Inventory!C48="Early Retirement",MIN(Inventory!AE48,Inventory!AF48),0))</f>
        <v>0</v>
      </c>
      <c r="AF292" s="475" t="str">
        <f t="shared" si="220"/>
        <v/>
      </c>
      <c r="AG292" s="475" t="str">
        <f t="shared" si="221"/>
        <v/>
      </c>
      <c r="AH292" s="475" t="str">
        <f t="shared" si="222"/>
        <v/>
      </c>
      <c r="AI292" s="475" t="str">
        <f t="shared" si="223"/>
        <v/>
      </c>
      <c r="AJ292" s="475" t="str">
        <f t="shared" si="224"/>
        <v/>
      </c>
      <c r="AK292" s="475" t="str">
        <f t="shared" si="225"/>
        <v/>
      </c>
      <c r="AL292" s="475" t="str">
        <f t="shared" si="226"/>
        <v/>
      </c>
      <c r="AM292" s="475" t="str">
        <f t="shared" si="227"/>
        <v/>
      </c>
      <c r="AN292" s="475" t="str">
        <f t="shared" si="228"/>
        <v/>
      </c>
      <c r="AO292" s="475" t="str">
        <f t="shared" si="229"/>
        <v/>
      </c>
      <c r="AP292" s="475" t="str">
        <f t="shared" si="230"/>
        <v/>
      </c>
      <c r="AQ292" s="475" t="str">
        <f t="shared" si="231"/>
        <v/>
      </c>
      <c r="AR292" s="475" t="str">
        <f t="shared" si="232"/>
        <v/>
      </c>
      <c r="AS292" s="475" t="str">
        <f t="shared" si="215"/>
        <v/>
      </c>
      <c r="AT292" s="475" t="str">
        <f t="shared" si="233"/>
        <v/>
      </c>
      <c r="AU292" s="475" t="str">
        <f t="shared" si="234"/>
        <v/>
      </c>
      <c r="AV292" s="475" t="str">
        <f t="shared" si="235"/>
        <v/>
      </c>
      <c r="AW292" s="473">
        <f t="shared" si="236"/>
        <v>0</v>
      </c>
      <c r="AX292" s="473" t="str">
        <f>IF(AND($Z292="b",OR($AA292="a",$AA292="b"),Inventory!$I48="",$AE292&lt;(65000/12000)),"x",IF(AND($Z292="b",OR($AA292="a",$AA292="b"),Inventory!$I48&lt;&gt;"",$AE292&lt;(65000/12000)),VLOOKUP(Inventory!$I299,$V$4:$W$5,2,FALSE),"x"))</f>
        <v>x</v>
      </c>
      <c r="AY292" s="476" t="str">
        <f t="shared" si="237"/>
        <v>aaa0</v>
      </c>
      <c r="AZ292" s="477" t="str">
        <f t="shared" si="197"/>
        <v>No</v>
      </c>
      <c r="BA292" s="759" t="str">
        <f t="shared" si="198"/>
        <v>No</v>
      </c>
      <c r="BB292" s="477">
        <f>IF($Z292="c",Inventory!$AB48,Inventory!$K48)</f>
        <v>0</v>
      </c>
      <c r="BC292" s="478">
        <f>IF(AND($Z292="b",Inventory!$N48="Btu/hr"),Inventory!$M48,IF(AND($Z292="b",Inventory!$N48="Tons"),Inventory!$M48*12000,IF(AND($Z292&lt;&gt;"b",Inventory!$AK48="Btu/hr"),Inventory!$AD48,IF(AND($Z292&lt;&gt;"b",Inventory!$AK48="Tons"),Inventory!$AD48*12000,0))))</f>
        <v>0</v>
      </c>
      <c r="BD292" s="478">
        <f t="shared" si="238"/>
        <v>0</v>
      </c>
      <c r="BE292" s="479">
        <f t="shared" si="216"/>
        <v>0</v>
      </c>
      <c r="BF292" s="477" t="s">
        <v>50</v>
      </c>
      <c r="BG292" s="479">
        <f t="shared" si="239"/>
        <v>0</v>
      </c>
      <c r="BH292" s="477" t="s">
        <v>46</v>
      </c>
      <c r="BI292" s="760">
        <f>IF(AND($Z292="b",Inventory!$P48="Btu/hr"),Inventory!$O48,IF(AND($Z292="b",Inventory!$P48="Tons"),Inventory!$O48*12000,IF(AND($Z292&lt;&gt;"b",Inventory!$AM48="Btu/hr"),Inventory!$AL48,IF(AND($Z292&lt;&gt;"b",Inventory!$AM48="Tons"),Inventory!$AL48*12000,0))))</f>
        <v>0</v>
      </c>
      <c r="BJ292" s="760">
        <f t="shared" si="201"/>
        <v>0</v>
      </c>
      <c r="BK292" s="598">
        <f t="shared" si="202"/>
        <v>0</v>
      </c>
      <c r="BL292" s="759" t="s">
        <v>567</v>
      </c>
      <c r="BM292" s="477" t="str">
        <f t="shared" si="240"/>
        <v>No</v>
      </c>
      <c r="BN292" s="477" t="str">
        <f>IF(OR(Inventory!$H48="",$BM292="No"),"-",Inventory!$H48)</f>
        <v>-</v>
      </c>
      <c r="BO292" s="477" t="str">
        <f>IFERROR(VLOOKUP(BN292,'Early Retirement'!$B$6:$C$33,2,FALSE),"-")</f>
        <v>-</v>
      </c>
      <c r="BP292" s="477" t="str">
        <f>IF(Inventory!$J48="Centrifugal","Yes","No")</f>
        <v>No</v>
      </c>
      <c r="BQ292" s="477">
        <f t="shared" si="241"/>
        <v>0</v>
      </c>
      <c r="BR292" s="477" t="str">
        <f t="shared" si="218"/>
        <v>-</v>
      </c>
      <c r="BS292" s="479">
        <f>IFERROR(INDEX('Early Retirement'!$C$4:$AC$33,$BO292,$BR292),0)</f>
        <v>0</v>
      </c>
      <c r="BT292" s="477">
        <f>IFERROR(HLOOKUP($BR292,'Early Retirement'!$D$4:$AC$5,2,FALSE),0)</f>
        <v>0</v>
      </c>
      <c r="BU292" s="761">
        <f>IFERROR(INDEX('Early Retirement'!$AE$4:$BE$33,$BO292,$BR292),0)</f>
        <v>0</v>
      </c>
      <c r="BV292" s="759">
        <f>IFERROR(HLOOKUP($BR292,'Early Retirement'!$AF$4:$BE$5,2,FALSE),0)</f>
        <v>0</v>
      </c>
      <c r="BW292" s="479">
        <f t="shared" si="242"/>
        <v>0</v>
      </c>
      <c r="BX292" s="761">
        <f t="shared" si="207"/>
        <v>0</v>
      </c>
      <c r="BY292" s="477" t="s">
        <v>46</v>
      </c>
      <c r="BZ292" s="598">
        <f>IFERROR(INDEX('Early Retirement'!$BG$4:$CG$33,$BO292,$BR292),0)</f>
        <v>0</v>
      </c>
      <c r="CA292" s="759">
        <f>IFERROR(HLOOKUP($BR292,'Early Retirement'!$BH$4:$CH$5,2,FALSE),0)</f>
        <v>0</v>
      </c>
      <c r="CB292" s="598">
        <f t="shared" si="208"/>
        <v>0</v>
      </c>
      <c r="CC292" s="759" t="s">
        <v>567</v>
      </c>
      <c r="CD292" s="477" t="str">
        <f t="shared" si="243"/>
        <v>Yes</v>
      </c>
      <c r="CE292" s="479">
        <f t="shared" si="210"/>
        <v>0</v>
      </c>
      <c r="CF292" s="761">
        <f t="shared" si="211"/>
        <v>0</v>
      </c>
      <c r="CG292" s="759" t="s">
        <v>46</v>
      </c>
      <c r="CH292" s="598">
        <f t="shared" si="217"/>
        <v>0</v>
      </c>
      <c r="CI292" s="759" t="s">
        <v>567</v>
      </c>
      <c r="CJ292" s="480">
        <f t="shared" si="244"/>
        <v>0</v>
      </c>
      <c r="CK292" s="583">
        <f t="shared" si="213"/>
        <v>0</v>
      </c>
      <c r="CL292" s="596" t="s">
        <v>46</v>
      </c>
      <c r="CM292" s="581">
        <f t="shared" si="214"/>
        <v>0</v>
      </c>
      <c r="CN292" s="762" t="s">
        <v>567</v>
      </c>
      <c r="CW292" s="630"/>
      <c r="CX292" s="630"/>
      <c r="CY292" s="630"/>
      <c r="CZ292" s="630"/>
      <c r="DA292" s="630"/>
    </row>
    <row r="293" spans="2:105" s="78" customFormat="1" ht="15" customHeight="1" x14ac:dyDescent="0.25">
      <c r="B293" s="77"/>
      <c r="E293" s="77"/>
      <c r="H293" s="77"/>
      <c r="Y293" s="90">
        <v>40</v>
      </c>
      <c r="Z293" s="472" t="str">
        <f>IF(Inventory!$C49="","",VLOOKUP(Inventory!$C49,$B$7:$C$9,2,FALSE))</f>
        <v/>
      </c>
      <c r="AA293" s="472" t="str">
        <f>IF($Z293="","",IF(AND($Z293="b",Inventory!$G49=""),"",IF(AND($Z293="b",Inventory!$G49&lt;&gt;""),VLOOKUP(Inventory!$G49,$E$3:$F$10,2,FALSE),IF(AND($Z293="a",Inventory!$Z49=""),"",IF(AND($Z293="a",Inventory!$Z49&lt;&gt;""),VLOOKUP(Inventory!$Z49,$E$3:$F$10,2,FALSE),IF(AND($Z293="c",Inventory!$Z49=""),"",IF(AND($Z293="c",Inventory!$Z49&lt;&gt;""),VLOOKUP(Inventory!$Z49,$E$3:$F$10,2,FALSE),"")))))))</f>
        <v/>
      </c>
      <c r="AB293" s="472" t="str">
        <f>IF($Z293="","a",IF(AND($Z293="b",Inventory!$J49=""),"a",IF(AND($Z293="b",Inventory!$J49&lt;&gt;""),VLOOKUP(Inventory!$J49,$H$4:$I$6,2,FALSE),IF(AND($Z293="a",Inventory!$AA49=""),"a",IF(AND($Z293="a",Inventory!$AA49&lt;&gt;""),VLOOKUP(Inventory!$AA49,$H$4:$I$6,2,FALSE),IF(AND($Z293="c",Inventory!$AA49=""),"a",IF(AND($Z293="c",Inventory!$AA49&lt;&gt;""),VLOOKUP(Inventory!$AA49,$H$4:$I$6,2,FALSE),"a")))))))</f>
        <v>a</v>
      </c>
      <c r="AC293" s="506" t="str">
        <f t="shared" si="219"/>
        <v>a</v>
      </c>
      <c r="AD293" s="473" t="str">
        <f>IF($Z293="","a",IF(AND($Z293="b",Inventory!$L49=""),"a",IF(AND($Z293="b",Inventory!$L49&lt;&gt;""),VLOOKUP(Inventory!$L49,$N$4:$O$5,2,FALSE),IF(AND($Z293="a",Inventory!$AC49=""),"a",IF(AND($Z293="a",Inventory!$AC49&lt;&gt;""),VLOOKUP(Inventory!$AC49,$N$4:$O$5,2,FALSE),IF(AND($Z293="c",Inventory!$AC49=""),"a",IF(AND($Z293="c",Inventory!$AC49&lt;&gt;""),VLOOKUP(Inventory!$AC49,$N$4:$O$5,2,FALSE),"a")))))))</f>
        <v>a</v>
      </c>
      <c r="AE293" s="474">
        <f>IF(OR(Inventory!C49="New Construction",Inventory!C49="Replace-on-Burnout"),Inventory!AF49,IF(Inventory!C49="Early Retirement",MIN(Inventory!AE49,Inventory!AF49),0))</f>
        <v>0</v>
      </c>
      <c r="AF293" s="475" t="str">
        <f t="shared" si="220"/>
        <v/>
      </c>
      <c r="AG293" s="475" t="str">
        <f t="shared" si="221"/>
        <v/>
      </c>
      <c r="AH293" s="475" t="str">
        <f t="shared" si="222"/>
        <v/>
      </c>
      <c r="AI293" s="475" t="str">
        <f t="shared" si="223"/>
        <v/>
      </c>
      <c r="AJ293" s="475" t="str">
        <f t="shared" si="224"/>
        <v/>
      </c>
      <c r="AK293" s="475" t="str">
        <f t="shared" si="225"/>
        <v/>
      </c>
      <c r="AL293" s="475" t="str">
        <f t="shared" si="226"/>
        <v/>
      </c>
      <c r="AM293" s="475" t="str">
        <f t="shared" si="227"/>
        <v/>
      </c>
      <c r="AN293" s="475" t="str">
        <f t="shared" si="228"/>
        <v/>
      </c>
      <c r="AO293" s="475" t="str">
        <f t="shared" si="229"/>
        <v/>
      </c>
      <c r="AP293" s="475" t="str">
        <f t="shared" si="230"/>
        <v/>
      </c>
      <c r="AQ293" s="475" t="str">
        <f t="shared" si="231"/>
        <v/>
      </c>
      <c r="AR293" s="475" t="str">
        <f t="shared" si="232"/>
        <v/>
      </c>
      <c r="AS293" s="475" t="str">
        <f t="shared" si="215"/>
        <v/>
      </c>
      <c r="AT293" s="475" t="str">
        <f t="shared" si="233"/>
        <v/>
      </c>
      <c r="AU293" s="475" t="str">
        <f t="shared" si="234"/>
        <v/>
      </c>
      <c r="AV293" s="475" t="str">
        <f t="shared" si="235"/>
        <v/>
      </c>
      <c r="AW293" s="473">
        <f t="shared" si="236"/>
        <v>0</v>
      </c>
      <c r="AX293" s="473" t="str">
        <f>IF(AND($Z293="b",OR($AA293="a",$AA293="b"),Inventory!$I49="",$AE293&lt;(65000/12000)),"x",IF(AND($Z293="b",OR($AA293="a",$AA293="b"),Inventory!$I49&lt;&gt;"",$AE293&lt;(65000/12000)),VLOOKUP(Inventory!$I300,$V$4:$W$5,2,FALSE),"x"))</f>
        <v>x</v>
      </c>
      <c r="AY293" s="476" t="str">
        <f t="shared" si="237"/>
        <v>aaa0</v>
      </c>
      <c r="AZ293" s="477" t="str">
        <f t="shared" si="197"/>
        <v>No</v>
      </c>
      <c r="BA293" s="759" t="str">
        <f t="shared" si="198"/>
        <v>No</v>
      </c>
      <c r="BB293" s="477">
        <f>IF($Z293="c",Inventory!$AB49,Inventory!$K49)</f>
        <v>0</v>
      </c>
      <c r="BC293" s="478">
        <f>IF(AND($Z293="b",Inventory!$N49="Btu/hr"),Inventory!$M49,IF(AND($Z293="b",Inventory!$N49="Tons"),Inventory!$M49*12000,IF(AND($Z293&lt;&gt;"b",Inventory!$AK49="Btu/hr"),Inventory!$AD49,IF(AND($Z293&lt;&gt;"b",Inventory!$AK49="Tons"),Inventory!$AD49*12000,0))))</f>
        <v>0</v>
      </c>
      <c r="BD293" s="478">
        <f t="shared" si="238"/>
        <v>0</v>
      </c>
      <c r="BE293" s="479">
        <f t="shared" si="216"/>
        <v>0</v>
      </c>
      <c r="BF293" s="477" t="s">
        <v>50</v>
      </c>
      <c r="BG293" s="479">
        <f t="shared" si="239"/>
        <v>0</v>
      </c>
      <c r="BH293" s="477" t="s">
        <v>46</v>
      </c>
      <c r="BI293" s="760">
        <f>IF(AND($Z293="b",Inventory!$P49="Btu/hr"),Inventory!$O49,IF(AND($Z293="b",Inventory!$P49="Tons"),Inventory!$O49*12000,IF(AND($Z293&lt;&gt;"b",Inventory!$AM49="Btu/hr"),Inventory!$AL49,IF(AND($Z293&lt;&gt;"b",Inventory!$AM49="Tons"),Inventory!$AL49*12000,0))))</f>
        <v>0</v>
      </c>
      <c r="BJ293" s="760">
        <f t="shared" si="201"/>
        <v>0</v>
      </c>
      <c r="BK293" s="598">
        <f t="shared" si="202"/>
        <v>0</v>
      </c>
      <c r="BL293" s="759" t="s">
        <v>567</v>
      </c>
      <c r="BM293" s="477" t="str">
        <f t="shared" si="240"/>
        <v>No</v>
      </c>
      <c r="BN293" s="477" t="str">
        <f>IF(OR(Inventory!$H49="",$BM293="No"),"-",Inventory!$H49)</f>
        <v>-</v>
      </c>
      <c r="BO293" s="477" t="str">
        <f>IFERROR(VLOOKUP(BN293,'Early Retirement'!$B$6:$C$33,2,FALSE),"-")</f>
        <v>-</v>
      </c>
      <c r="BP293" s="477" t="str">
        <f>IF(Inventory!$J49="Centrifugal","Yes","No")</f>
        <v>No</v>
      </c>
      <c r="BQ293" s="477">
        <f t="shared" si="241"/>
        <v>0</v>
      </c>
      <c r="BR293" s="477" t="str">
        <f t="shared" si="218"/>
        <v>-</v>
      </c>
      <c r="BS293" s="479">
        <f>IFERROR(INDEX('Early Retirement'!$C$4:$AC$33,$BO293,$BR293),0)</f>
        <v>0</v>
      </c>
      <c r="BT293" s="477">
        <f>IFERROR(HLOOKUP($BR293,'Early Retirement'!$D$4:$AC$5,2,FALSE),0)</f>
        <v>0</v>
      </c>
      <c r="BU293" s="761">
        <f>IFERROR(INDEX('Early Retirement'!$AE$4:$BE$33,$BO293,$BR293),0)</f>
        <v>0</v>
      </c>
      <c r="BV293" s="759">
        <f>IFERROR(HLOOKUP($BR293,'Early Retirement'!$AF$4:$BE$5,2,FALSE),0)</f>
        <v>0</v>
      </c>
      <c r="BW293" s="479">
        <f t="shared" si="242"/>
        <v>0</v>
      </c>
      <c r="BX293" s="761">
        <f t="shared" si="207"/>
        <v>0</v>
      </c>
      <c r="BY293" s="477" t="s">
        <v>46</v>
      </c>
      <c r="BZ293" s="598">
        <f>IFERROR(INDEX('Early Retirement'!$BG$4:$CG$33,$BO293,$BR293),0)</f>
        <v>0</v>
      </c>
      <c r="CA293" s="759">
        <f>IFERROR(HLOOKUP($BR293,'Early Retirement'!$BH$4:$CH$5,2,FALSE),0)</f>
        <v>0</v>
      </c>
      <c r="CB293" s="598">
        <f t="shared" si="208"/>
        <v>0</v>
      </c>
      <c r="CC293" s="759" t="s">
        <v>567</v>
      </c>
      <c r="CD293" s="477" t="str">
        <f t="shared" si="243"/>
        <v>Yes</v>
      </c>
      <c r="CE293" s="479">
        <f t="shared" si="210"/>
        <v>0</v>
      </c>
      <c r="CF293" s="761">
        <f t="shared" si="211"/>
        <v>0</v>
      </c>
      <c r="CG293" s="759" t="s">
        <v>46</v>
      </c>
      <c r="CH293" s="598">
        <f t="shared" si="217"/>
        <v>0</v>
      </c>
      <c r="CI293" s="759" t="s">
        <v>567</v>
      </c>
      <c r="CJ293" s="480">
        <f t="shared" si="244"/>
        <v>0</v>
      </c>
      <c r="CK293" s="583">
        <f t="shared" si="213"/>
        <v>0</v>
      </c>
      <c r="CL293" s="596" t="s">
        <v>46</v>
      </c>
      <c r="CM293" s="581">
        <f t="shared" si="214"/>
        <v>0</v>
      </c>
      <c r="CN293" s="762" t="s">
        <v>567</v>
      </c>
      <c r="CW293" s="630"/>
      <c r="CX293" s="630"/>
      <c r="CY293" s="630"/>
      <c r="CZ293" s="630"/>
      <c r="DA293" s="630"/>
    </row>
    <row r="294" spans="2:105" s="78" customFormat="1" ht="15" customHeight="1" x14ac:dyDescent="0.25">
      <c r="B294" s="77"/>
      <c r="E294" s="77"/>
      <c r="H294" s="77"/>
      <c r="Y294" s="90">
        <v>41</v>
      </c>
      <c r="Z294" s="472" t="str">
        <f>IF(Inventory!$C50="","",VLOOKUP(Inventory!$C50,$B$7:$C$9,2,FALSE))</f>
        <v/>
      </c>
      <c r="AA294" s="472" t="str">
        <f>IF($Z294="","",IF(AND($Z294="b",Inventory!$G50=""),"",IF(AND($Z294="b",Inventory!$G50&lt;&gt;""),VLOOKUP(Inventory!$G50,$E$3:$F$10,2,FALSE),IF(AND($Z294="a",Inventory!$Z50=""),"",IF(AND($Z294="a",Inventory!$Z50&lt;&gt;""),VLOOKUP(Inventory!$Z50,$E$3:$F$10,2,FALSE),IF(AND($Z294="c",Inventory!$Z50=""),"",IF(AND($Z294="c",Inventory!$Z50&lt;&gt;""),VLOOKUP(Inventory!$Z50,$E$3:$F$10,2,FALSE),"")))))))</f>
        <v/>
      </c>
      <c r="AB294" s="472" t="str">
        <f>IF($Z294="","a",IF(AND($Z294="b",Inventory!$J50=""),"a",IF(AND($Z294="b",Inventory!$J50&lt;&gt;""),VLOOKUP(Inventory!$J50,$H$4:$I$6,2,FALSE),IF(AND($Z294="a",Inventory!$AA50=""),"a",IF(AND($Z294="a",Inventory!$AA50&lt;&gt;""),VLOOKUP(Inventory!$AA50,$H$4:$I$6,2,FALSE),IF(AND($Z294="c",Inventory!$AA50=""),"a",IF(AND($Z294="c",Inventory!$AA50&lt;&gt;""),VLOOKUP(Inventory!$AA50,$H$4:$I$6,2,FALSE),"a")))))))</f>
        <v>a</v>
      </c>
      <c r="AC294" s="506" t="str">
        <f t="shared" si="219"/>
        <v>a</v>
      </c>
      <c r="AD294" s="473" t="str">
        <f>IF($Z294="","a",IF(AND($Z294="b",Inventory!$L50=""),"a",IF(AND($Z294="b",Inventory!$L50&lt;&gt;""),VLOOKUP(Inventory!$L50,$N$4:$O$5,2,FALSE),IF(AND($Z294="a",Inventory!$AC50=""),"a",IF(AND($Z294="a",Inventory!$AC50&lt;&gt;""),VLOOKUP(Inventory!$AC50,$N$4:$O$5,2,FALSE),IF(AND($Z294="c",Inventory!$AC50=""),"a",IF(AND($Z294="c",Inventory!$AC50&lt;&gt;""),VLOOKUP(Inventory!$AC50,$N$4:$O$5,2,FALSE),"a")))))))</f>
        <v>a</v>
      </c>
      <c r="AE294" s="474">
        <f>IF(OR(Inventory!C50="New Construction",Inventory!C50="Replace-on-Burnout"),Inventory!AF50,IF(Inventory!C50="Early Retirement",MIN(Inventory!AE50,Inventory!AF50),0))</f>
        <v>0</v>
      </c>
      <c r="AF294" s="475" t="str">
        <f t="shared" si="220"/>
        <v/>
      </c>
      <c r="AG294" s="475" t="str">
        <f t="shared" si="221"/>
        <v/>
      </c>
      <c r="AH294" s="475" t="str">
        <f t="shared" si="222"/>
        <v/>
      </c>
      <c r="AI294" s="475" t="str">
        <f t="shared" si="223"/>
        <v/>
      </c>
      <c r="AJ294" s="475" t="str">
        <f t="shared" si="224"/>
        <v/>
      </c>
      <c r="AK294" s="475" t="str">
        <f t="shared" si="225"/>
        <v/>
      </c>
      <c r="AL294" s="475" t="str">
        <f t="shared" si="226"/>
        <v/>
      </c>
      <c r="AM294" s="475" t="str">
        <f t="shared" si="227"/>
        <v/>
      </c>
      <c r="AN294" s="475" t="str">
        <f t="shared" si="228"/>
        <v/>
      </c>
      <c r="AO294" s="475" t="str">
        <f t="shared" si="229"/>
        <v/>
      </c>
      <c r="AP294" s="475" t="str">
        <f t="shared" si="230"/>
        <v/>
      </c>
      <c r="AQ294" s="475" t="str">
        <f t="shared" si="231"/>
        <v/>
      </c>
      <c r="AR294" s="475" t="str">
        <f t="shared" si="232"/>
        <v/>
      </c>
      <c r="AS294" s="475" t="str">
        <f t="shared" si="215"/>
        <v/>
      </c>
      <c r="AT294" s="475" t="str">
        <f t="shared" si="233"/>
        <v/>
      </c>
      <c r="AU294" s="475" t="str">
        <f t="shared" si="234"/>
        <v/>
      </c>
      <c r="AV294" s="475" t="str">
        <f t="shared" si="235"/>
        <v/>
      </c>
      <c r="AW294" s="473">
        <f t="shared" si="236"/>
        <v>0</v>
      </c>
      <c r="AX294" s="473" t="str">
        <f>IF(AND($Z294="b",OR($AA294="a",$AA294="b"),Inventory!$I50="",$AE294&lt;(65000/12000)),"x",IF(AND($Z294="b",OR($AA294="a",$AA294="b"),Inventory!$I50&lt;&gt;"",$AE294&lt;(65000/12000)),VLOOKUP(Inventory!$I301,$V$4:$W$5,2,FALSE),"x"))</f>
        <v>x</v>
      </c>
      <c r="AY294" s="476" t="str">
        <f t="shared" si="237"/>
        <v>aaa0</v>
      </c>
      <c r="AZ294" s="477" t="str">
        <f t="shared" si="197"/>
        <v>No</v>
      </c>
      <c r="BA294" s="759" t="str">
        <f t="shared" si="198"/>
        <v>No</v>
      </c>
      <c r="BB294" s="477">
        <f>IF($Z294="c",Inventory!$AB50,Inventory!$K50)</f>
        <v>0</v>
      </c>
      <c r="BC294" s="478">
        <f>IF(AND($Z294="b",Inventory!$N50="Btu/hr"),Inventory!$M50,IF(AND($Z294="b",Inventory!$N50="Tons"),Inventory!$M50*12000,IF(AND($Z294&lt;&gt;"b",Inventory!$AK50="Btu/hr"),Inventory!$AD50,IF(AND($Z294&lt;&gt;"b",Inventory!$AK50="Tons"),Inventory!$AD50*12000,0))))</f>
        <v>0</v>
      </c>
      <c r="BD294" s="478">
        <f t="shared" si="238"/>
        <v>0</v>
      </c>
      <c r="BE294" s="479">
        <f t="shared" si="216"/>
        <v>0</v>
      </c>
      <c r="BF294" s="477" t="s">
        <v>50</v>
      </c>
      <c r="BG294" s="479">
        <f t="shared" si="239"/>
        <v>0</v>
      </c>
      <c r="BH294" s="477" t="s">
        <v>46</v>
      </c>
      <c r="BI294" s="760">
        <f>IF(AND($Z294="b",Inventory!$P50="Btu/hr"),Inventory!$O50,IF(AND($Z294="b",Inventory!$P50="Tons"),Inventory!$O50*12000,IF(AND($Z294&lt;&gt;"b",Inventory!$AM50="Btu/hr"),Inventory!$AL50,IF(AND($Z294&lt;&gt;"b",Inventory!$AM50="Tons"),Inventory!$AL50*12000,0))))</f>
        <v>0</v>
      </c>
      <c r="BJ294" s="760">
        <f t="shared" si="201"/>
        <v>0</v>
      </c>
      <c r="BK294" s="598">
        <f t="shared" si="202"/>
        <v>0</v>
      </c>
      <c r="BL294" s="759" t="s">
        <v>567</v>
      </c>
      <c r="BM294" s="477" t="str">
        <f t="shared" si="240"/>
        <v>No</v>
      </c>
      <c r="BN294" s="477" t="str">
        <f>IF(OR(Inventory!$H50="",$BM294="No"),"-",Inventory!$H50)</f>
        <v>-</v>
      </c>
      <c r="BO294" s="477" t="str">
        <f>IFERROR(VLOOKUP(BN294,'Early Retirement'!$B$6:$C$33,2,FALSE),"-")</f>
        <v>-</v>
      </c>
      <c r="BP294" s="477" t="str">
        <f>IF(Inventory!$J50="Centrifugal","Yes","No")</f>
        <v>No</v>
      </c>
      <c r="BQ294" s="477">
        <f t="shared" si="241"/>
        <v>0</v>
      </c>
      <c r="BR294" s="477" t="str">
        <f t="shared" si="218"/>
        <v>-</v>
      </c>
      <c r="BS294" s="479">
        <f>IFERROR(INDEX('Early Retirement'!$C$4:$AC$33,$BO294,$BR294),0)</f>
        <v>0</v>
      </c>
      <c r="BT294" s="477">
        <f>IFERROR(HLOOKUP($BR294,'Early Retirement'!$D$4:$AC$5,2,FALSE),0)</f>
        <v>0</v>
      </c>
      <c r="BU294" s="761">
        <f>IFERROR(INDEX('Early Retirement'!$AE$4:$BE$33,$BO294,$BR294),0)</f>
        <v>0</v>
      </c>
      <c r="BV294" s="759">
        <f>IFERROR(HLOOKUP($BR294,'Early Retirement'!$AF$4:$BE$5,2,FALSE),0)</f>
        <v>0</v>
      </c>
      <c r="BW294" s="479">
        <f t="shared" si="242"/>
        <v>0</v>
      </c>
      <c r="BX294" s="761">
        <f t="shared" si="207"/>
        <v>0</v>
      </c>
      <c r="BY294" s="477" t="s">
        <v>46</v>
      </c>
      <c r="BZ294" s="598">
        <f>IFERROR(INDEX('Early Retirement'!$BG$4:$CG$33,$BO294,$BR294),0)</f>
        <v>0</v>
      </c>
      <c r="CA294" s="759">
        <f>IFERROR(HLOOKUP($BR294,'Early Retirement'!$BH$4:$CH$5,2,FALSE),0)</f>
        <v>0</v>
      </c>
      <c r="CB294" s="598">
        <f t="shared" si="208"/>
        <v>0</v>
      </c>
      <c r="CC294" s="759" t="s">
        <v>567</v>
      </c>
      <c r="CD294" s="477" t="str">
        <f t="shared" si="243"/>
        <v>Yes</v>
      </c>
      <c r="CE294" s="479">
        <f t="shared" si="210"/>
        <v>0</v>
      </c>
      <c r="CF294" s="761">
        <f t="shared" si="211"/>
        <v>0</v>
      </c>
      <c r="CG294" s="759" t="s">
        <v>46</v>
      </c>
      <c r="CH294" s="598">
        <f t="shared" si="217"/>
        <v>0</v>
      </c>
      <c r="CI294" s="759" t="s">
        <v>567</v>
      </c>
      <c r="CJ294" s="480">
        <f t="shared" si="244"/>
        <v>0</v>
      </c>
      <c r="CK294" s="583">
        <f t="shared" si="213"/>
        <v>0</v>
      </c>
      <c r="CL294" s="596" t="s">
        <v>46</v>
      </c>
      <c r="CM294" s="581">
        <f t="shared" si="214"/>
        <v>0</v>
      </c>
      <c r="CN294" s="762" t="s">
        <v>567</v>
      </c>
      <c r="CW294" s="630"/>
      <c r="CX294" s="630"/>
      <c r="CY294" s="630"/>
      <c r="CZ294" s="630"/>
      <c r="DA294" s="630"/>
    </row>
    <row r="295" spans="2:105" s="78" customFormat="1" ht="15" customHeight="1" x14ac:dyDescent="0.25">
      <c r="B295" s="77"/>
      <c r="E295" s="77"/>
      <c r="H295" s="77"/>
      <c r="Y295" s="90">
        <v>42</v>
      </c>
      <c r="Z295" s="472" t="str">
        <f>IF(Inventory!$C51="","",VLOOKUP(Inventory!$C51,$B$7:$C$9,2,FALSE))</f>
        <v/>
      </c>
      <c r="AA295" s="472" t="str">
        <f>IF($Z295="","",IF(AND($Z295="b",Inventory!$G51=""),"",IF(AND($Z295="b",Inventory!$G51&lt;&gt;""),VLOOKUP(Inventory!$G51,$E$3:$F$10,2,FALSE),IF(AND($Z295="a",Inventory!$Z51=""),"",IF(AND($Z295="a",Inventory!$Z51&lt;&gt;""),VLOOKUP(Inventory!$Z51,$E$3:$F$10,2,FALSE),IF(AND($Z295="c",Inventory!$Z51=""),"",IF(AND($Z295="c",Inventory!$Z51&lt;&gt;""),VLOOKUP(Inventory!$Z51,$E$3:$F$10,2,FALSE),"")))))))</f>
        <v/>
      </c>
      <c r="AB295" s="472" t="str">
        <f>IF($Z295="","a",IF(AND($Z295="b",Inventory!$J51=""),"a",IF(AND($Z295="b",Inventory!$J51&lt;&gt;""),VLOOKUP(Inventory!$J51,$H$4:$I$6,2,FALSE),IF(AND($Z295="a",Inventory!$AA51=""),"a",IF(AND($Z295="a",Inventory!$AA51&lt;&gt;""),VLOOKUP(Inventory!$AA51,$H$4:$I$6,2,FALSE),IF(AND($Z295="c",Inventory!$AA51=""),"a",IF(AND($Z295="c",Inventory!$AA51&lt;&gt;""),VLOOKUP(Inventory!$AA51,$H$4:$I$6,2,FALSE),"a")))))))</f>
        <v>a</v>
      </c>
      <c r="AC295" s="506" t="str">
        <f t="shared" si="219"/>
        <v>a</v>
      </c>
      <c r="AD295" s="473" t="str">
        <f>IF($Z295="","a",IF(AND($Z295="b",Inventory!$L51=""),"a",IF(AND($Z295="b",Inventory!$L51&lt;&gt;""),VLOOKUP(Inventory!$L51,$N$4:$O$5,2,FALSE),IF(AND($Z295="a",Inventory!$AC51=""),"a",IF(AND($Z295="a",Inventory!$AC51&lt;&gt;""),VLOOKUP(Inventory!$AC51,$N$4:$O$5,2,FALSE),IF(AND($Z295="c",Inventory!$AC51=""),"a",IF(AND($Z295="c",Inventory!$AC51&lt;&gt;""),VLOOKUP(Inventory!$AC51,$N$4:$O$5,2,FALSE),"a")))))))</f>
        <v>a</v>
      </c>
      <c r="AE295" s="474">
        <f>IF(OR(Inventory!C51="New Construction",Inventory!C51="Replace-on-Burnout"),Inventory!AF51,IF(Inventory!C51="Early Retirement",MIN(Inventory!AE51,Inventory!AF51),0))</f>
        <v>0</v>
      </c>
      <c r="AF295" s="475" t="str">
        <f t="shared" si="220"/>
        <v/>
      </c>
      <c r="AG295" s="475" t="str">
        <f t="shared" si="221"/>
        <v/>
      </c>
      <c r="AH295" s="475" t="str">
        <f t="shared" si="222"/>
        <v/>
      </c>
      <c r="AI295" s="475" t="str">
        <f t="shared" si="223"/>
        <v/>
      </c>
      <c r="AJ295" s="475" t="str">
        <f t="shared" si="224"/>
        <v/>
      </c>
      <c r="AK295" s="475" t="str">
        <f t="shared" si="225"/>
        <v/>
      </c>
      <c r="AL295" s="475" t="str">
        <f t="shared" si="226"/>
        <v/>
      </c>
      <c r="AM295" s="475" t="str">
        <f t="shared" si="227"/>
        <v/>
      </c>
      <c r="AN295" s="475" t="str">
        <f t="shared" si="228"/>
        <v/>
      </c>
      <c r="AO295" s="475" t="str">
        <f t="shared" si="229"/>
        <v/>
      </c>
      <c r="AP295" s="475" t="str">
        <f t="shared" si="230"/>
        <v/>
      </c>
      <c r="AQ295" s="475" t="str">
        <f t="shared" si="231"/>
        <v/>
      </c>
      <c r="AR295" s="475" t="str">
        <f t="shared" si="232"/>
        <v/>
      </c>
      <c r="AS295" s="475" t="str">
        <f t="shared" si="215"/>
        <v/>
      </c>
      <c r="AT295" s="475" t="str">
        <f t="shared" si="233"/>
        <v/>
      </c>
      <c r="AU295" s="475" t="str">
        <f t="shared" si="234"/>
        <v/>
      </c>
      <c r="AV295" s="475" t="str">
        <f t="shared" si="235"/>
        <v/>
      </c>
      <c r="AW295" s="473">
        <f t="shared" si="236"/>
        <v>0</v>
      </c>
      <c r="AX295" s="473" t="str">
        <f>IF(AND($Z295="b",OR($AA295="a",$AA295="b"),Inventory!$I51="",$AE295&lt;(65000/12000)),"x",IF(AND($Z295="b",OR($AA295="a",$AA295="b"),Inventory!$I51&lt;&gt;"",$AE295&lt;(65000/12000)),VLOOKUP(Inventory!$I302,$V$4:$W$5,2,FALSE),"x"))</f>
        <v>x</v>
      </c>
      <c r="AY295" s="476" t="str">
        <f t="shared" si="237"/>
        <v>aaa0</v>
      </c>
      <c r="AZ295" s="477" t="str">
        <f t="shared" si="197"/>
        <v>No</v>
      </c>
      <c r="BA295" s="759" t="str">
        <f t="shared" si="198"/>
        <v>No</v>
      </c>
      <c r="BB295" s="477">
        <f>IF($Z295="c",Inventory!$AB51,Inventory!$K51)</f>
        <v>0</v>
      </c>
      <c r="BC295" s="478">
        <f>IF(AND($Z295="b",Inventory!$N51="Btu/hr"),Inventory!$M51,IF(AND($Z295="b",Inventory!$N51="Tons"),Inventory!$M51*12000,IF(AND($Z295&lt;&gt;"b",Inventory!$AK51="Btu/hr"),Inventory!$AD51,IF(AND($Z295&lt;&gt;"b",Inventory!$AK51="Tons"),Inventory!$AD51*12000,0))))</f>
        <v>0</v>
      </c>
      <c r="BD295" s="478">
        <f t="shared" si="238"/>
        <v>0</v>
      </c>
      <c r="BE295" s="479">
        <f t="shared" si="216"/>
        <v>0</v>
      </c>
      <c r="BF295" s="477" t="s">
        <v>50</v>
      </c>
      <c r="BG295" s="479">
        <f t="shared" si="239"/>
        <v>0</v>
      </c>
      <c r="BH295" s="477" t="s">
        <v>46</v>
      </c>
      <c r="BI295" s="760">
        <f>IF(AND($Z295="b",Inventory!$P51="Btu/hr"),Inventory!$O51,IF(AND($Z295="b",Inventory!$P51="Tons"),Inventory!$O51*12000,IF(AND($Z295&lt;&gt;"b",Inventory!$AM51="Btu/hr"),Inventory!$AL51,IF(AND($Z295&lt;&gt;"b",Inventory!$AM51="Tons"),Inventory!$AL51*12000,0))))</f>
        <v>0</v>
      </c>
      <c r="BJ295" s="760">
        <f t="shared" si="201"/>
        <v>0</v>
      </c>
      <c r="BK295" s="598">
        <f t="shared" si="202"/>
        <v>0</v>
      </c>
      <c r="BL295" s="759" t="s">
        <v>567</v>
      </c>
      <c r="BM295" s="477" t="str">
        <f t="shared" si="240"/>
        <v>No</v>
      </c>
      <c r="BN295" s="477" t="str">
        <f>IF(OR(Inventory!$H51="",$BM295="No"),"-",Inventory!$H51)</f>
        <v>-</v>
      </c>
      <c r="BO295" s="477" t="str">
        <f>IFERROR(VLOOKUP(BN295,'Early Retirement'!$B$6:$C$33,2,FALSE),"-")</f>
        <v>-</v>
      </c>
      <c r="BP295" s="477" t="str">
        <f>IF(Inventory!$J51="Centrifugal","Yes","No")</f>
        <v>No</v>
      </c>
      <c r="BQ295" s="477">
        <f t="shared" si="241"/>
        <v>0</v>
      </c>
      <c r="BR295" s="477" t="str">
        <f t="shared" si="218"/>
        <v>-</v>
      </c>
      <c r="BS295" s="479">
        <f>IFERROR(INDEX('Early Retirement'!$C$4:$AC$33,$BO295,$BR295),0)</f>
        <v>0</v>
      </c>
      <c r="BT295" s="477">
        <f>IFERROR(HLOOKUP($BR295,'Early Retirement'!$D$4:$AC$5,2,FALSE),0)</f>
        <v>0</v>
      </c>
      <c r="BU295" s="761">
        <f>IFERROR(INDEX('Early Retirement'!$AE$4:$BE$33,$BO295,$BR295),0)</f>
        <v>0</v>
      </c>
      <c r="BV295" s="759">
        <f>IFERROR(HLOOKUP($BR295,'Early Retirement'!$AF$4:$BE$5,2,FALSE),0)</f>
        <v>0</v>
      </c>
      <c r="BW295" s="479">
        <f t="shared" si="242"/>
        <v>0</v>
      </c>
      <c r="BX295" s="761">
        <f t="shared" si="207"/>
        <v>0</v>
      </c>
      <c r="BY295" s="477" t="s">
        <v>46</v>
      </c>
      <c r="BZ295" s="598">
        <f>IFERROR(INDEX('Early Retirement'!$BG$4:$CG$33,$BO295,$BR295),0)</f>
        <v>0</v>
      </c>
      <c r="CA295" s="759">
        <f>IFERROR(HLOOKUP($BR295,'Early Retirement'!$BH$4:$CH$5,2,FALSE),0)</f>
        <v>0</v>
      </c>
      <c r="CB295" s="598">
        <f t="shared" si="208"/>
        <v>0</v>
      </c>
      <c r="CC295" s="759" t="s">
        <v>567</v>
      </c>
      <c r="CD295" s="477" t="str">
        <f t="shared" si="243"/>
        <v>Yes</v>
      </c>
      <c r="CE295" s="479">
        <f t="shared" si="210"/>
        <v>0</v>
      </c>
      <c r="CF295" s="761">
        <f t="shared" si="211"/>
        <v>0</v>
      </c>
      <c r="CG295" s="759" t="s">
        <v>46</v>
      </c>
      <c r="CH295" s="598">
        <f t="shared" si="217"/>
        <v>0</v>
      </c>
      <c r="CI295" s="759" t="s">
        <v>567</v>
      </c>
      <c r="CJ295" s="480">
        <f t="shared" si="244"/>
        <v>0</v>
      </c>
      <c r="CK295" s="583">
        <f t="shared" si="213"/>
        <v>0</v>
      </c>
      <c r="CL295" s="596" t="s">
        <v>46</v>
      </c>
      <c r="CM295" s="581">
        <f t="shared" si="214"/>
        <v>0</v>
      </c>
      <c r="CN295" s="762" t="s">
        <v>567</v>
      </c>
      <c r="CW295" s="630"/>
      <c r="CX295" s="630"/>
      <c r="CY295" s="630"/>
      <c r="CZ295" s="630"/>
      <c r="DA295" s="630"/>
    </row>
    <row r="296" spans="2:105" s="78" customFormat="1" ht="15" customHeight="1" x14ac:dyDescent="0.25">
      <c r="B296" s="77"/>
      <c r="E296" s="77"/>
      <c r="H296" s="77"/>
      <c r="Y296" s="90">
        <v>43</v>
      </c>
      <c r="Z296" s="472" t="str">
        <f>IF(Inventory!$C52="","",VLOOKUP(Inventory!$C52,$B$7:$C$9,2,FALSE))</f>
        <v/>
      </c>
      <c r="AA296" s="472" t="str">
        <f>IF($Z296="","",IF(AND($Z296="b",Inventory!$G52=""),"",IF(AND($Z296="b",Inventory!$G52&lt;&gt;""),VLOOKUP(Inventory!$G52,$E$3:$F$10,2,FALSE),IF(AND($Z296="a",Inventory!$Z52=""),"",IF(AND($Z296="a",Inventory!$Z52&lt;&gt;""),VLOOKUP(Inventory!$Z52,$E$3:$F$10,2,FALSE),IF(AND($Z296="c",Inventory!$Z52=""),"",IF(AND($Z296="c",Inventory!$Z52&lt;&gt;""),VLOOKUP(Inventory!$Z52,$E$3:$F$10,2,FALSE),"")))))))</f>
        <v/>
      </c>
      <c r="AB296" s="472" t="str">
        <f>IF($Z296="","a",IF(AND($Z296="b",Inventory!$J52=""),"a",IF(AND($Z296="b",Inventory!$J52&lt;&gt;""),VLOOKUP(Inventory!$J52,$H$4:$I$6,2,FALSE),IF(AND($Z296="a",Inventory!$AA52=""),"a",IF(AND($Z296="a",Inventory!$AA52&lt;&gt;""),VLOOKUP(Inventory!$AA52,$H$4:$I$6,2,FALSE),IF(AND($Z296="c",Inventory!$AA52=""),"a",IF(AND($Z296="c",Inventory!$AA52&lt;&gt;""),VLOOKUP(Inventory!$AA52,$H$4:$I$6,2,FALSE),"a")))))))</f>
        <v>a</v>
      </c>
      <c r="AC296" s="506" t="str">
        <f t="shared" si="219"/>
        <v>a</v>
      </c>
      <c r="AD296" s="473" t="str">
        <f>IF($Z296="","a",IF(AND($Z296="b",Inventory!$L52=""),"a",IF(AND($Z296="b",Inventory!$L52&lt;&gt;""),VLOOKUP(Inventory!$L52,$N$4:$O$5,2,FALSE),IF(AND($Z296="a",Inventory!$AC52=""),"a",IF(AND($Z296="a",Inventory!$AC52&lt;&gt;""),VLOOKUP(Inventory!$AC52,$N$4:$O$5,2,FALSE),IF(AND($Z296="c",Inventory!$AC52=""),"a",IF(AND($Z296="c",Inventory!$AC52&lt;&gt;""),VLOOKUP(Inventory!$AC52,$N$4:$O$5,2,FALSE),"a")))))))</f>
        <v>a</v>
      </c>
      <c r="AE296" s="474">
        <f>IF(OR(Inventory!C52="New Construction",Inventory!C52="Replace-on-Burnout"),Inventory!AF52,IF(Inventory!C52="Early Retirement",MIN(Inventory!AE52,Inventory!AF52),0))</f>
        <v>0</v>
      </c>
      <c r="AF296" s="475" t="str">
        <f t="shared" si="220"/>
        <v/>
      </c>
      <c r="AG296" s="475" t="str">
        <f t="shared" si="221"/>
        <v/>
      </c>
      <c r="AH296" s="475" t="str">
        <f t="shared" si="222"/>
        <v/>
      </c>
      <c r="AI296" s="475" t="str">
        <f t="shared" si="223"/>
        <v/>
      </c>
      <c r="AJ296" s="475" t="str">
        <f t="shared" si="224"/>
        <v/>
      </c>
      <c r="AK296" s="475" t="str">
        <f t="shared" si="225"/>
        <v/>
      </c>
      <c r="AL296" s="475" t="str">
        <f t="shared" si="226"/>
        <v/>
      </c>
      <c r="AM296" s="475" t="str">
        <f t="shared" si="227"/>
        <v/>
      </c>
      <c r="AN296" s="475" t="str">
        <f t="shared" si="228"/>
        <v/>
      </c>
      <c r="AO296" s="475" t="str">
        <f t="shared" si="229"/>
        <v/>
      </c>
      <c r="AP296" s="475" t="str">
        <f t="shared" si="230"/>
        <v/>
      </c>
      <c r="AQ296" s="475" t="str">
        <f t="shared" si="231"/>
        <v/>
      </c>
      <c r="AR296" s="475" t="str">
        <f t="shared" si="232"/>
        <v/>
      </c>
      <c r="AS296" s="475" t="str">
        <f t="shared" si="215"/>
        <v/>
      </c>
      <c r="AT296" s="475" t="str">
        <f t="shared" si="233"/>
        <v/>
      </c>
      <c r="AU296" s="475" t="str">
        <f t="shared" si="234"/>
        <v/>
      </c>
      <c r="AV296" s="475" t="str">
        <f t="shared" si="235"/>
        <v/>
      </c>
      <c r="AW296" s="473">
        <f t="shared" si="236"/>
        <v>0</v>
      </c>
      <c r="AX296" s="473" t="str">
        <f>IF(AND($Z296="b",OR($AA296="a",$AA296="b"),Inventory!$I52="",$AE296&lt;(65000/12000)),"x",IF(AND($Z296="b",OR($AA296="a",$AA296="b"),Inventory!$I52&lt;&gt;"",$AE296&lt;(65000/12000)),VLOOKUP(Inventory!$I303,$V$4:$W$5,2,FALSE),"x"))</f>
        <v>x</v>
      </c>
      <c r="AY296" s="476" t="str">
        <f t="shared" si="237"/>
        <v>aaa0</v>
      </c>
      <c r="AZ296" s="477" t="str">
        <f t="shared" si="197"/>
        <v>No</v>
      </c>
      <c r="BA296" s="759" t="str">
        <f t="shared" si="198"/>
        <v>No</v>
      </c>
      <c r="BB296" s="477">
        <f>IF($Z296="c",Inventory!$AB52,Inventory!$K52)</f>
        <v>0</v>
      </c>
      <c r="BC296" s="478">
        <f>IF(AND($Z296="b",Inventory!$N52="Btu/hr"),Inventory!$M52,IF(AND($Z296="b",Inventory!$N52="Tons"),Inventory!$M52*12000,IF(AND($Z296&lt;&gt;"b",Inventory!$AK52="Btu/hr"),Inventory!$AD52,IF(AND($Z296&lt;&gt;"b",Inventory!$AK52="Tons"),Inventory!$AD52*12000,0))))</f>
        <v>0</v>
      </c>
      <c r="BD296" s="478">
        <f t="shared" si="238"/>
        <v>0</v>
      </c>
      <c r="BE296" s="479">
        <f t="shared" si="216"/>
        <v>0</v>
      </c>
      <c r="BF296" s="477" t="s">
        <v>50</v>
      </c>
      <c r="BG296" s="479">
        <f t="shared" si="239"/>
        <v>0</v>
      </c>
      <c r="BH296" s="477" t="s">
        <v>46</v>
      </c>
      <c r="BI296" s="760">
        <f>IF(AND($Z296="b",Inventory!$P52="Btu/hr"),Inventory!$O52,IF(AND($Z296="b",Inventory!$P52="Tons"),Inventory!$O52*12000,IF(AND($Z296&lt;&gt;"b",Inventory!$AM52="Btu/hr"),Inventory!$AL52,IF(AND($Z296&lt;&gt;"b",Inventory!$AM52="Tons"),Inventory!$AL52*12000,0))))</f>
        <v>0</v>
      </c>
      <c r="BJ296" s="760">
        <f t="shared" si="201"/>
        <v>0</v>
      </c>
      <c r="BK296" s="598">
        <f t="shared" si="202"/>
        <v>0</v>
      </c>
      <c r="BL296" s="759" t="s">
        <v>567</v>
      </c>
      <c r="BM296" s="477" t="str">
        <f t="shared" si="240"/>
        <v>No</v>
      </c>
      <c r="BN296" s="477" t="str">
        <f>IF(OR(Inventory!$H52="",$BM296="No"),"-",Inventory!$H52)</f>
        <v>-</v>
      </c>
      <c r="BO296" s="477" t="str">
        <f>IFERROR(VLOOKUP(BN296,'Early Retirement'!$B$6:$C$33,2,FALSE),"-")</f>
        <v>-</v>
      </c>
      <c r="BP296" s="477" t="str">
        <f>IF(Inventory!$J52="Centrifugal","Yes","No")</f>
        <v>No</v>
      </c>
      <c r="BQ296" s="477">
        <f t="shared" si="241"/>
        <v>0</v>
      </c>
      <c r="BR296" s="477" t="str">
        <f t="shared" si="218"/>
        <v>-</v>
      </c>
      <c r="BS296" s="479">
        <f>IFERROR(INDEX('Early Retirement'!$C$4:$AC$33,$BO296,$BR296),0)</f>
        <v>0</v>
      </c>
      <c r="BT296" s="477">
        <f>IFERROR(HLOOKUP($BR296,'Early Retirement'!$D$4:$AC$5,2,FALSE),0)</f>
        <v>0</v>
      </c>
      <c r="BU296" s="761">
        <f>IFERROR(INDEX('Early Retirement'!$AE$4:$BE$33,$BO296,$BR296),0)</f>
        <v>0</v>
      </c>
      <c r="BV296" s="759">
        <f>IFERROR(HLOOKUP($BR296,'Early Retirement'!$AF$4:$BE$5,2,FALSE),0)</f>
        <v>0</v>
      </c>
      <c r="BW296" s="479">
        <f t="shared" si="242"/>
        <v>0</v>
      </c>
      <c r="BX296" s="761">
        <f t="shared" si="207"/>
        <v>0</v>
      </c>
      <c r="BY296" s="477" t="s">
        <v>46</v>
      </c>
      <c r="BZ296" s="598">
        <f>IFERROR(INDEX('Early Retirement'!$BG$4:$CG$33,$BO296,$BR296),0)</f>
        <v>0</v>
      </c>
      <c r="CA296" s="759">
        <f>IFERROR(HLOOKUP($BR296,'Early Retirement'!$BH$4:$CH$5,2,FALSE),0)</f>
        <v>0</v>
      </c>
      <c r="CB296" s="598">
        <f t="shared" si="208"/>
        <v>0</v>
      </c>
      <c r="CC296" s="759" t="s">
        <v>567</v>
      </c>
      <c r="CD296" s="477" t="str">
        <f t="shared" si="243"/>
        <v>Yes</v>
      </c>
      <c r="CE296" s="479">
        <f t="shared" si="210"/>
        <v>0</v>
      </c>
      <c r="CF296" s="761">
        <f t="shared" si="211"/>
        <v>0</v>
      </c>
      <c r="CG296" s="759" t="s">
        <v>46</v>
      </c>
      <c r="CH296" s="598">
        <f t="shared" si="217"/>
        <v>0</v>
      </c>
      <c r="CI296" s="759" t="s">
        <v>567</v>
      </c>
      <c r="CJ296" s="480">
        <f t="shared" si="244"/>
        <v>0</v>
      </c>
      <c r="CK296" s="583">
        <f t="shared" si="213"/>
        <v>0</v>
      </c>
      <c r="CL296" s="596" t="s">
        <v>46</v>
      </c>
      <c r="CM296" s="581">
        <f t="shared" si="214"/>
        <v>0</v>
      </c>
      <c r="CN296" s="762" t="s">
        <v>567</v>
      </c>
      <c r="CW296" s="630"/>
      <c r="CX296" s="630"/>
      <c r="CY296" s="630"/>
      <c r="CZ296" s="630"/>
      <c r="DA296" s="630"/>
    </row>
    <row r="297" spans="2:105" s="78" customFormat="1" ht="15" customHeight="1" x14ac:dyDescent="0.25">
      <c r="B297" s="77"/>
      <c r="E297" s="77"/>
      <c r="H297" s="77"/>
      <c r="Y297" s="90">
        <v>44</v>
      </c>
      <c r="Z297" s="472" t="str">
        <f>IF(Inventory!$C53="","",VLOOKUP(Inventory!$C53,$B$7:$C$9,2,FALSE))</f>
        <v/>
      </c>
      <c r="AA297" s="472" t="str">
        <f>IF($Z297="","",IF(AND($Z297="b",Inventory!$G53=""),"",IF(AND($Z297="b",Inventory!$G53&lt;&gt;""),VLOOKUP(Inventory!$G53,$E$3:$F$10,2,FALSE),IF(AND($Z297="a",Inventory!$Z53=""),"",IF(AND($Z297="a",Inventory!$Z53&lt;&gt;""),VLOOKUP(Inventory!$Z53,$E$3:$F$10,2,FALSE),IF(AND($Z297="c",Inventory!$Z53=""),"",IF(AND($Z297="c",Inventory!$Z53&lt;&gt;""),VLOOKUP(Inventory!$Z53,$E$3:$F$10,2,FALSE),"")))))))</f>
        <v/>
      </c>
      <c r="AB297" s="472" t="str">
        <f>IF($Z297="","a",IF(AND($Z297="b",Inventory!$J53=""),"a",IF(AND($Z297="b",Inventory!$J53&lt;&gt;""),VLOOKUP(Inventory!$J53,$H$4:$I$6,2,FALSE),IF(AND($Z297="a",Inventory!$AA53=""),"a",IF(AND($Z297="a",Inventory!$AA53&lt;&gt;""),VLOOKUP(Inventory!$AA53,$H$4:$I$6,2,FALSE),IF(AND($Z297="c",Inventory!$AA53=""),"a",IF(AND($Z297="c",Inventory!$AA53&lt;&gt;""),VLOOKUP(Inventory!$AA53,$H$4:$I$6,2,FALSE),"a")))))))</f>
        <v>a</v>
      </c>
      <c r="AC297" s="506" t="str">
        <f t="shared" si="219"/>
        <v>a</v>
      </c>
      <c r="AD297" s="473" t="str">
        <f>IF($Z297="","a",IF(AND($Z297="b",Inventory!$L53=""),"a",IF(AND($Z297="b",Inventory!$L53&lt;&gt;""),VLOOKUP(Inventory!$L53,$N$4:$O$5,2,FALSE),IF(AND($Z297="a",Inventory!$AC53=""),"a",IF(AND($Z297="a",Inventory!$AC53&lt;&gt;""),VLOOKUP(Inventory!$AC53,$N$4:$O$5,2,FALSE),IF(AND($Z297="c",Inventory!$AC53=""),"a",IF(AND($Z297="c",Inventory!$AC53&lt;&gt;""),VLOOKUP(Inventory!$AC53,$N$4:$O$5,2,FALSE),"a")))))))</f>
        <v>a</v>
      </c>
      <c r="AE297" s="474">
        <f>IF(OR(Inventory!C53="New Construction",Inventory!C53="Replace-on-Burnout"),Inventory!AF53,IF(Inventory!C53="Early Retirement",MIN(Inventory!AE53,Inventory!AF53),0))</f>
        <v>0</v>
      </c>
      <c r="AF297" s="475" t="str">
        <f t="shared" si="220"/>
        <v/>
      </c>
      <c r="AG297" s="475" t="str">
        <f t="shared" si="221"/>
        <v/>
      </c>
      <c r="AH297" s="475" t="str">
        <f t="shared" si="222"/>
        <v/>
      </c>
      <c r="AI297" s="475" t="str">
        <f t="shared" si="223"/>
        <v/>
      </c>
      <c r="AJ297" s="475" t="str">
        <f t="shared" si="224"/>
        <v/>
      </c>
      <c r="AK297" s="475" t="str">
        <f t="shared" si="225"/>
        <v/>
      </c>
      <c r="AL297" s="475" t="str">
        <f t="shared" si="226"/>
        <v/>
      </c>
      <c r="AM297" s="475" t="str">
        <f t="shared" si="227"/>
        <v/>
      </c>
      <c r="AN297" s="475" t="str">
        <f t="shared" si="228"/>
        <v/>
      </c>
      <c r="AO297" s="475" t="str">
        <f t="shared" si="229"/>
        <v/>
      </c>
      <c r="AP297" s="475" t="str">
        <f t="shared" si="230"/>
        <v/>
      </c>
      <c r="AQ297" s="475" t="str">
        <f t="shared" si="231"/>
        <v/>
      </c>
      <c r="AR297" s="475" t="str">
        <f t="shared" si="232"/>
        <v/>
      </c>
      <c r="AS297" s="475" t="str">
        <f t="shared" si="215"/>
        <v/>
      </c>
      <c r="AT297" s="475" t="str">
        <f t="shared" si="233"/>
        <v/>
      </c>
      <c r="AU297" s="475" t="str">
        <f t="shared" si="234"/>
        <v/>
      </c>
      <c r="AV297" s="475" t="str">
        <f t="shared" si="235"/>
        <v/>
      </c>
      <c r="AW297" s="473">
        <f t="shared" si="236"/>
        <v>0</v>
      </c>
      <c r="AX297" s="473" t="str">
        <f>IF(AND($Z297="b",OR($AA297="a",$AA297="b"),Inventory!$I53="",$AE297&lt;(65000/12000)),"x",IF(AND($Z297="b",OR($AA297="a",$AA297="b"),Inventory!$I53&lt;&gt;"",$AE297&lt;(65000/12000)),VLOOKUP(Inventory!$I304,$V$4:$W$5,2,FALSE),"x"))</f>
        <v>x</v>
      </c>
      <c r="AY297" s="476" t="str">
        <f t="shared" si="237"/>
        <v>aaa0</v>
      </c>
      <c r="AZ297" s="477" t="str">
        <f t="shared" si="197"/>
        <v>No</v>
      </c>
      <c r="BA297" s="759" t="str">
        <f t="shared" si="198"/>
        <v>No</v>
      </c>
      <c r="BB297" s="477">
        <f>IF($Z297="c",Inventory!$AB53,Inventory!$K53)</f>
        <v>0</v>
      </c>
      <c r="BC297" s="478">
        <f>IF(AND($Z297="b",Inventory!$N53="Btu/hr"),Inventory!$M53,IF(AND($Z297="b",Inventory!$N53="Tons"),Inventory!$M53*12000,IF(AND($Z297&lt;&gt;"b",Inventory!$AK53="Btu/hr"),Inventory!$AD53,IF(AND($Z297&lt;&gt;"b",Inventory!$AK53="Tons"),Inventory!$AD53*12000,0))))</f>
        <v>0</v>
      </c>
      <c r="BD297" s="478">
        <f t="shared" si="238"/>
        <v>0</v>
      </c>
      <c r="BE297" s="479">
        <f t="shared" si="216"/>
        <v>0</v>
      </c>
      <c r="BF297" s="477" t="s">
        <v>50</v>
      </c>
      <c r="BG297" s="479">
        <f t="shared" si="239"/>
        <v>0</v>
      </c>
      <c r="BH297" s="477" t="s">
        <v>46</v>
      </c>
      <c r="BI297" s="760">
        <f>IF(AND($Z297="b",Inventory!$P53="Btu/hr"),Inventory!$O53,IF(AND($Z297="b",Inventory!$P53="Tons"),Inventory!$O53*12000,IF(AND($Z297&lt;&gt;"b",Inventory!$AM53="Btu/hr"),Inventory!$AL53,IF(AND($Z297&lt;&gt;"b",Inventory!$AM53="Tons"),Inventory!$AL53*12000,0))))</f>
        <v>0</v>
      </c>
      <c r="BJ297" s="760">
        <f t="shared" si="201"/>
        <v>0</v>
      </c>
      <c r="BK297" s="598">
        <f t="shared" si="202"/>
        <v>0</v>
      </c>
      <c r="BL297" s="759" t="s">
        <v>567</v>
      </c>
      <c r="BM297" s="477" t="str">
        <f t="shared" si="240"/>
        <v>No</v>
      </c>
      <c r="BN297" s="477" t="str">
        <f>IF(OR(Inventory!$H53="",$BM297="No"),"-",Inventory!$H53)</f>
        <v>-</v>
      </c>
      <c r="BO297" s="477" t="str">
        <f>IFERROR(VLOOKUP(BN297,'Early Retirement'!$B$6:$C$33,2,FALSE),"-")</f>
        <v>-</v>
      </c>
      <c r="BP297" s="477" t="str">
        <f>IF(Inventory!$J53="Centrifugal","Yes","No")</f>
        <v>No</v>
      </c>
      <c r="BQ297" s="477">
        <f t="shared" si="241"/>
        <v>0</v>
      </c>
      <c r="BR297" s="477" t="str">
        <f t="shared" si="218"/>
        <v>-</v>
      </c>
      <c r="BS297" s="479">
        <f>IFERROR(INDEX('Early Retirement'!$C$4:$AC$33,$BO297,$BR297),0)</f>
        <v>0</v>
      </c>
      <c r="BT297" s="477">
        <f>IFERROR(HLOOKUP($BR297,'Early Retirement'!$D$4:$AC$5,2,FALSE),0)</f>
        <v>0</v>
      </c>
      <c r="BU297" s="761">
        <f>IFERROR(INDEX('Early Retirement'!$AE$4:$BE$33,$BO297,$BR297),0)</f>
        <v>0</v>
      </c>
      <c r="BV297" s="759">
        <f>IFERROR(HLOOKUP($BR297,'Early Retirement'!$AF$4:$BE$5,2,FALSE),0)</f>
        <v>0</v>
      </c>
      <c r="BW297" s="479">
        <f t="shared" si="242"/>
        <v>0</v>
      </c>
      <c r="BX297" s="761">
        <f t="shared" si="207"/>
        <v>0</v>
      </c>
      <c r="BY297" s="477" t="s">
        <v>46</v>
      </c>
      <c r="BZ297" s="598">
        <f>IFERROR(INDEX('Early Retirement'!$BG$4:$CG$33,$BO297,$BR297),0)</f>
        <v>0</v>
      </c>
      <c r="CA297" s="759">
        <f>IFERROR(HLOOKUP($BR297,'Early Retirement'!$BH$4:$CH$5,2,FALSE),0)</f>
        <v>0</v>
      </c>
      <c r="CB297" s="598">
        <f t="shared" si="208"/>
        <v>0</v>
      </c>
      <c r="CC297" s="759" t="s">
        <v>567</v>
      </c>
      <c r="CD297" s="477" t="str">
        <f t="shared" si="243"/>
        <v>Yes</v>
      </c>
      <c r="CE297" s="479">
        <f t="shared" si="210"/>
        <v>0</v>
      </c>
      <c r="CF297" s="761">
        <f t="shared" si="211"/>
        <v>0</v>
      </c>
      <c r="CG297" s="759" t="s">
        <v>46</v>
      </c>
      <c r="CH297" s="598">
        <f t="shared" si="217"/>
        <v>0</v>
      </c>
      <c r="CI297" s="759" t="s">
        <v>567</v>
      </c>
      <c r="CJ297" s="480">
        <f t="shared" si="244"/>
        <v>0</v>
      </c>
      <c r="CK297" s="583">
        <f t="shared" si="213"/>
        <v>0</v>
      </c>
      <c r="CL297" s="596" t="s">
        <v>46</v>
      </c>
      <c r="CM297" s="581">
        <f t="shared" si="214"/>
        <v>0</v>
      </c>
      <c r="CN297" s="762" t="s">
        <v>567</v>
      </c>
      <c r="CW297" s="630"/>
      <c r="CX297" s="630"/>
      <c r="CY297" s="630"/>
      <c r="CZ297" s="630"/>
      <c r="DA297" s="630"/>
    </row>
    <row r="298" spans="2:105" s="78" customFormat="1" ht="15" customHeight="1" x14ac:dyDescent="0.25">
      <c r="B298" s="77"/>
      <c r="E298" s="77"/>
      <c r="H298" s="77"/>
      <c r="Y298" s="90">
        <v>45</v>
      </c>
      <c r="Z298" s="472" t="str">
        <f>IF(Inventory!$C54="","",VLOOKUP(Inventory!$C54,$B$7:$C$9,2,FALSE))</f>
        <v/>
      </c>
      <c r="AA298" s="472" t="str">
        <f>IF($Z298="","",IF(AND($Z298="b",Inventory!$G54=""),"",IF(AND($Z298="b",Inventory!$G54&lt;&gt;""),VLOOKUP(Inventory!$G54,$E$3:$F$10,2,FALSE),IF(AND($Z298="a",Inventory!$Z54=""),"",IF(AND($Z298="a",Inventory!$Z54&lt;&gt;""),VLOOKUP(Inventory!$Z54,$E$3:$F$10,2,FALSE),IF(AND($Z298="c",Inventory!$Z54=""),"",IF(AND($Z298="c",Inventory!$Z54&lt;&gt;""),VLOOKUP(Inventory!$Z54,$E$3:$F$10,2,FALSE),"")))))))</f>
        <v/>
      </c>
      <c r="AB298" s="472" t="str">
        <f>IF($Z298="","a",IF(AND($Z298="b",Inventory!$J54=""),"a",IF(AND($Z298="b",Inventory!$J54&lt;&gt;""),VLOOKUP(Inventory!$J54,$H$4:$I$6,2,FALSE),IF(AND($Z298="a",Inventory!$AA54=""),"a",IF(AND($Z298="a",Inventory!$AA54&lt;&gt;""),VLOOKUP(Inventory!$AA54,$H$4:$I$6,2,FALSE),IF(AND($Z298="c",Inventory!$AA54=""),"a",IF(AND($Z298="c",Inventory!$AA54&lt;&gt;""),VLOOKUP(Inventory!$AA54,$H$4:$I$6,2,FALSE),"a")))))))</f>
        <v>a</v>
      </c>
      <c r="AC298" s="506" t="str">
        <f t="shared" si="219"/>
        <v>a</v>
      </c>
      <c r="AD298" s="473" t="str">
        <f>IF($Z298="","a",IF(AND($Z298="b",Inventory!$L54=""),"a",IF(AND($Z298="b",Inventory!$L54&lt;&gt;""),VLOOKUP(Inventory!$L54,$N$4:$O$5,2,FALSE),IF(AND($Z298="a",Inventory!$AC54=""),"a",IF(AND($Z298="a",Inventory!$AC54&lt;&gt;""),VLOOKUP(Inventory!$AC54,$N$4:$O$5,2,FALSE),IF(AND($Z298="c",Inventory!$AC54=""),"a",IF(AND($Z298="c",Inventory!$AC54&lt;&gt;""),VLOOKUP(Inventory!$AC54,$N$4:$O$5,2,FALSE),"a")))))))</f>
        <v>a</v>
      </c>
      <c r="AE298" s="474">
        <f>IF(OR(Inventory!C54="New Construction",Inventory!C54="Replace-on-Burnout"),Inventory!AF54,IF(Inventory!C54="Early Retirement",MIN(Inventory!AE54,Inventory!AF54),0))</f>
        <v>0</v>
      </c>
      <c r="AF298" s="475" t="str">
        <f t="shared" si="220"/>
        <v/>
      </c>
      <c r="AG298" s="475" t="str">
        <f t="shared" si="221"/>
        <v/>
      </c>
      <c r="AH298" s="475" t="str">
        <f t="shared" si="222"/>
        <v/>
      </c>
      <c r="AI298" s="475" t="str">
        <f t="shared" si="223"/>
        <v/>
      </c>
      <c r="AJ298" s="475" t="str">
        <f t="shared" si="224"/>
        <v/>
      </c>
      <c r="AK298" s="475" t="str">
        <f t="shared" si="225"/>
        <v/>
      </c>
      <c r="AL298" s="475" t="str">
        <f t="shared" si="226"/>
        <v/>
      </c>
      <c r="AM298" s="475" t="str">
        <f t="shared" si="227"/>
        <v/>
      </c>
      <c r="AN298" s="475" t="str">
        <f t="shared" si="228"/>
        <v/>
      </c>
      <c r="AO298" s="475" t="str">
        <f t="shared" si="229"/>
        <v/>
      </c>
      <c r="AP298" s="475" t="str">
        <f t="shared" si="230"/>
        <v/>
      </c>
      <c r="AQ298" s="475" t="str">
        <f t="shared" si="231"/>
        <v/>
      </c>
      <c r="AR298" s="475" t="str">
        <f t="shared" si="232"/>
        <v/>
      </c>
      <c r="AS298" s="475" t="str">
        <f t="shared" si="215"/>
        <v/>
      </c>
      <c r="AT298" s="475" t="str">
        <f t="shared" si="233"/>
        <v/>
      </c>
      <c r="AU298" s="475" t="str">
        <f t="shared" si="234"/>
        <v/>
      </c>
      <c r="AV298" s="475" t="str">
        <f t="shared" si="235"/>
        <v/>
      </c>
      <c r="AW298" s="473">
        <f t="shared" si="236"/>
        <v>0</v>
      </c>
      <c r="AX298" s="473" t="str">
        <f>IF(AND($Z298="b",OR($AA298="a",$AA298="b"),Inventory!$I54="",$AE298&lt;(65000/12000)),"x",IF(AND($Z298="b",OR($AA298="a",$AA298="b"),Inventory!$I54&lt;&gt;"",$AE298&lt;(65000/12000)),VLOOKUP(Inventory!$I305,$V$4:$W$5,2,FALSE),"x"))</f>
        <v>x</v>
      </c>
      <c r="AY298" s="476" t="str">
        <f t="shared" si="237"/>
        <v>aaa0</v>
      </c>
      <c r="AZ298" s="477" t="str">
        <f t="shared" si="197"/>
        <v>No</v>
      </c>
      <c r="BA298" s="759" t="str">
        <f t="shared" si="198"/>
        <v>No</v>
      </c>
      <c r="BB298" s="477">
        <f>IF($Z298="c",Inventory!$AB54,Inventory!$K54)</f>
        <v>0</v>
      </c>
      <c r="BC298" s="478">
        <f>IF(AND($Z298="b",Inventory!$N54="Btu/hr"),Inventory!$M54,IF(AND($Z298="b",Inventory!$N54="Tons"),Inventory!$M54*12000,IF(AND($Z298&lt;&gt;"b",Inventory!$AK54="Btu/hr"),Inventory!$AD54,IF(AND($Z298&lt;&gt;"b",Inventory!$AK54="Tons"),Inventory!$AD54*12000,0))))</f>
        <v>0</v>
      </c>
      <c r="BD298" s="478">
        <f t="shared" si="238"/>
        <v>0</v>
      </c>
      <c r="BE298" s="479">
        <f t="shared" si="216"/>
        <v>0</v>
      </c>
      <c r="BF298" s="477" t="s">
        <v>50</v>
      </c>
      <c r="BG298" s="479">
        <f t="shared" si="239"/>
        <v>0</v>
      </c>
      <c r="BH298" s="477" t="s">
        <v>46</v>
      </c>
      <c r="BI298" s="760">
        <f>IF(AND($Z298="b",Inventory!$P54="Btu/hr"),Inventory!$O54,IF(AND($Z298="b",Inventory!$P54="Tons"),Inventory!$O54*12000,IF(AND($Z298&lt;&gt;"b",Inventory!$AM54="Btu/hr"),Inventory!$AL54,IF(AND($Z298&lt;&gt;"b",Inventory!$AM54="Tons"),Inventory!$AL54*12000,0))))</f>
        <v>0</v>
      </c>
      <c r="BJ298" s="760">
        <f t="shared" si="201"/>
        <v>0</v>
      </c>
      <c r="BK298" s="598">
        <f t="shared" si="202"/>
        <v>0</v>
      </c>
      <c r="BL298" s="759" t="s">
        <v>567</v>
      </c>
      <c r="BM298" s="477" t="str">
        <f t="shared" si="240"/>
        <v>No</v>
      </c>
      <c r="BN298" s="477" t="str">
        <f>IF(OR(Inventory!$H54="",$BM298="No"),"-",Inventory!$H54)</f>
        <v>-</v>
      </c>
      <c r="BO298" s="477" t="str">
        <f>IFERROR(VLOOKUP(BN298,'Early Retirement'!$B$6:$C$33,2,FALSE),"-")</f>
        <v>-</v>
      </c>
      <c r="BP298" s="477" t="str">
        <f>IF(Inventory!$J54="Centrifugal","Yes","No")</f>
        <v>No</v>
      </c>
      <c r="BQ298" s="477">
        <f t="shared" si="241"/>
        <v>0</v>
      </c>
      <c r="BR298" s="477" t="str">
        <f t="shared" si="218"/>
        <v>-</v>
      </c>
      <c r="BS298" s="479">
        <f>IFERROR(INDEX('Early Retirement'!$C$4:$AC$33,$BO298,$BR298),0)</f>
        <v>0</v>
      </c>
      <c r="BT298" s="477">
        <f>IFERROR(HLOOKUP($BR298,'Early Retirement'!$D$4:$AC$5,2,FALSE),0)</f>
        <v>0</v>
      </c>
      <c r="BU298" s="761">
        <f>IFERROR(INDEX('Early Retirement'!$AE$4:$BE$33,$BO298,$BR298),0)</f>
        <v>0</v>
      </c>
      <c r="BV298" s="759">
        <f>IFERROR(HLOOKUP($BR298,'Early Retirement'!$AF$4:$BE$5,2,FALSE),0)</f>
        <v>0</v>
      </c>
      <c r="BW298" s="479">
        <f t="shared" si="242"/>
        <v>0</v>
      </c>
      <c r="BX298" s="761">
        <f t="shared" si="207"/>
        <v>0</v>
      </c>
      <c r="BY298" s="477" t="s">
        <v>46</v>
      </c>
      <c r="BZ298" s="598">
        <f>IFERROR(INDEX('Early Retirement'!$BG$4:$CG$33,$BO298,$BR298),0)</f>
        <v>0</v>
      </c>
      <c r="CA298" s="759">
        <f>IFERROR(HLOOKUP($BR298,'Early Retirement'!$BH$4:$CH$5,2,FALSE),0)</f>
        <v>0</v>
      </c>
      <c r="CB298" s="598">
        <f t="shared" si="208"/>
        <v>0</v>
      </c>
      <c r="CC298" s="759" t="s">
        <v>567</v>
      </c>
      <c r="CD298" s="477" t="str">
        <f t="shared" si="243"/>
        <v>Yes</v>
      </c>
      <c r="CE298" s="479">
        <f t="shared" si="210"/>
        <v>0</v>
      </c>
      <c r="CF298" s="761">
        <f t="shared" si="211"/>
        <v>0</v>
      </c>
      <c r="CG298" s="759" t="s">
        <v>46</v>
      </c>
      <c r="CH298" s="598">
        <f t="shared" si="217"/>
        <v>0</v>
      </c>
      <c r="CI298" s="759" t="s">
        <v>567</v>
      </c>
      <c r="CJ298" s="480">
        <f t="shared" si="244"/>
        <v>0</v>
      </c>
      <c r="CK298" s="583">
        <f t="shared" si="213"/>
        <v>0</v>
      </c>
      <c r="CL298" s="596" t="s">
        <v>46</v>
      </c>
      <c r="CM298" s="581">
        <f t="shared" si="214"/>
        <v>0</v>
      </c>
      <c r="CN298" s="762" t="s">
        <v>567</v>
      </c>
      <c r="CW298" s="630"/>
      <c r="CX298" s="630"/>
      <c r="CY298" s="630"/>
      <c r="CZ298" s="630"/>
      <c r="DA298" s="630"/>
    </row>
    <row r="299" spans="2:105" s="78" customFormat="1" ht="15" customHeight="1" x14ac:dyDescent="0.25">
      <c r="B299" s="77"/>
      <c r="E299" s="77"/>
      <c r="H299" s="77"/>
      <c r="Y299" s="90">
        <v>46</v>
      </c>
      <c r="Z299" s="472" t="str">
        <f>IF(Inventory!$C55="","",VLOOKUP(Inventory!$C55,$B$7:$C$9,2,FALSE))</f>
        <v/>
      </c>
      <c r="AA299" s="472" t="str">
        <f>IF($Z299="","",IF(AND($Z299="b",Inventory!$G55=""),"",IF(AND($Z299="b",Inventory!$G55&lt;&gt;""),VLOOKUP(Inventory!$G55,$E$3:$F$10,2,FALSE),IF(AND($Z299="a",Inventory!$Z55=""),"",IF(AND($Z299="a",Inventory!$Z55&lt;&gt;""),VLOOKUP(Inventory!$Z55,$E$3:$F$10,2,FALSE),IF(AND($Z299="c",Inventory!$Z55=""),"",IF(AND($Z299="c",Inventory!$Z55&lt;&gt;""),VLOOKUP(Inventory!$Z55,$E$3:$F$10,2,FALSE),"")))))))</f>
        <v/>
      </c>
      <c r="AB299" s="472" t="str">
        <f>IF($Z299="","a",IF(AND($Z299="b",Inventory!$J55=""),"a",IF(AND($Z299="b",Inventory!$J55&lt;&gt;""),VLOOKUP(Inventory!$J55,$H$4:$I$6,2,FALSE),IF(AND($Z299="a",Inventory!$AA55=""),"a",IF(AND($Z299="a",Inventory!$AA55&lt;&gt;""),VLOOKUP(Inventory!$AA55,$H$4:$I$6,2,FALSE),IF(AND($Z299="c",Inventory!$AA55=""),"a",IF(AND($Z299="c",Inventory!$AA55&lt;&gt;""),VLOOKUP(Inventory!$AA55,$H$4:$I$6,2,FALSE),"a")))))))</f>
        <v>a</v>
      </c>
      <c r="AC299" s="506" t="str">
        <f t="shared" si="219"/>
        <v>a</v>
      </c>
      <c r="AD299" s="473" t="str">
        <f>IF($Z299="","a",IF(AND($Z299="b",Inventory!$L55=""),"a",IF(AND($Z299="b",Inventory!$L55&lt;&gt;""),VLOOKUP(Inventory!$L55,$N$4:$O$5,2,FALSE),IF(AND($Z299="a",Inventory!$AC55=""),"a",IF(AND($Z299="a",Inventory!$AC55&lt;&gt;""),VLOOKUP(Inventory!$AC55,$N$4:$O$5,2,FALSE),IF(AND($Z299="c",Inventory!$AC55=""),"a",IF(AND($Z299="c",Inventory!$AC55&lt;&gt;""),VLOOKUP(Inventory!$AC55,$N$4:$O$5,2,FALSE),"a")))))))</f>
        <v>a</v>
      </c>
      <c r="AE299" s="474">
        <f>IF(OR(Inventory!C55="New Construction",Inventory!C55="Replace-on-Burnout"),Inventory!AF55,IF(Inventory!C55="Early Retirement",MIN(Inventory!AE55,Inventory!AF55),0))</f>
        <v>0</v>
      </c>
      <c r="AF299" s="475" t="str">
        <f t="shared" si="220"/>
        <v/>
      </c>
      <c r="AG299" s="475" t="str">
        <f t="shared" si="221"/>
        <v/>
      </c>
      <c r="AH299" s="475" t="str">
        <f t="shared" si="222"/>
        <v/>
      </c>
      <c r="AI299" s="475" t="str">
        <f t="shared" si="223"/>
        <v/>
      </c>
      <c r="AJ299" s="475" t="str">
        <f t="shared" si="224"/>
        <v/>
      </c>
      <c r="AK299" s="475" t="str">
        <f t="shared" si="225"/>
        <v/>
      </c>
      <c r="AL299" s="475" t="str">
        <f t="shared" si="226"/>
        <v/>
      </c>
      <c r="AM299" s="475" t="str">
        <f t="shared" si="227"/>
        <v/>
      </c>
      <c r="AN299" s="475" t="str">
        <f t="shared" si="228"/>
        <v/>
      </c>
      <c r="AO299" s="475" t="str">
        <f t="shared" si="229"/>
        <v/>
      </c>
      <c r="AP299" s="475" t="str">
        <f t="shared" si="230"/>
        <v/>
      </c>
      <c r="AQ299" s="475" t="str">
        <f t="shared" si="231"/>
        <v/>
      </c>
      <c r="AR299" s="475" t="str">
        <f t="shared" si="232"/>
        <v/>
      </c>
      <c r="AS299" s="475" t="str">
        <f t="shared" si="215"/>
        <v/>
      </c>
      <c r="AT299" s="475" t="str">
        <f t="shared" si="233"/>
        <v/>
      </c>
      <c r="AU299" s="475" t="str">
        <f t="shared" si="234"/>
        <v/>
      </c>
      <c r="AV299" s="475" t="str">
        <f t="shared" si="235"/>
        <v/>
      </c>
      <c r="AW299" s="473">
        <f t="shared" si="236"/>
        <v>0</v>
      </c>
      <c r="AX299" s="473" t="str">
        <f>IF(AND($Z299="b",OR($AA299="a",$AA299="b"),Inventory!$I55="",$AE299&lt;(65000/12000)),"x",IF(AND($Z299="b",OR($AA299="a",$AA299="b"),Inventory!$I55&lt;&gt;"",$AE299&lt;(65000/12000)),VLOOKUP(Inventory!$I306,$V$4:$W$5,2,FALSE),"x"))</f>
        <v>x</v>
      </c>
      <c r="AY299" s="476" t="str">
        <f t="shared" si="237"/>
        <v>aaa0</v>
      </c>
      <c r="AZ299" s="477" t="str">
        <f t="shared" si="197"/>
        <v>No</v>
      </c>
      <c r="BA299" s="759" t="str">
        <f t="shared" si="198"/>
        <v>No</v>
      </c>
      <c r="BB299" s="477">
        <f>IF($Z299="c",Inventory!$AB55,Inventory!$K55)</f>
        <v>0</v>
      </c>
      <c r="BC299" s="478">
        <f>IF(AND($Z299="b",Inventory!$N55="Btu/hr"),Inventory!$M55,IF(AND($Z299="b",Inventory!$N55="Tons"),Inventory!$M55*12000,IF(AND($Z299&lt;&gt;"b",Inventory!$AK55="Btu/hr"),Inventory!$AD55,IF(AND($Z299&lt;&gt;"b",Inventory!$AK55="Tons"),Inventory!$AD55*12000,0))))</f>
        <v>0</v>
      </c>
      <c r="BD299" s="478">
        <f t="shared" si="238"/>
        <v>0</v>
      </c>
      <c r="BE299" s="479">
        <f t="shared" si="216"/>
        <v>0</v>
      </c>
      <c r="BF299" s="477" t="s">
        <v>50</v>
      </c>
      <c r="BG299" s="479">
        <f t="shared" si="239"/>
        <v>0</v>
      </c>
      <c r="BH299" s="477" t="s">
        <v>46</v>
      </c>
      <c r="BI299" s="760">
        <f>IF(AND($Z299="b",Inventory!$P55="Btu/hr"),Inventory!$O55,IF(AND($Z299="b",Inventory!$P55="Tons"),Inventory!$O55*12000,IF(AND($Z299&lt;&gt;"b",Inventory!$AM55="Btu/hr"),Inventory!$AL55,IF(AND($Z299&lt;&gt;"b",Inventory!$AM55="Tons"),Inventory!$AL55*12000,0))))</f>
        <v>0</v>
      </c>
      <c r="BJ299" s="760">
        <f t="shared" si="201"/>
        <v>0</v>
      </c>
      <c r="BK299" s="598">
        <f t="shared" si="202"/>
        <v>0</v>
      </c>
      <c r="BL299" s="759" t="s">
        <v>567</v>
      </c>
      <c r="BM299" s="477" t="str">
        <f t="shared" si="240"/>
        <v>No</v>
      </c>
      <c r="BN299" s="477" t="str">
        <f>IF(OR(Inventory!$H55="",$BM299="No"),"-",Inventory!$H55)</f>
        <v>-</v>
      </c>
      <c r="BO299" s="477" t="str">
        <f>IFERROR(VLOOKUP(BN299,'Early Retirement'!$B$6:$C$33,2,FALSE),"-")</f>
        <v>-</v>
      </c>
      <c r="BP299" s="477" t="str">
        <f>IF(Inventory!$J55="Centrifugal","Yes","No")</f>
        <v>No</v>
      </c>
      <c r="BQ299" s="477">
        <f t="shared" si="241"/>
        <v>0</v>
      </c>
      <c r="BR299" s="477" t="str">
        <f t="shared" si="218"/>
        <v>-</v>
      </c>
      <c r="BS299" s="479">
        <f>IFERROR(INDEX('Early Retirement'!$C$4:$AC$33,$BO299,$BR299),0)</f>
        <v>0</v>
      </c>
      <c r="BT299" s="477">
        <f>IFERROR(HLOOKUP($BR299,'Early Retirement'!$D$4:$AC$5,2,FALSE),0)</f>
        <v>0</v>
      </c>
      <c r="BU299" s="761">
        <f>IFERROR(INDEX('Early Retirement'!$AE$4:$BE$33,$BO299,$BR299),0)</f>
        <v>0</v>
      </c>
      <c r="BV299" s="759">
        <f>IFERROR(HLOOKUP($BR299,'Early Retirement'!$AF$4:$BE$5,2,FALSE),0)</f>
        <v>0</v>
      </c>
      <c r="BW299" s="479">
        <f t="shared" si="242"/>
        <v>0</v>
      </c>
      <c r="BX299" s="761">
        <f t="shared" si="207"/>
        <v>0</v>
      </c>
      <c r="BY299" s="477" t="s">
        <v>46</v>
      </c>
      <c r="BZ299" s="598">
        <f>IFERROR(INDEX('Early Retirement'!$BG$4:$CG$33,$BO299,$BR299),0)</f>
        <v>0</v>
      </c>
      <c r="CA299" s="759">
        <f>IFERROR(HLOOKUP($BR299,'Early Retirement'!$BH$4:$CH$5,2,FALSE),0)</f>
        <v>0</v>
      </c>
      <c r="CB299" s="598">
        <f t="shared" si="208"/>
        <v>0</v>
      </c>
      <c r="CC299" s="759" t="s">
        <v>567</v>
      </c>
      <c r="CD299" s="477" t="str">
        <f t="shared" si="243"/>
        <v>Yes</v>
      </c>
      <c r="CE299" s="479">
        <f t="shared" si="210"/>
        <v>0</v>
      </c>
      <c r="CF299" s="761">
        <f t="shared" si="211"/>
        <v>0</v>
      </c>
      <c r="CG299" s="759" t="s">
        <v>46</v>
      </c>
      <c r="CH299" s="598">
        <f t="shared" si="217"/>
        <v>0</v>
      </c>
      <c r="CI299" s="759" t="s">
        <v>567</v>
      </c>
      <c r="CJ299" s="480">
        <f t="shared" si="244"/>
        <v>0</v>
      </c>
      <c r="CK299" s="583">
        <f t="shared" si="213"/>
        <v>0</v>
      </c>
      <c r="CL299" s="596" t="s">
        <v>46</v>
      </c>
      <c r="CM299" s="581">
        <f t="shared" si="214"/>
        <v>0</v>
      </c>
      <c r="CN299" s="762" t="s">
        <v>567</v>
      </c>
      <c r="CW299" s="630"/>
      <c r="CX299" s="630"/>
      <c r="CY299" s="630"/>
      <c r="CZ299" s="630"/>
      <c r="DA299" s="630"/>
    </row>
    <row r="300" spans="2:105" s="78" customFormat="1" ht="15" customHeight="1" x14ac:dyDescent="0.25">
      <c r="B300" s="77"/>
      <c r="E300" s="77"/>
      <c r="H300" s="77"/>
      <c r="Y300" s="90">
        <v>47</v>
      </c>
      <c r="Z300" s="472" t="str">
        <f>IF(Inventory!$C56="","",VLOOKUP(Inventory!$C56,$B$7:$C$9,2,FALSE))</f>
        <v/>
      </c>
      <c r="AA300" s="472" t="str">
        <f>IF($Z300="","",IF(AND($Z300="b",Inventory!$G56=""),"",IF(AND($Z300="b",Inventory!$G56&lt;&gt;""),VLOOKUP(Inventory!$G56,$E$3:$F$10,2,FALSE),IF(AND($Z300="a",Inventory!$Z56=""),"",IF(AND($Z300="a",Inventory!$Z56&lt;&gt;""),VLOOKUP(Inventory!$Z56,$E$3:$F$10,2,FALSE),IF(AND($Z300="c",Inventory!$Z56=""),"",IF(AND($Z300="c",Inventory!$Z56&lt;&gt;""),VLOOKUP(Inventory!$Z56,$E$3:$F$10,2,FALSE),"")))))))</f>
        <v/>
      </c>
      <c r="AB300" s="472" t="str">
        <f>IF($Z300="","a",IF(AND($Z300="b",Inventory!$J56=""),"a",IF(AND($Z300="b",Inventory!$J56&lt;&gt;""),VLOOKUP(Inventory!$J56,$H$4:$I$6,2,FALSE),IF(AND($Z300="a",Inventory!$AA56=""),"a",IF(AND($Z300="a",Inventory!$AA56&lt;&gt;""),VLOOKUP(Inventory!$AA56,$H$4:$I$6,2,FALSE),IF(AND($Z300="c",Inventory!$AA56=""),"a",IF(AND($Z300="c",Inventory!$AA56&lt;&gt;""),VLOOKUP(Inventory!$AA56,$H$4:$I$6,2,FALSE),"a")))))))</f>
        <v>a</v>
      </c>
      <c r="AC300" s="506" t="str">
        <f t="shared" si="219"/>
        <v>a</v>
      </c>
      <c r="AD300" s="473" t="str">
        <f>IF($Z300="","a",IF(AND($Z300="b",Inventory!$L56=""),"a",IF(AND($Z300="b",Inventory!$L56&lt;&gt;""),VLOOKUP(Inventory!$L56,$N$4:$O$5,2,FALSE),IF(AND($Z300="a",Inventory!$AC56=""),"a",IF(AND($Z300="a",Inventory!$AC56&lt;&gt;""),VLOOKUP(Inventory!$AC56,$N$4:$O$5,2,FALSE),IF(AND($Z300="c",Inventory!$AC56=""),"a",IF(AND($Z300="c",Inventory!$AC56&lt;&gt;""),VLOOKUP(Inventory!$AC56,$N$4:$O$5,2,FALSE),"a")))))))</f>
        <v>a</v>
      </c>
      <c r="AE300" s="474">
        <f>IF(OR(Inventory!C56="New Construction",Inventory!C56="Replace-on-Burnout"),Inventory!AF56,IF(Inventory!C56="Early Retirement",MIN(Inventory!AE56,Inventory!AF56),0))</f>
        <v>0</v>
      </c>
      <c r="AF300" s="475" t="str">
        <f t="shared" si="220"/>
        <v/>
      </c>
      <c r="AG300" s="475" t="str">
        <f t="shared" si="221"/>
        <v/>
      </c>
      <c r="AH300" s="475" t="str">
        <f t="shared" si="222"/>
        <v/>
      </c>
      <c r="AI300" s="475" t="str">
        <f t="shared" si="223"/>
        <v/>
      </c>
      <c r="AJ300" s="475" t="str">
        <f t="shared" si="224"/>
        <v/>
      </c>
      <c r="AK300" s="475" t="str">
        <f t="shared" si="225"/>
        <v/>
      </c>
      <c r="AL300" s="475" t="str">
        <f t="shared" si="226"/>
        <v/>
      </c>
      <c r="AM300" s="475" t="str">
        <f t="shared" si="227"/>
        <v/>
      </c>
      <c r="AN300" s="475" t="str">
        <f t="shared" si="228"/>
        <v/>
      </c>
      <c r="AO300" s="475" t="str">
        <f t="shared" si="229"/>
        <v/>
      </c>
      <c r="AP300" s="475" t="str">
        <f t="shared" si="230"/>
        <v/>
      </c>
      <c r="AQ300" s="475" t="str">
        <f t="shared" si="231"/>
        <v/>
      </c>
      <c r="AR300" s="475" t="str">
        <f t="shared" si="232"/>
        <v/>
      </c>
      <c r="AS300" s="475" t="str">
        <f t="shared" si="215"/>
        <v/>
      </c>
      <c r="AT300" s="475" t="str">
        <f t="shared" si="233"/>
        <v/>
      </c>
      <c r="AU300" s="475" t="str">
        <f t="shared" si="234"/>
        <v/>
      </c>
      <c r="AV300" s="475" t="str">
        <f t="shared" si="235"/>
        <v/>
      </c>
      <c r="AW300" s="473">
        <f t="shared" si="236"/>
        <v>0</v>
      </c>
      <c r="AX300" s="473" t="str">
        <f>IF(AND($Z300="b",OR($AA300="a",$AA300="b"),Inventory!$I56="",$AE300&lt;(65000/12000)),"x",IF(AND($Z300="b",OR($AA300="a",$AA300="b"),Inventory!$I56&lt;&gt;"",$AE300&lt;(65000/12000)),VLOOKUP(Inventory!$I307,$V$4:$W$5,2,FALSE),"x"))</f>
        <v>x</v>
      </c>
      <c r="AY300" s="476" t="str">
        <f t="shared" si="237"/>
        <v>aaa0</v>
      </c>
      <c r="AZ300" s="477" t="str">
        <f t="shared" si="197"/>
        <v>No</v>
      </c>
      <c r="BA300" s="759" t="str">
        <f t="shared" si="198"/>
        <v>No</v>
      </c>
      <c r="BB300" s="477">
        <f>IF($Z300="c",Inventory!$AB56,Inventory!$K56)</f>
        <v>0</v>
      </c>
      <c r="BC300" s="478">
        <f>IF(AND($Z300="b",Inventory!$N56="Btu/hr"),Inventory!$M56,IF(AND($Z300="b",Inventory!$N56="Tons"),Inventory!$M56*12000,IF(AND($Z300&lt;&gt;"b",Inventory!$AK56="Btu/hr"),Inventory!$AD56,IF(AND($Z300&lt;&gt;"b",Inventory!$AK56="Tons"),Inventory!$AD56*12000,0))))</f>
        <v>0</v>
      </c>
      <c r="BD300" s="478">
        <f t="shared" si="238"/>
        <v>0</v>
      </c>
      <c r="BE300" s="479">
        <f t="shared" si="216"/>
        <v>0</v>
      </c>
      <c r="BF300" s="477" t="s">
        <v>50</v>
      </c>
      <c r="BG300" s="479">
        <f t="shared" si="239"/>
        <v>0</v>
      </c>
      <c r="BH300" s="477" t="s">
        <v>46</v>
      </c>
      <c r="BI300" s="760">
        <f>IF(AND($Z300="b",Inventory!$P56="Btu/hr"),Inventory!$O56,IF(AND($Z300="b",Inventory!$P56="Tons"),Inventory!$O56*12000,IF(AND($Z300&lt;&gt;"b",Inventory!$AM56="Btu/hr"),Inventory!$AL56,IF(AND($Z300&lt;&gt;"b",Inventory!$AM56="Tons"),Inventory!$AL56*12000,0))))</f>
        <v>0</v>
      </c>
      <c r="BJ300" s="760">
        <f t="shared" si="201"/>
        <v>0</v>
      </c>
      <c r="BK300" s="598">
        <f t="shared" si="202"/>
        <v>0</v>
      </c>
      <c r="BL300" s="759" t="s">
        <v>567</v>
      </c>
      <c r="BM300" s="477" t="str">
        <f t="shared" si="240"/>
        <v>No</v>
      </c>
      <c r="BN300" s="477" t="str">
        <f>IF(OR(Inventory!$H56="",$BM300="No"),"-",Inventory!$H56)</f>
        <v>-</v>
      </c>
      <c r="BO300" s="477" t="str">
        <f>IFERROR(VLOOKUP(BN300,'Early Retirement'!$B$6:$C$33,2,FALSE),"-")</f>
        <v>-</v>
      </c>
      <c r="BP300" s="477" t="str">
        <f>IF(Inventory!$J56="Centrifugal","Yes","No")</f>
        <v>No</v>
      </c>
      <c r="BQ300" s="477">
        <f t="shared" si="241"/>
        <v>0</v>
      </c>
      <c r="BR300" s="477" t="str">
        <f t="shared" si="218"/>
        <v>-</v>
      </c>
      <c r="BS300" s="479">
        <f>IFERROR(INDEX('Early Retirement'!$C$4:$AC$33,$BO300,$BR300),0)</f>
        <v>0</v>
      </c>
      <c r="BT300" s="477">
        <f>IFERROR(HLOOKUP($BR300,'Early Retirement'!$D$4:$AC$5,2,FALSE),0)</f>
        <v>0</v>
      </c>
      <c r="BU300" s="761">
        <f>IFERROR(INDEX('Early Retirement'!$AE$4:$BE$33,$BO300,$BR300),0)</f>
        <v>0</v>
      </c>
      <c r="BV300" s="759">
        <f>IFERROR(HLOOKUP($BR300,'Early Retirement'!$AF$4:$BE$5,2,FALSE),0)</f>
        <v>0</v>
      </c>
      <c r="BW300" s="479">
        <f t="shared" si="242"/>
        <v>0</v>
      </c>
      <c r="BX300" s="761">
        <f t="shared" si="207"/>
        <v>0</v>
      </c>
      <c r="BY300" s="477" t="s">
        <v>46</v>
      </c>
      <c r="BZ300" s="598">
        <f>IFERROR(INDEX('Early Retirement'!$BG$4:$CG$33,$BO300,$BR300),0)</f>
        <v>0</v>
      </c>
      <c r="CA300" s="759">
        <f>IFERROR(HLOOKUP($BR300,'Early Retirement'!$BH$4:$CH$5,2,FALSE),0)</f>
        <v>0</v>
      </c>
      <c r="CB300" s="598">
        <f t="shared" si="208"/>
        <v>0</v>
      </c>
      <c r="CC300" s="759" t="s">
        <v>567</v>
      </c>
      <c r="CD300" s="477" t="str">
        <f t="shared" si="243"/>
        <v>Yes</v>
      </c>
      <c r="CE300" s="479">
        <f t="shared" si="210"/>
        <v>0</v>
      </c>
      <c r="CF300" s="761">
        <f t="shared" si="211"/>
        <v>0</v>
      </c>
      <c r="CG300" s="759" t="s">
        <v>46</v>
      </c>
      <c r="CH300" s="598">
        <f t="shared" si="217"/>
        <v>0</v>
      </c>
      <c r="CI300" s="759" t="s">
        <v>567</v>
      </c>
      <c r="CJ300" s="480">
        <f t="shared" si="244"/>
        <v>0</v>
      </c>
      <c r="CK300" s="583">
        <f t="shared" si="213"/>
        <v>0</v>
      </c>
      <c r="CL300" s="596" t="s">
        <v>46</v>
      </c>
      <c r="CM300" s="581">
        <f t="shared" si="214"/>
        <v>0</v>
      </c>
      <c r="CN300" s="762" t="s">
        <v>567</v>
      </c>
      <c r="CW300" s="630"/>
      <c r="CX300" s="630"/>
      <c r="CY300" s="630"/>
      <c r="CZ300" s="630"/>
      <c r="DA300" s="630"/>
    </row>
    <row r="301" spans="2:105" s="78" customFormat="1" ht="15" customHeight="1" x14ac:dyDescent="0.25">
      <c r="B301" s="77"/>
      <c r="E301" s="77"/>
      <c r="H301" s="77"/>
      <c r="Y301" s="90">
        <v>48</v>
      </c>
      <c r="Z301" s="472" t="str">
        <f>IF(Inventory!$C57="","",VLOOKUP(Inventory!$C57,$B$7:$C$9,2,FALSE))</f>
        <v/>
      </c>
      <c r="AA301" s="472" t="str">
        <f>IF($Z301="","",IF(AND($Z301="b",Inventory!$G57=""),"",IF(AND($Z301="b",Inventory!$G57&lt;&gt;""),VLOOKUP(Inventory!$G57,$E$3:$F$10,2,FALSE),IF(AND($Z301="a",Inventory!$Z57=""),"",IF(AND($Z301="a",Inventory!$Z57&lt;&gt;""),VLOOKUP(Inventory!$Z57,$E$3:$F$10,2,FALSE),IF(AND($Z301="c",Inventory!$Z57=""),"",IF(AND($Z301="c",Inventory!$Z57&lt;&gt;""),VLOOKUP(Inventory!$Z57,$E$3:$F$10,2,FALSE),"")))))))</f>
        <v/>
      </c>
      <c r="AB301" s="472" t="str">
        <f>IF($Z301="","a",IF(AND($Z301="b",Inventory!$J57=""),"a",IF(AND($Z301="b",Inventory!$J57&lt;&gt;""),VLOOKUP(Inventory!$J57,$H$4:$I$6,2,FALSE),IF(AND($Z301="a",Inventory!$AA57=""),"a",IF(AND($Z301="a",Inventory!$AA57&lt;&gt;""),VLOOKUP(Inventory!$AA57,$H$4:$I$6,2,FALSE),IF(AND($Z301="c",Inventory!$AA57=""),"a",IF(AND($Z301="c",Inventory!$AA57&lt;&gt;""),VLOOKUP(Inventory!$AA57,$H$4:$I$6,2,FALSE),"a")))))))</f>
        <v>a</v>
      </c>
      <c r="AC301" s="506" t="str">
        <f t="shared" si="219"/>
        <v>a</v>
      </c>
      <c r="AD301" s="473" t="str">
        <f>IF($Z301="","a",IF(AND($Z301="b",Inventory!$L57=""),"a",IF(AND($Z301="b",Inventory!$L57&lt;&gt;""),VLOOKUP(Inventory!$L57,$N$4:$O$5,2,FALSE),IF(AND($Z301="a",Inventory!$AC57=""),"a",IF(AND($Z301="a",Inventory!$AC57&lt;&gt;""),VLOOKUP(Inventory!$AC57,$N$4:$O$5,2,FALSE),IF(AND($Z301="c",Inventory!$AC57=""),"a",IF(AND($Z301="c",Inventory!$AC57&lt;&gt;""),VLOOKUP(Inventory!$AC57,$N$4:$O$5,2,FALSE),"a")))))))</f>
        <v>a</v>
      </c>
      <c r="AE301" s="474">
        <f>IF(OR(Inventory!C57="New Construction",Inventory!C57="Replace-on-Burnout"),Inventory!AF57,IF(Inventory!C57="Early Retirement",MIN(Inventory!AE57,Inventory!AF57),0))</f>
        <v>0</v>
      </c>
      <c r="AF301" s="475" t="str">
        <f t="shared" si="220"/>
        <v/>
      </c>
      <c r="AG301" s="475" t="str">
        <f t="shared" si="221"/>
        <v/>
      </c>
      <c r="AH301" s="475" t="str">
        <f t="shared" si="222"/>
        <v/>
      </c>
      <c r="AI301" s="475" t="str">
        <f t="shared" si="223"/>
        <v/>
      </c>
      <c r="AJ301" s="475" t="str">
        <f t="shared" si="224"/>
        <v/>
      </c>
      <c r="AK301" s="475" t="str">
        <f t="shared" si="225"/>
        <v/>
      </c>
      <c r="AL301" s="475" t="str">
        <f t="shared" si="226"/>
        <v/>
      </c>
      <c r="AM301" s="475" t="str">
        <f t="shared" si="227"/>
        <v/>
      </c>
      <c r="AN301" s="475" t="str">
        <f t="shared" si="228"/>
        <v/>
      </c>
      <c r="AO301" s="475" t="str">
        <f t="shared" si="229"/>
        <v/>
      </c>
      <c r="AP301" s="475" t="str">
        <f t="shared" si="230"/>
        <v/>
      </c>
      <c r="AQ301" s="475" t="str">
        <f t="shared" si="231"/>
        <v/>
      </c>
      <c r="AR301" s="475" t="str">
        <f t="shared" si="232"/>
        <v/>
      </c>
      <c r="AS301" s="475" t="str">
        <f t="shared" si="215"/>
        <v/>
      </c>
      <c r="AT301" s="475" t="str">
        <f t="shared" si="233"/>
        <v/>
      </c>
      <c r="AU301" s="475" t="str">
        <f t="shared" si="234"/>
        <v/>
      </c>
      <c r="AV301" s="475" t="str">
        <f t="shared" si="235"/>
        <v/>
      </c>
      <c r="AW301" s="473">
        <f t="shared" si="236"/>
        <v>0</v>
      </c>
      <c r="AX301" s="473" t="str">
        <f>IF(AND($Z301="b",OR($AA301="a",$AA301="b"),Inventory!$I57="",$AE301&lt;(65000/12000)),"x",IF(AND($Z301="b",OR($AA301="a",$AA301="b"),Inventory!$I57&lt;&gt;"",$AE301&lt;(65000/12000)),VLOOKUP(Inventory!$I308,$V$4:$W$5,2,FALSE),"x"))</f>
        <v>x</v>
      </c>
      <c r="AY301" s="476" t="str">
        <f t="shared" si="237"/>
        <v>aaa0</v>
      </c>
      <c r="AZ301" s="477" t="str">
        <f t="shared" si="197"/>
        <v>No</v>
      </c>
      <c r="BA301" s="759" t="str">
        <f t="shared" si="198"/>
        <v>No</v>
      </c>
      <c r="BB301" s="477">
        <f>IF($Z301="c",Inventory!$AB57,Inventory!$K57)</f>
        <v>0</v>
      </c>
      <c r="BC301" s="478">
        <f>IF(AND($Z301="b",Inventory!$N57="Btu/hr"),Inventory!$M57,IF(AND($Z301="b",Inventory!$N57="Tons"),Inventory!$M57*12000,IF(AND($Z301&lt;&gt;"b",Inventory!$AK57="Btu/hr"),Inventory!$AD57,IF(AND($Z301&lt;&gt;"b",Inventory!$AK57="Tons"),Inventory!$AD57*12000,0))))</f>
        <v>0</v>
      </c>
      <c r="BD301" s="478">
        <f t="shared" si="238"/>
        <v>0</v>
      </c>
      <c r="BE301" s="479">
        <f t="shared" si="216"/>
        <v>0</v>
      </c>
      <c r="BF301" s="477" t="s">
        <v>50</v>
      </c>
      <c r="BG301" s="479">
        <f t="shared" si="239"/>
        <v>0</v>
      </c>
      <c r="BH301" s="477" t="s">
        <v>46</v>
      </c>
      <c r="BI301" s="760">
        <f>IF(AND($Z301="b",Inventory!$P57="Btu/hr"),Inventory!$O57,IF(AND($Z301="b",Inventory!$P57="Tons"),Inventory!$O57*12000,IF(AND($Z301&lt;&gt;"b",Inventory!$AM57="Btu/hr"),Inventory!$AL57,IF(AND($Z301&lt;&gt;"b",Inventory!$AM57="Tons"),Inventory!$AL57*12000,0))))</f>
        <v>0</v>
      </c>
      <c r="BJ301" s="760">
        <f t="shared" si="201"/>
        <v>0</v>
      </c>
      <c r="BK301" s="598">
        <f t="shared" si="202"/>
        <v>0</v>
      </c>
      <c r="BL301" s="759" t="s">
        <v>567</v>
      </c>
      <c r="BM301" s="477" t="str">
        <f t="shared" si="240"/>
        <v>No</v>
      </c>
      <c r="BN301" s="477" t="str">
        <f>IF(OR(Inventory!$H57="",$BM301="No"),"-",Inventory!$H57)</f>
        <v>-</v>
      </c>
      <c r="BO301" s="477" t="str">
        <f>IFERROR(VLOOKUP(BN301,'Early Retirement'!$B$6:$C$33,2,FALSE),"-")</f>
        <v>-</v>
      </c>
      <c r="BP301" s="477" t="str">
        <f>IF(Inventory!$J57="Centrifugal","Yes","No")</f>
        <v>No</v>
      </c>
      <c r="BQ301" s="477">
        <f t="shared" si="241"/>
        <v>0</v>
      </c>
      <c r="BR301" s="477" t="str">
        <f t="shared" si="218"/>
        <v>-</v>
      </c>
      <c r="BS301" s="479">
        <f>IFERROR(INDEX('Early Retirement'!$C$4:$AC$33,$BO301,$BR301),0)</f>
        <v>0</v>
      </c>
      <c r="BT301" s="477">
        <f>IFERROR(HLOOKUP($BR301,'Early Retirement'!$D$4:$AC$5,2,FALSE),0)</f>
        <v>0</v>
      </c>
      <c r="BU301" s="761">
        <f>IFERROR(INDEX('Early Retirement'!$AE$4:$BE$33,$BO301,$BR301),0)</f>
        <v>0</v>
      </c>
      <c r="BV301" s="759">
        <f>IFERROR(HLOOKUP($BR301,'Early Retirement'!$AF$4:$BE$5,2,FALSE),0)</f>
        <v>0</v>
      </c>
      <c r="BW301" s="479">
        <f t="shared" si="242"/>
        <v>0</v>
      </c>
      <c r="BX301" s="761">
        <f t="shared" si="207"/>
        <v>0</v>
      </c>
      <c r="BY301" s="477" t="s">
        <v>46</v>
      </c>
      <c r="BZ301" s="598">
        <f>IFERROR(INDEX('Early Retirement'!$BG$4:$CG$33,$BO301,$BR301),0)</f>
        <v>0</v>
      </c>
      <c r="CA301" s="759">
        <f>IFERROR(HLOOKUP($BR301,'Early Retirement'!$BH$4:$CH$5,2,FALSE),0)</f>
        <v>0</v>
      </c>
      <c r="CB301" s="598">
        <f t="shared" si="208"/>
        <v>0</v>
      </c>
      <c r="CC301" s="759" t="s">
        <v>567</v>
      </c>
      <c r="CD301" s="477" t="str">
        <f t="shared" si="243"/>
        <v>Yes</v>
      </c>
      <c r="CE301" s="479">
        <f t="shared" si="210"/>
        <v>0</v>
      </c>
      <c r="CF301" s="761">
        <f t="shared" si="211"/>
        <v>0</v>
      </c>
      <c r="CG301" s="759" t="s">
        <v>46</v>
      </c>
      <c r="CH301" s="598">
        <f t="shared" si="217"/>
        <v>0</v>
      </c>
      <c r="CI301" s="759" t="s">
        <v>567</v>
      </c>
      <c r="CJ301" s="480">
        <f t="shared" si="244"/>
        <v>0</v>
      </c>
      <c r="CK301" s="583">
        <f t="shared" si="213"/>
        <v>0</v>
      </c>
      <c r="CL301" s="596" t="s">
        <v>46</v>
      </c>
      <c r="CM301" s="581">
        <f t="shared" si="214"/>
        <v>0</v>
      </c>
      <c r="CN301" s="762" t="s">
        <v>567</v>
      </c>
      <c r="CW301" s="630"/>
      <c r="CX301" s="630"/>
      <c r="CY301" s="630"/>
      <c r="CZ301" s="630"/>
      <c r="DA301" s="630"/>
    </row>
    <row r="302" spans="2:105" s="78" customFormat="1" ht="15" customHeight="1" x14ac:dyDescent="0.25">
      <c r="B302" s="77"/>
      <c r="E302" s="77"/>
      <c r="H302" s="77"/>
      <c r="Y302" s="90">
        <v>49</v>
      </c>
      <c r="Z302" s="472" t="str">
        <f>IF(Inventory!$C58="","",VLOOKUP(Inventory!$C58,$B$7:$C$9,2,FALSE))</f>
        <v/>
      </c>
      <c r="AA302" s="472" t="str">
        <f>IF($Z302="","",IF(AND($Z302="b",Inventory!$G58=""),"",IF(AND($Z302="b",Inventory!$G58&lt;&gt;""),VLOOKUP(Inventory!$G58,$E$3:$F$10,2,FALSE),IF(AND($Z302="a",Inventory!$Z58=""),"",IF(AND($Z302="a",Inventory!$Z58&lt;&gt;""),VLOOKUP(Inventory!$Z58,$E$3:$F$10,2,FALSE),IF(AND($Z302="c",Inventory!$Z58=""),"",IF(AND($Z302="c",Inventory!$Z58&lt;&gt;""),VLOOKUP(Inventory!$Z58,$E$3:$F$10,2,FALSE),"")))))))</f>
        <v/>
      </c>
      <c r="AB302" s="472" t="str">
        <f>IF($Z302="","a",IF(AND($Z302="b",Inventory!$J58=""),"a",IF(AND($Z302="b",Inventory!$J58&lt;&gt;""),VLOOKUP(Inventory!$J58,$H$4:$I$6,2,FALSE),IF(AND($Z302="a",Inventory!$AA58=""),"a",IF(AND($Z302="a",Inventory!$AA58&lt;&gt;""),VLOOKUP(Inventory!$AA58,$H$4:$I$6,2,FALSE),IF(AND($Z302="c",Inventory!$AA58=""),"a",IF(AND($Z302="c",Inventory!$AA58&lt;&gt;""),VLOOKUP(Inventory!$AA58,$H$4:$I$6,2,FALSE),"a")))))))</f>
        <v>a</v>
      </c>
      <c r="AC302" s="506" t="str">
        <f t="shared" si="219"/>
        <v>a</v>
      </c>
      <c r="AD302" s="473" t="str">
        <f>IF($Z302="","a",IF(AND($Z302="b",Inventory!$L58=""),"a",IF(AND($Z302="b",Inventory!$L58&lt;&gt;""),VLOOKUP(Inventory!$L58,$N$4:$O$5,2,FALSE),IF(AND($Z302="a",Inventory!$AC58=""),"a",IF(AND($Z302="a",Inventory!$AC58&lt;&gt;""),VLOOKUP(Inventory!$AC58,$N$4:$O$5,2,FALSE),IF(AND($Z302="c",Inventory!$AC58=""),"a",IF(AND($Z302="c",Inventory!$AC58&lt;&gt;""),VLOOKUP(Inventory!$AC58,$N$4:$O$5,2,FALSE),"a")))))))</f>
        <v>a</v>
      </c>
      <c r="AE302" s="474">
        <f>IF(OR(Inventory!C58="New Construction",Inventory!C58="Replace-on-Burnout"),Inventory!AF58,IF(Inventory!C58="Early Retirement",MIN(Inventory!AE58,Inventory!AF58),0))</f>
        <v>0</v>
      </c>
      <c r="AF302" s="475" t="str">
        <f t="shared" si="220"/>
        <v/>
      </c>
      <c r="AG302" s="475" t="str">
        <f t="shared" si="221"/>
        <v/>
      </c>
      <c r="AH302" s="475" t="str">
        <f t="shared" si="222"/>
        <v/>
      </c>
      <c r="AI302" s="475" t="str">
        <f t="shared" si="223"/>
        <v/>
      </c>
      <c r="AJ302" s="475" t="str">
        <f t="shared" si="224"/>
        <v/>
      </c>
      <c r="AK302" s="475" t="str">
        <f t="shared" si="225"/>
        <v/>
      </c>
      <c r="AL302" s="475" t="str">
        <f t="shared" si="226"/>
        <v/>
      </c>
      <c r="AM302" s="475" t="str">
        <f t="shared" si="227"/>
        <v/>
      </c>
      <c r="AN302" s="475" t="str">
        <f t="shared" si="228"/>
        <v/>
      </c>
      <c r="AO302" s="475" t="str">
        <f t="shared" si="229"/>
        <v/>
      </c>
      <c r="AP302" s="475" t="str">
        <f t="shared" si="230"/>
        <v/>
      </c>
      <c r="AQ302" s="475" t="str">
        <f t="shared" si="231"/>
        <v/>
      </c>
      <c r="AR302" s="475" t="str">
        <f t="shared" si="232"/>
        <v/>
      </c>
      <c r="AS302" s="475" t="str">
        <f t="shared" si="215"/>
        <v/>
      </c>
      <c r="AT302" s="475" t="str">
        <f t="shared" si="233"/>
        <v/>
      </c>
      <c r="AU302" s="475" t="str">
        <f t="shared" si="234"/>
        <v/>
      </c>
      <c r="AV302" s="475" t="str">
        <f t="shared" si="235"/>
        <v/>
      </c>
      <c r="AW302" s="473">
        <f t="shared" si="236"/>
        <v>0</v>
      </c>
      <c r="AX302" s="473" t="str">
        <f>IF(AND($Z302="b",OR($AA302="a",$AA302="b"),Inventory!$I58="",$AE302&lt;(65000/12000)),"x",IF(AND($Z302="b",OR($AA302="a",$AA302="b"),Inventory!$I58&lt;&gt;"",$AE302&lt;(65000/12000)),VLOOKUP(Inventory!$I309,$V$4:$W$5,2,FALSE),"x"))</f>
        <v>x</v>
      </c>
      <c r="AY302" s="476" t="str">
        <f t="shared" si="237"/>
        <v>aaa0</v>
      </c>
      <c r="AZ302" s="477" t="str">
        <f t="shared" si="197"/>
        <v>No</v>
      </c>
      <c r="BA302" s="759" t="str">
        <f t="shared" si="198"/>
        <v>No</v>
      </c>
      <c r="BB302" s="477">
        <f>IF($Z302="c",Inventory!$AB58,Inventory!$K58)</f>
        <v>0</v>
      </c>
      <c r="BC302" s="478">
        <f>IF(AND($Z302="b",Inventory!$N58="Btu/hr"),Inventory!$M58,IF(AND($Z302="b",Inventory!$N58="Tons"),Inventory!$M58*12000,IF(AND($Z302&lt;&gt;"b",Inventory!$AK58="Btu/hr"),Inventory!$AD58,IF(AND($Z302&lt;&gt;"b",Inventory!$AK58="Tons"),Inventory!$AD58*12000,0))))</f>
        <v>0</v>
      </c>
      <c r="BD302" s="478">
        <f t="shared" si="238"/>
        <v>0</v>
      </c>
      <c r="BE302" s="479">
        <f t="shared" si="216"/>
        <v>0</v>
      </c>
      <c r="BF302" s="477" t="s">
        <v>50</v>
      </c>
      <c r="BG302" s="479">
        <f t="shared" si="239"/>
        <v>0</v>
      </c>
      <c r="BH302" s="477" t="s">
        <v>46</v>
      </c>
      <c r="BI302" s="760">
        <f>IF(AND($Z302="b",Inventory!$P58="Btu/hr"),Inventory!$O58,IF(AND($Z302="b",Inventory!$P58="Tons"),Inventory!$O58*12000,IF(AND($Z302&lt;&gt;"b",Inventory!$AM58="Btu/hr"),Inventory!$AL58,IF(AND($Z302&lt;&gt;"b",Inventory!$AM58="Tons"),Inventory!$AL58*12000,0))))</f>
        <v>0</v>
      </c>
      <c r="BJ302" s="760">
        <f t="shared" si="201"/>
        <v>0</v>
      </c>
      <c r="BK302" s="598">
        <f t="shared" si="202"/>
        <v>0</v>
      </c>
      <c r="BL302" s="759" t="s">
        <v>567</v>
      </c>
      <c r="BM302" s="477" t="str">
        <f t="shared" si="240"/>
        <v>No</v>
      </c>
      <c r="BN302" s="477" t="str">
        <f>IF(OR(Inventory!$H58="",$BM302="No"),"-",Inventory!$H58)</f>
        <v>-</v>
      </c>
      <c r="BO302" s="477" t="str">
        <f>IFERROR(VLOOKUP(BN302,'Early Retirement'!$B$6:$C$33,2,FALSE),"-")</f>
        <v>-</v>
      </c>
      <c r="BP302" s="477" t="str">
        <f>IF(Inventory!$J58="Centrifugal","Yes","No")</f>
        <v>No</v>
      </c>
      <c r="BQ302" s="477">
        <f t="shared" si="241"/>
        <v>0</v>
      </c>
      <c r="BR302" s="477" t="str">
        <f t="shared" si="218"/>
        <v>-</v>
      </c>
      <c r="BS302" s="479">
        <f>IFERROR(INDEX('Early Retirement'!$C$4:$AC$33,$BO302,$BR302),0)</f>
        <v>0</v>
      </c>
      <c r="BT302" s="477">
        <f>IFERROR(HLOOKUP($BR302,'Early Retirement'!$D$4:$AC$5,2,FALSE),0)</f>
        <v>0</v>
      </c>
      <c r="BU302" s="761">
        <f>IFERROR(INDEX('Early Retirement'!$AE$4:$BE$33,$BO302,$BR302),0)</f>
        <v>0</v>
      </c>
      <c r="BV302" s="759">
        <f>IFERROR(HLOOKUP($BR302,'Early Retirement'!$AF$4:$BE$5,2,FALSE),0)</f>
        <v>0</v>
      </c>
      <c r="BW302" s="479">
        <f t="shared" si="242"/>
        <v>0</v>
      </c>
      <c r="BX302" s="761">
        <f t="shared" si="207"/>
        <v>0</v>
      </c>
      <c r="BY302" s="477" t="s">
        <v>46</v>
      </c>
      <c r="BZ302" s="598">
        <f>IFERROR(INDEX('Early Retirement'!$BG$4:$CG$33,$BO302,$BR302),0)</f>
        <v>0</v>
      </c>
      <c r="CA302" s="759">
        <f>IFERROR(HLOOKUP($BR302,'Early Retirement'!$BH$4:$CH$5,2,FALSE),0)</f>
        <v>0</v>
      </c>
      <c r="CB302" s="598">
        <f t="shared" si="208"/>
        <v>0</v>
      </c>
      <c r="CC302" s="759" t="s">
        <v>567</v>
      </c>
      <c r="CD302" s="477" t="str">
        <f t="shared" si="243"/>
        <v>Yes</v>
      </c>
      <c r="CE302" s="479">
        <f t="shared" si="210"/>
        <v>0</v>
      </c>
      <c r="CF302" s="761">
        <f t="shared" si="211"/>
        <v>0</v>
      </c>
      <c r="CG302" s="759" t="s">
        <v>46</v>
      </c>
      <c r="CH302" s="598">
        <f t="shared" si="217"/>
        <v>0</v>
      </c>
      <c r="CI302" s="759" t="s">
        <v>567</v>
      </c>
      <c r="CJ302" s="480">
        <f t="shared" si="244"/>
        <v>0</v>
      </c>
      <c r="CK302" s="583">
        <f t="shared" si="213"/>
        <v>0</v>
      </c>
      <c r="CL302" s="596" t="s">
        <v>46</v>
      </c>
      <c r="CM302" s="581">
        <f t="shared" si="214"/>
        <v>0</v>
      </c>
      <c r="CN302" s="762" t="s">
        <v>567</v>
      </c>
      <c r="CW302" s="630"/>
      <c r="CX302" s="630"/>
      <c r="CY302" s="630"/>
      <c r="CZ302" s="630"/>
      <c r="DA302" s="630"/>
    </row>
    <row r="303" spans="2:105" s="78" customFormat="1" ht="15" customHeight="1" x14ac:dyDescent="0.25">
      <c r="B303" s="77"/>
      <c r="E303" s="77"/>
      <c r="H303" s="77"/>
      <c r="Y303" s="90">
        <v>50</v>
      </c>
      <c r="Z303" s="559" t="str">
        <f>IF(Inventory!$C59="","",VLOOKUP(Inventory!$C59,$B$7:$C$9,2,FALSE))</f>
        <v/>
      </c>
      <c r="AA303" s="559" t="str">
        <f>IF($Z303="","",IF(AND($Z303="b",Inventory!$G59=""),"",IF(AND($Z303="b",Inventory!$G59&lt;&gt;""),VLOOKUP(Inventory!$G59,$E$3:$F$10,2,FALSE),IF(AND($Z303="a",Inventory!$Z59=""),"",IF(AND($Z303="a",Inventory!$Z59&lt;&gt;""),VLOOKUP(Inventory!$Z59,$E$3:$F$10,2,FALSE),IF(AND($Z303="c",Inventory!$Z59=""),"",IF(AND($Z303="c",Inventory!$Z59&lt;&gt;""),VLOOKUP(Inventory!$Z59,$E$3:$F$10,2,FALSE),"")))))))</f>
        <v/>
      </c>
      <c r="AB303" s="559" t="str">
        <f>IF($Z303="","a",IF(AND($Z303="b",Inventory!$J59=""),"a",IF(AND($Z303="b",Inventory!$J59&lt;&gt;""),VLOOKUP(Inventory!$J59,$H$4:$I$6,2,FALSE),IF(AND($Z303="a",Inventory!$AA59=""),"a",IF(AND($Z303="a",Inventory!$AA59&lt;&gt;""),VLOOKUP(Inventory!$AA59,$H$4:$I$6,2,FALSE),IF(AND($Z303="c",Inventory!$AA59=""),"a",IF(AND($Z303="c",Inventory!$AA59&lt;&gt;""),VLOOKUP(Inventory!$AA59,$H$4:$I$6,2,FALSE),"a")))))))</f>
        <v>a</v>
      </c>
      <c r="AC303" s="559" t="str">
        <f t="shared" si="219"/>
        <v>a</v>
      </c>
      <c r="AD303" s="473" t="str">
        <f>IF($Z303="","a",IF(AND($Z303="b",Inventory!$L59=""),"a",IF(AND($Z303="b",Inventory!$L59&lt;&gt;""),VLOOKUP(Inventory!$L59,$N$4:$O$5,2,FALSE),IF(AND($Z303="a",Inventory!$AC59=""),"a",IF(AND($Z303="a",Inventory!$AC59&lt;&gt;""),VLOOKUP(Inventory!$AC59,$N$4:$O$5,2,FALSE),IF(AND($Z303="c",Inventory!$AC59=""),"a",IF(AND($Z303="c",Inventory!$AC59&lt;&gt;""),VLOOKUP(Inventory!$AC59,$N$4:$O$5,2,FALSE),"a")))))))</f>
        <v>a</v>
      </c>
      <c r="AE303" s="474">
        <f>IF(OR(Inventory!C59="New Construction",Inventory!C59="Replace-on-Burnout"),Inventory!AF59,IF(Inventory!C59="Early Retirement",MIN(Inventory!AE59,Inventory!AF59),0))</f>
        <v>0</v>
      </c>
      <c r="AF303" s="475" t="str">
        <f t="shared" si="220"/>
        <v/>
      </c>
      <c r="AG303" s="475" t="str">
        <f t="shared" si="221"/>
        <v/>
      </c>
      <c r="AH303" s="475" t="str">
        <f t="shared" si="222"/>
        <v/>
      </c>
      <c r="AI303" s="475" t="str">
        <f t="shared" si="223"/>
        <v/>
      </c>
      <c r="AJ303" s="475" t="str">
        <f t="shared" si="224"/>
        <v/>
      </c>
      <c r="AK303" s="475" t="str">
        <f t="shared" si="225"/>
        <v/>
      </c>
      <c r="AL303" s="475" t="str">
        <f t="shared" si="226"/>
        <v/>
      </c>
      <c r="AM303" s="475" t="str">
        <f t="shared" si="227"/>
        <v/>
      </c>
      <c r="AN303" s="475" t="str">
        <f t="shared" si="228"/>
        <v/>
      </c>
      <c r="AO303" s="475" t="str">
        <f t="shared" si="229"/>
        <v/>
      </c>
      <c r="AP303" s="475" t="str">
        <f t="shared" si="230"/>
        <v/>
      </c>
      <c r="AQ303" s="475" t="str">
        <f t="shared" si="231"/>
        <v/>
      </c>
      <c r="AR303" s="475" t="str">
        <f t="shared" si="232"/>
        <v/>
      </c>
      <c r="AS303" s="475" t="str">
        <f t="shared" si="215"/>
        <v/>
      </c>
      <c r="AT303" s="475" t="str">
        <f t="shared" si="233"/>
        <v/>
      </c>
      <c r="AU303" s="475" t="str">
        <f t="shared" si="234"/>
        <v/>
      </c>
      <c r="AV303" s="475" t="str">
        <f t="shared" si="235"/>
        <v/>
      </c>
      <c r="AW303" s="473">
        <f t="shared" si="236"/>
        <v>0</v>
      </c>
      <c r="AX303" s="473" t="str">
        <f>IF(AND($Z303="b",OR($AA303="a",$AA303="b"),Inventory!$I59="",$AE303&lt;(65000/12000)),"x",IF(AND($Z303="b",OR($AA303="a",$AA303="b"),Inventory!$I59&lt;&gt;"",$AE303&lt;(65000/12000)),VLOOKUP(Inventory!$I310,$V$4:$W$5,2,FALSE),"x"))</f>
        <v>x</v>
      </c>
      <c r="AY303" s="476" t="str">
        <f t="shared" si="237"/>
        <v>aaa0</v>
      </c>
      <c r="AZ303" s="477" t="str">
        <f t="shared" si="197"/>
        <v>No</v>
      </c>
      <c r="BA303" s="759" t="str">
        <f t="shared" si="198"/>
        <v>No</v>
      </c>
      <c r="BB303" s="477">
        <f>IF($Z303="c",Inventory!$AB59,Inventory!$K59)</f>
        <v>0</v>
      </c>
      <c r="BC303" s="478">
        <f>IF(AND($Z303="b",Inventory!$N59="Btu/hr"),Inventory!$M59,IF(AND($Z303="b",Inventory!$N59="Tons"),Inventory!$M59*12000,IF(AND($Z303&lt;&gt;"b",Inventory!$AK59="Btu/hr"),Inventory!$AD59,IF(AND($Z303&lt;&gt;"b",Inventory!$AK59="Tons"),Inventory!$AD59*12000,0))))</f>
        <v>0</v>
      </c>
      <c r="BD303" s="478">
        <f t="shared" ref="BD303:BD366" si="245">IF(BC303=0,0,IF($BC303&lt;7000,7000,IF($BC303&gt;15000,15000,$BC303)))</f>
        <v>0</v>
      </c>
      <c r="BE303" s="479">
        <f t="shared" si="216"/>
        <v>0</v>
      </c>
      <c r="BF303" s="477" t="s">
        <v>50</v>
      </c>
      <c r="BG303" s="479">
        <f t="shared" si="239"/>
        <v>0</v>
      </c>
      <c r="BH303" s="477" t="s">
        <v>46</v>
      </c>
      <c r="BI303" s="760">
        <f>IF(AND($Z303="b",Inventory!$P59="Btu/hr"),Inventory!$O59,IF(AND($Z303="b",Inventory!$P59="Tons"),Inventory!$O59*12000,IF(AND($Z303&lt;&gt;"b",Inventory!$AM59="Btu/hr"),Inventory!$AL59,IF(AND($Z303&lt;&gt;"b",Inventory!$AM59="Tons"),Inventory!$AL59*12000,0))))</f>
        <v>0</v>
      </c>
      <c r="BJ303" s="760">
        <f t="shared" ref="BJ303:BJ366" si="246">IF(BI303=0,0,IF($BI303&lt;7000,7000,IF($BI303&gt;15000,15000,$BI303)))</f>
        <v>0</v>
      </c>
      <c r="BK303" s="598">
        <f t="shared" si="202"/>
        <v>0</v>
      </c>
      <c r="BL303" s="759" t="s">
        <v>567</v>
      </c>
      <c r="BM303" s="477" t="str">
        <f t="shared" si="240"/>
        <v>No</v>
      </c>
      <c r="BN303" s="477" t="str">
        <f>IF(OR(Inventory!$H59="",$BM303="No"),"-",Inventory!$H59)</f>
        <v>-</v>
      </c>
      <c r="BO303" s="477" t="str">
        <f>IFERROR(VLOOKUP(BN303,'Early Retirement'!$B$6:$C$33,2,FALSE),"-")</f>
        <v>-</v>
      </c>
      <c r="BP303" s="477" t="str">
        <f>IF(Inventory!$J59="Centrifugal","Yes","No")</f>
        <v>No</v>
      </c>
      <c r="BQ303" s="477">
        <f t="shared" si="241"/>
        <v>0</v>
      </c>
      <c r="BR303" s="477" t="str">
        <f t="shared" si="218"/>
        <v>-</v>
      </c>
      <c r="BS303" s="479">
        <f>IFERROR(INDEX('Early Retirement'!$C$4:$AC$33,$BO303,$BR303),0)</f>
        <v>0</v>
      </c>
      <c r="BT303" s="477">
        <f>IFERROR(HLOOKUP($BR303,'Early Retirement'!$D$4:$AC$5,2,FALSE),0)</f>
        <v>0</v>
      </c>
      <c r="BU303" s="761">
        <f>IFERROR(INDEX('Early Retirement'!$AE$4:$BE$33,$BO303,$BR303),0)</f>
        <v>0</v>
      </c>
      <c r="BV303" s="759">
        <f>IFERROR(HLOOKUP($BR303,'Early Retirement'!$AF$4:$BE$5,2,FALSE),0)</f>
        <v>0</v>
      </c>
      <c r="BW303" s="479">
        <f t="shared" si="242"/>
        <v>0</v>
      </c>
      <c r="BX303" s="761">
        <f t="shared" si="207"/>
        <v>0</v>
      </c>
      <c r="BY303" s="477" t="s">
        <v>46</v>
      </c>
      <c r="BZ303" s="598">
        <f>IFERROR(INDEX('Early Retirement'!$BG$4:$CG$33,$BO303,$BR303),0)</f>
        <v>0</v>
      </c>
      <c r="CA303" s="759">
        <f>IFERROR(HLOOKUP($BR303,'Early Retirement'!$BH$4:$CH$5,2,FALSE),0)</f>
        <v>0</v>
      </c>
      <c r="CB303" s="598">
        <f t="shared" si="208"/>
        <v>0</v>
      </c>
      <c r="CC303" s="759" t="s">
        <v>567</v>
      </c>
      <c r="CD303" s="477" t="str">
        <f t="shared" si="243"/>
        <v>Yes</v>
      </c>
      <c r="CE303" s="479">
        <f t="shared" si="210"/>
        <v>0</v>
      </c>
      <c r="CF303" s="761">
        <f t="shared" si="211"/>
        <v>0</v>
      </c>
      <c r="CG303" s="759" t="s">
        <v>46</v>
      </c>
      <c r="CH303" s="598">
        <f t="shared" si="217"/>
        <v>0</v>
      </c>
      <c r="CI303" s="759" t="s">
        <v>567</v>
      </c>
      <c r="CJ303" s="480">
        <f t="shared" si="244"/>
        <v>0</v>
      </c>
      <c r="CK303" s="583">
        <f t="shared" si="213"/>
        <v>0</v>
      </c>
      <c r="CL303" s="596" t="s">
        <v>46</v>
      </c>
      <c r="CM303" s="581">
        <f t="shared" si="214"/>
        <v>0</v>
      </c>
      <c r="CN303" s="762" t="s">
        <v>567</v>
      </c>
      <c r="CW303" s="630"/>
      <c r="CX303" s="630"/>
      <c r="CY303" s="630"/>
      <c r="CZ303" s="630"/>
      <c r="DA303" s="630"/>
    </row>
    <row r="304" spans="2:105" s="78" customFormat="1" ht="15" customHeight="1" x14ac:dyDescent="0.25">
      <c r="B304" s="77"/>
      <c r="E304" s="77"/>
      <c r="H304" s="77"/>
      <c r="Y304" s="90">
        <v>51</v>
      </c>
      <c r="Z304" s="559" t="str">
        <f>IF(Inventory!$C60="","",VLOOKUP(Inventory!$C60,$B$7:$C$9,2,FALSE))</f>
        <v/>
      </c>
      <c r="AA304" s="559" t="str">
        <f>IF($Z304="","",IF(AND($Z304="b",Inventory!$G60=""),"",IF(AND($Z304="b",Inventory!$G60&lt;&gt;""),VLOOKUP(Inventory!$G60,$E$3:$F$10,2,FALSE),IF(AND($Z304="a",Inventory!$Z60=""),"",IF(AND($Z304="a",Inventory!$Z60&lt;&gt;""),VLOOKUP(Inventory!$Z60,$E$3:$F$10,2,FALSE),IF(AND($Z304="c",Inventory!$Z60=""),"",IF(AND($Z304="c",Inventory!$Z60&lt;&gt;""),VLOOKUP(Inventory!$Z60,$E$3:$F$10,2,FALSE),"")))))))</f>
        <v/>
      </c>
      <c r="AB304" s="559" t="str">
        <f>IF($Z304="","a",IF(AND($Z304="b",Inventory!$J60=""),"a",IF(AND($Z304="b",Inventory!$J60&lt;&gt;""),VLOOKUP(Inventory!$J60,$H$4:$I$6,2,FALSE),IF(AND($Z304="a",Inventory!$AA60=""),"a",IF(AND($Z304="a",Inventory!$AA60&lt;&gt;""),VLOOKUP(Inventory!$AA60,$H$4:$I$6,2,FALSE),IF(AND($Z304="c",Inventory!$AA60=""),"a",IF(AND($Z304="c",Inventory!$AA60&lt;&gt;""),VLOOKUP(Inventory!$AA60,$H$4:$I$6,2,FALSE),"a")))))))</f>
        <v>a</v>
      </c>
      <c r="AC304" s="559" t="str">
        <f t="shared" si="219"/>
        <v>a</v>
      </c>
      <c r="AD304" s="473" t="str">
        <f>IF($Z304="","a",IF(AND($Z304="b",Inventory!$L60=""),"a",IF(AND($Z304="b",Inventory!$L60&lt;&gt;""),VLOOKUP(Inventory!$L60,$N$4:$O$5,2,FALSE),IF(AND($Z304="a",Inventory!$AC60=""),"a",IF(AND($Z304="a",Inventory!$AC60&lt;&gt;""),VLOOKUP(Inventory!$AC60,$N$4:$O$5,2,FALSE),IF(AND($Z304="c",Inventory!$AC60=""),"a",IF(AND($Z304="c",Inventory!$AC60&lt;&gt;""),VLOOKUP(Inventory!$AC60,$N$4:$O$5,2,FALSE),"a")))))))</f>
        <v>a</v>
      </c>
      <c r="AE304" s="474">
        <f>IF(OR(Inventory!C60="New Construction",Inventory!C60="Replace-on-Burnout"),Inventory!AF60,IF(Inventory!C60="Early Retirement",MIN(Inventory!AE60,Inventory!AF60),0))</f>
        <v>0</v>
      </c>
      <c r="AF304" s="475" t="str">
        <f t="shared" si="220"/>
        <v/>
      </c>
      <c r="AG304" s="475" t="str">
        <f t="shared" si="221"/>
        <v/>
      </c>
      <c r="AH304" s="475" t="str">
        <f t="shared" si="222"/>
        <v/>
      </c>
      <c r="AI304" s="475" t="str">
        <f t="shared" si="223"/>
        <v/>
      </c>
      <c r="AJ304" s="475" t="str">
        <f t="shared" si="224"/>
        <v/>
      </c>
      <c r="AK304" s="475" t="str">
        <f t="shared" si="225"/>
        <v/>
      </c>
      <c r="AL304" s="475" t="str">
        <f t="shared" si="226"/>
        <v/>
      </c>
      <c r="AM304" s="475" t="str">
        <f t="shared" si="227"/>
        <v/>
      </c>
      <c r="AN304" s="475" t="str">
        <f t="shared" si="228"/>
        <v/>
      </c>
      <c r="AO304" s="475" t="str">
        <f t="shared" si="229"/>
        <v/>
      </c>
      <c r="AP304" s="475" t="str">
        <f t="shared" si="230"/>
        <v/>
      </c>
      <c r="AQ304" s="475" t="str">
        <f t="shared" si="231"/>
        <v/>
      </c>
      <c r="AR304" s="475" t="str">
        <f t="shared" si="232"/>
        <v/>
      </c>
      <c r="AS304" s="475" t="str">
        <f t="shared" si="215"/>
        <v/>
      </c>
      <c r="AT304" s="475" t="str">
        <f t="shared" si="233"/>
        <v/>
      </c>
      <c r="AU304" s="475" t="str">
        <f t="shared" si="234"/>
        <v/>
      </c>
      <c r="AV304" s="475" t="str">
        <f t="shared" si="235"/>
        <v/>
      </c>
      <c r="AW304" s="473">
        <f t="shared" si="236"/>
        <v>0</v>
      </c>
      <c r="AX304" s="473" t="str">
        <f>IF(AND($Z304="b",OR($AA304="a",$AA304="b"),Inventory!$I60="",$AE304&lt;(65000/12000)),"x",IF(AND($Z304="b",OR($AA304="a",$AA304="b"),Inventory!$I60&lt;&gt;"",$AE304&lt;(65000/12000)),VLOOKUP(Inventory!$I311,$V$4:$W$5,2,FALSE),"x"))</f>
        <v>x</v>
      </c>
      <c r="AY304" s="476" t="str">
        <f t="shared" si="237"/>
        <v>aaa0</v>
      </c>
      <c r="AZ304" s="477" t="str">
        <f t="shared" si="197"/>
        <v>No</v>
      </c>
      <c r="BA304" s="759" t="str">
        <f t="shared" si="198"/>
        <v>No</v>
      </c>
      <c r="BB304" s="477">
        <f>IF($Z304="c",Inventory!$AB60,Inventory!$K60)</f>
        <v>0</v>
      </c>
      <c r="BC304" s="478">
        <f>IF(AND($Z304="b",Inventory!$N60="Btu/hr"),Inventory!$M60,IF(AND($Z304="b",Inventory!$N60="Tons"),Inventory!$M60*12000,IF(AND($Z304&lt;&gt;"b",Inventory!$AK60="Btu/hr"),Inventory!$AD60,IF(AND($Z304&lt;&gt;"b",Inventory!$AK60="Tons"),Inventory!$AD60*12000,0))))</f>
        <v>0</v>
      </c>
      <c r="BD304" s="478">
        <f t="shared" si="245"/>
        <v>0</v>
      </c>
      <c r="BE304" s="479">
        <f t="shared" si="216"/>
        <v>0</v>
      </c>
      <c r="BF304" s="477" t="s">
        <v>50</v>
      </c>
      <c r="BG304" s="479">
        <f t="shared" si="239"/>
        <v>0</v>
      </c>
      <c r="BH304" s="477" t="s">
        <v>46</v>
      </c>
      <c r="BI304" s="760">
        <f>IF(AND($Z304="b",Inventory!$P60="Btu/hr"),Inventory!$O60,IF(AND($Z304="b",Inventory!$P60="Tons"),Inventory!$O60*12000,IF(AND($Z304&lt;&gt;"b",Inventory!$AM60="Btu/hr"),Inventory!$AL60,IF(AND($Z304&lt;&gt;"b",Inventory!$AM60="Tons"),Inventory!$AL60*12000,0))))</f>
        <v>0</v>
      </c>
      <c r="BJ304" s="760">
        <f t="shared" si="246"/>
        <v>0</v>
      </c>
      <c r="BK304" s="598">
        <f t="shared" si="202"/>
        <v>0</v>
      </c>
      <c r="BL304" s="759" t="s">
        <v>567</v>
      </c>
      <c r="BM304" s="477" t="str">
        <f t="shared" si="240"/>
        <v>No</v>
      </c>
      <c r="BN304" s="477" t="str">
        <f>IF(OR(Inventory!$H60="",$BM304="No"),"-",Inventory!$H60)</f>
        <v>-</v>
      </c>
      <c r="BO304" s="477" t="str">
        <f>IFERROR(VLOOKUP(BN304,'Early Retirement'!$B$6:$C$33,2,FALSE),"-")</f>
        <v>-</v>
      </c>
      <c r="BP304" s="477" t="str">
        <f>IF(Inventory!$J60="Centrifugal","Yes","No")</f>
        <v>No</v>
      </c>
      <c r="BQ304" s="477">
        <f t="shared" si="241"/>
        <v>0</v>
      </c>
      <c r="BR304" s="477" t="str">
        <f t="shared" si="218"/>
        <v>-</v>
      </c>
      <c r="BS304" s="479">
        <f>IFERROR(INDEX('Early Retirement'!$C$4:$AC$33,$BO304,$BR304),0)</f>
        <v>0</v>
      </c>
      <c r="BT304" s="477">
        <f>IFERROR(HLOOKUP($BR304,'Early Retirement'!$D$4:$AC$5,2,FALSE),0)</f>
        <v>0</v>
      </c>
      <c r="BU304" s="761">
        <f>IFERROR(INDEX('Early Retirement'!$AE$4:$BE$33,$BO304,$BR304),0)</f>
        <v>0</v>
      </c>
      <c r="BV304" s="759">
        <f>IFERROR(HLOOKUP($BR304,'Early Retirement'!$AF$4:$BE$5,2,FALSE),0)</f>
        <v>0</v>
      </c>
      <c r="BW304" s="479">
        <f t="shared" si="242"/>
        <v>0</v>
      </c>
      <c r="BX304" s="761">
        <f t="shared" si="207"/>
        <v>0</v>
      </c>
      <c r="BY304" s="477" t="s">
        <v>46</v>
      </c>
      <c r="BZ304" s="598">
        <f>IFERROR(INDEX('Early Retirement'!$BG$4:$CG$33,$BO304,$BR304),0)</f>
        <v>0</v>
      </c>
      <c r="CA304" s="759">
        <f>IFERROR(HLOOKUP($BR304,'Early Retirement'!$BH$4:$CH$5,2,FALSE),0)</f>
        <v>0</v>
      </c>
      <c r="CB304" s="598">
        <f t="shared" si="208"/>
        <v>0</v>
      </c>
      <c r="CC304" s="759" t="s">
        <v>567</v>
      </c>
      <c r="CD304" s="477" t="str">
        <f t="shared" si="243"/>
        <v>Yes</v>
      </c>
      <c r="CE304" s="479">
        <f t="shared" si="210"/>
        <v>0</v>
      </c>
      <c r="CF304" s="761">
        <f t="shared" si="211"/>
        <v>0</v>
      </c>
      <c r="CG304" s="759" t="s">
        <v>46</v>
      </c>
      <c r="CH304" s="598">
        <f t="shared" si="217"/>
        <v>0</v>
      </c>
      <c r="CI304" s="759" t="s">
        <v>567</v>
      </c>
      <c r="CJ304" s="480">
        <f t="shared" si="244"/>
        <v>0</v>
      </c>
      <c r="CK304" s="583">
        <f t="shared" si="213"/>
        <v>0</v>
      </c>
      <c r="CL304" s="596" t="s">
        <v>46</v>
      </c>
      <c r="CM304" s="581">
        <f t="shared" si="214"/>
        <v>0</v>
      </c>
      <c r="CN304" s="762" t="s">
        <v>567</v>
      </c>
      <c r="CW304" s="630"/>
      <c r="CX304" s="630"/>
      <c r="CY304" s="630"/>
      <c r="CZ304" s="630"/>
      <c r="DA304" s="630"/>
    </row>
    <row r="305" spans="2:105" s="78" customFormat="1" ht="15" customHeight="1" x14ac:dyDescent="0.25">
      <c r="B305" s="77"/>
      <c r="E305" s="77"/>
      <c r="H305" s="77"/>
      <c r="Y305" s="90">
        <v>52</v>
      </c>
      <c r="Z305" s="559" t="str">
        <f>IF(Inventory!$C61="","",VLOOKUP(Inventory!$C61,$B$7:$C$9,2,FALSE))</f>
        <v/>
      </c>
      <c r="AA305" s="559" t="str">
        <f>IF($Z305="","",IF(AND($Z305="b",Inventory!$G61=""),"",IF(AND($Z305="b",Inventory!$G61&lt;&gt;""),VLOOKUP(Inventory!$G61,$E$3:$F$10,2,FALSE),IF(AND($Z305="a",Inventory!$Z61=""),"",IF(AND($Z305="a",Inventory!$Z61&lt;&gt;""),VLOOKUP(Inventory!$Z61,$E$3:$F$10,2,FALSE),IF(AND($Z305="c",Inventory!$Z61=""),"",IF(AND($Z305="c",Inventory!$Z61&lt;&gt;""),VLOOKUP(Inventory!$Z61,$E$3:$F$10,2,FALSE),"")))))))</f>
        <v/>
      </c>
      <c r="AB305" s="559" t="str">
        <f>IF($Z305="","a",IF(AND($Z305="b",Inventory!$J61=""),"a",IF(AND($Z305="b",Inventory!$J61&lt;&gt;""),VLOOKUP(Inventory!$J61,$H$4:$I$6,2,FALSE),IF(AND($Z305="a",Inventory!$AA61=""),"a",IF(AND($Z305="a",Inventory!$AA61&lt;&gt;""),VLOOKUP(Inventory!$AA61,$H$4:$I$6,2,FALSE),IF(AND($Z305="c",Inventory!$AA61=""),"a",IF(AND($Z305="c",Inventory!$AA61&lt;&gt;""),VLOOKUP(Inventory!$AA61,$H$4:$I$6,2,FALSE),"a")))))))</f>
        <v>a</v>
      </c>
      <c r="AC305" s="559" t="str">
        <f t="shared" si="219"/>
        <v>a</v>
      </c>
      <c r="AD305" s="473" t="str">
        <f>IF($Z305="","a",IF(AND($Z305="b",Inventory!$L61=""),"a",IF(AND($Z305="b",Inventory!$L61&lt;&gt;""),VLOOKUP(Inventory!$L61,$N$4:$O$5,2,FALSE),IF(AND($Z305="a",Inventory!$AC61=""),"a",IF(AND($Z305="a",Inventory!$AC61&lt;&gt;""),VLOOKUP(Inventory!$AC61,$N$4:$O$5,2,FALSE),IF(AND($Z305="c",Inventory!$AC61=""),"a",IF(AND($Z305="c",Inventory!$AC61&lt;&gt;""),VLOOKUP(Inventory!$AC61,$N$4:$O$5,2,FALSE),"a")))))))</f>
        <v>a</v>
      </c>
      <c r="AE305" s="474">
        <f>IF(OR(Inventory!C61="New Construction",Inventory!C61="Replace-on-Burnout"),Inventory!AF61,IF(Inventory!C61="Early Retirement",MIN(Inventory!AE61,Inventory!AF61),0))</f>
        <v>0</v>
      </c>
      <c r="AF305" s="475" t="str">
        <f t="shared" si="220"/>
        <v/>
      </c>
      <c r="AG305" s="475" t="str">
        <f t="shared" si="221"/>
        <v/>
      </c>
      <c r="AH305" s="475" t="str">
        <f t="shared" si="222"/>
        <v/>
      </c>
      <c r="AI305" s="475" t="str">
        <f t="shared" si="223"/>
        <v/>
      </c>
      <c r="AJ305" s="475" t="str">
        <f t="shared" si="224"/>
        <v/>
      </c>
      <c r="AK305" s="475" t="str">
        <f t="shared" si="225"/>
        <v/>
      </c>
      <c r="AL305" s="475" t="str">
        <f t="shared" si="226"/>
        <v/>
      </c>
      <c r="AM305" s="475" t="str">
        <f t="shared" si="227"/>
        <v/>
      </c>
      <c r="AN305" s="475" t="str">
        <f t="shared" si="228"/>
        <v/>
      </c>
      <c r="AO305" s="475" t="str">
        <f t="shared" si="229"/>
        <v/>
      </c>
      <c r="AP305" s="475" t="str">
        <f t="shared" si="230"/>
        <v/>
      </c>
      <c r="AQ305" s="475" t="str">
        <f t="shared" si="231"/>
        <v/>
      </c>
      <c r="AR305" s="475" t="str">
        <f t="shared" si="232"/>
        <v/>
      </c>
      <c r="AS305" s="475" t="str">
        <f t="shared" si="215"/>
        <v/>
      </c>
      <c r="AT305" s="475" t="str">
        <f t="shared" si="233"/>
        <v/>
      </c>
      <c r="AU305" s="475" t="str">
        <f t="shared" si="234"/>
        <v/>
      </c>
      <c r="AV305" s="475" t="str">
        <f t="shared" si="235"/>
        <v/>
      </c>
      <c r="AW305" s="473">
        <f t="shared" si="236"/>
        <v>0</v>
      </c>
      <c r="AX305" s="473" t="str">
        <f>IF(AND($Z305="b",OR($AA305="a",$AA305="b"),Inventory!$I61="",$AE305&lt;(65000/12000)),"x",IF(AND($Z305="b",OR($AA305="a",$AA305="b"),Inventory!$I61&lt;&gt;"",$AE305&lt;(65000/12000)),VLOOKUP(Inventory!$I312,$V$4:$W$5,2,FALSE),"x"))</f>
        <v>x</v>
      </c>
      <c r="AY305" s="476" t="str">
        <f t="shared" si="237"/>
        <v>aaa0</v>
      </c>
      <c r="AZ305" s="477" t="str">
        <f t="shared" si="197"/>
        <v>No</v>
      </c>
      <c r="BA305" s="759" t="str">
        <f t="shared" si="198"/>
        <v>No</v>
      </c>
      <c r="BB305" s="477">
        <f>IF($Z305="c",Inventory!$AB61,Inventory!$K61)</f>
        <v>0</v>
      </c>
      <c r="BC305" s="478">
        <f>IF(AND($Z305="b",Inventory!$N61="Btu/hr"),Inventory!$M61,IF(AND($Z305="b",Inventory!$N61="Tons"),Inventory!$M61*12000,IF(AND($Z305&lt;&gt;"b",Inventory!$AK61="Btu/hr"),Inventory!$AD61,IF(AND($Z305&lt;&gt;"b",Inventory!$AK61="Tons"),Inventory!$AD61*12000,0))))</f>
        <v>0</v>
      </c>
      <c r="BD305" s="478">
        <f t="shared" si="245"/>
        <v>0</v>
      </c>
      <c r="BE305" s="479">
        <f t="shared" si="216"/>
        <v>0</v>
      </c>
      <c r="BF305" s="477" t="s">
        <v>50</v>
      </c>
      <c r="BG305" s="479">
        <f t="shared" si="239"/>
        <v>0</v>
      </c>
      <c r="BH305" s="477" t="s">
        <v>46</v>
      </c>
      <c r="BI305" s="760">
        <f>IF(AND($Z305="b",Inventory!$P61="Btu/hr"),Inventory!$O61,IF(AND($Z305="b",Inventory!$P61="Tons"),Inventory!$O61*12000,IF(AND($Z305&lt;&gt;"b",Inventory!$AM61="Btu/hr"),Inventory!$AL61,IF(AND($Z305&lt;&gt;"b",Inventory!$AM61="Tons"),Inventory!$AL61*12000,0))))</f>
        <v>0</v>
      </c>
      <c r="BJ305" s="760">
        <f t="shared" si="246"/>
        <v>0</v>
      </c>
      <c r="BK305" s="598">
        <f t="shared" si="202"/>
        <v>0</v>
      </c>
      <c r="BL305" s="759" t="s">
        <v>567</v>
      </c>
      <c r="BM305" s="477" t="str">
        <f t="shared" si="240"/>
        <v>No</v>
      </c>
      <c r="BN305" s="477" t="str">
        <f>IF(OR(Inventory!$H61="",$BM305="No"),"-",Inventory!$H61)</f>
        <v>-</v>
      </c>
      <c r="BO305" s="477" t="str">
        <f>IFERROR(VLOOKUP(BN305,'Early Retirement'!$B$6:$C$33,2,FALSE),"-")</f>
        <v>-</v>
      </c>
      <c r="BP305" s="477" t="str">
        <f>IF(Inventory!$J61="Centrifugal","Yes","No")</f>
        <v>No</v>
      </c>
      <c r="BQ305" s="477">
        <f t="shared" si="241"/>
        <v>0</v>
      </c>
      <c r="BR305" s="477" t="str">
        <f t="shared" si="218"/>
        <v>-</v>
      </c>
      <c r="BS305" s="479">
        <f>IFERROR(INDEX('Early Retirement'!$C$4:$AC$33,$BO305,$BR305),0)</f>
        <v>0</v>
      </c>
      <c r="BT305" s="477">
        <f>IFERROR(HLOOKUP($BR305,'Early Retirement'!$D$4:$AC$5,2,FALSE),0)</f>
        <v>0</v>
      </c>
      <c r="BU305" s="761">
        <f>IFERROR(INDEX('Early Retirement'!$AE$4:$BE$33,$BO305,$BR305),0)</f>
        <v>0</v>
      </c>
      <c r="BV305" s="759">
        <f>IFERROR(HLOOKUP($BR305,'Early Retirement'!$AF$4:$BE$5,2,FALSE),0)</f>
        <v>0</v>
      </c>
      <c r="BW305" s="479">
        <f t="shared" si="242"/>
        <v>0</v>
      </c>
      <c r="BX305" s="761">
        <f t="shared" si="207"/>
        <v>0</v>
      </c>
      <c r="BY305" s="477" t="s">
        <v>46</v>
      </c>
      <c r="BZ305" s="598">
        <f>IFERROR(INDEX('Early Retirement'!$BG$4:$CG$33,$BO305,$BR305),0)</f>
        <v>0</v>
      </c>
      <c r="CA305" s="759">
        <f>IFERROR(HLOOKUP($BR305,'Early Retirement'!$BH$4:$CH$5,2,FALSE),0)</f>
        <v>0</v>
      </c>
      <c r="CB305" s="598">
        <f t="shared" si="208"/>
        <v>0</v>
      </c>
      <c r="CC305" s="759" t="s">
        <v>567</v>
      </c>
      <c r="CD305" s="477" t="str">
        <f t="shared" si="243"/>
        <v>Yes</v>
      </c>
      <c r="CE305" s="479">
        <f t="shared" si="210"/>
        <v>0</v>
      </c>
      <c r="CF305" s="761">
        <f t="shared" si="211"/>
        <v>0</v>
      </c>
      <c r="CG305" s="759" t="s">
        <v>46</v>
      </c>
      <c r="CH305" s="598">
        <f t="shared" si="217"/>
        <v>0</v>
      </c>
      <c r="CI305" s="759" t="s">
        <v>567</v>
      </c>
      <c r="CJ305" s="480">
        <f t="shared" si="244"/>
        <v>0</v>
      </c>
      <c r="CK305" s="583">
        <f t="shared" si="213"/>
        <v>0</v>
      </c>
      <c r="CL305" s="596" t="s">
        <v>46</v>
      </c>
      <c r="CM305" s="581">
        <f t="shared" si="214"/>
        <v>0</v>
      </c>
      <c r="CN305" s="762" t="s">
        <v>567</v>
      </c>
      <c r="CW305" s="630"/>
      <c r="CX305" s="630"/>
      <c r="CY305" s="630"/>
      <c r="CZ305" s="630"/>
      <c r="DA305" s="630"/>
    </row>
    <row r="306" spans="2:105" s="78" customFormat="1" ht="15" customHeight="1" x14ac:dyDescent="0.25">
      <c r="B306" s="77"/>
      <c r="E306" s="77"/>
      <c r="H306" s="77"/>
      <c r="Y306" s="90">
        <v>53</v>
      </c>
      <c r="Z306" s="559" t="str">
        <f>IF(Inventory!$C62="","",VLOOKUP(Inventory!$C62,$B$7:$C$9,2,FALSE))</f>
        <v/>
      </c>
      <c r="AA306" s="559" t="str">
        <f>IF($Z306="","",IF(AND($Z306="b",Inventory!$G62=""),"",IF(AND($Z306="b",Inventory!$G62&lt;&gt;""),VLOOKUP(Inventory!$G62,$E$3:$F$10,2,FALSE),IF(AND($Z306="a",Inventory!$Z62=""),"",IF(AND($Z306="a",Inventory!$Z62&lt;&gt;""),VLOOKUP(Inventory!$Z62,$E$3:$F$10,2,FALSE),IF(AND($Z306="c",Inventory!$Z62=""),"",IF(AND($Z306="c",Inventory!$Z62&lt;&gt;""),VLOOKUP(Inventory!$Z62,$E$3:$F$10,2,FALSE),"")))))))</f>
        <v/>
      </c>
      <c r="AB306" s="559" t="str">
        <f>IF($Z306="","a",IF(AND($Z306="b",Inventory!$J62=""),"a",IF(AND($Z306="b",Inventory!$J62&lt;&gt;""),VLOOKUP(Inventory!$J62,$H$4:$I$6,2,FALSE),IF(AND($Z306="a",Inventory!$AA62=""),"a",IF(AND($Z306="a",Inventory!$AA62&lt;&gt;""),VLOOKUP(Inventory!$AA62,$H$4:$I$6,2,FALSE),IF(AND($Z306="c",Inventory!$AA62=""),"a",IF(AND($Z306="c",Inventory!$AA62&lt;&gt;""),VLOOKUP(Inventory!$AA62,$H$4:$I$6,2,FALSE),"a")))))))</f>
        <v>a</v>
      </c>
      <c r="AC306" s="559" t="str">
        <f t="shared" si="219"/>
        <v>a</v>
      </c>
      <c r="AD306" s="473" t="str">
        <f>IF($Z306="","a",IF(AND($Z306="b",Inventory!$L62=""),"a",IF(AND($Z306="b",Inventory!$L62&lt;&gt;""),VLOOKUP(Inventory!$L62,$N$4:$O$5,2,FALSE),IF(AND($Z306="a",Inventory!$AC62=""),"a",IF(AND($Z306="a",Inventory!$AC62&lt;&gt;""),VLOOKUP(Inventory!$AC62,$N$4:$O$5,2,FALSE),IF(AND($Z306="c",Inventory!$AC62=""),"a",IF(AND($Z306="c",Inventory!$AC62&lt;&gt;""),VLOOKUP(Inventory!$AC62,$N$4:$O$5,2,FALSE),"a")))))))</f>
        <v>a</v>
      </c>
      <c r="AE306" s="474">
        <f>IF(OR(Inventory!C62="New Construction",Inventory!C62="Replace-on-Burnout"),Inventory!AF62,IF(Inventory!C62="Early Retirement",MIN(Inventory!AE62,Inventory!AF62),0))</f>
        <v>0</v>
      </c>
      <c r="AF306" s="475" t="str">
        <f t="shared" si="220"/>
        <v/>
      </c>
      <c r="AG306" s="475" t="str">
        <f t="shared" si="221"/>
        <v/>
      </c>
      <c r="AH306" s="475" t="str">
        <f t="shared" si="222"/>
        <v/>
      </c>
      <c r="AI306" s="475" t="str">
        <f t="shared" si="223"/>
        <v/>
      </c>
      <c r="AJ306" s="475" t="str">
        <f t="shared" si="224"/>
        <v/>
      </c>
      <c r="AK306" s="475" t="str">
        <f t="shared" si="225"/>
        <v/>
      </c>
      <c r="AL306" s="475" t="str">
        <f t="shared" si="226"/>
        <v/>
      </c>
      <c r="AM306" s="475" t="str">
        <f t="shared" si="227"/>
        <v/>
      </c>
      <c r="AN306" s="475" t="str">
        <f t="shared" si="228"/>
        <v/>
      </c>
      <c r="AO306" s="475" t="str">
        <f t="shared" si="229"/>
        <v/>
      </c>
      <c r="AP306" s="475" t="str">
        <f t="shared" si="230"/>
        <v/>
      </c>
      <c r="AQ306" s="475" t="str">
        <f t="shared" si="231"/>
        <v/>
      </c>
      <c r="AR306" s="475" t="str">
        <f t="shared" si="232"/>
        <v/>
      </c>
      <c r="AS306" s="475" t="str">
        <f t="shared" si="215"/>
        <v/>
      </c>
      <c r="AT306" s="475" t="str">
        <f t="shared" si="233"/>
        <v/>
      </c>
      <c r="AU306" s="475" t="str">
        <f t="shared" si="234"/>
        <v/>
      </c>
      <c r="AV306" s="475" t="str">
        <f t="shared" si="235"/>
        <v/>
      </c>
      <c r="AW306" s="473">
        <f t="shared" si="236"/>
        <v>0</v>
      </c>
      <c r="AX306" s="473" t="str">
        <f>IF(AND($Z306="b",OR($AA306="a",$AA306="b"),Inventory!$I62="",$AE306&lt;(65000/12000)),"x",IF(AND($Z306="b",OR($AA306="a",$AA306="b"),Inventory!$I62&lt;&gt;"",$AE306&lt;(65000/12000)),VLOOKUP(Inventory!$I313,$V$4:$W$5,2,FALSE),"x"))</f>
        <v>x</v>
      </c>
      <c r="AY306" s="476" t="str">
        <f t="shared" si="237"/>
        <v>aaa0</v>
      </c>
      <c r="AZ306" s="477" t="str">
        <f t="shared" si="197"/>
        <v>No</v>
      </c>
      <c r="BA306" s="759" t="str">
        <f t="shared" si="198"/>
        <v>No</v>
      </c>
      <c r="BB306" s="477">
        <f>IF($Z306="c",Inventory!$AB62,Inventory!$K62)</f>
        <v>0</v>
      </c>
      <c r="BC306" s="478">
        <f>IF(AND($Z306="b",Inventory!$N62="Btu/hr"),Inventory!$M62,IF(AND($Z306="b",Inventory!$N62="Tons"),Inventory!$M62*12000,IF(AND($Z306&lt;&gt;"b",Inventory!$AK62="Btu/hr"),Inventory!$AD62,IF(AND($Z306&lt;&gt;"b",Inventory!$AK62="Tons"),Inventory!$AD62*12000,0))))</f>
        <v>0</v>
      </c>
      <c r="BD306" s="478">
        <f t="shared" si="245"/>
        <v>0</v>
      </c>
      <c r="BE306" s="479">
        <f t="shared" si="216"/>
        <v>0</v>
      </c>
      <c r="BF306" s="477" t="s">
        <v>50</v>
      </c>
      <c r="BG306" s="479">
        <f t="shared" si="239"/>
        <v>0</v>
      </c>
      <c r="BH306" s="477" t="s">
        <v>46</v>
      </c>
      <c r="BI306" s="760">
        <f>IF(AND($Z306="b",Inventory!$P62="Btu/hr"),Inventory!$O62,IF(AND($Z306="b",Inventory!$P62="Tons"),Inventory!$O62*12000,IF(AND($Z306&lt;&gt;"b",Inventory!$AM62="Btu/hr"),Inventory!$AL62,IF(AND($Z306&lt;&gt;"b",Inventory!$AM62="Tons"),Inventory!$AL62*12000,0))))</f>
        <v>0</v>
      </c>
      <c r="BJ306" s="760">
        <f t="shared" si="246"/>
        <v>0</v>
      </c>
      <c r="BK306" s="598">
        <f t="shared" si="202"/>
        <v>0</v>
      </c>
      <c r="BL306" s="759" t="s">
        <v>567</v>
      </c>
      <c r="BM306" s="477" t="str">
        <f t="shared" si="240"/>
        <v>No</v>
      </c>
      <c r="BN306" s="477" t="str">
        <f>IF(OR(Inventory!$H62="",$BM306="No"),"-",Inventory!$H62)</f>
        <v>-</v>
      </c>
      <c r="BO306" s="477" t="str">
        <f>IFERROR(VLOOKUP(BN306,'Early Retirement'!$B$6:$C$33,2,FALSE),"-")</f>
        <v>-</v>
      </c>
      <c r="BP306" s="477" t="str">
        <f>IF(Inventory!$J62="Centrifugal","Yes","No")</f>
        <v>No</v>
      </c>
      <c r="BQ306" s="477">
        <f t="shared" si="241"/>
        <v>0</v>
      </c>
      <c r="BR306" s="477" t="str">
        <f t="shared" si="218"/>
        <v>-</v>
      </c>
      <c r="BS306" s="479">
        <f>IFERROR(INDEX('Early Retirement'!$C$4:$AC$33,$BO306,$BR306),0)</f>
        <v>0</v>
      </c>
      <c r="BT306" s="477">
        <f>IFERROR(HLOOKUP($BR306,'Early Retirement'!$D$4:$AC$5,2,FALSE),0)</f>
        <v>0</v>
      </c>
      <c r="BU306" s="761">
        <f>IFERROR(INDEX('Early Retirement'!$AE$4:$BE$33,$BO306,$BR306),0)</f>
        <v>0</v>
      </c>
      <c r="BV306" s="759">
        <f>IFERROR(HLOOKUP($BR306,'Early Retirement'!$AF$4:$BE$5,2,FALSE),0)</f>
        <v>0</v>
      </c>
      <c r="BW306" s="479">
        <f t="shared" si="242"/>
        <v>0</v>
      </c>
      <c r="BX306" s="761">
        <f t="shared" si="207"/>
        <v>0</v>
      </c>
      <c r="BY306" s="477" t="s">
        <v>46</v>
      </c>
      <c r="BZ306" s="598">
        <f>IFERROR(INDEX('Early Retirement'!$BG$4:$CG$33,$BO306,$BR306),0)</f>
        <v>0</v>
      </c>
      <c r="CA306" s="759">
        <f>IFERROR(HLOOKUP($BR306,'Early Retirement'!$BH$4:$CH$5,2,FALSE),0)</f>
        <v>0</v>
      </c>
      <c r="CB306" s="598">
        <f t="shared" si="208"/>
        <v>0</v>
      </c>
      <c r="CC306" s="759" t="s">
        <v>567</v>
      </c>
      <c r="CD306" s="477" t="str">
        <f t="shared" si="243"/>
        <v>Yes</v>
      </c>
      <c r="CE306" s="479">
        <f t="shared" si="210"/>
        <v>0</v>
      </c>
      <c r="CF306" s="761">
        <f t="shared" si="211"/>
        <v>0</v>
      </c>
      <c r="CG306" s="759" t="s">
        <v>46</v>
      </c>
      <c r="CH306" s="598">
        <f t="shared" si="217"/>
        <v>0</v>
      </c>
      <c r="CI306" s="759" t="s">
        <v>567</v>
      </c>
      <c r="CJ306" s="480">
        <f t="shared" si="244"/>
        <v>0</v>
      </c>
      <c r="CK306" s="583">
        <f t="shared" si="213"/>
        <v>0</v>
      </c>
      <c r="CL306" s="596" t="s">
        <v>46</v>
      </c>
      <c r="CM306" s="581">
        <f t="shared" si="214"/>
        <v>0</v>
      </c>
      <c r="CN306" s="762" t="s">
        <v>567</v>
      </c>
      <c r="CW306" s="630"/>
      <c r="CX306" s="630"/>
      <c r="CY306" s="630"/>
      <c r="CZ306" s="630"/>
      <c r="DA306" s="630"/>
    </row>
    <row r="307" spans="2:105" s="78" customFormat="1" ht="15" customHeight="1" x14ac:dyDescent="0.25">
      <c r="B307" s="77"/>
      <c r="E307" s="77"/>
      <c r="H307" s="77"/>
      <c r="Y307" s="90">
        <v>54</v>
      </c>
      <c r="Z307" s="559" t="str">
        <f>IF(Inventory!$C63="","",VLOOKUP(Inventory!$C63,$B$7:$C$9,2,FALSE))</f>
        <v/>
      </c>
      <c r="AA307" s="559" t="str">
        <f>IF($Z307="","",IF(AND($Z307="b",Inventory!$G63=""),"",IF(AND($Z307="b",Inventory!$G63&lt;&gt;""),VLOOKUP(Inventory!$G63,$E$3:$F$10,2,FALSE),IF(AND($Z307="a",Inventory!$Z63=""),"",IF(AND($Z307="a",Inventory!$Z63&lt;&gt;""),VLOOKUP(Inventory!$Z63,$E$3:$F$10,2,FALSE),IF(AND($Z307="c",Inventory!$Z63=""),"",IF(AND($Z307="c",Inventory!$Z63&lt;&gt;""),VLOOKUP(Inventory!$Z63,$E$3:$F$10,2,FALSE),"")))))))</f>
        <v/>
      </c>
      <c r="AB307" s="559" t="str">
        <f>IF($Z307="","a",IF(AND($Z307="b",Inventory!$J63=""),"a",IF(AND($Z307="b",Inventory!$J63&lt;&gt;""),VLOOKUP(Inventory!$J63,$H$4:$I$6,2,FALSE),IF(AND($Z307="a",Inventory!$AA63=""),"a",IF(AND($Z307="a",Inventory!$AA63&lt;&gt;""),VLOOKUP(Inventory!$AA63,$H$4:$I$6,2,FALSE),IF(AND($Z307="c",Inventory!$AA63=""),"a",IF(AND($Z307="c",Inventory!$AA63&lt;&gt;""),VLOOKUP(Inventory!$AA63,$H$4:$I$6,2,FALSE),"a")))))))</f>
        <v>a</v>
      </c>
      <c r="AC307" s="559" t="str">
        <f t="shared" si="219"/>
        <v>a</v>
      </c>
      <c r="AD307" s="473" t="str">
        <f>IF($Z307="","a",IF(AND($Z307="b",Inventory!$L63=""),"a",IF(AND($Z307="b",Inventory!$L63&lt;&gt;""),VLOOKUP(Inventory!$L63,$N$4:$O$5,2,FALSE),IF(AND($Z307="a",Inventory!$AC63=""),"a",IF(AND($Z307="a",Inventory!$AC63&lt;&gt;""),VLOOKUP(Inventory!$AC63,$N$4:$O$5,2,FALSE),IF(AND($Z307="c",Inventory!$AC63=""),"a",IF(AND($Z307="c",Inventory!$AC63&lt;&gt;""),VLOOKUP(Inventory!$AC63,$N$4:$O$5,2,FALSE),"a")))))))</f>
        <v>a</v>
      </c>
      <c r="AE307" s="474">
        <f>IF(OR(Inventory!C63="New Construction",Inventory!C63="Replace-on-Burnout"),Inventory!AF63,IF(Inventory!C63="Early Retirement",MIN(Inventory!AE63,Inventory!AF63),0))</f>
        <v>0</v>
      </c>
      <c r="AF307" s="475" t="str">
        <f t="shared" si="220"/>
        <v/>
      </c>
      <c r="AG307" s="475" t="str">
        <f t="shared" si="221"/>
        <v/>
      </c>
      <c r="AH307" s="475" t="str">
        <f t="shared" si="222"/>
        <v/>
      </c>
      <c r="AI307" s="475" t="str">
        <f t="shared" si="223"/>
        <v/>
      </c>
      <c r="AJ307" s="475" t="str">
        <f t="shared" si="224"/>
        <v/>
      </c>
      <c r="AK307" s="475" t="str">
        <f t="shared" si="225"/>
        <v/>
      </c>
      <c r="AL307" s="475" t="str">
        <f t="shared" si="226"/>
        <v/>
      </c>
      <c r="AM307" s="475" t="str">
        <f t="shared" si="227"/>
        <v/>
      </c>
      <c r="AN307" s="475" t="str">
        <f t="shared" si="228"/>
        <v/>
      </c>
      <c r="AO307" s="475" t="str">
        <f t="shared" si="229"/>
        <v/>
      </c>
      <c r="AP307" s="475" t="str">
        <f t="shared" si="230"/>
        <v/>
      </c>
      <c r="AQ307" s="475" t="str">
        <f t="shared" si="231"/>
        <v/>
      </c>
      <c r="AR307" s="475" t="str">
        <f t="shared" si="232"/>
        <v/>
      </c>
      <c r="AS307" s="475" t="str">
        <f t="shared" si="215"/>
        <v/>
      </c>
      <c r="AT307" s="475" t="str">
        <f t="shared" si="233"/>
        <v/>
      </c>
      <c r="AU307" s="475" t="str">
        <f t="shared" si="234"/>
        <v/>
      </c>
      <c r="AV307" s="475" t="str">
        <f t="shared" si="235"/>
        <v/>
      </c>
      <c r="AW307" s="473">
        <f t="shared" si="236"/>
        <v>0</v>
      </c>
      <c r="AX307" s="473" t="str">
        <f>IF(AND($Z307="b",OR($AA307="a",$AA307="b"),Inventory!$I63="",$AE307&lt;(65000/12000)),"x",IF(AND($Z307="b",OR($AA307="a",$AA307="b"),Inventory!$I63&lt;&gt;"",$AE307&lt;(65000/12000)),VLOOKUP(Inventory!$I314,$V$4:$W$5,2,FALSE),"x"))</f>
        <v>x</v>
      </c>
      <c r="AY307" s="476" t="str">
        <f t="shared" si="237"/>
        <v>aaa0</v>
      </c>
      <c r="AZ307" s="477" t="str">
        <f t="shared" si="197"/>
        <v>No</v>
      </c>
      <c r="BA307" s="759" t="str">
        <f t="shared" si="198"/>
        <v>No</v>
      </c>
      <c r="BB307" s="477">
        <f>IF($Z307="c",Inventory!$AB63,Inventory!$K63)</f>
        <v>0</v>
      </c>
      <c r="BC307" s="478">
        <f>IF(AND($Z307="b",Inventory!$N63="Btu/hr"),Inventory!$M63,IF(AND($Z307="b",Inventory!$N63="Tons"),Inventory!$M63*12000,IF(AND($Z307&lt;&gt;"b",Inventory!$AK63="Btu/hr"),Inventory!$AD63,IF(AND($Z307&lt;&gt;"b",Inventory!$AK63="Tons"),Inventory!$AD63*12000,0))))</f>
        <v>0</v>
      </c>
      <c r="BD307" s="478">
        <f t="shared" si="245"/>
        <v>0</v>
      </c>
      <c r="BE307" s="479">
        <f t="shared" si="216"/>
        <v>0</v>
      </c>
      <c r="BF307" s="477" t="s">
        <v>50</v>
      </c>
      <c r="BG307" s="479">
        <f t="shared" si="239"/>
        <v>0</v>
      </c>
      <c r="BH307" s="477" t="s">
        <v>46</v>
      </c>
      <c r="BI307" s="760">
        <f>IF(AND($Z307="b",Inventory!$P63="Btu/hr"),Inventory!$O63,IF(AND($Z307="b",Inventory!$P63="Tons"),Inventory!$O63*12000,IF(AND($Z307&lt;&gt;"b",Inventory!$AM63="Btu/hr"),Inventory!$AL63,IF(AND($Z307&lt;&gt;"b",Inventory!$AM63="Tons"),Inventory!$AL63*12000,0))))</f>
        <v>0</v>
      </c>
      <c r="BJ307" s="760">
        <f t="shared" si="246"/>
        <v>0</v>
      </c>
      <c r="BK307" s="598">
        <f t="shared" si="202"/>
        <v>0</v>
      </c>
      <c r="BL307" s="759" t="s">
        <v>567</v>
      </c>
      <c r="BM307" s="477" t="str">
        <f t="shared" si="240"/>
        <v>No</v>
      </c>
      <c r="BN307" s="477" t="str">
        <f>IF(OR(Inventory!$H63="",$BM307="No"),"-",Inventory!$H63)</f>
        <v>-</v>
      </c>
      <c r="BO307" s="477" t="str">
        <f>IFERROR(VLOOKUP(BN307,'Early Retirement'!$B$6:$C$33,2,FALSE),"-")</f>
        <v>-</v>
      </c>
      <c r="BP307" s="477" t="str">
        <f>IF(Inventory!$J63="Centrifugal","Yes","No")</f>
        <v>No</v>
      </c>
      <c r="BQ307" s="477">
        <f t="shared" si="241"/>
        <v>0</v>
      </c>
      <c r="BR307" s="477" t="str">
        <f t="shared" si="218"/>
        <v>-</v>
      </c>
      <c r="BS307" s="479">
        <f>IFERROR(INDEX('Early Retirement'!$C$4:$AC$33,$BO307,$BR307),0)</f>
        <v>0</v>
      </c>
      <c r="BT307" s="477">
        <f>IFERROR(HLOOKUP($BR307,'Early Retirement'!$D$4:$AC$5,2,FALSE),0)</f>
        <v>0</v>
      </c>
      <c r="BU307" s="761">
        <f>IFERROR(INDEX('Early Retirement'!$AE$4:$BE$33,$BO307,$BR307),0)</f>
        <v>0</v>
      </c>
      <c r="BV307" s="759">
        <f>IFERROR(HLOOKUP($BR307,'Early Retirement'!$AF$4:$BE$5,2,FALSE),0)</f>
        <v>0</v>
      </c>
      <c r="BW307" s="479">
        <f t="shared" si="242"/>
        <v>0</v>
      </c>
      <c r="BX307" s="761">
        <f t="shared" si="207"/>
        <v>0</v>
      </c>
      <c r="BY307" s="477" t="s">
        <v>46</v>
      </c>
      <c r="BZ307" s="598">
        <f>IFERROR(INDEX('Early Retirement'!$BG$4:$CG$33,$BO307,$BR307),0)</f>
        <v>0</v>
      </c>
      <c r="CA307" s="759">
        <f>IFERROR(HLOOKUP($BR307,'Early Retirement'!$BH$4:$CH$5,2,FALSE),0)</f>
        <v>0</v>
      </c>
      <c r="CB307" s="598">
        <f t="shared" si="208"/>
        <v>0</v>
      </c>
      <c r="CC307" s="759" t="s">
        <v>567</v>
      </c>
      <c r="CD307" s="477" t="str">
        <f t="shared" si="243"/>
        <v>Yes</v>
      </c>
      <c r="CE307" s="479">
        <f t="shared" si="210"/>
        <v>0</v>
      </c>
      <c r="CF307" s="761">
        <f t="shared" si="211"/>
        <v>0</v>
      </c>
      <c r="CG307" s="759" t="s">
        <v>46</v>
      </c>
      <c r="CH307" s="598">
        <f t="shared" si="217"/>
        <v>0</v>
      </c>
      <c r="CI307" s="759" t="s">
        <v>567</v>
      </c>
      <c r="CJ307" s="480">
        <f t="shared" si="244"/>
        <v>0</v>
      </c>
      <c r="CK307" s="583">
        <f t="shared" si="213"/>
        <v>0</v>
      </c>
      <c r="CL307" s="596" t="s">
        <v>46</v>
      </c>
      <c r="CM307" s="581">
        <f t="shared" si="214"/>
        <v>0</v>
      </c>
      <c r="CN307" s="762" t="s">
        <v>567</v>
      </c>
      <c r="CW307" s="630"/>
      <c r="CX307" s="630"/>
      <c r="CY307" s="630"/>
      <c r="CZ307" s="630"/>
      <c r="DA307" s="630"/>
    </row>
    <row r="308" spans="2:105" s="78" customFormat="1" ht="15" customHeight="1" x14ac:dyDescent="0.25">
      <c r="B308" s="77"/>
      <c r="E308" s="77"/>
      <c r="H308" s="77"/>
      <c r="Y308" s="90">
        <v>55</v>
      </c>
      <c r="Z308" s="559" t="str">
        <f>IF(Inventory!$C64="","",VLOOKUP(Inventory!$C64,$B$7:$C$9,2,FALSE))</f>
        <v/>
      </c>
      <c r="AA308" s="559" t="str">
        <f>IF($Z308="","",IF(AND($Z308="b",Inventory!$G64=""),"",IF(AND($Z308="b",Inventory!$G64&lt;&gt;""),VLOOKUP(Inventory!$G64,$E$3:$F$10,2,FALSE),IF(AND($Z308="a",Inventory!$Z64=""),"",IF(AND($Z308="a",Inventory!$Z64&lt;&gt;""),VLOOKUP(Inventory!$Z64,$E$3:$F$10,2,FALSE),IF(AND($Z308="c",Inventory!$Z64=""),"",IF(AND($Z308="c",Inventory!$Z64&lt;&gt;""),VLOOKUP(Inventory!$Z64,$E$3:$F$10,2,FALSE),"")))))))</f>
        <v/>
      </c>
      <c r="AB308" s="559" t="str">
        <f>IF($Z308="","a",IF(AND($Z308="b",Inventory!$J64=""),"a",IF(AND($Z308="b",Inventory!$J64&lt;&gt;""),VLOOKUP(Inventory!$J64,$H$4:$I$6,2,FALSE),IF(AND($Z308="a",Inventory!$AA64=""),"a",IF(AND($Z308="a",Inventory!$AA64&lt;&gt;""),VLOOKUP(Inventory!$AA64,$H$4:$I$6,2,FALSE),IF(AND($Z308="c",Inventory!$AA64=""),"a",IF(AND($Z308="c",Inventory!$AA64&lt;&gt;""),VLOOKUP(Inventory!$AA64,$H$4:$I$6,2,FALSE),"a")))))))</f>
        <v>a</v>
      </c>
      <c r="AC308" s="559" t="str">
        <f t="shared" si="219"/>
        <v>a</v>
      </c>
      <c r="AD308" s="473" t="str">
        <f>IF($Z308="","a",IF(AND($Z308="b",Inventory!$L64=""),"a",IF(AND($Z308="b",Inventory!$L64&lt;&gt;""),VLOOKUP(Inventory!$L64,$N$4:$O$5,2,FALSE),IF(AND($Z308="a",Inventory!$AC64=""),"a",IF(AND($Z308="a",Inventory!$AC64&lt;&gt;""),VLOOKUP(Inventory!$AC64,$N$4:$O$5,2,FALSE),IF(AND($Z308="c",Inventory!$AC64=""),"a",IF(AND($Z308="c",Inventory!$AC64&lt;&gt;""),VLOOKUP(Inventory!$AC64,$N$4:$O$5,2,FALSE),"a")))))))</f>
        <v>a</v>
      </c>
      <c r="AE308" s="474">
        <f>IF(OR(Inventory!C64="New Construction",Inventory!C64="Replace-on-Burnout"),Inventory!AF64,IF(Inventory!C64="Early Retirement",MIN(Inventory!AE64,Inventory!AF64),0))</f>
        <v>0</v>
      </c>
      <c r="AF308" s="475" t="str">
        <f t="shared" si="220"/>
        <v/>
      </c>
      <c r="AG308" s="475" t="str">
        <f t="shared" si="221"/>
        <v/>
      </c>
      <c r="AH308" s="475" t="str">
        <f t="shared" si="222"/>
        <v/>
      </c>
      <c r="AI308" s="475" t="str">
        <f t="shared" si="223"/>
        <v/>
      </c>
      <c r="AJ308" s="475" t="str">
        <f t="shared" si="224"/>
        <v/>
      </c>
      <c r="AK308" s="475" t="str">
        <f t="shared" si="225"/>
        <v/>
      </c>
      <c r="AL308" s="475" t="str">
        <f t="shared" si="226"/>
        <v/>
      </c>
      <c r="AM308" s="475" t="str">
        <f t="shared" si="227"/>
        <v/>
      </c>
      <c r="AN308" s="475" t="str">
        <f t="shared" si="228"/>
        <v/>
      </c>
      <c r="AO308" s="475" t="str">
        <f t="shared" si="229"/>
        <v/>
      </c>
      <c r="AP308" s="475" t="str">
        <f t="shared" si="230"/>
        <v/>
      </c>
      <c r="AQ308" s="475" t="str">
        <f t="shared" si="231"/>
        <v/>
      </c>
      <c r="AR308" s="475" t="str">
        <f t="shared" si="232"/>
        <v/>
      </c>
      <c r="AS308" s="475" t="str">
        <f t="shared" si="215"/>
        <v/>
      </c>
      <c r="AT308" s="475" t="str">
        <f t="shared" si="233"/>
        <v/>
      </c>
      <c r="AU308" s="475" t="str">
        <f t="shared" si="234"/>
        <v/>
      </c>
      <c r="AV308" s="475" t="str">
        <f t="shared" si="235"/>
        <v/>
      </c>
      <c r="AW308" s="473">
        <f t="shared" si="236"/>
        <v>0</v>
      </c>
      <c r="AX308" s="473" t="str">
        <f>IF(AND($Z308="b",OR($AA308="a",$AA308="b"),Inventory!$I64="",$AE308&lt;(65000/12000)),"x",IF(AND($Z308="b",OR($AA308="a",$AA308="b"),Inventory!$I64&lt;&gt;"",$AE308&lt;(65000/12000)),VLOOKUP(Inventory!$I315,$V$4:$W$5,2,FALSE),"x"))</f>
        <v>x</v>
      </c>
      <c r="AY308" s="476" t="str">
        <f t="shared" si="237"/>
        <v>aaa0</v>
      </c>
      <c r="AZ308" s="477" t="str">
        <f t="shared" si="197"/>
        <v>No</v>
      </c>
      <c r="BA308" s="759" t="str">
        <f t="shared" si="198"/>
        <v>No</v>
      </c>
      <c r="BB308" s="477">
        <f>IF($Z308="c",Inventory!$AB64,Inventory!$K64)</f>
        <v>0</v>
      </c>
      <c r="BC308" s="478">
        <f>IF(AND($Z308="b",Inventory!$N64="Btu/hr"),Inventory!$M64,IF(AND($Z308="b",Inventory!$N64="Tons"),Inventory!$M64*12000,IF(AND($Z308&lt;&gt;"b",Inventory!$AK64="Btu/hr"),Inventory!$AD64,IF(AND($Z308&lt;&gt;"b",Inventory!$AK64="Tons"),Inventory!$AD64*12000,0))))</f>
        <v>0</v>
      </c>
      <c r="BD308" s="478">
        <f t="shared" si="245"/>
        <v>0</v>
      </c>
      <c r="BE308" s="479">
        <f t="shared" si="216"/>
        <v>0</v>
      </c>
      <c r="BF308" s="477" t="s">
        <v>50</v>
      </c>
      <c r="BG308" s="479">
        <f t="shared" si="239"/>
        <v>0</v>
      </c>
      <c r="BH308" s="477" t="s">
        <v>46</v>
      </c>
      <c r="BI308" s="760">
        <f>IF(AND($Z308="b",Inventory!$P64="Btu/hr"),Inventory!$O64,IF(AND($Z308="b",Inventory!$P64="Tons"),Inventory!$O64*12000,IF(AND($Z308&lt;&gt;"b",Inventory!$AM64="Btu/hr"),Inventory!$AL64,IF(AND($Z308&lt;&gt;"b",Inventory!$AM64="Tons"),Inventory!$AL64*12000,0))))</f>
        <v>0</v>
      </c>
      <c r="BJ308" s="760">
        <f t="shared" si="246"/>
        <v>0</v>
      </c>
      <c r="BK308" s="598">
        <f t="shared" si="202"/>
        <v>0</v>
      </c>
      <c r="BL308" s="759" t="s">
        <v>567</v>
      </c>
      <c r="BM308" s="477" t="str">
        <f t="shared" si="240"/>
        <v>No</v>
      </c>
      <c r="BN308" s="477" t="str">
        <f>IF(OR(Inventory!$H64="",$BM308="No"),"-",Inventory!$H64)</f>
        <v>-</v>
      </c>
      <c r="BO308" s="477" t="str">
        <f>IFERROR(VLOOKUP(BN308,'Early Retirement'!$B$6:$C$33,2,FALSE),"-")</f>
        <v>-</v>
      </c>
      <c r="BP308" s="477" t="str">
        <f>IF(Inventory!$J64="Centrifugal","Yes","No")</f>
        <v>No</v>
      </c>
      <c r="BQ308" s="477">
        <f t="shared" si="241"/>
        <v>0</v>
      </c>
      <c r="BR308" s="477" t="str">
        <f t="shared" si="218"/>
        <v>-</v>
      </c>
      <c r="BS308" s="479">
        <f>IFERROR(INDEX('Early Retirement'!$C$4:$AC$33,$BO308,$BR308),0)</f>
        <v>0</v>
      </c>
      <c r="BT308" s="477">
        <f>IFERROR(HLOOKUP($BR308,'Early Retirement'!$D$4:$AC$5,2,FALSE),0)</f>
        <v>0</v>
      </c>
      <c r="BU308" s="761">
        <f>IFERROR(INDEX('Early Retirement'!$AE$4:$BE$33,$BO308,$BR308),0)</f>
        <v>0</v>
      </c>
      <c r="BV308" s="759">
        <f>IFERROR(HLOOKUP($BR308,'Early Retirement'!$AF$4:$BE$5,2,FALSE),0)</f>
        <v>0</v>
      </c>
      <c r="BW308" s="479">
        <f t="shared" si="242"/>
        <v>0</v>
      </c>
      <c r="BX308" s="761">
        <f t="shared" si="207"/>
        <v>0</v>
      </c>
      <c r="BY308" s="477" t="s">
        <v>46</v>
      </c>
      <c r="BZ308" s="598">
        <f>IFERROR(INDEX('Early Retirement'!$BG$4:$CG$33,$BO308,$BR308),0)</f>
        <v>0</v>
      </c>
      <c r="CA308" s="759">
        <f>IFERROR(HLOOKUP($BR308,'Early Retirement'!$BH$4:$CH$5,2,FALSE),0)</f>
        <v>0</v>
      </c>
      <c r="CB308" s="598">
        <f t="shared" si="208"/>
        <v>0</v>
      </c>
      <c r="CC308" s="759" t="s">
        <v>567</v>
      </c>
      <c r="CD308" s="477" t="str">
        <f t="shared" si="243"/>
        <v>Yes</v>
      </c>
      <c r="CE308" s="479">
        <f t="shared" si="210"/>
        <v>0</v>
      </c>
      <c r="CF308" s="761">
        <f t="shared" si="211"/>
        <v>0</v>
      </c>
      <c r="CG308" s="759" t="s">
        <v>46</v>
      </c>
      <c r="CH308" s="598">
        <f t="shared" si="217"/>
        <v>0</v>
      </c>
      <c r="CI308" s="759" t="s">
        <v>567</v>
      </c>
      <c r="CJ308" s="480">
        <f t="shared" si="244"/>
        <v>0</v>
      </c>
      <c r="CK308" s="583">
        <f t="shared" si="213"/>
        <v>0</v>
      </c>
      <c r="CL308" s="596" t="s">
        <v>46</v>
      </c>
      <c r="CM308" s="581">
        <f t="shared" si="214"/>
        <v>0</v>
      </c>
      <c r="CN308" s="762" t="s">
        <v>567</v>
      </c>
      <c r="CW308" s="630"/>
      <c r="CX308" s="630"/>
      <c r="CY308" s="630"/>
      <c r="CZ308" s="630"/>
      <c r="DA308" s="630"/>
    </row>
    <row r="309" spans="2:105" s="78" customFormat="1" ht="15" customHeight="1" x14ac:dyDescent="0.25">
      <c r="B309" s="77"/>
      <c r="E309" s="77"/>
      <c r="H309" s="77"/>
      <c r="Y309" s="90">
        <v>56</v>
      </c>
      <c r="Z309" s="559" t="str">
        <f>IF(Inventory!$C65="","",VLOOKUP(Inventory!$C65,$B$7:$C$9,2,FALSE))</f>
        <v/>
      </c>
      <c r="AA309" s="559" t="str">
        <f>IF($Z309="","",IF(AND($Z309="b",Inventory!$G65=""),"",IF(AND($Z309="b",Inventory!$G65&lt;&gt;""),VLOOKUP(Inventory!$G65,$E$3:$F$10,2,FALSE),IF(AND($Z309="a",Inventory!$Z65=""),"",IF(AND($Z309="a",Inventory!$Z65&lt;&gt;""),VLOOKUP(Inventory!$Z65,$E$3:$F$10,2,FALSE),IF(AND($Z309="c",Inventory!$Z65=""),"",IF(AND($Z309="c",Inventory!$Z65&lt;&gt;""),VLOOKUP(Inventory!$Z65,$E$3:$F$10,2,FALSE),"")))))))</f>
        <v/>
      </c>
      <c r="AB309" s="559" t="str">
        <f>IF($Z309="","a",IF(AND($Z309="b",Inventory!$J65=""),"a",IF(AND($Z309="b",Inventory!$J65&lt;&gt;""),VLOOKUP(Inventory!$J65,$H$4:$I$6,2,FALSE),IF(AND($Z309="a",Inventory!$AA65=""),"a",IF(AND($Z309="a",Inventory!$AA65&lt;&gt;""),VLOOKUP(Inventory!$AA65,$H$4:$I$6,2,FALSE),IF(AND($Z309="c",Inventory!$AA65=""),"a",IF(AND($Z309="c",Inventory!$AA65&lt;&gt;""),VLOOKUP(Inventory!$AA65,$H$4:$I$6,2,FALSE),"a")))))))</f>
        <v>a</v>
      </c>
      <c r="AC309" s="559" t="str">
        <f t="shared" si="219"/>
        <v>a</v>
      </c>
      <c r="AD309" s="473" t="str">
        <f>IF($Z309="","a",IF(AND($Z309="b",Inventory!$L65=""),"a",IF(AND($Z309="b",Inventory!$L65&lt;&gt;""),VLOOKUP(Inventory!$L65,$N$4:$O$5,2,FALSE),IF(AND($Z309="a",Inventory!$AC65=""),"a",IF(AND($Z309="a",Inventory!$AC65&lt;&gt;""),VLOOKUP(Inventory!$AC65,$N$4:$O$5,2,FALSE),IF(AND($Z309="c",Inventory!$AC65=""),"a",IF(AND($Z309="c",Inventory!$AC65&lt;&gt;""),VLOOKUP(Inventory!$AC65,$N$4:$O$5,2,FALSE),"a")))))))</f>
        <v>a</v>
      </c>
      <c r="AE309" s="474">
        <f>IF(OR(Inventory!C65="New Construction",Inventory!C65="Replace-on-Burnout"),Inventory!AF65,IF(Inventory!C65="Early Retirement",MIN(Inventory!AE65,Inventory!AF65),0))</f>
        <v>0</v>
      </c>
      <c r="AF309" s="475" t="str">
        <f t="shared" si="220"/>
        <v/>
      </c>
      <c r="AG309" s="475" t="str">
        <f t="shared" si="221"/>
        <v/>
      </c>
      <c r="AH309" s="475" t="str">
        <f t="shared" si="222"/>
        <v/>
      </c>
      <c r="AI309" s="475" t="str">
        <f t="shared" si="223"/>
        <v/>
      </c>
      <c r="AJ309" s="475" t="str">
        <f t="shared" si="224"/>
        <v/>
      </c>
      <c r="AK309" s="475" t="str">
        <f t="shared" si="225"/>
        <v/>
      </c>
      <c r="AL309" s="475" t="str">
        <f t="shared" si="226"/>
        <v/>
      </c>
      <c r="AM309" s="475" t="str">
        <f t="shared" si="227"/>
        <v/>
      </c>
      <c r="AN309" s="475" t="str">
        <f t="shared" si="228"/>
        <v/>
      </c>
      <c r="AO309" s="475" t="str">
        <f t="shared" si="229"/>
        <v/>
      </c>
      <c r="AP309" s="475" t="str">
        <f t="shared" si="230"/>
        <v/>
      </c>
      <c r="AQ309" s="475" t="str">
        <f t="shared" si="231"/>
        <v/>
      </c>
      <c r="AR309" s="475" t="str">
        <f t="shared" si="232"/>
        <v/>
      </c>
      <c r="AS309" s="475" t="str">
        <f t="shared" si="215"/>
        <v/>
      </c>
      <c r="AT309" s="475" t="str">
        <f t="shared" si="233"/>
        <v/>
      </c>
      <c r="AU309" s="475" t="str">
        <f t="shared" si="234"/>
        <v/>
      </c>
      <c r="AV309" s="475" t="str">
        <f t="shared" si="235"/>
        <v/>
      </c>
      <c r="AW309" s="473">
        <f t="shared" si="236"/>
        <v>0</v>
      </c>
      <c r="AX309" s="473" t="str">
        <f>IF(AND($Z309="b",OR($AA309="a",$AA309="b"),Inventory!$I65="",$AE309&lt;(65000/12000)),"x",IF(AND($Z309="b",OR($AA309="a",$AA309="b"),Inventory!$I65&lt;&gt;"",$AE309&lt;(65000/12000)),VLOOKUP(Inventory!$I316,$V$4:$W$5,2,FALSE),"x"))</f>
        <v>x</v>
      </c>
      <c r="AY309" s="476" t="str">
        <f t="shared" si="237"/>
        <v>aaa0</v>
      </c>
      <c r="AZ309" s="477" t="str">
        <f t="shared" si="197"/>
        <v>No</v>
      </c>
      <c r="BA309" s="759" t="str">
        <f t="shared" si="198"/>
        <v>No</v>
      </c>
      <c r="BB309" s="477">
        <f>IF($Z309="c",Inventory!$AB65,Inventory!$K65)</f>
        <v>0</v>
      </c>
      <c r="BC309" s="478">
        <f>IF(AND($Z309="b",Inventory!$N65="Btu/hr"),Inventory!$M65,IF(AND($Z309="b",Inventory!$N65="Tons"),Inventory!$M65*12000,IF(AND($Z309&lt;&gt;"b",Inventory!$AK65="Btu/hr"),Inventory!$AD65,IF(AND($Z309&lt;&gt;"b",Inventory!$AK65="Tons"),Inventory!$AD65*12000,0))))</f>
        <v>0</v>
      </c>
      <c r="BD309" s="478">
        <f t="shared" si="245"/>
        <v>0</v>
      </c>
      <c r="BE309" s="479">
        <f t="shared" si="216"/>
        <v>0</v>
      </c>
      <c r="BF309" s="477" t="s">
        <v>50</v>
      </c>
      <c r="BG309" s="479">
        <f t="shared" si="239"/>
        <v>0</v>
      </c>
      <c r="BH309" s="477" t="s">
        <v>46</v>
      </c>
      <c r="BI309" s="760">
        <f>IF(AND($Z309="b",Inventory!$P65="Btu/hr"),Inventory!$O65,IF(AND($Z309="b",Inventory!$P65="Tons"),Inventory!$O65*12000,IF(AND($Z309&lt;&gt;"b",Inventory!$AM65="Btu/hr"),Inventory!$AL65,IF(AND($Z309&lt;&gt;"b",Inventory!$AM65="Tons"),Inventory!$AL65*12000,0))))</f>
        <v>0</v>
      </c>
      <c r="BJ309" s="760">
        <f t="shared" si="246"/>
        <v>0</v>
      </c>
      <c r="BK309" s="598">
        <f t="shared" si="202"/>
        <v>0</v>
      </c>
      <c r="BL309" s="759" t="s">
        <v>567</v>
      </c>
      <c r="BM309" s="477" t="str">
        <f t="shared" si="240"/>
        <v>No</v>
      </c>
      <c r="BN309" s="477" t="str">
        <f>IF(OR(Inventory!$H65="",$BM309="No"),"-",Inventory!$H65)</f>
        <v>-</v>
      </c>
      <c r="BO309" s="477" t="str">
        <f>IFERROR(VLOOKUP(BN309,'Early Retirement'!$B$6:$C$33,2,FALSE),"-")</f>
        <v>-</v>
      </c>
      <c r="BP309" s="477" t="str">
        <f>IF(Inventory!$J65="Centrifugal","Yes","No")</f>
        <v>No</v>
      </c>
      <c r="BQ309" s="477">
        <f t="shared" si="241"/>
        <v>0</v>
      </c>
      <c r="BR309" s="477" t="str">
        <f t="shared" si="218"/>
        <v>-</v>
      </c>
      <c r="BS309" s="479">
        <f>IFERROR(INDEX('Early Retirement'!$C$4:$AC$33,$BO309,$BR309),0)</f>
        <v>0</v>
      </c>
      <c r="BT309" s="477">
        <f>IFERROR(HLOOKUP($BR309,'Early Retirement'!$D$4:$AC$5,2,FALSE),0)</f>
        <v>0</v>
      </c>
      <c r="BU309" s="761">
        <f>IFERROR(INDEX('Early Retirement'!$AE$4:$BE$33,$BO309,$BR309),0)</f>
        <v>0</v>
      </c>
      <c r="BV309" s="759">
        <f>IFERROR(HLOOKUP($BR309,'Early Retirement'!$AF$4:$BE$5,2,FALSE),0)</f>
        <v>0</v>
      </c>
      <c r="BW309" s="479">
        <f t="shared" si="242"/>
        <v>0</v>
      </c>
      <c r="BX309" s="761">
        <f t="shared" si="207"/>
        <v>0</v>
      </c>
      <c r="BY309" s="477" t="s">
        <v>46</v>
      </c>
      <c r="BZ309" s="598">
        <f>IFERROR(INDEX('Early Retirement'!$BG$4:$CG$33,$BO309,$BR309),0)</f>
        <v>0</v>
      </c>
      <c r="CA309" s="759">
        <f>IFERROR(HLOOKUP($BR309,'Early Retirement'!$BH$4:$CH$5,2,FALSE),0)</f>
        <v>0</v>
      </c>
      <c r="CB309" s="598">
        <f t="shared" si="208"/>
        <v>0</v>
      </c>
      <c r="CC309" s="759" t="s">
        <v>567</v>
      </c>
      <c r="CD309" s="477" t="str">
        <f t="shared" si="243"/>
        <v>Yes</v>
      </c>
      <c r="CE309" s="479">
        <f t="shared" si="210"/>
        <v>0</v>
      </c>
      <c r="CF309" s="761">
        <f t="shared" si="211"/>
        <v>0</v>
      </c>
      <c r="CG309" s="759" t="s">
        <v>46</v>
      </c>
      <c r="CH309" s="598">
        <f t="shared" si="217"/>
        <v>0</v>
      </c>
      <c r="CI309" s="759" t="s">
        <v>567</v>
      </c>
      <c r="CJ309" s="480">
        <f t="shared" si="244"/>
        <v>0</v>
      </c>
      <c r="CK309" s="583">
        <f t="shared" si="213"/>
        <v>0</v>
      </c>
      <c r="CL309" s="596" t="s">
        <v>46</v>
      </c>
      <c r="CM309" s="581">
        <f t="shared" si="214"/>
        <v>0</v>
      </c>
      <c r="CN309" s="762" t="s">
        <v>567</v>
      </c>
      <c r="CW309" s="630"/>
      <c r="CX309" s="630"/>
      <c r="CY309" s="630"/>
      <c r="CZ309" s="630"/>
      <c r="DA309" s="630"/>
    </row>
    <row r="310" spans="2:105" s="78" customFormat="1" ht="15" customHeight="1" x14ac:dyDescent="0.25">
      <c r="B310" s="77"/>
      <c r="E310" s="77"/>
      <c r="H310" s="77"/>
      <c r="Y310" s="90">
        <v>57</v>
      </c>
      <c r="Z310" s="559" t="str">
        <f>IF(Inventory!$C66="","",VLOOKUP(Inventory!$C66,$B$7:$C$9,2,FALSE))</f>
        <v/>
      </c>
      <c r="AA310" s="559" t="str">
        <f>IF($Z310="","",IF(AND($Z310="b",Inventory!$G66=""),"",IF(AND($Z310="b",Inventory!$G66&lt;&gt;""),VLOOKUP(Inventory!$G66,$E$3:$F$10,2,FALSE),IF(AND($Z310="a",Inventory!$Z66=""),"",IF(AND($Z310="a",Inventory!$Z66&lt;&gt;""),VLOOKUP(Inventory!$Z66,$E$3:$F$10,2,FALSE),IF(AND($Z310="c",Inventory!$Z66=""),"",IF(AND($Z310="c",Inventory!$Z66&lt;&gt;""),VLOOKUP(Inventory!$Z66,$E$3:$F$10,2,FALSE),"")))))))</f>
        <v/>
      </c>
      <c r="AB310" s="559" t="str">
        <f>IF($Z310="","a",IF(AND($Z310="b",Inventory!$J66=""),"a",IF(AND($Z310="b",Inventory!$J66&lt;&gt;""),VLOOKUP(Inventory!$J66,$H$4:$I$6,2,FALSE),IF(AND($Z310="a",Inventory!$AA66=""),"a",IF(AND($Z310="a",Inventory!$AA66&lt;&gt;""),VLOOKUP(Inventory!$AA66,$H$4:$I$6,2,FALSE),IF(AND($Z310="c",Inventory!$AA66=""),"a",IF(AND($Z310="c",Inventory!$AA66&lt;&gt;""),VLOOKUP(Inventory!$AA66,$H$4:$I$6,2,FALSE),"a")))))))</f>
        <v>a</v>
      </c>
      <c r="AC310" s="559" t="str">
        <f t="shared" si="219"/>
        <v>a</v>
      </c>
      <c r="AD310" s="473" t="str">
        <f>IF($Z310="","a",IF(AND($Z310="b",Inventory!$L66=""),"a",IF(AND($Z310="b",Inventory!$L66&lt;&gt;""),VLOOKUP(Inventory!$L66,$N$4:$O$5,2,FALSE),IF(AND($Z310="a",Inventory!$AC66=""),"a",IF(AND($Z310="a",Inventory!$AC66&lt;&gt;""),VLOOKUP(Inventory!$AC66,$N$4:$O$5,2,FALSE),IF(AND($Z310="c",Inventory!$AC66=""),"a",IF(AND($Z310="c",Inventory!$AC66&lt;&gt;""),VLOOKUP(Inventory!$AC66,$N$4:$O$5,2,FALSE),"a")))))))</f>
        <v>a</v>
      </c>
      <c r="AE310" s="474">
        <f>IF(OR(Inventory!C66="New Construction",Inventory!C66="Replace-on-Burnout"),Inventory!AF66,IF(Inventory!C66="Early Retirement",MIN(Inventory!AE66,Inventory!AF66),0))</f>
        <v>0</v>
      </c>
      <c r="AF310" s="475" t="str">
        <f t="shared" si="220"/>
        <v/>
      </c>
      <c r="AG310" s="475" t="str">
        <f t="shared" si="221"/>
        <v/>
      </c>
      <c r="AH310" s="475" t="str">
        <f t="shared" si="222"/>
        <v/>
      </c>
      <c r="AI310" s="475" t="str">
        <f t="shared" si="223"/>
        <v/>
      </c>
      <c r="AJ310" s="475" t="str">
        <f t="shared" si="224"/>
        <v/>
      </c>
      <c r="AK310" s="475" t="str">
        <f t="shared" si="225"/>
        <v/>
      </c>
      <c r="AL310" s="475" t="str">
        <f t="shared" si="226"/>
        <v/>
      </c>
      <c r="AM310" s="475" t="str">
        <f t="shared" si="227"/>
        <v/>
      </c>
      <c r="AN310" s="475" t="str">
        <f t="shared" si="228"/>
        <v/>
      </c>
      <c r="AO310" s="475" t="str">
        <f t="shared" si="229"/>
        <v/>
      </c>
      <c r="AP310" s="475" t="str">
        <f t="shared" si="230"/>
        <v/>
      </c>
      <c r="AQ310" s="475" t="str">
        <f t="shared" si="231"/>
        <v/>
      </c>
      <c r="AR310" s="475" t="str">
        <f t="shared" si="232"/>
        <v/>
      </c>
      <c r="AS310" s="475" t="str">
        <f t="shared" si="215"/>
        <v/>
      </c>
      <c r="AT310" s="475" t="str">
        <f t="shared" si="233"/>
        <v/>
      </c>
      <c r="AU310" s="475" t="str">
        <f t="shared" si="234"/>
        <v/>
      </c>
      <c r="AV310" s="475" t="str">
        <f t="shared" si="235"/>
        <v/>
      </c>
      <c r="AW310" s="473">
        <f t="shared" si="236"/>
        <v>0</v>
      </c>
      <c r="AX310" s="473" t="str">
        <f>IF(AND($Z310="b",OR($AA310="a",$AA310="b"),Inventory!$I66="",$AE310&lt;(65000/12000)),"x",IF(AND($Z310="b",OR($AA310="a",$AA310="b"),Inventory!$I66&lt;&gt;"",$AE310&lt;(65000/12000)),VLOOKUP(Inventory!$I317,$V$4:$W$5,2,FALSE),"x"))</f>
        <v>x</v>
      </c>
      <c r="AY310" s="476" t="str">
        <f t="shared" si="237"/>
        <v>aaa0</v>
      </c>
      <c r="AZ310" s="477" t="str">
        <f t="shared" si="197"/>
        <v>No</v>
      </c>
      <c r="BA310" s="759" t="str">
        <f t="shared" si="198"/>
        <v>No</v>
      </c>
      <c r="BB310" s="477">
        <f>IF($Z310="c",Inventory!$AB66,Inventory!$K66)</f>
        <v>0</v>
      </c>
      <c r="BC310" s="478">
        <f>IF(AND($Z310="b",Inventory!$N66="Btu/hr"),Inventory!$M66,IF(AND($Z310="b",Inventory!$N66="Tons"),Inventory!$M66*12000,IF(AND($Z310&lt;&gt;"b",Inventory!$AK66="Btu/hr"),Inventory!$AD66,IF(AND($Z310&lt;&gt;"b",Inventory!$AK66="Tons"),Inventory!$AD66*12000,0))))</f>
        <v>0</v>
      </c>
      <c r="BD310" s="478">
        <f t="shared" si="245"/>
        <v>0</v>
      </c>
      <c r="BE310" s="479">
        <f t="shared" si="216"/>
        <v>0</v>
      </c>
      <c r="BF310" s="477" t="s">
        <v>50</v>
      </c>
      <c r="BG310" s="479">
        <f t="shared" si="239"/>
        <v>0</v>
      </c>
      <c r="BH310" s="477" t="s">
        <v>46</v>
      </c>
      <c r="BI310" s="760">
        <f>IF(AND($Z310="b",Inventory!$P66="Btu/hr"),Inventory!$O66,IF(AND($Z310="b",Inventory!$P66="Tons"),Inventory!$O66*12000,IF(AND($Z310&lt;&gt;"b",Inventory!$AM66="Btu/hr"),Inventory!$AL66,IF(AND($Z310&lt;&gt;"b",Inventory!$AM66="Tons"),Inventory!$AL66*12000,0))))</f>
        <v>0</v>
      </c>
      <c r="BJ310" s="760">
        <f t="shared" si="246"/>
        <v>0</v>
      </c>
      <c r="BK310" s="598">
        <f t="shared" si="202"/>
        <v>0</v>
      </c>
      <c r="BL310" s="759" t="s">
        <v>567</v>
      </c>
      <c r="BM310" s="477" t="str">
        <f t="shared" si="240"/>
        <v>No</v>
      </c>
      <c r="BN310" s="477" t="str">
        <f>IF(OR(Inventory!$H66="",$BM310="No"),"-",Inventory!$H66)</f>
        <v>-</v>
      </c>
      <c r="BO310" s="477" t="str">
        <f>IFERROR(VLOOKUP(BN310,'Early Retirement'!$B$6:$C$33,2,FALSE),"-")</f>
        <v>-</v>
      </c>
      <c r="BP310" s="477" t="str">
        <f>IF(Inventory!$J66="Centrifugal","Yes","No")</f>
        <v>No</v>
      </c>
      <c r="BQ310" s="477">
        <f t="shared" si="241"/>
        <v>0</v>
      </c>
      <c r="BR310" s="477" t="str">
        <f t="shared" si="218"/>
        <v>-</v>
      </c>
      <c r="BS310" s="479">
        <f>IFERROR(INDEX('Early Retirement'!$C$4:$AC$33,$BO310,$BR310),0)</f>
        <v>0</v>
      </c>
      <c r="BT310" s="477">
        <f>IFERROR(HLOOKUP($BR310,'Early Retirement'!$D$4:$AC$5,2,FALSE),0)</f>
        <v>0</v>
      </c>
      <c r="BU310" s="761">
        <f>IFERROR(INDEX('Early Retirement'!$AE$4:$BE$33,$BO310,$BR310),0)</f>
        <v>0</v>
      </c>
      <c r="BV310" s="759">
        <f>IFERROR(HLOOKUP($BR310,'Early Retirement'!$AF$4:$BE$5,2,FALSE),0)</f>
        <v>0</v>
      </c>
      <c r="BW310" s="479">
        <f t="shared" si="242"/>
        <v>0</v>
      </c>
      <c r="BX310" s="761">
        <f t="shared" si="207"/>
        <v>0</v>
      </c>
      <c r="BY310" s="477" t="s">
        <v>46</v>
      </c>
      <c r="BZ310" s="598">
        <f>IFERROR(INDEX('Early Retirement'!$BG$4:$CG$33,$BO310,$BR310),0)</f>
        <v>0</v>
      </c>
      <c r="CA310" s="759">
        <f>IFERROR(HLOOKUP($BR310,'Early Retirement'!$BH$4:$CH$5,2,FALSE),0)</f>
        <v>0</v>
      </c>
      <c r="CB310" s="598">
        <f t="shared" si="208"/>
        <v>0</v>
      </c>
      <c r="CC310" s="759" t="s">
        <v>567</v>
      </c>
      <c r="CD310" s="477" t="str">
        <f t="shared" si="243"/>
        <v>Yes</v>
      </c>
      <c r="CE310" s="479">
        <f t="shared" si="210"/>
        <v>0</v>
      </c>
      <c r="CF310" s="761">
        <f t="shared" si="211"/>
        <v>0</v>
      </c>
      <c r="CG310" s="759" t="s">
        <v>46</v>
      </c>
      <c r="CH310" s="598">
        <f t="shared" si="217"/>
        <v>0</v>
      </c>
      <c r="CI310" s="759" t="s">
        <v>567</v>
      </c>
      <c r="CJ310" s="480">
        <f t="shared" si="244"/>
        <v>0</v>
      </c>
      <c r="CK310" s="583">
        <f t="shared" si="213"/>
        <v>0</v>
      </c>
      <c r="CL310" s="596" t="s">
        <v>46</v>
      </c>
      <c r="CM310" s="581">
        <f t="shared" si="214"/>
        <v>0</v>
      </c>
      <c r="CN310" s="762" t="s">
        <v>567</v>
      </c>
      <c r="CW310" s="630"/>
      <c r="CX310" s="630"/>
      <c r="CY310" s="630"/>
      <c r="CZ310" s="630"/>
      <c r="DA310" s="630"/>
    </row>
    <row r="311" spans="2:105" s="78" customFormat="1" ht="15" customHeight="1" x14ac:dyDescent="0.25">
      <c r="B311" s="77"/>
      <c r="E311" s="77"/>
      <c r="H311" s="77"/>
      <c r="Y311" s="90">
        <v>58</v>
      </c>
      <c r="Z311" s="559" t="str">
        <f>IF(Inventory!$C67="","",VLOOKUP(Inventory!$C67,$B$7:$C$9,2,FALSE))</f>
        <v/>
      </c>
      <c r="AA311" s="559" t="str">
        <f>IF($Z311="","",IF(AND($Z311="b",Inventory!$G67=""),"",IF(AND($Z311="b",Inventory!$G67&lt;&gt;""),VLOOKUP(Inventory!$G67,$E$3:$F$10,2,FALSE),IF(AND($Z311="a",Inventory!$Z67=""),"",IF(AND($Z311="a",Inventory!$Z67&lt;&gt;""),VLOOKUP(Inventory!$Z67,$E$3:$F$10,2,FALSE),IF(AND($Z311="c",Inventory!$Z67=""),"",IF(AND($Z311="c",Inventory!$Z67&lt;&gt;""),VLOOKUP(Inventory!$Z67,$E$3:$F$10,2,FALSE),"")))))))</f>
        <v/>
      </c>
      <c r="AB311" s="559" t="str">
        <f>IF($Z311="","a",IF(AND($Z311="b",Inventory!$J67=""),"a",IF(AND($Z311="b",Inventory!$J67&lt;&gt;""),VLOOKUP(Inventory!$J67,$H$4:$I$6,2,FALSE),IF(AND($Z311="a",Inventory!$AA67=""),"a",IF(AND($Z311="a",Inventory!$AA67&lt;&gt;""),VLOOKUP(Inventory!$AA67,$H$4:$I$6,2,FALSE),IF(AND($Z311="c",Inventory!$AA67=""),"a",IF(AND($Z311="c",Inventory!$AA67&lt;&gt;""),VLOOKUP(Inventory!$AA67,$H$4:$I$6,2,FALSE),"a")))))))</f>
        <v>a</v>
      </c>
      <c r="AC311" s="559" t="str">
        <f t="shared" si="219"/>
        <v>a</v>
      </c>
      <c r="AD311" s="473" t="str">
        <f>IF($Z311="","a",IF(AND($Z311="b",Inventory!$L67=""),"a",IF(AND($Z311="b",Inventory!$L67&lt;&gt;""),VLOOKUP(Inventory!$L67,$N$4:$O$5,2,FALSE),IF(AND($Z311="a",Inventory!$AC67=""),"a",IF(AND($Z311="a",Inventory!$AC67&lt;&gt;""),VLOOKUP(Inventory!$AC67,$N$4:$O$5,2,FALSE),IF(AND($Z311="c",Inventory!$AC67=""),"a",IF(AND($Z311="c",Inventory!$AC67&lt;&gt;""),VLOOKUP(Inventory!$AC67,$N$4:$O$5,2,FALSE),"a")))))))</f>
        <v>a</v>
      </c>
      <c r="AE311" s="474">
        <f>IF(OR(Inventory!C67="New Construction",Inventory!C67="Replace-on-Burnout"),Inventory!AF67,IF(Inventory!C67="Early Retirement",MIN(Inventory!AE67,Inventory!AF67),0))</f>
        <v>0</v>
      </c>
      <c r="AF311" s="475" t="str">
        <f t="shared" si="220"/>
        <v/>
      </c>
      <c r="AG311" s="475" t="str">
        <f t="shared" si="221"/>
        <v/>
      </c>
      <c r="AH311" s="475" t="str">
        <f t="shared" si="222"/>
        <v/>
      </c>
      <c r="AI311" s="475" t="str">
        <f t="shared" si="223"/>
        <v/>
      </c>
      <c r="AJ311" s="475" t="str">
        <f t="shared" si="224"/>
        <v/>
      </c>
      <c r="AK311" s="475" t="str">
        <f t="shared" si="225"/>
        <v/>
      </c>
      <c r="AL311" s="475" t="str">
        <f t="shared" si="226"/>
        <v/>
      </c>
      <c r="AM311" s="475" t="str">
        <f t="shared" si="227"/>
        <v/>
      </c>
      <c r="AN311" s="475" t="str">
        <f t="shared" si="228"/>
        <v/>
      </c>
      <c r="AO311" s="475" t="str">
        <f t="shared" si="229"/>
        <v/>
      </c>
      <c r="AP311" s="475" t="str">
        <f t="shared" si="230"/>
        <v/>
      </c>
      <c r="AQ311" s="475" t="str">
        <f t="shared" si="231"/>
        <v/>
      </c>
      <c r="AR311" s="475" t="str">
        <f t="shared" si="232"/>
        <v/>
      </c>
      <c r="AS311" s="475" t="str">
        <f t="shared" si="215"/>
        <v/>
      </c>
      <c r="AT311" s="475" t="str">
        <f t="shared" si="233"/>
        <v/>
      </c>
      <c r="AU311" s="475" t="str">
        <f t="shared" si="234"/>
        <v/>
      </c>
      <c r="AV311" s="475" t="str">
        <f t="shared" si="235"/>
        <v/>
      </c>
      <c r="AW311" s="473">
        <f t="shared" si="236"/>
        <v>0</v>
      </c>
      <c r="AX311" s="473" t="str">
        <f>IF(AND($Z311="b",OR($AA311="a",$AA311="b"),Inventory!$I67="",$AE311&lt;(65000/12000)),"x",IF(AND($Z311="b",OR($AA311="a",$AA311="b"),Inventory!$I67&lt;&gt;"",$AE311&lt;(65000/12000)),VLOOKUP(Inventory!$I318,$V$4:$W$5,2,FALSE),"x"))</f>
        <v>x</v>
      </c>
      <c r="AY311" s="476" t="str">
        <f t="shared" si="237"/>
        <v>aaa0</v>
      </c>
      <c r="AZ311" s="477" t="str">
        <f t="shared" si="197"/>
        <v>No</v>
      </c>
      <c r="BA311" s="759" t="str">
        <f t="shared" si="198"/>
        <v>No</v>
      </c>
      <c r="BB311" s="477">
        <f>IF($Z311="c",Inventory!$AB67,Inventory!$K67)</f>
        <v>0</v>
      </c>
      <c r="BC311" s="478">
        <f>IF(AND($Z311="b",Inventory!$N67="Btu/hr"),Inventory!$M67,IF(AND($Z311="b",Inventory!$N67="Tons"),Inventory!$M67*12000,IF(AND($Z311&lt;&gt;"b",Inventory!$AK67="Btu/hr"),Inventory!$AD67,IF(AND($Z311&lt;&gt;"b",Inventory!$AK67="Tons"),Inventory!$AD67*12000,0))))</f>
        <v>0</v>
      </c>
      <c r="BD311" s="478">
        <f t="shared" si="245"/>
        <v>0</v>
      </c>
      <c r="BE311" s="479">
        <f t="shared" si="216"/>
        <v>0</v>
      </c>
      <c r="BF311" s="477" t="s">
        <v>50</v>
      </c>
      <c r="BG311" s="479">
        <f t="shared" si="239"/>
        <v>0</v>
      </c>
      <c r="BH311" s="477" t="s">
        <v>46</v>
      </c>
      <c r="BI311" s="760">
        <f>IF(AND($Z311="b",Inventory!$P67="Btu/hr"),Inventory!$O67,IF(AND($Z311="b",Inventory!$P67="Tons"),Inventory!$O67*12000,IF(AND($Z311&lt;&gt;"b",Inventory!$AM67="Btu/hr"),Inventory!$AL67,IF(AND($Z311&lt;&gt;"b",Inventory!$AM67="Tons"),Inventory!$AL67*12000,0))))</f>
        <v>0</v>
      </c>
      <c r="BJ311" s="760">
        <f t="shared" si="246"/>
        <v>0</v>
      </c>
      <c r="BK311" s="598">
        <f t="shared" si="202"/>
        <v>0</v>
      </c>
      <c r="BL311" s="759" t="s">
        <v>567</v>
      </c>
      <c r="BM311" s="477" t="str">
        <f t="shared" si="240"/>
        <v>No</v>
      </c>
      <c r="BN311" s="477" t="str">
        <f>IF(OR(Inventory!$H67="",$BM311="No"),"-",Inventory!$H67)</f>
        <v>-</v>
      </c>
      <c r="BO311" s="477" t="str">
        <f>IFERROR(VLOOKUP(BN311,'Early Retirement'!$B$6:$C$33,2,FALSE),"-")</f>
        <v>-</v>
      </c>
      <c r="BP311" s="477" t="str">
        <f>IF(Inventory!$J67="Centrifugal","Yes","No")</f>
        <v>No</v>
      </c>
      <c r="BQ311" s="477">
        <f t="shared" si="241"/>
        <v>0</v>
      </c>
      <c r="BR311" s="477" t="str">
        <f t="shared" si="218"/>
        <v>-</v>
      </c>
      <c r="BS311" s="479">
        <f>IFERROR(INDEX('Early Retirement'!$C$4:$AC$33,$BO311,$BR311),0)</f>
        <v>0</v>
      </c>
      <c r="BT311" s="477">
        <f>IFERROR(HLOOKUP($BR311,'Early Retirement'!$D$4:$AC$5,2,FALSE),0)</f>
        <v>0</v>
      </c>
      <c r="BU311" s="761">
        <f>IFERROR(INDEX('Early Retirement'!$AE$4:$BE$33,$BO311,$BR311),0)</f>
        <v>0</v>
      </c>
      <c r="BV311" s="759">
        <f>IFERROR(HLOOKUP($BR311,'Early Retirement'!$AF$4:$BE$5,2,FALSE),0)</f>
        <v>0</v>
      </c>
      <c r="BW311" s="479">
        <f t="shared" si="242"/>
        <v>0</v>
      </c>
      <c r="BX311" s="761">
        <f t="shared" si="207"/>
        <v>0</v>
      </c>
      <c r="BY311" s="477" t="s">
        <v>46</v>
      </c>
      <c r="BZ311" s="598">
        <f>IFERROR(INDEX('Early Retirement'!$BG$4:$CG$33,$BO311,$BR311),0)</f>
        <v>0</v>
      </c>
      <c r="CA311" s="759">
        <f>IFERROR(HLOOKUP($BR311,'Early Retirement'!$BH$4:$CH$5,2,FALSE),0)</f>
        <v>0</v>
      </c>
      <c r="CB311" s="598">
        <f t="shared" si="208"/>
        <v>0</v>
      </c>
      <c r="CC311" s="759" t="s">
        <v>567</v>
      </c>
      <c r="CD311" s="477" t="str">
        <f t="shared" si="243"/>
        <v>Yes</v>
      </c>
      <c r="CE311" s="479">
        <f t="shared" si="210"/>
        <v>0</v>
      </c>
      <c r="CF311" s="761">
        <f t="shared" si="211"/>
        <v>0</v>
      </c>
      <c r="CG311" s="759" t="s">
        <v>46</v>
      </c>
      <c r="CH311" s="598">
        <f t="shared" si="217"/>
        <v>0</v>
      </c>
      <c r="CI311" s="759" t="s">
        <v>567</v>
      </c>
      <c r="CJ311" s="480">
        <f t="shared" si="244"/>
        <v>0</v>
      </c>
      <c r="CK311" s="583">
        <f t="shared" si="213"/>
        <v>0</v>
      </c>
      <c r="CL311" s="596" t="s">
        <v>46</v>
      </c>
      <c r="CM311" s="581">
        <f t="shared" si="214"/>
        <v>0</v>
      </c>
      <c r="CN311" s="762" t="s">
        <v>567</v>
      </c>
      <c r="CW311" s="630"/>
      <c r="CX311" s="630"/>
      <c r="CY311" s="630"/>
      <c r="CZ311" s="630"/>
      <c r="DA311" s="630"/>
    </row>
    <row r="312" spans="2:105" s="78" customFormat="1" ht="15" customHeight="1" x14ac:dyDescent="0.25">
      <c r="B312" s="77"/>
      <c r="E312" s="77"/>
      <c r="H312" s="77"/>
      <c r="Y312" s="90">
        <v>59</v>
      </c>
      <c r="Z312" s="559" t="str">
        <f>IF(Inventory!$C68="","",VLOOKUP(Inventory!$C68,$B$7:$C$9,2,FALSE))</f>
        <v/>
      </c>
      <c r="AA312" s="559" t="str">
        <f>IF($Z312="","",IF(AND($Z312="b",Inventory!$G68=""),"",IF(AND($Z312="b",Inventory!$G68&lt;&gt;""),VLOOKUP(Inventory!$G68,$E$3:$F$10,2,FALSE),IF(AND($Z312="a",Inventory!$Z68=""),"",IF(AND($Z312="a",Inventory!$Z68&lt;&gt;""),VLOOKUP(Inventory!$Z68,$E$3:$F$10,2,FALSE),IF(AND($Z312="c",Inventory!$Z68=""),"",IF(AND($Z312="c",Inventory!$Z68&lt;&gt;""),VLOOKUP(Inventory!$Z68,$E$3:$F$10,2,FALSE),"")))))))</f>
        <v/>
      </c>
      <c r="AB312" s="559" t="str">
        <f>IF($Z312="","a",IF(AND($Z312="b",Inventory!$J68=""),"a",IF(AND($Z312="b",Inventory!$J68&lt;&gt;""),VLOOKUP(Inventory!$J68,$H$4:$I$6,2,FALSE),IF(AND($Z312="a",Inventory!$AA68=""),"a",IF(AND($Z312="a",Inventory!$AA68&lt;&gt;""),VLOOKUP(Inventory!$AA68,$H$4:$I$6,2,FALSE),IF(AND($Z312="c",Inventory!$AA68=""),"a",IF(AND($Z312="c",Inventory!$AA68&lt;&gt;""),VLOOKUP(Inventory!$AA68,$H$4:$I$6,2,FALSE),"a")))))))</f>
        <v>a</v>
      </c>
      <c r="AC312" s="559" t="str">
        <f t="shared" si="219"/>
        <v>a</v>
      </c>
      <c r="AD312" s="473" t="str">
        <f>IF($Z312="","a",IF(AND($Z312="b",Inventory!$L68=""),"a",IF(AND($Z312="b",Inventory!$L68&lt;&gt;""),VLOOKUP(Inventory!$L68,$N$4:$O$5,2,FALSE),IF(AND($Z312="a",Inventory!$AC68=""),"a",IF(AND($Z312="a",Inventory!$AC68&lt;&gt;""),VLOOKUP(Inventory!$AC68,$N$4:$O$5,2,FALSE),IF(AND($Z312="c",Inventory!$AC68=""),"a",IF(AND($Z312="c",Inventory!$AC68&lt;&gt;""),VLOOKUP(Inventory!$AC68,$N$4:$O$5,2,FALSE),"a")))))))</f>
        <v>a</v>
      </c>
      <c r="AE312" s="474">
        <f>IF(OR(Inventory!C68="New Construction",Inventory!C68="Replace-on-Burnout"),Inventory!AF68,IF(Inventory!C68="Early Retirement",MIN(Inventory!AE68,Inventory!AF68),0))</f>
        <v>0</v>
      </c>
      <c r="AF312" s="475" t="str">
        <f t="shared" si="220"/>
        <v/>
      </c>
      <c r="AG312" s="475" t="str">
        <f t="shared" si="221"/>
        <v/>
      </c>
      <c r="AH312" s="475" t="str">
        <f t="shared" si="222"/>
        <v/>
      </c>
      <c r="AI312" s="475" t="str">
        <f t="shared" si="223"/>
        <v/>
      </c>
      <c r="AJ312" s="475" t="str">
        <f t="shared" si="224"/>
        <v/>
      </c>
      <c r="AK312" s="475" t="str">
        <f t="shared" si="225"/>
        <v/>
      </c>
      <c r="AL312" s="475" t="str">
        <f t="shared" si="226"/>
        <v/>
      </c>
      <c r="AM312" s="475" t="str">
        <f t="shared" si="227"/>
        <v/>
      </c>
      <c r="AN312" s="475" t="str">
        <f t="shared" si="228"/>
        <v/>
      </c>
      <c r="AO312" s="475" t="str">
        <f t="shared" si="229"/>
        <v/>
      </c>
      <c r="AP312" s="475" t="str">
        <f t="shared" si="230"/>
        <v/>
      </c>
      <c r="AQ312" s="475" t="str">
        <f t="shared" si="231"/>
        <v/>
      </c>
      <c r="AR312" s="475" t="str">
        <f t="shared" si="232"/>
        <v/>
      </c>
      <c r="AS312" s="475" t="str">
        <f t="shared" si="215"/>
        <v/>
      </c>
      <c r="AT312" s="475" t="str">
        <f t="shared" si="233"/>
        <v/>
      </c>
      <c r="AU312" s="475" t="str">
        <f t="shared" si="234"/>
        <v/>
      </c>
      <c r="AV312" s="475" t="str">
        <f t="shared" si="235"/>
        <v/>
      </c>
      <c r="AW312" s="473">
        <f t="shared" si="236"/>
        <v>0</v>
      </c>
      <c r="AX312" s="473" t="str">
        <f>IF(AND($Z312="b",OR($AA312="a",$AA312="b"),Inventory!$I68="",$AE312&lt;(65000/12000)),"x",IF(AND($Z312="b",OR($AA312="a",$AA312="b"),Inventory!$I68&lt;&gt;"",$AE312&lt;(65000/12000)),VLOOKUP(Inventory!$I319,$V$4:$W$5,2,FALSE),"x"))</f>
        <v>x</v>
      </c>
      <c r="AY312" s="476" t="str">
        <f t="shared" si="237"/>
        <v>aaa0</v>
      </c>
      <c r="AZ312" s="477" t="str">
        <f t="shared" si="197"/>
        <v>No</v>
      </c>
      <c r="BA312" s="759" t="str">
        <f t="shared" si="198"/>
        <v>No</v>
      </c>
      <c r="BB312" s="477">
        <f>IF($Z312="c",Inventory!$AB68,Inventory!$K68)</f>
        <v>0</v>
      </c>
      <c r="BC312" s="478">
        <f>IF(AND($Z312="b",Inventory!$N68="Btu/hr"),Inventory!$M68,IF(AND($Z312="b",Inventory!$N68="Tons"),Inventory!$M68*12000,IF(AND($Z312&lt;&gt;"b",Inventory!$AK68="Btu/hr"),Inventory!$AD68,IF(AND($Z312&lt;&gt;"b",Inventory!$AK68="Tons"),Inventory!$AD68*12000,0))))</f>
        <v>0</v>
      </c>
      <c r="BD312" s="478">
        <f t="shared" si="245"/>
        <v>0</v>
      </c>
      <c r="BE312" s="479">
        <f t="shared" si="216"/>
        <v>0</v>
      </c>
      <c r="BF312" s="477" t="s">
        <v>50</v>
      </c>
      <c r="BG312" s="479">
        <f t="shared" si="239"/>
        <v>0</v>
      </c>
      <c r="BH312" s="477" t="s">
        <v>46</v>
      </c>
      <c r="BI312" s="760">
        <f>IF(AND($Z312="b",Inventory!$P68="Btu/hr"),Inventory!$O68,IF(AND($Z312="b",Inventory!$P68="Tons"),Inventory!$O68*12000,IF(AND($Z312&lt;&gt;"b",Inventory!$AM68="Btu/hr"),Inventory!$AL68,IF(AND($Z312&lt;&gt;"b",Inventory!$AM68="Tons"),Inventory!$AL68*12000,0))))</f>
        <v>0</v>
      </c>
      <c r="BJ312" s="760">
        <f t="shared" si="246"/>
        <v>0</v>
      </c>
      <c r="BK312" s="598">
        <f t="shared" si="202"/>
        <v>0</v>
      </c>
      <c r="BL312" s="759" t="s">
        <v>567</v>
      </c>
      <c r="BM312" s="477" t="str">
        <f t="shared" si="240"/>
        <v>No</v>
      </c>
      <c r="BN312" s="477" t="str">
        <f>IF(OR(Inventory!$H68="",$BM312="No"),"-",Inventory!$H68)</f>
        <v>-</v>
      </c>
      <c r="BO312" s="477" t="str">
        <f>IFERROR(VLOOKUP(BN312,'Early Retirement'!$B$6:$C$33,2,FALSE),"-")</f>
        <v>-</v>
      </c>
      <c r="BP312" s="477" t="str">
        <f>IF(Inventory!$J68="Centrifugal","Yes","No")</f>
        <v>No</v>
      </c>
      <c r="BQ312" s="477">
        <f t="shared" si="241"/>
        <v>0</v>
      </c>
      <c r="BR312" s="477" t="str">
        <f t="shared" si="218"/>
        <v>-</v>
      </c>
      <c r="BS312" s="479">
        <f>IFERROR(INDEX('Early Retirement'!$C$4:$AC$33,$BO312,$BR312),0)</f>
        <v>0</v>
      </c>
      <c r="BT312" s="477">
        <f>IFERROR(HLOOKUP($BR312,'Early Retirement'!$D$4:$AC$5,2,FALSE),0)</f>
        <v>0</v>
      </c>
      <c r="BU312" s="761">
        <f>IFERROR(INDEX('Early Retirement'!$AE$4:$BE$33,$BO312,$BR312),0)</f>
        <v>0</v>
      </c>
      <c r="BV312" s="759">
        <f>IFERROR(HLOOKUP($BR312,'Early Retirement'!$AF$4:$BE$5,2,FALSE),0)</f>
        <v>0</v>
      </c>
      <c r="BW312" s="479">
        <f t="shared" si="242"/>
        <v>0</v>
      </c>
      <c r="BX312" s="761">
        <f t="shared" si="207"/>
        <v>0</v>
      </c>
      <c r="BY312" s="477" t="s">
        <v>46</v>
      </c>
      <c r="BZ312" s="598">
        <f>IFERROR(INDEX('Early Retirement'!$BG$4:$CG$33,$BO312,$BR312),0)</f>
        <v>0</v>
      </c>
      <c r="CA312" s="759">
        <f>IFERROR(HLOOKUP($BR312,'Early Retirement'!$BH$4:$CH$5,2,FALSE),0)</f>
        <v>0</v>
      </c>
      <c r="CB312" s="598">
        <f t="shared" si="208"/>
        <v>0</v>
      </c>
      <c r="CC312" s="759" t="s">
        <v>567</v>
      </c>
      <c r="CD312" s="477" t="str">
        <f t="shared" si="243"/>
        <v>Yes</v>
      </c>
      <c r="CE312" s="479">
        <f t="shared" si="210"/>
        <v>0</v>
      </c>
      <c r="CF312" s="761">
        <f t="shared" si="211"/>
        <v>0</v>
      </c>
      <c r="CG312" s="759" t="s">
        <v>46</v>
      </c>
      <c r="CH312" s="598">
        <f t="shared" si="217"/>
        <v>0</v>
      </c>
      <c r="CI312" s="759" t="s">
        <v>567</v>
      </c>
      <c r="CJ312" s="480">
        <f t="shared" si="244"/>
        <v>0</v>
      </c>
      <c r="CK312" s="583">
        <f t="shared" si="213"/>
        <v>0</v>
      </c>
      <c r="CL312" s="596" t="s">
        <v>46</v>
      </c>
      <c r="CM312" s="581">
        <f t="shared" si="214"/>
        <v>0</v>
      </c>
      <c r="CN312" s="762" t="s">
        <v>567</v>
      </c>
      <c r="CW312" s="630"/>
      <c r="CX312" s="630"/>
      <c r="CY312" s="630"/>
      <c r="CZ312" s="630"/>
      <c r="DA312" s="630"/>
    </row>
    <row r="313" spans="2:105" s="78" customFormat="1" ht="15" customHeight="1" x14ac:dyDescent="0.25">
      <c r="B313" s="77"/>
      <c r="E313" s="77"/>
      <c r="H313" s="77"/>
      <c r="Y313" s="90">
        <v>60</v>
      </c>
      <c r="Z313" s="559" t="str">
        <f>IF(Inventory!$C69="","",VLOOKUP(Inventory!$C69,$B$7:$C$9,2,FALSE))</f>
        <v/>
      </c>
      <c r="AA313" s="559" t="str">
        <f>IF($Z313="","",IF(AND($Z313="b",Inventory!$G69=""),"",IF(AND($Z313="b",Inventory!$G69&lt;&gt;""),VLOOKUP(Inventory!$G69,$E$3:$F$10,2,FALSE),IF(AND($Z313="a",Inventory!$Z69=""),"",IF(AND($Z313="a",Inventory!$Z69&lt;&gt;""),VLOOKUP(Inventory!$Z69,$E$3:$F$10,2,FALSE),IF(AND($Z313="c",Inventory!$Z69=""),"",IF(AND($Z313="c",Inventory!$Z69&lt;&gt;""),VLOOKUP(Inventory!$Z69,$E$3:$F$10,2,FALSE),"")))))))</f>
        <v/>
      </c>
      <c r="AB313" s="559" t="str">
        <f>IF($Z313="","a",IF(AND($Z313="b",Inventory!$J69=""),"a",IF(AND($Z313="b",Inventory!$J69&lt;&gt;""),VLOOKUP(Inventory!$J69,$H$4:$I$6,2,FALSE),IF(AND($Z313="a",Inventory!$AA69=""),"a",IF(AND($Z313="a",Inventory!$AA69&lt;&gt;""),VLOOKUP(Inventory!$AA69,$H$4:$I$6,2,FALSE),IF(AND($Z313="c",Inventory!$AA69=""),"a",IF(AND($Z313="c",Inventory!$AA69&lt;&gt;""),VLOOKUP(Inventory!$AA69,$H$4:$I$6,2,FALSE),"a")))))))</f>
        <v>a</v>
      </c>
      <c r="AC313" s="559" t="str">
        <f t="shared" si="219"/>
        <v>a</v>
      </c>
      <c r="AD313" s="473" t="str">
        <f>IF($Z313="","a",IF(AND($Z313="b",Inventory!$L69=""),"a",IF(AND($Z313="b",Inventory!$L69&lt;&gt;""),VLOOKUP(Inventory!$L69,$N$4:$O$5,2,FALSE),IF(AND($Z313="a",Inventory!$AC69=""),"a",IF(AND($Z313="a",Inventory!$AC69&lt;&gt;""),VLOOKUP(Inventory!$AC69,$N$4:$O$5,2,FALSE),IF(AND($Z313="c",Inventory!$AC69=""),"a",IF(AND($Z313="c",Inventory!$AC69&lt;&gt;""),VLOOKUP(Inventory!$AC69,$N$4:$O$5,2,FALSE),"a")))))))</f>
        <v>a</v>
      </c>
      <c r="AE313" s="474">
        <f>IF(OR(Inventory!C69="New Construction",Inventory!C69="Replace-on-Burnout"),Inventory!AF69,IF(Inventory!C69="Early Retirement",MIN(Inventory!AE69,Inventory!AF69),0))</f>
        <v>0</v>
      </c>
      <c r="AF313" s="475" t="str">
        <f t="shared" si="220"/>
        <v/>
      </c>
      <c r="AG313" s="475" t="str">
        <f t="shared" si="221"/>
        <v/>
      </c>
      <c r="AH313" s="475" t="str">
        <f t="shared" si="222"/>
        <v/>
      </c>
      <c r="AI313" s="475" t="str">
        <f t="shared" si="223"/>
        <v/>
      </c>
      <c r="AJ313" s="475" t="str">
        <f t="shared" si="224"/>
        <v/>
      </c>
      <c r="AK313" s="475" t="str">
        <f t="shared" si="225"/>
        <v/>
      </c>
      <c r="AL313" s="475" t="str">
        <f t="shared" si="226"/>
        <v/>
      </c>
      <c r="AM313" s="475" t="str">
        <f t="shared" si="227"/>
        <v/>
      </c>
      <c r="AN313" s="475" t="str">
        <f t="shared" si="228"/>
        <v/>
      </c>
      <c r="AO313" s="475" t="str">
        <f t="shared" si="229"/>
        <v/>
      </c>
      <c r="AP313" s="475" t="str">
        <f t="shared" si="230"/>
        <v/>
      </c>
      <c r="AQ313" s="475" t="str">
        <f t="shared" si="231"/>
        <v/>
      </c>
      <c r="AR313" s="475" t="str">
        <f t="shared" si="232"/>
        <v/>
      </c>
      <c r="AS313" s="475" t="str">
        <f t="shared" si="215"/>
        <v/>
      </c>
      <c r="AT313" s="475" t="str">
        <f t="shared" si="233"/>
        <v/>
      </c>
      <c r="AU313" s="475" t="str">
        <f t="shared" si="234"/>
        <v/>
      </c>
      <c r="AV313" s="475" t="str">
        <f t="shared" si="235"/>
        <v/>
      </c>
      <c r="AW313" s="473">
        <f t="shared" si="236"/>
        <v>0</v>
      </c>
      <c r="AX313" s="473" t="str">
        <f>IF(AND($Z313="b",OR($AA313="a",$AA313="b"),Inventory!$I69="",$AE313&lt;(65000/12000)),"x",IF(AND($Z313="b",OR($AA313="a",$AA313="b"),Inventory!$I69&lt;&gt;"",$AE313&lt;(65000/12000)),VLOOKUP(Inventory!$I320,$V$4:$W$5,2,FALSE),"x"))</f>
        <v>x</v>
      </c>
      <c r="AY313" s="476" t="str">
        <f t="shared" si="237"/>
        <v>aaa0</v>
      </c>
      <c r="AZ313" s="477" t="str">
        <f t="shared" si="197"/>
        <v>No</v>
      </c>
      <c r="BA313" s="759" t="str">
        <f t="shared" si="198"/>
        <v>No</v>
      </c>
      <c r="BB313" s="477">
        <f>IF($Z313="c",Inventory!$AB69,Inventory!$K69)</f>
        <v>0</v>
      </c>
      <c r="BC313" s="478">
        <f>IF(AND($Z313="b",Inventory!$N69="Btu/hr"),Inventory!$M69,IF(AND($Z313="b",Inventory!$N69="Tons"),Inventory!$M69*12000,IF(AND($Z313&lt;&gt;"b",Inventory!$AK69="Btu/hr"),Inventory!$AD69,IF(AND($Z313&lt;&gt;"b",Inventory!$AK69="Tons"),Inventory!$AD69*12000,0))))</f>
        <v>0</v>
      </c>
      <c r="BD313" s="478">
        <f t="shared" si="245"/>
        <v>0</v>
      </c>
      <c r="BE313" s="479">
        <f t="shared" si="216"/>
        <v>0</v>
      </c>
      <c r="BF313" s="477" t="s">
        <v>50</v>
      </c>
      <c r="BG313" s="479">
        <f t="shared" si="239"/>
        <v>0</v>
      </c>
      <c r="BH313" s="477" t="s">
        <v>46</v>
      </c>
      <c r="BI313" s="760">
        <f>IF(AND($Z313="b",Inventory!$P69="Btu/hr"),Inventory!$O69,IF(AND($Z313="b",Inventory!$P69="Tons"),Inventory!$O69*12000,IF(AND($Z313&lt;&gt;"b",Inventory!$AM69="Btu/hr"),Inventory!$AL69,IF(AND($Z313&lt;&gt;"b",Inventory!$AM69="Tons"),Inventory!$AL69*12000,0))))</f>
        <v>0</v>
      </c>
      <c r="BJ313" s="760">
        <f t="shared" si="246"/>
        <v>0</v>
      </c>
      <c r="BK313" s="598">
        <f t="shared" si="202"/>
        <v>0</v>
      </c>
      <c r="BL313" s="759" t="s">
        <v>567</v>
      </c>
      <c r="BM313" s="477" t="str">
        <f t="shared" si="240"/>
        <v>No</v>
      </c>
      <c r="BN313" s="477" t="str">
        <f>IF(OR(Inventory!$H69="",$BM313="No"),"-",Inventory!$H69)</f>
        <v>-</v>
      </c>
      <c r="BO313" s="477" t="str">
        <f>IFERROR(VLOOKUP(BN313,'Early Retirement'!$B$6:$C$33,2,FALSE),"-")</f>
        <v>-</v>
      </c>
      <c r="BP313" s="477" t="str">
        <f>IF(Inventory!$J69="Centrifugal","Yes","No")</f>
        <v>No</v>
      </c>
      <c r="BQ313" s="477">
        <f t="shared" si="241"/>
        <v>0</v>
      </c>
      <c r="BR313" s="477" t="str">
        <f t="shared" si="218"/>
        <v>-</v>
      </c>
      <c r="BS313" s="479">
        <f>IFERROR(INDEX('Early Retirement'!$C$4:$AC$33,$BO313,$BR313),0)</f>
        <v>0</v>
      </c>
      <c r="BT313" s="477">
        <f>IFERROR(HLOOKUP($BR313,'Early Retirement'!$D$4:$AC$5,2,FALSE),0)</f>
        <v>0</v>
      </c>
      <c r="BU313" s="761">
        <f>IFERROR(INDEX('Early Retirement'!$AE$4:$BE$33,$BO313,$BR313),0)</f>
        <v>0</v>
      </c>
      <c r="BV313" s="759">
        <f>IFERROR(HLOOKUP($BR313,'Early Retirement'!$AF$4:$BE$5,2,FALSE),0)</f>
        <v>0</v>
      </c>
      <c r="BW313" s="479">
        <f t="shared" si="242"/>
        <v>0</v>
      </c>
      <c r="BX313" s="761">
        <f t="shared" si="207"/>
        <v>0</v>
      </c>
      <c r="BY313" s="477" t="s">
        <v>46</v>
      </c>
      <c r="BZ313" s="598">
        <f>IFERROR(INDEX('Early Retirement'!$BG$4:$CG$33,$BO313,$BR313),0)</f>
        <v>0</v>
      </c>
      <c r="CA313" s="759">
        <f>IFERROR(HLOOKUP($BR313,'Early Retirement'!$BH$4:$CH$5,2,FALSE),0)</f>
        <v>0</v>
      </c>
      <c r="CB313" s="598">
        <f t="shared" si="208"/>
        <v>0</v>
      </c>
      <c r="CC313" s="759" t="s">
        <v>567</v>
      </c>
      <c r="CD313" s="477" t="str">
        <f t="shared" si="243"/>
        <v>Yes</v>
      </c>
      <c r="CE313" s="479">
        <f t="shared" si="210"/>
        <v>0</v>
      </c>
      <c r="CF313" s="761">
        <f t="shared" si="211"/>
        <v>0</v>
      </c>
      <c r="CG313" s="759" t="s">
        <v>46</v>
      </c>
      <c r="CH313" s="598">
        <f t="shared" si="217"/>
        <v>0</v>
      </c>
      <c r="CI313" s="759" t="s">
        <v>567</v>
      </c>
      <c r="CJ313" s="480">
        <f t="shared" si="244"/>
        <v>0</v>
      </c>
      <c r="CK313" s="583">
        <f t="shared" si="213"/>
        <v>0</v>
      </c>
      <c r="CL313" s="596" t="s">
        <v>46</v>
      </c>
      <c r="CM313" s="581">
        <f t="shared" si="214"/>
        <v>0</v>
      </c>
      <c r="CN313" s="762" t="s">
        <v>567</v>
      </c>
      <c r="CW313" s="630"/>
      <c r="CX313" s="630"/>
      <c r="CY313" s="630"/>
      <c r="CZ313" s="630"/>
      <c r="DA313" s="630"/>
    </row>
    <row r="314" spans="2:105" s="78" customFormat="1" ht="15" customHeight="1" x14ac:dyDescent="0.25">
      <c r="B314" s="77"/>
      <c r="E314" s="77"/>
      <c r="H314" s="77"/>
      <c r="Y314" s="90">
        <v>61</v>
      </c>
      <c r="Z314" s="559" t="str">
        <f>IF(Inventory!$C70="","",VLOOKUP(Inventory!$C70,$B$7:$C$9,2,FALSE))</f>
        <v/>
      </c>
      <c r="AA314" s="559" t="str">
        <f>IF($Z314="","",IF(AND($Z314="b",Inventory!$G70=""),"",IF(AND($Z314="b",Inventory!$G70&lt;&gt;""),VLOOKUP(Inventory!$G70,$E$3:$F$10,2,FALSE),IF(AND($Z314="a",Inventory!$Z70=""),"",IF(AND($Z314="a",Inventory!$Z70&lt;&gt;""),VLOOKUP(Inventory!$Z70,$E$3:$F$10,2,FALSE),IF(AND($Z314="c",Inventory!$Z70=""),"",IF(AND($Z314="c",Inventory!$Z70&lt;&gt;""),VLOOKUP(Inventory!$Z70,$E$3:$F$10,2,FALSE),"")))))))</f>
        <v/>
      </c>
      <c r="AB314" s="559" t="str">
        <f>IF($Z314="","a",IF(AND($Z314="b",Inventory!$J70=""),"a",IF(AND($Z314="b",Inventory!$J70&lt;&gt;""),VLOOKUP(Inventory!$J70,$H$4:$I$6,2,FALSE),IF(AND($Z314="a",Inventory!$AA70=""),"a",IF(AND($Z314="a",Inventory!$AA70&lt;&gt;""),VLOOKUP(Inventory!$AA70,$H$4:$I$6,2,FALSE),IF(AND($Z314="c",Inventory!$AA70=""),"a",IF(AND($Z314="c",Inventory!$AA70&lt;&gt;""),VLOOKUP(Inventory!$AA70,$H$4:$I$6,2,FALSE),"a")))))))</f>
        <v>a</v>
      </c>
      <c r="AC314" s="559" t="str">
        <f t="shared" si="219"/>
        <v>a</v>
      </c>
      <c r="AD314" s="473" t="str">
        <f>IF($Z314="","a",IF(AND($Z314="b",Inventory!$L70=""),"a",IF(AND($Z314="b",Inventory!$L70&lt;&gt;""),VLOOKUP(Inventory!$L70,$N$4:$O$5,2,FALSE),IF(AND($Z314="a",Inventory!$AC70=""),"a",IF(AND($Z314="a",Inventory!$AC70&lt;&gt;""),VLOOKUP(Inventory!$AC70,$N$4:$O$5,2,FALSE),IF(AND($Z314="c",Inventory!$AC70=""),"a",IF(AND($Z314="c",Inventory!$AC70&lt;&gt;""),VLOOKUP(Inventory!$AC70,$N$4:$O$5,2,FALSE),"a")))))))</f>
        <v>a</v>
      </c>
      <c r="AE314" s="474">
        <f>IF(OR(Inventory!C70="New Construction",Inventory!C70="Replace-on-Burnout"),Inventory!AF70,IF(Inventory!C70="Early Retirement",MIN(Inventory!AE70,Inventory!AF70),0))</f>
        <v>0</v>
      </c>
      <c r="AF314" s="475" t="str">
        <f t="shared" si="220"/>
        <v/>
      </c>
      <c r="AG314" s="475" t="str">
        <f t="shared" si="221"/>
        <v/>
      </c>
      <c r="AH314" s="475" t="str">
        <f t="shared" si="222"/>
        <v/>
      </c>
      <c r="AI314" s="475" t="str">
        <f t="shared" si="223"/>
        <v/>
      </c>
      <c r="AJ314" s="475" t="str">
        <f t="shared" si="224"/>
        <v/>
      </c>
      <c r="AK314" s="475" t="str">
        <f t="shared" si="225"/>
        <v/>
      </c>
      <c r="AL314" s="475" t="str">
        <f t="shared" si="226"/>
        <v/>
      </c>
      <c r="AM314" s="475" t="str">
        <f t="shared" si="227"/>
        <v/>
      </c>
      <c r="AN314" s="475" t="str">
        <f t="shared" si="228"/>
        <v/>
      </c>
      <c r="AO314" s="475" t="str">
        <f t="shared" si="229"/>
        <v/>
      </c>
      <c r="AP314" s="475" t="str">
        <f t="shared" si="230"/>
        <v/>
      </c>
      <c r="AQ314" s="475" t="str">
        <f t="shared" si="231"/>
        <v/>
      </c>
      <c r="AR314" s="475" t="str">
        <f t="shared" si="232"/>
        <v/>
      </c>
      <c r="AS314" s="475" t="str">
        <f t="shared" si="215"/>
        <v/>
      </c>
      <c r="AT314" s="475" t="str">
        <f t="shared" si="233"/>
        <v/>
      </c>
      <c r="AU314" s="475" t="str">
        <f t="shared" si="234"/>
        <v/>
      </c>
      <c r="AV314" s="475" t="str">
        <f t="shared" si="235"/>
        <v/>
      </c>
      <c r="AW314" s="473">
        <f t="shared" si="236"/>
        <v>0</v>
      </c>
      <c r="AX314" s="473" t="str">
        <f>IF(AND($Z314="b",OR($AA314="a",$AA314="b"),Inventory!$I70="",$AE314&lt;(65000/12000)),"x",IF(AND($Z314="b",OR($AA314="a",$AA314="b"),Inventory!$I70&lt;&gt;"",$AE314&lt;(65000/12000)),VLOOKUP(Inventory!$I321,$V$4:$W$5,2,FALSE),"x"))</f>
        <v>x</v>
      </c>
      <c r="AY314" s="476" t="str">
        <f t="shared" si="237"/>
        <v>aaa0</v>
      </c>
      <c r="AZ314" s="477" t="str">
        <f t="shared" si="197"/>
        <v>No</v>
      </c>
      <c r="BA314" s="759" t="str">
        <f t="shared" si="198"/>
        <v>No</v>
      </c>
      <c r="BB314" s="477">
        <f>IF($Z314="c",Inventory!$AB70,Inventory!$K70)</f>
        <v>0</v>
      </c>
      <c r="BC314" s="478">
        <f>IF(AND($Z314="b",Inventory!$N70="Btu/hr"),Inventory!$M70,IF(AND($Z314="b",Inventory!$N70="Tons"),Inventory!$M70*12000,IF(AND($Z314&lt;&gt;"b",Inventory!$AK70="Btu/hr"),Inventory!$AD70,IF(AND($Z314&lt;&gt;"b",Inventory!$AK70="Tons"),Inventory!$AD70*12000,0))))</f>
        <v>0</v>
      </c>
      <c r="BD314" s="478">
        <f t="shared" si="245"/>
        <v>0</v>
      </c>
      <c r="BE314" s="479">
        <f t="shared" si="216"/>
        <v>0</v>
      </c>
      <c r="BF314" s="477" t="s">
        <v>50</v>
      </c>
      <c r="BG314" s="479">
        <f t="shared" si="239"/>
        <v>0</v>
      </c>
      <c r="BH314" s="477" t="s">
        <v>46</v>
      </c>
      <c r="BI314" s="760">
        <f>IF(AND($Z314="b",Inventory!$P70="Btu/hr"),Inventory!$O70,IF(AND($Z314="b",Inventory!$P70="Tons"),Inventory!$O70*12000,IF(AND($Z314&lt;&gt;"b",Inventory!$AM70="Btu/hr"),Inventory!$AL70,IF(AND($Z314&lt;&gt;"b",Inventory!$AM70="Tons"),Inventory!$AL70*12000,0))))</f>
        <v>0</v>
      </c>
      <c r="BJ314" s="760">
        <f t="shared" si="246"/>
        <v>0</v>
      </c>
      <c r="BK314" s="598">
        <f t="shared" si="202"/>
        <v>0</v>
      </c>
      <c r="BL314" s="759" t="s">
        <v>567</v>
      </c>
      <c r="BM314" s="477" t="str">
        <f t="shared" si="240"/>
        <v>No</v>
      </c>
      <c r="BN314" s="477" t="str">
        <f>IF(OR(Inventory!$H70="",$BM314="No"),"-",Inventory!$H70)</f>
        <v>-</v>
      </c>
      <c r="BO314" s="477" t="str">
        <f>IFERROR(VLOOKUP(BN314,'Early Retirement'!$B$6:$C$33,2,FALSE),"-")</f>
        <v>-</v>
      </c>
      <c r="BP314" s="477" t="str">
        <f>IF(Inventory!$J70="Centrifugal","Yes","No")</f>
        <v>No</v>
      </c>
      <c r="BQ314" s="477">
        <f t="shared" si="241"/>
        <v>0</v>
      </c>
      <c r="BR314" s="477" t="str">
        <f t="shared" si="218"/>
        <v>-</v>
      </c>
      <c r="BS314" s="479">
        <f>IFERROR(INDEX('Early Retirement'!$C$4:$AC$33,$BO314,$BR314),0)</f>
        <v>0</v>
      </c>
      <c r="BT314" s="477">
        <f>IFERROR(HLOOKUP($BR314,'Early Retirement'!$D$4:$AC$5,2,FALSE),0)</f>
        <v>0</v>
      </c>
      <c r="BU314" s="761">
        <f>IFERROR(INDEX('Early Retirement'!$AE$4:$BE$33,$BO314,$BR314),0)</f>
        <v>0</v>
      </c>
      <c r="BV314" s="759">
        <f>IFERROR(HLOOKUP($BR314,'Early Retirement'!$AF$4:$BE$5,2,FALSE),0)</f>
        <v>0</v>
      </c>
      <c r="BW314" s="479">
        <f t="shared" si="242"/>
        <v>0</v>
      </c>
      <c r="BX314" s="761">
        <f t="shared" si="207"/>
        <v>0</v>
      </c>
      <c r="BY314" s="477" t="s">
        <v>46</v>
      </c>
      <c r="BZ314" s="598">
        <f>IFERROR(INDEX('Early Retirement'!$BG$4:$CG$33,$BO314,$BR314),0)</f>
        <v>0</v>
      </c>
      <c r="CA314" s="759">
        <f>IFERROR(HLOOKUP($BR314,'Early Retirement'!$BH$4:$CH$5,2,FALSE),0)</f>
        <v>0</v>
      </c>
      <c r="CB314" s="598">
        <f t="shared" si="208"/>
        <v>0</v>
      </c>
      <c r="CC314" s="759" t="s">
        <v>567</v>
      </c>
      <c r="CD314" s="477" t="str">
        <f t="shared" si="243"/>
        <v>Yes</v>
      </c>
      <c r="CE314" s="479">
        <f t="shared" si="210"/>
        <v>0</v>
      </c>
      <c r="CF314" s="761">
        <f t="shared" si="211"/>
        <v>0</v>
      </c>
      <c r="CG314" s="759" t="s">
        <v>46</v>
      </c>
      <c r="CH314" s="598">
        <f t="shared" si="217"/>
        <v>0</v>
      </c>
      <c r="CI314" s="759" t="s">
        <v>567</v>
      </c>
      <c r="CJ314" s="480">
        <f t="shared" si="244"/>
        <v>0</v>
      </c>
      <c r="CK314" s="583">
        <f t="shared" si="213"/>
        <v>0</v>
      </c>
      <c r="CL314" s="596" t="s">
        <v>46</v>
      </c>
      <c r="CM314" s="581">
        <f t="shared" si="214"/>
        <v>0</v>
      </c>
      <c r="CN314" s="762" t="s">
        <v>567</v>
      </c>
      <c r="CW314" s="630"/>
      <c r="CX314" s="630"/>
      <c r="CY314" s="630"/>
      <c r="CZ314" s="630"/>
      <c r="DA314" s="630"/>
    </row>
    <row r="315" spans="2:105" s="78" customFormat="1" ht="15" customHeight="1" x14ac:dyDescent="0.25">
      <c r="B315" s="77"/>
      <c r="E315" s="77"/>
      <c r="H315" s="77"/>
      <c r="Y315" s="90">
        <v>62</v>
      </c>
      <c r="Z315" s="559" t="str">
        <f>IF(Inventory!$C71="","",VLOOKUP(Inventory!$C71,$B$7:$C$9,2,FALSE))</f>
        <v/>
      </c>
      <c r="AA315" s="559" t="str">
        <f>IF($Z315="","",IF(AND($Z315="b",Inventory!$G71=""),"",IF(AND($Z315="b",Inventory!$G71&lt;&gt;""),VLOOKUP(Inventory!$G71,$E$3:$F$10,2,FALSE),IF(AND($Z315="a",Inventory!$Z71=""),"",IF(AND($Z315="a",Inventory!$Z71&lt;&gt;""),VLOOKUP(Inventory!$Z71,$E$3:$F$10,2,FALSE),IF(AND($Z315="c",Inventory!$Z71=""),"",IF(AND($Z315="c",Inventory!$Z71&lt;&gt;""),VLOOKUP(Inventory!$Z71,$E$3:$F$10,2,FALSE),"")))))))</f>
        <v/>
      </c>
      <c r="AB315" s="559" t="str">
        <f>IF($Z315="","a",IF(AND($Z315="b",Inventory!$J71=""),"a",IF(AND($Z315="b",Inventory!$J71&lt;&gt;""),VLOOKUP(Inventory!$J71,$H$4:$I$6,2,FALSE),IF(AND($Z315="a",Inventory!$AA71=""),"a",IF(AND($Z315="a",Inventory!$AA71&lt;&gt;""),VLOOKUP(Inventory!$AA71,$H$4:$I$6,2,FALSE),IF(AND($Z315="c",Inventory!$AA71=""),"a",IF(AND($Z315="c",Inventory!$AA71&lt;&gt;""),VLOOKUP(Inventory!$AA71,$H$4:$I$6,2,FALSE),"a")))))))</f>
        <v>a</v>
      </c>
      <c r="AC315" s="559" t="str">
        <f t="shared" si="219"/>
        <v>a</v>
      </c>
      <c r="AD315" s="473" t="str">
        <f>IF($Z315="","a",IF(AND($Z315="b",Inventory!$L71=""),"a",IF(AND($Z315="b",Inventory!$L71&lt;&gt;""),VLOOKUP(Inventory!$L71,$N$4:$O$5,2,FALSE),IF(AND($Z315="a",Inventory!$AC71=""),"a",IF(AND($Z315="a",Inventory!$AC71&lt;&gt;""),VLOOKUP(Inventory!$AC71,$N$4:$O$5,2,FALSE),IF(AND($Z315="c",Inventory!$AC71=""),"a",IF(AND($Z315="c",Inventory!$AC71&lt;&gt;""),VLOOKUP(Inventory!$AC71,$N$4:$O$5,2,FALSE),"a")))))))</f>
        <v>a</v>
      </c>
      <c r="AE315" s="474">
        <f>IF(OR(Inventory!C71="New Construction",Inventory!C71="Replace-on-Burnout"),Inventory!AF71,IF(Inventory!C71="Early Retirement",MIN(Inventory!AE71,Inventory!AF71),0))</f>
        <v>0</v>
      </c>
      <c r="AF315" s="475" t="str">
        <f t="shared" si="220"/>
        <v/>
      </c>
      <c r="AG315" s="475" t="str">
        <f t="shared" si="221"/>
        <v/>
      </c>
      <c r="AH315" s="475" t="str">
        <f t="shared" si="222"/>
        <v/>
      </c>
      <c r="AI315" s="475" t="str">
        <f t="shared" si="223"/>
        <v/>
      </c>
      <c r="AJ315" s="475" t="str">
        <f t="shared" si="224"/>
        <v/>
      </c>
      <c r="AK315" s="475" t="str">
        <f t="shared" si="225"/>
        <v/>
      </c>
      <c r="AL315" s="475" t="str">
        <f t="shared" si="226"/>
        <v/>
      </c>
      <c r="AM315" s="475" t="str">
        <f t="shared" si="227"/>
        <v/>
      </c>
      <c r="AN315" s="475" t="str">
        <f t="shared" si="228"/>
        <v/>
      </c>
      <c r="AO315" s="475" t="str">
        <f t="shared" si="229"/>
        <v/>
      </c>
      <c r="AP315" s="475" t="str">
        <f t="shared" si="230"/>
        <v/>
      </c>
      <c r="AQ315" s="475" t="str">
        <f t="shared" si="231"/>
        <v/>
      </c>
      <c r="AR315" s="475" t="str">
        <f t="shared" si="232"/>
        <v/>
      </c>
      <c r="AS315" s="475" t="str">
        <f t="shared" si="215"/>
        <v/>
      </c>
      <c r="AT315" s="475" t="str">
        <f t="shared" si="233"/>
        <v/>
      </c>
      <c r="AU315" s="475" t="str">
        <f t="shared" si="234"/>
        <v/>
      </c>
      <c r="AV315" s="475" t="str">
        <f t="shared" si="235"/>
        <v/>
      </c>
      <c r="AW315" s="473">
        <f t="shared" si="236"/>
        <v>0</v>
      </c>
      <c r="AX315" s="473" t="str">
        <f>IF(AND($Z315="b",OR($AA315="a",$AA315="b"),Inventory!$I71="",$AE315&lt;(65000/12000)),"x",IF(AND($Z315="b",OR($AA315="a",$AA315="b"),Inventory!$I71&lt;&gt;"",$AE315&lt;(65000/12000)),VLOOKUP(Inventory!$I322,$V$4:$W$5,2,FALSE),"x"))</f>
        <v>x</v>
      </c>
      <c r="AY315" s="476" t="str">
        <f t="shared" si="237"/>
        <v>aaa0</v>
      </c>
      <c r="AZ315" s="477" t="str">
        <f t="shared" si="197"/>
        <v>No</v>
      </c>
      <c r="BA315" s="759" t="str">
        <f t="shared" si="198"/>
        <v>No</v>
      </c>
      <c r="BB315" s="477">
        <f>IF($Z315="c",Inventory!$AB71,Inventory!$K71)</f>
        <v>0</v>
      </c>
      <c r="BC315" s="478">
        <f>IF(AND($Z315="b",Inventory!$N71="Btu/hr"),Inventory!$M71,IF(AND($Z315="b",Inventory!$N71="Tons"),Inventory!$M71*12000,IF(AND($Z315&lt;&gt;"b",Inventory!$AK71="Btu/hr"),Inventory!$AD71,IF(AND($Z315&lt;&gt;"b",Inventory!$AK71="Tons"),Inventory!$AD71*12000,0))))</f>
        <v>0</v>
      </c>
      <c r="BD315" s="478">
        <f t="shared" si="245"/>
        <v>0</v>
      </c>
      <c r="BE315" s="479">
        <f t="shared" si="216"/>
        <v>0</v>
      </c>
      <c r="BF315" s="477" t="s">
        <v>50</v>
      </c>
      <c r="BG315" s="479">
        <f t="shared" si="239"/>
        <v>0</v>
      </c>
      <c r="BH315" s="477" t="s">
        <v>46</v>
      </c>
      <c r="BI315" s="760">
        <f>IF(AND($Z315="b",Inventory!$P71="Btu/hr"),Inventory!$O71,IF(AND($Z315="b",Inventory!$P71="Tons"),Inventory!$O71*12000,IF(AND($Z315&lt;&gt;"b",Inventory!$AM71="Btu/hr"),Inventory!$AL71,IF(AND($Z315&lt;&gt;"b",Inventory!$AM71="Tons"),Inventory!$AL71*12000,0))))</f>
        <v>0</v>
      </c>
      <c r="BJ315" s="760">
        <f t="shared" si="246"/>
        <v>0</v>
      </c>
      <c r="BK315" s="598">
        <f t="shared" si="202"/>
        <v>0</v>
      </c>
      <c r="BL315" s="759" t="s">
        <v>567</v>
      </c>
      <c r="BM315" s="477" t="str">
        <f t="shared" si="240"/>
        <v>No</v>
      </c>
      <c r="BN315" s="477" t="str">
        <f>IF(OR(Inventory!$H71="",$BM315="No"),"-",Inventory!$H71)</f>
        <v>-</v>
      </c>
      <c r="BO315" s="477" t="str">
        <f>IFERROR(VLOOKUP(BN315,'Early Retirement'!$B$6:$C$33,2,FALSE),"-")</f>
        <v>-</v>
      </c>
      <c r="BP315" s="477" t="str">
        <f>IF(Inventory!$J71="Centrifugal","Yes","No")</f>
        <v>No</v>
      </c>
      <c r="BQ315" s="477">
        <f t="shared" si="241"/>
        <v>0</v>
      </c>
      <c r="BR315" s="477" t="str">
        <f t="shared" si="218"/>
        <v>-</v>
      </c>
      <c r="BS315" s="479">
        <f>IFERROR(INDEX('Early Retirement'!$C$4:$AC$33,$BO315,$BR315),0)</f>
        <v>0</v>
      </c>
      <c r="BT315" s="477">
        <f>IFERROR(HLOOKUP($BR315,'Early Retirement'!$D$4:$AC$5,2,FALSE),0)</f>
        <v>0</v>
      </c>
      <c r="BU315" s="761">
        <f>IFERROR(INDEX('Early Retirement'!$AE$4:$BE$33,$BO315,$BR315),0)</f>
        <v>0</v>
      </c>
      <c r="BV315" s="759">
        <f>IFERROR(HLOOKUP($BR315,'Early Retirement'!$AF$4:$BE$5,2,FALSE),0)</f>
        <v>0</v>
      </c>
      <c r="BW315" s="479">
        <f t="shared" si="242"/>
        <v>0</v>
      </c>
      <c r="BX315" s="761">
        <f t="shared" si="207"/>
        <v>0</v>
      </c>
      <c r="BY315" s="477" t="s">
        <v>46</v>
      </c>
      <c r="BZ315" s="598">
        <f>IFERROR(INDEX('Early Retirement'!$BG$4:$CG$33,$BO315,$BR315),0)</f>
        <v>0</v>
      </c>
      <c r="CA315" s="759">
        <f>IFERROR(HLOOKUP($BR315,'Early Retirement'!$BH$4:$CH$5,2,FALSE),0)</f>
        <v>0</v>
      </c>
      <c r="CB315" s="598">
        <f t="shared" si="208"/>
        <v>0</v>
      </c>
      <c r="CC315" s="759" t="s">
        <v>567</v>
      </c>
      <c r="CD315" s="477" t="str">
        <f t="shared" si="243"/>
        <v>Yes</v>
      </c>
      <c r="CE315" s="479">
        <f t="shared" si="210"/>
        <v>0</v>
      </c>
      <c r="CF315" s="761">
        <f t="shared" si="211"/>
        <v>0</v>
      </c>
      <c r="CG315" s="759" t="s">
        <v>46</v>
      </c>
      <c r="CH315" s="598">
        <f t="shared" si="217"/>
        <v>0</v>
      </c>
      <c r="CI315" s="759" t="s">
        <v>567</v>
      </c>
      <c r="CJ315" s="480">
        <f t="shared" si="244"/>
        <v>0</v>
      </c>
      <c r="CK315" s="583">
        <f t="shared" si="213"/>
        <v>0</v>
      </c>
      <c r="CL315" s="596" t="s">
        <v>46</v>
      </c>
      <c r="CM315" s="581">
        <f t="shared" si="214"/>
        <v>0</v>
      </c>
      <c r="CN315" s="762" t="s">
        <v>567</v>
      </c>
      <c r="CW315" s="630"/>
      <c r="CX315" s="630"/>
      <c r="CY315" s="630"/>
      <c r="CZ315" s="630"/>
      <c r="DA315" s="630"/>
    </row>
    <row r="316" spans="2:105" s="78" customFormat="1" ht="15" customHeight="1" x14ac:dyDescent="0.25">
      <c r="B316" s="77"/>
      <c r="E316" s="77"/>
      <c r="H316" s="77"/>
      <c r="Y316" s="90">
        <v>63</v>
      </c>
      <c r="Z316" s="559" t="str">
        <f>IF(Inventory!$C72="","",VLOOKUP(Inventory!$C72,$B$7:$C$9,2,FALSE))</f>
        <v/>
      </c>
      <c r="AA316" s="559" t="str">
        <f>IF($Z316="","",IF(AND($Z316="b",Inventory!$G72=""),"",IF(AND($Z316="b",Inventory!$G72&lt;&gt;""),VLOOKUP(Inventory!$G72,$E$3:$F$10,2,FALSE),IF(AND($Z316="a",Inventory!$Z72=""),"",IF(AND($Z316="a",Inventory!$Z72&lt;&gt;""),VLOOKUP(Inventory!$Z72,$E$3:$F$10,2,FALSE),IF(AND($Z316="c",Inventory!$Z72=""),"",IF(AND($Z316="c",Inventory!$Z72&lt;&gt;""),VLOOKUP(Inventory!$Z72,$E$3:$F$10,2,FALSE),"")))))))</f>
        <v/>
      </c>
      <c r="AB316" s="559" t="str">
        <f>IF($Z316="","a",IF(AND($Z316="b",Inventory!$J72=""),"a",IF(AND($Z316="b",Inventory!$J72&lt;&gt;""),VLOOKUP(Inventory!$J72,$H$4:$I$6,2,FALSE),IF(AND($Z316="a",Inventory!$AA72=""),"a",IF(AND($Z316="a",Inventory!$AA72&lt;&gt;""),VLOOKUP(Inventory!$AA72,$H$4:$I$6,2,FALSE),IF(AND($Z316="c",Inventory!$AA72=""),"a",IF(AND($Z316="c",Inventory!$AA72&lt;&gt;""),VLOOKUP(Inventory!$AA72,$H$4:$I$6,2,FALSE),"a")))))))</f>
        <v>a</v>
      </c>
      <c r="AC316" s="559" t="str">
        <f t="shared" si="219"/>
        <v>a</v>
      </c>
      <c r="AD316" s="473" t="str">
        <f>IF($Z316="","a",IF(AND($Z316="b",Inventory!$L72=""),"a",IF(AND($Z316="b",Inventory!$L72&lt;&gt;""),VLOOKUP(Inventory!$L72,$N$4:$O$5,2,FALSE),IF(AND($Z316="a",Inventory!$AC72=""),"a",IF(AND($Z316="a",Inventory!$AC72&lt;&gt;""),VLOOKUP(Inventory!$AC72,$N$4:$O$5,2,FALSE),IF(AND($Z316="c",Inventory!$AC72=""),"a",IF(AND($Z316="c",Inventory!$AC72&lt;&gt;""),VLOOKUP(Inventory!$AC72,$N$4:$O$5,2,FALSE),"a")))))))</f>
        <v>a</v>
      </c>
      <c r="AE316" s="474">
        <f>IF(OR(Inventory!C72="New Construction",Inventory!C72="Replace-on-Burnout"),Inventory!AF72,IF(Inventory!C72="Early Retirement",MIN(Inventory!AE72,Inventory!AF72),0))</f>
        <v>0</v>
      </c>
      <c r="AF316" s="475" t="str">
        <f t="shared" si="220"/>
        <v/>
      </c>
      <c r="AG316" s="475" t="str">
        <f t="shared" si="221"/>
        <v/>
      </c>
      <c r="AH316" s="475" t="str">
        <f t="shared" si="222"/>
        <v/>
      </c>
      <c r="AI316" s="475" t="str">
        <f t="shared" si="223"/>
        <v/>
      </c>
      <c r="AJ316" s="475" t="str">
        <f t="shared" si="224"/>
        <v/>
      </c>
      <c r="AK316" s="475" t="str">
        <f t="shared" si="225"/>
        <v/>
      </c>
      <c r="AL316" s="475" t="str">
        <f t="shared" si="226"/>
        <v/>
      </c>
      <c r="AM316" s="475" t="str">
        <f t="shared" si="227"/>
        <v/>
      </c>
      <c r="AN316" s="475" t="str">
        <f t="shared" si="228"/>
        <v/>
      </c>
      <c r="AO316" s="475" t="str">
        <f t="shared" si="229"/>
        <v/>
      </c>
      <c r="AP316" s="475" t="str">
        <f t="shared" si="230"/>
        <v/>
      </c>
      <c r="AQ316" s="475" t="str">
        <f t="shared" si="231"/>
        <v/>
      </c>
      <c r="AR316" s="475" t="str">
        <f t="shared" si="232"/>
        <v/>
      </c>
      <c r="AS316" s="475" t="str">
        <f t="shared" si="215"/>
        <v/>
      </c>
      <c r="AT316" s="475" t="str">
        <f t="shared" si="233"/>
        <v/>
      </c>
      <c r="AU316" s="475" t="str">
        <f t="shared" si="234"/>
        <v/>
      </c>
      <c r="AV316" s="475" t="str">
        <f t="shared" si="235"/>
        <v/>
      </c>
      <c r="AW316" s="473">
        <f t="shared" si="236"/>
        <v>0</v>
      </c>
      <c r="AX316" s="473" t="str">
        <f>IF(AND($Z316="b",OR($AA316="a",$AA316="b"),Inventory!$I72="",$AE316&lt;(65000/12000)),"x",IF(AND($Z316="b",OR($AA316="a",$AA316="b"),Inventory!$I72&lt;&gt;"",$AE316&lt;(65000/12000)),VLOOKUP(Inventory!$I323,$V$4:$W$5,2,FALSE),"x"))</f>
        <v>x</v>
      </c>
      <c r="AY316" s="476" t="str">
        <f t="shared" si="237"/>
        <v>aaa0</v>
      </c>
      <c r="AZ316" s="477" t="str">
        <f t="shared" si="197"/>
        <v>No</v>
      </c>
      <c r="BA316" s="759" t="str">
        <f t="shared" si="198"/>
        <v>No</v>
      </c>
      <c r="BB316" s="477">
        <f>IF($Z316="c",Inventory!$AB72,Inventory!$K72)</f>
        <v>0</v>
      </c>
      <c r="BC316" s="478">
        <f>IF(AND($Z316="b",Inventory!$N72="Btu/hr"),Inventory!$M72,IF(AND($Z316="b",Inventory!$N72="Tons"),Inventory!$M72*12000,IF(AND($Z316&lt;&gt;"b",Inventory!$AK72="Btu/hr"),Inventory!$AD72,IF(AND($Z316&lt;&gt;"b",Inventory!$AK72="Tons"),Inventory!$AD72*12000,0))))</f>
        <v>0</v>
      </c>
      <c r="BD316" s="478">
        <f t="shared" si="245"/>
        <v>0</v>
      </c>
      <c r="BE316" s="479">
        <f t="shared" si="216"/>
        <v>0</v>
      </c>
      <c r="BF316" s="477" t="s">
        <v>50</v>
      </c>
      <c r="BG316" s="479">
        <f t="shared" si="239"/>
        <v>0</v>
      </c>
      <c r="BH316" s="477" t="s">
        <v>46</v>
      </c>
      <c r="BI316" s="760">
        <f>IF(AND($Z316="b",Inventory!$P72="Btu/hr"),Inventory!$O72,IF(AND($Z316="b",Inventory!$P72="Tons"),Inventory!$O72*12000,IF(AND($Z316&lt;&gt;"b",Inventory!$AM72="Btu/hr"),Inventory!$AL72,IF(AND($Z316&lt;&gt;"b",Inventory!$AM72="Tons"),Inventory!$AL72*12000,0))))</f>
        <v>0</v>
      </c>
      <c r="BJ316" s="760">
        <f t="shared" si="246"/>
        <v>0</v>
      </c>
      <c r="BK316" s="598">
        <f t="shared" si="202"/>
        <v>0</v>
      </c>
      <c r="BL316" s="759" t="s">
        <v>567</v>
      </c>
      <c r="BM316" s="477" t="str">
        <f t="shared" si="240"/>
        <v>No</v>
      </c>
      <c r="BN316" s="477" t="str">
        <f>IF(OR(Inventory!$H72="",$BM316="No"),"-",Inventory!$H72)</f>
        <v>-</v>
      </c>
      <c r="BO316" s="477" t="str">
        <f>IFERROR(VLOOKUP(BN316,'Early Retirement'!$B$6:$C$33,2,FALSE),"-")</f>
        <v>-</v>
      </c>
      <c r="BP316" s="477" t="str">
        <f>IF(Inventory!$J72="Centrifugal","Yes","No")</f>
        <v>No</v>
      </c>
      <c r="BQ316" s="477">
        <f t="shared" si="241"/>
        <v>0</v>
      </c>
      <c r="BR316" s="477" t="str">
        <f t="shared" si="218"/>
        <v>-</v>
      </c>
      <c r="BS316" s="479">
        <f>IFERROR(INDEX('Early Retirement'!$C$4:$AC$33,$BO316,$BR316),0)</f>
        <v>0</v>
      </c>
      <c r="BT316" s="477">
        <f>IFERROR(HLOOKUP($BR316,'Early Retirement'!$D$4:$AC$5,2,FALSE),0)</f>
        <v>0</v>
      </c>
      <c r="BU316" s="761">
        <f>IFERROR(INDEX('Early Retirement'!$AE$4:$BE$33,$BO316,$BR316),0)</f>
        <v>0</v>
      </c>
      <c r="BV316" s="759">
        <f>IFERROR(HLOOKUP($BR316,'Early Retirement'!$AF$4:$BE$5,2,FALSE),0)</f>
        <v>0</v>
      </c>
      <c r="BW316" s="479">
        <f t="shared" si="242"/>
        <v>0</v>
      </c>
      <c r="BX316" s="761">
        <f t="shared" si="207"/>
        <v>0</v>
      </c>
      <c r="BY316" s="477" t="s">
        <v>46</v>
      </c>
      <c r="BZ316" s="598">
        <f>IFERROR(INDEX('Early Retirement'!$BG$4:$CG$33,$BO316,$BR316),0)</f>
        <v>0</v>
      </c>
      <c r="CA316" s="759">
        <f>IFERROR(HLOOKUP($BR316,'Early Retirement'!$BH$4:$CH$5,2,FALSE),0)</f>
        <v>0</v>
      </c>
      <c r="CB316" s="598">
        <f t="shared" si="208"/>
        <v>0</v>
      </c>
      <c r="CC316" s="759" t="s">
        <v>567</v>
      </c>
      <c r="CD316" s="477" t="str">
        <f t="shared" si="243"/>
        <v>Yes</v>
      </c>
      <c r="CE316" s="479">
        <f t="shared" si="210"/>
        <v>0</v>
      </c>
      <c r="CF316" s="761">
        <f t="shared" si="211"/>
        <v>0</v>
      </c>
      <c r="CG316" s="759" t="s">
        <v>46</v>
      </c>
      <c r="CH316" s="598">
        <f t="shared" si="217"/>
        <v>0</v>
      </c>
      <c r="CI316" s="759" t="s">
        <v>567</v>
      </c>
      <c r="CJ316" s="480">
        <f t="shared" si="244"/>
        <v>0</v>
      </c>
      <c r="CK316" s="583">
        <f t="shared" si="213"/>
        <v>0</v>
      </c>
      <c r="CL316" s="596" t="s">
        <v>46</v>
      </c>
      <c r="CM316" s="581">
        <f t="shared" si="214"/>
        <v>0</v>
      </c>
      <c r="CN316" s="762" t="s">
        <v>567</v>
      </c>
      <c r="CW316" s="630"/>
      <c r="CX316" s="630"/>
      <c r="CY316" s="630"/>
      <c r="CZ316" s="630"/>
      <c r="DA316" s="630"/>
    </row>
    <row r="317" spans="2:105" s="78" customFormat="1" ht="15" customHeight="1" x14ac:dyDescent="0.25">
      <c r="B317" s="77"/>
      <c r="E317" s="77"/>
      <c r="H317" s="77"/>
      <c r="Y317" s="90">
        <v>64</v>
      </c>
      <c r="Z317" s="559" t="str">
        <f>IF(Inventory!$C73="","",VLOOKUP(Inventory!$C73,$B$7:$C$9,2,FALSE))</f>
        <v/>
      </c>
      <c r="AA317" s="559" t="str">
        <f>IF($Z317="","",IF(AND($Z317="b",Inventory!$G73=""),"",IF(AND($Z317="b",Inventory!$G73&lt;&gt;""),VLOOKUP(Inventory!$G73,$E$3:$F$10,2,FALSE),IF(AND($Z317="a",Inventory!$Z73=""),"",IF(AND($Z317="a",Inventory!$Z73&lt;&gt;""),VLOOKUP(Inventory!$Z73,$E$3:$F$10,2,FALSE),IF(AND($Z317="c",Inventory!$Z73=""),"",IF(AND($Z317="c",Inventory!$Z73&lt;&gt;""),VLOOKUP(Inventory!$Z73,$E$3:$F$10,2,FALSE),"")))))))</f>
        <v/>
      </c>
      <c r="AB317" s="559" t="str">
        <f>IF($Z317="","a",IF(AND($Z317="b",Inventory!$J73=""),"a",IF(AND($Z317="b",Inventory!$J73&lt;&gt;""),VLOOKUP(Inventory!$J73,$H$4:$I$6,2,FALSE),IF(AND($Z317="a",Inventory!$AA73=""),"a",IF(AND($Z317="a",Inventory!$AA73&lt;&gt;""),VLOOKUP(Inventory!$AA73,$H$4:$I$6,2,FALSE),IF(AND($Z317="c",Inventory!$AA73=""),"a",IF(AND($Z317="c",Inventory!$AA73&lt;&gt;""),VLOOKUP(Inventory!$AA73,$H$4:$I$6,2,FALSE),"a")))))))</f>
        <v>a</v>
      </c>
      <c r="AC317" s="559" t="str">
        <f t="shared" si="219"/>
        <v>a</v>
      </c>
      <c r="AD317" s="473" t="str">
        <f>IF($Z317="","a",IF(AND($Z317="b",Inventory!$L73=""),"a",IF(AND($Z317="b",Inventory!$L73&lt;&gt;""),VLOOKUP(Inventory!$L73,$N$4:$O$5,2,FALSE),IF(AND($Z317="a",Inventory!$AC73=""),"a",IF(AND($Z317="a",Inventory!$AC73&lt;&gt;""),VLOOKUP(Inventory!$AC73,$N$4:$O$5,2,FALSE),IF(AND($Z317="c",Inventory!$AC73=""),"a",IF(AND($Z317="c",Inventory!$AC73&lt;&gt;""),VLOOKUP(Inventory!$AC73,$N$4:$O$5,2,FALSE),"a")))))))</f>
        <v>a</v>
      </c>
      <c r="AE317" s="474">
        <f>IF(OR(Inventory!C73="New Construction",Inventory!C73="Replace-on-Burnout"),Inventory!AF73,IF(Inventory!C73="Early Retirement",MIN(Inventory!AE73,Inventory!AF73),0))</f>
        <v>0</v>
      </c>
      <c r="AF317" s="475" t="str">
        <f t="shared" si="220"/>
        <v/>
      </c>
      <c r="AG317" s="475" t="str">
        <f t="shared" si="221"/>
        <v/>
      </c>
      <c r="AH317" s="475" t="str">
        <f t="shared" si="222"/>
        <v/>
      </c>
      <c r="AI317" s="475" t="str">
        <f t="shared" si="223"/>
        <v/>
      </c>
      <c r="AJ317" s="475" t="str">
        <f t="shared" si="224"/>
        <v/>
      </c>
      <c r="AK317" s="475" t="str">
        <f t="shared" si="225"/>
        <v/>
      </c>
      <c r="AL317" s="475" t="str">
        <f t="shared" si="226"/>
        <v/>
      </c>
      <c r="AM317" s="475" t="str">
        <f t="shared" si="227"/>
        <v/>
      </c>
      <c r="AN317" s="475" t="str">
        <f t="shared" si="228"/>
        <v/>
      </c>
      <c r="AO317" s="475" t="str">
        <f t="shared" si="229"/>
        <v/>
      </c>
      <c r="AP317" s="475" t="str">
        <f t="shared" si="230"/>
        <v/>
      </c>
      <c r="AQ317" s="475" t="str">
        <f t="shared" si="231"/>
        <v/>
      </c>
      <c r="AR317" s="475" t="str">
        <f t="shared" si="232"/>
        <v/>
      </c>
      <c r="AS317" s="475" t="str">
        <f t="shared" si="215"/>
        <v/>
      </c>
      <c r="AT317" s="475" t="str">
        <f t="shared" si="233"/>
        <v/>
      </c>
      <c r="AU317" s="475" t="str">
        <f t="shared" si="234"/>
        <v/>
      </c>
      <c r="AV317" s="475" t="str">
        <f t="shared" si="235"/>
        <v/>
      </c>
      <c r="AW317" s="473">
        <f t="shared" si="236"/>
        <v>0</v>
      </c>
      <c r="AX317" s="473" t="str">
        <f>IF(AND($Z317="b",OR($AA317="a",$AA317="b"),Inventory!$I73="",$AE317&lt;(65000/12000)),"x",IF(AND($Z317="b",OR($AA317="a",$AA317="b"),Inventory!$I73&lt;&gt;"",$AE317&lt;(65000/12000)),VLOOKUP(Inventory!$I324,$V$4:$W$5,2,FALSE),"x"))</f>
        <v>x</v>
      </c>
      <c r="AY317" s="476" t="str">
        <f t="shared" si="237"/>
        <v>aaa0</v>
      </c>
      <c r="AZ317" s="477" t="str">
        <f t="shared" si="197"/>
        <v>No</v>
      </c>
      <c r="BA317" s="759" t="str">
        <f t="shared" si="198"/>
        <v>No</v>
      </c>
      <c r="BB317" s="477">
        <f>IF($Z317="c",Inventory!$AB73,Inventory!$K73)</f>
        <v>0</v>
      </c>
      <c r="BC317" s="478">
        <f>IF(AND($Z317="b",Inventory!$N73="Btu/hr"),Inventory!$M73,IF(AND($Z317="b",Inventory!$N73="Tons"),Inventory!$M73*12000,IF(AND($Z317&lt;&gt;"b",Inventory!$AK73="Btu/hr"),Inventory!$AD73,IF(AND($Z317&lt;&gt;"b",Inventory!$AK73="Tons"),Inventory!$AD73*12000,0))))</f>
        <v>0</v>
      </c>
      <c r="BD317" s="478">
        <f t="shared" si="245"/>
        <v>0</v>
      </c>
      <c r="BE317" s="479">
        <f t="shared" si="216"/>
        <v>0</v>
      </c>
      <c r="BF317" s="477" t="s">
        <v>50</v>
      </c>
      <c r="BG317" s="479">
        <f t="shared" si="239"/>
        <v>0</v>
      </c>
      <c r="BH317" s="477" t="s">
        <v>46</v>
      </c>
      <c r="BI317" s="760">
        <f>IF(AND($Z317="b",Inventory!$P73="Btu/hr"),Inventory!$O73,IF(AND($Z317="b",Inventory!$P73="Tons"),Inventory!$O73*12000,IF(AND($Z317&lt;&gt;"b",Inventory!$AM73="Btu/hr"),Inventory!$AL73,IF(AND($Z317&lt;&gt;"b",Inventory!$AM73="Tons"),Inventory!$AL73*12000,0))))</f>
        <v>0</v>
      </c>
      <c r="BJ317" s="760">
        <f t="shared" si="246"/>
        <v>0</v>
      </c>
      <c r="BK317" s="598">
        <f t="shared" si="202"/>
        <v>0</v>
      </c>
      <c r="BL317" s="759" t="s">
        <v>567</v>
      </c>
      <c r="BM317" s="477" t="str">
        <f t="shared" si="240"/>
        <v>No</v>
      </c>
      <c r="BN317" s="477" t="str">
        <f>IF(OR(Inventory!$H73="",$BM317="No"),"-",Inventory!$H73)</f>
        <v>-</v>
      </c>
      <c r="BO317" s="477" t="str">
        <f>IFERROR(VLOOKUP(BN317,'Early Retirement'!$B$6:$C$33,2,FALSE),"-")</f>
        <v>-</v>
      </c>
      <c r="BP317" s="477" t="str">
        <f>IF(Inventory!$J73="Centrifugal","Yes","No")</f>
        <v>No</v>
      </c>
      <c r="BQ317" s="477">
        <f t="shared" si="241"/>
        <v>0</v>
      </c>
      <c r="BR317" s="477" t="str">
        <f t="shared" si="218"/>
        <v>-</v>
      </c>
      <c r="BS317" s="479">
        <f>IFERROR(INDEX('Early Retirement'!$C$4:$AC$33,$BO317,$BR317),0)</f>
        <v>0</v>
      </c>
      <c r="BT317" s="477">
        <f>IFERROR(HLOOKUP($BR317,'Early Retirement'!$D$4:$AC$5,2,FALSE),0)</f>
        <v>0</v>
      </c>
      <c r="BU317" s="761">
        <f>IFERROR(INDEX('Early Retirement'!$AE$4:$BE$33,$BO317,$BR317),0)</f>
        <v>0</v>
      </c>
      <c r="BV317" s="759">
        <f>IFERROR(HLOOKUP($BR317,'Early Retirement'!$AF$4:$BE$5,2,FALSE),0)</f>
        <v>0</v>
      </c>
      <c r="BW317" s="479">
        <f t="shared" si="242"/>
        <v>0</v>
      </c>
      <c r="BX317" s="761">
        <f t="shared" si="207"/>
        <v>0</v>
      </c>
      <c r="BY317" s="477" t="s">
        <v>46</v>
      </c>
      <c r="BZ317" s="598">
        <f>IFERROR(INDEX('Early Retirement'!$BG$4:$CG$33,$BO317,$BR317),0)</f>
        <v>0</v>
      </c>
      <c r="CA317" s="759">
        <f>IFERROR(HLOOKUP($BR317,'Early Retirement'!$BH$4:$CH$5,2,FALSE),0)</f>
        <v>0</v>
      </c>
      <c r="CB317" s="598">
        <f t="shared" si="208"/>
        <v>0</v>
      </c>
      <c r="CC317" s="759" t="s">
        <v>567</v>
      </c>
      <c r="CD317" s="477" t="str">
        <f t="shared" si="243"/>
        <v>Yes</v>
      </c>
      <c r="CE317" s="479">
        <f t="shared" si="210"/>
        <v>0</v>
      </c>
      <c r="CF317" s="761">
        <f t="shared" si="211"/>
        <v>0</v>
      </c>
      <c r="CG317" s="759" t="s">
        <v>46</v>
      </c>
      <c r="CH317" s="598">
        <f t="shared" si="217"/>
        <v>0</v>
      </c>
      <c r="CI317" s="759" t="s">
        <v>567</v>
      </c>
      <c r="CJ317" s="480">
        <f t="shared" si="244"/>
        <v>0</v>
      </c>
      <c r="CK317" s="583">
        <f t="shared" si="213"/>
        <v>0</v>
      </c>
      <c r="CL317" s="596" t="s">
        <v>46</v>
      </c>
      <c r="CM317" s="581">
        <f t="shared" si="214"/>
        <v>0</v>
      </c>
      <c r="CN317" s="762" t="s">
        <v>567</v>
      </c>
      <c r="CW317" s="630"/>
      <c r="CX317" s="630"/>
      <c r="CY317" s="630"/>
      <c r="CZ317" s="630"/>
      <c r="DA317" s="630"/>
    </row>
    <row r="318" spans="2:105" s="78" customFormat="1" ht="15" customHeight="1" x14ac:dyDescent="0.25">
      <c r="B318" s="77"/>
      <c r="E318" s="77"/>
      <c r="H318" s="77"/>
      <c r="Y318" s="90">
        <v>65</v>
      </c>
      <c r="Z318" s="559" t="str">
        <f>IF(Inventory!$C74="","",VLOOKUP(Inventory!$C74,$B$7:$C$9,2,FALSE))</f>
        <v/>
      </c>
      <c r="AA318" s="559" t="str">
        <f>IF($Z318="","",IF(AND($Z318="b",Inventory!$G74=""),"",IF(AND($Z318="b",Inventory!$G74&lt;&gt;""),VLOOKUP(Inventory!$G74,$E$3:$F$10,2,FALSE),IF(AND($Z318="a",Inventory!$Z74=""),"",IF(AND($Z318="a",Inventory!$Z74&lt;&gt;""),VLOOKUP(Inventory!$Z74,$E$3:$F$10,2,FALSE),IF(AND($Z318="c",Inventory!$Z74=""),"",IF(AND($Z318="c",Inventory!$Z74&lt;&gt;""),VLOOKUP(Inventory!$Z74,$E$3:$F$10,2,FALSE),"")))))))</f>
        <v/>
      </c>
      <c r="AB318" s="559" t="str">
        <f>IF($Z318="","a",IF(AND($Z318="b",Inventory!$J74=""),"a",IF(AND($Z318="b",Inventory!$J74&lt;&gt;""),VLOOKUP(Inventory!$J74,$H$4:$I$6,2,FALSE),IF(AND($Z318="a",Inventory!$AA74=""),"a",IF(AND($Z318="a",Inventory!$AA74&lt;&gt;""),VLOOKUP(Inventory!$AA74,$H$4:$I$6,2,FALSE),IF(AND($Z318="c",Inventory!$AA74=""),"a",IF(AND($Z318="c",Inventory!$AA74&lt;&gt;""),VLOOKUP(Inventory!$AA74,$H$4:$I$6,2,FALSE),"a")))))))</f>
        <v>a</v>
      </c>
      <c r="AC318" s="559" t="str">
        <f t="shared" si="219"/>
        <v>a</v>
      </c>
      <c r="AD318" s="473" t="str">
        <f>IF($Z318="","a",IF(AND($Z318="b",Inventory!$L74=""),"a",IF(AND($Z318="b",Inventory!$L74&lt;&gt;""),VLOOKUP(Inventory!$L74,$N$4:$O$5,2,FALSE),IF(AND($Z318="a",Inventory!$AC74=""),"a",IF(AND($Z318="a",Inventory!$AC74&lt;&gt;""),VLOOKUP(Inventory!$AC74,$N$4:$O$5,2,FALSE),IF(AND($Z318="c",Inventory!$AC74=""),"a",IF(AND($Z318="c",Inventory!$AC74&lt;&gt;""),VLOOKUP(Inventory!$AC74,$N$4:$O$5,2,FALSE),"a")))))))</f>
        <v>a</v>
      </c>
      <c r="AE318" s="474">
        <f>IF(OR(Inventory!C74="New Construction",Inventory!C74="Replace-on-Burnout"),Inventory!AF74,IF(Inventory!C74="Early Retirement",MIN(Inventory!AE74,Inventory!AF74),0))</f>
        <v>0</v>
      </c>
      <c r="AF318" s="475" t="str">
        <f t="shared" si="220"/>
        <v/>
      </c>
      <c r="AG318" s="475" t="str">
        <f t="shared" si="221"/>
        <v/>
      </c>
      <c r="AH318" s="475" t="str">
        <f t="shared" si="222"/>
        <v/>
      </c>
      <c r="AI318" s="475" t="str">
        <f t="shared" si="223"/>
        <v/>
      </c>
      <c r="AJ318" s="475" t="str">
        <f t="shared" si="224"/>
        <v/>
      </c>
      <c r="AK318" s="475" t="str">
        <f t="shared" si="225"/>
        <v/>
      </c>
      <c r="AL318" s="475" t="str">
        <f t="shared" si="226"/>
        <v/>
      </c>
      <c r="AM318" s="475" t="str">
        <f t="shared" si="227"/>
        <v/>
      </c>
      <c r="AN318" s="475" t="str">
        <f t="shared" si="228"/>
        <v/>
      </c>
      <c r="AO318" s="475" t="str">
        <f t="shared" si="229"/>
        <v/>
      </c>
      <c r="AP318" s="475" t="str">
        <f t="shared" si="230"/>
        <v/>
      </c>
      <c r="AQ318" s="475" t="str">
        <f t="shared" si="231"/>
        <v/>
      </c>
      <c r="AR318" s="475" t="str">
        <f t="shared" si="232"/>
        <v/>
      </c>
      <c r="AS318" s="475" t="str">
        <f t="shared" si="215"/>
        <v/>
      </c>
      <c r="AT318" s="475" t="str">
        <f t="shared" si="233"/>
        <v/>
      </c>
      <c r="AU318" s="475" t="str">
        <f t="shared" si="234"/>
        <v/>
      </c>
      <c r="AV318" s="475" t="str">
        <f t="shared" si="235"/>
        <v/>
      </c>
      <c r="AW318" s="473">
        <f t="shared" si="236"/>
        <v>0</v>
      </c>
      <c r="AX318" s="473" t="str">
        <f>IF(AND($Z318="b",OR($AA318="a",$AA318="b"),Inventory!$I74="",$AE318&lt;(65000/12000)),"x",IF(AND($Z318="b",OR($AA318="a",$AA318="b"),Inventory!$I74&lt;&gt;"",$AE318&lt;(65000/12000)),VLOOKUP(Inventory!$I325,$V$4:$W$5,2,FALSE),"x"))</f>
        <v>x</v>
      </c>
      <c r="AY318" s="476" t="str">
        <f t="shared" si="237"/>
        <v>aaa0</v>
      </c>
      <c r="AZ318" s="477" t="str">
        <f t="shared" ref="AZ318:AZ381" si="247">IF($AA318="c","Yes","No")</f>
        <v>No</v>
      </c>
      <c r="BA318" s="759" t="str">
        <f t="shared" ref="BA318:BA381" si="248">IF($AA318="d","Yes","No")</f>
        <v>No</v>
      </c>
      <c r="BB318" s="477">
        <f>IF($Z318="c",Inventory!$AB74,Inventory!$K74)</f>
        <v>0</v>
      </c>
      <c r="BC318" s="478">
        <f>IF(AND($Z318="b",Inventory!$N74="Btu/hr"),Inventory!$M74,IF(AND($Z318="b",Inventory!$N74="Tons"),Inventory!$M74*12000,IF(AND($Z318&lt;&gt;"b",Inventory!$AK74="Btu/hr"),Inventory!$AD74,IF(AND($Z318&lt;&gt;"b",Inventory!$AK74="Tons"),Inventory!$AD74*12000,0))))</f>
        <v>0</v>
      </c>
      <c r="BD318" s="478">
        <f t="shared" si="245"/>
        <v>0</v>
      </c>
      <c r="BE318" s="479">
        <f t="shared" si="216"/>
        <v>0</v>
      </c>
      <c r="BF318" s="477" t="s">
        <v>50</v>
      </c>
      <c r="BG318" s="479">
        <f t="shared" si="239"/>
        <v>0</v>
      </c>
      <c r="BH318" s="477" t="s">
        <v>46</v>
      </c>
      <c r="BI318" s="760">
        <f>IF(AND($Z318="b",Inventory!$P74="Btu/hr"),Inventory!$O74,IF(AND($Z318="b",Inventory!$P74="Tons"),Inventory!$O74*12000,IF(AND($Z318&lt;&gt;"b",Inventory!$AM74="Btu/hr"),Inventory!$AL74,IF(AND($Z318&lt;&gt;"b",Inventory!$AM74="Tons"),Inventory!$AL74*12000,0))))</f>
        <v>0</v>
      </c>
      <c r="BJ318" s="760">
        <f t="shared" si="246"/>
        <v>0</v>
      </c>
      <c r="BK318" s="598">
        <f t="shared" ref="BK318:BK381" si="249">IF(OR($BA318="No",$BI318=0),0,IF(AND($Z318&lt;&gt;"b",$BA318="Yes",$BB318="Yes"),3.7-(0.052*$BJ318/1000),IF(AND($Z318&lt;&gt;"b",$BA318="Yes",$BB318="No"),2.9-(0.026*$BJ318/1000),IF(AND($Z318="b",$BA318="Yes"),3.2-(0.026*$BJ318/1000),0))))</f>
        <v>0</v>
      </c>
      <c r="BL318" s="759" t="s">
        <v>567</v>
      </c>
      <c r="BM318" s="477" t="str">
        <f t="shared" si="240"/>
        <v>No</v>
      </c>
      <c r="BN318" s="477" t="str">
        <f>IF(OR(Inventory!$H74="",$BM318="No"),"-",Inventory!$H74)</f>
        <v>-</v>
      </c>
      <c r="BO318" s="477" t="str">
        <f>IFERROR(VLOOKUP(BN318,'Early Retirement'!$B$6:$C$33,2,FALSE),"-")</f>
        <v>-</v>
      </c>
      <c r="BP318" s="477" t="str">
        <f>IF(Inventory!$J74="Centrifugal","Yes","No")</f>
        <v>No</v>
      </c>
      <c r="BQ318" s="477">
        <f t="shared" si="241"/>
        <v>0</v>
      </c>
      <c r="BR318" s="477" t="str">
        <f t="shared" si="218"/>
        <v>-</v>
      </c>
      <c r="BS318" s="479">
        <f>IFERROR(INDEX('Early Retirement'!$C$4:$AC$33,$BO318,$BR318),0)</f>
        <v>0</v>
      </c>
      <c r="BT318" s="477">
        <f>IFERROR(HLOOKUP($BR318,'Early Retirement'!$D$4:$AC$5,2,FALSE),0)</f>
        <v>0</v>
      </c>
      <c r="BU318" s="761">
        <f>IFERROR(INDEX('Early Retirement'!$AE$4:$BE$33,$BO318,$BR318),0)</f>
        <v>0</v>
      </c>
      <c r="BV318" s="759">
        <f>IFERROR(HLOOKUP($BR318,'Early Retirement'!$AF$4:$BE$5,2,FALSE),0)</f>
        <v>0</v>
      </c>
      <c r="BW318" s="479">
        <f t="shared" si="242"/>
        <v>0</v>
      </c>
      <c r="BX318" s="761">
        <f t="shared" ref="BX318:BX381" si="250">IF(OR($BV318="SEER",$BV318="IEER (EER)",$BV318="IPLV (EER)"),12/$BU318,IF($BV318="IPLV (kW/ton)",$BU318,0))</f>
        <v>0</v>
      </c>
      <c r="BY318" s="477" t="s">
        <v>46</v>
      </c>
      <c r="BZ318" s="598">
        <f>IFERROR(INDEX('Early Retirement'!$BG$4:$CG$33,$BO318,$BR318),0)</f>
        <v>0</v>
      </c>
      <c r="CA318" s="759">
        <f>IFERROR(HLOOKUP($BR318,'Early Retirement'!$BH$4:$CH$5,2,FALSE),0)</f>
        <v>0</v>
      </c>
      <c r="CB318" s="598">
        <f t="shared" ref="CB318:CB381" si="251">IF($CA318="HSPF",$BZ318/3.412,IF($CA318="COP",$BZ318,0))</f>
        <v>0</v>
      </c>
      <c r="CC318" s="759" t="s">
        <v>567</v>
      </c>
      <c r="CD318" s="477" t="str">
        <f t="shared" si="243"/>
        <v>Yes</v>
      </c>
      <c r="CE318" s="479">
        <f t="shared" ref="CE318:CE381" si="252">IF($CD318="Yes",IFERROR(VLOOKUP($AY318,$CP:$CW,6,FALSE),0),0)</f>
        <v>0</v>
      </c>
      <c r="CF318" s="761">
        <f t="shared" ref="CF318:CF381" si="253">IF($CD318="Yes",IFERROR(VLOOKUP($AY318,$CP:$CW,7,FALSE),0),0)</f>
        <v>0</v>
      </c>
      <c r="CG318" s="759" t="s">
        <v>46</v>
      </c>
      <c r="CH318" s="598">
        <f t="shared" si="217"/>
        <v>0</v>
      </c>
      <c r="CI318" s="759" t="s">
        <v>567</v>
      </c>
      <c r="CJ318" s="480">
        <f t="shared" si="244"/>
        <v>0</v>
      </c>
      <c r="CK318" s="583">
        <f t="shared" ref="CK318:CK381" si="254">MAX($BG318,$BX318,$CF318)</f>
        <v>0</v>
      </c>
      <c r="CL318" s="596" t="s">
        <v>46</v>
      </c>
      <c r="CM318" s="581">
        <f t="shared" ref="CM318:CM381" si="255">MAX($BK318,$CB318,$CH318)</f>
        <v>0</v>
      </c>
      <c r="CN318" s="762" t="s">
        <v>567</v>
      </c>
      <c r="CW318" s="630"/>
      <c r="CX318" s="630"/>
      <c r="CY318" s="630"/>
      <c r="CZ318" s="630"/>
      <c r="DA318" s="630"/>
    </row>
    <row r="319" spans="2:105" s="78" customFormat="1" ht="15" customHeight="1" x14ac:dyDescent="0.25">
      <c r="B319" s="77"/>
      <c r="E319" s="77"/>
      <c r="H319" s="77"/>
      <c r="Y319" s="90">
        <v>66</v>
      </c>
      <c r="Z319" s="559" t="str">
        <f>IF(Inventory!$C75="","",VLOOKUP(Inventory!$C75,$B$7:$C$9,2,FALSE))</f>
        <v/>
      </c>
      <c r="AA319" s="559" t="str">
        <f>IF($Z319="","",IF(AND($Z319="b",Inventory!$G75=""),"",IF(AND($Z319="b",Inventory!$G75&lt;&gt;""),VLOOKUP(Inventory!$G75,$E$3:$F$10,2,FALSE),IF(AND($Z319="a",Inventory!$Z75=""),"",IF(AND($Z319="a",Inventory!$Z75&lt;&gt;""),VLOOKUP(Inventory!$Z75,$E$3:$F$10,2,FALSE),IF(AND($Z319="c",Inventory!$Z75=""),"",IF(AND($Z319="c",Inventory!$Z75&lt;&gt;""),VLOOKUP(Inventory!$Z75,$E$3:$F$10,2,FALSE),"")))))))</f>
        <v/>
      </c>
      <c r="AB319" s="559" t="str">
        <f>IF($Z319="","a",IF(AND($Z319="b",Inventory!$J75=""),"a",IF(AND($Z319="b",Inventory!$J75&lt;&gt;""),VLOOKUP(Inventory!$J75,$H$4:$I$6,2,FALSE),IF(AND($Z319="a",Inventory!$AA75=""),"a",IF(AND($Z319="a",Inventory!$AA75&lt;&gt;""),VLOOKUP(Inventory!$AA75,$H$4:$I$6,2,FALSE),IF(AND($Z319="c",Inventory!$AA75=""),"a",IF(AND($Z319="c",Inventory!$AA75&lt;&gt;""),VLOOKUP(Inventory!$AA75,$H$4:$I$6,2,FALSE),"a")))))))</f>
        <v>a</v>
      </c>
      <c r="AC319" s="559" t="str">
        <f t="shared" si="219"/>
        <v>a</v>
      </c>
      <c r="AD319" s="473" t="str">
        <f>IF($Z319="","a",IF(AND($Z319="b",Inventory!$L75=""),"a",IF(AND($Z319="b",Inventory!$L75&lt;&gt;""),VLOOKUP(Inventory!$L75,$N$4:$O$5,2,FALSE),IF(AND($Z319="a",Inventory!$AC75=""),"a",IF(AND($Z319="a",Inventory!$AC75&lt;&gt;""),VLOOKUP(Inventory!$AC75,$N$4:$O$5,2,FALSE),IF(AND($Z319="c",Inventory!$AC75=""),"a",IF(AND($Z319="c",Inventory!$AC75&lt;&gt;""),VLOOKUP(Inventory!$AC75,$N$4:$O$5,2,FALSE),"a")))))))</f>
        <v>a</v>
      </c>
      <c r="AE319" s="474">
        <f>IF(OR(Inventory!C75="New Construction",Inventory!C75="Replace-on-Burnout"),Inventory!AF75,IF(Inventory!C75="Early Retirement",MIN(Inventory!AE75,Inventory!AF75),0))</f>
        <v>0</v>
      </c>
      <c r="AF319" s="475" t="str">
        <f t="shared" si="220"/>
        <v/>
      </c>
      <c r="AG319" s="475" t="str">
        <f t="shared" si="221"/>
        <v/>
      </c>
      <c r="AH319" s="475" t="str">
        <f t="shared" si="222"/>
        <v/>
      </c>
      <c r="AI319" s="475" t="str">
        <f t="shared" si="223"/>
        <v/>
      </c>
      <c r="AJ319" s="475" t="str">
        <f t="shared" si="224"/>
        <v/>
      </c>
      <c r="AK319" s="475" t="str">
        <f t="shared" si="225"/>
        <v/>
      </c>
      <c r="AL319" s="475" t="str">
        <f t="shared" si="226"/>
        <v/>
      </c>
      <c r="AM319" s="475" t="str">
        <f t="shared" si="227"/>
        <v/>
      </c>
      <c r="AN319" s="475" t="str">
        <f t="shared" si="228"/>
        <v/>
      </c>
      <c r="AO319" s="475" t="str">
        <f t="shared" si="229"/>
        <v/>
      </c>
      <c r="AP319" s="475" t="str">
        <f t="shared" si="230"/>
        <v/>
      </c>
      <c r="AQ319" s="475" t="str">
        <f t="shared" si="231"/>
        <v/>
      </c>
      <c r="AR319" s="475" t="str">
        <f t="shared" si="232"/>
        <v/>
      </c>
      <c r="AS319" s="475" t="str">
        <f t="shared" ref="AS319:AS382" si="256">IF(OR(AND($AA319&lt;&gt;"g",$AA319&lt;&gt;"h"),$AE319="",$AR319&lt;&gt;0),"",IF(AND($AE319&gt;=$AS$2,$AA319="g"),31,IF(AND($AE319&gt;=$AS$2,$AA319="h",$AB319="b"),36,IF(AND($AE319&gt;=$AS$2,$AA319="h",$AB319&lt;&gt;"b"),41,0))))</f>
        <v/>
      </c>
      <c r="AT319" s="475" t="str">
        <f t="shared" si="233"/>
        <v/>
      </c>
      <c r="AU319" s="475" t="str">
        <f t="shared" si="234"/>
        <v/>
      </c>
      <c r="AV319" s="475" t="str">
        <f t="shared" si="235"/>
        <v/>
      </c>
      <c r="AW319" s="473">
        <f t="shared" si="236"/>
        <v>0</v>
      </c>
      <c r="AX319" s="473" t="str">
        <f>IF(AND($Z319="b",OR($AA319="a",$AA319="b"),Inventory!$I75="",$AE319&lt;(65000/12000)),"x",IF(AND($Z319="b",OR($AA319="a",$AA319="b"),Inventory!$I75&lt;&gt;"",$AE319&lt;(65000/12000)),VLOOKUP(Inventory!$I326,$V$4:$W$5,2,FALSE),"x"))</f>
        <v>x</v>
      </c>
      <c r="AY319" s="476" t="str">
        <f t="shared" si="237"/>
        <v>aaa0</v>
      </c>
      <c r="AZ319" s="477" t="str">
        <f t="shared" si="247"/>
        <v>No</v>
      </c>
      <c r="BA319" s="759" t="str">
        <f t="shared" si="248"/>
        <v>No</v>
      </c>
      <c r="BB319" s="477">
        <f>IF($Z319="c",Inventory!$AB75,Inventory!$K75)</f>
        <v>0</v>
      </c>
      <c r="BC319" s="478">
        <f>IF(AND($Z319="b",Inventory!$N75="Btu/hr"),Inventory!$M75,IF(AND($Z319="b",Inventory!$N75="Tons"),Inventory!$M75*12000,IF(AND($Z319&lt;&gt;"b",Inventory!$AK75="Btu/hr"),Inventory!$AD75,IF(AND($Z319&lt;&gt;"b",Inventory!$AK75="Tons"),Inventory!$AD75*12000,0))))</f>
        <v>0</v>
      </c>
      <c r="BD319" s="478">
        <f t="shared" si="245"/>
        <v>0</v>
      </c>
      <c r="BE319" s="479">
        <f t="shared" ref="BE319:BE382" si="257">IF(OR(AND($AZ319="No",$BA319="No"),$BC319=0),0,IF(AND($Z319&lt;&gt;"b",$AZ319="Yes",$BB319="Yes"),13.8-(0.3*$BD319/1000),IF(AND($Z319&lt;&gt;"b",$AZ319="Yes",$BB319="No"),10.9-(0.213*$BD319/1000),IF(AND($Z319="b",$AZ319="Yes"),12.5-(0.213*$BD319/1000),IF(AND($Z319&lt;&gt;"b",$BA319="Yes",$BB319="Yes"),14-(0.3*$BD319/1000),IF(AND($Z319&lt;&gt;"b",$BA319="Yes",$BB319="No"),10.8-(0.213*$BD319/1000),IF(AND($Z319="b",$BA319="Yes"),12.3-(0.213*$BD319/1000),0)))))))</f>
        <v>0</v>
      </c>
      <c r="BF319" s="477" t="s">
        <v>50</v>
      </c>
      <c r="BG319" s="479">
        <f t="shared" si="239"/>
        <v>0</v>
      </c>
      <c r="BH319" s="477" t="s">
        <v>46</v>
      </c>
      <c r="BI319" s="760">
        <f>IF(AND($Z319="b",Inventory!$P75="Btu/hr"),Inventory!$O75,IF(AND($Z319="b",Inventory!$P75="Tons"),Inventory!$O75*12000,IF(AND($Z319&lt;&gt;"b",Inventory!$AM75="Btu/hr"),Inventory!$AL75,IF(AND($Z319&lt;&gt;"b",Inventory!$AM75="Tons"),Inventory!$AL75*12000,0))))</f>
        <v>0</v>
      </c>
      <c r="BJ319" s="760">
        <f t="shared" si="246"/>
        <v>0</v>
      </c>
      <c r="BK319" s="598">
        <f t="shared" si="249"/>
        <v>0</v>
      </c>
      <c r="BL319" s="759" t="s">
        <v>567</v>
      </c>
      <c r="BM319" s="477" t="str">
        <f t="shared" si="240"/>
        <v>No</v>
      </c>
      <c r="BN319" s="477" t="str">
        <f>IF(OR(Inventory!$H75="",$BM319="No"),"-",Inventory!$H75)</f>
        <v>-</v>
      </c>
      <c r="BO319" s="477" t="str">
        <f>IFERROR(VLOOKUP(BN319,'Early Retirement'!$B$6:$C$33,2,FALSE),"-")</f>
        <v>-</v>
      </c>
      <c r="BP319" s="477" t="str">
        <f>IF(Inventory!$J75="Centrifugal","Yes","No")</f>
        <v>No</v>
      </c>
      <c r="BQ319" s="477">
        <f t="shared" si="241"/>
        <v>0</v>
      </c>
      <c r="BR319" s="477" t="str">
        <f t="shared" si="218"/>
        <v>-</v>
      </c>
      <c r="BS319" s="479">
        <f>IFERROR(INDEX('Early Retirement'!$C$4:$AC$33,$BO319,$BR319),0)</f>
        <v>0</v>
      </c>
      <c r="BT319" s="477">
        <f>IFERROR(HLOOKUP($BR319,'Early Retirement'!$D$4:$AC$5,2,FALSE),0)</f>
        <v>0</v>
      </c>
      <c r="BU319" s="761">
        <f>IFERROR(INDEX('Early Retirement'!$AE$4:$BE$33,$BO319,$BR319),0)</f>
        <v>0</v>
      </c>
      <c r="BV319" s="759">
        <f>IFERROR(HLOOKUP($BR319,'Early Retirement'!$AF$4:$BE$5,2,FALSE),0)</f>
        <v>0</v>
      </c>
      <c r="BW319" s="479">
        <f t="shared" si="242"/>
        <v>0</v>
      </c>
      <c r="BX319" s="761">
        <f t="shared" si="250"/>
        <v>0</v>
      </c>
      <c r="BY319" s="477" t="s">
        <v>46</v>
      </c>
      <c r="BZ319" s="598">
        <f>IFERROR(INDEX('Early Retirement'!$BG$4:$CG$33,$BO319,$BR319),0)</f>
        <v>0</v>
      </c>
      <c r="CA319" s="759">
        <f>IFERROR(HLOOKUP($BR319,'Early Retirement'!$BH$4:$CH$5,2,FALSE),0)</f>
        <v>0</v>
      </c>
      <c r="CB319" s="598">
        <f t="shared" si="251"/>
        <v>0</v>
      </c>
      <c r="CC319" s="759" t="s">
        <v>567</v>
      </c>
      <c r="CD319" s="477" t="str">
        <f t="shared" si="243"/>
        <v>Yes</v>
      </c>
      <c r="CE319" s="479">
        <f t="shared" si="252"/>
        <v>0</v>
      </c>
      <c r="CF319" s="761">
        <f t="shared" si="253"/>
        <v>0</v>
      </c>
      <c r="CG319" s="759" t="s">
        <v>46</v>
      </c>
      <c r="CH319" s="598">
        <f t="shared" ref="CH319:CH382" si="258">IF($CD319="Yes",IFERROR(VLOOKUP($AY319,$CP:$DA,11,FALSE),0),0)</f>
        <v>0</v>
      </c>
      <c r="CI319" s="759" t="s">
        <v>567</v>
      </c>
      <c r="CJ319" s="480">
        <f t="shared" si="244"/>
        <v>0</v>
      </c>
      <c r="CK319" s="583">
        <f t="shared" si="254"/>
        <v>0</v>
      </c>
      <c r="CL319" s="596" t="s">
        <v>46</v>
      </c>
      <c r="CM319" s="581">
        <f t="shared" si="255"/>
        <v>0</v>
      </c>
      <c r="CN319" s="762" t="s">
        <v>567</v>
      </c>
      <c r="CW319" s="630"/>
      <c r="CX319" s="630"/>
      <c r="CY319" s="630"/>
      <c r="CZ319" s="630"/>
      <c r="DA319" s="630"/>
    </row>
    <row r="320" spans="2:105" s="78" customFormat="1" ht="15" customHeight="1" x14ac:dyDescent="0.25">
      <c r="B320" s="77"/>
      <c r="E320" s="77"/>
      <c r="H320" s="77"/>
      <c r="Y320" s="90">
        <v>67</v>
      </c>
      <c r="Z320" s="559" t="str">
        <f>IF(Inventory!$C76="","",VLOOKUP(Inventory!$C76,$B$7:$C$9,2,FALSE))</f>
        <v/>
      </c>
      <c r="AA320" s="559" t="str">
        <f>IF($Z320="","",IF(AND($Z320="b",Inventory!$G76=""),"",IF(AND($Z320="b",Inventory!$G76&lt;&gt;""),VLOOKUP(Inventory!$G76,$E$3:$F$10,2,FALSE),IF(AND($Z320="a",Inventory!$Z76=""),"",IF(AND($Z320="a",Inventory!$Z76&lt;&gt;""),VLOOKUP(Inventory!$Z76,$E$3:$F$10,2,FALSE),IF(AND($Z320="c",Inventory!$Z76=""),"",IF(AND($Z320="c",Inventory!$Z76&lt;&gt;""),VLOOKUP(Inventory!$Z76,$E$3:$F$10,2,FALSE),"")))))))</f>
        <v/>
      </c>
      <c r="AB320" s="559" t="str">
        <f>IF($Z320="","a",IF(AND($Z320="b",Inventory!$J76=""),"a",IF(AND($Z320="b",Inventory!$J76&lt;&gt;""),VLOOKUP(Inventory!$J76,$H$4:$I$6,2,FALSE),IF(AND($Z320="a",Inventory!$AA76=""),"a",IF(AND($Z320="a",Inventory!$AA76&lt;&gt;""),VLOOKUP(Inventory!$AA76,$H$4:$I$6,2,FALSE),IF(AND($Z320="c",Inventory!$AA76=""),"a",IF(AND($Z320="c",Inventory!$AA76&lt;&gt;""),VLOOKUP(Inventory!$AA76,$H$4:$I$6,2,FALSE),"a")))))))</f>
        <v>a</v>
      </c>
      <c r="AC320" s="559" t="str">
        <f t="shared" si="219"/>
        <v>a</v>
      </c>
      <c r="AD320" s="473" t="str">
        <f>IF($Z320="","a",IF(AND($Z320="b",Inventory!$L76=""),"a",IF(AND($Z320="b",Inventory!$L76&lt;&gt;""),VLOOKUP(Inventory!$L76,$N$4:$O$5,2,FALSE),IF(AND($Z320="a",Inventory!$AC76=""),"a",IF(AND($Z320="a",Inventory!$AC76&lt;&gt;""),VLOOKUP(Inventory!$AC76,$N$4:$O$5,2,FALSE),IF(AND($Z320="c",Inventory!$AC76=""),"a",IF(AND($Z320="c",Inventory!$AC76&lt;&gt;""),VLOOKUP(Inventory!$AC76,$N$4:$O$5,2,FALSE),"a")))))))</f>
        <v>a</v>
      </c>
      <c r="AE320" s="474">
        <f>IF(OR(Inventory!C76="New Construction",Inventory!C76="Replace-on-Burnout"),Inventory!AF76,IF(Inventory!C76="Early Retirement",MIN(Inventory!AE76,Inventory!AF76),0))</f>
        <v>0</v>
      </c>
      <c r="AF320" s="475" t="str">
        <f t="shared" si="220"/>
        <v/>
      </c>
      <c r="AG320" s="475" t="str">
        <f t="shared" si="221"/>
        <v/>
      </c>
      <c r="AH320" s="475" t="str">
        <f t="shared" si="222"/>
        <v/>
      </c>
      <c r="AI320" s="475" t="str">
        <f t="shared" si="223"/>
        <v/>
      </c>
      <c r="AJ320" s="475" t="str">
        <f t="shared" si="224"/>
        <v/>
      </c>
      <c r="AK320" s="475" t="str">
        <f t="shared" si="225"/>
        <v/>
      </c>
      <c r="AL320" s="475" t="str">
        <f t="shared" si="226"/>
        <v/>
      </c>
      <c r="AM320" s="475" t="str">
        <f t="shared" si="227"/>
        <v/>
      </c>
      <c r="AN320" s="475" t="str">
        <f t="shared" si="228"/>
        <v/>
      </c>
      <c r="AO320" s="475" t="str">
        <f t="shared" si="229"/>
        <v/>
      </c>
      <c r="AP320" s="475" t="str">
        <f t="shared" si="230"/>
        <v/>
      </c>
      <c r="AQ320" s="475" t="str">
        <f t="shared" si="231"/>
        <v/>
      </c>
      <c r="AR320" s="475" t="str">
        <f t="shared" si="232"/>
        <v/>
      </c>
      <c r="AS320" s="475" t="str">
        <f t="shared" si="256"/>
        <v/>
      </c>
      <c r="AT320" s="475" t="str">
        <f t="shared" si="233"/>
        <v/>
      </c>
      <c r="AU320" s="475" t="str">
        <f t="shared" si="234"/>
        <v/>
      </c>
      <c r="AV320" s="475" t="str">
        <f t="shared" si="235"/>
        <v/>
      </c>
      <c r="AW320" s="473">
        <f t="shared" si="236"/>
        <v>0</v>
      </c>
      <c r="AX320" s="473" t="str">
        <f>IF(AND($Z320="b",OR($AA320="a",$AA320="b"),Inventory!$I76="",$AE320&lt;(65000/12000)),"x",IF(AND($Z320="b",OR($AA320="a",$AA320="b"),Inventory!$I76&lt;&gt;"",$AE320&lt;(65000/12000)),VLOOKUP(Inventory!$I327,$V$4:$W$5,2,FALSE),"x"))</f>
        <v>x</v>
      </c>
      <c r="AY320" s="476" t="str">
        <f t="shared" si="237"/>
        <v>aaa0</v>
      </c>
      <c r="AZ320" s="477" t="str">
        <f t="shared" si="247"/>
        <v>No</v>
      </c>
      <c r="BA320" s="759" t="str">
        <f t="shared" si="248"/>
        <v>No</v>
      </c>
      <c r="BB320" s="477">
        <f>IF($Z320="c",Inventory!$AB76,Inventory!$K76)</f>
        <v>0</v>
      </c>
      <c r="BC320" s="478">
        <f>IF(AND($Z320="b",Inventory!$N76="Btu/hr"),Inventory!$M76,IF(AND($Z320="b",Inventory!$N76="Tons"),Inventory!$M76*12000,IF(AND($Z320&lt;&gt;"b",Inventory!$AK76="Btu/hr"),Inventory!$AD76,IF(AND($Z320&lt;&gt;"b",Inventory!$AK76="Tons"),Inventory!$AD76*12000,0))))</f>
        <v>0</v>
      </c>
      <c r="BD320" s="478">
        <f t="shared" si="245"/>
        <v>0</v>
      </c>
      <c r="BE320" s="479">
        <f t="shared" si="257"/>
        <v>0</v>
      </c>
      <c r="BF320" s="477" t="s">
        <v>50</v>
      </c>
      <c r="BG320" s="479">
        <f t="shared" si="239"/>
        <v>0</v>
      </c>
      <c r="BH320" s="477" t="s">
        <v>46</v>
      </c>
      <c r="BI320" s="760">
        <f>IF(AND($Z320="b",Inventory!$P76="Btu/hr"),Inventory!$O76,IF(AND($Z320="b",Inventory!$P76="Tons"),Inventory!$O76*12000,IF(AND($Z320&lt;&gt;"b",Inventory!$AM76="Btu/hr"),Inventory!$AL76,IF(AND($Z320&lt;&gt;"b",Inventory!$AM76="Tons"),Inventory!$AL76*12000,0))))</f>
        <v>0</v>
      </c>
      <c r="BJ320" s="760">
        <f t="shared" si="246"/>
        <v>0</v>
      </c>
      <c r="BK320" s="598">
        <f t="shared" si="249"/>
        <v>0</v>
      </c>
      <c r="BL320" s="759" t="s">
        <v>567</v>
      </c>
      <c r="BM320" s="477" t="str">
        <f t="shared" si="240"/>
        <v>No</v>
      </c>
      <c r="BN320" s="477" t="str">
        <f>IF(OR(Inventory!$H76="",$BM320="No"),"-",Inventory!$H76)</f>
        <v>-</v>
      </c>
      <c r="BO320" s="477" t="str">
        <f>IFERROR(VLOOKUP(BN320,'Early Retirement'!$B$6:$C$33,2,FALSE),"-")</f>
        <v>-</v>
      </c>
      <c r="BP320" s="477" t="str">
        <f>IF(Inventory!$J76="Centrifugal","Yes","No")</f>
        <v>No</v>
      </c>
      <c r="BQ320" s="477">
        <f t="shared" si="241"/>
        <v>0</v>
      </c>
      <c r="BR320" s="477" t="str">
        <f t="shared" si="218"/>
        <v>-</v>
      </c>
      <c r="BS320" s="479">
        <f>IFERROR(INDEX('Early Retirement'!$C$4:$AC$33,$BO320,$BR320),0)</f>
        <v>0</v>
      </c>
      <c r="BT320" s="477">
        <f>IFERROR(HLOOKUP($BR320,'Early Retirement'!$D$4:$AC$5,2,FALSE),0)</f>
        <v>0</v>
      </c>
      <c r="BU320" s="761">
        <f>IFERROR(INDEX('Early Retirement'!$AE$4:$BE$33,$BO320,$BR320),0)</f>
        <v>0</v>
      </c>
      <c r="BV320" s="759">
        <f>IFERROR(HLOOKUP($BR320,'Early Retirement'!$AF$4:$BE$5,2,FALSE),0)</f>
        <v>0</v>
      </c>
      <c r="BW320" s="479">
        <f t="shared" si="242"/>
        <v>0</v>
      </c>
      <c r="BX320" s="761">
        <f t="shared" si="250"/>
        <v>0</v>
      </c>
      <c r="BY320" s="477" t="s">
        <v>46</v>
      </c>
      <c r="BZ320" s="598">
        <f>IFERROR(INDEX('Early Retirement'!$BG$4:$CG$33,$BO320,$BR320),0)</f>
        <v>0</v>
      </c>
      <c r="CA320" s="759">
        <f>IFERROR(HLOOKUP($BR320,'Early Retirement'!$BH$4:$CH$5,2,FALSE),0)</f>
        <v>0</v>
      </c>
      <c r="CB320" s="598">
        <f t="shared" si="251"/>
        <v>0</v>
      </c>
      <c r="CC320" s="759" t="s">
        <v>567</v>
      </c>
      <c r="CD320" s="477" t="str">
        <f t="shared" si="243"/>
        <v>Yes</v>
      </c>
      <c r="CE320" s="479">
        <f t="shared" si="252"/>
        <v>0</v>
      </c>
      <c r="CF320" s="761">
        <f t="shared" si="253"/>
        <v>0</v>
      </c>
      <c r="CG320" s="759" t="s">
        <v>46</v>
      </c>
      <c r="CH320" s="598">
        <f t="shared" si="258"/>
        <v>0</v>
      </c>
      <c r="CI320" s="759" t="s">
        <v>567</v>
      </c>
      <c r="CJ320" s="480">
        <f t="shared" si="244"/>
        <v>0</v>
      </c>
      <c r="CK320" s="583">
        <f t="shared" si="254"/>
        <v>0</v>
      </c>
      <c r="CL320" s="596" t="s">
        <v>46</v>
      </c>
      <c r="CM320" s="581">
        <f t="shared" si="255"/>
        <v>0</v>
      </c>
      <c r="CN320" s="762" t="s">
        <v>567</v>
      </c>
      <c r="CW320" s="630"/>
      <c r="CX320" s="630"/>
      <c r="CY320" s="630"/>
      <c r="CZ320" s="630"/>
      <c r="DA320" s="630"/>
    </row>
    <row r="321" spans="2:105" s="78" customFormat="1" ht="15" customHeight="1" x14ac:dyDescent="0.25">
      <c r="B321" s="77"/>
      <c r="E321" s="77"/>
      <c r="H321" s="77"/>
      <c r="Y321" s="90">
        <v>68</v>
      </c>
      <c r="Z321" s="559" t="str">
        <f>IF(Inventory!$C77="","",VLOOKUP(Inventory!$C77,$B$7:$C$9,2,FALSE))</f>
        <v/>
      </c>
      <c r="AA321" s="559" t="str">
        <f>IF($Z321="","",IF(AND($Z321="b",Inventory!$G77=""),"",IF(AND($Z321="b",Inventory!$G77&lt;&gt;""),VLOOKUP(Inventory!$G77,$E$3:$F$10,2,FALSE),IF(AND($Z321="a",Inventory!$Z77=""),"",IF(AND($Z321="a",Inventory!$Z77&lt;&gt;""),VLOOKUP(Inventory!$Z77,$E$3:$F$10,2,FALSE),IF(AND($Z321="c",Inventory!$Z77=""),"",IF(AND($Z321="c",Inventory!$Z77&lt;&gt;""),VLOOKUP(Inventory!$Z77,$E$3:$F$10,2,FALSE),"")))))))</f>
        <v/>
      </c>
      <c r="AB321" s="559" t="str">
        <f>IF($Z321="","a",IF(AND($Z321="b",Inventory!$J77=""),"a",IF(AND($Z321="b",Inventory!$J77&lt;&gt;""),VLOOKUP(Inventory!$J77,$H$4:$I$6,2,FALSE),IF(AND($Z321="a",Inventory!$AA77=""),"a",IF(AND($Z321="a",Inventory!$AA77&lt;&gt;""),VLOOKUP(Inventory!$AA77,$H$4:$I$6,2,FALSE),IF(AND($Z321="c",Inventory!$AA77=""),"a",IF(AND($Z321="c",Inventory!$AA77&lt;&gt;""),VLOOKUP(Inventory!$AA77,$H$4:$I$6,2,FALSE),"a")))))))</f>
        <v>a</v>
      </c>
      <c r="AC321" s="559" t="str">
        <f t="shared" si="219"/>
        <v>a</v>
      </c>
      <c r="AD321" s="473" t="str">
        <f>IF($Z321="","a",IF(AND($Z321="b",Inventory!$L77=""),"a",IF(AND($Z321="b",Inventory!$L77&lt;&gt;""),VLOOKUP(Inventory!$L77,$N$4:$O$5,2,FALSE),IF(AND($Z321="a",Inventory!$AC77=""),"a",IF(AND($Z321="a",Inventory!$AC77&lt;&gt;""),VLOOKUP(Inventory!$AC77,$N$4:$O$5,2,FALSE),IF(AND($Z321="c",Inventory!$AC77=""),"a",IF(AND($Z321="c",Inventory!$AC77&lt;&gt;""),VLOOKUP(Inventory!$AC77,$N$4:$O$5,2,FALSE),"a")))))))</f>
        <v>a</v>
      </c>
      <c r="AE321" s="474">
        <f>IF(OR(Inventory!C77="New Construction",Inventory!C77="Replace-on-Burnout"),Inventory!AF77,IF(Inventory!C77="Early Retirement",MIN(Inventory!AE77,Inventory!AF77),0))</f>
        <v>0</v>
      </c>
      <c r="AF321" s="475" t="str">
        <f t="shared" si="220"/>
        <v/>
      </c>
      <c r="AG321" s="475" t="str">
        <f t="shared" si="221"/>
        <v/>
      </c>
      <c r="AH321" s="475" t="str">
        <f t="shared" si="222"/>
        <v/>
      </c>
      <c r="AI321" s="475" t="str">
        <f t="shared" si="223"/>
        <v/>
      </c>
      <c r="AJ321" s="475" t="str">
        <f t="shared" si="224"/>
        <v/>
      </c>
      <c r="AK321" s="475" t="str">
        <f t="shared" si="225"/>
        <v/>
      </c>
      <c r="AL321" s="475" t="str">
        <f t="shared" si="226"/>
        <v/>
      </c>
      <c r="AM321" s="475" t="str">
        <f t="shared" si="227"/>
        <v/>
      </c>
      <c r="AN321" s="475" t="str">
        <f t="shared" si="228"/>
        <v/>
      </c>
      <c r="AO321" s="475" t="str">
        <f t="shared" si="229"/>
        <v/>
      </c>
      <c r="AP321" s="475" t="str">
        <f t="shared" si="230"/>
        <v/>
      </c>
      <c r="AQ321" s="475" t="str">
        <f t="shared" si="231"/>
        <v/>
      </c>
      <c r="AR321" s="475" t="str">
        <f t="shared" si="232"/>
        <v/>
      </c>
      <c r="AS321" s="475" t="str">
        <f t="shared" si="256"/>
        <v/>
      </c>
      <c r="AT321" s="475" t="str">
        <f t="shared" si="233"/>
        <v/>
      </c>
      <c r="AU321" s="475" t="str">
        <f t="shared" si="234"/>
        <v/>
      </c>
      <c r="AV321" s="475" t="str">
        <f t="shared" si="235"/>
        <v/>
      </c>
      <c r="AW321" s="473">
        <f t="shared" si="236"/>
        <v>0</v>
      </c>
      <c r="AX321" s="473" t="str">
        <f>IF(AND($Z321="b",OR($AA321="a",$AA321="b"),Inventory!$I77="",$AE321&lt;(65000/12000)),"x",IF(AND($Z321="b",OR($AA321="a",$AA321="b"),Inventory!$I77&lt;&gt;"",$AE321&lt;(65000/12000)),VLOOKUP(Inventory!$I328,$V$4:$W$5,2,FALSE),"x"))</f>
        <v>x</v>
      </c>
      <c r="AY321" s="476" t="str">
        <f t="shared" si="237"/>
        <v>aaa0</v>
      </c>
      <c r="AZ321" s="477" t="str">
        <f t="shared" si="247"/>
        <v>No</v>
      </c>
      <c r="BA321" s="759" t="str">
        <f t="shared" si="248"/>
        <v>No</v>
      </c>
      <c r="BB321" s="477">
        <f>IF($Z321="c",Inventory!$AB77,Inventory!$K77)</f>
        <v>0</v>
      </c>
      <c r="BC321" s="478">
        <f>IF(AND($Z321="b",Inventory!$N77="Btu/hr"),Inventory!$M77,IF(AND($Z321="b",Inventory!$N77="Tons"),Inventory!$M77*12000,IF(AND($Z321&lt;&gt;"b",Inventory!$AK77="Btu/hr"),Inventory!$AD77,IF(AND($Z321&lt;&gt;"b",Inventory!$AK77="Tons"),Inventory!$AD77*12000,0))))</f>
        <v>0</v>
      </c>
      <c r="BD321" s="478">
        <f t="shared" si="245"/>
        <v>0</v>
      </c>
      <c r="BE321" s="479">
        <f t="shared" si="257"/>
        <v>0</v>
      </c>
      <c r="BF321" s="477" t="s">
        <v>50</v>
      </c>
      <c r="BG321" s="479">
        <f t="shared" si="239"/>
        <v>0</v>
      </c>
      <c r="BH321" s="477" t="s">
        <v>46</v>
      </c>
      <c r="BI321" s="760">
        <f>IF(AND($Z321="b",Inventory!$P77="Btu/hr"),Inventory!$O77,IF(AND($Z321="b",Inventory!$P77="Tons"),Inventory!$O77*12000,IF(AND($Z321&lt;&gt;"b",Inventory!$AM77="Btu/hr"),Inventory!$AL77,IF(AND($Z321&lt;&gt;"b",Inventory!$AM77="Tons"),Inventory!$AL77*12000,0))))</f>
        <v>0</v>
      </c>
      <c r="BJ321" s="760">
        <f t="shared" si="246"/>
        <v>0</v>
      </c>
      <c r="BK321" s="598">
        <f t="shared" si="249"/>
        <v>0</v>
      </c>
      <c r="BL321" s="759" t="s">
        <v>567</v>
      </c>
      <c r="BM321" s="477" t="str">
        <f t="shared" si="240"/>
        <v>No</v>
      </c>
      <c r="BN321" s="477" t="str">
        <f>IF(OR(Inventory!$H77="",$BM321="No"),"-",Inventory!$H77)</f>
        <v>-</v>
      </c>
      <c r="BO321" s="477" t="str">
        <f>IFERROR(VLOOKUP(BN321,'Early Retirement'!$B$6:$C$33,2,FALSE),"-")</f>
        <v>-</v>
      </c>
      <c r="BP321" s="477" t="str">
        <f>IF(Inventory!$J77="Centrifugal","Yes","No")</f>
        <v>No</v>
      </c>
      <c r="BQ321" s="477">
        <f t="shared" si="241"/>
        <v>0</v>
      </c>
      <c r="BR321" s="477" t="str">
        <f t="shared" si="218"/>
        <v>-</v>
      </c>
      <c r="BS321" s="479">
        <f>IFERROR(INDEX('Early Retirement'!$C$4:$AC$33,$BO321,$BR321),0)</f>
        <v>0</v>
      </c>
      <c r="BT321" s="477">
        <f>IFERROR(HLOOKUP($BR321,'Early Retirement'!$D$4:$AC$5,2,FALSE),0)</f>
        <v>0</v>
      </c>
      <c r="BU321" s="761">
        <f>IFERROR(INDEX('Early Retirement'!$AE$4:$BE$33,$BO321,$BR321),0)</f>
        <v>0</v>
      </c>
      <c r="BV321" s="759">
        <f>IFERROR(HLOOKUP($BR321,'Early Retirement'!$AF$4:$BE$5,2,FALSE),0)</f>
        <v>0</v>
      </c>
      <c r="BW321" s="479">
        <f t="shared" si="242"/>
        <v>0</v>
      </c>
      <c r="BX321" s="761">
        <f t="shared" si="250"/>
        <v>0</v>
      </c>
      <c r="BY321" s="477" t="s">
        <v>46</v>
      </c>
      <c r="BZ321" s="598">
        <f>IFERROR(INDEX('Early Retirement'!$BG$4:$CG$33,$BO321,$BR321),0)</f>
        <v>0</v>
      </c>
      <c r="CA321" s="759">
        <f>IFERROR(HLOOKUP($BR321,'Early Retirement'!$BH$4:$CH$5,2,FALSE),0)</f>
        <v>0</v>
      </c>
      <c r="CB321" s="598">
        <f t="shared" si="251"/>
        <v>0</v>
      </c>
      <c r="CC321" s="759" t="s">
        <v>567</v>
      </c>
      <c r="CD321" s="477" t="str">
        <f t="shared" si="243"/>
        <v>Yes</v>
      </c>
      <c r="CE321" s="479">
        <f t="shared" si="252"/>
        <v>0</v>
      </c>
      <c r="CF321" s="761">
        <f t="shared" si="253"/>
        <v>0</v>
      </c>
      <c r="CG321" s="759" t="s">
        <v>46</v>
      </c>
      <c r="CH321" s="598">
        <f t="shared" si="258"/>
        <v>0</v>
      </c>
      <c r="CI321" s="759" t="s">
        <v>567</v>
      </c>
      <c r="CJ321" s="480">
        <f t="shared" si="244"/>
        <v>0</v>
      </c>
      <c r="CK321" s="583">
        <f t="shared" si="254"/>
        <v>0</v>
      </c>
      <c r="CL321" s="596" t="s">
        <v>46</v>
      </c>
      <c r="CM321" s="581">
        <f t="shared" si="255"/>
        <v>0</v>
      </c>
      <c r="CN321" s="762" t="s">
        <v>567</v>
      </c>
      <c r="CW321" s="630"/>
      <c r="CX321" s="630"/>
      <c r="CY321" s="630"/>
      <c r="CZ321" s="630"/>
      <c r="DA321" s="630"/>
    </row>
    <row r="322" spans="2:105" s="78" customFormat="1" ht="15" customHeight="1" x14ac:dyDescent="0.25">
      <c r="B322" s="77"/>
      <c r="E322" s="77"/>
      <c r="H322" s="77"/>
      <c r="Y322" s="90">
        <v>69</v>
      </c>
      <c r="Z322" s="559" t="str">
        <f>IF(Inventory!$C78="","",VLOOKUP(Inventory!$C78,$B$7:$C$9,2,FALSE))</f>
        <v/>
      </c>
      <c r="AA322" s="559" t="str">
        <f>IF($Z322="","",IF(AND($Z322="b",Inventory!$G78=""),"",IF(AND($Z322="b",Inventory!$G78&lt;&gt;""),VLOOKUP(Inventory!$G78,$E$3:$F$10,2,FALSE),IF(AND($Z322="a",Inventory!$Z78=""),"",IF(AND($Z322="a",Inventory!$Z78&lt;&gt;""),VLOOKUP(Inventory!$Z78,$E$3:$F$10,2,FALSE),IF(AND($Z322="c",Inventory!$Z78=""),"",IF(AND($Z322="c",Inventory!$Z78&lt;&gt;""),VLOOKUP(Inventory!$Z78,$E$3:$F$10,2,FALSE),"")))))))</f>
        <v/>
      </c>
      <c r="AB322" s="559" t="str">
        <f>IF($Z322="","a",IF(AND($Z322="b",Inventory!$J78=""),"a",IF(AND($Z322="b",Inventory!$J78&lt;&gt;""),VLOOKUP(Inventory!$J78,$H$4:$I$6,2,FALSE),IF(AND($Z322="a",Inventory!$AA78=""),"a",IF(AND($Z322="a",Inventory!$AA78&lt;&gt;""),VLOOKUP(Inventory!$AA78,$H$4:$I$6,2,FALSE),IF(AND($Z322="c",Inventory!$AA78=""),"a",IF(AND($Z322="c",Inventory!$AA78&lt;&gt;""),VLOOKUP(Inventory!$AA78,$H$4:$I$6,2,FALSE),"a")))))))</f>
        <v>a</v>
      </c>
      <c r="AC322" s="559" t="str">
        <f t="shared" si="219"/>
        <v>a</v>
      </c>
      <c r="AD322" s="473" t="str">
        <f>IF($Z322="","a",IF(AND($Z322="b",Inventory!$L78=""),"a",IF(AND($Z322="b",Inventory!$L78&lt;&gt;""),VLOOKUP(Inventory!$L78,$N$4:$O$5,2,FALSE),IF(AND($Z322="a",Inventory!$AC78=""),"a",IF(AND($Z322="a",Inventory!$AC78&lt;&gt;""),VLOOKUP(Inventory!$AC78,$N$4:$O$5,2,FALSE),IF(AND($Z322="c",Inventory!$AC78=""),"a",IF(AND($Z322="c",Inventory!$AC78&lt;&gt;""),VLOOKUP(Inventory!$AC78,$N$4:$O$5,2,FALSE),"a")))))))</f>
        <v>a</v>
      </c>
      <c r="AE322" s="474">
        <f>IF(OR(Inventory!C78="New Construction",Inventory!C78="Replace-on-Burnout"),Inventory!AF78,IF(Inventory!C78="Early Retirement",MIN(Inventory!AE78,Inventory!AF78),0))</f>
        <v>0</v>
      </c>
      <c r="AF322" s="475" t="str">
        <f t="shared" si="220"/>
        <v/>
      </c>
      <c r="AG322" s="475" t="str">
        <f t="shared" si="221"/>
        <v/>
      </c>
      <c r="AH322" s="475" t="str">
        <f t="shared" si="222"/>
        <v/>
      </c>
      <c r="AI322" s="475" t="str">
        <f t="shared" si="223"/>
        <v/>
      </c>
      <c r="AJ322" s="475" t="str">
        <f t="shared" si="224"/>
        <v/>
      </c>
      <c r="AK322" s="475" t="str">
        <f t="shared" si="225"/>
        <v/>
      </c>
      <c r="AL322" s="475" t="str">
        <f t="shared" si="226"/>
        <v/>
      </c>
      <c r="AM322" s="475" t="str">
        <f t="shared" si="227"/>
        <v/>
      </c>
      <c r="AN322" s="475" t="str">
        <f t="shared" si="228"/>
        <v/>
      </c>
      <c r="AO322" s="475" t="str">
        <f t="shared" si="229"/>
        <v/>
      </c>
      <c r="AP322" s="475" t="str">
        <f t="shared" si="230"/>
        <v/>
      </c>
      <c r="AQ322" s="475" t="str">
        <f t="shared" si="231"/>
        <v/>
      </c>
      <c r="AR322" s="475" t="str">
        <f t="shared" si="232"/>
        <v/>
      </c>
      <c r="AS322" s="475" t="str">
        <f t="shared" si="256"/>
        <v/>
      </c>
      <c r="AT322" s="475" t="str">
        <f t="shared" si="233"/>
        <v/>
      </c>
      <c r="AU322" s="475" t="str">
        <f t="shared" si="234"/>
        <v/>
      </c>
      <c r="AV322" s="475" t="str">
        <f t="shared" si="235"/>
        <v/>
      </c>
      <c r="AW322" s="473">
        <f t="shared" si="236"/>
        <v>0</v>
      </c>
      <c r="AX322" s="473" t="str">
        <f>IF(AND($Z322="b",OR($AA322="a",$AA322="b"),Inventory!$I78="",$AE322&lt;(65000/12000)),"x",IF(AND($Z322="b",OR($AA322="a",$AA322="b"),Inventory!$I78&lt;&gt;"",$AE322&lt;(65000/12000)),VLOOKUP(Inventory!$I329,$V$4:$W$5,2,FALSE),"x"))</f>
        <v>x</v>
      </c>
      <c r="AY322" s="476" t="str">
        <f t="shared" si="237"/>
        <v>aaa0</v>
      </c>
      <c r="AZ322" s="477" t="str">
        <f t="shared" si="247"/>
        <v>No</v>
      </c>
      <c r="BA322" s="759" t="str">
        <f t="shared" si="248"/>
        <v>No</v>
      </c>
      <c r="BB322" s="477">
        <f>IF($Z322="c",Inventory!$AB78,Inventory!$K78)</f>
        <v>0</v>
      </c>
      <c r="BC322" s="478">
        <f>IF(AND($Z322="b",Inventory!$N78="Btu/hr"),Inventory!$M78,IF(AND($Z322="b",Inventory!$N78="Tons"),Inventory!$M78*12000,IF(AND($Z322&lt;&gt;"b",Inventory!$AK78="Btu/hr"),Inventory!$AD78,IF(AND($Z322&lt;&gt;"b",Inventory!$AK78="Tons"),Inventory!$AD78*12000,0))))</f>
        <v>0</v>
      </c>
      <c r="BD322" s="478">
        <f t="shared" si="245"/>
        <v>0</v>
      </c>
      <c r="BE322" s="479">
        <f t="shared" si="257"/>
        <v>0</v>
      </c>
      <c r="BF322" s="477" t="s">
        <v>50</v>
      </c>
      <c r="BG322" s="479">
        <f t="shared" si="239"/>
        <v>0</v>
      </c>
      <c r="BH322" s="477" t="s">
        <v>46</v>
      </c>
      <c r="BI322" s="760">
        <f>IF(AND($Z322="b",Inventory!$P78="Btu/hr"),Inventory!$O78,IF(AND($Z322="b",Inventory!$P78="Tons"),Inventory!$O78*12000,IF(AND($Z322&lt;&gt;"b",Inventory!$AM78="Btu/hr"),Inventory!$AL78,IF(AND($Z322&lt;&gt;"b",Inventory!$AM78="Tons"),Inventory!$AL78*12000,0))))</f>
        <v>0</v>
      </c>
      <c r="BJ322" s="760">
        <f t="shared" si="246"/>
        <v>0</v>
      </c>
      <c r="BK322" s="598">
        <f t="shared" si="249"/>
        <v>0</v>
      </c>
      <c r="BL322" s="759" t="s">
        <v>567</v>
      </c>
      <c r="BM322" s="477" t="str">
        <f t="shared" si="240"/>
        <v>No</v>
      </c>
      <c r="BN322" s="477" t="str">
        <f>IF(OR(Inventory!$H78="",$BM322="No"),"-",Inventory!$H78)</f>
        <v>-</v>
      </c>
      <c r="BO322" s="477" t="str">
        <f>IFERROR(VLOOKUP(BN322,'Early Retirement'!$B$6:$C$33,2,FALSE),"-")</f>
        <v>-</v>
      </c>
      <c r="BP322" s="477" t="str">
        <f>IF(Inventory!$J78="Centrifugal","Yes","No")</f>
        <v>No</v>
      </c>
      <c r="BQ322" s="477">
        <f t="shared" si="241"/>
        <v>0</v>
      </c>
      <c r="BR322" s="477" t="str">
        <f t="shared" si="218"/>
        <v>-</v>
      </c>
      <c r="BS322" s="479">
        <f>IFERROR(INDEX('Early Retirement'!$C$4:$AC$33,$BO322,$BR322),0)</f>
        <v>0</v>
      </c>
      <c r="BT322" s="477">
        <f>IFERROR(HLOOKUP($BR322,'Early Retirement'!$D$4:$AC$5,2,FALSE),0)</f>
        <v>0</v>
      </c>
      <c r="BU322" s="761">
        <f>IFERROR(INDEX('Early Retirement'!$AE$4:$BE$33,$BO322,$BR322),0)</f>
        <v>0</v>
      </c>
      <c r="BV322" s="759">
        <f>IFERROR(HLOOKUP($BR322,'Early Retirement'!$AF$4:$BE$5,2,FALSE),0)</f>
        <v>0</v>
      </c>
      <c r="BW322" s="479">
        <f t="shared" si="242"/>
        <v>0</v>
      </c>
      <c r="BX322" s="761">
        <f t="shared" si="250"/>
        <v>0</v>
      </c>
      <c r="BY322" s="477" t="s">
        <v>46</v>
      </c>
      <c r="BZ322" s="598">
        <f>IFERROR(INDEX('Early Retirement'!$BG$4:$CG$33,$BO322,$BR322),0)</f>
        <v>0</v>
      </c>
      <c r="CA322" s="759">
        <f>IFERROR(HLOOKUP($BR322,'Early Retirement'!$BH$4:$CH$5,2,FALSE),0)</f>
        <v>0</v>
      </c>
      <c r="CB322" s="598">
        <f t="shared" si="251"/>
        <v>0</v>
      </c>
      <c r="CC322" s="759" t="s">
        <v>567</v>
      </c>
      <c r="CD322" s="477" t="str">
        <f t="shared" si="243"/>
        <v>Yes</v>
      </c>
      <c r="CE322" s="479">
        <f t="shared" si="252"/>
        <v>0</v>
      </c>
      <c r="CF322" s="761">
        <f t="shared" si="253"/>
        <v>0</v>
      </c>
      <c r="CG322" s="759" t="s">
        <v>46</v>
      </c>
      <c r="CH322" s="598">
        <f t="shared" si="258"/>
        <v>0</v>
      </c>
      <c r="CI322" s="759" t="s">
        <v>567</v>
      </c>
      <c r="CJ322" s="480">
        <f t="shared" si="244"/>
        <v>0</v>
      </c>
      <c r="CK322" s="583">
        <f t="shared" si="254"/>
        <v>0</v>
      </c>
      <c r="CL322" s="596" t="s">
        <v>46</v>
      </c>
      <c r="CM322" s="581">
        <f t="shared" si="255"/>
        <v>0</v>
      </c>
      <c r="CN322" s="762" t="s">
        <v>567</v>
      </c>
      <c r="CW322" s="630"/>
      <c r="CX322" s="630"/>
      <c r="CY322" s="630"/>
      <c r="CZ322" s="630"/>
      <c r="DA322" s="630"/>
    </row>
    <row r="323" spans="2:105" s="78" customFormat="1" ht="15" customHeight="1" x14ac:dyDescent="0.25">
      <c r="B323" s="77"/>
      <c r="E323" s="77"/>
      <c r="H323" s="77"/>
      <c r="Y323" s="90">
        <v>70</v>
      </c>
      <c r="Z323" s="559" t="str">
        <f>IF(Inventory!$C79="","",VLOOKUP(Inventory!$C79,$B$7:$C$9,2,FALSE))</f>
        <v/>
      </c>
      <c r="AA323" s="559" t="str">
        <f>IF($Z323="","",IF(AND($Z323="b",Inventory!$G79=""),"",IF(AND($Z323="b",Inventory!$G79&lt;&gt;""),VLOOKUP(Inventory!$G79,$E$3:$F$10,2,FALSE),IF(AND($Z323="a",Inventory!$Z79=""),"",IF(AND($Z323="a",Inventory!$Z79&lt;&gt;""),VLOOKUP(Inventory!$Z79,$E$3:$F$10,2,FALSE),IF(AND($Z323="c",Inventory!$Z79=""),"",IF(AND($Z323="c",Inventory!$Z79&lt;&gt;""),VLOOKUP(Inventory!$Z79,$E$3:$F$10,2,FALSE),"")))))))</f>
        <v/>
      </c>
      <c r="AB323" s="559" t="str">
        <f>IF($Z323="","a",IF(AND($Z323="b",Inventory!$J79=""),"a",IF(AND($Z323="b",Inventory!$J79&lt;&gt;""),VLOOKUP(Inventory!$J79,$H$4:$I$6,2,FALSE),IF(AND($Z323="a",Inventory!$AA79=""),"a",IF(AND($Z323="a",Inventory!$AA79&lt;&gt;""),VLOOKUP(Inventory!$AA79,$H$4:$I$6,2,FALSE),IF(AND($Z323="c",Inventory!$AA79=""),"a",IF(AND($Z323="c",Inventory!$AA79&lt;&gt;""),VLOOKUP(Inventory!$AA79,$H$4:$I$6,2,FALSE),"a")))))))</f>
        <v>a</v>
      </c>
      <c r="AC323" s="559" t="str">
        <f t="shared" si="219"/>
        <v>a</v>
      </c>
      <c r="AD323" s="473" t="str">
        <f>IF($Z323="","a",IF(AND($Z323="b",Inventory!$L79=""),"a",IF(AND($Z323="b",Inventory!$L79&lt;&gt;""),VLOOKUP(Inventory!$L79,$N$4:$O$5,2,FALSE),IF(AND($Z323="a",Inventory!$AC79=""),"a",IF(AND($Z323="a",Inventory!$AC79&lt;&gt;""),VLOOKUP(Inventory!$AC79,$N$4:$O$5,2,FALSE),IF(AND($Z323="c",Inventory!$AC79=""),"a",IF(AND($Z323="c",Inventory!$AC79&lt;&gt;""),VLOOKUP(Inventory!$AC79,$N$4:$O$5,2,FALSE),"a")))))))</f>
        <v>a</v>
      </c>
      <c r="AE323" s="474">
        <f>IF(OR(Inventory!C79="New Construction",Inventory!C79="Replace-on-Burnout"),Inventory!AF79,IF(Inventory!C79="Early Retirement",MIN(Inventory!AE79,Inventory!AF79),0))</f>
        <v>0</v>
      </c>
      <c r="AF323" s="475" t="str">
        <f t="shared" si="220"/>
        <v/>
      </c>
      <c r="AG323" s="475" t="str">
        <f t="shared" si="221"/>
        <v/>
      </c>
      <c r="AH323" s="475" t="str">
        <f t="shared" si="222"/>
        <v/>
      </c>
      <c r="AI323" s="475" t="str">
        <f t="shared" si="223"/>
        <v/>
      </c>
      <c r="AJ323" s="475" t="str">
        <f t="shared" si="224"/>
        <v/>
      </c>
      <c r="AK323" s="475" t="str">
        <f t="shared" si="225"/>
        <v/>
      </c>
      <c r="AL323" s="475" t="str">
        <f t="shared" si="226"/>
        <v/>
      </c>
      <c r="AM323" s="475" t="str">
        <f t="shared" si="227"/>
        <v/>
      </c>
      <c r="AN323" s="475" t="str">
        <f t="shared" si="228"/>
        <v/>
      </c>
      <c r="AO323" s="475" t="str">
        <f t="shared" si="229"/>
        <v/>
      </c>
      <c r="AP323" s="475" t="str">
        <f t="shared" si="230"/>
        <v/>
      </c>
      <c r="AQ323" s="475" t="str">
        <f t="shared" si="231"/>
        <v/>
      </c>
      <c r="AR323" s="475" t="str">
        <f t="shared" si="232"/>
        <v/>
      </c>
      <c r="AS323" s="475" t="str">
        <f t="shared" si="256"/>
        <v/>
      </c>
      <c r="AT323" s="475" t="str">
        <f t="shared" si="233"/>
        <v/>
      </c>
      <c r="AU323" s="475" t="str">
        <f t="shared" si="234"/>
        <v/>
      </c>
      <c r="AV323" s="475" t="str">
        <f t="shared" si="235"/>
        <v/>
      </c>
      <c r="AW323" s="473">
        <f t="shared" si="236"/>
        <v>0</v>
      </c>
      <c r="AX323" s="473" t="str">
        <f>IF(AND($Z323="b",OR($AA323="a",$AA323="b"),Inventory!$I79="",$AE323&lt;(65000/12000)),"x",IF(AND($Z323="b",OR($AA323="a",$AA323="b"),Inventory!$I79&lt;&gt;"",$AE323&lt;(65000/12000)),VLOOKUP(Inventory!$I330,$V$4:$W$5,2,FALSE),"x"))</f>
        <v>x</v>
      </c>
      <c r="AY323" s="476" t="str">
        <f t="shared" si="237"/>
        <v>aaa0</v>
      </c>
      <c r="AZ323" s="477" t="str">
        <f t="shared" si="247"/>
        <v>No</v>
      </c>
      <c r="BA323" s="759" t="str">
        <f t="shared" si="248"/>
        <v>No</v>
      </c>
      <c r="BB323" s="477">
        <f>IF($Z323="c",Inventory!$AB79,Inventory!$K79)</f>
        <v>0</v>
      </c>
      <c r="BC323" s="478">
        <f>IF(AND($Z323="b",Inventory!$N79="Btu/hr"),Inventory!$M79,IF(AND($Z323="b",Inventory!$N79="Tons"),Inventory!$M79*12000,IF(AND($Z323&lt;&gt;"b",Inventory!$AK79="Btu/hr"),Inventory!$AD79,IF(AND($Z323&lt;&gt;"b",Inventory!$AK79="Tons"),Inventory!$AD79*12000,0))))</f>
        <v>0</v>
      </c>
      <c r="BD323" s="478">
        <f t="shared" si="245"/>
        <v>0</v>
      </c>
      <c r="BE323" s="479">
        <f t="shared" si="257"/>
        <v>0</v>
      </c>
      <c r="BF323" s="477" t="s">
        <v>50</v>
      </c>
      <c r="BG323" s="479">
        <f t="shared" si="239"/>
        <v>0</v>
      </c>
      <c r="BH323" s="477" t="s">
        <v>46</v>
      </c>
      <c r="BI323" s="760">
        <f>IF(AND($Z323="b",Inventory!$P79="Btu/hr"),Inventory!$O79,IF(AND($Z323="b",Inventory!$P79="Tons"),Inventory!$O79*12000,IF(AND($Z323&lt;&gt;"b",Inventory!$AM79="Btu/hr"),Inventory!$AL79,IF(AND($Z323&lt;&gt;"b",Inventory!$AM79="Tons"),Inventory!$AL79*12000,0))))</f>
        <v>0</v>
      </c>
      <c r="BJ323" s="760">
        <f t="shared" si="246"/>
        <v>0</v>
      </c>
      <c r="BK323" s="598">
        <f t="shared" si="249"/>
        <v>0</v>
      </c>
      <c r="BL323" s="759" t="s">
        <v>567</v>
      </c>
      <c r="BM323" s="477" t="str">
        <f t="shared" si="240"/>
        <v>No</v>
      </c>
      <c r="BN323" s="477" t="str">
        <f>IF(OR(Inventory!$H79="",$BM323="No"),"-",Inventory!$H79)</f>
        <v>-</v>
      </c>
      <c r="BO323" s="477" t="str">
        <f>IFERROR(VLOOKUP(BN323,'Early Retirement'!$B$6:$C$33,2,FALSE),"-")</f>
        <v>-</v>
      </c>
      <c r="BP323" s="477" t="str">
        <f>IF(Inventory!$J79="Centrifugal","Yes","No")</f>
        <v>No</v>
      </c>
      <c r="BQ323" s="477">
        <f t="shared" si="241"/>
        <v>0</v>
      </c>
      <c r="BR323" s="477" t="str">
        <f t="shared" si="218"/>
        <v>-</v>
      </c>
      <c r="BS323" s="479">
        <f>IFERROR(INDEX('Early Retirement'!$C$4:$AC$33,$BO323,$BR323),0)</f>
        <v>0</v>
      </c>
      <c r="BT323" s="477">
        <f>IFERROR(HLOOKUP($BR323,'Early Retirement'!$D$4:$AC$5,2,FALSE),0)</f>
        <v>0</v>
      </c>
      <c r="BU323" s="761">
        <f>IFERROR(INDEX('Early Retirement'!$AE$4:$BE$33,$BO323,$BR323),0)</f>
        <v>0</v>
      </c>
      <c r="BV323" s="759">
        <f>IFERROR(HLOOKUP($BR323,'Early Retirement'!$AF$4:$BE$5,2,FALSE),0)</f>
        <v>0</v>
      </c>
      <c r="BW323" s="479">
        <f t="shared" si="242"/>
        <v>0</v>
      </c>
      <c r="BX323" s="761">
        <f t="shared" si="250"/>
        <v>0</v>
      </c>
      <c r="BY323" s="477" t="s">
        <v>46</v>
      </c>
      <c r="BZ323" s="598">
        <f>IFERROR(INDEX('Early Retirement'!$BG$4:$CG$33,$BO323,$BR323),0)</f>
        <v>0</v>
      </c>
      <c r="CA323" s="759">
        <f>IFERROR(HLOOKUP($BR323,'Early Retirement'!$BH$4:$CH$5,2,FALSE),0)</f>
        <v>0</v>
      </c>
      <c r="CB323" s="598">
        <f t="shared" si="251"/>
        <v>0</v>
      </c>
      <c r="CC323" s="759" t="s">
        <v>567</v>
      </c>
      <c r="CD323" s="477" t="str">
        <f t="shared" si="243"/>
        <v>Yes</v>
      </c>
      <c r="CE323" s="479">
        <f t="shared" si="252"/>
        <v>0</v>
      </c>
      <c r="CF323" s="761">
        <f t="shared" si="253"/>
        <v>0</v>
      </c>
      <c r="CG323" s="759" t="s">
        <v>46</v>
      </c>
      <c r="CH323" s="598">
        <f t="shared" si="258"/>
        <v>0</v>
      </c>
      <c r="CI323" s="759" t="s">
        <v>567</v>
      </c>
      <c r="CJ323" s="480">
        <f t="shared" si="244"/>
        <v>0</v>
      </c>
      <c r="CK323" s="583">
        <f t="shared" si="254"/>
        <v>0</v>
      </c>
      <c r="CL323" s="596" t="s">
        <v>46</v>
      </c>
      <c r="CM323" s="581">
        <f t="shared" si="255"/>
        <v>0</v>
      </c>
      <c r="CN323" s="762" t="s">
        <v>567</v>
      </c>
      <c r="CW323" s="630"/>
      <c r="CX323" s="630"/>
      <c r="CY323" s="630"/>
      <c r="CZ323" s="630"/>
      <c r="DA323" s="630"/>
    </row>
    <row r="324" spans="2:105" s="78" customFormat="1" ht="15" customHeight="1" x14ac:dyDescent="0.25">
      <c r="B324" s="77"/>
      <c r="E324" s="77"/>
      <c r="H324" s="77"/>
      <c r="Y324" s="90">
        <v>71</v>
      </c>
      <c r="Z324" s="559" t="str">
        <f>IF(Inventory!$C80="","",VLOOKUP(Inventory!$C80,$B$7:$C$9,2,FALSE))</f>
        <v/>
      </c>
      <c r="AA324" s="559" t="str">
        <f>IF($Z324="","",IF(AND($Z324="b",Inventory!$G80=""),"",IF(AND($Z324="b",Inventory!$G80&lt;&gt;""),VLOOKUP(Inventory!$G80,$E$3:$F$10,2,FALSE),IF(AND($Z324="a",Inventory!$Z80=""),"",IF(AND($Z324="a",Inventory!$Z80&lt;&gt;""),VLOOKUP(Inventory!$Z80,$E$3:$F$10,2,FALSE),IF(AND($Z324="c",Inventory!$Z80=""),"",IF(AND($Z324="c",Inventory!$Z80&lt;&gt;""),VLOOKUP(Inventory!$Z80,$E$3:$F$10,2,FALSE),"")))))))</f>
        <v/>
      </c>
      <c r="AB324" s="559" t="str">
        <f>IF($Z324="","a",IF(AND($Z324="b",Inventory!$J80=""),"a",IF(AND($Z324="b",Inventory!$J80&lt;&gt;""),VLOOKUP(Inventory!$J80,$H$4:$I$6,2,FALSE),IF(AND($Z324="a",Inventory!$AA80=""),"a",IF(AND($Z324="a",Inventory!$AA80&lt;&gt;""),VLOOKUP(Inventory!$AA80,$H$4:$I$6,2,FALSE),IF(AND($Z324="c",Inventory!$AA80=""),"a",IF(AND($Z324="c",Inventory!$AA80&lt;&gt;""),VLOOKUP(Inventory!$AA80,$H$4:$I$6,2,FALSE),"a")))))))</f>
        <v>a</v>
      </c>
      <c r="AC324" s="559" t="str">
        <f t="shared" si="219"/>
        <v>a</v>
      </c>
      <c r="AD324" s="473" t="str">
        <f>IF($Z324="","a",IF(AND($Z324="b",Inventory!$L80=""),"a",IF(AND($Z324="b",Inventory!$L80&lt;&gt;""),VLOOKUP(Inventory!$L80,$N$4:$O$5,2,FALSE),IF(AND($Z324="a",Inventory!$AC80=""),"a",IF(AND($Z324="a",Inventory!$AC80&lt;&gt;""),VLOOKUP(Inventory!$AC80,$N$4:$O$5,2,FALSE),IF(AND($Z324="c",Inventory!$AC80=""),"a",IF(AND($Z324="c",Inventory!$AC80&lt;&gt;""),VLOOKUP(Inventory!$AC80,$N$4:$O$5,2,FALSE),"a")))))))</f>
        <v>a</v>
      </c>
      <c r="AE324" s="474">
        <f>IF(OR(Inventory!C80="New Construction",Inventory!C80="Replace-on-Burnout"),Inventory!AF80,IF(Inventory!C80="Early Retirement",MIN(Inventory!AE80,Inventory!AF80),0))</f>
        <v>0</v>
      </c>
      <c r="AF324" s="475" t="str">
        <f t="shared" si="220"/>
        <v/>
      </c>
      <c r="AG324" s="475" t="str">
        <f t="shared" si="221"/>
        <v/>
      </c>
      <c r="AH324" s="475" t="str">
        <f t="shared" si="222"/>
        <v/>
      </c>
      <c r="AI324" s="475" t="str">
        <f t="shared" si="223"/>
        <v/>
      </c>
      <c r="AJ324" s="475" t="str">
        <f t="shared" si="224"/>
        <v/>
      </c>
      <c r="AK324" s="475" t="str">
        <f t="shared" si="225"/>
        <v/>
      </c>
      <c r="AL324" s="475" t="str">
        <f t="shared" si="226"/>
        <v/>
      </c>
      <c r="AM324" s="475" t="str">
        <f t="shared" si="227"/>
        <v/>
      </c>
      <c r="AN324" s="475" t="str">
        <f t="shared" si="228"/>
        <v/>
      </c>
      <c r="AO324" s="475" t="str">
        <f t="shared" si="229"/>
        <v/>
      </c>
      <c r="AP324" s="475" t="str">
        <f t="shared" si="230"/>
        <v/>
      </c>
      <c r="AQ324" s="475" t="str">
        <f t="shared" si="231"/>
        <v/>
      </c>
      <c r="AR324" s="475" t="str">
        <f t="shared" si="232"/>
        <v/>
      </c>
      <c r="AS324" s="475" t="str">
        <f t="shared" si="256"/>
        <v/>
      </c>
      <c r="AT324" s="475" t="str">
        <f t="shared" si="233"/>
        <v/>
      </c>
      <c r="AU324" s="475" t="str">
        <f t="shared" si="234"/>
        <v/>
      </c>
      <c r="AV324" s="475" t="str">
        <f t="shared" si="235"/>
        <v/>
      </c>
      <c r="AW324" s="473">
        <f t="shared" si="236"/>
        <v>0</v>
      </c>
      <c r="AX324" s="473" t="str">
        <f>IF(AND($Z324="b",OR($AA324="a",$AA324="b"),Inventory!$I80="",$AE324&lt;(65000/12000)),"x",IF(AND($Z324="b",OR($AA324="a",$AA324="b"),Inventory!$I80&lt;&gt;"",$AE324&lt;(65000/12000)),VLOOKUP(Inventory!$I331,$V$4:$W$5,2,FALSE),"x"))</f>
        <v>x</v>
      </c>
      <c r="AY324" s="476" t="str">
        <f t="shared" si="237"/>
        <v>aaa0</v>
      </c>
      <c r="AZ324" s="477" t="str">
        <f t="shared" si="247"/>
        <v>No</v>
      </c>
      <c r="BA324" s="759" t="str">
        <f t="shared" si="248"/>
        <v>No</v>
      </c>
      <c r="BB324" s="477">
        <f>IF($Z324="c",Inventory!$AB80,Inventory!$K80)</f>
        <v>0</v>
      </c>
      <c r="BC324" s="478">
        <f>IF(AND($Z324="b",Inventory!$N80="Btu/hr"),Inventory!$M80,IF(AND($Z324="b",Inventory!$N80="Tons"),Inventory!$M80*12000,IF(AND($Z324&lt;&gt;"b",Inventory!$AK80="Btu/hr"),Inventory!$AD80,IF(AND($Z324&lt;&gt;"b",Inventory!$AK80="Tons"),Inventory!$AD80*12000,0))))</f>
        <v>0</v>
      </c>
      <c r="BD324" s="478">
        <f t="shared" si="245"/>
        <v>0</v>
      </c>
      <c r="BE324" s="479">
        <f t="shared" si="257"/>
        <v>0</v>
      </c>
      <c r="BF324" s="477" t="s">
        <v>50</v>
      </c>
      <c r="BG324" s="479">
        <f t="shared" si="239"/>
        <v>0</v>
      </c>
      <c r="BH324" s="477" t="s">
        <v>46</v>
      </c>
      <c r="BI324" s="760">
        <f>IF(AND($Z324="b",Inventory!$P80="Btu/hr"),Inventory!$O80,IF(AND($Z324="b",Inventory!$P80="Tons"),Inventory!$O80*12000,IF(AND($Z324&lt;&gt;"b",Inventory!$AM80="Btu/hr"),Inventory!$AL80,IF(AND($Z324&lt;&gt;"b",Inventory!$AM80="Tons"),Inventory!$AL80*12000,0))))</f>
        <v>0</v>
      </c>
      <c r="BJ324" s="760">
        <f t="shared" si="246"/>
        <v>0</v>
      </c>
      <c r="BK324" s="598">
        <f t="shared" si="249"/>
        <v>0</v>
      </c>
      <c r="BL324" s="759" t="s">
        <v>567</v>
      </c>
      <c r="BM324" s="477" t="str">
        <f t="shared" si="240"/>
        <v>No</v>
      </c>
      <c r="BN324" s="477" t="str">
        <f>IF(OR(Inventory!$H80="",$BM324="No"),"-",Inventory!$H80)</f>
        <v>-</v>
      </c>
      <c r="BO324" s="477" t="str">
        <f>IFERROR(VLOOKUP(BN324,'Early Retirement'!$B$6:$C$33,2,FALSE),"-")</f>
        <v>-</v>
      </c>
      <c r="BP324" s="477" t="str">
        <f>IF(Inventory!$J80="Centrifugal","Yes","No")</f>
        <v>No</v>
      </c>
      <c r="BQ324" s="477">
        <f t="shared" si="241"/>
        <v>0</v>
      </c>
      <c r="BR324" s="477" t="str">
        <f t="shared" ref="BR324:BR387" si="259">IFERROR(VLOOKUP($BQ324,$BQ$506:$BR$537,2,FALSE),"-")</f>
        <v>-</v>
      </c>
      <c r="BS324" s="479">
        <f>IFERROR(INDEX('Early Retirement'!$C$4:$AC$33,$BO324,$BR324),0)</f>
        <v>0</v>
      </c>
      <c r="BT324" s="477">
        <f>IFERROR(HLOOKUP($BR324,'Early Retirement'!$D$4:$AC$5,2,FALSE),0)</f>
        <v>0</v>
      </c>
      <c r="BU324" s="761">
        <f>IFERROR(INDEX('Early Retirement'!$AE$4:$BE$33,$BO324,$BR324),0)</f>
        <v>0</v>
      </c>
      <c r="BV324" s="759">
        <f>IFERROR(HLOOKUP($BR324,'Early Retirement'!$AF$4:$BE$5,2,FALSE),0)</f>
        <v>0</v>
      </c>
      <c r="BW324" s="479">
        <f t="shared" si="242"/>
        <v>0</v>
      </c>
      <c r="BX324" s="761">
        <f t="shared" si="250"/>
        <v>0</v>
      </c>
      <c r="BY324" s="477" t="s">
        <v>46</v>
      </c>
      <c r="BZ324" s="598">
        <f>IFERROR(INDEX('Early Retirement'!$BG$4:$CG$33,$BO324,$BR324),0)</f>
        <v>0</v>
      </c>
      <c r="CA324" s="759">
        <f>IFERROR(HLOOKUP($BR324,'Early Retirement'!$BH$4:$CH$5,2,FALSE),0)</f>
        <v>0</v>
      </c>
      <c r="CB324" s="598">
        <f t="shared" si="251"/>
        <v>0</v>
      </c>
      <c r="CC324" s="759" t="s">
        <v>567</v>
      </c>
      <c r="CD324" s="477" t="str">
        <f t="shared" si="243"/>
        <v>Yes</v>
      </c>
      <c r="CE324" s="479">
        <f t="shared" si="252"/>
        <v>0</v>
      </c>
      <c r="CF324" s="761">
        <f t="shared" si="253"/>
        <v>0</v>
      </c>
      <c r="CG324" s="759" t="s">
        <v>46</v>
      </c>
      <c r="CH324" s="598">
        <f t="shared" si="258"/>
        <v>0</v>
      </c>
      <c r="CI324" s="759" t="s">
        <v>567</v>
      </c>
      <c r="CJ324" s="480">
        <f t="shared" si="244"/>
        <v>0</v>
      </c>
      <c r="CK324" s="583">
        <f t="shared" si="254"/>
        <v>0</v>
      </c>
      <c r="CL324" s="596" t="s">
        <v>46</v>
      </c>
      <c r="CM324" s="581">
        <f t="shared" si="255"/>
        <v>0</v>
      </c>
      <c r="CN324" s="762" t="s">
        <v>567</v>
      </c>
      <c r="CW324" s="630"/>
      <c r="CX324" s="630"/>
      <c r="CY324" s="630"/>
      <c r="CZ324" s="630"/>
      <c r="DA324" s="630"/>
    </row>
    <row r="325" spans="2:105" s="78" customFormat="1" ht="15" customHeight="1" x14ac:dyDescent="0.25">
      <c r="B325" s="77"/>
      <c r="E325" s="77"/>
      <c r="H325" s="77"/>
      <c r="Y325" s="90">
        <v>72</v>
      </c>
      <c r="Z325" s="559" t="str">
        <f>IF(Inventory!$C81="","",VLOOKUP(Inventory!$C81,$B$7:$C$9,2,FALSE))</f>
        <v/>
      </c>
      <c r="AA325" s="559" t="str">
        <f>IF($Z325="","",IF(AND($Z325="b",Inventory!$G81=""),"",IF(AND($Z325="b",Inventory!$G81&lt;&gt;""),VLOOKUP(Inventory!$G81,$E$3:$F$10,2,FALSE),IF(AND($Z325="a",Inventory!$Z81=""),"",IF(AND($Z325="a",Inventory!$Z81&lt;&gt;""),VLOOKUP(Inventory!$Z81,$E$3:$F$10,2,FALSE),IF(AND($Z325="c",Inventory!$Z81=""),"",IF(AND($Z325="c",Inventory!$Z81&lt;&gt;""),VLOOKUP(Inventory!$Z81,$E$3:$F$10,2,FALSE),"")))))))</f>
        <v/>
      </c>
      <c r="AB325" s="559" t="str">
        <f>IF($Z325="","a",IF(AND($Z325="b",Inventory!$J81=""),"a",IF(AND($Z325="b",Inventory!$J81&lt;&gt;""),VLOOKUP(Inventory!$J81,$H$4:$I$6,2,FALSE),IF(AND($Z325="a",Inventory!$AA81=""),"a",IF(AND($Z325="a",Inventory!$AA81&lt;&gt;""),VLOOKUP(Inventory!$AA81,$H$4:$I$6,2,FALSE),IF(AND($Z325="c",Inventory!$AA81=""),"a",IF(AND($Z325="c",Inventory!$AA81&lt;&gt;""),VLOOKUP(Inventory!$AA81,$H$4:$I$6,2,FALSE),"a")))))))</f>
        <v>a</v>
      </c>
      <c r="AC325" s="559" t="str">
        <f t="shared" si="219"/>
        <v>a</v>
      </c>
      <c r="AD325" s="473" t="str">
        <f>IF($Z325="","a",IF(AND($Z325="b",Inventory!$L81=""),"a",IF(AND($Z325="b",Inventory!$L81&lt;&gt;""),VLOOKUP(Inventory!$L81,$N$4:$O$5,2,FALSE),IF(AND($Z325="a",Inventory!$AC81=""),"a",IF(AND($Z325="a",Inventory!$AC81&lt;&gt;""),VLOOKUP(Inventory!$AC81,$N$4:$O$5,2,FALSE),IF(AND($Z325="c",Inventory!$AC81=""),"a",IF(AND($Z325="c",Inventory!$AC81&lt;&gt;""),VLOOKUP(Inventory!$AC81,$N$4:$O$5,2,FALSE),"a")))))))</f>
        <v>a</v>
      </c>
      <c r="AE325" s="474">
        <f>IF(OR(Inventory!C81="New Construction",Inventory!C81="Replace-on-Burnout"),Inventory!AF81,IF(Inventory!C81="Early Retirement",MIN(Inventory!AE81,Inventory!AF81),0))</f>
        <v>0</v>
      </c>
      <c r="AF325" s="475" t="str">
        <f t="shared" si="220"/>
        <v/>
      </c>
      <c r="AG325" s="475" t="str">
        <f t="shared" si="221"/>
        <v/>
      </c>
      <c r="AH325" s="475" t="str">
        <f t="shared" si="222"/>
        <v/>
      </c>
      <c r="AI325" s="475" t="str">
        <f t="shared" si="223"/>
        <v/>
      </c>
      <c r="AJ325" s="475" t="str">
        <f t="shared" si="224"/>
        <v/>
      </c>
      <c r="AK325" s="475" t="str">
        <f t="shared" si="225"/>
        <v/>
      </c>
      <c r="AL325" s="475" t="str">
        <f t="shared" si="226"/>
        <v/>
      </c>
      <c r="AM325" s="475" t="str">
        <f t="shared" si="227"/>
        <v/>
      </c>
      <c r="AN325" s="475" t="str">
        <f t="shared" si="228"/>
        <v/>
      </c>
      <c r="AO325" s="475" t="str">
        <f t="shared" si="229"/>
        <v/>
      </c>
      <c r="AP325" s="475" t="str">
        <f t="shared" si="230"/>
        <v/>
      </c>
      <c r="AQ325" s="475" t="str">
        <f t="shared" si="231"/>
        <v/>
      </c>
      <c r="AR325" s="475" t="str">
        <f t="shared" si="232"/>
        <v/>
      </c>
      <c r="AS325" s="475" t="str">
        <f t="shared" si="256"/>
        <v/>
      </c>
      <c r="AT325" s="475" t="str">
        <f t="shared" si="233"/>
        <v/>
      </c>
      <c r="AU325" s="475" t="str">
        <f t="shared" si="234"/>
        <v/>
      </c>
      <c r="AV325" s="475" t="str">
        <f t="shared" si="235"/>
        <v/>
      </c>
      <c r="AW325" s="473">
        <f t="shared" si="236"/>
        <v>0</v>
      </c>
      <c r="AX325" s="473" t="str">
        <f>IF(AND($Z325="b",OR($AA325="a",$AA325="b"),Inventory!$I81="",$AE325&lt;(65000/12000)),"x",IF(AND($Z325="b",OR($AA325="a",$AA325="b"),Inventory!$I81&lt;&gt;"",$AE325&lt;(65000/12000)),VLOOKUP(Inventory!$I332,$V$4:$W$5,2,FALSE),"x"))</f>
        <v>x</v>
      </c>
      <c r="AY325" s="476" t="str">
        <f t="shared" si="237"/>
        <v>aaa0</v>
      </c>
      <c r="AZ325" s="477" t="str">
        <f t="shared" si="247"/>
        <v>No</v>
      </c>
      <c r="BA325" s="759" t="str">
        <f t="shared" si="248"/>
        <v>No</v>
      </c>
      <c r="BB325" s="477">
        <f>IF($Z325="c",Inventory!$AB81,Inventory!$K81)</f>
        <v>0</v>
      </c>
      <c r="BC325" s="478">
        <f>IF(AND($Z325="b",Inventory!$N81="Btu/hr"),Inventory!$M81,IF(AND($Z325="b",Inventory!$N81="Tons"),Inventory!$M81*12000,IF(AND($Z325&lt;&gt;"b",Inventory!$AK81="Btu/hr"),Inventory!$AD81,IF(AND($Z325&lt;&gt;"b",Inventory!$AK81="Tons"),Inventory!$AD81*12000,0))))</f>
        <v>0</v>
      </c>
      <c r="BD325" s="478">
        <f t="shared" si="245"/>
        <v>0</v>
      </c>
      <c r="BE325" s="479">
        <f t="shared" si="257"/>
        <v>0</v>
      </c>
      <c r="BF325" s="477" t="s">
        <v>50</v>
      </c>
      <c r="BG325" s="479">
        <f t="shared" si="239"/>
        <v>0</v>
      </c>
      <c r="BH325" s="477" t="s">
        <v>46</v>
      </c>
      <c r="BI325" s="760">
        <f>IF(AND($Z325="b",Inventory!$P81="Btu/hr"),Inventory!$O81,IF(AND($Z325="b",Inventory!$P81="Tons"),Inventory!$O81*12000,IF(AND($Z325&lt;&gt;"b",Inventory!$AM81="Btu/hr"),Inventory!$AL81,IF(AND($Z325&lt;&gt;"b",Inventory!$AM81="Tons"),Inventory!$AL81*12000,0))))</f>
        <v>0</v>
      </c>
      <c r="BJ325" s="760">
        <f t="shared" si="246"/>
        <v>0</v>
      </c>
      <c r="BK325" s="598">
        <f t="shared" si="249"/>
        <v>0</v>
      </c>
      <c r="BL325" s="759" t="s">
        <v>567</v>
      </c>
      <c r="BM325" s="477" t="str">
        <f t="shared" si="240"/>
        <v>No</v>
      </c>
      <c r="BN325" s="477" t="str">
        <f>IF(OR(Inventory!$H81="",$BM325="No"),"-",Inventory!$H81)</f>
        <v>-</v>
      </c>
      <c r="BO325" s="477" t="str">
        <f>IFERROR(VLOOKUP(BN325,'Early Retirement'!$B$6:$C$33,2,FALSE),"-")</f>
        <v>-</v>
      </c>
      <c r="BP325" s="477" t="str">
        <f>IF(Inventory!$J81="Centrifugal","Yes","No")</f>
        <v>No</v>
      </c>
      <c r="BQ325" s="477">
        <f t="shared" si="241"/>
        <v>0</v>
      </c>
      <c r="BR325" s="477" t="str">
        <f t="shared" si="259"/>
        <v>-</v>
      </c>
      <c r="BS325" s="479">
        <f>IFERROR(INDEX('Early Retirement'!$C$4:$AC$33,$BO325,$BR325),0)</f>
        <v>0</v>
      </c>
      <c r="BT325" s="477">
        <f>IFERROR(HLOOKUP($BR325,'Early Retirement'!$D$4:$AC$5,2,FALSE),0)</f>
        <v>0</v>
      </c>
      <c r="BU325" s="761">
        <f>IFERROR(INDEX('Early Retirement'!$AE$4:$BE$33,$BO325,$BR325),0)</f>
        <v>0</v>
      </c>
      <c r="BV325" s="759">
        <f>IFERROR(HLOOKUP($BR325,'Early Retirement'!$AF$4:$BE$5,2,FALSE),0)</f>
        <v>0</v>
      </c>
      <c r="BW325" s="479">
        <f t="shared" si="242"/>
        <v>0</v>
      </c>
      <c r="BX325" s="761">
        <f t="shared" si="250"/>
        <v>0</v>
      </c>
      <c r="BY325" s="477" t="s">
        <v>46</v>
      </c>
      <c r="BZ325" s="598">
        <f>IFERROR(INDEX('Early Retirement'!$BG$4:$CG$33,$BO325,$BR325),0)</f>
        <v>0</v>
      </c>
      <c r="CA325" s="759">
        <f>IFERROR(HLOOKUP($BR325,'Early Retirement'!$BH$4:$CH$5,2,FALSE),0)</f>
        <v>0</v>
      </c>
      <c r="CB325" s="598">
        <f t="shared" si="251"/>
        <v>0</v>
      </c>
      <c r="CC325" s="759" t="s">
        <v>567</v>
      </c>
      <c r="CD325" s="477" t="str">
        <f t="shared" si="243"/>
        <v>Yes</v>
      </c>
      <c r="CE325" s="479">
        <f t="shared" si="252"/>
        <v>0</v>
      </c>
      <c r="CF325" s="761">
        <f t="shared" si="253"/>
        <v>0</v>
      </c>
      <c r="CG325" s="759" t="s">
        <v>46</v>
      </c>
      <c r="CH325" s="598">
        <f t="shared" si="258"/>
        <v>0</v>
      </c>
      <c r="CI325" s="759" t="s">
        <v>567</v>
      </c>
      <c r="CJ325" s="480">
        <f t="shared" si="244"/>
        <v>0</v>
      </c>
      <c r="CK325" s="583">
        <f t="shared" si="254"/>
        <v>0</v>
      </c>
      <c r="CL325" s="596" t="s">
        <v>46</v>
      </c>
      <c r="CM325" s="581">
        <f t="shared" si="255"/>
        <v>0</v>
      </c>
      <c r="CN325" s="762" t="s">
        <v>567</v>
      </c>
      <c r="CW325" s="630"/>
      <c r="CX325" s="630"/>
      <c r="CY325" s="630"/>
      <c r="CZ325" s="630"/>
      <c r="DA325" s="630"/>
    </row>
    <row r="326" spans="2:105" s="78" customFormat="1" ht="15" customHeight="1" x14ac:dyDescent="0.25">
      <c r="B326" s="77"/>
      <c r="E326" s="77"/>
      <c r="H326" s="77"/>
      <c r="Y326" s="90">
        <v>73</v>
      </c>
      <c r="Z326" s="559" t="str">
        <f>IF(Inventory!$C82="","",VLOOKUP(Inventory!$C82,$B$7:$C$9,2,FALSE))</f>
        <v/>
      </c>
      <c r="AA326" s="559" t="str">
        <f>IF($Z326="","",IF(AND($Z326="b",Inventory!$G82=""),"",IF(AND($Z326="b",Inventory!$G82&lt;&gt;""),VLOOKUP(Inventory!$G82,$E$3:$F$10,2,FALSE),IF(AND($Z326="a",Inventory!$Z82=""),"",IF(AND($Z326="a",Inventory!$Z82&lt;&gt;""),VLOOKUP(Inventory!$Z82,$E$3:$F$10,2,FALSE),IF(AND($Z326="c",Inventory!$Z82=""),"",IF(AND($Z326="c",Inventory!$Z82&lt;&gt;""),VLOOKUP(Inventory!$Z82,$E$3:$F$10,2,FALSE),"")))))))</f>
        <v/>
      </c>
      <c r="AB326" s="559" t="str">
        <f>IF($Z326="","a",IF(AND($Z326="b",Inventory!$J82=""),"a",IF(AND($Z326="b",Inventory!$J82&lt;&gt;""),VLOOKUP(Inventory!$J82,$H$4:$I$6,2,FALSE),IF(AND($Z326="a",Inventory!$AA82=""),"a",IF(AND($Z326="a",Inventory!$AA82&lt;&gt;""),VLOOKUP(Inventory!$AA82,$H$4:$I$6,2,FALSE),IF(AND($Z326="c",Inventory!$AA82=""),"a",IF(AND($Z326="c",Inventory!$AA82&lt;&gt;""),VLOOKUP(Inventory!$AA82,$H$4:$I$6,2,FALSE),"a")))))))</f>
        <v>a</v>
      </c>
      <c r="AC326" s="559" t="str">
        <f t="shared" si="219"/>
        <v>a</v>
      </c>
      <c r="AD326" s="473" t="str">
        <f>IF($Z326="","a",IF(AND($Z326="b",Inventory!$L82=""),"a",IF(AND($Z326="b",Inventory!$L82&lt;&gt;""),VLOOKUP(Inventory!$L82,$N$4:$O$5,2,FALSE),IF(AND($Z326="a",Inventory!$AC82=""),"a",IF(AND($Z326="a",Inventory!$AC82&lt;&gt;""),VLOOKUP(Inventory!$AC82,$N$4:$O$5,2,FALSE),IF(AND($Z326="c",Inventory!$AC82=""),"a",IF(AND($Z326="c",Inventory!$AC82&lt;&gt;""),VLOOKUP(Inventory!$AC82,$N$4:$O$5,2,FALSE),"a")))))))</f>
        <v>a</v>
      </c>
      <c r="AE326" s="474">
        <f>IF(OR(Inventory!C82="New Construction",Inventory!C82="Replace-on-Burnout"),Inventory!AF82,IF(Inventory!C82="Early Retirement",MIN(Inventory!AE82,Inventory!AF82),0))</f>
        <v>0</v>
      </c>
      <c r="AF326" s="475" t="str">
        <f t="shared" si="220"/>
        <v/>
      </c>
      <c r="AG326" s="475" t="str">
        <f t="shared" si="221"/>
        <v/>
      </c>
      <c r="AH326" s="475" t="str">
        <f t="shared" si="222"/>
        <v/>
      </c>
      <c r="AI326" s="475" t="str">
        <f t="shared" si="223"/>
        <v/>
      </c>
      <c r="AJ326" s="475" t="str">
        <f t="shared" si="224"/>
        <v/>
      </c>
      <c r="AK326" s="475" t="str">
        <f t="shared" si="225"/>
        <v/>
      </c>
      <c r="AL326" s="475" t="str">
        <f t="shared" si="226"/>
        <v/>
      </c>
      <c r="AM326" s="475" t="str">
        <f t="shared" si="227"/>
        <v/>
      </c>
      <c r="AN326" s="475" t="str">
        <f t="shared" si="228"/>
        <v/>
      </c>
      <c r="AO326" s="475" t="str">
        <f t="shared" si="229"/>
        <v/>
      </c>
      <c r="AP326" s="475" t="str">
        <f t="shared" si="230"/>
        <v/>
      </c>
      <c r="AQ326" s="475" t="str">
        <f t="shared" si="231"/>
        <v/>
      </c>
      <c r="AR326" s="475" t="str">
        <f t="shared" si="232"/>
        <v/>
      </c>
      <c r="AS326" s="475" t="str">
        <f t="shared" si="256"/>
        <v/>
      </c>
      <c r="AT326" s="475" t="str">
        <f t="shared" si="233"/>
        <v/>
      </c>
      <c r="AU326" s="475" t="str">
        <f t="shared" si="234"/>
        <v/>
      </c>
      <c r="AV326" s="475" t="str">
        <f t="shared" si="235"/>
        <v/>
      </c>
      <c r="AW326" s="473">
        <f t="shared" si="236"/>
        <v>0</v>
      </c>
      <c r="AX326" s="473" t="str">
        <f>IF(AND($Z326="b",OR($AA326="a",$AA326="b"),Inventory!$I82="",$AE326&lt;(65000/12000)),"x",IF(AND($Z326="b",OR($AA326="a",$AA326="b"),Inventory!$I82&lt;&gt;"",$AE326&lt;(65000/12000)),VLOOKUP(Inventory!$I333,$V$4:$W$5,2,FALSE),"x"))</f>
        <v>x</v>
      </c>
      <c r="AY326" s="476" t="str">
        <f t="shared" si="237"/>
        <v>aaa0</v>
      </c>
      <c r="AZ326" s="477" t="str">
        <f t="shared" si="247"/>
        <v>No</v>
      </c>
      <c r="BA326" s="759" t="str">
        <f t="shared" si="248"/>
        <v>No</v>
      </c>
      <c r="BB326" s="477">
        <f>IF($Z326="c",Inventory!$AB82,Inventory!$K82)</f>
        <v>0</v>
      </c>
      <c r="BC326" s="478">
        <f>IF(AND($Z326="b",Inventory!$N82="Btu/hr"),Inventory!$M82,IF(AND($Z326="b",Inventory!$N82="Tons"),Inventory!$M82*12000,IF(AND($Z326&lt;&gt;"b",Inventory!$AK82="Btu/hr"),Inventory!$AD82,IF(AND($Z326&lt;&gt;"b",Inventory!$AK82="Tons"),Inventory!$AD82*12000,0))))</f>
        <v>0</v>
      </c>
      <c r="BD326" s="478">
        <f t="shared" si="245"/>
        <v>0</v>
      </c>
      <c r="BE326" s="479">
        <f t="shared" si="257"/>
        <v>0</v>
      </c>
      <c r="BF326" s="477" t="s">
        <v>50</v>
      </c>
      <c r="BG326" s="479">
        <f t="shared" si="239"/>
        <v>0</v>
      </c>
      <c r="BH326" s="477" t="s">
        <v>46</v>
      </c>
      <c r="BI326" s="760">
        <f>IF(AND($Z326="b",Inventory!$P82="Btu/hr"),Inventory!$O82,IF(AND($Z326="b",Inventory!$P82="Tons"),Inventory!$O82*12000,IF(AND($Z326&lt;&gt;"b",Inventory!$AM82="Btu/hr"),Inventory!$AL82,IF(AND($Z326&lt;&gt;"b",Inventory!$AM82="Tons"),Inventory!$AL82*12000,0))))</f>
        <v>0</v>
      </c>
      <c r="BJ326" s="760">
        <f t="shared" si="246"/>
        <v>0</v>
      </c>
      <c r="BK326" s="598">
        <f t="shared" si="249"/>
        <v>0</v>
      </c>
      <c r="BL326" s="759" t="s">
        <v>567</v>
      </c>
      <c r="BM326" s="477" t="str">
        <f t="shared" si="240"/>
        <v>No</v>
      </c>
      <c r="BN326" s="477" t="str">
        <f>IF(OR(Inventory!$H82="",$BM326="No"),"-",Inventory!$H82)</f>
        <v>-</v>
      </c>
      <c r="BO326" s="477" t="str">
        <f>IFERROR(VLOOKUP(BN326,'Early Retirement'!$B$6:$C$33,2,FALSE),"-")</f>
        <v>-</v>
      </c>
      <c r="BP326" s="477" t="str">
        <f>IF(Inventory!$J82="Centrifugal","Yes","No")</f>
        <v>No</v>
      </c>
      <c r="BQ326" s="477">
        <f t="shared" si="241"/>
        <v>0</v>
      </c>
      <c r="BR326" s="477" t="str">
        <f t="shared" si="259"/>
        <v>-</v>
      </c>
      <c r="BS326" s="479">
        <f>IFERROR(INDEX('Early Retirement'!$C$4:$AC$33,$BO326,$BR326),0)</f>
        <v>0</v>
      </c>
      <c r="BT326" s="477">
        <f>IFERROR(HLOOKUP($BR326,'Early Retirement'!$D$4:$AC$5,2,FALSE),0)</f>
        <v>0</v>
      </c>
      <c r="BU326" s="761">
        <f>IFERROR(INDEX('Early Retirement'!$AE$4:$BE$33,$BO326,$BR326),0)</f>
        <v>0</v>
      </c>
      <c r="BV326" s="759">
        <f>IFERROR(HLOOKUP($BR326,'Early Retirement'!$AF$4:$BE$5,2,FALSE),0)</f>
        <v>0</v>
      </c>
      <c r="BW326" s="479">
        <f t="shared" si="242"/>
        <v>0</v>
      </c>
      <c r="BX326" s="761">
        <f t="shared" si="250"/>
        <v>0</v>
      </c>
      <c r="BY326" s="477" t="s">
        <v>46</v>
      </c>
      <c r="BZ326" s="598">
        <f>IFERROR(INDEX('Early Retirement'!$BG$4:$CG$33,$BO326,$BR326),0)</f>
        <v>0</v>
      </c>
      <c r="CA326" s="759">
        <f>IFERROR(HLOOKUP($BR326,'Early Retirement'!$BH$4:$CH$5,2,FALSE),0)</f>
        <v>0</v>
      </c>
      <c r="CB326" s="598">
        <f t="shared" si="251"/>
        <v>0</v>
      </c>
      <c r="CC326" s="759" t="s">
        <v>567</v>
      </c>
      <c r="CD326" s="477" t="str">
        <f t="shared" si="243"/>
        <v>Yes</v>
      </c>
      <c r="CE326" s="479">
        <f t="shared" si="252"/>
        <v>0</v>
      </c>
      <c r="CF326" s="761">
        <f t="shared" si="253"/>
        <v>0</v>
      </c>
      <c r="CG326" s="759" t="s">
        <v>46</v>
      </c>
      <c r="CH326" s="598">
        <f t="shared" si="258"/>
        <v>0</v>
      </c>
      <c r="CI326" s="759" t="s">
        <v>567</v>
      </c>
      <c r="CJ326" s="480">
        <f t="shared" si="244"/>
        <v>0</v>
      </c>
      <c r="CK326" s="583">
        <f t="shared" si="254"/>
        <v>0</v>
      </c>
      <c r="CL326" s="596" t="s">
        <v>46</v>
      </c>
      <c r="CM326" s="581">
        <f t="shared" si="255"/>
        <v>0</v>
      </c>
      <c r="CN326" s="762" t="s">
        <v>567</v>
      </c>
      <c r="CW326" s="630"/>
      <c r="CX326" s="630"/>
      <c r="CY326" s="630"/>
      <c r="CZ326" s="630"/>
      <c r="DA326" s="630"/>
    </row>
    <row r="327" spans="2:105" s="78" customFormat="1" ht="15" customHeight="1" x14ac:dyDescent="0.25">
      <c r="B327" s="77"/>
      <c r="E327" s="77"/>
      <c r="H327" s="77"/>
      <c r="Y327" s="90">
        <v>74</v>
      </c>
      <c r="Z327" s="559" t="str">
        <f>IF(Inventory!$C83="","",VLOOKUP(Inventory!$C83,$B$7:$C$9,2,FALSE))</f>
        <v/>
      </c>
      <c r="AA327" s="559" t="str">
        <f>IF($Z327="","",IF(AND($Z327="b",Inventory!$G83=""),"",IF(AND($Z327="b",Inventory!$G83&lt;&gt;""),VLOOKUP(Inventory!$G83,$E$3:$F$10,2,FALSE),IF(AND($Z327="a",Inventory!$Z83=""),"",IF(AND($Z327="a",Inventory!$Z83&lt;&gt;""),VLOOKUP(Inventory!$Z83,$E$3:$F$10,2,FALSE),IF(AND($Z327="c",Inventory!$Z83=""),"",IF(AND($Z327="c",Inventory!$Z83&lt;&gt;""),VLOOKUP(Inventory!$Z83,$E$3:$F$10,2,FALSE),"")))))))</f>
        <v/>
      </c>
      <c r="AB327" s="559" t="str">
        <f>IF($Z327="","a",IF(AND($Z327="b",Inventory!$J83=""),"a",IF(AND($Z327="b",Inventory!$J83&lt;&gt;""),VLOOKUP(Inventory!$J83,$H$4:$I$6,2,FALSE),IF(AND($Z327="a",Inventory!$AA83=""),"a",IF(AND($Z327="a",Inventory!$AA83&lt;&gt;""),VLOOKUP(Inventory!$AA83,$H$4:$I$6,2,FALSE),IF(AND($Z327="c",Inventory!$AA83=""),"a",IF(AND($Z327="c",Inventory!$AA83&lt;&gt;""),VLOOKUP(Inventory!$AA83,$H$4:$I$6,2,FALSE),"a")))))))</f>
        <v>a</v>
      </c>
      <c r="AC327" s="559" t="str">
        <f t="shared" si="219"/>
        <v>a</v>
      </c>
      <c r="AD327" s="473" t="str">
        <f>IF($Z327="","a",IF(AND($Z327="b",Inventory!$L83=""),"a",IF(AND($Z327="b",Inventory!$L83&lt;&gt;""),VLOOKUP(Inventory!$L83,$N$4:$O$5,2,FALSE),IF(AND($Z327="a",Inventory!$AC83=""),"a",IF(AND($Z327="a",Inventory!$AC83&lt;&gt;""),VLOOKUP(Inventory!$AC83,$N$4:$O$5,2,FALSE),IF(AND($Z327="c",Inventory!$AC83=""),"a",IF(AND($Z327="c",Inventory!$AC83&lt;&gt;""),VLOOKUP(Inventory!$AC83,$N$4:$O$5,2,FALSE),"a")))))))</f>
        <v>a</v>
      </c>
      <c r="AE327" s="474">
        <f>IF(OR(Inventory!C83="New Construction",Inventory!C83="Replace-on-Burnout"),Inventory!AF83,IF(Inventory!C83="Early Retirement",MIN(Inventory!AE83,Inventory!AF83),0))</f>
        <v>0</v>
      </c>
      <c r="AF327" s="475" t="str">
        <f t="shared" si="220"/>
        <v/>
      </c>
      <c r="AG327" s="475" t="str">
        <f t="shared" si="221"/>
        <v/>
      </c>
      <c r="AH327" s="475" t="str">
        <f t="shared" si="222"/>
        <v/>
      </c>
      <c r="AI327" s="475" t="str">
        <f t="shared" si="223"/>
        <v/>
      </c>
      <c r="AJ327" s="475" t="str">
        <f t="shared" si="224"/>
        <v/>
      </c>
      <c r="AK327" s="475" t="str">
        <f t="shared" si="225"/>
        <v/>
      </c>
      <c r="AL327" s="475" t="str">
        <f t="shared" si="226"/>
        <v/>
      </c>
      <c r="AM327" s="475" t="str">
        <f t="shared" si="227"/>
        <v/>
      </c>
      <c r="AN327" s="475" t="str">
        <f t="shared" si="228"/>
        <v/>
      </c>
      <c r="AO327" s="475" t="str">
        <f t="shared" si="229"/>
        <v/>
      </c>
      <c r="AP327" s="475" t="str">
        <f t="shared" si="230"/>
        <v/>
      </c>
      <c r="AQ327" s="475" t="str">
        <f t="shared" si="231"/>
        <v/>
      </c>
      <c r="AR327" s="475" t="str">
        <f t="shared" si="232"/>
        <v/>
      </c>
      <c r="AS327" s="475" t="str">
        <f t="shared" si="256"/>
        <v/>
      </c>
      <c r="AT327" s="475" t="str">
        <f t="shared" si="233"/>
        <v/>
      </c>
      <c r="AU327" s="475" t="str">
        <f t="shared" si="234"/>
        <v/>
      </c>
      <c r="AV327" s="475" t="str">
        <f t="shared" si="235"/>
        <v/>
      </c>
      <c r="AW327" s="473">
        <f t="shared" si="236"/>
        <v>0</v>
      </c>
      <c r="AX327" s="473" t="str">
        <f>IF(AND($Z327="b",OR($AA327="a",$AA327="b"),Inventory!$I83="",$AE327&lt;(65000/12000)),"x",IF(AND($Z327="b",OR($AA327="a",$AA327="b"),Inventory!$I83&lt;&gt;"",$AE327&lt;(65000/12000)),VLOOKUP(Inventory!$I334,$V$4:$W$5,2,FALSE),"x"))</f>
        <v>x</v>
      </c>
      <c r="AY327" s="476" t="str">
        <f t="shared" si="237"/>
        <v>aaa0</v>
      </c>
      <c r="AZ327" s="477" t="str">
        <f t="shared" si="247"/>
        <v>No</v>
      </c>
      <c r="BA327" s="759" t="str">
        <f t="shared" si="248"/>
        <v>No</v>
      </c>
      <c r="BB327" s="477">
        <f>IF($Z327="c",Inventory!$AB83,Inventory!$K83)</f>
        <v>0</v>
      </c>
      <c r="BC327" s="478">
        <f>IF(AND($Z327="b",Inventory!$N83="Btu/hr"),Inventory!$M83,IF(AND($Z327="b",Inventory!$N83="Tons"),Inventory!$M83*12000,IF(AND($Z327&lt;&gt;"b",Inventory!$AK83="Btu/hr"),Inventory!$AD83,IF(AND($Z327&lt;&gt;"b",Inventory!$AK83="Tons"),Inventory!$AD83*12000,0))))</f>
        <v>0</v>
      </c>
      <c r="BD327" s="478">
        <f t="shared" si="245"/>
        <v>0</v>
      </c>
      <c r="BE327" s="479">
        <f t="shared" si="257"/>
        <v>0</v>
      </c>
      <c r="BF327" s="477" t="s">
        <v>50</v>
      </c>
      <c r="BG327" s="479">
        <f t="shared" si="239"/>
        <v>0</v>
      </c>
      <c r="BH327" s="477" t="s">
        <v>46</v>
      </c>
      <c r="BI327" s="760">
        <f>IF(AND($Z327="b",Inventory!$P83="Btu/hr"),Inventory!$O83,IF(AND($Z327="b",Inventory!$P83="Tons"),Inventory!$O83*12000,IF(AND($Z327&lt;&gt;"b",Inventory!$AM83="Btu/hr"),Inventory!$AL83,IF(AND($Z327&lt;&gt;"b",Inventory!$AM83="Tons"),Inventory!$AL83*12000,0))))</f>
        <v>0</v>
      </c>
      <c r="BJ327" s="760">
        <f t="shared" si="246"/>
        <v>0</v>
      </c>
      <c r="BK327" s="598">
        <f t="shared" si="249"/>
        <v>0</v>
      </c>
      <c r="BL327" s="759" t="s">
        <v>567</v>
      </c>
      <c r="BM327" s="477" t="str">
        <f t="shared" si="240"/>
        <v>No</v>
      </c>
      <c r="BN327" s="477" t="str">
        <f>IF(OR(Inventory!$H83="",$BM327="No"),"-",Inventory!$H83)</f>
        <v>-</v>
      </c>
      <c r="BO327" s="477" t="str">
        <f>IFERROR(VLOOKUP(BN327,'Early Retirement'!$B$6:$C$33,2,FALSE),"-")</f>
        <v>-</v>
      </c>
      <c r="BP327" s="477" t="str">
        <f>IF(Inventory!$J83="Centrifugal","Yes","No")</f>
        <v>No</v>
      </c>
      <c r="BQ327" s="477">
        <f t="shared" si="241"/>
        <v>0</v>
      </c>
      <c r="BR327" s="477" t="str">
        <f t="shared" si="259"/>
        <v>-</v>
      </c>
      <c r="BS327" s="479">
        <f>IFERROR(INDEX('Early Retirement'!$C$4:$AC$33,$BO327,$BR327),0)</f>
        <v>0</v>
      </c>
      <c r="BT327" s="477">
        <f>IFERROR(HLOOKUP($BR327,'Early Retirement'!$D$4:$AC$5,2,FALSE),0)</f>
        <v>0</v>
      </c>
      <c r="BU327" s="761">
        <f>IFERROR(INDEX('Early Retirement'!$AE$4:$BE$33,$BO327,$BR327),0)</f>
        <v>0</v>
      </c>
      <c r="BV327" s="759">
        <f>IFERROR(HLOOKUP($BR327,'Early Retirement'!$AF$4:$BE$5,2,FALSE),0)</f>
        <v>0</v>
      </c>
      <c r="BW327" s="479">
        <f t="shared" si="242"/>
        <v>0</v>
      </c>
      <c r="BX327" s="761">
        <f t="shared" si="250"/>
        <v>0</v>
      </c>
      <c r="BY327" s="477" t="s">
        <v>46</v>
      </c>
      <c r="BZ327" s="598">
        <f>IFERROR(INDEX('Early Retirement'!$BG$4:$CG$33,$BO327,$BR327),0)</f>
        <v>0</v>
      </c>
      <c r="CA327" s="759">
        <f>IFERROR(HLOOKUP($BR327,'Early Retirement'!$BH$4:$CH$5,2,FALSE),0)</f>
        <v>0</v>
      </c>
      <c r="CB327" s="598">
        <f t="shared" si="251"/>
        <v>0</v>
      </c>
      <c r="CC327" s="759" t="s">
        <v>567</v>
      </c>
      <c r="CD327" s="477" t="str">
        <f t="shared" si="243"/>
        <v>Yes</v>
      </c>
      <c r="CE327" s="479">
        <f t="shared" si="252"/>
        <v>0</v>
      </c>
      <c r="CF327" s="761">
        <f t="shared" si="253"/>
        <v>0</v>
      </c>
      <c r="CG327" s="759" t="s">
        <v>46</v>
      </c>
      <c r="CH327" s="598">
        <f t="shared" si="258"/>
        <v>0</v>
      </c>
      <c r="CI327" s="759" t="s">
        <v>567</v>
      </c>
      <c r="CJ327" s="480">
        <f t="shared" si="244"/>
        <v>0</v>
      </c>
      <c r="CK327" s="583">
        <f t="shared" si="254"/>
        <v>0</v>
      </c>
      <c r="CL327" s="596" t="s">
        <v>46</v>
      </c>
      <c r="CM327" s="581">
        <f t="shared" si="255"/>
        <v>0</v>
      </c>
      <c r="CN327" s="762" t="s">
        <v>567</v>
      </c>
      <c r="CW327" s="630"/>
      <c r="CX327" s="630"/>
      <c r="CY327" s="630"/>
      <c r="CZ327" s="630"/>
      <c r="DA327" s="630"/>
    </row>
    <row r="328" spans="2:105" s="78" customFormat="1" ht="15" customHeight="1" x14ac:dyDescent="0.25">
      <c r="B328" s="77"/>
      <c r="E328" s="77"/>
      <c r="H328" s="77"/>
      <c r="Y328" s="90">
        <v>75</v>
      </c>
      <c r="Z328" s="559" t="str">
        <f>IF(Inventory!$C84="","",VLOOKUP(Inventory!$C84,$B$7:$C$9,2,FALSE))</f>
        <v/>
      </c>
      <c r="AA328" s="559" t="str">
        <f>IF($Z328="","",IF(AND($Z328="b",Inventory!$G84=""),"",IF(AND($Z328="b",Inventory!$G84&lt;&gt;""),VLOOKUP(Inventory!$G84,$E$3:$F$10,2,FALSE),IF(AND($Z328="a",Inventory!$Z84=""),"",IF(AND($Z328="a",Inventory!$Z84&lt;&gt;""),VLOOKUP(Inventory!$Z84,$E$3:$F$10,2,FALSE),IF(AND($Z328="c",Inventory!$Z84=""),"",IF(AND($Z328="c",Inventory!$Z84&lt;&gt;""),VLOOKUP(Inventory!$Z84,$E$3:$F$10,2,FALSE),"")))))))</f>
        <v/>
      </c>
      <c r="AB328" s="559" t="str">
        <f>IF($Z328="","a",IF(AND($Z328="b",Inventory!$J84=""),"a",IF(AND($Z328="b",Inventory!$J84&lt;&gt;""),VLOOKUP(Inventory!$J84,$H$4:$I$6,2,FALSE),IF(AND($Z328="a",Inventory!$AA84=""),"a",IF(AND($Z328="a",Inventory!$AA84&lt;&gt;""),VLOOKUP(Inventory!$AA84,$H$4:$I$6,2,FALSE),IF(AND($Z328="c",Inventory!$AA84=""),"a",IF(AND($Z328="c",Inventory!$AA84&lt;&gt;""),VLOOKUP(Inventory!$AA84,$H$4:$I$6,2,FALSE),"a")))))))</f>
        <v>a</v>
      </c>
      <c r="AC328" s="559" t="str">
        <f t="shared" si="219"/>
        <v>a</v>
      </c>
      <c r="AD328" s="473" t="str">
        <f>IF($Z328="","a",IF(AND($Z328="b",Inventory!$L84=""),"a",IF(AND($Z328="b",Inventory!$L84&lt;&gt;""),VLOOKUP(Inventory!$L84,$N$4:$O$5,2,FALSE),IF(AND($Z328="a",Inventory!$AC84=""),"a",IF(AND($Z328="a",Inventory!$AC84&lt;&gt;""),VLOOKUP(Inventory!$AC84,$N$4:$O$5,2,FALSE),IF(AND($Z328="c",Inventory!$AC84=""),"a",IF(AND($Z328="c",Inventory!$AC84&lt;&gt;""),VLOOKUP(Inventory!$AC84,$N$4:$O$5,2,FALSE),"a")))))))</f>
        <v>a</v>
      </c>
      <c r="AE328" s="474">
        <f>IF(OR(Inventory!C84="New Construction",Inventory!C84="Replace-on-Burnout"),Inventory!AF84,IF(Inventory!C84="Early Retirement",MIN(Inventory!AE84,Inventory!AF84),0))</f>
        <v>0</v>
      </c>
      <c r="AF328" s="475" t="str">
        <f t="shared" si="220"/>
        <v/>
      </c>
      <c r="AG328" s="475" t="str">
        <f t="shared" si="221"/>
        <v/>
      </c>
      <c r="AH328" s="475" t="str">
        <f t="shared" si="222"/>
        <v/>
      </c>
      <c r="AI328" s="475" t="str">
        <f t="shared" si="223"/>
        <v/>
      </c>
      <c r="AJ328" s="475" t="str">
        <f t="shared" si="224"/>
        <v/>
      </c>
      <c r="AK328" s="475" t="str">
        <f t="shared" si="225"/>
        <v/>
      </c>
      <c r="AL328" s="475" t="str">
        <f t="shared" si="226"/>
        <v/>
      </c>
      <c r="AM328" s="475" t="str">
        <f t="shared" si="227"/>
        <v/>
      </c>
      <c r="AN328" s="475" t="str">
        <f t="shared" si="228"/>
        <v/>
      </c>
      <c r="AO328" s="475" t="str">
        <f t="shared" si="229"/>
        <v/>
      </c>
      <c r="AP328" s="475" t="str">
        <f t="shared" si="230"/>
        <v/>
      </c>
      <c r="AQ328" s="475" t="str">
        <f t="shared" si="231"/>
        <v/>
      </c>
      <c r="AR328" s="475" t="str">
        <f t="shared" si="232"/>
        <v/>
      </c>
      <c r="AS328" s="475" t="str">
        <f t="shared" si="256"/>
        <v/>
      </c>
      <c r="AT328" s="475" t="str">
        <f t="shared" si="233"/>
        <v/>
      </c>
      <c r="AU328" s="475" t="str">
        <f t="shared" si="234"/>
        <v/>
      </c>
      <c r="AV328" s="475" t="str">
        <f t="shared" si="235"/>
        <v/>
      </c>
      <c r="AW328" s="473">
        <f t="shared" si="236"/>
        <v>0</v>
      </c>
      <c r="AX328" s="473" t="str">
        <f>IF(AND($Z328="b",OR($AA328="a",$AA328="b"),Inventory!$I84="",$AE328&lt;(65000/12000)),"x",IF(AND($Z328="b",OR($AA328="a",$AA328="b"),Inventory!$I84&lt;&gt;"",$AE328&lt;(65000/12000)),VLOOKUP(Inventory!$I335,$V$4:$W$5,2,FALSE),"x"))</f>
        <v>x</v>
      </c>
      <c r="AY328" s="476" t="str">
        <f t="shared" si="237"/>
        <v>aaa0</v>
      </c>
      <c r="AZ328" s="477" t="str">
        <f t="shared" si="247"/>
        <v>No</v>
      </c>
      <c r="BA328" s="759" t="str">
        <f t="shared" si="248"/>
        <v>No</v>
      </c>
      <c r="BB328" s="477">
        <f>IF($Z328="c",Inventory!$AB84,Inventory!$K84)</f>
        <v>0</v>
      </c>
      <c r="BC328" s="478">
        <f>IF(AND($Z328="b",Inventory!$N84="Btu/hr"),Inventory!$M84,IF(AND($Z328="b",Inventory!$N84="Tons"),Inventory!$M84*12000,IF(AND($Z328&lt;&gt;"b",Inventory!$AK84="Btu/hr"),Inventory!$AD84,IF(AND($Z328&lt;&gt;"b",Inventory!$AK84="Tons"),Inventory!$AD84*12000,0))))</f>
        <v>0</v>
      </c>
      <c r="BD328" s="478">
        <f t="shared" si="245"/>
        <v>0</v>
      </c>
      <c r="BE328" s="479">
        <f t="shared" si="257"/>
        <v>0</v>
      </c>
      <c r="BF328" s="477" t="s">
        <v>50</v>
      </c>
      <c r="BG328" s="479">
        <f t="shared" si="239"/>
        <v>0</v>
      </c>
      <c r="BH328" s="477" t="s">
        <v>46</v>
      </c>
      <c r="BI328" s="760">
        <f>IF(AND($Z328="b",Inventory!$P84="Btu/hr"),Inventory!$O84,IF(AND($Z328="b",Inventory!$P84="Tons"),Inventory!$O84*12000,IF(AND($Z328&lt;&gt;"b",Inventory!$AM84="Btu/hr"),Inventory!$AL84,IF(AND($Z328&lt;&gt;"b",Inventory!$AM84="Tons"),Inventory!$AL84*12000,0))))</f>
        <v>0</v>
      </c>
      <c r="BJ328" s="760">
        <f t="shared" si="246"/>
        <v>0</v>
      </c>
      <c r="BK328" s="598">
        <f t="shared" si="249"/>
        <v>0</v>
      </c>
      <c r="BL328" s="759" t="s">
        <v>567</v>
      </c>
      <c r="BM328" s="477" t="str">
        <f t="shared" si="240"/>
        <v>No</v>
      </c>
      <c r="BN328" s="477" t="str">
        <f>IF(OR(Inventory!$H84="",$BM328="No"),"-",Inventory!$H84)</f>
        <v>-</v>
      </c>
      <c r="BO328" s="477" t="str">
        <f>IFERROR(VLOOKUP(BN328,'Early Retirement'!$B$6:$C$33,2,FALSE),"-")</f>
        <v>-</v>
      </c>
      <c r="BP328" s="477" t="str">
        <f>IF(Inventory!$J84="Centrifugal","Yes","No")</f>
        <v>No</v>
      </c>
      <c r="BQ328" s="477">
        <f t="shared" si="241"/>
        <v>0</v>
      </c>
      <c r="BR328" s="477" t="str">
        <f t="shared" si="259"/>
        <v>-</v>
      </c>
      <c r="BS328" s="479">
        <f>IFERROR(INDEX('Early Retirement'!$C$4:$AC$33,$BO328,$BR328),0)</f>
        <v>0</v>
      </c>
      <c r="BT328" s="477">
        <f>IFERROR(HLOOKUP($BR328,'Early Retirement'!$D$4:$AC$5,2,FALSE),0)</f>
        <v>0</v>
      </c>
      <c r="BU328" s="761">
        <f>IFERROR(INDEX('Early Retirement'!$AE$4:$BE$33,$BO328,$BR328),0)</f>
        <v>0</v>
      </c>
      <c r="BV328" s="759">
        <f>IFERROR(HLOOKUP($BR328,'Early Retirement'!$AF$4:$BE$5,2,FALSE),0)</f>
        <v>0</v>
      </c>
      <c r="BW328" s="479">
        <f t="shared" si="242"/>
        <v>0</v>
      </c>
      <c r="BX328" s="761">
        <f t="shared" si="250"/>
        <v>0</v>
      </c>
      <c r="BY328" s="477" t="s">
        <v>46</v>
      </c>
      <c r="BZ328" s="598">
        <f>IFERROR(INDEX('Early Retirement'!$BG$4:$CG$33,$BO328,$BR328),0)</f>
        <v>0</v>
      </c>
      <c r="CA328" s="759">
        <f>IFERROR(HLOOKUP($BR328,'Early Retirement'!$BH$4:$CH$5,2,FALSE),0)</f>
        <v>0</v>
      </c>
      <c r="CB328" s="598">
        <f t="shared" si="251"/>
        <v>0</v>
      </c>
      <c r="CC328" s="759" t="s">
        <v>567</v>
      </c>
      <c r="CD328" s="477" t="str">
        <f t="shared" si="243"/>
        <v>Yes</v>
      </c>
      <c r="CE328" s="479">
        <f t="shared" si="252"/>
        <v>0</v>
      </c>
      <c r="CF328" s="761">
        <f t="shared" si="253"/>
        <v>0</v>
      </c>
      <c r="CG328" s="759" t="s">
        <v>46</v>
      </c>
      <c r="CH328" s="598">
        <f t="shared" si="258"/>
        <v>0</v>
      </c>
      <c r="CI328" s="759" t="s">
        <v>567</v>
      </c>
      <c r="CJ328" s="480">
        <f t="shared" si="244"/>
        <v>0</v>
      </c>
      <c r="CK328" s="583">
        <f t="shared" si="254"/>
        <v>0</v>
      </c>
      <c r="CL328" s="596" t="s">
        <v>46</v>
      </c>
      <c r="CM328" s="581">
        <f t="shared" si="255"/>
        <v>0</v>
      </c>
      <c r="CN328" s="762" t="s">
        <v>567</v>
      </c>
      <c r="CW328" s="630"/>
      <c r="CX328" s="630"/>
      <c r="CY328" s="630"/>
      <c r="CZ328" s="630"/>
      <c r="DA328" s="630"/>
    </row>
    <row r="329" spans="2:105" s="78" customFormat="1" ht="15" customHeight="1" x14ac:dyDescent="0.25">
      <c r="B329" s="77"/>
      <c r="E329" s="77"/>
      <c r="H329" s="77"/>
      <c r="Y329" s="90">
        <v>76</v>
      </c>
      <c r="Z329" s="559" t="str">
        <f>IF(Inventory!$C85="","",VLOOKUP(Inventory!$C85,$B$7:$C$9,2,FALSE))</f>
        <v/>
      </c>
      <c r="AA329" s="559" t="str">
        <f>IF($Z329="","",IF(AND($Z329="b",Inventory!$G85=""),"",IF(AND($Z329="b",Inventory!$G85&lt;&gt;""),VLOOKUP(Inventory!$G85,$E$3:$F$10,2,FALSE),IF(AND($Z329="a",Inventory!$Z85=""),"",IF(AND($Z329="a",Inventory!$Z85&lt;&gt;""),VLOOKUP(Inventory!$Z85,$E$3:$F$10,2,FALSE),IF(AND($Z329="c",Inventory!$Z85=""),"",IF(AND($Z329="c",Inventory!$Z85&lt;&gt;""),VLOOKUP(Inventory!$Z85,$E$3:$F$10,2,FALSE),"")))))))</f>
        <v/>
      </c>
      <c r="AB329" s="559" t="str">
        <f>IF($Z329="","a",IF(AND($Z329="b",Inventory!$J85=""),"a",IF(AND($Z329="b",Inventory!$J85&lt;&gt;""),VLOOKUP(Inventory!$J85,$H$4:$I$6,2,FALSE),IF(AND($Z329="a",Inventory!$AA85=""),"a",IF(AND($Z329="a",Inventory!$AA85&lt;&gt;""),VLOOKUP(Inventory!$AA85,$H$4:$I$6,2,FALSE),IF(AND($Z329="c",Inventory!$AA85=""),"a",IF(AND($Z329="c",Inventory!$AA85&lt;&gt;""),VLOOKUP(Inventory!$AA85,$H$4:$I$6,2,FALSE),"a")))))))</f>
        <v>a</v>
      </c>
      <c r="AC329" s="559" t="str">
        <f t="shared" si="219"/>
        <v>a</v>
      </c>
      <c r="AD329" s="473" t="str">
        <f>IF($Z329="","a",IF(AND($Z329="b",Inventory!$L85=""),"a",IF(AND($Z329="b",Inventory!$L85&lt;&gt;""),VLOOKUP(Inventory!$L85,$N$4:$O$5,2,FALSE),IF(AND($Z329="a",Inventory!$AC85=""),"a",IF(AND($Z329="a",Inventory!$AC85&lt;&gt;""),VLOOKUP(Inventory!$AC85,$N$4:$O$5,2,FALSE),IF(AND($Z329="c",Inventory!$AC85=""),"a",IF(AND($Z329="c",Inventory!$AC85&lt;&gt;""),VLOOKUP(Inventory!$AC85,$N$4:$O$5,2,FALSE),"a")))))))</f>
        <v>a</v>
      </c>
      <c r="AE329" s="474">
        <f>IF(OR(Inventory!C85="New Construction",Inventory!C85="Replace-on-Burnout"),Inventory!AF85,IF(Inventory!C85="Early Retirement",MIN(Inventory!AE85,Inventory!AF85),0))</f>
        <v>0</v>
      </c>
      <c r="AF329" s="475" t="str">
        <f t="shared" si="220"/>
        <v/>
      </c>
      <c r="AG329" s="475" t="str">
        <f t="shared" si="221"/>
        <v/>
      </c>
      <c r="AH329" s="475" t="str">
        <f t="shared" si="222"/>
        <v/>
      </c>
      <c r="AI329" s="475" t="str">
        <f t="shared" si="223"/>
        <v/>
      </c>
      <c r="AJ329" s="475" t="str">
        <f t="shared" si="224"/>
        <v/>
      </c>
      <c r="AK329" s="475" t="str">
        <f t="shared" si="225"/>
        <v/>
      </c>
      <c r="AL329" s="475" t="str">
        <f t="shared" si="226"/>
        <v/>
      </c>
      <c r="AM329" s="475" t="str">
        <f t="shared" si="227"/>
        <v/>
      </c>
      <c r="AN329" s="475" t="str">
        <f t="shared" si="228"/>
        <v/>
      </c>
      <c r="AO329" s="475" t="str">
        <f t="shared" si="229"/>
        <v/>
      </c>
      <c r="AP329" s="475" t="str">
        <f t="shared" si="230"/>
        <v/>
      </c>
      <c r="AQ329" s="475" t="str">
        <f t="shared" si="231"/>
        <v/>
      </c>
      <c r="AR329" s="475" t="str">
        <f t="shared" si="232"/>
        <v/>
      </c>
      <c r="AS329" s="475" t="str">
        <f t="shared" si="256"/>
        <v/>
      </c>
      <c r="AT329" s="475" t="str">
        <f t="shared" si="233"/>
        <v/>
      </c>
      <c r="AU329" s="475" t="str">
        <f t="shared" si="234"/>
        <v/>
      </c>
      <c r="AV329" s="475" t="str">
        <f t="shared" si="235"/>
        <v/>
      </c>
      <c r="AW329" s="473">
        <f t="shared" si="236"/>
        <v>0</v>
      </c>
      <c r="AX329" s="473" t="str">
        <f>IF(AND($Z329="b",OR($AA329="a",$AA329="b"),Inventory!$I85="",$AE329&lt;(65000/12000)),"x",IF(AND($Z329="b",OR($AA329="a",$AA329="b"),Inventory!$I85&lt;&gt;"",$AE329&lt;(65000/12000)),VLOOKUP(Inventory!$I336,$V$4:$W$5,2,FALSE),"x"))</f>
        <v>x</v>
      </c>
      <c r="AY329" s="476" t="str">
        <f t="shared" si="237"/>
        <v>aaa0</v>
      </c>
      <c r="AZ329" s="477" t="str">
        <f t="shared" si="247"/>
        <v>No</v>
      </c>
      <c r="BA329" s="759" t="str">
        <f t="shared" si="248"/>
        <v>No</v>
      </c>
      <c r="BB329" s="477">
        <f>IF($Z329="c",Inventory!$AB85,Inventory!$K85)</f>
        <v>0</v>
      </c>
      <c r="BC329" s="478">
        <f>IF(AND($Z329="b",Inventory!$N85="Btu/hr"),Inventory!$M85,IF(AND($Z329="b",Inventory!$N85="Tons"),Inventory!$M85*12000,IF(AND($Z329&lt;&gt;"b",Inventory!$AK85="Btu/hr"),Inventory!$AD85,IF(AND($Z329&lt;&gt;"b",Inventory!$AK85="Tons"),Inventory!$AD85*12000,0))))</f>
        <v>0</v>
      </c>
      <c r="BD329" s="478">
        <f t="shared" si="245"/>
        <v>0</v>
      </c>
      <c r="BE329" s="479">
        <f t="shared" si="257"/>
        <v>0</v>
      </c>
      <c r="BF329" s="477" t="s">
        <v>50</v>
      </c>
      <c r="BG329" s="479">
        <f t="shared" si="239"/>
        <v>0</v>
      </c>
      <c r="BH329" s="477" t="s">
        <v>46</v>
      </c>
      <c r="BI329" s="760">
        <f>IF(AND($Z329="b",Inventory!$P85="Btu/hr"),Inventory!$O85,IF(AND($Z329="b",Inventory!$P85="Tons"),Inventory!$O85*12000,IF(AND($Z329&lt;&gt;"b",Inventory!$AM85="Btu/hr"),Inventory!$AL85,IF(AND($Z329&lt;&gt;"b",Inventory!$AM85="Tons"),Inventory!$AL85*12000,0))))</f>
        <v>0</v>
      </c>
      <c r="BJ329" s="760">
        <f t="shared" si="246"/>
        <v>0</v>
      </c>
      <c r="BK329" s="598">
        <f t="shared" si="249"/>
        <v>0</v>
      </c>
      <c r="BL329" s="759" t="s">
        <v>567</v>
      </c>
      <c r="BM329" s="477" t="str">
        <f t="shared" si="240"/>
        <v>No</v>
      </c>
      <c r="BN329" s="477" t="str">
        <f>IF(OR(Inventory!$H85="",$BM329="No"),"-",Inventory!$H85)</f>
        <v>-</v>
      </c>
      <c r="BO329" s="477" t="str">
        <f>IFERROR(VLOOKUP(BN329,'Early Retirement'!$B$6:$C$33,2,FALSE),"-")</f>
        <v>-</v>
      </c>
      <c r="BP329" s="477" t="str">
        <f>IF(Inventory!$J85="Centrifugal","Yes","No")</f>
        <v>No</v>
      </c>
      <c r="BQ329" s="477">
        <f t="shared" si="241"/>
        <v>0</v>
      </c>
      <c r="BR329" s="477" t="str">
        <f t="shared" si="259"/>
        <v>-</v>
      </c>
      <c r="BS329" s="479">
        <f>IFERROR(INDEX('Early Retirement'!$C$4:$AC$33,$BO329,$BR329),0)</f>
        <v>0</v>
      </c>
      <c r="BT329" s="477">
        <f>IFERROR(HLOOKUP($BR329,'Early Retirement'!$D$4:$AC$5,2,FALSE),0)</f>
        <v>0</v>
      </c>
      <c r="BU329" s="761">
        <f>IFERROR(INDEX('Early Retirement'!$AE$4:$BE$33,$BO329,$BR329),0)</f>
        <v>0</v>
      </c>
      <c r="BV329" s="759">
        <f>IFERROR(HLOOKUP($BR329,'Early Retirement'!$AF$4:$BE$5,2,FALSE),0)</f>
        <v>0</v>
      </c>
      <c r="BW329" s="479">
        <f t="shared" si="242"/>
        <v>0</v>
      </c>
      <c r="BX329" s="761">
        <f t="shared" si="250"/>
        <v>0</v>
      </c>
      <c r="BY329" s="477" t="s">
        <v>46</v>
      </c>
      <c r="BZ329" s="598">
        <f>IFERROR(INDEX('Early Retirement'!$BG$4:$CG$33,$BO329,$BR329),0)</f>
        <v>0</v>
      </c>
      <c r="CA329" s="759">
        <f>IFERROR(HLOOKUP($BR329,'Early Retirement'!$BH$4:$CH$5,2,FALSE),0)</f>
        <v>0</v>
      </c>
      <c r="CB329" s="598">
        <f t="shared" si="251"/>
        <v>0</v>
      </c>
      <c r="CC329" s="759" t="s">
        <v>567</v>
      </c>
      <c r="CD329" s="477" t="str">
        <f t="shared" si="243"/>
        <v>Yes</v>
      </c>
      <c r="CE329" s="479">
        <f t="shared" si="252"/>
        <v>0</v>
      </c>
      <c r="CF329" s="761">
        <f t="shared" si="253"/>
        <v>0</v>
      </c>
      <c r="CG329" s="759" t="s">
        <v>46</v>
      </c>
      <c r="CH329" s="598">
        <f t="shared" si="258"/>
        <v>0</v>
      </c>
      <c r="CI329" s="759" t="s">
        <v>567</v>
      </c>
      <c r="CJ329" s="480">
        <f t="shared" si="244"/>
        <v>0</v>
      </c>
      <c r="CK329" s="583">
        <f t="shared" si="254"/>
        <v>0</v>
      </c>
      <c r="CL329" s="596" t="s">
        <v>46</v>
      </c>
      <c r="CM329" s="581">
        <f t="shared" si="255"/>
        <v>0</v>
      </c>
      <c r="CN329" s="762" t="s">
        <v>567</v>
      </c>
      <c r="CW329" s="630"/>
      <c r="CX329" s="630"/>
      <c r="CY329" s="630"/>
      <c r="CZ329" s="630"/>
      <c r="DA329" s="630"/>
    </row>
    <row r="330" spans="2:105" s="78" customFormat="1" ht="15" customHeight="1" x14ac:dyDescent="0.25">
      <c r="B330" s="77"/>
      <c r="E330" s="77"/>
      <c r="H330" s="77"/>
      <c r="Y330" s="90">
        <v>77</v>
      </c>
      <c r="Z330" s="559" t="str">
        <f>IF(Inventory!$C86="","",VLOOKUP(Inventory!$C86,$B$7:$C$9,2,FALSE))</f>
        <v/>
      </c>
      <c r="AA330" s="559" t="str">
        <f>IF($Z330="","",IF(AND($Z330="b",Inventory!$G86=""),"",IF(AND($Z330="b",Inventory!$G86&lt;&gt;""),VLOOKUP(Inventory!$G86,$E$3:$F$10,2,FALSE),IF(AND($Z330="a",Inventory!$Z86=""),"",IF(AND($Z330="a",Inventory!$Z86&lt;&gt;""),VLOOKUP(Inventory!$Z86,$E$3:$F$10,2,FALSE),IF(AND($Z330="c",Inventory!$Z86=""),"",IF(AND($Z330="c",Inventory!$Z86&lt;&gt;""),VLOOKUP(Inventory!$Z86,$E$3:$F$10,2,FALSE),"")))))))</f>
        <v/>
      </c>
      <c r="AB330" s="559" t="str">
        <f>IF($Z330="","a",IF(AND($Z330="b",Inventory!$J86=""),"a",IF(AND($Z330="b",Inventory!$J86&lt;&gt;""),VLOOKUP(Inventory!$J86,$H$4:$I$6,2,FALSE),IF(AND($Z330="a",Inventory!$AA86=""),"a",IF(AND($Z330="a",Inventory!$AA86&lt;&gt;""),VLOOKUP(Inventory!$AA86,$H$4:$I$6,2,FALSE),IF(AND($Z330="c",Inventory!$AA86=""),"a",IF(AND($Z330="c",Inventory!$AA86&lt;&gt;""),VLOOKUP(Inventory!$AA86,$H$4:$I$6,2,FALSE),"a")))))))</f>
        <v>a</v>
      </c>
      <c r="AC330" s="559" t="str">
        <f t="shared" si="219"/>
        <v>a</v>
      </c>
      <c r="AD330" s="473" t="str">
        <f>IF($Z330="","a",IF(AND($Z330="b",Inventory!$L86=""),"a",IF(AND($Z330="b",Inventory!$L86&lt;&gt;""),VLOOKUP(Inventory!$L86,$N$4:$O$5,2,FALSE),IF(AND($Z330="a",Inventory!$AC86=""),"a",IF(AND($Z330="a",Inventory!$AC86&lt;&gt;""),VLOOKUP(Inventory!$AC86,$N$4:$O$5,2,FALSE),IF(AND($Z330="c",Inventory!$AC86=""),"a",IF(AND($Z330="c",Inventory!$AC86&lt;&gt;""),VLOOKUP(Inventory!$AC86,$N$4:$O$5,2,FALSE),"a")))))))</f>
        <v>a</v>
      </c>
      <c r="AE330" s="474">
        <f>IF(OR(Inventory!C86="New Construction",Inventory!C86="Replace-on-Burnout"),Inventory!AF86,IF(Inventory!C86="Early Retirement",MIN(Inventory!AE86,Inventory!AF86),0))</f>
        <v>0</v>
      </c>
      <c r="AF330" s="475" t="str">
        <f t="shared" si="220"/>
        <v/>
      </c>
      <c r="AG330" s="475" t="str">
        <f t="shared" si="221"/>
        <v/>
      </c>
      <c r="AH330" s="475" t="str">
        <f t="shared" si="222"/>
        <v/>
      </c>
      <c r="AI330" s="475" t="str">
        <f t="shared" si="223"/>
        <v/>
      </c>
      <c r="AJ330" s="475" t="str">
        <f t="shared" si="224"/>
        <v/>
      </c>
      <c r="AK330" s="475" t="str">
        <f t="shared" si="225"/>
        <v/>
      </c>
      <c r="AL330" s="475" t="str">
        <f t="shared" si="226"/>
        <v/>
      </c>
      <c r="AM330" s="475" t="str">
        <f t="shared" si="227"/>
        <v/>
      </c>
      <c r="AN330" s="475" t="str">
        <f t="shared" si="228"/>
        <v/>
      </c>
      <c r="AO330" s="475" t="str">
        <f t="shared" si="229"/>
        <v/>
      </c>
      <c r="AP330" s="475" t="str">
        <f t="shared" si="230"/>
        <v/>
      </c>
      <c r="AQ330" s="475" t="str">
        <f t="shared" si="231"/>
        <v/>
      </c>
      <c r="AR330" s="475" t="str">
        <f t="shared" si="232"/>
        <v/>
      </c>
      <c r="AS330" s="475" t="str">
        <f t="shared" si="256"/>
        <v/>
      </c>
      <c r="AT330" s="475" t="str">
        <f t="shared" si="233"/>
        <v/>
      </c>
      <c r="AU330" s="475" t="str">
        <f t="shared" si="234"/>
        <v/>
      </c>
      <c r="AV330" s="475" t="str">
        <f t="shared" si="235"/>
        <v/>
      </c>
      <c r="AW330" s="473">
        <f t="shared" si="236"/>
        <v>0</v>
      </c>
      <c r="AX330" s="473" t="str">
        <f>IF(AND($Z330="b",OR($AA330="a",$AA330="b"),Inventory!$I86="",$AE330&lt;(65000/12000)),"x",IF(AND($Z330="b",OR($AA330="a",$AA330="b"),Inventory!$I86&lt;&gt;"",$AE330&lt;(65000/12000)),VLOOKUP(Inventory!$I337,$V$4:$W$5,2,FALSE),"x"))</f>
        <v>x</v>
      </c>
      <c r="AY330" s="476" t="str">
        <f t="shared" si="237"/>
        <v>aaa0</v>
      </c>
      <c r="AZ330" s="477" t="str">
        <f t="shared" si="247"/>
        <v>No</v>
      </c>
      <c r="BA330" s="759" t="str">
        <f t="shared" si="248"/>
        <v>No</v>
      </c>
      <c r="BB330" s="477">
        <f>IF($Z330="c",Inventory!$AB86,Inventory!$K86)</f>
        <v>0</v>
      </c>
      <c r="BC330" s="478">
        <f>IF(AND($Z330="b",Inventory!$N86="Btu/hr"),Inventory!$M86,IF(AND($Z330="b",Inventory!$N86="Tons"),Inventory!$M86*12000,IF(AND($Z330&lt;&gt;"b",Inventory!$AK86="Btu/hr"),Inventory!$AD86,IF(AND($Z330&lt;&gt;"b",Inventory!$AK86="Tons"),Inventory!$AD86*12000,0))))</f>
        <v>0</v>
      </c>
      <c r="BD330" s="478">
        <f t="shared" si="245"/>
        <v>0</v>
      </c>
      <c r="BE330" s="479">
        <f t="shared" si="257"/>
        <v>0</v>
      </c>
      <c r="BF330" s="477" t="s">
        <v>50</v>
      </c>
      <c r="BG330" s="479">
        <f t="shared" si="239"/>
        <v>0</v>
      </c>
      <c r="BH330" s="477" t="s">
        <v>46</v>
      </c>
      <c r="BI330" s="760">
        <f>IF(AND($Z330="b",Inventory!$P86="Btu/hr"),Inventory!$O86,IF(AND($Z330="b",Inventory!$P86="Tons"),Inventory!$O86*12000,IF(AND($Z330&lt;&gt;"b",Inventory!$AM86="Btu/hr"),Inventory!$AL86,IF(AND($Z330&lt;&gt;"b",Inventory!$AM86="Tons"),Inventory!$AL86*12000,0))))</f>
        <v>0</v>
      </c>
      <c r="BJ330" s="760">
        <f t="shared" si="246"/>
        <v>0</v>
      </c>
      <c r="BK330" s="598">
        <f t="shared" si="249"/>
        <v>0</v>
      </c>
      <c r="BL330" s="759" t="s">
        <v>567</v>
      </c>
      <c r="BM330" s="477" t="str">
        <f t="shared" si="240"/>
        <v>No</v>
      </c>
      <c r="BN330" s="477" t="str">
        <f>IF(OR(Inventory!$H86="",$BM330="No"),"-",Inventory!$H86)</f>
        <v>-</v>
      </c>
      <c r="BO330" s="477" t="str">
        <f>IFERROR(VLOOKUP(BN330,'Early Retirement'!$B$6:$C$33,2,FALSE),"-")</f>
        <v>-</v>
      </c>
      <c r="BP330" s="477" t="str">
        <f>IF(Inventory!$J86="Centrifugal","Yes","No")</f>
        <v>No</v>
      </c>
      <c r="BQ330" s="477">
        <f t="shared" si="241"/>
        <v>0</v>
      </c>
      <c r="BR330" s="477" t="str">
        <f t="shared" si="259"/>
        <v>-</v>
      </c>
      <c r="BS330" s="479">
        <f>IFERROR(INDEX('Early Retirement'!$C$4:$AC$33,$BO330,$BR330),0)</f>
        <v>0</v>
      </c>
      <c r="BT330" s="477">
        <f>IFERROR(HLOOKUP($BR330,'Early Retirement'!$D$4:$AC$5,2,FALSE),0)</f>
        <v>0</v>
      </c>
      <c r="BU330" s="761">
        <f>IFERROR(INDEX('Early Retirement'!$AE$4:$BE$33,$BO330,$BR330),0)</f>
        <v>0</v>
      </c>
      <c r="BV330" s="759">
        <f>IFERROR(HLOOKUP($BR330,'Early Retirement'!$AF$4:$BE$5,2,FALSE),0)</f>
        <v>0</v>
      </c>
      <c r="BW330" s="479">
        <f t="shared" si="242"/>
        <v>0</v>
      </c>
      <c r="BX330" s="761">
        <f t="shared" si="250"/>
        <v>0</v>
      </c>
      <c r="BY330" s="477" t="s">
        <v>46</v>
      </c>
      <c r="BZ330" s="598">
        <f>IFERROR(INDEX('Early Retirement'!$BG$4:$CG$33,$BO330,$BR330),0)</f>
        <v>0</v>
      </c>
      <c r="CA330" s="759">
        <f>IFERROR(HLOOKUP($BR330,'Early Retirement'!$BH$4:$CH$5,2,FALSE),0)</f>
        <v>0</v>
      </c>
      <c r="CB330" s="598">
        <f t="shared" si="251"/>
        <v>0</v>
      </c>
      <c r="CC330" s="759" t="s">
        <v>567</v>
      </c>
      <c r="CD330" s="477" t="str">
        <f t="shared" si="243"/>
        <v>Yes</v>
      </c>
      <c r="CE330" s="479">
        <f t="shared" si="252"/>
        <v>0</v>
      </c>
      <c r="CF330" s="761">
        <f t="shared" si="253"/>
        <v>0</v>
      </c>
      <c r="CG330" s="759" t="s">
        <v>46</v>
      </c>
      <c r="CH330" s="598">
        <f t="shared" si="258"/>
        <v>0</v>
      </c>
      <c r="CI330" s="759" t="s">
        <v>567</v>
      </c>
      <c r="CJ330" s="480">
        <f t="shared" si="244"/>
        <v>0</v>
      </c>
      <c r="CK330" s="583">
        <f t="shared" si="254"/>
        <v>0</v>
      </c>
      <c r="CL330" s="596" t="s">
        <v>46</v>
      </c>
      <c r="CM330" s="581">
        <f t="shared" si="255"/>
        <v>0</v>
      </c>
      <c r="CN330" s="762" t="s">
        <v>567</v>
      </c>
      <c r="CW330" s="630"/>
      <c r="CX330" s="630"/>
      <c r="CY330" s="630"/>
      <c r="CZ330" s="630"/>
      <c r="DA330" s="630"/>
    </row>
    <row r="331" spans="2:105" s="78" customFormat="1" ht="15" customHeight="1" x14ac:dyDescent="0.25">
      <c r="B331" s="77"/>
      <c r="E331" s="77"/>
      <c r="H331" s="77"/>
      <c r="Y331" s="90">
        <v>78</v>
      </c>
      <c r="Z331" s="559" t="str">
        <f>IF(Inventory!$C87="","",VLOOKUP(Inventory!$C87,$B$7:$C$9,2,FALSE))</f>
        <v/>
      </c>
      <c r="AA331" s="559" t="str">
        <f>IF($Z331="","",IF(AND($Z331="b",Inventory!$G87=""),"",IF(AND($Z331="b",Inventory!$G87&lt;&gt;""),VLOOKUP(Inventory!$G87,$E$3:$F$10,2,FALSE),IF(AND($Z331="a",Inventory!$Z87=""),"",IF(AND($Z331="a",Inventory!$Z87&lt;&gt;""),VLOOKUP(Inventory!$Z87,$E$3:$F$10,2,FALSE),IF(AND($Z331="c",Inventory!$Z87=""),"",IF(AND($Z331="c",Inventory!$Z87&lt;&gt;""),VLOOKUP(Inventory!$Z87,$E$3:$F$10,2,FALSE),"")))))))</f>
        <v/>
      </c>
      <c r="AB331" s="559" t="str">
        <f>IF($Z331="","a",IF(AND($Z331="b",Inventory!$J87=""),"a",IF(AND($Z331="b",Inventory!$J87&lt;&gt;""),VLOOKUP(Inventory!$J87,$H$4:$I$6,2,FALSE),IF(AND($Z331="a",Inventory!$AA87=""),"a",IF(AND($Z331="a",Inventory!$AA87&lt;&gt;""),VLOOKUP(Inventory!$AA87,$H$4:$I$6,2,FALSE),IF(AND($Z331="c",Inventory!$AA87=""),"a",IF(AND($Z331="c",Inventory!$AA87&lt;&gt;""),VLOOKUP(Inventory!$AA87,$H$4:$I$6,2,FALSE),"a")))))))</f>
        <v>a</v>
      </c>
      <c r="AC331" s="559" t="str">
        <f t="shared" si="219"/>
        <v>a</v>
      </c>
      <c r="AD331" s="473" t="str">
        <f>IF($Z331="","a",IF(AND($Z331="b",Inventory!$L87=""),"a",IF(AND($Z331="b",Inventory!$L87&lt;&gt;""),VLOOKUP(Inventory!$L87,$N$4:$O$5,2,FALSE),IF(AND($Z331="a",Inventory!$AC87=""),"a",IF(AND($Z331="a",Inventory!$AC87&lt;&gt;""),VLOOKUP(Inventory!$AC87,$N$4:$O$5,2,FALSE),IF(AND($Z331="c",Inventory!$AC87=""),"a",IF(AND($Z331="c",Inventory!$AC87&lt;&gt;""),VLOOKUP(Inventory!$AC87,$N$4:$O$5,2,FALSE),"a")))))))</f>
        <v>a</v>
      </c>
      <c r="AE331" s="474">
        <f>IF(OR(Inventory!C87="New Construction",Inventory!C87="Replace-on-Burnout"),Inventory!AF87,IF(Inventory!C87="Early Retirement",MIN(Inventory!AE87,Inventory!AF87),0))</f>
        <v>0</v>
      </c>
      <c r="AF331" s="475" t="str">
        <f t="shared" si="220"/>
        <v/>
      </c>
      <c r="AG331" s="475" t="str">
        <f t="shared" si="221"/>
        <v/>
      </c>
      <c r="AH331" s="475" t="str">
        <f t="shared" si="222"/>
        <v/>
      </c>
      <c r="AI331" s="475" t="str">
        <f t="shared" si="223"/>
        <v/>
      </c>
      <c r="AJ331" s="475" t="str">
        <f t="shared" si="224"/>
        <v/>
      </c>
      <c r="AK331" s="475" t="str">
        <f t="shared" si="225"/>
        <v/>
      </c>
      <c r="AL331" s="475" t="str">
        <f t="shared" si="226"/>
        <v/>
      </c>
      <c r="AM331" s="475" t="str">
        <f t="shared" si="227"/>
        <v/>
      </c>
      <c r="AN331" s="475" t="str">
        <f t="shared" si="228"/>
        <v/>
      </c>
      <c r="AO331" s="475" t="str">
        <f t="shared" si="229"/>
        <v/>
      </c>
      <c r="AP331" s="475" t="str">
        <f t="shared" si="230"/>
        <v/>
      </c>
      <c r="AQ331" s="475" t="str">
        <f t="shared" si="231"/>
        <v/>
      </c>
      <c r="AR331" s="475" t="str">
        <f t="shared" si="232"/>
        <v/>
      </c>
      <c r="AS331" s="475" t="str">
        <f t="shared" si="256"/>
        <v/>
      </c>
      <c r="AT331" s="475" t="str">
        <f t="shared" si="233"/>
        <v/>
      </c>
      <c r="AU331" s="475" t="str">
        <f t="shared" si="234"/>
        <v/>
      </c>
      <c r="AV331" s="475" t="str">
        <f t="shared" si="235"/>
        <v/>
      </c>
      <c r="AW331" s="473">
        <f t="shared" si="236"/>
        <v>0</v>
      </c>
      <c r="AX331" s="473" t="str">
        <f>IF(AND($Z331="b",OR($AA331="a",$AA331="b"),Inventory!$I87="",$AE331&lt;(65000/12000)),"x",IF(AND($Z331="b",OR($AA331="a",$AA331="b"),Inventory!$I87&lt;&gt;"",$AE331&lt;(65000/12000)),VLOOKUP(Inventory!$I338,$V$4:$W$5,2,FALSE),"x"))</f>
        <v>x</v>
      </c>
      <c r="AY331" s="476" t="str">
        <f t="shared" si="237"/>
        <v>aaa0</v>
      </c>
      <c r="AZ331" s="477" t="str">
        <f t="shared" si="247"/>
        <v>No</v>
      </c>
      <c r="BA331" s="759" t="str">
        <f t="shared" si="248"/>
        <v>No</v>
      </c>
      <c r="BB331" s="477">
        <f>IF($Z331="c",Inventory!$AB87,Inventory!$K87)</f>
        <v>0</v>
      </c>
      <c r="BC331" s="478">
        <f>IF(AND($Z331="b",Inventory!$N87="Btu/hr"),Inventory!$M87,IF(AND($Z331="b",Inventory!$N87="Tons"),Inventory!$M87*12000,IF(AND($Z331&lt;&gt;"b",Inventory!$AK87="Btu/hr"),Inventory!$AD87,IF(AND($Z331&lt;&gt;"b",Inventory!$AK87="Tons"),Inventory!$AD87*12000,0))))</f>
        <v>0</v>
      </c>
      <c r="BD331" s="478">
        <f t="shared" si="245"/>
        <v>0</v>
      </c>
      <c r="BE331" s="479">
        <f t="shared" si="257"/>
        <v>0</v>
      </c>
      <c r="BF331" s="477" t="s">
        <v>50</v>
      </c>
      <c r="BG331" s="479">
        <f t="shared" si="239"/>
        <v>0</v>
      </c>
      <c r="BH331" s="477" t="s">
        <v>46</v>
      </c>
      <c r="BI331" s="760">
        <f>IF(AND($Z331="b",Inventory!$P87="Btu/hr"),Inventory!$O87,IF(AND($Z331="b",Inventory!$P87="Tons"),Inventory!$O87*12000,IF(AND($Z331&lt;&gt;"b",Inventory!$AM87="Btu/hr"),Inventory!$AL87,IF(AND($Z331&lt;&gt;"b",Inventory!$AM87="Tons"),Inventory!$AL87*12000,0))))</f>
        <v>0</v>
      </c>
      <c r="BJ331" s="760">
        <f t="shared" si="246"/>
        <v>0</v>
      </c>
      <c r="BK331" s="598">
        <f t="shared" si="249"/>
        <v>0</v>
      </c>
      <c r="BL331" s="759" t="s">
        <v>567</v>
      </c>
      <c r="BM331" s="477" t="str">
        <f t="shared" si="240"/>
        <v>No</v>
      </c>
      <c r="BN331" s="477" t="str">
        <f>IF(OR(Inventory!$H87="",$BM331="No"),"-",Inventory!$H87)</f>
        <v>-</v>
      </c>
      <c r="BO331" s="477" t="str">
        <f>IFERROR(VLOOKUP(BN331,'Early Retirement'!$B$6:$C$33,2,FALSE),"-")</f>
        <v>-</v>
      </c>
      <c r="BP331" s="477" t="str">
        <f>IF(Inventory!$J87="Centrifugal","Yes","No")</f>
        <v>No</v>
      </c>
      <c r="BQ331" s="477">
        <f t="shared" si="241"/>
        <v>0</v>
      </c>
      <c r="BR331" s="477" t="str">
        <f t="shared" si="259"/>
        <v>-</v>
      </c>
      <c r="BS331" s="479">
        <f>IFERROR(INDEX('Early Retirement'!$C$4:$AC$33,$BO331,$BR331),0)</f>
        <v>0</v>
      </c>
      <c r="BT331" s="477">
        <f>IFERROR(HLOOKUP($BR331,'Early Retirement'!$D$4:$AC$5,2,FALSE),0)</f>
        <v>0</v>
      </c>
      <c r="BU331" s="761">
        <f>IFERROR(INDEX('Early Retirement'!$AE$4:$BE$33,$BO331,$BR331),0)</f>
        <v>0</v>
      </c>
      <c r="BV331" s="759">
        <f>IFERROR(HLOOKUP($BR331,'Early Retirement'!$AF$4:$BE$5,2,FALSE),0)</f>
        <v>0</v>
      </c>
      <c r="BW331" s="479">
        <f t="shared" si="242"/>
        <v>0</v>
      </c>
      <c r="BX331" s="761">
        <f t="shared" si="250"/>
        <v>0</v>
      </c>
      <c r="BY331" s="477" t="s">
        <v>46</v>
      </c>
      <c r="BZ331" s="598">
        <f>IFERROR(INDEX('Early Retirement'!$BG$4:$CG$33,$BO331,$BR331),0)</f>
        <v>0</v>
      </c>
      <c r="CA331" s="759">
        <f>IFERROR(HLOOKUP($BR331,'Early Retirement'!$BH$4:$CH$5,2,FALSE),0)</f>
        <v>0</v>
      </c>
      <c r="CB331" s="598">
        <f t="shared" si="251"/>
        <v>0</v>
      </c>
      <c r="CC331" s="759" t="s">
        <v>567</v>
      </c>
      <c r="CD331" s="477" t="str">
        <f t="shared" si="243"/>
        <v>Yes</v>
      </c>
      <c r="CE331" s="479">
        <f t="shared" si="252"/>
        <v>0</v>
      </c>
      <c r="CF331" s="761">
        <f t="shared" si="253"/>
        <v>0</v>
      </c>
      <c r="CG331" s="759" t="s">
        <v>46</v>
      </c>
      <c r="CH331" s="598">
        <f t="shared" si="258"/>
        <v>0</v>
      </c>
      <c r="CI331" s="759" t="s">
        <v>567</v>
      </c>
      <c r="CJ331" s="480">
        <f t="shared" si="244"/>
        <v>0</v>
      </c>
      <c r="CK331" s="583">
        <f t="shared" si="254"/>
        <v>0</v>
      </c>
      <c r="CL331" s="596" t="s">
        <v>46</v>
      </c>
      <c r="CM331" s="581">
        <f t="shared" si="255"/>
        <v>0</v>
      </c>
      <c r="CN331" s="762" t="s">
        <v>567</v>
      </c>
      <c r="CW331" s="630"/>
      <c r="CX331" s="630"/>
      <c r="CY331" s="630"/>
      <c r="CZ331" s="630"/>
      <c r="DA331" s="630"/>
    </row>
    <row r="332" spans="2:105" s="78" customFormat="1" ht="15" customHeight="1" x14ac:dyDescent="0.25">
      <c r="B332" s="77"/>
      <c r="E332" s="77"/>
      <c r="H332" s="77"/>
      <c r="Y332" s="90">
        <v>79</v>
      </c>
      <c r="Z332" s="559" t="str">
        <f>IF(Inventory!$C88="","",VLOOKUP(Inventory!$C88,$B$7:$C$9,2,FALSE))</f>
        <v/>
      </c>
      <c r="AA332" s="559" t="str">
        <f>IF($Z332="","",IF(AND($Z332="b",Inventory!$G88=""),"",IF(AND($Z332="b",Inventory!$G88&lt;&gt;""),VLOOKUP(Inventory!$G88,$E$3:$F$10,2,FALSE),IF(AND($Z332="a",Inventory!$Z88=""),"",IF(AND($Z332="a",Inventory!$Z88&lt;&gt;""),VLOOKUP(Inventory!$Z88,$E$3:$F$10,2,FALSE),IF(AND($Z332="c",Inventory!$Z88=""),"",IF(AND($Z332="c",Inventory!$Z88&lt;&gt;""),VLOOKUP(Inventory!$Z88,$E$3:$F$10,2,FALSE),"")))))))</f>
        <v/>
      </c>
      <c r="AB332" s="559" t="str">
        <f>IF($Z332="","a",IF(AND($Z332="b",Inventory!$J88=""),"a",IF(AND($Z332="b",Inventory!$J88&lt;&gt;""),VLOOKUP(Inventory!$J88,$H$4:$I$6,2,FALSE),IF(AND($Z332="a",Inventory!$AA88=""),"a",IF(AND($Z332="a",Inventory!$AA88&lt;&gt;""),VLOOKUP(Inventory!$AA88,$H$4:$I$6,2,FALSE),IF(AND($Z332="c",Inventory!$AA88=""),"a",IF(AND($Z332="c",Inventory!$AA88&lt;&gt;""),VLOOKUP(Inventory!$AA88,$H$4:$I$6,2,FALSE),"a")))))))</f>
        <v>a</v>
      </c>
      <c r="AC332" s="559" t="str">
        <f t="shared" si="219"/>
        <v>a</v>
      </c>
      <c r="AD332" s="473" t="str">
        <f>IF($Z332="","a",IF(AND($Z332="b",Inventory!$L88=""),"a",IF(AND($Z332="b",Inventory!$L88&lt;&gt;""),VLOOKUP(Inventory!$L88,$N$4:$O$5,2,FALSE),IF(AND($Z332="a",Inventory!$AC88=""),"a",IF(AND($Z332="a",Inventory!$AC88&lt;&gt;""),VLOOKUP(Inventory!$AC88,$N$4:$O$5,2,FALSE),IF(AND($Z332="c",Inventory!$AC88=""),"a",IF(AND($Z332="c",Inventory!$AC88&lt;&gt;""),VLOOKUP(Inventory!$AC88,$N$4:$O$5,2,FALSE),"a")))))))</f>
        <v>a</v>
      </c>
      <c r="AE332" s="474">
        <f>IF(OR(Inventory!C88="New Construction",Inventory!C88="Replace-on-Burnout"),Inventory!AF88,IF(Inventory!C88="Early Retirement",MIN(Inventory!AE88,Inventory!AF88),0))</f>
        <v>0</v>
      </c>
      <c r="AF332" s="475" t="str">
        <f t="shared" si="220"/>
        <v/>
      </c>
      <c r="AG332" s="475" t="str">
        <f t="shared" si="221"/>
        <v/>
      </c>
      <c r="AH332" s="475" t="str">
        <f t="shared" si="222"/>
        <v/>
      </c>
      <c r="AI332" s="475" t="str">
        <f t="shared" si="223"/>
        <v/>
      </c>
      <c r="AJ332" s="475" t="str">
        <f t="shared" si="224"/>
        <v/>
      </c>
      <c r="AK332" s="475" t="str">
        <f t="shared" si="225"/>
        <v/>
      </c>
      <c r="AL332" s="475" t="str">
        <f t="shared" si="226"/>
        <v/>
      </c>
      <c r="AM332" s="475" t="str">
        <f t="shared" si="227"/>
        <v/>
      </c>
      <c r="AN332" s="475" t="str">
        <f t="shared" si="228"/>
        <v/>
      </c>
      <c r="AO332" s="475" t="str">
        <f t="shared" si="229"/>
        <v/>
      </c>
      <c r="AP332" s="475" t="str">
        <f t="shared" si="230"/>
        <v/>
      </c>
      <c r="AQ332" s="475" t="str">
        <f t="shared" si="231"/>
        <v/>
      </c>
      <c r="AR332" s="475" t="str">
        <f t="shared" si="232"/>
        <v/>
      </c>
      <c r="AS332" s="475" t="str">
        <f t="shared" si="256"/>
        <v/>
      </c>
      <c r="AT332" s="475" t="str">
        <f t="shared" si="233"/>
        <v/>
      </c>
      <c r="AU332" s="475" t="str">
        <f t="shared" si="234"/>
        <v/>
      </c>
      <c r="AV332" s="475" t="str">
        <f t="shared" si="235"/>
        <v/>
      </c>
      <c r="AW332" s="473">
        <f t="shared" si="236"/>
        <v>0</v>
      </c>
      <c r="AX332" s="473" t="str">
        <f>IF(AND($Z332="b",OR($AA332="a",$AA332="b"),Inventory!$I88="",$AE332&lt;(65000/12000)),"x",IF(AND($Z332="b",OR($AA332="a",$AA332="b"),Inventory!$I88&lt;&gt;"",$AE332&lt;(65000/12000)),VLOOKUP(Inventory!$I339,$V$4:$W$5,2,FALSE),"x"))</f>
        <v>x</v>
      </c>
      <c r="AY332" s="476" t="str">
        <f t="shared" si="237"/>
        <v>aaa0</v>
      </c>
      <c r="AZ332" s="477" t="str">
        <f t="shared" si="247"/>
        <v>No</v>
      </c>
      <c r="BA332" s="759" t="str">
        <f t="shared" si="248"/>
        <v>No</v>
      </c>
      <c r="BB332" s="477">
        <f>IF($Z332="c",Inventory!$AB88,Inventory!$K88)</f>
        <v>0</v>
      </c>
      <c r="BC332" s="478">
        <f>IF(AND($Z332="b",Inventory!$N88="Btu/hr"),Inventory!$M88,IF(AND($Z332="b",Inventory!$N88="Tons"),Inventory!$M88*12000,IF(AND($Z332&lt;&gt;"b",Inventory!$AK88="Btu/hr"),Inventory!$AD88,IF(AND($Z332&lt;&gt;"b",Inventory!$AK88="Tons"),Inventory!$AD88*12000,0))))</f>
        <v>0</v>
      </c>
      <c r="BD332" s="478">
        <f t="shared" si="245"/>
        <v>0</v>
      </c>
      <c r="BE332" s="479">
        <f t="shared" si="257"/>
        <v>0</v>
      </c>
      <c r="BF332" s="477" t="s">
        <v>50</v>
      </c>
      <c r="BG332" s="479">
        <f t="shared" si="239"/>
        <v>0</v>
      </c>
      <c r="BH332" s="477" t="s">
        <v>46</v>
      </c>
      <c r="BI332" s="760">
        <f>IF(AND($Z332="b",Inventory!$P88="Btu/hr"),Inventory!$O88,IF(AND($Z332="b",Inventory!$P88="Tons"),Inventory!$O88*12000,IF(AND($Z332&lt;&gt;"b",Inventory!$AM88="Btu/hr"),Inventory!$AL88,IF(AND($Z332&lt;&gt;"b",Inventory!$AM88="Tons"),Inventory!$AL88*12000,0))))</f>
        <v>0</v>
      </c>
      <c r="BJ332" s="760">
        <f t="shared" si="246"/>
        <v>0</v>
      </c>
      <c r="BK332" s="598">
        <f t="shared" si="249"/>
        <v>0</v>
      </c>
      <c r="BL332" s="759" t="s">
        <v>567</v>
      </c>
      <c r="BM332" s="477" t="str">
        <f t="shared" si="240"/>
        <v>No</v>
      </c>
      <c r="BN332" s="477" t="str">
        <f>IF(OR(Inventory!$H88="",$BM332="No"),"-",Inventory!$H88)</f>
        <v>-</v>
      </c>
      <c r="BO332" s="477" t="str">
        <f>IFERROR(VLOOKUP(BN332,'Early Retirement'!$B$6:$C$33,2,FALSE),"-")</f>
        <v>-</v>
      </c>
      <c r="BP332" s="477" t="str">
        <f>IF(Inventory!$J88="Centrifugal","Yes","No")</f>
        <v>No</v>
      </c>
      <c r="BQ332" s="477">
        <f t="shared" si="241"/>
        <v>0</v>
      </c>
      <c r="BR332" s="477" t="str">
        <f t="shared" si="259"/>
        <v>-</v>
      </c>
      <c r="BS332" s="479">
        <f>IFERROR(INDEX('Early Retirement'!$C$4:$AC$33,$BO332,$BR332),0)</f>
        <v>0</v>
      </c>
      <c r="BT332" s="477">
        <f>IFERROR(HLOOKUP($BR332,'Early Retirement'!$D$4:$AC$5,2,FALSE),0)</f>
        <v>0</v>
      </c>
      <c r="BU332" s="761">
        <f>IFERROR(INDEX('Early Retirement'!$AE$4:$BE$33,$BO332,$BR332),0)</f>
        <v>0</v>
      </c>
      <c r="BV332" s="759">
        <f>IFERROR(HLOOKUP($BR332,'Early Retirement'!$AF$4:$BE$5,2,FALSE),0)</f>
        <v>0</v>
      </c>
      <c r="BW332" s="479">
        <f t="shared" si="242"/>
        <v>0</v>
      </c>
      <c r="BX332" s="761">
        <f t="shared" si="250"/>
        <v>0</v>
      </c>
      <c r="BY332" s="477" t="s">
        <v>46</v>
      </c>
      <c r="BZ332" s="598">
        <f>IFERROR(INDEX('Early Retirement'!$BG$4:$CG$33,$BO332,$BR332),0)</f>
        <v>0</v>
      </c>
      <c r="CA332" s="759">
        <f>IFERROR(HLOOKUP($BR332,'Early Retirement'!$BH$4:$CH$5,2,FALSE),0)</f>
        <v>0</v>
      </c>
      <c r="CB332" s="598">
        <f t="shared" si="251"/>
        <v>0</v>
      </c>
      <c r="CC332" s="759" t="s">
        <v>567</v>
      </c>
      <c r="CD332" s="477" t="str">
        <f t="shared" si="243"/>
        <v>Yes</v>
      </c>
      <c r="CE332" s="479">
        <f t="shared" si="252"/>
        <v>0</v>
      </c>
      <c r="CF332" s="761">
        <f t="shared" si="253"/>
        <v>0</v>
      </c>
      <c r="CG332" s="759" t="s">
        <v>46</v>
      </c>
      <c r="CH332" s="598">
        <f t="shared" si="258"/>
        <v>0</v>
      </c>
      <c r="CI332" s="759" t="s">
        <v>567</v>
      </c>
      <c r="CJ332" s="480">
        <f t="shared" si="244"/>
        <v>0</v>
      </c>
      <c r="CK332" s="583">
        <f t="shared" si="254"/>
        <v>0</v>
      </c>
      <c r="CL332" s="596" t="s">
        <v>46</v>
      </c>
      <c r="CM332" s="581">
        <f t="shared" si="255"/>
        <v>0</v>
      </c>
      <c r="CN332" s="762" t="s">
        <v>567</v>
      </c>
      <c r="CW332" s="630"/>
      <c r="CX332" s="630"/>
      <c r="CY332" s="630"/>
      <c r="CZ332" s="630"/>
      <c r="DA332" s="630"/>
    </row>
    <row r="333" spans="2:105" s="78" customFormat="1" ht="15" customHeight="1" x14ac:dyDescent="0.25">
      <c r="B333" s="77"/>
      <c r="E333" s="77"/>
      <c r="H333" s="77"/>
      <c r="Y333" s="90">
        <v>80</v>
      </c>
      <c r="Z333" s="559" t="str">
        <f>IF(Inventory!$C89="","",VLOOKUP(Inventory!$C89,$B$7:$C$9,2,FALSE))</f>
        <v/>
      </c>
      <c r="AA333" s="559" t="str">
        <f>IF($Z333="","",IF(AND($Z333="b",Inventory!$G89=""),"",IF(AND($Z333="b",Inventory!$G89&lt;&gt;""),VLOOKUP(Inventory!$G89,$E$3:$F$10,2,FALSE),IF(AND($Z333="a",Inventory!$Z89=""),"",IF(AND($Z333="a",Inventory!$Z89&lt;&gt;""),VLOOKUP(Inventory!$Z89,$E$3:$F$10,2,FALSE),IF(AND($Z333="c",Inventory!$Z89=""),"",IF(AND($Z333="c",Inventory!$Z89&lt;&gt;""),VLOOKUP(Inventory!$Z89,$E$3:$F$10,2,FALSE),"")))))))</f>
        <v/>
      </c>
      <c r="AB333" s="559" t="str">
        <f>IF($Z333="","a",IF(AND($Z333="b",Inventory!$J89=""),"a",IF(AND($Z333="b",Inventory!$J89&lt;&gt;""),VLOOKUP(Inventory!$J89,$H$4:$I$6,2,FALSE),IF(AND($Z333="a",Inventory!$AA89=""),"a",IF(AND($Z333="a",Inventory!$AA89&lt;&gt;""),VLOOKUP(Inventory!$AA89,$H$4:$I$6,2,FALSE),IF(AND($Z333="c",Inventory!$AA89=""),"a",IF(AND($Z333="c",Inventory!$AA89&lt;&gt;""),VLOOKUP(Inventory!$AA89,$H$4:$I$6,2,FALSE),"a")))))))</f>
        <v>a</v>
      </c>
      <c r="AC333" s="559" t="str">
        <f t="shared" si="219"/>
        <v>a</v>
      </c>
      <c r="AD333" s="473" t="str">
        <f>IF($Z333="","a",IF(AND($Z333="b",Inventory!$L89=""),"a",IF(AND($Z333="b",Inventory!$L89&lt;&gt;""),VLOOKUP(Inventory!$L89,$N$4:$O$5,2,FALSE),IF(AND($Z333="a",Inventory!$AC89=""),"a",IF(AND($Z333="a",Inventory!$AC89&lt;&gt;""),VLOOKUP(Inventory!$AC89,$N$4:$O$5,2,FALSE),IF(AND($Z333="c",Inventory!$AC89=""),"a",IF(AND($Z333="c",Inventory!$AC89&lt;&gt;""),VLOOKUP(Inventory!$AC89,$N$4:$O$5,2,FALSE),"a")))))))</f>
        <v>a</v>
      </c>
      <c r="AE333" s="474">
        <f>IF(OR(Inventory!C89="New Construction",Inventory!C89="Replace-on-Burnout"),Inventory!AF89,IF(Inventory!C89="Early Retirement",MIN(Inventory!AE89,Inventory!AF89),0))</f>
        <v>0</v>
      </c>
      <c r="AF333" s="475" t="str">
        <f t="shared" si="220"/>
        <v/>
      </c>
      <c r="AG333" s="475" t="str">
        <f t="shared" si="221"/>
        <v/>
      </c>
      <c r="AH333" s="475" t="str">
        <f t="shared" si="222"/>
        <v/>
      </c>
      <c r="AI333" s="475" t="str">
        <f t="shared" si="223"/>
        <v/>
      </c>
      <c r="AJ333" s="475" t="str">
        <f t="shared" si="224"/>
        <v/>
      </c>
      <c r="AK333" s="475" t="str">
        <f t="shared" si="225"/>
        <v/>
      </c>
      <c r="AL333" s="475" t="str">
        <f t="shared" si="226"/>
        <v/>
      </c>
      <c r="AM333" s="475" t="str">
        <f t="shared" si="227"/>
        <v/>
      </c>
      <c r="AN333" s="475" t="str">
        <f t="shared" si="228"/>
        <v/>
      </c>
      <c r="AO333" s="475" t="str">
        <f t="shared" si="229"/>
        <v/>
      </c>
      <c r="AP333" s="475" t="str">
        <f t="shared" si="230"/>
        <v/>
      </c>
      <c r="AQ333" s="475" t="str">
        <f t="shared" si="231"/>
        <v/>
      </c>
      <c r="AR333" s="475" t="str">
        <f t="shared" si="232"/>
        <v/>
      </c>
      <c r="AS333" s="475" t="str">
        <f t="shared" si="256"/>
        <v/>
      </c>
      <c r="AT333" s="475" t="str">
        <f t="shared" si="233"/>
        <v/>
      </c>
      <c r="AU333" s="475" t="str">
        <f t="shared" si="234"/>
        <v/>
      </c>
      <c r="AV333" s="475" t="str">
        <f t="shared" si="235"/>
        <v/>
      </c>
      <c r="AW333" s="473">
        <f t="shared" si="236"/>
        <v>0</v>
      </c>
      <c r="AX333" s="473" t="str">
        <f>IF(AND($Z333="b",OR($AA333="a",$AA333="b"),Inventory!$I89="",$AE333&lt;(65000/12000)),"x",IF(AND($Z333="b",OR($AA333="a",$AA333="b"),Inventory!$I89&lt;&gt;"",$AE333&lt;(65000/12000)),VLOOKUP(Inventory!$I340,$V$4:$W$5,2,FALSE),"x"))</f>
        <v>x</v>
      </c>
      <c r="AY333" s="476" t="str">
        <f t="shared" si="237"/>
        <v>aaa0</v>
      </c>
      <c r="AZ333" s="477" t="str">
        <f t="shared" si="247"/>
        <v>No</v>
      </c>
      <c r="BA333" s="759" t="str">
        <f t="shared" si="248"/>
        <v>No</v>
      </c>
      <c r="BB333" s="477">
        <f>IF($Z333="c",Inventory!$AB89,Inventory!$K89)</f>
        <v>0</v>
      </c>
      <c r="BC333" s="478">
        <f>IF(AND($Z333="b",Inventory!$N89="Btu/hr"),Inventory!$M89,IF(AND($Z333="b",Inventory!$N89="Tons"),Inventory!$M89*12000,IF(AND($Z333&lt;&gt;"b",Inventory!$AK89="Btu/hr"),Inventory!$AD89,IF(AND($Z333&lt;&gt;"b",Inventory!$AK89="Tons"),Inventory!$AD89*12000,0))))</f>
        <v>0</v>
      </c>
      <c r="BD333" s="478">
        <f t="shared" si="245"/>
        <v>0</v>
      </c>
      <c r="BE333" s="479">
        <f t="shared" si="257"/>
        <v>0</v>
      </c>
      <c r="BF333" s="477" t="s">
        <v>50</v>
      </c>
      <c r="BG333" s="479">
        <f t="shared" si="239"/>
        <v>0</v>
      </c>
      <c r="BH333" s="477" t="s">
        <v>46</v>
      </c>
      <c r="BI333" s="760">
        <f>IF(AND($Z333="b",Inventory!$P89="Btu/hr"),Inventory!$O89,IF(AND($Z333="b",Inventory!$P89="Tons"),Inventory!$O89*12000,IF(AND($Z333&lt;&gt;"b",Inventory!$AM89="Btu/hr"),Inventory!$AL89,IF(AND($Z333&lt;&gt;"b",Inventory!$AM89="Tons"),Inventory!$AL89*12000,0))))</f>
        <v>0</v>
      </c>
      <c r="BJ333" s="760">
        <f t="shared" si="246"/>
        <v>0</v>
      </c>
      <c r="BK333" s="598">
        <f t="shared" si="249"/>
        <v>0</v>
      </c>
      <c r="BL333" s="759" t="s">
        <v>567</v>
      </c>
      <c r="BM333" s="477" t="str">
        <f t="shared" si="240"/>
        <v>No</v>
      </c>
      <c r="BN333" s="477" t="str">
        <f>IF(OR(Inventory!$H89="",$BM333="No"),"-",Inventory!$H89)</f>
        <v>-</v>
      </c>
      <c r="BO333" s="477" t="str">
        <f>IFERROR(VLOOKUP(BN333,'Early Retirement'!$B$6:$C$33,2,FALSE),"-")</f>
        <v>-</v>
      </c>
      <c r="BP333" s="477" t="str">
        <f>IF(Inventory!$J89="Centrifugal","Yes","No")</f>
        <v>No</v>
      </c>
      <c r="BQ333" s="477">
        <f t="shared" si="241"/>
        <v>0</v>
      </c>
      <c r="BR333" s="477" t="str">
        <f t="shared" si="259"/>
        <v>-</v>
      </c>
      <c r="BS333" s="479">
        <f>IFERROR(INDEX('Early Retirement'!$C$4:$AC$33,$BO333,$BR333),0)</f>
        <v>0</v>
      </c>
      <c r="BT333" s="477">
        <f>IFERROR(HLOOKUP($BR333,'Early Retirement'!$D$4:$AC$5,2,FALSE),0)</f>
        <v>0</v>
      </c>
      <c r="BU333" s="761">
        <f>IFERROR(INDEX('Early Retirement'!$AE$4:$BE$33,$BO333,$BR333),0)</f>
        <v>0</v>
      </c>
      <c r="BV333" s="759">
        <f>IFERROR(HLOOKUP($BR333,'Early Retirement'!$AF$4:$BE$5,2,FALSE),0)</f>
        <v>0</v>
      </c>
      <c r="BW333" s="479">
        <f t="shared" si="242"/>
        <v>0</v>
      </c>
      <c r="BX333" s="761">
        <f t="shared" si="250"/>
        <v>0</v>
      </c>
      <c r="BY333" s="477" t="s">
        <v>46</v>
      </c>
      <c r="BZ333" s="598">
        <f>IFERROR(INDEX('Early Retirement'!$BG$4:$CG$33,$BO333,$BR333),0)</f>
        <v>0</v>
      </c>
      <c r="CA333" s="759">
        <f>IFERROR(HLOOKUP($BR333,'Early Retirement'!$BH$4:$CH$5,2,FALSE),0)</f>
        <v>0</v>
      </c>
      <c r="CB333" s="598">
        <f t="shared" si="251"/>
        <v>0</v>
      </c>
      <c r="CC333" s="759" t="s">
        <v>567</v>
      </c>
      <c r="CD333" s="477" t="str">
        <f t="shared" si="243"/>
        <v>Yes</v>
      </c>
      <c r="CE333" s="479">
        <f t="shared" si="252"/>
        <v>0</v>
      </c>
      <c r="CF333" s="761">
        <f t="shared" si="253"/>
        <v>0</v>
      </c>
      <c r="CG333" s="759" t="s">
        <v>46</v>
      </c>
      <c r="CH333" s="598">
        <f t="shared" si="258"/>
        <v>0</v>
      </c>
      <c r="CI333" s="759" t="s">
        <v>567</v>
      </c>
      <c r="CJ333" s="480">
        <f t="shared" si="244"/>
        <v>0</v>
      </c>
      <c r="CK333" s="583">
        <f t="shared" si="254"/>
        <v>0</v>
      </c>
      <c r="CL333" s="596" t="s">
        <v>46</v>
      </c>
      <c r="CM333" s="581">
        <f t="shared" si="255"/>
        <v>0</v>
      </c>
      <c r="CN333" s="762" t="s">
        <v>567</v>
      </c>
      <c r="CW333" s="630"/>
      <c r="CX333" s="630"/>
      <c r="CY333" s="630"/>
      <c r="CZ333" s="630"/>
      <c r="DA333" s="630"/>
    </row>
    <row r="334" spans="2:105" s="78" customFormat="1" ht="15" customHeight="1" x14ac:dyDescent="0.25">
      <c r="B334" s="77"/>
      <c r="E334" s="77"/>
      <c r="H334" s="77"/>
      <c r="Y334" s="90">
        <v>81</v>
      </c>
      <c r="Z334" s="559" t="str">
        <f>IF(Inventory!$C90="","",VLOOKUP(Inventory!$C90,$B$7:$C$9,2,FALSE))</f>
        <v/>
      </c>
      <c r="AA334" s="559" t="str">
        <f>IF($Z334="","",IF(AND($Z334="b",Inventory!$G90=""),"",IF(AND($Z334="b",Inventory!$G90&lt;&gt;""),VLOOKUP(Inventory!$G90,$E$3:$F$10,2,FALSE),IF(AND($Z334="a",Inventory!$Z90=""),"",IF(AND($Z334="a",Inventory!$Z90&lt;&gt;""),VLOOKUP(Inventory!$Z90,$E$3:$F$10,2,FALSE),IF(AND($Z334="c",Inventory!$Z90=""),"",IF(AND($Z334="c",Inventory!$Z90&lt;&gt;""),VLOOKUP(Inventory!$Z90,$E$3:$F$10,2,FALSE),"")))))))</f>
        <v/>
      </c>
      <c r="AB334" s="559" t="str">
        <f>IF($Z334="","a",IF(AND($Z334="b",Inventory!$J90=""),"a",IF(AND($Z334="b",Inventory!$J90&lt;&gt;""),VLOOKUP(Inventory!$J90,$H$4:$I$6,2,FALSE),IF(AND($Z334="a",Inventory!$AA90=""),"a",IF(AND($Z334="a",Inventory!$AA90&lt;&gt;""),VLOOKUP(Inventory!$AA90,$H$4:$I$6,2,FALSE),IF(AND($Z334="c",Inventory!$AA90=""),"a",IF(AND($Z334="c",Inventory!$AA90&lt;&gt;""),VLOOKUP(Inventory!$AA90,$H$4:$I$6,2,FALSE),"a")))))))</f>
        <v>a</v>
      </c>
      <c r="AC334" s="559" t="str">
        <f t="shared" si="219"/>
        <v>a</v>
      </c>
      <c r="AD334" s="473" t="str">
        <f>IF($Z334="","a",IF(AND($Z334="b",Inventory!$L90=""),"a",IF(AND($Z334="b",Inventory!$L90&lt;&gt;""),VLOOKUP(Inventory!$L90,$N$4:$O$5,2,FALSE),IF(AND($Z334="a",Inventory!$AC90=""),"a",IF(AND($Z334="a",Inventory!$AC90&lt;&gt;""),VLOOKUP(Inventory!$AC90,$N$4:$O$5,2,FALSE),IF(AND($Z334="c",Inventory!$AC90=""),"a",IF(AND($Z334="c",Inventory!$AC90&lt;&gt;""),VLOOKUP(Inventory!$AC90,$N$4:$O$5,2,FALSE),"a")))))))</f>
        <v>a</v>
      </c>
      <c r="AE334" s="474">
        <f>IF(OR(Inventory!C90="New Construction",Inventory!C90="Replace-on-Burnout"),Inventory!AF90,IF(Inventory!C90="Early Retirement",MIN(Inventory!AE90,Inventory!AF90),0))</f>
        <v>0</v>
      </c>
      <c r="AF334" s="475" t="str">
        <f t="shared" si="220"/>
        <v/>
      </c>
      <c r="AG334" s="475" t="str">
        <f t="shared" si="221"/>
        <v/>
      </c>
      <c r="AH334" s="475" t="str">
        <f t="shared" si="222"/>
        <v/>
      </c>
      <c r="AI334" s="475" t="str">
        <f t="shared" si="223"/>
        <v/>
      </c>
      <c r="AJ334" s="475" t="str">
        <f t="shared" si="224"/>
        <v/>
      </c>
      <c r="AK334" s="475" t="str">
        <f t="shared" si="225"/>
        <v/>
      </c>
      <c r="AL334" s="475" t="str">
        <f t="shared" si="226"/>
        <v/>
      </c>
      <c r="AM334" s="475" t="str">
        <f t="shared" si="227"/>
        <v/>
      </c>
      <c r="AN334" s="475" t="str">
        <f t="shared" si="228"/>
        <v/>
      </c>
      <c r="AO334" s="475" t="str">
        <f t="shared" si="229"/>
        <v/>
      </c>
      <c r="AP334" s="475" t="str">
        <f t="shared" si="230"/>
        <v/>
      </c>
      <c r="AQ334" s="475" t="str">
        <f t="shared" si="231"/>
        <v/>
      </c>
      <c r="AR334" s="475" t="str">
        <f t="shared" si="232"/>
        <v/>
      </c>
      <c r="AS334" s="475" t="str">
        <f t="shared" si="256"/>
        <v/>
      </c>
      <c r="AT334" s="475" t="str">
        <f t="shared" si="233"/>
        <v/>
      </c>
      <c r="AU334" s="475" t="str">
        <f t="shared" si="234"/>
        <v/>
      </c>
      <c r="AV334" s="475" t="str">
        <f t="shared" si="235"/>
        <v/>
      </c>
      <c r="AW334" s="473">
        <f t="shared" si="236"/>
        <v>0</v>
      </c>
      <c r="AX334" s="473" t="str">
        <f>IF(AND($Z334="b",OR($AA334="a",$AA334="b"),Inventory!$I90="",$AE334&lt;(65000/12000)),"x",IF(AND($Z334="b",OR($AA334="a",$AA334="b"),Inventory!$I90&lt;&gt;"",$AE334&lt;(65000/12000)),VLOOKUP(Inventory!$I341,$V$4:$W$5,2,FALSE),"x"))</f>
        <v>x</v>
      </c>
      <c r="AY334" s="476" t="str">
        <f t="shared" si="237"/>
        <v>aaa0</v>
      </c>
      <c r="AZ334" s="477" t="str">
        <f t="shared" si="247"/>
        <v>No</v>
      </c>
      <c r="BA334" s="759" t="str">
        <f t="shared" si="248"/>
        <v>No</v>
      </c>
      <c r="BB334" s="477">
        <f>IF($Z334="c",Inventory!$AB90,Inventory!$K90)</f>
        <v>0</v>
      </c>
      <c r="BC334" s="478">
        <f>IF(AND($Z334="b",Inventory!$N90="Btu/hr"),Inventory!$M90,IF(AND($Z334="b",Inventory!$N90="Tons"),Inventory!$M90*12000,IF(AND($Z334&lt;&gt;"b",Inventory!$AK90="Btu/hr"),Inventory!$AD90,IF(AND($Z334&lt;&gt;"b",Inventory!$AK90="Tons"),Inventory!$AD90*12000,0))))</f>
        <v>0</v>
      </c>
      <c r="BD334" s="478">
        <f t="shared" si="245"/>
        <v>0</v>
      </c>
      <c r="BE334" s="479">
        <f t="shared" si="257"/>
        <v>0</v>
      </c>
      <c r="BF334" s="477" t="s">
        <v>50</v>
      </c>
      <c r="BG334" s="479">
        <f t="shared" si="239"/>
        <v>0</v>
      </c>
      <c r="BH334" s="477" t="s">
        <v>46</v>
      </c>
      <c r="BI334" s="760">
        <f>IF(AND($Z334="b",Inventory!$P90="Btu/hr"),Inventory!$O90,IF(AND($Z334="b",Inventory!$P90="Tons"),Inventory!$O90*12000,IF(AND($Z334&lt;&gt;"b",Inventory!$AM90="Btu/hr"),Inventory!$AL90,IF(AND($Z334&lt;&gt;"b",Inventory!$AM90="Tons"),Inventory!$AL90*12000,0))))</f>
        <v>0</v>
      </c>
      <c r="BJ334" s="760">
        <f t="shared" si="246"/>
        <v>0</v>
      </c>
      <c r="BK334" s="598">
        <f t="shared" si="249"/>
        <v>0</v>
      </c>
      <c r="BL334" s="759" t="s">
        <v>567</v>
      </c>
      <c r="BM334" s="477" t="str">
        <f t="shared" si="240"/>
        <v>No</v>
      </c>
      <c r="BN334" s="477" t="str">
        <f>IF(OR(Inventory!$H90="",$BM334="No"),"-",Inventory!$H90)</f>
        <v>-</v>
      </c>
      <c r="BO334" s="477" t="str">
        <f>IFERROR(VLOOKUP(BN334,'Early Retirement'!$B$6:$C$33,2,FALSE),"-")</f>
        <v>-</v>
      </c>
      <c r="BP334" s="477" t="str">
        <f>IF(Inventory!$J90="Centrifugal","Yes","No")</f>
        <v>No</v>
      </c>
      <c r="BQ334" s="477">
        <f t="shared" si="241"/>
        <v>0</v>
      </c>
      <c r="BR334" s="477" t="str">
        <f t="shared" si="259"/>
        <v>-</v>
      </c>
      <c r="BS334" s="479">
        <f>IFERROR(INDEX('Early Retirement'!$C$4:$AC$33,$BO334,$BR334),0)</f>
        <v>0</v>
      </c>
      <c r="BT334" s="477">
        <f>IFERROR(HLOOKUP($BR334,'Early Retirement'!$D$4:$AC$5,2,FALSE),0)</f>
        <v>0</v>
      </c>
      <c r="BU334" s="761">
        <f>IFERROR(INDEX('Early Retirement'!$AE$4:$BE$33,$BO334,$BR334),0)</f>
        <v>0</v>
      </c>
      <c r="BV334" s="759">
        <f>IFERROR(HLOOKUP($BR334,'Early Retirement'!$AF$4:$BE$5,2,FALSE),0)</f>
        <v>0</v>
      </c>
      <c r="BW334" s="479">
        <f t="shared" si="242"/>
        <v>0</v>
      </c>
      <c r="BX334" s="761">
        <f t="shared" si="250"/>
        <v>0</v>
      </c>
      <c r="BY334" s="477" t="s">
        <v>46</v>
      </c>
      <c r="BZ334" s="598">
        <f>IFERROR(INDEX('Early Retirement'!$BG$4:$CG$33,$BO334,$BR334),0)</f>
        <v>0</v>
      </c>
      <c r="CA334" s="759">
        <f>IFERROR(HLOOKUP($BR334,'Early Retirement'!$BH$4:$CH$5,2,FALSE),0)</f>
        <v>0</v>
      </c>
      <c r="CB334" s="598">
        <f t="shared" si="251"/>
        <v>0</v>
      </c>
      <c r="CC334" s="759" t="s">
        <v>567</v>
      </c>
      <c r="CD334" s="477" t="str">
        <f t="shared" si="243"/>
        <v>Yes</v>
      </c>
      <c r="CE334" s="479">
        <f t="shared" si="252"/>
        <v>0</v>
      </c>
      <c r="CF334" s="761">
        <f t="shared" si="253"/>
        <v>0</v>
      </c>
      <c r="CG334" s="759" t="s">
        <v>46</v>
      </c>
      <c r="CH334" s="598">
        <f t="shared" si="258"/>
        <v>0</v>
      </c>
      <c r="CI334" s="759" t="s">
        <v>567</v>
      </c>
      <c r="CJ334" s="480">
        <f t="shared" si="244"/>
        <v>0</v>
      </c>
      <c r="CK334" s="583">
        <f t="shared" si="254"/>
        <v>0</v>
      </c>
      <c r="CL334" s="596" t="s">
        <v>46</v>
      </c>
      <c r="CM334" s="581">
        <f t="shared" si="255"/>
        <v>0</v>
      </c>
      <c r="CN334" s="762" t="s">
        <v>567</v>
      </c>
      <c r="CW334" s="630"/>
      <c r="CX334" s="630"/>
      <c r="CY334" s="630"/>
      <c r="CZ334" s="630"/>
      <c r="DA334" s="630"/>
    </row>
    <row r="335" spans="2:105" s="78" customFormat="1" ht="15" customHeight="1" x14ac:dyDescent="0.25">
      <c r="B335" s="77"/>
      <c r="E335" s="77"/>
      <c r="H335" s="77"/>
      <c r="Y335" s="90">
        <v>82</v>
      </c>
      <c r="Z335" s="559" t="str">
        <f>IF(Inventory!$C91="","",VLOOKUP(Inventory!$C91,$B$7:$C$9,2,FALSE))</f>
        <v/>
      </c>
      <c r="AA335" s="559" t="str">
        <f>IF($Z335="","",IF(AND($Z335="b",Inventory!$G91=""),"",IF(AND($Z335="b",Inventory!$G91&lt;&gt;""),VLOOKUP(Inventory!$G91,$E$3:$F$10,2,FALSE),IF(AND($Z335="a",Inventory!$Z91=""),"",IF(AND($Z335="a",Inventory!$Z91&lt;&gt;""),VLOOKUP(Inventory!$Z91,$E$3:$F$10,2,FALSE),IF(AND($Z335="c",Inventory!$Z91=""),"",IF(AND($Z335="c",Inventory!$Z91&lt;&gt;""),VLOOKUP(Inventory!$Z91,$E$3:$F$10,2,FALSE),"")))))))</f>
        <v/>
      </c>
      <c r="AB335" s="559" t="str">
        <f>IF($Z335="","a",IF(AND($Z335="b",Inventory!$J91=""),"a",IF(AND($Z335="b",Inventory!$J91&lt;&gt;""),VLOOKUP(Inventory!$J91,$H$4:$I$6,2,FALSE),IF(AND($Z335="a",Inventory!$AA91=""),"a",IF(AND($Z335="a",Inventory!$AA91&lt;&gt;""),VLOOKUP(Inventory!$AA91,$H$4:$I$6,2,FALSE),IF(AND($Z335="c",Inventory!$AA91=""),"a",IF(AND($Z335="c",Inventory!$AA91&lt;&gt;""),VLOOKUP(Inventory!$AA91,$H$4:$I$6,2,FALSE),"a")))))))</f>
        <v>a</v>
      </c>
      <c r="AC335" s="559" t="str">
        <f t="shared" si="219"/>
        <v>a</v>
      </c>
      <c r="AD335" s="473" t="str">
        <f>IF($Z335="","a",IF(AND($Z335="b",Inventory!$L91=""),"a",IF(AND($Z335="b",Inventory!$L91&lt;&gt;""),VLOOKUP(Inventory!$L91,$N$4:$O$5,2,FALSE),IF(AND($Z335="a",Inventory!$AC91=""),"a",IF(AND($Z335="a",Inventory!$AC91&lt;&gt;""),VLOOKUP(Inventory!$AC91,$N$4:$O$5,2,FALSE),IF(AND($Z335="c",Inventory!$AC91=""),"a",IF(AND($Z335="c",Inventory!$AC91&lt;&gt;""),VLOOKUP(Inventory!$AC91,$N$4:$O$5,2,FALSE),"a")))))))</f>
        <v>a</v>
      </c>
      <c r="AE335" s="474">
        <f>IF(OR(Inventory!C91="New Construction",Inventory!C91="Replace-on-Burnout"),Inventory!AF91,IF(Inventory!C91="Early Retirement",MIN(Inventory!AE91,Inventory!AF91),0))</f>
        <v>0</v>
      </c>
      <c r="AF335" s="475" t="str">
        <f t="shared" si="220"/>
        <v/>
      </c>
      <c r="AG335" s="475" t="str">
        <f t="shared" si="221"/>
        <v/>
      </c>
      <c r="AH335" s="475" t="str">
        <f t="shared" si="222"/>
        <v/>
      </c>
      <c r="AI335" s="475" t="str">
        <f t="shared" si="223"/>
        <v/>
      </c>
      <c r="AJ335" s="475" t="str">
        <f t="shared" si="224"/>
        <v/>
      </c>
      <c r="AK335" s="475" t="str">
        <f t="shared" si="225"/>
        <v/>
      </c>
      <c r="AL335" s="475" t="str">
        <f t="shared" si="226"/>
        <v/>
      </c>
      <c r="AM335" s="475" t="str">
        <f t="shared" si="227"/>
        <v/>
      </c>
      <c r="AN335" s="475" t="str">
        <f t="shared" si="228"/>
        <v/>
      </c>
      <c r="AO335" s="475" t="str">
        <f t="shared" si="229"/>
        <v/>
      </c>
      <c r="AP335" s="475" t="str">
        <f t="shared" si="230"/>
        <v/>
      </c>
      <c r="AQ335" s="475" t="str">
        <f t="shared" si="231"/>
        <v/>
      </c>
      <c r="AR335" s="475" t="str">
        <f t="shared" si="232"/>
        <v/>
      </c>
      <c r="AS335" s="475" t="str">
        <f t="shared" si="256"/>
        <v/>
      </c>
      <c r="AT335" s="475" t="str">
        <f t="shared" si="233"/>
        <v/>
      </c>
      <c r="AU335" s="475" t="str">
        <f t="shared" si="234"/>
        <v/>
      </c>
      <c r="AV335" s="475" t="str">
        <f t="shared" si="235"/>
        <v/>
      </c>
      <c r="AW335" s="473">
        <f t="shared" si="236"/>
        <v>0</v>
      </c>
      <c r="AX335" s="473" t="str">
        <f>IF(AND($Z335="b",OR($AA335="a",$AA335="b"),Inventory!$I91="",$AE335&lt;(65000/12000)),"x",IF(AND($Z335="b",OR($AA335="a",$AA335="b"),Inventory!$I91&lt;&gt;"",$AE335&lt;(65000/12000)),VLOOKUP(Inventory!$I342,$V$4:$W$5,2,FALSE),"x"))</f>
        <v>x</v>
      </c>
      <c r="AY335" s="476" t="str">
        <f t="shared" si="237"/>
        <v>aaa0</v>
      </c>
      <c r="AZ335" s="477" t="str">
        <f t="shared" si="247"/>
        <v>No</v>
      </c>
      <c r="BA335" s="759" t="str">
        <f t="shared" si="248"/>
        <v>No</v>
      </c>
      <c r="BB335" s="477">
        <f>IF($Z335="c",Inventory!$AB91,Inventory!$K91)</f>
        <v>0</v>
      </c>
      <c r="BC335" s="478">
        <f>IF(AND($Z335="b",Inventory!$N91="Btu/hr"),Inventory!$M91,IF(AND($Z335="b",Inventory!$N91="Tons"),Inventory!$M91*12000,IF(AND($Z335&lt;&gt;"b",Inventory!$AK91="Btu/hr"),Inventory!$AD91,IF(AND($Z335&lt;&gt;"b",Inventory!$AK91="Tons"),Inventory!$AD91*12000,0))))</f>
        <v>0</v>
      </c>
      <c r="BD335" s="478">
        <f t="shared" si="245"/>
        <v>0</v>
      </c>
      <c r="BE335" s="479">
        <f t="shared" si="257"/>
        <v>0</v>
      </c>
      <c r="BF335" s="477" t="s">
        <v>50</v>
      </c>
      <c r="BG335" s="479">
        <f t="shared" si="239"/>
        <v>0</v>
      </c>
      <c r="BH335" s="477" t="s">
        <v>46</v>
      </c>
      <c r="BI335" s="760">
        <f>IF(AND($Z335="b",Inventory!$P91="Btu/hr"),Inventory!$O91,IF(AND($Z335="b",Inventory!$P91="Tons"),Inventory!$O91*12000,IF(AND($Z335&lt;&gt;"b",Inventory!$AM91="Btu/hr"),Inventory!$AL91,IF(AND($Z335&lt;&gt;"b",Inventory!$AM91="Tons"),Inventory!$AL91*12000,0))))</f>
        <v>0</v>
      </c>
      <c r="BJ335" s="760">
        <f t="shared" si="246"/>
        <v>0</v>
      </c>
      <c r="BK335" s="598">
        <f t="shared" si="249"/>
        <v>0</v>
      </c>
      <c r="BL335" s="759" t="s">
        <v>567</v>
      </c>
      <c r="BM335" s="477" t="str">
        <f t="shared" si="240"/>
        <v>No</v>
      </c>
      <c r="BN335" s="477" t="str">
        <f>IF(OR(Inventory!$H91="",$BM335="No"),"-",Inventory!$H91)</f>
        <v>-</v>
      </c>
      <c r="BO335" s="477" t="str">
        <f>IFERROR(VLOOKUP(BN335,'Early Retirement'!$B$6:$C$33,2,FALSE),"-")</f>
        <v>-</v>
      </c>
      <c r="BP335" s="477" t="str">
        <f>IF(Inventory!$J91="Centrifugal","Yes","No")</f>
        <v>No</v>
      </c>
      <c r="BQ335" s="477">
        <f t="shared" si="241"/>
        <v>0</v>
      </c>
      <c r="BR335" s="477" t="str">
        <f t="shared" si="259"/>
        <v>-</v>
      </c>
      <c r="BS335" s="479">
        <f>IFERROR(INDEX('Early Retirement'!$C$4:$AC$33,$BO335,$BR335),0)</f>
        <v>0</v>
      </c>
      <c r="BT335" s="477">
        <f>IFERROR(HLOOKUP($BR335,'Early Retirement'!$D$4:$AC$5,2,FALSE),0)</f>
        <v>0</v>
      </c>
      <c r="BU335" s="761">
        <f>IFERROR(INDEX('Early Retirement'!$AE$4:$BE$33,$BO335,$BR335),0)</f>
        <v>0</v>
      </c>
      <c r="BV335" s="759">
        <f>IFERROR(HLOOKUP($BR335,'Early Retirement'!$AF$4:$BE$5,2,FALSE),0)</f>
        <v>0</v>
      </c>
      <c r="BW335" s="479">
        <f t="shared" si="242"/>
        <v>0</v>
      </c>
      <c r="BX335" s="761">
        <f t="shared" si="250"/>
        <v>0</v>
      </c>
      <c r="BY335" s="477" t="s">
        <v>46</v>
      </c>
      <c r="BZ335" s="598">
        <f>IFERROR(INDEX('Early Retirement'!$BG$4:$CG$33,$BO335,$BR335),0)</f>
        <v>0</v>
      </c>
      <c r="CA335" s="759">
        <f>IFERROR(HLOOKUP($BR335,'Early Retirement'!$BH$4:$CH$5,2,FALSE),0)</f>
        <v>0</v>
      </c>
      <c r="CB335" s="598">
        <f t="shared" si="251"/>
        <v>0</v>
      </c>
      <c r="CC335" s="759" t="s">
        <v>567</v>
      </c>
      <c r="CD335" s="477" t="str">
        <f t="shared" si="243"/>
        <v>Yes</v>
      </c>
      <c r="CE335" s="479">
        <f t="shared" si="252"/>
        <v>0</v>
      </c>
      <c r="CF335" s="761">
        <f t="shared" si="253"/>
        <v>0</v>
      </c>
      <c r="CG335" s="759" t="s">
        <v>46</v>
      </c>
      <c r="CH335" s="598">
        <f t="shared" si="258"/>
        <v>0</v>
      </c>
      <c r="CI335" s="759" t="s">
        <v>567</v>
      </c>
      <c r="CJ335" s="480">
        <f t="shared" si="244"/>
        <v>0</v>
      </c>
      <c r="CK335" s="583">
        <f t="shared" si="254"/>
        <v>0</v>
      </c>
      <c r="CL335" s="596" t="s">
        <v>46</v>
      </c>
      <c r="CM335" s="581">
        <f t="shared" si="255"/>
        <v>0</v>
      </c>
      <c r="CN335" s="762" t="s">
        <v>567</v>
      </c>
      <c r="CW335" s="630"/>
      <c r="CX335" s="630"/>
      <c r="CY335" s="630"/>
      <c r="CZ335" s="630"/>
      <c r="DA335" s="630"/>
    </row>
    <row r="336" spans="2:105" s="78" customFormat="1" ht="15" customHeight="1" x14ac:dyDescent="0.25">
      <c r="B336" s="77"/>
      <c r="E336" s="77"/>
      <c r="H336" s="77"/>
      <c r="Y336" s="90">
        <v>83</v>
      </c>
      <c r="Z336" s="559" t="str">
        <f>IF(Inventory!$C92="","",VLOOKUP(Inventory!$C92,$B$7:$C$9,2,FALSE))</f>
        <v/>
      </c>
      <c r="AA336" s="559" t="str">
        <f>IF($Z336="","",IF(AND($Z336="b",Inventory!$G92=""),"",IF(AND($Z336="b",Inventory!$G92&lt;&gt;""),VLOOKUP(Inventory!$G92,$E$3:$F$10,2,FALSE),IF(AND($Z336="a",Inventory!$Z92=""),"",IF(AND($Z336="a",Inventory!$Z92&lt;&gt;""),VLOOKUP(Inventory!$Z92,$E$3:$F$10,2,FALSE),IF(AND($Z336="c",Inventory!$Z92=""),"",IF(AND($Z336="c",Inventory!$Z92&lt;&gt;""),VLOOKUP(Inventory!$Z92,$E$3:$F$10,2,FALSE),"")))))))</f>
        <v/>
      </c>
      <c r="AB336" s="559" t="str">
        <f>IF($Z336="","a",IF(AND($Z336="b",Inventory!$J92=""),"a",IF(AND($Z336="b",Inventory!$J92&lt;&gt;""),VLOOKUP(Inventory!$J92,$H$4:$I$6,2,FALSE),IF(AND($Z336="a",Inventory!$AA92=""),"a",IF(AND($Z336="a",Inventory!$AA92&lt;&gt;""),VLOOKUP(Inventory!$AA92,$H$4:$I$6,2,FALSE),IF(AND($Z336="c",Inventory!$AA92=""),"a",IF(AND($Z336="c",Inventory!$AA92&lt;&gt;""),VLOOKUP(Inventory!$AA92,$H$4:$I$6,2,FALSE),"a")))))))</f>
        <v>a</v>
      </c>
      <c r="AC336" s="559" t="str">
        <f t="shared" si="219"/>
        <v>a</v>
      </c>
      <c r="AD336" s="473" t="str">
        <f>IF($Z336="","a",IF(AND($Z336="b",Inventory!$L92=""),"a",IF(AND($Z336="b",Inventory!$L92&lt;&gt;""),VLOOKUP(Inventory!$L92,$N$4:$O$5,2,FALSE),IF(AND($Z336="a",Inventory!$AC92=""),"a",IF(AND($Z336="a",Inventory!$AC92&lt;&gt;""),VLOOKUP(Inventory!$AC92,$N$4:$O$5,2,FALSE),IF(AND($Z336="c",Inventory!$AC92=""),"a",IF(AND($Z336="c",Inventory!$AC92&lt;&gt;""),VLOOKUP(Inventory!$AC92,$N$4:$O$5,2,FALSE),"a")))))))</f>
        <v>a</v>
      </c>
      <c r="AE336" s="474">
        <f>IF(OR(Inventory!C92="New Construction",Inventory!C92="Replace-on-Burnout"),Inventory!AF92,IF(Inventory!C92="Early Retirement",MIN(Inventory!AE92,Inventory!AF92),0))</f>
        <v>0</v>
      </c>
      <c r="AF336" s="475" t="str">
        <f t="shared" si="220"/>
        <v/>
      </c>
      <c r="AG336" s="475" t="str">
        <f t="shared" si="221"/>
        <v/>
      </c>
      <c r="AH336" s="475" t="str">
        <f t="shared" si="222"/>
        <v/>
      </c>
      <c r="AI336" s="475" t="str">
        <f t="shared" si="223"/>
        <v/>
      </c>
      <c r="AJ336" s="475" t="str">
        <f t="shared" si="224"/>
        <v/>
      </c>
      <c r="AK336" s="475" t="str">
        <f t="shared" si="225"/>
        <v/>
      </c>
      <c r="AL336" s="475" t="str">
        <f t="shared" si="226"/>
        <v/>
      </c>
      <c r="AM336" s="475" t="str">
        <f t="shared" si="227"/>
        <v/>
      </c>
      <c r="AN336" s="475" t="str">
        <f t="shared" si="228"/>
        <v/>
      </c>
      <c r="AO336" s="475" t="str">
        <f t="shared" si="229"/>
        <v/>
      </c>
      <c r="AP336" s="475" t="str">
        <f t="shared" si="230"/>
        <v/>
      </c>
      <c r="AQ336" s="475" t="str">
        <f t="shared" si="231"/>
        <v/>
      </c>
      <c r="AR336" s="475" t="str">
        <f t="shared" si="232"/>
        <v/>
      </c>
      <c r="AS336" s="475" t="str">
        <f t="shared" si="256"/>
        <v/>
      </c>
      <c r="AT336" s="475" t="str">
        <f t="shared" si="233"/>
        <v/>
      </c>
      <c r="AU336" s="475" t="str">
        <f t="shared" si="234"/>
        <v/>
      </c>
      <c r="AV336" s="475" t="str">
        <f t="shared" si="235"/>
        <v/>
      </c>
      <c r="AW336" s="473">
        <f t="shared" si="236"/>
        <v>0</v>
      </c>
      <c r="AX336" s="473" t="str">
        <f>IF(AND($Z336="b",OR($AA336="a",$AA336="b"),Inventory!$I92="",$AE336&lt;(65000/12000)),"x",IF(AND($Z336="b",OR($AA336="a",$AA336="b"),Inventory!$I92&lt;&gt;"",$AE336&lt;(65000/12000)),VLOOKUP(Inventory!$I343,$V$4:$W$5,2,FALSE),"x"))</f>
        <v>x</v>
      </c>
      <c r="AY336" s="476" t="str">
        <f t="shared" si="237"/>
        <v>aaa0</v>
      </c>
      <c r="AZ336" s="477" t="str">
        <f t="shared" si="247"/>
        <v>No</v>
      </c>
      <c r="BA336" s="759" t="str">
        <f t="shared" si="248"/>
        <v>No</v>
      </c>
      <c r="BB336" s="477">
        <f>IF($Z336="c",Inventory!$AB92,Inventory!$K92)</f>
        <v>0</v>
      </c>
      <c r="BC336" s="478">
        <f>IF(AND($Z336="b",Inventory!$N92="Btu/hr"),Inventory!$M92,IF(AND($Z336="b",Inventory!$N92="Tons"),Inventory!$M92*12000,IF(AND($Z336&lt;&gt;"b",Inventory!$AK92="Btu/hr"),Inventory!$AD92,IF(AND($Z336&lt;&gt;"b",Inventory!$AK92="Tons"),Inventory!$AD92*12000,0))))</f>
        <v>0</v>
      </c>
      <c r="BD336" s="478">
        <f t="shared" si="245"/>
        <v>0</v>
      </c>
      <c r="BE336" s="479">
        <f t="shared" si="257"/>
        <v>0</v>
      </c>
      <c r="BF336" s="477" t="s">
        <v>50</v>
      </c>
      <c r="BG336" s="479">
        <f t="shared" si="239"/>
        <v>0</v>
      </c>
      <c r="BH336" s="477" t="s">
        <v>46</v>
      </c>
      <c r="BI336" s="760">
        <f>IF(AND($Z336="b",Inventory!$P92="Btu/hr"),Inventory!$O92,IF(AND($Z336="b",Inventory!$P92="Tons"),Inventory!$O92*12000,IF(AND($Z336&lt;&gt;"b",Inventory!$AM92="Btu/hr"),Inventory!$AL92,IF(AND($Z336&lt;&gt;"b",Inventory!$AM92="Tons"),Inventory!$AL92*12000,0))))</f>
        <v>0</v>
      </c>
      <c r="BJ336" s="760">
        <f t="shared" si="246"/>
        <v>0</v>
      </c>
      <c r="BK336" s="598">
        <f t="shared" si="249"/>
        <v>0</v>
      </c>
      <c r="BL336" s="759" t="s">
        <v>567</v>
      </c>
      <c r="BM336" s="477" t="str">
        <f t="shared" si="240"/>
        <v>No</v>
      </c>
      <c r="BN336" s="477" t="str">
        <f>IF(OR(Inventory!$H92="",$BM336="No"),"-",Inventory!$H92)</f>
        <v>-</v>
      </c>
      <c r="BO336" s="477" t="str">
        <f>IFERROR(VLOOKUP(BN336,'Early Retirement'!$B$6:$C$33,2,FALSE),"-")</f>
        <v>-</v>
      </c>
      <c r="BP336" s="477" t="str">
        <f>IF(Inventory!$J92="Centrifugal","Yes","No")</f>
        <v>No</v>
      </c>
      <c r="BQ336" s="477">
        <f t="shared" si="241"/>
        <v>0</v>
      </c>
      <c r="BR336" s="477" t="str">
        <f t="shared" si="259"/>
        <v>-</v>
      </c>
      <c r="BS336" s="479">
        <f>IFERROR(INDEX('Early Retirement'!$C$4:$AC$33,$BO336,$BR336),0)</f>
        <v>0</v>
      </c>
      <c r="BT336" s="477">
        <f>IFERROR(HLOOKUP($BR336,'Early Retirement'!$D$4:$AC$5,2,FALSE),0)</f>
        <v>0</v>
      </c>
      <c r="BU336" s="761">
        <f>IFERROR(INDEX('Early Retirement'!$AE$4:$BE$33,$BO336,$BR336),0)</f>
        <v>0</v>
      </c>
      <c r="BV336" s="759">
        <f>IFERROR(HLOOKUP($BR336,'Early Retirement'!$AF$4:$BE$5,2,FALSE),0)</f>
        <v>0</v>
      </c>
      <c r="BW336" s="479">
        <f t="shared" si="242"/>
        <v>0</v>
      </c>
      <c r="BX336" s="761">
        <f t="shared" si="250"/>
        <v>0</v>
      </c>
      <c r="BY336" s="477" t="s">
        <v>46</v>
      </c>
      <c r="BZ336" s="598">
        <f>IFERROR(INDEX('Early Retirement'!$BG$4:$CG$33,$BO336,$BR336),0)</f>
        <v>0</v>
      </c>
      <c r="CA336" s="759">
        <f>IFERROR(HLOOKUP($BR336,'Early Retirement'!$BH$4:$CH$5,2,FALSE),0)</f>
        <v>0</v>
      </c>
      <c r="CB336" s="598">
        <f t="shared" si="251"/>
        <v>0</v>
      </c>
      <c r="CC336" s="759" t="s">
        <v>567</v>
      </c>
      <c r="CD336" s="477" t="str">
        <f t="shared" si="243"/>
        <v>Yes</v>
      </c>
      <c r="CE336" s="479">
        <f t="shared" si="252"/>
        <v>0</v>
      </c>
      <c r="CF336" s="761">
        <f t="shared" si="253"/>
        <v>0</v>
      </c>
      <c r="CG336" s="759" t="s">
        <v>46</v>
      </c>
      <c r="CH336" s="598">
        <f t="shared" si="258"/>
        <v>0</v>
      </c>
      <c r="CI336" s="759" t="s">
        <v>567</v>
      </c>
      <c r="CJ336" s="480">
        <f t="shared" si="244"/>
        <v>0</v>
      </c>
      <c r="CK336" s="583">
        <f t="shared" si="254"/>
        <v>0</v>
      </c>
      <c r="CL336" s="596" t="s">
        <v>46</v>
      </c>
      <c r="CM336" s="581">
        <f t="shared" si="255"/>
        <v>0</v>
      </c>
      <c r="CN336" s="762" t="s">
        <v>567</v>
      </c>
      <c r="CW336" s="630"/>
      <c r="CX336" s="630"/>
      <c r="CY336" s="630"/>
      <c r="CZ336" s="630"/>
      <c r="DA336" s="630"/>
    </row>
    <row r="337" spans="2:105" s="78" customFormat="1" ht="15" customHeight="1" x14ac:dyDescent="0.25">
      <c r="B337" s="77"/>
      <c r="E337" s="77"/>
      <c r="H337" s="77"/>
      <c r="Y337" s="90">
        <v>84</v>
      </c>
      <c r="Z337" s="559" t="str">
        <f>IF(Inventory!$C93="","",VLOOKUP(Inventory!$C93,$B$7:$C$9,2,FALSE))</f>
        <v/>
      </c>
      <c r="AA337" s="559" t="str">
        <f>IF($Z337="","",IF(AND($Z337="b",Inventory!$G93=""),"",IF(AND($Z337="b",Inventory!$G93&lt;&gt;""),VLOOKUP(Inventory!$G93,$E$3:$F$10,2,FALSE),IF(AND($Z337="a",Inventory!$Z93=""),"",IF(AND($Z337="a",Inventory!$Z93&lt;&gt;""),VLOOKUP(Inventory!$Z93,$E$3:$F$10,2,FALSE),IF(AND($Z337="c",Inventory!$Z93=""),"",IF(AND($Z337="c",Inventory!$Z93&lt;&gt;""),VLOOKUP(Inventory!$Z93,$E$3:$F$10,2,FALSE),"")))))))</f>
        <v/>
      </c>
      <c r="AB337" s="559" t="str">
        <f>IF($Z337="","a",IF(AND($Z337="b",Inventory!$J93=""),"a",IF(AND($Z337="b",Inventory!$J93&lt;&gt;""),VLOOKUP(Inventory!$J93,$H$4:$I$6,2,FALSE),IF(AND($Z337="a",Inventory!$AA93=""),"a",IF(AND($Z337="a",Inventory!$AA93&lt;&gt;""),VLOOKUP(Inventory!$AA93,$H$4:$I$6,2,FALSE),IF(AND($Z337="c",Inventory!$AA93=""),"a",IF(AND($Z337="c",Inventory!$AA93&lt;&gt;""),VLOOKUP(Inventory!$AA93,$H$4:$I$6,2,FALSE),"a")))))))</f>
        <v>a</v>
      </c>
      <c r="AC337" s="559" t="str">
        <f t="shared" si="219"/>
        <v>a</v>
      </c>
      <c r="AD337" s="473" t="str">
        <f>IF($Z337="","a",IF(AND($Z337="b",Inventory!$L93=""),"a",IF(AND($Z337="b",Inventory!$L93&lt;&gt;""),VLOOKUP(Inventory!$L93,$N$4:$O$5,2,FALSE),IF(AND($Z337="a",Inventory!$AC93=""),"a",IF(AND($Z337="a",Inventory!$AC93&lt;&gt;""),VLOOKUP(Inventory!$AC93,$N$4:$O$5,2,FALSE),IF(AND($Z337="c",Inventory!$AC93=""),"a",IF(AND($Z337="c",Inventory!$AC93&lt;&gt;""),VLOOKUP(Inventory!$AC93,$N$4:$O$5,2,FALSE),"a")))))))</f>
        <v>a</v>
      </c>
      <c r="AE337" s="474">
        <f>IF(OR(Inventory!C93="New Construction",Inventory!C93="Replace-on-Burnout"),Inventory!AF93,IF(Inventory!C93="Early Retirement",MIN(Inventory!AE93,Inventory!AF93),0))</f>
        <v>0</v>
      </c>
      <c r="AF337" s="475" t="str">
        <f t="shared" si="220"/>
        <v/>
      </c>
      <c r="AG337" s="475" t="str">
        <f t="shared" si="221"/>
        <v/>
      </c>
      <c r="AH337" s="475" t="str">
        <f t="shared" si="222"/>
        <v/>
      </c>
      <c r="AI337" s="475" t="str">
        <f t="shared" si="223"/>
        <v/>
      </c>
      <c r="AJ337" s="475" t="str">
        <f t="shared" si="224"/>
        <v/>
      </c>
      <c r="AK337" s="475" t="str">
        <f t="shared" si="225"/>
        <v/>
      </c>
      <c r="AL337" s="475" t="str">
        <f t="shared" si="226"/>
        <v/>
      </c>
      <c r="AM337" s="475" t="str">
        <f t="shared" si="227"/>
        <v/>
      </c>
      <c r="AN337" s="475" t="str">
        <f t="shared" si="228"/>
        <v/>
      </c>
      <c r="AO337" s="475" t="str">
        <f t="shared" si="229"/>
        <v/>
      </c>
      <c r="AP337" s="475" t="str">
        <f t="shared" si="230"/>
        <v/>
      </c>
      <c r="AQ337" s="475" t="str">
        <f t="shared" si="231"/>
        <v/>
      </c>
      <c r="AR337" s="475" t="str">
        <f t="shared" si="232"/>
        <v/>
      </c>
      <c r="AS337" s="475" t="str">
        <f t="shared" si="256"/>
        <v/>
      </c>
      <c r="AT337" s="475" t="str">
        <f t="shared" si="233"/>
        <v/>
      </c>
      <c r="AU337" s="475" t="str">
        <f t="shared" si="234"/>
        <v/>
      </c>
      <c r="AV337" s="475" t="str">
        <f t="shared" si="235"/>
        <v/>
      </c>
      <c r="AW337" s="473">
        <f t="shared" si="236"/>
        <v>0</v>
      </c>
      <c r="AX337" s="473" t="str">
        <f>IF(AND($Z337="b",OR($AA337="a",$AA337="b"),Inventory!$I93="",$AE337&lt;(65000/12000)),"x",IF(AND($Z337="b",OR($AA337="a",$AA337="b"),Inventory!$I93&lt;&gt;"",$AE337&lt;(65000/12000)),VLOOKUP(Inventory!$I344,$V$4:$W$5,2,FALSE),"x"))</f>
        <v>x</v>
      </c>
      <c r="AY337" s="476" t="str">
        <f t="shared" si="237"/>
        <v>aaa0</v>
      </c>
      <c r="AZ337" s="477" t="str">
        <f t="shared" si="247"/>
        <v>No</v>
      </c>
      <c r="BA337" s="759" t="str">
        <f t="shared" si="248"/>
        <v>No</v>
      </c>
      <c r="BB337" s="477">
        <f>IF($Z337="c",Inventory!$AB93,Inventory!$K93)</f>
        <v>0</v>
      </c>
      <c r="BC337" s="478">
        <f>IF(AND($Z337="b",Inventory!$N93="Btu/hr"),Inventory!$M93,IF(AND($Z337="b",Inventory!$N93="Tons"),Inventory!$M93*12000,IF(AND($Z337&lt;&gt;"b",Inventory!$AK93="Btu/hr"),Inventory!$AD93,IF(AND($Z337&lt;&gt;"b",Inventory!$AK93="Tons"),Inventory!$AD93*12000,0))))</f>
        <v>0</v>
      </c>
      <c r="BD337" s="478">
        <f t="shared" si="245"/>
        <v>0</v>
      </c>
      <c r="BE337" s="479">
        <f t="shared" si="257"/>
        <v>0</v>
      </c>
      <c r="BF337" s="477" t="s">
        <v>50</v>
      </c>
      <c r="BG337" s="479">
        <f t="shared" si="239"/>
        <v>0</v>
      </c>
      <c r="BH337" s="477" t="s">
        <v>46</v>
      </c>
      <c r="BI337" s="760">
        <f>IF(AND($Z337="b",Inventory!$P93="Btu/hr"),Inventory!$O93,IF(AND($Z337="b",Inventory!$P93="Tons"),Inventory!$O93*12000,IF(AND($Z337&lt;&gt;"b",Inventory!$AM93="Btu/hr"),Inventory!$AL93,IF(AND($Z337&lt;&gt;"b",Inventory!$AM93="Tons"),Inventory!$AL93*12000,0))))</f>
        <v>0</v>
      </c>
      <c r="BJ337" s="760">
        <f t="shared" si="246"/>
        <v>0</v>
      </c>
      <c r="BK337" s="598">
        <f t="shared" si="249"/>
        <v>0</v>
      </c>
      <c r="BL337" s="759" t="s">
        <v>567</v>
      </c>
      <c r="BM337" s="477" t="str">
        <f t="shared" si="240"/>
        <v>No</v>
      </c>
      <c r="BN337" s="477" t="str">
        <f>IF(OR(Inventory!$H93="",$BM337="No"),"-",Inventory!$H93)</f>
        <v>-</v>
      </c>
      <c r="BO337" s="477" t="str">
        <f>IFERROR(VLOOKUP(BN337,'Early Retirement'!$B$6:$C$33,2,FALSE),"-")</f>
        <v>-</v>
      </c>
      <c r="BP337" s="477" t="str">
        <f>IF(Inventory!$J93="Centrifugal","Yes","No")</f>
        <v>No</v>
      </c>
      <c r="BQ337" s="477">
        <f t="shared" si="241"/>
        <v>0</v>
      </c>
      <c r="BR337" s="477" t="str">
        <f t="shared" si="259"/>
        <v>-</v>
      </c>
      <c r="BS337" s="479">
        <f>IFERROR(INDEX('Early Retirement'!$C$4:$AC$33,$BO337,$BR337),0)</f>
        <v>0</v>
      </c>
      <c r="BT337" s="477">
        <f>IFERROR(HLOOKUP($BR337,'Early Retirement'!$D$4:$AC$5,2,FALSE),0)</f>
        <v>0</v>
      </c>
      <c r="BU337" s="761">
        <f>IFERROR(INDEX('Early Retirement'!$AE$4:$BE$33,$BO337,$BR337),0)</f>
        <v>0</v>
      </c>
      <c r="BV337" s="759">
        <f>IFERROR(HLOOKUP($BR337,'Early Retirement'!$AF$4:$BE$5,2,FALSE),0)</f>
        <v>0</v>
      </c>
      <c r="BW337" s="479">
        <f t="shared" si="242"/>
        <v>0</v>
      </c>
      <c r="BX337" s="761">
        <f t="shared" si="250"/>
        <v>0</v>
      </c>
      <c r="BY337" s="477" t="s">
        <v>46</v>
      </c>
      <c r="BZ337" s="598">
        <f>IFERROR(INDEX('Early Retirement'!$BG$4:$CG$33,$BO337,$BR337),0)</f>
        <v>0</v>
      </c>
      <c r="CA337" s="759">
        <f>IFERROR(HLOOKUP($BR337,'Early Retirement'!$BH$4:$CH$5,2,FALSE),0)</f>
        <v>0</v>
      </c>
      <c r="CB337" s="598">
        <f t="shared" si="251"/>
        <v>0</v>
      </c>
      <c r="CC337" s="759" t="s">
        <v>567</v>
      </c>
      <c r="CD337" s="477" t="str">
        <f t="shared" si="243"/>
        <v>Yes</v>
      </c>
      <c r="CE337" s="479">
        <f t="shared" si="252"/>
        <v>0</v>
      </c>
      <c r="CF337" s="761">
        <f t="shared" si="253"/>
        <v>0</v>
      </c>
      <c r="CG337" s="759" t="s">
        <v>46</v>
      </c>
      <c r="CH337" s="598">
        <f t="shared" si="258"/>
        <v>0</v>
      </c>
      <c r="CI337" s="759" t="s">
        <v>567</v>
      </c>
      <c r="CJ337" s="480">
        <f t="shared" si="244"/>
        <v>0</v>
      </c>
      <c r="CK337" s="583">
        <f t="shared" si="254"/>
        <v>0</v>
      </c>
      <c r="CL337" s="596" t="s">
        <v>46</v>
      </c>
      <c r="CM337" s="581">
        <f t="shared" si="255"/>
        <v>0</v>
      </c>
      <c r="CN337" s="762" t="s">
        <v>567</v>
      </c>
      <c r="CW337" s="630"/>
      <c r="CX337" s="630"/>
      <c r="CY337" s="630"/>
      <c r="CZ337" s="630"/>
      <c r="DA337" s="630"/>
    </row>
    <row r="338" spans="2:105" s="78" customFormat="1" ht="15" customHeight="1" x14ac:dyDescent="0.25">
      <c r="B338" s="77"/>
      <c r="E338" s="77"/>
      <c r="H338" s="77"/>
      <c r="Y338" s="90">
        <v>85</v>
      </c>
      <c r="Z338" s="559" t="str">
        <f>IF(Inventory!$C94="","",VLOOKUP(Inventory!$C94,$B$7:$C$9,2,FALSE))</f>
        <v/>
      </c>
      <c r="AA338" s="559" t="str">
        <f>IF($Z338="","",IF(AND($Z338="b",Inventory!$G94=""),"",IF(AND($Z338="b",Inventory!$G94&lt;&gt;""),VLOOKUP(Inventory!$G94,$E$3:$F$10,2,FALSE),IF(AND($Z338="a",Inventory!$Z94=""),"",IF(AND($Z338="a",Inventory!$Z94&lt;&gt;""),VLOOKUP(Inventory!$Z94,$E$3:$F$10,2,FALSE),IF(AND($Z338="c",Inventory!$Z94=""),"",IF(AND($Z338="c",Inventory!$Z94&lt;&gt;""),VLOOKUP(Inventory!$Z94,$E$3:$F$10,2,FALSE),"")))))))</f>
        <v/>
      </c>
      <c r="AB338" s="559" t="str">
        <f>IF($Z338="","a",IF(AND($Z338="b",Inventory!$J94=""),"a",IF(AND($Z338="b",Inventory!$J94&lt;&gt;""),VLOOKUP(Inventory!$J94,$H$4:$I$6,2,FALSE),IF(AND($Z338="a",Inventory!$AA94=""),"a",IF(AND($Z338="a",Inventory!$AA94&lt;&gt;""),VLOOKUP(Inventory!$AA94,$H$4:$I$6,2,FALSE),IF(AND($Z338="c",Inventory!$AA94=""),"a",IF(AND($Z338="c",Inventory!$AA94&lt;&gt;""),VLOOKUP(Inventory!$AA94,$H$4:$I$6,2,FALSE),"a")))))))</f>
        <v>a</v>
      </c>
      <c r="AC338" s="559" t="str">
        <f t="shared" si="219"/>
        <v>a</v>
      </c>
      <c r="AD338" s="473" t="str">
        <f>IF($Z338="","a",IF(AND($Z338="b",Inventory!$L94=""),"a",IF(AND($Z338="b",Inventory!$L94&lt;&gt;""),VLOOKUP(Inventory!$L94,$N$4:$O$5,2,FALSE),IF(AND($Z338="a",Inventory!$AC94=""),"a",IF(AND($Z338="a",Inventory!$AC94&lt;&gt;""),VLOOKUP(Inventory!$AC94,$N$4:$O$5,2,FALSE),IF(AND($Z338="c",Inventory!$AC94=""),"a",IF(AND($Z338="c",Inventory!$AC94&lt;&gt;""),VLOOKUP(Inventory!$AC94,$N$4:$O$5,2,FALSE),"a")))))))</f>
        <v>a</v>
      </c>
      <c r="AE338" s="474">
        <f>IF(OR(Inventory!C94="New Construction",Inventory!C94="Replace-on-Burnout"),Inventory!AF94,IF(Inventory!C94="Early Retirement",MIN(Inventory!AE94,Inventory!AF94),0))</f>
        <v>0</v>
      </c>
      <c r="AF338" s="475" t="str">
        <f t="shared" si="220"/>
        <v/>
      </c>
      <c r="AG338" s="475" t="str">
        <f t="shared" si="221"/>
        <v/>
      </c>
      <c r="AH338" s="475" t="str">
        <f t="shared" si="222"/>
        <v/>
      </c>
      <c r="AI338" s="475" t="str">
        <f t="shared" si="223"/>
        <v/>
      </c>
      <c r="AJ338" s="475" t="str">
        <f t="shared" si="224"/>
        <v/>
      </c>
      <c r="AK338" s="475" t="str">
        <f t="shared" si="225"/>
        <v/>
      </c>
      <c r="AL338" s="475" t="str">
        <f t="shared" si="226"/>
        <v/>
      </c>
      <c r="AM338" s="475" t="str">
        <f t="shared" si="227"/>
        <v/>
      </c>
      <c r="AN338" s="475" t="str">
        <f t="shared" si="228"/>
        <v/>
      </c>
      <c r="AO338" s="475" t="str">
        <f t="shared" si="229"/>
        <v/>
      </c>
      <c r="AP338" s="475" t="str">
        <f t="shared" si="230"/>
        <v/>
      </c>
      <c r="AQ338" s="475" t="str">
        <f t="shared" si="231"/>
        <v/>
      </c>
      <c r="AR338" s="475" t="str">
        <f t="shared" si="232"/>
        <v/>
      </c>
      <c r="AS338" s="475" t="str">
        <f t="shared" si="256"/>
        <v/>
      </c>
      <c r="AT338" s="475" t="str">
        <f t="shared" si="233"/>
        <v/>
      </c>
      <c r="AU338" s="475" t="str">
        <f t="shared" si="234"/>
        <v/>
      </c>
      <c r="AV338" s="475" t="str">
        <f t="shared" si="235"/>
        <v/>
      </c>
      <c r="AW338" s="473">
        <f t="shared" si="236"/>
        <v>0</v>
      </c>
      <c r="AX338" s="473" t="str">
        <f>IF(AND($Z338="b",OR($AA338="a",$AA338="b"),Inventory!$I94="",$AE338&lt;(65000/12000)),"x",IF(AND($Z338="b",OR($AA338="a",$AA338="b"),Inventory!$I94&lt;&gt;"",$AE338&lt;(65000/12000)),VLOOKUP(Inventory!$I345,$V$4:$W$5,2,FALSE),"x"))</f>
        <v>x</v>
      </c>
      <c r="AY338" s="476" t="str">
        <f t="shared" si="237"/>
        <v>aaa0</v>
      </c>
      <c r="AZ338" s="477" t="str">
        <f t="shared" si="247"/>
        <v>No</v>
      </c>
      <c r="BA338" s="759" t="str">
        <f t="shared" si="248"/>
        <v>No</v>
      </c>
      <c r="BB338" s="477">
        <f>IF($Z338="c",Inventory!$AB94,Inventory!$K94)</f>
        <v>0</v>
      </c>
      <c r="BC338" s="478">
        <f>IF(AND($Z338="b",Inventory!$N94="Btu/hr"),Inventory!$M94,IF(AND($Z338="b",Inventory!$N94="Tons"),Inventory!$M94*12000,IF(AND($Z338&lt;&gt;"b",Inventory!$AK94="Btu/hr"),Inventory!$AD94,IF(AND($Z338&lt;&gt;"b",Inventory!$AK94="Tons"),Inventory!$AD94*12000,0))))</f>
        <v>0</v>
      </c>
      <c r="BD338" s="478">
        <f t="shared" si="245"/>
        <v>0</v>
      </c>
      <c r="BE338" s="479">
        <f t="shared" si="257"/>
        <v>0</v>
      </c>
      <c r="BF338" s="477" t="s">
        <v>50</v>
      </c>
      <c r="BG338" s="479">
        <f t="shared" si="239"/>
        <v>0</v>
      </c>
      <c r="BH338" s="477" t="s">
        <v>46</v>
      </c>
      <c r="BI338" s="760">
        <f>IF(AND($Z338="b",Inventory!$P94="Btu/hr"),Inventory!$O94,IF(AND($Z338="b",Inventory!$P94="Tons"),Inventory!$O94*12000,IF(AND($Z338&lt;&gt;"b",Inventory!$AM94="Btu/hr"),Inventory!$AL94,IF(AND($Z338&lt;&gt;"b",Inventory!$AM94="Tons"),Inventory!$AL94*12000,0))))</f>
        <v>0</v>
      </c>
      <c r="BJ338" s="760">
        <f t="shared" si="246"/>
        <v>0</v>
      </c>
      <c r="BK338" s="598">
        <f t="shared" si="249"/>
        <v>0</v>
      </c>
      <c r="BL338" s="759" t="s">
        <v>567</v>
      </c>
      <c r="BM338" s="477" t="str">
        <f t="shared" si="240"/>
        <v>No</v>
      </c>
      <c r="BN338" s="477" t="str">
        <f>IF(OR(Inventory!$H94="",$BM338="No"),"-",Inventory!$H94)</f>
        <v>-</v>
      </c>
      <c r="BO338" s="477" t="str">
        <f>IFERROR(VLOOKUP(BN338,'Early Retirement'!$B$6:$C$33,2,FALSE),"-")</f>
        <v>-</v>
      </c>
      <c r="BP338" s="477" t="str">
        <f>IF(Inventory!$J94="Centrifugal","Yes","No")</f>
        <v>No</v>
      </c>
      <c r="BQ338" s="477">
        <f t="shared" si="241"/>
        <v>0</v>
      </c>
      <c r="BR338" s="477" t="str">
        <f t="shared" si="259"/>
        <v>-</v>
      </c>
      <c r="BS338" s="479">
        <f>IFERROR(INDEX('Early Retirement'!$C$4:$AC$33,$BO338,$BR338),0)</f>
        <v>0</v>
      </c>
      <c r="BT338" s="477">
        <f>IFERROR(HLOOKUP($BR338,'Early Retirement'!$D$4:$AC$5,2,FALSE),0)</f>
        <v>0</v>
      </c>
      <c r="BU338" s="761">
        <f>IFERROR(INDEX('Early Retirement'!$AE$4:$BE$33,$BO338,$BR338),0)</f>
        <v>0</v>
      </c>
      <c r="BV338" s="759">
        <f>IFERROR(HLOOKUP($BR338,'Early Retirement'!$AF$4:$BE$5,2,FALSE),0)</f>
        <v>0</v>
      </c>
      <c r="BW338" s="479">
        <f t="shared" si="242"/>
        <v>0</v>
      </c>
      <c r="BX338" s="761">
        <f t="shared" si="250"/>
        <v>0</v>
      </c>
      <c r="BY338" s="477" t="s">
        <v>46</v>
      </c>
      <c r="BZ338" s="598">
        <f>IFERROR(INDEX('Early Retirement'!$BG$4:$CG$33,$BO338,$BR338),0)</f>
        <v>0</v>
      </c>
      <c r="CA338" s="759">
        <f>IFERROR(HLOOKUP($BR338,'Early Retirement'!$BH$4:$CH$5,2,FALSE),0)</f>
        <v>0</v>
      </c>
      <c r="CB338" s="598">
        <f t="shared" si="251"/>
        <v>0</v>
      </c>
      <c r="CC338" s="759" t="s">
        <v>567</v>
      </c>
      <c r="CD338" s="477" t="str">
        <f t="shared" si="243"/>
        <v>Yes</v>
      </c>
      <c r="CE338" s="479">
        <f t="shared" si="252"/>
        <v>0</v>
      </c>
      <c r="CF338" s="761">
        <f t="shared" si="253"/>
        <v>0</v>
      </c>
      <c r="CG338" s="759" t="s">
        <v>46</v>
      </c>
      <c r="CH338" s="598">
        <f t="shared" si="258"/>
        <v>0</v>
      </c>
      <c r="CI338" s="759" t="s">
        <v>567</v>
      </c>
      <c r="CJ338" s="480">
        <f t="shared" si="244"/>
        <v>0</v>
      </c>
      <c r="CK338" s="583">
        <f t="shared" si="254"/>
        <v>0</v>
      </c>
      <c r="CL338" s="596" t="s">
        <v>46</v>
      </c>
      <c r="CM338" s="581">
        <f t="shared" si="255"/>
        <v>0</v>
      </c>
      <c r="CN338" s="762" t="s">
        <v>567</v>
      </c>
      <c r="CW338" s="630"/>
      <c r="CX338" s="630"/>
      <c r="CY338" s="630"/>
      <c r="CZ338" s="630"/>
      <c r="DA338" s="630"/>
    </row>
    <row r="339" spans="2:105" s="78" customFormat="1" ht="15" customHeight="1" x14ac:dyDescent="0.25">
      <c r="B339" s="77"/>
      <c r="E339" s="77"/>
      <c r="H339" s="77"/>
      <c r="Y339" s="90">
        <v>86</v>
      </c>
      <c r="Z339" s="559" t="str">
        <f>IF(Inventory!$C95="","",VLOOKUP(Inventory!$C95,$B$7:$C$9,2,FALSE))</f>
        <v/>
      </c>
      <c r="AA339" s="559" t="str">
        <f>IF($Z339="","",IF(AND($Z339="b",Inventory!$G95=""),"",IF(AND($Z339="b",Inventory!$G95&lt;&gt;""),VLOOKUP(Inventory!$G95,$E$3:$F$10,2,FALSE),IF(AND($Z339="a",Inventory!$Z95=""),"",IF(AND($Z339="a",Inventory!$Z95&lt;&gt;""),VLOOKUP(Inventory!$Z95,$E$3:$F$10,2,FALSE),IF(AND($Z339="c",Inventory!$Z95=""),"",IF(AND($Z339="c",Inventory!$Z95&lt;&gt;""),VLOOKUP(Inventory!$Z95,$E$3:$F$10,2,FALSE),"")))))))</f>
        <v/>
      </c>
      <c r="AB339" s="559" t="str">
        <f>IF($Z339="","a",IF(AND($Z339="b",Inventory!$J95=""),"a",IF(AND($Z339="b",Inventory!$J95&lt;&gt;""),VLOOKUP(Inventory!$J95,$H$4:$I$6,2,FALSE),IF(AND($Z339="a",Inventory!$AA95=""),"a",IF(AND($Z339="a",Inventory!$AA95&lt;&gt;""),VLOOKUP(Inventory!$AA95,$H$4:$I$6,2,FALSE),IF(AND($Z339="c",Inventory!$AA95=""),"a",IF(AND($Z339="c",Inventory!$AA95&lt;&gt;""),VLOOKUP(Inventory!$AA95,$H$4:$I$6,2,FALSE),"a")))))))</f>
        <v>a</v>
      </c>
      <c r="AC339" s="559" t="str">
        <f t="shared" si="219"/>
        <v>a</v>
      </c>
      <c r="AD339" s="473" t="str">
        <f>IF($Z339="","a",IF(AND($Z339="b",Inventory!$L95=""),"a",IF(AND($Z339="b",Inventory!$L95&lt;&gt;""),VLOOKUP(Inventory!$L95,$N$4:$O$5,2,FALSE),IF(AND($Z339="a",Inventory!$AC95=""),"a",IF(AND($Z339="a",Inventory!$AC95&lt;&gt;""),VLOOKUP(Inventory!$AC95,$N$4:$O$5,2,FALSE),IF(AND($Z339="c",Inventory!$AC95=""),"a",IF(AND($Z339="c",Inventory!$AC95&lt;&gt;""),VLOOKUP(Inventory!$AC95,$N$4:$O$5,2,FALSE),"a")))))))</f>
        <v>a</v>
      </c>
      <c r="AE339" s="474">
        <f>IF(OR(Inventory!C95="New Construction",Inventory!C95="Replace-on-Burnout"),Inventory!AF95,IF(Inventory!C95="Early Retirement",MIN(Inventory!AE95,Inventory!AF95),0))</f>
        <v>0</v>
      </c>
      <c r="AF339" s="475" t="str">
        <f t="shared" si="220"/>
        <v/>
      </c>
      <c r="AG339" s="475" t="str">
        <f t="shared" si="221"/>
        <v/>
      </c>
      <c r="AH339" s="475" t="str">
        <f t="shared" si="222"/>
        <v/>
      </c>
      <c r="AI339" s="475" t="str">
        <f t="shared" si="223"/>
        <v/>
      </c>
      <c r="AJ339" s="475" t="str">
        <f t="shared" si="224"/>
        <v/>
      </c>
      <c r="AK339" s="475" t="str">
        <f t="shared" si="225"/>
        <v/>
      </c>
      <c r="AL339" s="475" t="str">
        <f t="shared" si="226"/>
        <v/>
      </c>
      <c r="AM339" s="475" t="str">
        <f t="shared" si="227"/>
        <v/>
      </c>
      <c r="AN339" s="475" t="str">
        <f t="shared" si="228"/>
        <v/>
      </c>
      <c r="AO339" s="475" t="str">
        <f t="shared" si="229"/>
        <v/>
      </c>
      <c r="AP339" s="475" t="str">
        <f t="shared" si="230"/>
        <v/>
      </c>
      <c r="AQ339" s="475" t="str">
        <f t="shared" si="231"/>
        <v/>
      </c>
      <c r="AR339" s="475" t="str">
        <f t="shared" si="232"/>
        <v/>
      </c>
      <c r="AS339" s="475" t="str">
        <f t="shared" si="256"/>
        <v/>
      </c>
      <c r="AT339" s="475" t="str">
        <f t="shared" si="233"/>
        <v/>
      </c>
      <c r="AU339" s="475" t="str">
        <f t="shared" si="234"/>
        <v/>
      </c>
      <c r="AV339" s="475" t="str">
        <f t="shared" si="235"/>
        <v/>
      </c>
      <c r="AW339" s="473">
        <f t="shared" si="236"/>
        <v>0</v>
      </c>
      <c r="AX339" s="473" t="str">
        <f>IF(AND($Z339="b",OR($AA339="a",$AA339="b"),Inventory!$I95="",$AE339&lt;(65000/12000)),"x",IF(AND($Z339="b",OR($AA339="a",$AA339="b"),Inventory!$I95&lt;&gt;"",$AE339&lt;(65000/12000)),VLOOKUP(Inventory!$I346,$V$4:$W$5,2,FALSE),"x"))</f>
        <v>x</v>
      </c>
      <c r="AY339" s="476" t="str">
        <f t="shared" si="237"/>
        <v>aaa0</v>
      </c>
      <c r="AZ339" s="477" t="str">
        <f t="shared" si="247"/>
        <v>No</v>
      </c>
      <c r="BA339" s="759" t="str">
        <f t="shared" si="248"/>
        <v>No</v>
      </c>
      <c r="BB339" s="477">
        <f>IF($Z339="c",Inventory!$AB95,Inventory!$K95)</f>
        <v>0</v>
      </c>
      <c r="BC339" s="478">
        <f>IF(AND($Z339="b",Inventory!$N95="Btu/hr"),Inventory!$M95,IF(AND($Z339="b",Inventory!$N95="Tons"),Inventory!$M95*12000,IF(AND($Z339&lt;&gt;"b",Inventory!$AK95="Btu/hr"),Inventory!$AD95,IF(AND($Z339&lt;&gt;"b",Inventory!$AK95="Tons"),Inventory!$AD95*12000,0))))</f>
        <v>0</v>
      </c>
      <c r="BD339" s="478">
        <f t="shared" si="245"/>
        <v>0</v>
      </c>
      <c r="BE339" s="479">
        <f t="shared" si="257"/>
        <v>0</v>
      </c>
      <c r="BF339" s="477" t="s">
        <v>50</v>
      </c>
      <c r="BG339" s="479">
        <f t="shared" si="239"/>
        <v>0</v>
      </c>
      <c r="BH339" s="477" t="s">
        <v>46</v>
      </c>
      <c r="BI339" s="760">
        <f>IF(AND($Z339="b",Inventory!$P95="Btu/hr"),Inventory!$O95,IF(AND($Z339="b",Inventory!$P95="Tons"),Inventory!$O95*12000,IF(AND($Z339&lt;&gt;"b",Inventory!$AM95="Btu/hr"),Inventory!$AL95,IF(AND($Z339&lt;&gt;"b",Inventory!$AM95="Tons"),Inventory!$AL95*12000,0))))</f>
        <v>0</v>
      </c>
      <c r="BJ339" s="760">
        <f t="shared" si="246"/>
        <v>0</v>
      </c>
      <c r="BK339" s="598">
        <f t="shared" si="249"/>
        <v>0</v>
      </c>
      <c r="BL339" s="759" t="s">
        <v>567</v>
      </c>
      <c r="BM339" s="477" t="str">
        <f t="shared" si="240"/>
        <v>No</v>
      </c>
      <c r="BN339" s="477" t="str">
        <f>IF(OR(Inventory!$H95="",$BM339="No"),"-",Inventory!$H95)</f>
        <v>-</v>
      </c>
      <c r="BO339" s="477" t="str">
        <f>IFERROR(VLOOKUP(BN339,'Early Retirement'!$B$6:$C$33,2,FALSE),"-")</f>
        <v>-</v>
      </c>
      <c r="BP339" s="477" t="str">
        <f>IF(Inventory!$J95="Centrifugal","Yes","No")</f>
        <v>No</v>
      </c>
      <c r="BQ339" s="477">
        <f t="shared" si="241"/>
        <v>0</v>
      </c>
      <c r="BR339" s="477" t="str">
        <f t="shared" si="259"/>
        <v>-</v>
      </c>
      <c r="BS339" s="479">
        <f>IFERROR(INDEX('Early Retirement'!$C$4:$AC$33,$BO339,$BR339),0)</f>
        <v>0</v>
      </c>
      <c r="BT339" s="477">
        <f>IFERROR(HLOOKUP($BR339,'Early Retirement'!$D$4:$AC$5,2,FALSE),0)</f>
        <v>0</v>
      </c>
      <c r="BU339" s="761">
        <f>IFERROR(INDEX('Early Retirement'!$AE$4:$BE$33,$BO339,$BR339),0)</f>
        <v>0</v>
      </c>
      <c r="BV339" s="759">
        <f>IFERROR(HLOOKUP($BR339,'Early Retirement'!$AF$4:$BE$5,2,FALSE),0)</f>
        <v>0</v>
      </c>
      <c r="BW339" s="479">
        <f t="shared" si="242"/>
        <v>0</v>
      </c>
      <c r="BX339" s="761">
        <f t="shared" si="250"/>
        <v>0</v>
      </c>
      <c r="BY339" s="477" t="s">
        <v>46</v>
      </c>
      <c r="BZ339" s="598">
        <f>IFERROR(INDEX('Early Retirement'!$BG$4:$CG$33,$BO339,$BR339),0)</f>
        <v>0</v>
      </c>
      <c r="CA339" s="759">
        <f>IFERROR(HLOOKUP($BR339,'Early Retirement'!$BH$4:$CH$5,2,FALSE),0)</f>
        <v>0</v>
      </c>
      <c r="CB339" s="598">
        <f t="shared" si="251"/>
        <v>0</v>
      </c>
      <c r="CC339" s="759" t="s">
        <v>567</v>
      </c>
      <c r="CD339" s="477" t="str">
        <f t="shared" si="243"/>
        <v>Yes</v>
      </c>
      <c r="CE339" s="479">
        <f t="shared" si="252"/>
        <v>0</v>
      </c>
      <c r="CF339" s="761">
        <f t="shared" si="253"/>
        <v>0</v>
      </c>
      <c r="CG339" s="759" t="s">
        <v>46</v>
      </c>
      <c r="CH339" s="598">
        <f t="shared" si="258"/>
        <v>0</v>
      </c>
      <c r="CI339" s="759" t="s">
        <v>567</v>
      </c>
      <c r="CJ339" s="480">
        <f t="shared" si="244"/>
        <v>0</v>
      </c>
      <c r="CK339" s="583">
        <f t="shared" si="254"/>
        <v>0</v>
      </c>
      <c r="CL339" s="596" t="s">
        <v>46</v>
      </c>
      <c r="CM339" s="581">
        <f t="shared" si="255"/>
        <v>0</v>
      </c>
      <c r="CN339" s="762" t="s">
        <v>567</v>
      </c>
      <c r="CW339" s="630"/>
      <c r="CX339" s="630"/>
      <c r="CY339" s="630"/>
      <c r="CZ339" s="630"/>
      <c r="DA339" s="630"/>
    </row>
    <row r="340" spans="2:105" s="78" customFormat="1" ht="15" customHeight="1" x14ac:dyDescent="0.25">
      <c r="B340" s="77"/>
      <c r="E340" s="77"/>
      <c r="H340" s="77"/>
      <c r="Y340" s="90">
        <v>87</v>
      </c>
      <c r="Z340" s="559" t="str">
        <f>IF(Inventory!$C96="","",VLOOKUP(Inventory!$C96,$B$7:$C$9,2,FALSE))</f>
        <v/>
      </c>
      <c r="AA340" s="559" t="str">
        <f>IF($Z340="","",IF(AND($Z340="b",Inventory!$G96=""),"",IF(AND($Z340="b",Inventory!$G96&lt;&gt;""),VLOOKUP(Inventory!$G96,$E$3:$F$10,2,FALSE),IF(AND($Z340="a",Inventory!$Z96=""),"",IF(AND($Z340="a",Inventory!$Z96&lt;&gt;""),VLOOKUP(Inventory!$Z96,$E$3:$F$10,2,FALSE),IF(AND($Z340="c",Inventory!$Z96=""),"",IF(AND($Z340="c",Inventory!$Z96&lt;&gt;""),VLOOKUP(Inventory!$Z96,$E$3:$F$10,2,FALSE),"")))))))</f>
        <v/>
      </c>
      <c r="AB340" s="559" t="str">
        <f>IF($Z340="","a",IF(AND($Z340="b",Inventory!$J96=""),"a",IF(AND($Z340="b",Inventory!$J96&lt;&gt;""),VLOOKUP(Inventory!$J96,$H$4:$I$6,2,FALSE),IF(AND($Z340="a",Inventory!$AA96=""),"a",IF(AND($Z340="a",Inventory!$AA96&lt;&gt;""),VLOOKUP(Inventory!$AA96,$H$4:$I$6,2,FALSE),IF(AND($Z340="c",Inventory!$AA96=""),"a",IF(AND($Z340="c",Inventory!$AA96&lt;&gt;""),VLOOKUP(Inventory!$AA96,$H$4:$I$6,2,FALSE),"a")))))))</f>
        <v>a</v>
      </c>
      <c r="AC340" s="559" t="str">
        <f t="shared" si="219"/>
        <v>a</v>
      </c>
      <c r="AD340" s="473" t="str">
        <f>IF($Z340="","a",IF(AND($Z340="b",Inventory!$L96=""),"a",IF(AND($Z340="b",Inventory!$L96&lt;&gt;""),VLOOKUP(Inventory!$L96,$N$4:$O$5,2,FALSE),IF(AND($Z340="a",Inventory!$AC96=""),"a",IF(AND($Z340="a",Inventory!$AC96&lt;&gt;""),VLOOKUP(Inventory!$AC96,$N$4:$O$5,2,FALSE),IF(AND($Z340="c",Inventory!$AC96=""),"a",IF(AND($Z340="c",Inventory!$AC96&lt;&gt;""),VLOOKUP(Inventory!$AC96,$N$4:$O$5,2,FALSE),"a")))))))</f>
        <v>a</v>
      </c>
      <c r="AE340" s="474">
        <f>IF(OR(Inventory!C96="New Construction",Inventory!C96="Replace-on-Burnout"),Inventory!AF96,IF(Inventory!C96="Early Retirement",MIN(Inventory!AE96,Inventory!AF96),0))</f>
        <v>0</v>
      </c>
      <c r="AF340" s="475" t="str">
        <f t="shared" si="220"/>
        <v/>
      </c>
      <c r="AG340" s="475" t="str">
        <f t="shared" si="221"/>
        <v/>
      </c>
      <c r="AH340" s="475" t="str">
        <f t="shared" si="222"/>
        <v/>
      </c>
      <c r="AI340" s="475" t="str">
        <f t="shared" si="223"/>
        <v/>
      </c>
      <c r="AJ340" s="475" t="str">
        <f t="shared" si="224"/>
        <v/>
      </c>
      <c r="AK340" s="475" t="str">
        <f t="shared" si="225"/>
        <v/>
      </c>
      <c r="AL340" s="475" t="str">
        <f t="shared" si="226"/>
        <v/>
      </c>
      <c r="AM340" s="475" t="str">
        <f t="shared" si="227"/>
        <v/>
      </c>
      <c r="AN340" s="475" t="str">
        <f t="shared" si="228"/>
        <v/>
      </c>
      <c r="AO340" s="475" t="str">
        <f t="shared" si="229"/>
        <v/>
      </c>
      <c r="AP340" s="475" t="str">
        <f t="shared" si="230"/>
        <v/>
      </c>
      <c r="AQ340" s="475" t="str">
        <f t="shared" si="231"/>
        <v/>
      </c>
      <c r="AR340" s="475" t="str">
        <f t="shared" si="232"/>
        <v/>
      </c>
      <c r="AS340" s="475" t="str">
        <f t="shared" si="256"/>
        <v/>
      </c>
      <c r="AT340" s="475" t="str">
        <f t="shared" si="233"/>
        <v/>
      </c>
      <c r="AU340" s="475" t="str">
        <f t="shared" si="234"/>
        <v/>
      </c>
      <c r="AV340" s="475" t="str">
        <f t="shared" si="235"/>
        <v/>
      </c>
      <c r="AW340" s="473">
        <f t="shared" si="236"/>
        <v>0</v>
      </c>
      <c r="AX340" s="473" t="str">
        <f>IF(AND($Z340="b",OR($AA340="a",$AA340="b"),Inventory!$I96="",$AE340&lt;(65000/12000)),"x",IF(AND($Z340="b",OR($AA340="a",$AA340="b"),Inventory!$I96&lt;&gt;"",$AE340&lt;(65000/12000)),VLOOKUP(Inventory!$I347,$V$4:$W$5,2,FALSE),"x"))</f>
        <v>x</v>
      </c>
      <c r="AY340" s="476" t="str">
        <f t="shared" si="237"/>
        <v>aaa0</v>
      </c>
      <c r="AZ340" s="477" t="str">
        <f t="shared" si="247"/>
        <v>No</v>
      </c>
      <c r="BA340" s="759" t="str">
        <f t="shared" si="248"/>
        <v>No</v>
      </c>
      <c r="BB340" s="477">
        <f>IF($Z340="c",Inventory!$AB96,Inventory!$K96)</f>
        <v>0</v>
      </c>
      <c r="BC340" s="478">
        <f>IF(AND($Z340="b",Inventory!$N96="Btu/hr"),Inventory!$M96,IF(AND($Z340="b",Inventory!$N96="Tons"),Inventory!$M96*12000,IF(AND($Z340&lt;&gt;"b",Inventory!$AK96="Btu/hr"),Inventory!$AD96,IF(AND($Z340&lt;&gt;"b",Inventory!$AK96="Tons"),Inventory!$AD96*12000,0))))</f>
        <v>0</v>
      </c>
      <c r="BD340" s="478">
        <f t="shared" si="245"/>
        <v>0</v>
      </c>
      <c r="BE340" s="479">
        <f t="shared" si="257"/>
        <v>0</v>
      </c>
      <c r="BF340" s="477" t="s">
        <v>50</v>
      </c>
      <c r="BG340" s="479">
        <f t="shared" si="239"/>
        <v>0</v>
      </c>
      <c r="BH340" s="477" t="s">
        <v>46</v>
      </c>
      <c r="BI340" s="760">
        <f>IF(AND($Z340="b",Inventory!$P96="Btu/hr"),Inventory!$O96,IF(AND($Z340="b",Inventory!$P96="Tons"),Inventory!$O96*12000,IF(AND($Z340&lt;&gt;"b",Inventory!$AM96="Btu/hr"),Inventory!$AL96,IF(AND($Z340&lt;&gt;"b",Inventory!$AM96="Tons"),Inventory!$AL96*12000,0))))</f>
        <v>0</v>
      </c>
      <c r="BJ340" s="760">
        <f t="shared" si="246"/>
        <v>0</v>
      </c>
      <c r="BK340" s="598">
        <f t="shared" si="249"/>
        <v>0</v>
      </c>
      <c r="BL340" s="759" t="s">
        <v>567</v>
      </c>
      <c r="BM340" s="477" t="str">
        <f t="shared" si="240"/>
        <v>No</v>
      </c>
      <c r="BN340" s="477" t="str">
        <f>IF(OR(Inventory!$H96="",$BM340="No"),"-",Inventory!$H96)</f>
        <v>-</v>
      </c>
      <c r="BO340" s="477" t="str">
        <f>IFERROR(VLOOKUP(BN340,'Early Retirement'!$B$6:$C$33,2,FALSE),"-")</f>
        <v>-</v>
      </c>
      <c r="BP340" s="477" t="str">
        <f>IF(Inventory!$J96="Centrifugal","Yes","No")</f>
        <v>No</v>
      </c>
      <c r="BQ340" s="477">
        <f t="shared" si="241"/>
        <v>0</v>
      </c>
      <c r="BR340" s="477" t="str">
        <f t="shared" si="259"/>
        <v>-</v>
      </c>
      <c r="BS340" s="479">
        <f>IFERROR(INDEX('Early Retirement'!$C$4:$AC$33,$BO340,$BR340),0)</f>
        <v>0</v>
      </c>
      <c r="BT340" s="477">
        <f>IFERROR(HLOOKUP($BR340,'Early Retirement'!$D$4:$AC$5,2,FALSE),0)</f>
        <v>0</v>
      </c>
      <c r="BU340" s="761">
        <f>IFERROR(INDEX('Early Retirement'!$AE$4:$BE$33,$BO340,$BR340),0)</f>
        <v>0</v>
      </c>
      <c r="BV340" s="759">
        <f>IFERROR(HLOOKUP($BR340,'Early Retirement'!$AF$4:$BE$5,2,FALSE),0)</f>
        <v>0</v>
      </c>
      <c r="BW340" s="479">
        <f t="shared" si="242"/>
        <v>0</v>
      </c>
      <c r="BX340" s="761">
        <f t="shared" si="250"/>
        <v>0</v>
      </c>
      <c r="BY340" s="477" t="s">
        <v>46</v>
      </c>
      <c r="BZ340" s="598">
        <f>IFERROR(INDEX('Early Retirement'!$BG$4:$CG$33,$BO340,$BR340),0)</f>
        <v>0</v>
      </c>
      <c r="CA340" s="759">
        <f>IFERROR(HLOOKUP($BR340,'Early Retirement'!$BH$4:$CH$5,2,FALSE),0)</f>
        <v>0</v>
      </c>
      <c r="CB340" s="598">
        <f t="shared" si="251"/>
        <v>0</v>
      </c>
      <c r="CC340" s="759" t="s">
        <v>567</v>
      </c>
      <c r="CD340" s="477" t="str">
        <f t="shared" si="243"/>
        <v>Yes</v>
      </c>
      <c r="CE340" s="479">
        <f t="shared" si="252"/>
        <v>0</v>
      </c>
      <c r="CF340" s="761">
        <f t="shared" si="253"/>
        <v>0</v>
      </c>
      <c r="CG340" s="759" t="s">
        <v>46</v>
      </c>
      <c r="CH340" s="598">
        <f t="shared" si="258"/>
        <v>0</v>
      </c>
      <c r="CI340" s="759" t="s">
        <v>567</v>
      </c>
      <c r="CJ340" s="480">
        <f t="shared" si="244"/>
        <v>0</v>
      </c>
      <c r="CK340" s="583">
        <f t="shared" si="254"/>
        <v>0</v>
      </c>
      <c r="CL340" s="596" t="s">
        <v>46</v>
      </c>
      <c r="CM340" s="581">
        <f t="shared" si="255"/>
        <v>0</v>
      </c>
      <c r="CN340" s="762" t="s">
        <v>567</v>
      </c>
      <c r="CW340" s="630"/>
      <c r="CX340" s="630"/>
      <c r="CY340" s="630"/>
      <c r="CZ340" s="630"/>
      <c r="DA340" s="630"/>
    </row>
    <row r="341" spans="2:105" s="78" customFormat="1" ht="15" customHeight="1" x14ac:dyDescent="0.25">
      <c r="B341" s="77"/>
      <c r="E341" s="77"/>
      <c r="H341" s="77"/>
      <c r="Y341" s="90">
        <v>88</v>
      </c>
      <c r="Z341" s="559" t="str">
        <f>IF(Inventory!$C97="","",VLOOKUP(Inventory!$C97,$B$7:$C$9,2,FALSE))</f>
        <v/>
      </c>
      <c r="AA341" s="559" t="str">
        <f>IF($Z341="","",IF(AND($Z341="b",Inventory!$G97=""),"",IF(AND($Z341="b",Inventory!$G97&lt;&gt;""),VLOOKUP(Inventory!$G97,$E$3:$F$10,2,FALSE),IF(AND($Z341="a",Inventory!$Z97=""),"",IF(AND($Z341="a",Inventory!$Z97&lt;&gt;""),VLOOKUP(Inventory!$Z97,$E$3:$F$10,2,FALSE),IF(AND($Z341="c",Inventory!$Z97=""),"",IF(AND($Z341="c",Inventory!$Z97&lt;&gt;""),VLOOKUP(Inventory!$Z97,$E$3:$F$10,2,FALSE),"")))))))</f>
        <v/>
      </c>
      <c r="AB341" s="559" t="str">
        <f>IF($Z341="","a",IF(AND($Z341="b",Inventory!$J97=""),"a",IF(AND($Z341="b",Inventory!$J97&lt;&gt;""),VLOOKUP(Inventory!$J97,$H$4:$I$6,2,FALSE),IF(AND($Z341="a",Inventory!$AA97=""),"a",IF(AND($Z341="a",Inventory!$AA97&lt;&gt;""),VLOOKUP(Inventory!$AA97,$H$4:$I$6,2,FALSE),IF(AND($Z341="c",Inventory!$AA97=""),"a",IF(AND($Z341="c",Inventory!$AA97&lt;&gt;""),VLOOKUP(Inventory!$AA97,$H$4:$I$6,2,FALSE),"a")))))))</f>
        <v>a</v>
      </c>
      <c r="AC341" s="559" t="str">
        <f t="shared" si="219"/>
        <v>a</v>
      </c>
      <c r="AD341" s="473" t="str">
        <f>IF($Z341="","a",IF(AND($Z341="b",Inventory!$L97=""),"a",IF(AND($Z341="b",Inventory!$L97&lt;&gt;""),VLOOKUP(Inventory!$L97,$N$4:$O$5,2,FALSE),IF(AND($Z341="a",Inventory!$AC97=""),"a",IF(AND($Z341="a",Inventory!$AC97&lt;&gt;""),VLOOKUP(Inventory!$AC97,$N$4:$O$5,2,FALSE),IF(AND($Z341="c",Inventory!$AC97=""),"a",IF(AND($Z341="c",Inventory!$AC97&lt;&gt;""),VLOOKUP(Inventory!$AC97,$N$4:$O$5,2,FALSE),"a")))))))</f>
        <v>a</v>
      </c>
      <c r="AE341" s="474">
        <f>IF(OR(Inventory!C97="New Construction",Inventory!C97="Replace-on-Burnout"),Inventory!AF97,IF(Inventory!C97="Early Retirement",MIN(Inventory!AE97,Inventory!AF97),0))</f>
        <v>0</v>
      </c>
      <c r="AF341" s="475" t="str">
        <f t="shared" si="220"/>
        <v/>
      </c>
      <c r="AG341" s="475" t="str">
        <f t="shared" si="221"/>
        <v/>
      </c>
      <c r="AH341" s="475" t="str">
        <f t="shared" si="222"/>
        <v/>
      </c>
      <c r="AI341" s="475" t="str">
        <f t="shared" si="223"/>
        <v/>
      </c>
      <c r="AJ341" s="475" t="str">
        <f t="shared" si="224"/>
        <v/>
      </c>
      <c r="AK341" s="475" t="str">
        <f t="shared" si="225"/>
        <v/>
      </c>
      <c r="AL341" s="475" t="str">
        <f t="shared" si="226"/>
        <v/>
      </c>
      <c r="AM341" s="475" t="str">
        <f t="shared" si="227"/>
        <v/>
      </c>
      <c r="AN341" s="475" t="str">
        <f t="shared" si="228"/>
        <v/>
      </c>
      <c r="AO341" s="475" t="str">
        <f t="shared" si="229"/>
        <v/>
      </c>
      <c r="AP341" s="475" t="str">
        <f t="shared" si="230"/>
        <v/>
      </c>
      <c r="AQ341" s="475" t="str">
        <f t="shared" si="231"/>
        <v/>
      </c>
      <c r="AR341" s="475" t="str">
        <f t="shared" si="232"/>
        <v/>
      </c>
      <c r="AS341" s="475" t="str">
        <f t="shared" si="256"/>
        <v/>
      </c>
      <c r="AT341" s="475" t="str">
        <f t="shared" si="233"/>
        <v/>
      </c>
      <c r="AU341" s="475" t="str">
        <f t="shared" si="234"/>
        <v/>
      </c>
      <c r="AV341" s="475" t="str">
        <f t="shared" si="235"/>
        <v/>
      </c>
      <c r="AW341" s="473">
        <f t="shared" si="236"/>
        <v>0</v>
      </c>
      <c r="AX341" s="473" t="str">
        <f>IF(AND($Z341="b",OR($AA341="a",$AA341="b"),Inventory!$I97="",$AE341&lt;(65000/12000)),"x",IF(AND($Z341="b",OR($AA341="a",$AA341="b"),Inventory!$I97&lt;&gt;"",$AE341&lt;(65000/12000)),VLOOKUP(Inventory!$I348,$V$4:$W$5,2,FALSE),"x"))</f>
        <v>x</v>
      </c>
      <c r="AY341" s="476" t="str">
        <f t="shared" si="237"/>
        <v>aaa0</v>
      </c>
      <c r="AZ341" s="477" t="str">
        <f t="shared" si="247"/>
        <v>No</v>
      </c>
      <c r="BA341" s="759" t="str">
        <f t="shared" si="248"/>
        <v>No</v>
      </c>
      <c r="BB341" s="477">
        <f>IF($Z341="c",Inventory!$AB97,Inventory!$K97)</f>
        <v>0</v>
      </c>
      <c r="BC341" s="478">
        <f>IF(AND($Z341="b",Inventory!$N97="Btu/hr"),Inventory!$M97,IF(AND($Z341="b",Inventory!$N97="Tons"),Inventory!$M97*12000,IF(AND($Z341&lt;&gt;"b",Inventory!$AK97="Btu/hr"),Inventory!$AD97,IF(AND($Z341&lt;&gt;"b",Inventory!$AK97="Tons"),Inventory!$AD97*12000,0))))</f>
        <v>0</v>
      </c>
      <c r="BD341" s="478">
        <f t="shared" si="245"/>
        <v>0</v>
      </c>
      <c r="BE341" s="479">
        <f t="shared" si="257"/>
        <v>0</v>
      </c>
      <c r="BF341" s="477" t="s">
        <v>50</v>
      </c>
      <c r="BG341" s="479">
        <f t="shared" si="239"/>
        <v>0</v>
      </c>
      <c r="BH341" s="477" t="s">
        <v>46</v>
      </c>
      <c r="BI341" s="760">
        <f>IF(AND($Z341="b",Inventory!$P97="Btu/hr"),Inventory!$O97,IF(AND($Z341="b",Inventory!$P97="Tons"),Inventory!$O97*12000,IF(AND($Z341&lt;&gt;"b",Inventory!$AM97="Btu/hr"),Inventory!$AL97,IF(AND($Z341&lt;&gt;"b",Inventory!$AM97="Tons"),Inventory!$AL97*12000,0))))</f>
        <v>0</v>
      </c>
      <c r="BJ341" s="760">
        <f t="shared" si="246"/>
        <v>0</v>
      </c>
      <c r="BK341" s="598">
        <f t="shared" si="249"/>
        <v>0</v>
      </c>
      <c r="BL341" s="759" t="s">
        <v>567</v>
      </c>
      <c r="BM341" s="477" t="str">
        <f t="shared" si="240"/>
        <v>No</v>
      </c>
      <c r="BN341" s="477" t="str">
        <f>IF(OR(Inventory!$H97="",$BM341="No"),"-",Inventory!$H97)</f>
        <v>-</v>
      </c>
      <c r="BO341" s="477" t="str">
        <f>IFERROR(VLOOKUP(BN341,'Early Retirement'!$B$6:$C$33,2,FALSE),"-")</f>
        <v>-</v>
      </c>
      <c r="BP341" s="477" t="str">
        <f>IF(Inventory!$J97="Centrifugal","Yes","No")</f>
        <v>No</v>
      </c>
      <c r="BQ341" s="477">
        <f t="shared" si="241"/>
        <v>0</v>
      </c>
      <c r="BR341" s="477" t="str">
        <f t="shared" si="259"/>
        <v>-</v>
      </c>
      <c r="BS341" s="479">
        <f>IFERROR(INDEX('Early Retirement'!$C$4:$AC$33,$BO341,$BR341),0)</f>
        <v>0</v>
      </c>
      <c r="BT341" s="477">
        <f>IFERROR(HLOOKUP($BR341,'Early Retirement'!$D$4:$AC$5,2,FALSE),0)</f>
        <v>0</v>
      </c>
      <c r="BU341" s="761">
        <f>IFERROR(INDEX('Early Retirement'!$AE$4:$BE$33,$BO341,$BR341),0)</f>
        <v>0</v>
      </c>
      <c r="BV341" s="759">
        <f>IFERROR(HLOOKUP($BR341,'Early Retirement'!$AF$4:$BE$5,2,FALSE),0)</f>
        <v>0</v>
      </c>
      <c r="BW341" s="479">
        <f t="shared" si="242"/>
        <v>0</v>
      </c>
      <c r="BX341" s="761">
        <f t="shared" si="250"/>
        <v>0</v>
      </c>
      <c r="BY341" s="477" t="s">
        <v>46</v>
      </c>
      <c r="BZ341" s="598">
        <f>IFERROR(INDEX('Early Retirement'!$BG$4:$CG$33,$BO341,$BR341),0)</f>
        <v>0</v>
      </c>
      <c r="CA341" s="759">
        <f>IFERROR(HLOOKUP($BR341,'Early Retirement'!$BH$4:$CH$5,2,FALSE),0)</f>
        <v>0</v>
      </c>
      <c r="CB341" s="598">
        <f t="shared" si="251"/>
        <v>0</v>
      </c>
      <c r="CC341" s="759" t="s">
        <v>567</v>
      </c>
      <c r="CD341" s="477" t="str">
        <f t="shared" si="243"/>
        <v>Yes</v>
      </c>
      <c r="CE341" s="479">
        <f t="shared" si="252"/>
        <v>0</v>
      </c>
      <c r="CF341" s="761">
        <f t="shared" si="253"/>
        <v>0</v>
      </c>
      <c r="CG341" s="759" t="s">
        <v>46</v>
      </c>
      <c r="CH341" s="598">
        <f t="shared" si="258"/>
        <v>0</v>
      </c>
      <c r="CI341" s="759" t="s">
        <v>567</v>
      </c>
      <c r="CJ341" s="480">
        <f t="shared" si="244"/>
        <v>0</v>
      </c>
      <c r="CK341" s="583">
        <f t="shared" si="254"/>
        <v>0</v>
      </c>
      <c r="CL341" s="596" t="s">
        <v>46</v>
      </c>
      <c r="CM341" s="581">
        <f t="shared" si="255"/>
        <v>0</v>
      </c>
      <c r="CN341" s="762" t="s">
        <v>567</v>
      </c>
      <c r="CW341" s="630"/>
      <c r="CX341" s="630"/>
      <c r="CY341" s="630"/>
      <c r="CZ341" s="630"/>
      <c r="DA341" s="630"/>
    </row>
    <row r="342" spans="2:105" s="78" customFormat="1" ht="15" customHeight="1" x14ac:dyDescent="0.25">
      <c r="B342" s="77"/>
      <c r="E342" s="77"/>
      <c r="H342" s="77"/>
      <c r="Y342" s="90">
        <v>89</v>
      </c>
      <c r="Z342" s="559" t="str">
        <f>IF(Inventory!$C98="","",VLOOKUP(Inventory!$C98,$B$7:$C$9,2,FALSE))</f>
        <v/>
      </c>
      <c r="AA342" s="559" t="str">
        <f>IF($Z342="","",IF(AND($Z342="b",Inventory!$G98=""),"",IF(AND($Z342="b",Inventory!$G98&lt;&gt;""),VLOOKUP(Inventory!$G98,$E$3:$F$10,2,FALSE),IF(AND($Z342="a",Inventory!$Z98=""),"",IF(AND($Z342="a",Inventory!$Z98&lt;&gt;""),VLOOKUP(Inventory!$Z98,$E$3:$F$10,2,FALSE),IF(AND($Z342="c",Inventory!$Z98=""),"",IF(AND($Z342="c",Inventory!$Z98&lt;&gt;""),VLOOKUP(Inventory!$Z98,$E$3:$F$10,2,FALSE),"")))))))</f>
        <v/>
      </c>
      <c r="AB342" s="559" t="str">
        <f>IF($Z342="","a",IF(AND($Z342="b",Inventory!$J98=""),"a",IF(AND($Z342="b",Inventory!$J98&lt;&gt;""),VLOOKUP(Inventory!$J98,$H$4:$I$6,2,FALSE),IF(AND($Z342="a",Inventory!$AA98=""),"a",IF(AND($Z342="a",Inventory!$AA98&lt;&gt;""),VLOOKUP(Inventory!$AA98,$H$4:$I$6,2,FALSE),IF(AND($Z342="c",Inventory!$AA98=""),"a",IF(AND($Z342="c",Inventory!$AA98&lt;&gt;""),VLOOKUP(Inventory!$AA98,$H$4:$I$6,2,FALSE),"a")))))))</f>
        <v>a</v>
      </c>
      <c r="AC342" s="559" t="str">
        <f t="shared" si="219"/>
        <v>a</v>
      </c>
      <c r="AD342" s="473" t="str">
        <f>IF($Z342="","a",IF(AND($Z342="b",Inventory!$L98=""),"a",IF(AND($Z342="b",Inventory!$L98&lt;&gt;""),VLOOKUP(Inventory!$L98,$N$4:$O$5,2,FALSE),IF(AND($Z342="a",Inventory!$AC98=""),"a",IF(AND($Z342="a",Inventory!$AC98&lt;&gt;""),VLOOKUP(Inventory!$AC98,$N$4:$O$5,2,FALSE),IF(AND($Z342="c",Inventory!$AC98=""),"a",IF(AND($Z342="c",Inventory!$AC98&lt;&gt;""),VLOOKUP(Inventory!$AC98,$N$4:$O$5,2,FALSE),"a")))))))</f>
        <v>a</v>
      </c>
      <c r="AE342" s="474">
        <f>IF(OR(Inventory!C98="New Construction",Inventory!C98="Replace-on-Burnout"),Inventory!AF98,IF(Inventory!C98="Early Retirement",MIN(Inventory!AE98,Inventory!AF98),0))</f>
        <v>0</v>
      </c>
      <c r="AF342" s="475" t="str">
        <f t="shared" si="220"/>
        <v/>
      </c>
      <c r="AG342" s="475" t="str">
        <f t="shared" si="221"/>
        <v/>
      </c>
      <c r="AH342" s="475" t="str">
        <f t="shared" si="222"/>
        <v/>
      </c>
      <c r="AI342" s="475" t="str">
        <f t="shared" si="223"/>
        <v/>
      </c>
      <c r="AJ342" s="475" t="str">
        <f t="shared" si="224"/>
        <v/>
      </c>
      <c r="AK342" s="475" t="str">
        <f t="shared" si="225"/>
        <v/>
      </c>
      <c r="AL342" s="475" t="str">
        <f t="shared" si="226"/>
        <v/>
      </c>
      <c r="AM342" s="475" t="str">
        <f t="shared" si="227"/>
        <v/>
      </c>
      <c r="AN342" s="475" t="str">
        <f t="shared" si="228"/>
        <v/>
      </c>
      <c r="AO342" s="475" t="str">
        <f t="shared" si="229"/>
        <v/>
      </c>
      <c r="AP342" s="475" t="str">
        <f t="shared" si="230"/>
        <v/>
      </c>
      <c r="AQ342" s="475" t="str">
        <f t="shared" si="231"/>
        <v/>
      </c>
      <c r="AR342" s="475" t="str">
        <f t="shared" si="232"/>
        <v/>
      </c>
      <c r="AS342" s="475" t="str">
        <f t="shared" si="256"/>
        <v/>
      </c>
      <c r="AT342" s="475" t="str">
        <f t="shared" si="233"/>
        <v/>
      </c>
      <c r="AU342" s="475" t="str">
        <f t="shared" si="234"/>
        <v/>
      </c>
      <c r="AV342" s="475" t="str">
        <f t="shared" si="235"/>
        <v/>
      </c>
      <c r="AW342" s="473">
        <f t="shared" si="236"/>
        <v>0</v>
      </c>
      <c r="AX342" s="473" t="str">
        <f>IF(AND($Z342="b",OR($AA342="a",$AA342="b"),Inventory!$I98="",$AE342&lt;(65000/12000)),"x",IF(AND($Z342="b",OR($AA342="a",$AA342="b"),Inventory!$I98&lt;&gt;"",$AE342&lt;(65000/12000)),VLOOKUP(Inventory!$I349,$V$4:$W$5,2,FALSE),"x"))</f>
        <v>x</v>
      </c>
      <c r="AY342" s="476" t="str">
        <f t="shared" si="237"/>
        <v>aaa0</v>
      </c>
      <c r="AZ342" s="477" t="str">
        <f t="shared" si="247"/>
        <v>No</v>
      </c>
      <c r="BA342" s="759" t="str">
        <f t="shared" si="248"/>
        <v>No</v>
      </c>
      <c r="BB342" s="477">
        <f>IF($Z342="c",Inventory!$AB98,Inventory!$K98)</f>
        <v>0</v>
      </c>
      <c r="BC342" s="478">
        <f>IF(AND($Z342="b",Inventory!$N98="Btu/hr"),Inventory!$M98,IF(AND($Z342="b",Inventory!$N98="Tons"),Inventory!$M98*12000,IF(AND($Z342&lt;&gt;"b",Inventory!$AK98="Btu/hr"),Inventory!$AD98,IF(AND($Z342&lt;&gt;"b",Inventory!$AK98="Tons"),Inventory!$AD98*12000,0))))</f>
        <v>0</v>
      </c>
      <c r="BD342" s="478">
        <f t="shared" si="245"/>
        <v>0</v>
      </c>
      <c r="BE342" s="479">
        <f t="shared" si="257"/>
        <v>0</v>
      </c>
      <c r="BF342" s="477" t="s">
        <v>50</v>
      </c>
      <c r="BG342" s="479">
        <f t="shared" si="239"/>
        <v>0</v>
      </c>
      <c r="BH342" s="477" t="s">
        <v>46</v>
      </c>
      <c r="BI342" s="760">
        <f>IF(AND($Z342="b",Inventory!$P98="Btu/hr"),Inventory!$O98,IF(AND($Z342="b",Inventory!$P98="Tons"),Inventory!$O98*12000,IF(AND($Z342&lt;&gt;"b",Inventory!$AM98="Btu/hr"),Inventory!$AL98,IF(AND($Z342&lt;&gt;"b",Inventory!$AM98="Tons"),Inventory!$AL98*12000,0))))</f>
        <v>0</v>
      </c>
      <c r="BJ342" s="760">
        <f t="shared" si="246"/>
        <v>0</v>
      </c>
      <c r="BK342" s="598">
        <f t="shared" si="249"/>
        <v>0</v>
      </c>
      <c r="BL342" s="759" t="s">
        <v>567</v>
      </c>
      <c r="BM342" s="477" t="str">
        <f t="shared" si="240"/>
        <v>No</v>
      </c>
      <c r="BN342" s="477" t="str">
        <f>IF(OR(Inventory!$H98="",$BM342="No"),"-",Inventory!$H98)</f>
        <v>-</v>
      </c>
      <c r="BO342" s="477" t="str">
        <f>IFERROR(VLOOKUP(BN342,'Early Retirement'!$B$6:$C$33,2,FALSE),"-")</f>
        <v>-</v>
      </c>
      <c r="BP342" s="477" t="str">
        <f>IF(Inventory!$J98="Centrifugal","Yes","No")</f>
        <v>No</v>
      </c>
      <c r="BQ342" s="477">
        <f t="shared" si="241"/>
        <v>0</v>
      </c>
      <c r="BR342" s="477" t="str">
        <f t="shared" si="259"/>
        <v>-</v>
      </c>
      <c r="BS342" s="479">
        <f>IFERROR(INDEX('Early Retirement'!$C$4:$AC$33,$BO342,$BR342),0)</f>
        <v>0</v>
      </c>
      <c r="BT342" s="477">
        <f>IFERROR(HLOOKUP($BR342,'Early Retirement'!$D$4:$AC$5,2,FALSE),0)</f>
        <v>0</v>
      </c>
      <c r="BU342" s="761">
        <f>IFERROR(INDEX('Early Retirement'!$AE$4:$BE$33,$BO342,$BR342),0)</f>
        <v>0</v>
      </c>
      <c r="BV342" s="759">
        <f>IFERROR(HLOOKUP($BR342,'Early Retirement'!$AF$4:$BE$5,2,FALSE),0)</f>
        <v>0</v>
      </c>
      <c r="BW342" s="479">
        <f t="shared" si="242"/>
        <v>0</v>
      </c>
      <c r="BX342" s="761">
        <f t="shared" si="250"/>
        <v>0</v>
      </c>
      <c r="BY342" s="477" t="s">
        <v>46</v>
      </c>
      <c r="BZ342" s="598">
        <f>IFERROR(INDEX('Early Retirement'!$BG$4:$CG$33,$BO342,$BR342),0)</f>
        <v>0</v>
      </c>
      <c r="CA342" s="759">
        <f>IFERROR(HLOOKUP($BR342,'Early Retirement'!$BH$4:$CH$5,2,FALSE),0)</f>
        <v>0</v>
      </c>
      <c r="CB342" s="598">
        <f t="shared" si="251"/>
        <v>0</v>
      </c>
      <c r="CC342" s="759" t="s">
        <v>567</v>
      </c>
      <c r="CD342" s="477" t="str">
        <f t="shared" si="243"/>
        <v>Yes</v>
      </c>
      <c r="CE342" s="479">
        <f t="shared" si="252"/>
        <v>0</v>
      </c>
      <c r="CF342" s="761">
        <f t="shared" si="253"/>
        <v>0</v>
      </c>
      <c r="CG342" s="759" t="s">
        <v>46</v>
      </c>
      <c r="CH342" s="598">
        <f t="shared" si="258"/>
        <v>0</v>
      </c>
      <c r="CI342" s="759" t="s">
        <v>567</v>
      </c>
      <c r="CJ342" s="480">
        <f t="shared" si="244"/>
        <v>0</v>
      </c>
      <c r="CK342" s="583">
        <f t="shared" si="254"/>
        <v>0</v>
      </c>
      <c r="CL342" s="596" t="s">
        <v>46</v>
      </c>
      <c r="CM342" s="581">
        <f t="shared" si="255"/>
        <v>0</v>
      </c>
      <c r="CN342" s="762" t="s">
        <v>567</v>
      </c>
      <c r="CW342" s="630"/>
      <c r="CX342" s="630"/>
      <c r="CY342" s="630"/>
      <c r="CZ342" s="630"/>
      <c r="DA342" s="630"/>
    </row>
    <row r="343" spans="2:105" s="78" customFormat="1" ht="15" customHeight="1" x14ac:dyDescent="0.25">
      <c r="B343" s="77"/>
      <c r="E343" s="77"/>
      <c r="H343" s="77"/>
      <c r="Y343" s="90">
        <v>90</v>
      </c>
      <c r="Z343" s="559" t="str">
        <f>IF(Inventory!$C99="","",VLOOKUP(Inventory!$C99,$B$7:$C$9,2,FALSE))</f>
        <v/>
      </c>
      <c r="AA343" s="559" t="str">
        <f>IF($Z343="","",IF(AND($Z343="b",Inventory!$G99=""),"",IF(AND($Z343="b",Inventory!$G99&lt;&gt;""),VLOOKUP(Inventory!$G99,$E$3:$F$10,2,FALSE),IF(AND($Z343="a",Inventory!$Z99=""),"",IF(AND($Z343="a",Inventory!$Z99&lt;&gt;""),VLOOKUP(Inventory!$Z99,$E$3:$F$10,2,FALSE),IF(AND($Z343="c",Inventory!$Z99=""),"",IF(AND($Z343="c",Inventory!$Z99&lt;&gt;""),VLOOKUP(Inventory!$Z99,$E$3:$F$10,2,FALSE),"")))))))</f>
        <v/>
      </c>
      <c r="AB343" s="559" t="str">
        <f>IF($Z343="","a",IF(AND($Z343="b",Inventory!$J99=""),"a",IF(AND($Z343="b",Inventory!$J99&lt;&gt;""),VLOOKUP(Inventory!$J99,$H$4:$I$6,2,FALSE),IF(AND($Z343="a",Inventory!$AA99=""),"a",IF(AND($Z343="a",Inventory!$AA99&lt;&gt;""),VLOOKUP(Inventory!$AA99,$H$4:$I$6,2,FALSE),IF(AND($Z343="c",Inventory!$AA99=""),"a",IF(AND($Z343="c",Inventory!$AA99&lt;&gt;""),VLOOKUP(Inventory!$AA99,$H$4:$I$6,2,FALSE),"a")))))))</f>
        <v>a</v>
      </c>
      <c r="AC343" s="559" t="str">
        <f t="shared" si="219"/>
        <v>a</v>
      </c>
      <c r="AD343" s="473" t="str">
        <f>IF($Z343="","a",IF(AND($Z343="b",Inventory!$L99=""),"a",IF(AND($Z343="b",Inventory!$L99&lt;&gt;""),VLOOKUP(Inventory!$L99,$N$4:$O$5,2,FALSE),IF(AND($Z343="a",Inventory!$AC99=""),"a",IF(AND($Z343="a",Inventory!$AC99&lt;&gt;""),VLOOKUP(Inventory!$AC99,$N$4:$O$5,2,FALSE),IF(AND($Z343="c",Inventory!$AC99=""),"a",IF(AND($Z343="c",Inventory!$AC99&lt;&gt;""),VLOOKUP(Inventory!$AC99,$N$4:$O$5,2,FALSE),"a")))))))</f>
        <v>a</v>
      </c>
      <c r="AE343" s="474">
        <f>IF(OR(Inventory!C99="New Construction",Inventory!C99="Replace-on-Burnout"),Inventory!AF99,IF(Inventory!C99="Early Retirement",MIN(Inventory!AE99,Inventory!AF99),0))</f>
        <v>0</v>
      </c>
      <c r="AF343" s="475" t="str">
        <f t="shared" si="220"/>
        <v/>
      </c>
      <c r="AG343" s="475" t="str">
        <f t="shared" si="221"/>
        <v/>
      </c>
      <c r="AH343" s="475" t="str">
        <f t="shared" si="222"/>
        <v/>
      </c>
      <c r="AI343" s="475" t="str">
        <f t="shared" si="223"/>
        <v/>
      </c>
      <c r="AJ343" s="475" t="str">
        <f t="shared" si="224"/>
        <v/>
      </c>
      <c r="AK343" s="475" t="str">
        <f t="shared" si="225"/>
        <v/>
      </c>
      <c r="AL343" s="475" t="str">
        <f t="shared" si="226"/>
        <v/>
      </c>
      <c r="AM343" s="475" t="str">
        <f t="shared" si="227"/>
        <v/>
      </c>
      <c r="AN343" s="475" t="str">
        <f t="shared" si="228"/>
        <v/>
      </c>
      <c r="AO343" s="475" t="str">
        <f t="shared" si="229"/>
        <v/>
      </c>
      <c r="AP343" s="475" t="str">
        <f t="shared" si="230"/>
        <v/>
      </c>
      <c r="AQ343" s="475" t="str">
        <f t="shared" si="231"/>
        <v/>
      </c>
      <c r="AR343" s="475" t="str">
        <f t="shared" si="232"/>
        <v/>
      </c>
      <c r="AS343" s="475" t="str">
        <f t="shared" si="256"/>
        <v/>
      </c>
      <c r="AT343" s="475" t="str">
        <f t="shared" si="233"/>
        <v/>
      </c>
      <c r="AU343" s="475" t="str">
        <f t="shared" si="234"/>
        <v/>
      </c>
      <c r="AV343" s="475" t="str">
        <f t="shared" si="235"/>
        <v/>
      </c>
      <c r="AW343" s="473">
        <f t="shared" si="236"/>
        <v>0</v>
      </c>
      <c r="AX343" s="473" t="str">
        <f>IF(AND($Z343="b",OR($AA343="a",$AA343="b"),Inventory!$I99="",$AE343&lt;(65000/12000)),"x",IF(AND($Z343="b",OR($AA343="a",$AA343="b"),Inventory!$I99&lt;&gt;"",$AE343&lt;(65000/12000)),VLOOKUP(Inventory!$I350,$V$4:$W$5,2,FALSE),"x"))</f>
        <v>x</v>
      </c>
      <c r="AY343" s="476" t="str">
        <f t="shared" si="237"/>
        <v>aaa0</v>
      </c>
      <c r="AZ343" s="477" t="str">
        <f t="shared" si="247"/>
        <v>No</v>
      </c>
      <c r="BA343" s="759" t="str">
        <f t="shared" si="248"/>
        <v>No</v>
      </c>
      <c r="BB343" s="477">
        <f>IF($Z343="c",Inventory!$AB99,Inventory!$K99)</f>
        <v>0</v>
      </c>
      <c r="BC343" s="478">
        <f>IF(AND($Z343="b",Inventory!$N99="Btu/hr"),Inventory!$M99,IF(AND($Z343="b",Inventory!$N99="Tons"),Inventory!$M99*12000,IF(AND($Z343&lt;&gt;"b",Inventory!$AK99="Btu/hr"),Inventory!$AD99,IF(AND($Z343&lt;&gt;"b",Inventory!$AK99="Tons"),Inventory!$AD99*12000,0))))</f>
        <v>0</v>
      </c>
      <c r="BD343" s="478">
        <f t="shared" si="245"/>
        <v>0</v>
      </c>
      <c r="BE343" s="479">
        <f t="shared" si="257"/>
        <v>0</v>
      </c>
      <c r="BF343" s="477" t="s">
        <v>50</v>
      </c>
      <c r="BG343" s="479">
        <f t="shared" si="239"/>
        <v>0</v>
      </c>
      <c r="BH343" s="477" t="s">
        <v>46</v>
      </c>
      <c r="BI343" s="760">
        <f>IF(AND($Z343="b",Inventory!$P99="Btu/hr"),Inventory!$O99,IF(AND($Z343="b",Inventory!$P99="Tons"),Inventory!$O99*12000,IF(AND($Z343&lt;&gt;"b",Inventory!$AM99="Btu/hr"),Inventory!$AL99,IF(AND($Z343&lt;&gt;"b",Inventory!$AM99="Tons"),Inventory!$AL99*12000,0))))</f>
        <v>0</v>
      </c>
      <c r="BJ343" s="760">
        <f t="shared" si="246"/>
        <v>0</v>
      </c>
      <c r="BK343" s="598">
        <f t="shared" si="249"/>
        <v>0</v>
      </c>
      <c r="BL343" s="759" t="s">
        <v>567</v>
      </c>
      <c r="BM343" s="477" t="str">
        <f t="shared" si="240"/>
        <v>No</v>
      </c>
      <c r="BN343" s="477" t="str">
        <f>IF(OR(Inventory!$H99="",$BM343="No"),"-",Inventory!$H99)</f>
        <v>-</v>
      </c>
      <c r="BO343" s="477" t="str">
        <f>IFERROR(VLOOKUP(BN343,'Early Retirement'!$B$6:$C$33,2,FALSE),"-")</f>
        <v>-</v>
      </c>
      <c r="BP343" s="477" t="str">
        <f>IF(Inventory!$J99="Centrifugal","Yes","No")</f>
        <v>No</v>
      </c>
      <c r="BQ343" s="477">
        <f t="shared" si="241"/>
        <v>0</v>
      </c>
      <c r="BR343" s="477" t="str">
        <f t="shared" si="259"/>
        <v>-</v>
      </c>
      <c r="BS343" s="479">
        <f>IFERROR(INDEX('Early Retirement'!$C$4:$AC$33,$BO343,$BR343),0)</f>
        <v>0</v>
      </c>
      <c r="BT343" s="477">
        <f>IFERROR(HLOOKUP($BR343,'Early Retirement'!$D$4:$AC$5,2,FALSE),0)</f>
        <v>0</v>
      </c>
      <c r="BU343" s="761">
        <f>IFERROR(INDEX('Early Retirement'!$AE$4:$BE$33,$BO343,$BR343),0)</f>
        <v>0</v>
      </c>
      <c r="BV343" s="759">
        <f>IFERROR(HLOOKUP($BR343,'Early Retirement'!$AF$4:$BE$5,2,FALSE),0)</f>
        <v>0</v>
      </c>
      <c r="BW343" s="479">
        <f t="shared" si="242"/>
        <v>0</v>
      </c>
      <c r="BX343" s="761">
        <f t="shared" si="250"/>
        <v>0</v>
      </c>
      <c r="BY343" s="477" t="s">
        <v>46</v>
      </c>
      <c r="BZ343" s="598">
        <f>IFERROR(INDEX('Early Retirement'!$BG$4:$CG$33,$BO343,$BR343),0)</f>
        <v>0</v>
      </c>
      <c r="CA343" s="759">
        <f>IFERROR(HLOOKUP($BR343,'Early Retirement'!$BH$4:$CH$5,2,FALSE),0)</f>
        <v>0</v>
      </c>
      <c r="CB343" s="598">
        <f t="shared" si="251"/>
        <v>0</v>
      </c>
      <c r="CC343" s="759" t="s">
        <v>567</v>
      </c>
      <c r="CD343" s="477" t="str">
        <f t="shared" si="243"/>
        <v>Yes</v>
      </c>
      <c r="CE343" s="479">
        <f t="shared" si="252"/>
        <v>0</v>
      </c>
      <c r="CF343" s="761">
        <f t="shared" si="253"/>
        <v>0</v>
      </c>
      <c r="CG343" s="759" t="s">
        <v>46</v>
      </c>
      <c r="CH343" s="598">
        <f t="shared" si="258"/>
        <v>0</v>
      </c>
      <c r="CI343" s="759" t="s">
        <v>567</v>
      </c>
      <c r="CJ343" s="480">
        <f t="shared" si="244"/>
        <v>0</v>
      </c>
      <c r="CK343" s="583">
        <f t="shared" si="254"/>
        <v>0</v>
      </c>
      <c r="CL343" s="596" t="s">
        <v>46</v>
      </c>
      <c r="CM343" s="581">
        <f t="shared" si="255"/>
        <v>0</v>
      </c>
      <c r="CN343" s="762" t="s">
        <v>567</v>
      </c>
      <c r="CW343" s="630"/>
      <c r="CX343" s="630"/>
      <c r="CY343" s="630"/>
      <c r="CZ343" s="630"/>
      <c r="DA343" s="630"/>
    </row>
    <row r="344" spans="2:105" s="78" customFormat="1" ht="15" customHeight="1" x14ac:dyDescent="0.25">
      <c r="B344" s="77"/>
      <c r="E344" s="77"/>
      <c r="H344" s="77"/>
      <c r="Y344" s="90">
        <v>91</v>
      </c>
      <c r="Z344" s="559" t="str">
        <f>IF(Inventory!$C100="","",VLOOKUP(Inventory!$C100,$B$7:$C$9,2,FALSE))</f>
        <v/>
      </c>
      <c r="AA344" s="559" t="str">
        <f>IF($Z344="","",IF(AND($Z344="b",Inventory!$G100=""),"",IF(AND($Z344="b",Inventory!$G100&lt;&gt;""),VLOOKUP(Inventory!$G100,$E$3:$F$10,2,FALSE),IF(AND($Z344="a",Inventory!$Z100=""),"",IF(AND($Z344="a",Inventory!$Z100&lt;&gt;""),VLOOKUP(Inventory!$Z100,$E$3:$F$10,2,FALSE),IF(AND($Z344="c",Inventory!$Z100=""),"",IF(AND($Z344="c",Inventory!$Z100&lt;&gt;""),VLOOKUP(Inventory!$Z100,$E$3:$F$10,2,FALSE),"")))))))</f>
        <v/>
      </c>
      <c r="AB344" s="559" t="str">
        <f>IF($Z344="","a",IF(AND($Z344="b",Inventory!$J100=""),"a",IF(AND($Z344="b",Inventory!$J100&lt;&gt;""),VLOOKUP(Inventory!$J100,$H$4:$I$6,2,FALSE),IF(AND($Z344="a",Inventory!$AA100=""),"a",IF(AND($Z344="a",Inventory!$AA100&lt;&gt;""),VLOOKUP(Inventory!$AA100,$H$4:$I$6,2,FALSE),IF(AND($Z344="c",Inventory!$AA100=""),"a",IF(AND($Z344="c",Inventory!$AA100&lt;&gt;""),VLOOKUP(Inventory!$AA100,$H$4:$I$6,2,FALSE),"a")))))))</f>
        <v>a</v>
      </c>
      <c r="AC344" s="559" t="str">
        <f t="shared" si="219"/>
        <v>a</v>
      </c>
      <c r="AD344" s="473" t="str">
        <f>IF($Z344="","a",IF(AND($Z344="b",Inventory!$L100=""),"a",IF(AND($Z344="b",Inventory!$L100&lt;&gt;""),VLOOKUP(Inventory!$L100,$N$4:$O$5,2,FALSE),IF(AND($Z344="a",Inventory!$AC100=""),"a",IF(AND($Z344="a",Inventory!$AC100&lt;&gt;""),VLOOKUP(Inventory!$AC100,$N$4:$O$5,2,FALSE),IF(AND($Z344="c",Inventory!$AC100=""),"a",IF(AND($Z344="c",Inventory!$AC100&lt;&gt;""),VLOOKUP(Inventory!$AC100,$N$4:$O$5,2,FALSE),"a")))))))</f>
        <v>a</v>
      </c>
      <c r="AE344" s="474">
        <f>IF(OR(Inventory!C100="New Construction",Inventory!C100="Replace-on-Burnout"),Inventory!AF100,IF(Inventory!C100="Early Retirement",MIN(Inventory!AE100,Inventory!AF100),0))</f>
        <v>0</v>
      </c>
      <c r="AF344" s="475" t="str">
        <f t="shared" si="220"/>
        <v/>
      </c>
      <c r="AG344" s="475" t="str">
        <f t="shared" si="221"/>
        <v/>
      </c>
      <c r="AH344" s="475" t="str">
        <f t="shared" si="222"/>
        <v/>
      </c>
      <c r="AI344" s="475" t="str">
        <f t="shared" si="223"/>
        <v/>
      </c>
      <c r="AJ344" s="475" t="str">
        <f t="shared" si="224"/>
        <v/>
      </c>
      <c r="AK344" s="475" t="str">
        <f t="shared" si="225"/>
        <v/>
      </c>
      <c r="AL344" s="475" t="str">
        <f t="shared" si="226"/>
        <v/>
      </c>
      <c r="AM344" s="475" t="str">
        <f t="shared" si="227"/>
        <v/>
      </c>
      <c r="AN344" s="475" t="str">
        <f t="shared" si="228"/>
        <v/>
      </c>
      <c r="AO344" s="475" t="str">
        <f t="shared" si="229"/>
        <v/>
      </c>
      <c r="AP344" s="475" t="str">
        <f t="shared" si="230"/>
        <v/>
      </c>
      <c r="AQ344" s="475" t="str">
        <f t="shared" si="231"/>
        <v/>
      </c>
      <c r="AR344" s="475" t="str">
        <f t="shared" si="232"/>
        <v/>
      </c>
      <c r="AS344" s="475" t="str">
        <f t="shared" si="256"/>
        <v/>
      </c>
      <c r="AT344" s="475" t="str">
        <f t="shared" si="233"/>
        <v/>
      </c>
      <c r="AU344" s="475" t="str">
        <f t="shared" si="234"/>
        <v/>
      </c>
      <c r="AV344" s="475" t="str">
        <f t="shared" si="235"/>
        <v/>
      </c>
      <c r="AW344" s="473">
        <f t="shared" si="236"/>
        <v>0</v>
      </c>
      <c r="AX344" s="473" t="str">
        <f>IF(AND($Z344="b",OR($AA344="a",$AA344="b"),Inventory!$I100="",$AE344&lt;(65000/12000)),"x",IF(AND($Z344="b",OR($AA344="a",$AA344="b"),Inventory!$I100&lt;&gt;"",$AE344&lt;(65000/12000)),VLOOKUP(Inventory!$I351,$V$4:$W$5,2,FALSE),"x"))</f>
        <v>x</v>
      </c>
      <c r="AY344" s="476" t="str">
        <f t="shared" si="237"/>
        <v>aaa0</v>
      </c>
      <c r="AZ344" s="477" t="str">
        <f t="shared" si="247"/>
        <v>No</v>
      </c>
      <c r="BA344" s="759" t="str">
        <f t="shared" si="248"/>
        <v>No</v>
      </c>
      <c r="BB344" s="477">
        <f>IF($Z344="c",Inventory!$AB100,Inventory!$K100)</f>
        <v>0</v>
      </c>
      <c r="BC344" s="478">
        <f>IF(AND($Z344="b",Inventory!$N100="Btu/hr"),Inventory!$M100,IF(AND($Z344="b",Inventory!$N100="Tons"),Inventory!$M100*12000,IF(AND($Z344&lt;&gt;"b",Inventory!$AK100="Btu/hr"),Inventory!$AD100,IF(AND($Z344&lt;&gt;"b",Inventory!$AK100="Tons"),Inventory!$AD100*12000,0))))</f>
        <v>0</v>
      </c>
      <c r="BD344" s="478">
        <f t="shared" si="245"/>
        <v>0</v>
      </c>
      <c r="BE344" s="479">
        <f t="shared" si="257"/>
        <v>0</v>
      </c>
      <c r="BF344" s="477" t="s">
        <v>50</v>
      </c>
      <c r="BG344" s="479">
        <f t="shared" si="239"/>
        <v>0</v>
      </c>
      <c r="BH344" s="477" t="s">
        <v>46</v>
      </c>
      <c r="BI344" s="760">
        <f>IF(AND($Z344="b",Inventory!$P100="Btu/hr"),Inventory!$O100,IF(AND($Z344="b",Inventory!$P100="Tons"),Inventory!$O100*12000,IF(AND($Z344&lt;&gt;"b",Inventory!$AM100="Btu/hr"),Inventory!$AL100,IF(AND($Z344&lt;&gt;"b",Inventory!$AM100="Tons"),Inventory!$AL100*12000,0))))</f>
        <v>0</v>
      </c>
      <c r="BJ344" s="760">
        <f t="shared" si="246"/>
        <v>0</v>
      </c>
      <c r="BK344" s="598">
        <f t="shared" si="249"/>
        <v>0</v>
      </c>
      <c r="BL344" s="759" t="s">
        <v>567</v>
      </c>
      <c r="BM344" s="477" t="str">
        <f t="shared" si="240"/>
        <v>No</v>
      </c>
      <c r="BN344" s="477" t="str">
        <f>IF(OR(Inventory!$H100="",$BM344="No"),"-",Inventory!$H100)</f>
        <v>-</v>
      </c>
      <c r="BO344" s="477" t="str">
        <f>IFERROR(VLOOKUP(BN344,'Early Retirement'!$B$6:$C$33,2,FALSE),"-")</f>
        <v>-</v>
      </c>
      <c r="BP344" s="477" t="str">
        <f>IF(Inventory!$J100="Centrifugal","Yes","No")</f>
        <v>No</v>
      </c>
      <c r="BQ344" s="477">
        <f t="shared" si="241"/>
        <v>0</v>
      </c>
      <c r="BR344" s="477" t="str">
        <f t="shared" si="259"/>
        <v>-</v>
      </c>
      <c r="BS344" s="479">
        <f>IFERROR(INDEX('Early Retirement'!$C$4:$AC$33,$BO344,$BR344),0)</f>
        <v>0</v>
      </c>
      <c r="BT344" s="477">
        <f>IFERROR(HLOOKUP($BR344,'Early Retirement'!$D$4:$AC$5,2,FALSE),0)</f>
        <v>0</v>
      </c>
      <c r="BU344" s="761">
        <f>IFERROR(INDEX('Early Retirement'!$AE$4:$BE$33,$BO344,$BR344),0)</f>
        <v>0</v>
      </c>
      <c r="BV344" s="759">
        <f>IFERROR(HLOOKUP($BR344,'Early Retirement'!$AF$4:$BE$5,2,FALSE),0)</f>
        <v>0</v>
      </c>
      <c r="BW344" s="479">
        <f t="shared" si="242"/>
        <v>0</v>
      </c>
      <c r="BX344" s="761">
        <f t="shared" si="250"/>
        <v>0</v>
      </c>
      <c r="BY344" s="477" t="s">
        <v>46</v>
      </c>
      <c r="BZ344" s="598">
        <f>IFERROR(INDEX('Early Retirement'!$BG$4:$CG$33,$BO344,$BR344),0)</f>
        <v>0</v>
      </c>
      <c r="CA344" s="759">
        <f>IFERROR(HLOOKUP($BR344,'Early Retirement'!$BH$4:$CH$5,2,FALSE),0)</f>
        <v>0</v>
      </c>
      <c r="CB344" s="598">
        <f t="shared" si="251"/>
        <v>0</v>
      </c>
      <c r="CC344" s="759" t="s">
        <v>567</v>
      </c>
      <c r="CD344" s="477" t="str">
        <f t="shared" si="243"/>
        <v>Yes</v>
      </c>
      <c r="CE344" s="479">
        <f t="shared" si="252"/>
        <v>0</v>
      </c>
      <c r="CF344" s="761">
        <f t="shared" si="253"/>
        <v>0</v>
      </c>
      <c r="CG344" s="759" t="s">
        <v>46</v>
      </c>
      <c r="CH344" s="598">
        <f t="shared" si="258"/>
        <v>0</v>
      </c>
      <c r="CI344" s="759" t="s">
        <v>567</v>
      </c>
      <c r="CJ344" s="480">
        <f t="shared" si="244"/>
        <v>0</v>
      </c>
      <c r="CK344" s="583">
        <f t="shared" si="254"/>
        <v>0</v>
      </c>
      <c r="CL344" s="596" t="s">
        <v>46</v>
      </c>
      <c r="CM344" s="581">
        <f t="shared" si="255"/>
        <v>0</v>
      </c>
      <c r="CN344" s="762" t="s">
        <v>567</v>
      </c>
      <c r="CW344" s="630"/>
      <c r="CX344" s="630"/>
      <c r="CY344" s="630"/>
      <c r="CZ344" s="630"/>
      <c r="DA344" s="630"/>
    </row>
    <row r="345" spans="2:105" s="78" customFormat="1" ht="15" customHeight="1" x14ac:dyDescent="0.25">
      <c r="B345" s="77"/>
      <c r="E345" s="77"/>
      <c r="H345" s="77"/>
      <c r="Y345" s="90">
        <v>92</v>
      </c>
      <c r="Z345" s="559" t="str">
        <f>IF(Inventory!$C101="","",VLOOKUP(Inventory!$C101,$B$7:$C$9,2,FALSE))</f>
        <v/>
      </c>
      <c r="AA345" s="559" t="str">
        <f>IF($Z345="","",IF(AND($Z345="b",Inventory!$G101=""),"",IF(AND($Z345="b",Inventory!$G101&lt;&gt;""),VLOOKUP(Inventory!$G101,$E$3:$F$10,2,FALSE),IF(AND($Z345="a",Inventory!$Z101=""),"",IF(AND($Z345="a",Inventory!$Z101&lt;&gt;""),VLOOKUP(Inventory!$Z101,$E$3:$F$10,2,FALSE),IF(AND($Z345="c",Inventory!$Z101=""),"",IF(AND($Z345="c",Inventory!$Z101&lt;&gt;""),VLOOKUP(Inventory!$Z101,$E$3:$F$10,2,FALSE),"")))))))</f>
        <v/>
      </c>
      <c r="AB345" s="559" t="str">
        <f>IF($Z345="","a",IF(AND($Z345="b",Inventory!$J101=""),"a",IF(AND($Z345="b",Inventory!$J101&lt;&gt;""),VLOOKUP(Inventory!$J101,$H$4:$I$6,2,FALSE),IF(AND($Z345="a",Inventory!$AA101=""),"a",IF(AND($Z345="a",Inventory!$AA101&lt;&gt;""),VLOOKUP(Inventory!$AA101,$H$4:$I$6,2,FALSE),IF(AND($Z345="c",Inventory!$AA101=""),"a",IF(AND($Z345="c",Inventory!$AA101&lt;&gt;""),VLOOKUP(Inventory!$AA101,$H$4:$I$6,2,FALSE),"a")))))))</f>
        <v>a</v>
      </c>
      <c r="AC345" s="559" t="str">
        <f t="shared" si="219"/>
        <v>a</v>
      </c>
      <c r="AD345" s="473" t="str">
        <f>IF($Z345="","a",IF(AND($Z345="b",Inventory!$L101=""),"a",IF(AND($Z345="b",Inventory!$L101&lt;&gt;""),VLOOKUP(Inventory!$L101,$N$4:$O$5,2,FALSE),IF(AND($Z345="a",Inventory!$AC101=""),"a",IF(AND($Z345="a",Inventory!$AC101&lt;&gt;""),VLOOKUP(Inventory!$AC101,$N$4:$O$5,2,FALSE),IF(AND($Z345="c",Inventory!$AC101=""),"a",IF(AND($Z345="c",Inventory!$AC101&lt;&gt;""),VLOOKUP(Inventory!$AC101,$N$4:$O$5,2,FALSE),"a")))))))</f>
        <v>a</v>
      </c>
      <c r="AE345" s="474">
        <f>IF(OR(Inventory!C101="New Construction",Inventory!C101="Replace-on-Burnout"),Inventory!AF101,IF(Inventory!C101="Early Retirement",MIN(Inventory!AE101,Inventory!AF101),0))</f>
        <v>0</v>
      </c>
      <c r="AF345" s="475" t="str">
        <f t="shared" si="220"/>
        <v/>
      </c>
      <c r="AG345" s="475" t="str">
        <f t="shared" si="221"/>
        <v/>
      </c>
      <c r="AH345" s="475" t="str">
        <f t="shared" si="222"/>
        <v/>
      </c>
      <c r="AI345" s="475" t="str">
        <f t="shared" si="223"/>
        <v/>
      </c>
      <c r="AJ345" s="475" t="str">
        <f t="shared" si="224"/>
        <v/>
      </c>
      <c r="AK345" s="475" t="str">
        <f t="shared" si="225"/>
        <v/>
      </c>
      <c r="AL345" s="475" t="str">
        <f t="shared" si="226"/>
        <v/>
      </c>
      <c r="AM345" s="475" t="str">
        <f t="shared" si="227"/>
        <v/>
      </c>
      <c r="AN345" s="475" t="str">
        <f t="shared" si="228"/>
        <v/>
      </c>
      <c r="AO345" s="475" t="str">
        <f t="shared" si="229"/>
        <v/>
      </c>
      <c r="AP345" s="475" t="str">
        <f t="shared" si="230"/>
        <v/>
      </c>
      <c r="AQ345" s="475" t="str">
        <f t="shared" si="231"/>
        <v/>
      </c>
      <c r="AR345" s="475" t="str">
        <f t="shared" si="232"/>
        <v/>
      </c>
      <c r="AS345" s="475" t="str">
        <f t="shared" si="256"/>
        <v/>
      </c>
      <c r="AT345" s="475" t="str">
        <f t="shared" si="233"/>
        <v/>
      </c>
      <c r="AU345" s="475" t="str">
        <f t="shared" si="234"/>
        <v/>
      </c>
      <c r="AV345" s="475" t="str">
        <f t="shared" si="235"/>
        <v/>
      </c>
      <c r="AW345" s="473">
        <f t="shared" si="236"/>
        <v>0</v>
      </c>
      <c r="AX345" s="473" t="str">
        <f>IF(AND($Z345="b",OR($AA345="a",$AA345="b"),Inventory!$I101="",$AE345&lt;(65000/12000)),"x",IF(AND($Z345="b",OR($AA345="a",$AA345="b"),Inventory!$I101&lt;&gt;"",$AE345&lt;(65000/12000)),VLOOKUP(Inventory!$I352,$V$4:$W$5,2,FALSE),"x"))</f>
        <v>x</v>
      </c>
      <c r="AY345" s="476" t="str">
        <f t="shared" si="237"/>
        <v>aaa0</v>
      </c>
      <c r="AZ345" s="477" t="str">
        <f t="shared" si="247"/>
        <v>No</v>
      </c>
      <c r="BA345" s="759" t="str">
        <f t="shared" si="248"/>
        <v>No</v>
      </c>
      <c r="BB345" s="477">
        <f>IF($Z345="c",Inventory!$AB101,Inventory!$K101)</f>
        <v>0</v>
      </c>
      <c r="BC345" s="478">
        <f>IF(AND($Z345="b",Inventory!$N101="Btu/hr"),Inventory!$M101,IF(AND($Z345="b",Inventory!$N101="Tons"),Inventory!$M101*12000,IF(AND($Z345&lt;&gt;"b",Inventory!$AK101="Btu/hr"),Inventory!$AD101,IF(AND($Z345&lt;&gt;"b",Inventory!$AK101="Tons"),Inventory!$AD101*12000,0))))</f>
        <v>0</v>
      </c>
      <c r="BD345" s="478">
        <f t="shared" si="245"/>
        <v>0</v>
      </c>
      <c r="BE345" s="479">
        <f t="shared" si="257"/>
        <v>0</v>
      </c>
      <c r="BF345" s="477" t="s">
        <v>50</v>
      </c>
      <c r="BG345" s="479">
        <f t="shared" si="239"/>
        <v>0</v>
      </c>
      <c r="BH345" s="477" t="s">
        <v>46</v>
      </c>
      <c r="BI345" s="760">
        <f>IF(AND($Z345="b",Inventory!$P101="Btu/hr"),Inventory!$O101,IF(AND($Z345="b",Inventory!$P101="Tons"),Inventory!$O101*12000,IF(AND($Z345&lt;&gt;"b",Inventory!$AM101="Btu/hr"),Inventory!$AL101,IF(AND($Z345&lt;&gt;"b",Inventory!$AM101="Tons"),Inventory!$AL101*12000,0))))</f>
        <v>0</v>
      </c>
      <c r="BJ345" s="760">
        <f t="shared" si="246"/>
        <v>0</v>
      </c>
      <c r="BK345" s="598">
        <f t="shared" si="249"/>
        <v>0</v>
      </c>
      <c r="BL345" s="759" t="s">
        <v>567</v>
      </c>
      <c r="BM345" s="477" t="str">
        <f t="shared" si="240"/>
        <v>No</v>
      </c>
      <c r="BN345" s="477" t="str">
        <f>IF(OR(Inventory!$H101="",$BM345="No"),"-",Inventory!$H101)</f>
        <v>-</v>
      </c>
      <c r="BO345" s="477" t="str">
        <f>IFERROR(VLOOKUP(BN345,'Early Retirement'!$B$6:$C$33,2,FALSE),"-")</f>
        <v>-</v>
      </c>
      <c r="BP345" s="477" t="str">
        <f>IF(Inventory!$J101="Centrifugal","Yes","No")</f>
        <v>No</v>
      </c>
      <c r="BQ345" s="477">
        <f t="shared" si="241"/>
        <v>0</v>
      </c>
      <c r="BR345" s="477" t="str">
        <f t="shared" si="259"/>
        <v>-</v>
      </c>
      <c r="BS345" s="479">
        <f>IFERROR(INDEX('Early Retirement'!$C$4:$AC$33,$BO345,$BR345),0)</f>
        <v>0</v>
      </c>
      <c r="BT345" s="477">
        <f>IFERROR(HLOOKUP($BR345,'Early Retirement'!$D$4:$AC$5,2,FALSE),0)</f>
        <v>0</v>
      </c>
      <c r="BU345" s="761">
        <f>IFERROR(INDEX('Early Retirement'!$AE$4:$BE$33,$BO345,$BR345),0)</f>
        <v>0</v>
      </c>
      <c r="BV345" s="759">
        <f>IFERROR(HLOOKUP($BR345,'Early Retirement'!$AF$4:$BE$5,2,FALSE),0)</f>
        <v>0</v>
      </c>
      <c r="BW345" s="479">
        <f t="shared" si="242"/>
        <v>0</v>
      </c>
      <c r="BX345" s="761">
        <f t="shared" si="250"/>
        <v>0</v>
      </c>
      <c r="BY345" s="477" t="s">
        <v>46</v>
      </c>
      <c r="BZ345" s="598">
        <f>IFERROR(INDEX('Early Retirement'!$BG$4:$CG$33,$BO345,$BR345),0)</f>
        <v>0</v>
      </c>
      <c r="CA345" s="759">
        <f>IFERROR(HLOOKUP($BR345,'Early Retirement'!$BH$4:$CH$5,2,FALSE),0)</f>
        <v>0</v>
      </c>
      <c r="CB345" s="598">
        <f t="shared" si="251"/>
        <v>0</v>
      </c>
      <c r="CC345" s="759" t="s">
        <v>567</v>
      </c>
      <c r="CD345" s="477" t="str">
        <f t="shared" si="243"/>
        <v>Yes</v>
      </c>
      <c r="CE345" s="479">
        <f t="shared" si="252"/>
        <v>0</v>
      </c>
      <c r="CF345" s="761">
        <f t="shared" si="253"/>
        <v>0</v>
      </c>
      <c r="CG345" s="759" t="s">
        <v>46</v>
      </c>
      <c r="CH345" s="598">
        <f t="shared" si="258"/>
        <v>0</v>
      </c>
      <c r="CI345" s="759" t="s">
        <v>567</v>
      </c>
      <c r="CJ345" s="480">
        <f t="shared" si="244"/>
        <v>0</v>
      </c>
      <c r="CK345" s="583">
        <f t="shared" si="254"/>
        <v>0</v>
      </c>
      <c r="CL345" s="596" t="s">
        <v>46</v>
      </c>
      <c r="CM345" s="581">
        <f t="shared" si="255"/>
        <v>0</v>
      </c>
      <c r="CN345" s="762" t="s">
        <v>567</v>
      </c>
      <c r="CW345" s="630"/>
      <c r="CX345" s="630"/>
      <c r="CY345" s="630"/>
      <c r="CZ345" s="630"/>
      <c r="DA345" s="630"/>
    </row>
    <row r="346" spans="2:105" s="78" customFormat="1" ht="15" customHeight="1" x14ac:dyDescent="0.25">
      <c r="B346" s="77"/>
      <c r="E346" s="77"/>
      <c r="H346" s="77"/>
      <c r="Y346" s="90">
        <v>93</v>
      </c>
      <c r="Z346" s="559" t="str">
        <f>IF(Inventory!$C102="","",VLOOKUP(Inventory!$C102,$B$7:$C$9,2,FALSE))</f>
        <v/>
      </c>
      <c r="AA346" s="559" t="str">
        <f>IF($Z346="","",IF(AND($Z346="b",Inventory!$G102=""),"",IF(AND($Z346="b",Inventory!$G102&lt;&gt;""),VLOOKUP(Inventory!$G102,$E$3:$F$10,2,FALSE),IF(AND($Z346="a",Inventory!$Z102=""),"",IF(AND($Z346="a",Inventory!$Z102&lt;&gt;""),VLOOKUP(Inventory!$Z102,$E$3:$F$10,2,FALSE),IF(AND($Z346="c",Inventory!$Z102=""),"",IF(AND($Z346="c",Inventory!$Z102&lt;&gt;""),VLOOKUP(Inventory!$Z102,$E$3:$F$10,2,FALSE),"")))))))</f>
        <v/>
      </c>
      <c r="AB346" s="559" t="str">
        <f>IF($Z346="","a",IF(AND($Z346="b",Inventory!$J102=""),"a",IF(AND($Z346="b",Inventory!$J102&lt;&gt;""),VLOOKUP(Inventory!$J102,$H$4:$I$6,2,FALSE),IF(AND($Z346="a",Inventory!$AA102=""),"a",IF(AND($Z346="a",Inventory!$AA102&lt;&gt;""),VLOOKUP(Inventory!$AA102,$H$4:$I$6,2,FALSE),IF(AND($Z346="c",Inventory!$AA102=""),"a",IF(AND($Z346="c",Inventory!$AA102&lt;&gt;""),VLOOKUP(Inventory!$AA102,$H$4:$I$6,2,FALSE),"a")))))))</f>
        <v>a</v>
      </c>
      <c r="AC346" s="559" t="str">
        <f t="shared" si="219"/>
        <v>a</v>
      </c>
      <c r="AD346" s="473" t="str">
        <f>IF($Z346="","a",IF(AND($Z346="b",Inventory!$L102=""),"a",IF(AND($Z346="b",Inventory!$L102&lt;&gt;""),VLOOKUP(Inventory!$L102,$N$4:$O$5,2,FALSE),IF(AND($Z346="a",Inventory!$AC102=""),"a",IF(AND($Z346="a",Inventory!$AC102&lt;&gt;""),VLOOKUP(Inventory!$AC102,$N$4:$O$5,2,FALSE),IF(AND($Z346="c",Inventory!$AC102=""),"a",IF(AND($Z346="c",Inventory!$AC102&lt;&gt;""),VLOOKUP(Inventory!$AC102,$N$4:$O$5,2,FALSE),"a")))))))</f>
        <v>a</v>
      </c>
      <c r="AE346" s="474">
        <f>IF(OR(Inventory!C102="New Construction",Inventory!C102="Replace-on-Burnout"),Inventory!AF102,IF(Inventory!C102="Early Retirement",MIN(Inventory!AE102,Inventory!AF102),0))</f>
        <v>0</v>
      </c>
      <c r="AF346" s="475" t="str">
        <f t="shared" si="220"/>
        <v/>
      </c>
      <c r="AG346" s="475" t="str">
        <f t="shared" si="221"/>
        <v/>
      </c>
      <c r="AH346" s="475" t="str">
        <f t="shared" si="222"/>
        <v/>
      </c>
      <c r="AI346" s="475" t="str">
        <f t="shared" si="223"/>
        <v/>
      </c>
      <c r="AJ346" s="475" t="str">
        <f t="shared" si="224"/>
        <v/>
      </c>
      <c r="AK346" s="475" t="str">
        <f t="shared" si="225"/>
        <v/>
      </c>
      <c r="AL346" s="475" t="str">
        <f t="shared" si="226"/>
        <v/>
      </c>
      <c r="AM346" s="475" t="str">
        <f t="shared" si="227"/>
        <v/>
      </c>
      <c r="AN346" s="475" t="str">
        <f t="shared" si="228"/>
        <v/>
      </c>
      <c r="AO346" s="475" t="str">
        <f t="shared" si="229"/>
        <v/>
      </c>
      <c r="AP346" s="475" t="str">
        <f t="shared" si="230"/>
        <v/>
      </c>
      <c r="AQ346" s="475" t="str">
        <f t="shared" si="231"/>
        <v/>
      </c>
      <c r="AR346" s="475" t="str">
        <f t="shared" si="232"/>
        <v/>
      </c>
      <c r="AS346" s="475" t="str">
        <f t="shared" si="256"/>
        <v/>
      </c>
      <c r="AT346" s="475" t="str">
        <f t="shared" si="233"/>
        <v/>
      </c>
      <c r="AU346" s="475" t="str">
        <f t="shared" si="234"/>
        <v/>
      </c>
      <c r="AV346" s="475" t="str">
        <f t="shared" si="235"/>
        <v/>
      </c>
      <c r="AW346" s="473">
        <f t="shared" si="236"/>
        <v>0</v>
      </c>
      <c r="AX346" s="473" t="str">
        <f>IF(AND($Z346="b",OR($AA346="a",$AA346="b"),Inventory!$I102="",$AE346&lt;(65000/12000)),"x",IF(AND($Z346="b",OR($AA346="a",$AA346="b"),Inventory!$I102&lt;&gt;"",$AE346&lt;(65000/12000)),VLOOKUP(Inventory!$I353,$V$4:$W$5,2,FALSE),"x"))</f>
        <v>x</v>
      </c>
      <c r="AY346" s="476" t="str">
        <f t="shared" si="237"/>
        <v>aaa0</v>
      </c>
      <c r="AZ346" s="477" t="str">
        <f t="shared" si="247"/>
        <v>No</v>
      </c>
      <c r="BA346" s="759" t="str">
        <f t="shared" si="248"/>
        <v>No</v>
      </c>
      <c r="BB346" s="477">
        <f>IF($Z346="c",Inventory!$AB102,Inventory!$K102)</f>
        <v>0</v>
      </c>
      <c r="BC346" s="478">
        <f>IF(AND($Z346="b",Inventory!$N102="Btu/hr"),Inventory!$M102,IF(AND($Z346="b",Inventory!$N102="Tons"),Inventory!$M102*12000,IF(AND($Z346&lt;&gt;"b",Inventory!$AK102="Btu/hr"),Inventory!$AD102,IF(AND($Z346&lt;&gt;"b",Inventory!$AK102="Tons"),Inventory!$AD102*12000,0))))</f>
        <v>0</v>
      </c>
      <c r="BD346" s="478">
        <f t="shared" si="245"/>
        <v>0</v>
      </c>
      <c r="BE346" s="479">
        <f t="shared" si="257"/>
        <v>0</v>
      </c>
      <c r="BF346" s="477" t="s">
        <v>50</v>
      </c>
      <c r="BG346" s="479">
        <f t="shared" si="239"/>
        <v>0</v>
      </c>
      <c r="BH346" s="477" t="s">
        <v>46</v>
      </c>
      <c r="BI346" s="760">
        <f>IF(AND($Z346="b",Inventory!$P102="Btu/hr"),Inventory!$O102,IF(AND($Z346="b",Inventory!$P102="Tons"),Inventory!$O102*12000,IF(AND($Z346&lt;&gt;"b",Inventory!$AM102="Btu/hr"),Inventory!$AL102,IF(AND($Z346&lt;&gt;"b",Inventory!$AM102="Tons"),Inventory!$AL102*12000,0))))</f>
        <v>0</v>
      </c>
      <c r="BJ346" s="760">
        <f t="shared" si="246"/>
        <v>0</v>
      </c>
      <c r="BK346" s="598">
        <f t="shared" si="249"/>
        <v>0</v>
      </c>
      <c r="BL346" s="759" t="s">
        <v>567</v>
      </c>
      <c r="BM346" s="477" t="str">
        <f t="shared" si="240"/>
        <v>No</v>
      </c>
      <c r="BN346" s="477" t="str">
        <f>IF(OR(Inventory!$H102="",$BM346="No"),"-",Inventory!$H102)</f>
        <v>-</v>
      </c>
      <c r="BO346" s="477" t="str">
        <f>IFERROR(VLOOKUP(BN346,'Early Retirement'!$B$6:$C$33,2,FALSE),"-")</f>
        <v>-</v>
      </c>
      <c r="BP346" s="477" t="str">
        <f>IF(Inventory!$J102="Centrifugal","Yes","No")</f>
        <v>No</v>
      </c>
      <c r="BQ346" s="477">
        <f t="shared" si="241"/>
        <v>0</v>
      </c>
      <c r="BR346" s="477" t="str">
        <f t="shared" si="259"/>
        <v>-</v>
      </c>
      <c r="BS346" s="479">
        <f>IFERROR(INDEX('Early Retirement'!$C$4:$AC$33,$BO346,$BR346),0)</f>
        <v>0</v>
      </c>
      <c r="BT346" s="477">
        <f>IFERROR(HLOOKUP($BR346,'Early Retirement'!$D$4:$AC$5,2,FALSE),0)</f>
        <v>0</v>
      </c>
      <c r="BU346" s="761">
        <f>IFERROR(INDEX('Early Retirement'!$AE$4:$BE$33,$BO346,$BR346),0)</f>
        <v>0</v>
      </c>
      <c r="BV346" s="759">
        <f>IFERROR(HLOOKUP($BR346,'Early Retirement'!$AF$4:$BE$5,2,FALSE),0)</f>
        <v>0</v>
      </c>
      <c r="BW346" s="479">
        <f t="shared" si="242"/>
        <v>0</v>
      </c>
      <c r="BX346" s="761">
        <f t="shared" si="250"/>
        <v>0</v>
      </c>
      <c r="BY346" s="477" t="s">
        <v>46</v>
      </c>
      <c r="BZ346" s="598">
        <f>IFERROR(INDEX('Early Retirement'!$BG$4:$CG$33,$BO346,$BR346),0)</f>
        <v>0</v>
      </c>
      <c r="CA346" s="759">
        <f>IFERROR(HLOOKUP($BR346,'Early Retirement'!$BH$4:$CH$5,2,FALSE),0)</f>
        <v>0</v>
      </c>
      <c r="CB346" s="598">
        <f t="shared" si="251"/>
        <v>0</v>
      </c>
      <c r="CC346" s="759" t="s">
        <v>567</v>
      </c>
      <c r="CD346" s="477" t="str">
        <f t="shared" si="243"/>
        <v>Yes</v>
      </c>
      <c r="CE346" s="479">
        <f t="shared" si="252"/>
        <v>0</v>
      </c>
      <c r="CF346" s="761">
        <f t="shared" si="253"/>
        <v>0</v>
      </c>
      <c r="CG346" s="759" t="s">
        <v>46</v>
      </c>
      <c r="CH346" s="598">
        <f t="shared" si="258"/>
        <v>0</v>
      </c>
      <c r="CI346" s="759" t="s">
        <v>567</v>
      </c>
      <c r="CJ346" s="480">
        <f t="shared" si="244"/>
        <v>0</v>
      </c>
      <c r="CK346" s="583">
        <f t="shared" si="254"/>
        <v>0</v>
      </c>
      <c r="CL346" s="596" t="s">
        <v>46</v>
      </c>
      <c r="CM346" s="581">
        <f t="shared" si="255"/>
        <v>0</v>
      </c>
      <c r="CN346" s="762" t="s">
        <v>567</v>
      </c>
      <c r="CW346" s="630"/>
      <c r="CX346" s="630"/>
      <c r="CY346" s="630"/>
      <c r="CZ346" s="630"/>
      <c r="DA346" s="630"/>
    </row>
    <row r="347" spans="2:105" s="78" customFormat="1" ht="15" customHeight="1" x14ac:dyDescent="0.25">
      <c r="B347" s="77"/>
      <c r="E347" s="77"/>
      <c r="H347" s="77"/>
      <c r="Y347" s="90">
        <v>94</v>
      </c>
      <c r="Z347" s="559" t="str">
        <f>IF(Inventory!$C103="","",VLOOKUP(Inventory!$C103,$B$7:$C$9,2,FALSE))</f>
        <v/>
      </c>
      <c r="AA347" s="559" t="str">
        <f>IF($Z347="","",IF(AND($Z347="b",Inventory!$G103=""),"",IF(AND($Z347="b",Inventory!$G103&lt;&gt;""),VLOOKUP(Inventory!$G103,$E$3:$F$10,2,FALSE),IF(AND($Z347="a",Inventory!$Z103=""),"",IF(AND($Z347="a",Inventory!$Z103&lt;&gt;""),VLOOKUP(Inventory!$Z103,$E$3:$F$10,2,FALSE),IF(AND($Z347="c",Inventory!$Z103=""),"",IF(AND($Z347="c",Inventory!$Z103&lt;&gt;""),VLOOKUP(Inventory!$Z103,$E$3:$F$10,2,FALSE),"")))))))</f>
        <v/>
      </c>
      <c r="AB347" s="559" t="str">
        <f>IF($Z347="","a",IF(AND($Z347="b",Inventory!$J103=""),"a",IF(AND($Z347="b",Inventory!$J103&lt;&gt;""),VLOOKUP(Inventory!$J103,$H$4:$I$6,2,FALSE),IF(AND($Z347="a",Inventory!$AA103=""),"a",IF(AND($Z347="a",Inventory!$AA103&lt;&gt;""),VLOOKUP(Inventory!$AA103,$H$4:$I$6,2,FALSE),IF(AND($Z347="c",Inventory!$AA103=""),"a",IF(AND($Z347="c",Inventory!$AA103&lt;&gt;""),VLOOKUP(Inventory!$AA103,$H$4:$I$6,2,FALSE),"a")))))))</f>
        <v>a</v>
      </c>
      <c r="AC347" s="559" t="str">
        <f t="shared" si="219"/>
        <v>a</v>
      </c>
      <c r="AD347" s="473" t="str">
        <f>IF($Z347="","a",IF(AND($Z347="b",Inventory!$L103=""),"a",IF(AND($Z347="b",Inventory!$L103&lt;&gt;""),VLOOKUP(Inventory!$L103,$N$4:$O$5,2,FALSE),IF(AND($Z347="a",Inventory!$AC103=""),"a",IF(AND($Z347="a",Inventory!$AC103&lt;&gt;""),VLOOKUP(Inventory!$AC103,$N$4:$O$5,2,FALSE),IF(AND($Z347="c",Inventory!$AC103=""),"a",IF(AND($Z347="c",Inventory!$AC103&lt;&gt;""),VLOOKUP(Inventory!$AC103,$N$4:$O$5,2,FALSE),"a")))))))</f>
        <v>a</v>
      </c>
      <c r="AE347" s="474">
        <f>IF(OR(Inventory!C103="New Construction",Inventory!C103="Replace-on-Burnout"),Inventory!AF103,IF(Inventory!C103="Early Retirement",MIN(Inventory!AE103,Inventory!AF103),0))</f>
        <v>0</v>
      </c>
      <c r="AF347" s="475" t="str">
        <f t="shared" si="220"/>
        <v/>
      </c>
      <c r="AG347" s="475" t="str">
        <f t="shared" si="221"/>
        <v/>
      </c>
      <c r="AH347" s="475" t="str">
        <f t="shared" si="222"/>
        <v/>
      </c>
      <c r="AI347" s="475" t="str">
        <f t="shared" si="223"/>
        <v/>
      </c>
      <c r="AJ347" s="475" t="str">
        <f t="shared" si="224"/>
        <v/>
      </c>
      <c r="AK347" s="475" t="str">
        <f t="shared" si="225"/>
        <v/>
      </c>
      <c r="AL347" s="475" t="str">
        <f t="shared" si="226"/>
        <v/>
      </c>
      <c r="AM347" s="475" t="str">
        <f t="shared" si="227"/>
        <v/>
      </c>
      <c r="AN347" s="475" t="str">
        <f t="shared" si="228"/>
        <v/>
      </c>
      <c r="AO347" s="475" t="str">
        <f t="shared" si="229"/>
        <v/>
      </c>
      <c r="AP347" s="475" t="str">
        <f t="shared" si="230"/>
        <v/>
      </c>
      <c r="AQ347" s="475" t="str">
        <f t="shared" si="231"/>
        <v/>
      </c>
      <c r="AR347" s="475" t="str">
        <f t="shared" si="232"/>
        <v/>
      </c>
      <c r="AS347" s="475" t="str">
        <f t="shared" si="256"/>
        <v/>
      </c>
      <c r="AT347" s="475" t="str">
        <f t="shared" si="233"/>
        <v/>
      </c>
      <c r="AU347" s="475" t="str">
        <f t="shared" si="234"/>
        <v/>
      </c>
      <c r="AV347" s="475" t="str">
        <f t="shared" si="235"/>
        <v/>
      </c>
      <c r="AW347" s="473">
        <f t="shared" si="236"/>
        <v>0</v>
      </c>
      <c r="AX347" s="473" t="str">
        <f>IF(AND($Z347="b",OR($AA347="a",$AA347="b"),Inventory!$I103="",$AE347&lt;(65000/12000)),"x",IF(AND($Z347="b",OR($AA347="a",$AA347="b"),Inventory!$I103&lt;&gt;"",$AE347&lt;(65000/12000)),VLOOKUP(Inventory!$I354,$V$4:$W$5,2,FALSE),"x"))</f>
        <v>x</v>
      </c>
      <c r="AY347" s="476" t="str">
        <f t="shared" si="237"/>
        <v>aaa0</v>
      </c>
      <c r="AZ347" s="477" t="str">
        <f t="shared" si="247"/>
        <v>No</v>
      </c>
      <c r="BA347" s="759" t="str">
        <f t="shared" si="248"/>
        <v>No</v>
      </c>
      <c r="BB347" s="477">
        <f>IF($Z347="c",Inventory!$AB103,Inventory!$K103)</f>
        <v>0</v>
      </c>
      <c r="BC347" s="478">
        <f>IF(AND($Z347="b",Inventory!$N103="Btu/hr"),Inventory!$M103,IF(AND($Z347="b",Inventory!$N103="Tons"),Inventory!$M103*12000,IF(AND($Z347&lt;&gt;"b",Inventory!$AK103="Btu/hr"),Inventory!$AD103,IF(AND($Z347&lt;&gt;"b",Inventory!$AK103="Tons"),Inventory!$AD103*12000,0))))</f>
        <v>0</v>
      </c>
      <c r="BD347" s="478">
        <f t="shared" si="245"/>
        <v>0</v>
      </c>
      <c r="BE347" s="479">
        <f t="shared" si="257"/>
        <v>0</v>
      </c>
      <c r="BF347" s="477" t="s">
        <v>50</v>
      </c>
      <c r="BG347" s="479">
        <f t="shared" si="239"/>
        <v>0</v>
      </c>
      <c r="BH347" s="477" t="s">
        <v>46</v>
      </c>
      <c r="BI347" s="760">
        <f>IF(AND($Z347="b",Inventory!$P103="Btu/hr"),Inventory!$O103,IF(AND($Z347="b",Inventory!$P103="Tons"),Inventory!$O103*12000,IF(AND($Z347&lt;&gt;"b",Inventory!$AM103="Btu/hr"),Inventory!$AL103,IF(AND($Z347&lt;&gt;"b",Inventory!$AM103="Tons"),Inventory!$AL103*12000,0))))</f>
        <v>0</v>
      </c>
      <c r="BJ347" s="760">
        <f t="shared" si="246"/>
        <v>0</v>
      </c>
      <c r="BK347" s="598">
        <f t="shared" si="249"/>
        <v>0</v>
      </c>
      <c r="BL347" s="759" t="s">
        <v>567</v>
      </c>
      <c r="BM347" s="477" t="str">
        <f t="shared" si="240"/>
        <v>No</v>
      </c>
      <c r="BN347" s="477" t="str">
        <f>IF(OR(Inventory!$H103="",$BM347="No"),"-",Inventory!$H103)</f>
        <v>-</v>
      </c>
      <c r="BO347" s="477" t="str">
        <f>IFERROR(VLOOKUP(BN347,'Early Retirement'!$B$6:$C$33,2,FALSE),"-")</f>
        <v>-</v>
      </c>
      <c r="BP347" s="477" t="str">
        <f>IF(Inventory!$J103="Centrifugal","Yes","No")</f>
        <v>No</v>
      </c>
      <c r="BQ347" s="477">
        <f t="shared" si="241"/>
        <v>0</v>
      </c>
      <c r="BR347" s="477" t="str">
        <f t="shared" si="259"/>
        <v>-</v>
      </c>
      <c r="BS347" s="479">
        <f>IFERROR(INDEX('Early Retirement'!$C$4:$AC$33,$BO347,$BR347),0)</f>
        <v>0</v>
      </c>
      <c r="BT347" s="477">
        <f>IFERROR(HLOOKUP($BR347,'Early Retirement'!$D$4:$AC$5,2,FALSE),0)</f>
        <v>0</v>
      </c>
      <c r="BU347" s="761">
        <f>IFERROR(INDEX('Early Retirement'!$AE$4:$BE$33,$BO347,$BR347),0)</f>
        <v>0</v>
      </c>
      <c r="BV347" s="759">
        <f>IFERROR(HLOOKUP($BR347,'Early Retirement'!$AF$4:$BE$5,2,FALSE),0)</f>
        <v>0</v>
      </c>
      <c r="BW347" s="479">
        <f t="shared" si="242"/>
        <v>0</v>
      </c>
      <c r="BX347" s="761">
        <f t="shared" si="250"/>
        <v>0</v>
      </c>
      <c r="BY347" s="477" t="s">
        <v>46</v>
      </c>
      <c r="BZ347" s="598">
        <f>IFERROR(INDEX('Early Retirement'!$BG$4:$CG$33,$BO347,$BR347),0)</f>
        <v>0</v>
      </c>
      <c r="CA347" s="759">
        <f>IFERROR(HLOOKUP($BR347,'Early Retirement'!$BH$4:$CH$5,2,FALSE),0)</f>
        <v>0</v>
      </c>
      <c r="CB347" s="598">
        <f t="shared" si="251"/>
        <v>0</v>
      </c>
      <c r="CC347" s="759" t="s">
        <v>567</v>
      </c>
      <c r="CD347" s="477" t="str">
        <f t="shared" si="243"/>
        <v>Yes</v>
      </c>
      <c r="CE347" s="479">
        <f t="shared" si="252"/>
        <v>0</v>
      </c>
      <c r="CF347" s="761">
        <f t="shared" si="253"/>
        <v>0</v>
      </c>
      <c r="CG347" s="759" t="s">
        <v>46</v>
      </c>
      <c r="CH347" s="598">
        <f t="shared" si="258"/>
        <v>0</v>
      </c>
      <c r="CI347" s="759" t="s">
        <v>567</v>
      </c>
      <c r="CJ347" s="480">
        <f t="shared" si="244"/>
        <v>0</v>
      </c>
      <c r="CK347" s="583">
        <f t="shared" si="254"/>
        <v>0</v>
      </c>
      <c r="CL347" s="596" t="s">
        <v>46</v>
      </c>
      <c r="CM347" s="581">
        <f t="shared" si="255"/>
        <v>0</v>
      </c>
      <c r="CN347" s="762" t="s">
        <v>567</v>
      </c>
      <c r="CW347" s="630"/>
      <c r="CX347" s="630"/>
      <c r="CY347" s="630"/>
      <c r="CZ347" s="630"/>
      <c r="DA347" s="630"/>
    </row>
    <row r="348" spans="2:105" s="78" customFormat="1" ht="15" customHeight="1" x14ac:dyDescent="0.25">
      <c r="B348" s="77"/>
      <c r="E348" s="77"/>
      <c r="H348" s="77"/>
      <c r="Y348" s="90">
        <v>95</v>
      </c>
      <c r="Z348" s="559" t="str">
        <f>IF(Inventory!$C104="","",VLOOKUP(Inventory!$C104,$B$7:$C$9,2,FALSE))</f>
        <v/>
      </c>
      <c r="AA348" s="559" t="str">
        <f>IF($Z348="","",IF(AND($Z348="b",Inventory!$G104=""),"",IF(AND($Z348="b",Inventory!$G104&lt;&gt;""),VLOOKUP(Inventory!$G104,$E$3:$F$10,2,FALSE),IF(AND($Z348="a",Inventory!$Z104=""),"",IF(AND($Z348="a",Inventory!$Z104&lt;&gt;""),VLOOKUP(Inventory!$Z104,$E$3:$F$10,2,FALSE),IF(AND($Z348="c",Inventory!$Z104=""),"",IF(AND($Z348="c",Inventory!$Z104&lt;&gt;""),VLOOKUP(Inventory!$Z104,$E$3:$F$10,2,FALSE),"")))))))</f>
        <v/>
      </c>
      <c r="AB348" s="559" t="str">
        <f>IF($Z348="","a",IF(AND($Z348="b",Inventory!$J104=""),"a",IF(AND($Z348="b",Inventory!$J104&lt;&gt;""),VLOOKUP(Inventory!$J104,$H$4:$I$6,2,FALSE),IF(AND($Z348="a",Inventory!$AA104=""),"a",IF(AND($Z348="a",Inventory!$AA104&lt;&gt;""),VLOOKUP(Inventory!$AA104,$H$4:$I$6,2,FALSE),IF(AND($Z348="c",Inventory!$AA104=""),"a",IF(AND($Z348="c",Inventory!$AA104&lt;&gt;""),VLOOKUP(Inventory!$AA104,$H$4:$I$6,2,FALSE),"a")))))))</f>
        <v>a</v>
      </c>
      <c r="AC348" s="559" t="str">
        <f t="shared" si="219"/>
        <v>a</v>
      </c>
      <c r="AD348" s="473" t="str">
        <f>IF($Z348="","a",IF(AND($Z348="b",Inventory!$L104=""),"a",IF(AND($Z348="b",Inventory!$L104&lt;&gt;""),VLOOKUP(Inventory!$L104,$N$4:$O$5,2,FALSE),IF(AND($Z348="a",Inventory!$AC104=""),"a",IF(AND($Z348="a",Inventory!$AC104&lt;&gt;""),VLOOKUP(Inventory!$AC104,$N$4:$O$5,2,FALSE),IF(AND($Z348="c",Inventory!$AC104=""),"a",IF(AND($Z348="c",Inventory!$AC104&lt;&gt;""),VLOOKUP(Inventory!$AC104,$N$4:$O$5,2,FALSE),"a")))))))</f>
        <v>a</v>
      </c>
      <c r="AE348" s="474">
        <f>IF(OR(Inventory!C104="New Construction",Inventory!C104="Replace-on-Burnout"),Inventory!AF104,IF(Inventory!C104="Early Retirement",MIN(Inventory!AE104,Inventory!AF104),0))</f>
        <v>0</v>
      </c>
      <c r="AF348" s="475" t="str">
        <f t="shared" si="220"/>
        <v/>
      </c>
      <c r="AG348" s="475" t="str">
        <f t="shared" si="221"/>
        <v/>
      </c>
      <c r="AH348" s="475" t="str">
        <f t="shared" si="222"/>
        <v/>
      </c>
      <c r="AI348" s="475" t="str">
        <f t="shared" si="223"/>
        <v/>
      </c>
      <c r="AJ348" s="475" t="str">
        <f t="shared" si="224"/>
        <v/>
      </c>
      <c r="AK348" s="475" t="str">
        <f t="shared" si="225"/>
        <v/>
      </c>
      <c r="AL348" s="475" t="str">
        <f t="shared" si="226"/>
        <v/>
      </c>
      <c r="AM348" s="475" t="str">
        <f t="shared" si="227"/>
        <v/>
      </c>
      <c r="AN348" s="475" t="str">
        <f t="shared" si="228"/>
        <v/>
      </c>
      <c r="AO348" s="475" t="str">
        <f t="shared" si="229"/>
        <v/>
      </c>
      <c r="AP348" s="475" t="str">
        <f t="shared" si="230"/>
        <v/>
      </c>
      <c r="AQ348" s="475" t="str">
        <f t="shared" si="231"/>
        <v/>
      </c>
      <c r="AR348" s="475" t="str">
        <f t="shared" si="232"/>
        <v/>
      </c>
      <c r="AS348" s="475" t="str">
        <f t="shared" si="256"/>
        <v/>
      </c>
      <c r="AT348" s="475" t="str">
        <f t="shared" si="233"/>
        <v/>
      </c>
      <c r="AU348" s="475" t="str">
        <f t="shared" si="234"/>
        <v/>
      </c>
      <c r="AV348" s="475" t="str">
        <f t="shared" si="235"/>
        <v/>
      </c>
      <c r="AW348" s="473">
        <f t="shared" si="236"/>
        <v>0</v>
      </c>
      <c r="AX348" s="473" t="str">
        <f>IF(AND($Z348="b",OR($AA348="a",$AA348="b"),Inventory!$I104="",$AE348&lt;(65000/12000)),"x",IF(AND($Z348="b",OR($AA348="a",$AA348="b"),Inventory!$I104&lt;&gt;"",$AE348&lt;(65000/12000)),VLOOKUP(Inventory!$I355,$V$4:$W$5,2,FALSE),"x"))</f>
        <v>x</v>
      </c>
      <c r="AY348" s="476" t="str">
        <f t="shared" si="237"/>
        <v>aaa0</v>
      </c>
      <c r="AZ348" s="477" t="str">
        <f t="shared" si="247"/>
        <v>No</v>
      </c>
      <c r="BA348" s="759" t="str">
        <f t="shared" si="248"/>
        <v>No</v>
      </c>
      <c r="BB348" s="477">
        <f>IF($Z348="c",Inventory!$AB104,Inventory!$K104)</f>
        <v>0</v>
      </c>
      <c r="BC348" s="478">
        <f>IF(AND($Z348="b",Inventory!$N104="Btu/hr"),Inventory!$M104,IF(AND($Z348="b",Inventory!$N104="Tons"),Inventory!$M104*12000,IF(AND($Z348&lt;&gt;"b",Inventory!$AK104="Btu/hr"),Inventory!$AD104,IF(AND($Z348&lt;&gt;"b",Inventory!$AK104="Tons"),Inventory!$AD104*12000,0))))</f>
        <v>0</v>
      </c>
      <c r="BD348" s="478">
        <f t="shared" si="245"/>
        <v>0</v>
      </c>
      <c r="BE348" s="479">
        <f t="shared" si="257"/>
        <v>0</v>
      </c>
      <c r="BF348" s="477" t="s">
        <v>50</v>
      </c>
      <c r="BG348" s="479">
        <f t="shared" si="239"/>
        <v>0</v>
      </c>
      <c r="BH348" s="477" t="s">
        <v>46</v>
      </c>
      <c r="BI348" s="760">
        <f>IF(AND($Z348="b",Inventory!$P104="Btu/hr"),Inventory!$O104,IF(AND($Z348="b",Inventory!$P104="Tons"),Inventory!$O104*12000,IF(AND($Z348&lt;&gt;"b",Inventory!$AM104="Btu/hr"),Inventory!$AL104,IF(AND($Z348&lt;&gt;"b",Inventory!$AM104="Tons"),Inventory!$AL104*12000,0))))</f>
        <v>0</v>
      </c>
      <c r="BJ348" s="760">
        <f t="shared" si="246"/>
        <v>0</v>
      </c>
      <c r="BK348" s="598">
        <f t="shared" si="249"/>
        <v>0</v>
      </c>
      <c r="BL348" s="759" t="s">
        <v>567</v>
      </c>
      <c r="BM348" s="477" t="str">
        <f t="shared" si="240"/>
        <v>No</v>
      </c>
      <c r="BN348" s="477" t="str">
        <f>IF(OR(Inventory!$H104="",$BM348="No"),"-",Inventory!$H104)</f>
        <v>-</v>
      </c>
      <c r="BO348" s="477" t="str">
        <f>IFERROR(VLOOKUP(BN348,'Early Retirement'!$B$6:$C$33,2,FALSE),"-")</f>
        <v>-</v>
      </c>
      <c r="BP348" s="477" t="str">
        <f>IF(Inventory!$J104="Centrifugal","Yes","No")</f>
        <v>No</v>
      </c>
      <c r="BQ348" s="477">
        <f t="shared" si="241"/>
        <v>0</v>
      </c>
      <c r="BR348" s="477" t="str">
        <f t="shared" si="259"/>
        <v>-</v>
      </c>
      <c r="BS348" s="479">
        <f>IFERROR(INDEX('Early Retirement'!$C$4:$AC$33,$BO348,$BR348),0)</f>
        <v>0</v>
      </c>
      <c r="BT348" s="477">
        <f>IFERROR(HLOOKUP($BR348,'Early Retirement'!$D$4:$AC$5,2,FALSE),0)</f>
        <v>0</v>
      </c>
      <c r="BU348" s="761">
        <f>IFERROR(INDEX('Early Retirement'!$AE$4:$BE$33,$BO348,$BR348),0)</f>
        <v>0</v>
      </c>
      <c r="BV348" s="759">
        <f>IFERROR(HLOOKUP($BR348,'Early Retirement'!$AF$4:$BE$5,2,FALSE),0)</f>
        <v>0</v>
      </c>
      <c r="BW348" s="479">
        <f t="shared" si="242"/>
        <v>0</v>
      </c>
      <c r="BX348" s="761">
        <f t="shared" si="250"/>
        <v>0</v>
      </c>
      <c r="BY348" s="477" t="s">
        <v>46</v>
      </c>
      <c r="BZ348" s="598">
        <f>IFERROR(INDEX('Early Retirement'!$BG$4:$CG$33,$BO348,$BR348),0)</f>
        <v>0</v>
      </c>
      <c r="CA348" s="759">
        <f>IFERROR(HLOOKUP($BR348,'Early Retirement'!$BH$4:$CH$5,2,FALSE),0)</f>
        <v>0</v>
      </c>
      <c r="CB348" s="598">
        <f t="shared" si="251"/>
        <v>0</v>
      </c>
      <c r="CC348" s="759" t="s">
        <v>567</v>
      </c>
      <c r="CD348" s="477" t="str">
        <f t="shared" si="243"/>
        <v>Yes</v>
      </c>
      <c r="CE348" s="479">
        <f t="shared" si="252"/>
        <v>0</v>
      </c>
      <c r="CF348" s="761">
        <f t="shared" si="253"/>
        <v>0</v>
      </c>
      <c r="CG348" s="759" t="s">
        <v>46</v>
      </c>
      <c r="CH348" s="598">
        <f t="shared" si="258"/>
        <v>0</v>
      </c>
      <c r="CI348" s="759" t="s">
        <v>567</v>
      </c>
      <c r="CJ348" s="480">
        <f t="shared" si="244"/>
        <v>0</v>
      </c>
      <c r="CK348" s="583">
        <f t="shared" si="254"/>
        <v>0</v>
      </c>
      <c r="CL348" s="596" t="s">
        <v>46</v>
      </c>
      <c r="CM348" s="581">
        <f t="shared" si="255"/>
        <v>0</v>
      </c>
      <c r="CN348" s="762" t="s">
        <v>567</v>
      </c>
      <c r="CW348" s="630"/>
      <c r="CX348" s="630"/>
      <c r="CY348" s="630"/>
      <c r="CZ348" s="630"/>
      <c r="DA348" s="630"/>
    </row>
    <row r="349" spans="2:105" s="78" customFormat="1" ht="15" customHeight="1" x14ac:dyDescent="0.25">
      <c r="B349" s="77"/>
      <c r="E349" s="77"/>
      <c r="H349" s="77"/>
      <c r="Y349" s="90">
        <v>96</v>
      </c>
      <c r="Z349" s="559" t="str">
        <f>IF(Inventory!$C105="","",VLOOKUP(Inventory!$C105,$B$7:$C$9,2,FALSE))</f>
        <v/>
      </c>
      <c r="AA349" s="559" t="str">
        <f>IF($Z349="","",IF(AND($Z349="b",Inventory!$G105=""),"",IF(AND($Z349="b",Inventory!$G105&lt;&gt;""),VLOOKUP(Inventory!$G105,$E$3:$F$10,2,FALSE),IF(AND($Z349="a",Inventory!$Z105=""),"",IF(AND($Z349="a",Inventory!$Z105&lt;&gt;""),VLOOKUP(Inventory!$Z105,$E$3:$F$10,2,FALSE),IF(AND($Z349="c",Inventory!$Z105=""),"",IF(AND($Z349="c",Inventory!$Z105&lt;&gt;""),VLOOKUP(Inventory!$Z105,$E$3:$F$10,2,FALSE),"")))))))</f>
        <v/>
      </c>
      <c r="AB349" s="559" t="str">
        <f>IF($Z349="","a",IF(AND($Z349="b",Inventory!$J105=""),"a",IF(AND($Z349="b",Inventory!$J105&lt;&gt;""),VLOOKUP(Inventory!$J105,$H$4:$I$6,2,FALSE),IF(AND($Z349="a",Inventory!$AA105=""),"a",IF(AND($Z349="a",Inventory!$AA105&lt;&gt;""),VLOOKUP(Inventory!$AA105,$H$4:$I$6,2,FALSE),IF(AND($Z349="c",Inventory!$AA105=""),"a",IF(AND($Z349="c",Inventory!$AA105&lt;&gt;""),VLOOKUP(Inventory!$AA105,$H$4:$I$6,2,FALSE),"a")))))))</f>
        <v>a</v>
      </c>
      <c r="AC349" s="559" t="str">
        <f t="shared" si="219"/>
        <v>a</v>
      </c>
      <c r="AD349" s="473" t="str">
        <f>IF($Z349="","a",IF(AND($Z349="b",Inventory!$L105=""),"a",IF(AND($Z349="b",Inventory!$L105&lt;&gt;""),VLOOKUP(Inventory!$L105,$N$4:$O$5,2,FALSE),IF(AND($Z349="a",Inventory!$AC105=""),"a",IF(AND($Z349="a",Inventory!$AC105&lt;&gt;""),VLOOKUP(Inventory!$AC105,$N$4:$O$5,2,FALSE),IF(AND($Z349="c",Inventory!$AC105=""),"a",IF(AND($Z349="c",Inventory!$AC105&lt;&gt;""),VLOOKUP(Inventory!$AC105,$N$4:$O$5,2,FALSE),"a")))))))</f>
        <v>a</v>
      </c>
      <c r="AE349" s="474">
        <f>IF(OR(Inventory!C105="New Construction",Inventory!C105="Replace-on-Burnout"),Inventory!AF105,IF(Inventory!C105="Early Retirement",MIN(Inventory!AE105,Inventory!AF105),0))</f>
        <v>0</v>
      </c>
      <c r="AF349" s="475" t="str">
        <f t="shared" si="220"/>
        <v/>
      </c>
      <c r="AG349" s="475" t="str">
        <f t="shared" si="221"/>
        <v/>
      </c>
      <c r="AH349" s="475" t="str">
        <f t="shared" si="222"/>
        <v/>
      </c>
      <c r="AI349" s="475" t="str">
        <f t="shared" si="223"/>
        <v/>
      </c>
      <c r="AJ349" s="475" t="str">
        <f t="shared" si="224"/>
        <v/>
      </c>
      <c r="AK349" s="475" t="str">
        <f t="shared" si="225"/>
        <v/>
      </c>
      <c r="AL349" s="475" t="str">
        <f t="shared" si="226"/>
        <v/>
      </c>
      <c r="AM349" s="475" t="str">
        <f t="shared" si="227"/>
        <v/>
      </c>
      <c r="AN349" s="475" t="str">
        <f t="shared" si="228"/>
        <v/>
      </c>
      <c r="AO349" s="475" t="str">
        <f t="shared" si="229"/>
        <v/>
      </c>
      <c r="AP349" s="475" t="str">
        <f t="shared" si="230"/>
        <v/>
      </c>
      <c r="AQ349" s="475" t="str">
        <f t="shared" si="231"/>
        <v/>
      </c>
      <c r="AR349" s="475" t="str">
        <f t="shared" si="232"/>
        <v/>
      </c>
      <c r="AS349" s="475" t="str">
        <f t="shared" si="256"/>
        <v/>
      </c>
      <c r="AT349" s="475" t="str">
        <f t="shared" si="233"/>
        <v/>
      </c>
      <c r="AU349" s="475" t="str">
        <f t="shared" si="234"/>
        <v/>
      </c>
      <c r="AV349" s="475" t="str">
        <f t="shared" si="235"/>
        <v/>
      </c>
      <c r="AW349" s="473">
        <f t="shared" si="236"/>
        <v>0</v>
      </c>
      <c r="AX349" s="473" t="str">
        <f>IF(AND($Z349="b",OR($AA349="a",$AA349="b"),Inventory!$I105="",$AE349&lt;(65000/12000)),"x",IF(AND($Z349="b",OR($AA349="a",$AA349="b"),Inventory!$I105&lt;&gt;"",$AE349&lt;(65000/12000)),VLOOKUP(Inventory!$I356,$V$4:$W$5,2,FALSE),"x"))</f>
        <v>x</v>
      </c>
      <c r="AY349" s="476" t="str">
        <f t="shared" si="237"/>
        <v>aaa0</v>
      </c>
      <c r="AZ349" s="477" t="str">
        <f t="shared" si="247"/>
        <v>No</v>
      </c>
      <c r="BA349" s="759" t="str">
        <f t="shared" si="248"/>
        <v>No</v>
      </c>
      <c r="BB349" s="477">
        <f>IF($Z349="c",Inventory!$AB105,Inventory!$K105)</f>
        <v>0</v>
      </c>
      <c r="BC349" s="478">
        <f>IF(AND($Z349="b",Inventory!$N105="Btu/hr"),Inventory!$M105,IF(AND($Z349="b",Inventory!$N105="Tons"),Inventory!$M105*12000,IF(AND($Z349&lt;&gt;"b",Inventory!$AK105="Btu/hr"),Inventory!$AD105,IF(AND($Z349&lt;&gt;"b",Inventory!$AK105="Tons"),Inventory!$AD105*12000,0))))</f>
        <v>0</v>
      </c>
      <c r="BD349" s="478">
        <f t="shared" si="245"/>
        <v>0</v>
      </c>
      <c r="BE349" s="479">
        <f t="shared" si="257"/>
        <v>0</v>
      </c>
      <c r="BF349" s="477" t="s">
        <v>50</v>
      </c>
      <c r="BG349" s="479">
        <f t="shared" si="239"/>
        <v>0</v>
      </c>
      <c r="BH349" s="477" t="s">
        <v>46</v>
      </c>
      <c r="BI349" s="760">
        <f>IF(AND($Z349="b",Inventory!$P105="Btu/hr"),Inventory!$O105,IF(AND($Z349="b",Inventory!$P105="Tons"),Inventory!$O105*12000,IF(AND($Z349&lt;&gt;"b",Inventory!$AM105="Btu/hr"),Inventory!$AL105,IF(AND($Z349&lt;&gt;"b",Inventory!$AM105="Tons"),Inventory!$AL105*12000,0))))</f>
        <v>0</v>
      </c>
      <c r="BJ349" s="760">
        <f t="shared" si="246"/>
        <v>0</v>
      </c>
      <c r="BK349" s="598">
        <f t="shared" si="249"/>
        <v>0</v>
      </c>
      <c r="BL349" s="759" t="s">
        <v>567</v>
      </c>
      <c r="BM349" s="477" t="str">
        <f t="shared" si="240"/>
        <v>No</v>
      </c>
      <c r="BN349" s="477" t="str">
        <f>IF(OR(Inventory!$H105="",$BM349="No"),"-",Inventory!$H105)</f>
        <v>-</v>
      </c>
      <c r="BO349" s="477" t="str">
        <f>IFERROR(VLOOKUP(BN349,'Early Retirement'!$B$6:$C$33,2,FALSE),"-")</f>
        <v>-</v>
      </c>
      <c r="BP349" s="477" t="str">
        <f>IF(Inventory!$J105="Centrifugal","Yes","No")</f>
        <v>No</v>
      </c>
      <c r="BQ349" s="477">
        <f t="shared" si="241"/>
        <v>0</v>
      </c>
      <c r="BR349" s="477" t="str">
        <f t="shared" si="259"/>
        <v>-</v>
      </c>
      <c r="BS349" s="479">
        <f>IFERROR(INDEX('Early Retirement'!$C$4:$AC$33,$BO349,$BR349),0)</f>
        <v>0</v>
      </c>
      <c r="BT349" s="477">
        <f>IFERROR(HLOOKUP($BR349,'Early Retirement'!$D$4:$AC$5,2,FALSE),0)</f>
        <v>0</v>
      </c>
      <c r="BU349" s="761">
        <f>IFERROR(INDEX('Early Retirement'!$AE$4:$BE$33,$BO349,$BR349),0)</f>
        <v>0</v>
      </c>
      <c r="BV349" s="759">
        <f>IFERROR(HLOOKUP($BR349,'Early Retirement'!$AF$4:$BE$5,2,FALSE),0)</f>
        <v>0</v>
      </c>
      <c r="BW349" s="479">
        <f t="shared" si="242"/>
        <v>0</v>
      </c>
      <c r="BX349" s="761">
        <f t="shared" si="250"/>
        <v>0</v>
      </c>
      <c r="BY349" s="477" t="s">
        <v>46</v>
      </c>
      <c r="BZ349" s="598">
        <f>IFERROR(INDEX('Early Retirement'!$BG$4:$CG$33,$BO349,$BR349),0)</f>
        <v>0</v>
      </c>
      <c r="CA349" s="759">
        <f>IFERROR(HLOOKUP($BR349,'Early Retirement'!$BH$4:$CH$5,2,FALSE),0)</f>
        <v>0</v>
      </c>
      <c r="CB349" s="598">
        <f t="shared" si="251"/>
        <v>0</v>
      </c>
      <c r="CC349" s="759" t="s">
        <v>567</v>
      </c>
      <c r="CD349" s="477" t="str">
        <f t="shared" si="243"/>
        <v>Yes</v>
      </c>
      <c r="CE349" s="479">
        <f t="shared" si="252"/>
        <v>0</v>
      </c>
      <c r="CF349" s="761">
        <f t="shared" si="253"/>
        <v>0</v>
      </c>
      <c r="CG349" s="759" t="s">
        <v>46</v>
      </c>
      <c r="CH349" s="598">
        <f t="shared" si="258"/>
        <v>0</v>
      </c>
      <c r="CI349" s="759" t="s">
        <v>567</v>
      </c>
      <c r="CJ349" s="480">
        <f t="shared" si="244"/>
        <v>0</v>
      </c>
      <c r="CK349" s="583">
        <f t="shared" si="254"/>
        <v>0</v>
      </c>
      <c r="CL349" s="596" t="s">
        <v>46</v>
      </c>
      <c r="CM349" s="581">
        <f t="shared" si="255"/>
        <v>0</v>
      </c>
      <c r="CN349" s="762" t="s">
        <v>567</v>
      </c>
      <c r="CW349" s="630"/>
      <c r="CX349" s="630"/>
      <c r="CY349" s="630"/>
      <c r="CZ349" s="630"/>
      <c r="DA349" s="630"/>
    </row>
    <row r="350" spans="2:105" s="78" customFormat="1" ht="15" customHeight="1" x14ac:dyDescent="0.25">
      <c r="B350" s="77"/>
      <c r="E350" s="77"/>
      <c r="H350" s="77"/>
      <c r="Y350" s="90">
        <v>97</v>
      </c>
      <c r="Z350" s="559" t="str">
        <f>IF(Inventory!$C106="","",VLOOKUP(Inventory!$C106,$B$7:$C$9,2,FALSE))</f>
        <v/>
      </c>
      <c r="AA350" s="559" t="str">
        <f>IF($Z350="","",IF(AND($Z350="b",Inventory!$G106=""),"",IF(AND($Z350="b",Inventory!$G106&lt;&gt;""),VLOOKUP(Inventory!$G106,$E$3:$F$10,2,FALSE),IF(AND($Z350="a",Inventory!$Z106=""),"",IF(AND($Z350="a",Inventory!$Z106&lt;&gt;""),VLOOKUP(Inventory!$Z106,$E$3:$F$10,2,FALSE),IF(AND($Z350="c",Inventory!$Z106=""),"",IF(AND($Z350="c",Inventory!$Z106&lt;&gt;""),VLOOKUP(Inventory!$Z106,$E$3:$F$10,2,FALSE),"")))))))</f>
        <v/>
      </c>
      <c r="AB350" s="559" t="str">
        <f>IF($Z350="","a",IF(AND($Z350="b",Inventory!$J106=""),"a",IF(AND($Z350="b",Inventory!$J106&lt;&gt;""),VLOOKUP(Inventory!$J106,$H$4:$I$6,2,FALSE),IF(AND($Z350="a",Inventory!$AA106=""),"a",IF(AND($Z350="a",Inventory!$AA106&lt;&gt;""),VLOOKUP(Inventory!$AA106,$H$4:$I$6,2,FALSE),IF(AND($Z350="c",Inventory!$AA106=""),"a",IF(AND($Z350="c",Inventory!$AA106&lt;&gt;""),VLOOKUP(Inventory!$AA106,$H$4:$I$6,2,FALSE),"a")))))))</f>
        <v>a</v>
      </c>
      <c r="AC350" s="559" t="str">
        <f t="shared" ref="AC350:AC413" si="260">IF($AA350="f","b",IF($AA350="e","c","a"))</f>
        <v>a</v>
      </c>
      <c r="AD350" s="473" t="str">
        <f>IF($Z350="","a",IF(AND($Z350="b",Inventory!$L106=""),"a",IF(AND($Z350="b",Inventory!$L106&lt;&gt;""),VLOOKUP(Inventory!$L106,$N$4:$O$5,2,FALSE),IF(AND($Z350="a",Inventory!$AC106=""),"a",IF(AND($Z350="a",Inventory!$AC106&lt;&gt;""),VLOOKUP(Inventory!$AC106,$N$4:$O$5,2,FALSE),IF(AND($Z350="c",Inventory!$AC106=""),"a",IF(AND($Z350="c",Inventory!$AC106&lt;&gt;""),VLOOKUP(Inventory!$AC106,$N$4:$O$5,2,FALSE),"a")))))))</f>
        <v>a</v>
      </c>
      <c r="AE350" s="474">
        <f>IF(OR(Inventory!C106="New Construction",Inventory!C106="Replace-on-Burnout"),Inventory!AF106,IF(Inventory!C106="Early Retirement",MIN(Inventory!AE106,Inventory!AF106),0))</f>
        <v>0</v>
      </c>
      <c r="AF350" s="475" t="str">
        <f t="shared" ref="AF350:AF413" si="261">IF(OR(AND($AA350&lt;&gt;"a",$AA350&lt;&gt;"b"),$AE350=""),"",IF(AND($AE350&gt;=$AF$2,$AA350="a"),5,IF(AND($AE350&gt;=$AF$2,$AA350="b"),10,0)))</f>
        <v/>
      </c>
      <c r="AG350" s="475" t="str">
        <f t="shared" ref="AG350:AG413" si="262">IF(OR(AND($AA350&lt;&gt;"a",$AA350&lt;&gt;"b"),$AE350="",$AF350&lt;&gt;0),"",IF(AND($AE350&gt;=$AG$2,$AA350="a"),4,IF(AND($AE350&gt;=$AG$2,$AA350="b"),9,0)))</f>
        <v/>
      </c>
      <c r="AH350" s="475" t="str">
        <f t="shared" ref="AH350:AH413" si="263">IF(OR(AND($AA350&lt;&gt;"a",$AA350&lt;&gt;"b"),$AE350="",$AG350&lt;&gt;0),"",IF(AND($AE350&gt;=$AH$2,$AA350="a"),3,IF(AND($AE350&gt;=$AH$2,$AA350="b"),8,0)))</f>
        <v/>
      </c>
      <c r="AI350" s="475" t="str">
        <f t="shared" ref="AI350:AI413" si="264">IF(OR(AND($AA350&lt;&gt;"a",$AA350&lt;&gt;"b"),$AE350="",$AH350&lt;&gt;0),"",IF(AND($AE350&gt;=$AI$2,$AA350="a"),2,IF(AND($AE350&gt;=$AI$2,$AA350="b"),7,0)))</f>
        <v/>
      </c>
      <c r="AJ350" s="475" t="str">
        <f t="shared" ref="AJ350:AJ413" si="265">IF(OR(AND($AA350&lt;&gt;"a",$AA350&lt;&gt;"b"),$AE350="",$AI350&lt;&gt;0),"",IF(AND($AE350&gt;=$AJ$2,$AA350="a"),1,IF(AND($AE350&gt;=$AJ$2,$AA350="b"),6,0)))</f>
        <v/>
      </c>
      <c r="AK350" s="475" t="str">
        <f t="shared" ref="AK350:AK413" si="266">IF(OR(AND($AA350&lt;&gt;"e",$AA350&lt;&gt;"f"),$AE350=""),"",IF(AND($AE350&gt;=$AK$2,OR($AA350="e",$AA350="f"),$AC350="b",$AD350="b"),26,IF(AND($AE350&gt;$AK$2,OR($AA350="e",$AA350="f"),$AC350="b",$AD350="c"),28,IF(AND($AE350&gt;$AK$2,OR($AA350="e",$AA350="f"),$AC350="c",$AD350="b"),19,IF(AND($AE350&gt;$AK$2,OR($AA350="e",$AA350="f"),$AC350="c",$AD350="c"),24,0)))))</f>
        <v/>
      </c>
      <c r="AL350" s="475" t="str">
        <f t="shared" ref="AL350:AL413" si="267">IF(OR(AND($AA350&lt;&gt;"e",$AA350&lt;&gt;"f"),$AE350="",$AK350&lt;&gt;0),"",IF(AND($AE350&gt;=$AL$2,OR($AA350="e",$AA350="f"),$AC350="b",$AD350="b"),26,IF(AND($AE350&gt;$AL$2,OR($AA350="e",$AA350="f"),$AC350="b",$AD350="c"),28,IF(AND($AE350&gt;$AL$2,OR($AA350="e",$AA350="f"),$AC350="c",$AD350="b"),18,IF(AND($AE350&gt;$AL$2,OR($AA350="e",$AA350="f"),$AC350="c",$AD350="c"),24,0)))))</f>
        <v/>
      </c>
      <c r="AM350" s="475" t="str">
        <f t="shared" ref="AM350:AM413" si="268">IF(OR(AND($AA350&lt;&gt;"e",$AA350&lt;&gt;"f"),$AE350="",$AL350&lt;&gt;0),"",IF(AND($AE350&gt;=$AM$2,OR($AA350="e",$AA350="f"),$AC350="b",$AD350="b"),25,IF(AND($AE350&gt;$AM$2,OR($AA350="e",$AA350="f"),$AC350="b",$AD350="c"),28,IF(AND($AE350&gt;$AM$2,OR($AA350="e",$AA350="f"),$AC350="c",$AD350="b"),17,IF(AND($AE350&gt;$AM$2,OR($AA350="e",$AA350="f"),$AC350="c",$AD350="c"),23,0)))))</f>
        <v/>
      </c>
      <c r="AN350" s="475" t="str">
        <f t="shared" ref="AN350:AN413" si="269">IF(OR(AND($AA350&lt;&gt;"e",$AA350&lt;&gt;"f"),$AE350="",$AM350&lt;&gt;0),"",IF(AND($AE350&gt;=$AN$2,OR($AA350="e",$AA350="f"),$AC350="b",$AD350="b"),25,IF(AND($AE350&gt;$AN$2,OR($AA350="e",$AA350="f"),$AC350="b",$AD350="c"),27,IF(AND($AE350&gt;$AN$2,OR($AA350="e",$AA350="f"),$AC350="c",$AD350="b"),16,IF(AND($AE350&gt;$AN$2,OR($AA350="e",$AA350="f"),$AC350="c",$AD350="c"),22,0)))))</f>
        <v/>
      </c>
      <c r="AO350" s="475" t="str">
        <f t="shared" ref="AO350:AO413" si="270">IF(OR(AND($AA350&lt;&gt;"e",$AA350&lt;&gt;"f"),$AE350="",$AN350&lt;&gt;0),"",IF(AND($AE350&gt;=$AO$2,OR($AA350="e",$AA350="f"),$AC350="b",$AD350="b"),25,IF(AND($AE350&gt;$AO$2,OR($AA350="e",$AA350="f"),$AC350="b",$AD350="c"),27,IF(AND($AE350&gt;$AO$2,OR($AA350="e",$AA350="f"),$AC350="c",$AD350="b"),16,IF(AND($AE350&gt;$AO$2,OR($AA350="e",$AA350="f"),$AC350="c",$AD350="c"),21,0)))))</f>
        <v/>
      </c>
      <c r="AP350" s="475" t="str">
        <f t="shared" ref="AP350:AP413" si="271">IF(OR(AND($AA350&lt;&gt;"e",$AA350&lt;&gt;"f"),$AE350="",$AO350&lt;&gt;0),"",IF(AND($AE350&gt;=$AP$2,OR($AA350="e",$AA350="f"),$AC350="b",$AD350="b"),25,IF(AND($AE350&gt;$AP$2,OR($AA350="e",$AA350="f"),$AC350="b",$AD350="c"),27,IF(AND($AE350&gt;$AP$2,OR($AA350="e",$AA350="f"),$AC350="c",$AD350="b"),15,IF(AND($AE350&gt;$AP$2,OR($AA350="e",$AA350="f"),$AC350="c",$AD350="c"),20,0)))))</f>
        <v/>
      </c>
      <c r="AQ350" s="475" t="str">
        <f t="shared" ref="AQ350:AQ413" si="272">IF(OR(AND($AA350&lt;&gt;"g",$AA350&lt;&gt;"h"),$AE350=""),"",IF(AND($AE350&gt;=$AQ$2,$AA350="g"),33,IF(AND($AE350&gt;=$AQ$2,$AA350="h",$AB350="b"),38,IF(AND($AE350&gt;=$AQ$2,$AA350="h",$AB350&lt;&gt;"b"),43,0))))</f>
        <v/>
      </c>
      <c r="AR350" s="475" t="str">
        <f t="shared" ref="AR350:AR413" si="273">IF(OR(AND($AA350&lt;&gt;"g",$AA350&lt;&gt;"h"),$AE350="",$AQ350&lt;&gt;0),"",IF(AND($AE350&gt;=$AR$2,$AA350="g"),32,IF(AND($AE350&gt;=$AR$2,$AA350="h",$AB350="b"),37,IF(AND($AE350&gt;=$AR$2,$AA350="h",$AB350&lt;&gt;"b"),42,0))))</f>
        <v/>
      </c>
      <c r="AS350" s="475" t="str">
        <f t="shared" si="256"/>
        <v/>
      </c>
      <c r="AT350" s="475" t="str">
        <f t="shared" ref="AT350:AT413" si="274">IF(OR(AND($AA350&lt;&gt;"g",$AA350&lt;&gt;"h"),$AE350="",$AS350&lt;&gt;0),"",IF(AND($AE350&gt;=$AT$2,$AA350="g"),30,IF(AND($AE350&gt;=$AT$2,$AA350="h",$AB350="b"),35,IF(AND($AE350&gt;=$AT$2,$AA350="h",$AB350&lt;&gt;"b"),40,0))))</f>
        <v/>
      </c>
      <c r="AU350" s="475" t="str">
        <f t="shared" ref="AU350:AU413" si="275">IF(OR(AND($AA350&lt;&gt;"g",$AA350&lt;&gt;"h"),$AE350="",$AT350&lt;&gt;0),"",IF(AND($AE350&gt;=$AU$2,$AA350="g"),29,IF(AND($AE350&gt;=$AU$2,$AA350="h",$AB350="b"),34,IF(AND($AE350&gt;=$AU$2,$AA350="h",$AB350&lt;&gt;"b"),39,0))))</f>
        <v/>
      </c>
      <c r="AV350" s="475" t="str">
        <f t="shared" ref="AV350:AV413" si="276">IF($AE350="","",IF(AND($Z350="c",$AA350="c"),10,IF(AND($Z350="a",$AA350="c"),11,IF(AND($Z350="c",$AA350="d"),12,IF(AND($Z350="a",$AA350="d"),13,"")))))</f>
        <v/>
      </c>
      <c r="AW350" s="473">
        <f t="shared" ref="AW350:AW413" si="277">SUM($AF350:$AV350)</f>
        <v>0</v>
      </c>
      <c r="AX350" s="473" t="str">
        <f>IF(AND($Z350="b",OR($AA350="a",$AA350="b"),Inventory!$I106="",$AE350&lt;(65000/12000)),"x",IF(AND($Z350="b",OR($AA350="a",$AA350="b"),Inventory!$I106&lt;&gt;"",$AE350&lt;(65000/12000)),VLOOKUP(Inventory!$I357,$V$4:$W$5,2,FALSE),"x"))</f>
        <v>x</v>
      </c>
      <c r="AY350" s="476" t="str">
        <f t="shared" ref="AY350:AY413" si="278">CONCATENATE($Z350,$AA350,$AB350,$AC350,$AD350,$AW350)</f>
        <v>aaa0</v>
      </c>
      <c r="AZ350" s="477" t="str">
        <f t="shared" si="247"/>
        <v>No</v>
      </c>
      <c r="BA350" s="759" t="str">
        <f t="shared" si="248"/>
        <v>No</v>
      </c>
      <c r="BB350" s="477">
        <f>IF($Z350="c",Inventory!$AB106,Inventory!$K106)</f>
        <v>0</v>
      </c>
      <c r="BC350" s="478">
        <f>IF(AND($Z350="b",Inventory!$N106="Btu/hr"),Inventory!$M106,IF(AND($Z350="b",Inventory!$N106="Tons"),Inventory!$M106*12000,IF(AND($Z350&lt;&gt;"b",Inventory!$AK106="Btu/hr"),Inventory!$AD106,IF(AND($Z350&lt;&gt;"b",Inventory!$AK106="Tons"),Inventory!$AD106*12000,0))))</f>
        <v>0</v>
      </c>
      <c r="BD350" s="478">
        <f t="shared" si="245"/>
        <v>0</v>
      </c>
      <c r="BE350" s="479">
        <f t="shared" si="257"/>
        <v>0</v>
      </c>
      <c r="BF350" s="477" t="s">
        <v>50</v>
      </c>
      <c r="BG350" s="479">
        <f t="shared" ref="BG350:BG413" si="279">IFERROR(12/$BE350,0)</f>
        <v>0</v>
      </c>
      <c r="BH350" s="477" t="s">
        <v>46</v>
      </c>
      <c r="BI350" s="760">
        <f>IF(AND($Z350="b",Inventory!$P106="Btu/hr"),Inventory!$O106,IF(AND($Z350="b",Inventory!$P106="Tons"),Inventory!$O106*12000,IF(AND($Z350&lt;&gt;"b",Inventory!$AM106="Btu/hr"),Inventory!$AL106,IF(AND($Z350&lt;&gt;"b",Inventory!$AM106="Tons"),Inventory!$AL106*12000,0))))</f>
        <v>0</v>
      </c>
      <c r="BJ350" s="760">
        <f t="shared" si="246"/>
        <v>0</v>
      </c>
      <c r="BK350" s="598">
        <f t="shared" si="249"/>
        <v>0</v>
      </c>
      <c r="BL350" s="759" t="s">
        <v>567</v>
      </c>
      <c r="BM350" s="477" t="str">
        <f t="shared" ref="BM350:BM413" si="280">IF($Z350="b","Yes","No")</f>
        <v>No</v>
      </c>
      <c r="BN350" s="477" t="str">
        <f>IF(OR(Inventory!$H106="",$BM350="No"),"-",Inventory!$H106)</f>
        <v>-</v>
      </c>
      <c r="BO350" s="477" t="str">
        <f>IFERROR(VLOOKUP(BN350,'Early Retirement'!$B$6:$C$33,2,FALSE),"-")</f>
        <v>-</v>
      </c>
      <c r="BP350" s="477" t="str">
        <f>IF(Inventory!$J106="Centrifugal","Yes","No")</f>
        <v>No</v>
      </c>
      <c r="BQ350" s="477">
        <f t="shared" ref="BQ350:BQ413" si="281">IF($BM350="No",0,IF($BP350="Yes",CONCATENATE($AW350,$AX350,"c"),CONCATENATE($AW350,$AX350)))</f>
        <v>0</v>
      </c>
      <c r="BR350" s="477" t="str">
        <f t="shared" si="259"/>
        <v>-</v>
      </c>
      <c r="BS350" s="479">
        <f>IFERROR(INDEX('Early Retirement'!$C$4:$AC$33,$BO350,$BR350),0)</f>
        <v>0</v>
      </c>
      <c r="BT350" s="477">
        <f>IFERROR(HLOOKUP($BR350,'Early Retirement'!$D$4:$AC$5,2,FALSE),0)</f>
        <v>0</v>
      </c>
      <c r="BU350" s="761">
        <f>IFERROR(INDEX('Early Retirement'!$AE$4:$BE$33,$BO350,$BR350),0)</f>
        <v>0</v>
      </c>
      <c r="BV350" s="759">
        <f>IFERROR(HLOOKUP($BR350,'Early Retirement'!$AF$4:$BE$5,2,FALSE),0)</f>
        <v>0</v>
      </c>
      <c r="BW350" s="479">
        <f t="shared" ref="BW350:BW413" si="282">IF($BT350="SEER",12/($BS350*0.697+2.0394),IF($BT350="EER",12/$BS350,IF($BT350="kW/ton",$BS350,0)))</f>
        <v>0</v>
      </c>
      <c r="BX350" s="761">
        <f t="shared" si="250"/>
        <v>0</v>
      </c>
      <c r="BY350" s="477" t="s">
        <v>46</v>
      </c>
      <c r="BZ350" s="598">
        <f>IFERROR(INDEX('Early Retirement'!$BG$4:$CG$33,$BO350,$BR350),0)</f>
        <v>0</v>
      </c>
      <c r="CA350" s="759">
        <f>IFERROR(HLOOKUP($BR350,'Early Retirement'!$BH$4:$CH$5,2,FALSE),0)</f>
        <v>0</v>
      </c>
      <c r="CB350" s="598">
        <f t="shared" si="251"/>
        <v>0</v>
      </c>
      <c r="CC350" s="759" t="s">
        <v>567</v>
      </c>
      <c r="CD350" s="477" t="str">
        <f t="shared" ref="CD350:CD413" si="283">IF(AND($AZ350="No",$BM350="No"),"Yes","No")</f>
        <v>Yes</v>
      </c>
      <c r="CE350" s="479">
        <f t="shared" si="252"/>
        <v>0</v>
      </c>
      <c r="CF350" s="761">
        <f t="shared" si="253"/>
        <v>0</v>
      </c>
      <c r="CG350" s="759" t="s">
        <v>46</v>
      </c>
      <c r="CH350" s="598">
        <f t="shared" si="258"/>
        <v>0</v>
      </c>
      <c r="CI350" s="759" t="s">
        <v>567</v>
      </c>
      <c r="CJ350" s="480">
        <f t="shared" ref="CJ350:CJ413" si="284">MAX($BG350,$BW350,$CE350)</f>
        <v>0</v>
      </c>
      <c r="CK350" s="583">
        <f t="shared" si="254"/>
        <v>0</v>
      </c>
      <c r="CL350" s="596" t="s">
        <v>46</v>
      </c>
      <c r="CM350" s="581">
        <f t="shared" si="255"/>
        <v>0</v>
      </c>
      <c r="CN350" s="762" t="s">
        <v>567</v>
      </c>
      <c r="CW350" s="630"/>
      <c r="CX350" s="630"/>
      <c r="CY350" s="630"/>
      <c r="CZ350" s="630"/>
      <c r="DA350" s="630"/>
    </row>
    <row r="351" spans="2:105" s="78" customFormat="1" ht="15" customHeight="1" x14ac:dyDescent="0.25">
      <c r="B351" s="77"/>
      <c r="E351" s="77"/>
      <c r="H351" s="77"/>
      <c r="Y351" s="90">
        <v>98</v>
      </c>
      <c r="Z351" s="559" t="str">
        <f>IF(Inventory!$C107="","",VLOOKUP(Inventory!$C107,$B$7:$C$9,2,FALSE))</f>
        <v/>
      </c>
      <c r="AA351" s="559" t="str">
        <f>IF($Z351="","",IF(AND($Z351="b",Inventory!$G107=""),"",IF(AND($Z351="b",Inventory!$G107&lt;&gt;""),VLOOKUP(Inventory!$G107,$E$3:$F$10,2,FALSE),IF(AND($Z351="a",Inventory!$Z107=""),"",IF(AND($Z351="a",Inventory!$Z107&lt;&gt;""),VLOOKUP(Inventory!$Z107,$E$3:$F$10,2,FALSE),IF(AND($Z351="c",Inventory!$Z107=""),"",IF(AND($Z351="c",Inventory!$Z107&lt;&gt;""),VLOOKUP(Inventory!$Z107,$E$3:$F$10,2,FALSE),"")))))))</f>
        <v/>
      </c>
      <c r="AB351" s="559" t="str">
        <f>IF($Z351="","a",IF(AND($Z351="b",Inventory!$J107=""),"a",IF(AND($Z351="b",Inventory!$J107&lt;&gt;""),VLOOKUP(Inventory!$J107,$H$4:$I$6,2,FALSE),IF(AND($Z351="a",Inventory!$AA107=""),"a",IF(AND($Z351="a",Inventory!$AA107&lt;&gt;""),VLOOKUP(Inventory!$AA107,$H$4:$I$6,2,FALSE),IF(AND($Z351="c",Inventory!$AA107=""),"a",IF(AND($Z351="c",Inventory!$AA107&lt;&gt;""),VLOOKUP(Inventory!$AA107,$H$4:$I$6,2,FALSE),"a")))))))</f>
        <v>a</v>
      </c>
      <c r="AC351" s="559" t="str">
        <f t="shared" si="260"/>
        <v>a</v>
      </c>
      <c r="AD351" s="473" t="str">
        <f>IF($Z351="","a",IF(AND($Z351="b",Inventory!$L107=""),"a",IF(AND($Z351="b",Inventory!$L107&lt;&gt;""),VLOOKUP(Inventory!$L107,$N$4:$O$5,2,FALSE),IF(AND($Z351="a",Inventory!$AC107=""),"a",IF(AND($Z351="a",Inventory!$AC107&lt;&gt;""),VLOOKUP(Inventory!$AC107,$N$4:$O$5,2,FALSE),IF(AND($Z351="c",Inventory!$AC107=""),"a",IF(AND($Z351="c",Inventory!$AC107&lt;&gt;""),VLOOKUP(Inventory!$AC107,$N$4:$O$5,2,FALSE),"a")))))))</f>
        <v>a</v>
      </c>
      <c r="AE351" s="474">
        <f>IF(OR(Inventory!C107="New Construction",Inventory!C107="Replace-on-Burnout"),Inventory!AF107,IF(Inventory!C107="Early Retirement",MIN(Inventory!AE107,Inventory!AF107),0))</f>
        <v>0</v>
      </c>
      <c r="AF351" s="475" t="str">
        <f t="shared" si="261"/>
        <v/>
      </c>
      <c r="AG351" s="475" t="str">
        <f t="shared" si="262"/>
        <v/>
      </c>
      <c r="AH351" s="475" t="str">
        <f t="shared" si="263"/>
        <v/>
      </c>
      <c r="AI351" s="475" t="str">
        <f t="shared" si="264"/>
        <v/>
      </c>
      <c r="AJ351" s="475" t="str">
        <f t="shared" si="265"/>
        <v/>
      </c>
      <c r="AK351" s="475" t="str">
        <f t="shared" si="266"/>
        <v/>
      </c>
      <c r="AL351" s="475" t="str">
        <f t="shared" si="267"/>
        <v/>
      </c>
      <c r="AM351" s="475" t="str">
        <f t="shared" si="268"/>
        <v/>
      </c>
      <c r="AN351" s="475" t="str">
        <f t="shared" si="269"/>
        <v/>
      </c>
      <c r="AO351" s="475" t="str">
        <f t="shared" si="270"/>
        <v/>
      </c>
      <c r="AP351" s="475" t="str">
        <f t="shared" si="271"/>
        <v/>
      </c>
      <c r="AQ351" s="475" t="str">
        <f t="shared" si="272"/>
        <v/>
      </c>
      <c r="AR351" s="475" t="str">
        <f t="shared" si="273"/>
        <v/>
      </c>
      <c r="AS351" s="475" t="str">
        <f t="shared" si="256"/>
        <v/>
      </c>
      <c r="AT351" s="475" t="str">
        <f t="shared" si="274"/>
        <v/>
      </c>
      <c r="AU351" s="475" t="str">
        <f t="shared" si="275"/>
        <v/>
      </c>
      <c r="AV351" s="475" t="str">
        <f t="shared" si="276"/>
        <v/>
      </c>
      <c r="AW351" s="473">
        <f t="shared" si="277"/>
        <v>0</v>
      </c>
      <c r="AX351" s="473" t="str">
        <f>IF(AND($Z351="b",OR($AA351="a",$AA351="b"),Inventory!$I107="",$AE351&lt;(65000/12000)),"x",IF(AND($Z351="b",OR($AA351="a",$AA351="b"),Inventory!$I107&lt;&gt;"",$AE351&lt;(65000/12000)),VLOOKUP(Inventory!$I358,$V$4:$W$5,2,FALSE),"x"))</f>
        <v>x</v>
      </c>
      <c r="AY351" s="476" t="str">
        <f t="shared" si="278"/>
        <v>aaa0</v>
      </c>
      <c r="AZ351" s="477" t="str">
        <f t="shared" si="247"/>
        <v>No</v>
      </c>
      <c r="BA351" s="759" t="str">
        <f t="shared" si="248"/>
        <v>No</v>
      </c>
      <c r="BB351" s="477">
        <f>IF($Z351="c",Inventory!$AB107,Inventory!$K107)</f>
        <v>0</v>
      </c>
      <c r="BC351" s="478">
        <f>IF(AND($Z351="b",Inventory!$N107="Btu/hr"),Inventory!$M107,IF(AND($Z351="b",Inventory!$N107="Tons"),Inventory!$M107*12000,IF(AND($Z351&lt;&gt;"b",Inventory!$AK107="Btu/hr"),Inventory!$AD107,IF(AND($Z351&lt;&gt;"b",Inventory!$AK107="Tons"),Inventory!$AD107*12000,0))))</f>
        <v>0</v>
      </c>
      <c r="BD351" s="478">
        <f t="shared" si="245"/>
        <v>0</v>
      </c>
      <c r="BE351" s="479">
        <f t="shared" si="257"/>
        <v>0</v>
      </c>
      <c r="BF351" s="477" t="s">
        <v>50</v>
      </c>
      <c r="BG351" s="479">
        <f t="shared" si="279"/>
        <v>0</v>
      </c>
      <c r="BH351" s="477" t="s">
        <v>46</v>
      </c>
      <c r="BI351" s="760">
        <f>IF(AND($Z351="b",Inventory!$P107="Btu/hr"),Inventory!$O107,IF(AND($Z351="b",Inventory!$P107="Tons"),Inventory!$O107*12000,IF(AND($Z351&lt;&gt;"b",Inventory!$AM107="Btu/hr"),Inventory!$AL107,IF(AND($Z351&lt;&gt;"b",Inventory!$AM107="Tons"),Inventory!$AL107*12000,0))))</f>
        <v>0</v>
      </c>
      <c r="BJ351" s="760">
        <f t="shared" si="246"/>
        <v>0</v>
      </c>
      <c r="BK351" s="598">
        <f t="shared" si="249"/>
        <v>0</v>
      </c>
      <c r="BL351" s="759" t="s">
        <v>567</v>
      </c>
      <c r="BM351" s="477" t="str">
        <f t="shared" si="280"/>
        <v>No</v>
      </c>
      <c r="BN351" s="477" t="str">
        <f>IF(OR(Inventory!$H107="",$BM351="No"),"-",Inventory!$H107)</f>
        <v>-</v>
      </c>
      <c r="BO351" s="477" t="str">
        <f>IFERROR(VLOOKUP(BN351,'Early Retirement'!$B$6:$C$33,2,FALSE),"-")</f>
        <v>-</v>
      </c>
      <c r="BP351" s="477" t="str">
        <f>IF(Inventory!$J107="Centrifugal","Yes","No")</f>
        <v>No</v>
      </c>
      <c r="BQ351" s="477">
        <f t="shared" si="281"/>
        <v>0</v>
      </c>
      <c r="BR351" s="477" t="str">
        <f t="shared" si="259"/>
        <v>-</v>
      </c>
      <c r="BS351" s="479">
        <f>IFERROR(INDEX('Early Retirement'!$C$4:$AC$33,$BO351,$BR351),0)</f>
        <v>0</v>
      </c>
      <c r="BT351" s="477">
        <f>IFERROR(HLOOKUP($BR351,'Early Retirement'!$D$4:$AC$5,2,FALSE),0)</f>
        <v>0</v>
      </c>
      <c r="BU351" s="761">
        <f>IFERROR(INDEX('Early Retirement'!$AE$4:$BE$33,$BO351,$BR351),0)</f>
        <v>0</v>
      </c>
      <c r="BV351" s="759">
        <f>IFERROR(HLOOKUP($BR351,'Early Retirement'!$AF$4:$BE$5,2,FALSE),0)</f>
        <v>0</v>
      </c>
      <c r="BW351" s="479">
        <f t="shared" si="282"/>
        <v>0</v>
      </c>
      <c r="BX351" s="761">
        <f t="shared" si="250"/>
        <v>0</v>
      </c>
      <c r="BY351" s="477" t="s">
        <v>46</v>
      </c>
      <c r="BZ351" s="598">
        <f>IFERROR(INDEX('Early Retirement'!$BG$4:$CG$33,$BO351,$BR351),0)</f>
        <v>0</v>
      </c>
      <c r="CA351" s="759">
        <f>IFERROR(HLOOKUP($BR351,'Early Retirement'!$BH$4:$CH$5,2,FALSE),0)</f>
        <v>0</v>
      </c>
      <c r="CB351" s="598">
        <f t="shared" si="251"/>
        <v>0</v>
      </c>
      <c r="CC351" s="759" t="s">
        <v>567</v>
      </c>
      <c r="CD351" s="477" t="str">
        <f t="shared" si="283"/>
        <v>Yes</v>
      </c>
      <c r="CE351" s="479">
        <f t="shared" si="252"/>
        <v>0</v>
      </c>
      <c r="CF351" s="761">
        <f t="shared" si="253"/>
        <v>0</v>
      </c>
      <c r="CG351" s="759" t="s">
        <v>46</v>
      </c>
      <c r="CH351" s="598">
        <f t="shared" si="258"/>
        <v>0</v>
      </c>
      <c r="CI351" s="759" t="s">
        <v>567</v>
      </c>
      <c r="CJ351" s="480">
        <f t="shared" si="284"/>
        <v>0</v>
      </c>
      <c r="CK351" s="583">
        <f t="shared" si="254"/>
        <v>0</v>
      </c>
      <c r="CL351" s="596" t="s">
        <v>46</v>
      </c>
      <c r="CM351" s="581">
        <f t="shared" si="255"/>
        <v>0</v>
      </c>
      <c r="CN351" s="762" t="s">
        <v>567</v>
      </c>
      <c r="CW351" s="630"/>
      <c r="CX351" s="630"/>
      <c r="CY351" s="630"/>
      <c r="CZ351" s="630"/>
      <c r="DA351" s="630"/>
    </row>
    <row r="352" spans="2:105" s="78" customFormat="1" ht="15" customHeight="1" x14ac:dyDescent="0.25">
      <c r="B352" s="77"/>
      <c r="E352" s="77"/>
      <c r="H352" s="77"/>
      <c r="Y352" s="90">
        <v>99</v>
      </c>
      <c r="Z352" s="559" t="str">
        <f>IF(Inventory!$C108="","",VLOOKUP(Inventory!$C108,$B$7:$C$9,2,FALSE))</f>
        <v/>
      </c>
      <c r="AA352" s="559" t="str">
        <f>IF($Z352="","",IF(AND($Z352="b",Inventory!$G108=""),"",IF(AND($Z352="b",Inventory!$G108&lt;&gt;""),VLOOKUP(Inventory!$G108,$E$3:$F$10,2,FALSE),IF(AND($Z352="a",Inventory!$Z108=""),"",IF(AND($Z352="a",Inventory!$Z108&lt;&gt;""),VLOOKUP(Inventory!$Z108,$E$3:$F$10,2,FALSE),IF(AND($Z352="c",Inventory!$Z108=""),"",IF(AND($Z352="c",Inventory!$Z108&lt;&gt;""),VLOOKUP(Inventory!$Z108,$E$3:$F$10,2,FALSE),"")))))))</f>
        <v/>
      </c>
      <c r="AB352" s="559" t="str">
        <f>IF($Z352="","a",IF(AND($Z352="b",Inventory!$J108=""),"a",IF(AND($Z352="b",Inventory!$J108&lt;&gt;""),VLOOKUP(Inventory!$J108,$H$4:$I$6,2,FALSE),IF(AND($Z352="a",Inventory!$AA108=""),"a",IF(AND($Z352="a",Inventory!$AA108&lt;&gt;""),VLOOKUP(Inventory!$AA108,$H$4:$I$6,2,FALSE),IF(AND($Z352="c",Inventory!$AA108=""),"a",IF(AND($Z352="c",Inventory!$AA108&lt;&gt;""),VLOOKUP(Inventory!$AA108,$H$4:$I$6,2,FALSE),"a")))))))</f>
        <v>a</v>
      </c>
      <c r="AC352" s="559" t="str">
        <f t="shared" si="260"/>
        <v>a</v>
      </c>
      <c r="AD352" s="473" t="str">
        <f>IF($Z352="","a",IF(AND($Z352="b",Inventory!$L108=""),"a",IF(AND($Z352="b",Inventory!$L108&lt;&gt;""),VLOOKUP(Inventory!$L108,$N$4:$O$5,2,FALSE),IF(AND($Z352="a",Inventory!$AC108=""),"a",IF(AND($Z352="a",Inventory!$AC108&lt;&gt;""),VLOOKUP(Inventory!$AC108,$N$4:$O$5,2,FALSE),IF(AND($Z352="c",Inventory!$AC108=""),"a",IF(AND($Z352="c",Inventory!$AC108&lt;&gt;""),VLOOKUP(Inventory!$AC108,$N$4:$O$5,2,FALSE),"a")))))))</f>
        <v>a</v>
      </c>
      <c r="AE352" s="474">
        <f>IF(OR(Inventory!C108="New Construction",Inventory!C108="Replace-on-Burnout"),Inventory!AF108,IF(Inventory!C108="Early Retirement",MIN(Inventory!AE108,Inventory!AF108),0))</f>
        <v>0</v>
      </c>
      <c r="AF352" s="475" t="str">
        <f t="shared" si="261"/>
        <v/>
      </c>
      <c r="AG352" s="475" t="str">
        <f t="shared" si="262"/>
        <v/>
      </c>
      <c r="AH352" s="475" t="str">
        <f t="shared" si="263"/>
        <v/>
      </c>
      <c r="AI352" s="475" t="str">
        <f t="shared" si="264"/>
        <v/>
      </c>
      <c r="AJ352" s="475" t="str">
        <f t="shared" si="265"/>
        <v/>
      </c>
      <c r="AK352" s="475" t="str">
        <f t="shared" si="266"/>
        <v/>
      </c>
      <c r="AL352" s="475" t="str">
        <f t="shared" si="267"/>
        <v/>
      </c>
      <c r="AM352" s="475" t="str">
        <f t="shared" si="268"/>
        <v/>
      </c>
      <c r="AN352" s="475" t="str">
        <f t="shared" si="269"/>
        <v/>
      </c>
      <c r="AO352" s="475" t="str">
        <f t="shared" si="270"/>
        <v/>
      </c>
      <c r="AP352" s="475" t="str">
        <f t="shared" si="271"/>
        <v/>
      </c>
      <c r="AQ352" s="475" t="str">
        <f t="shared" si="272"/>
        <v/>
      </c>
      <c r="AR352" s="475" t="str">
        <f t="shared" si="273"/>
        <v/>
      </c>
      <c r="AS352" s="475" t="str">
        <f t="shared" si="256"/>
        <v/>
      </c>
      <c r="AT352" s="475" t="str">
        <f t="shared" si="274"/>
        <v/>
      </c>
      <c r="AU352" s="475" t="str">
        <f t="shared" si="275"/>
        <v/>
      </c>
      <c r="AV352" s="475" t="str">
        <f t="shared" si="276"/>
        <v/>
      </c>
      <c r="AW352" s="473">
        <f t="shared" si="277"/>
        <v>0</v>
      </c>
      <c r="AX352" s="473" t="str">
        <f>IF(AND($Z352="b",OR($AA352="a",$AA352="b"),Inventory!$I108="",$AE352&lt;(65000/12000)),"x",IF(AND($Z352="b",OR($AA352="a",$AA352="b"),Inventory!$I108&lt;&gt;"",$AE352&lt;(65000/12000)),VLOOKUP(Inventory!$I359,$V$4:$W$5,2,FALSE),"x"))</f>
        <v>x</v>
      </c>
      <c r="AY352" s="476" t="str">
        <f t="shared" si="278"/>
        <v>aaa0</v>
      </c>
      <c r="AZ352" s="477" t="str">
        <f t="shared" si="247"/>
        <v>No</v>
      </c>
      <c r="BA352" s="759" t="str">
        <f t="shared" si="248"/>
        <v>No</v>
      </c>
      <c r="BB352" s="477">
        <f>IF($Z352="c",Inventory!$AB108,Inventory!$K108)</f>
        <v>0</v>
      </c>
      <c r="BC352" s="478">
        <f>IF(AND($Z352="b",Inventory!$N108="Btu/hr"),Inventory!$M108,IF(AND($Z352="b",Inventory!$N108="Tons"),Inventory!$M108*12000,IF(AND($Z352&lt;&gt;"b",Inventory!$AK108="Btu/hr"),Inventory!$AD108,IF(AND($Z352&lt;&gt;"b",Inventory!$AK108="Tons"),Inventory!$AD108*12000,0))))</f>
        <v>0</v>
      </c>
      <c r="BD352" s="478">
        <f t="shared" si="245"/>
        <v>0</v>
      </c>
      <c r="BE352" s="479">
        <f t="shared" si="257"/>
        <v>0</v>
      </c>
      <c r="BF352" s="477" t="s">
        <v>50</v>
      </c>
      <c r="BG352" s="479">
        <f t="shared" si="279"/>
        <v>0</v>
      </c>
      <c r="BH352" s="477" t="s">
        <v>46</v>
      </c>
      <c r="BI352" s="760">
        <f>IF(AND($Z352="b",Inventory!$P108="Btu/hr"),Inventory!$O108,IF(AND($Z352="b",Inventory!$P108="Tons"),Inventory!$O108*12000,IF(AND($Z352&lt;&gt;"b",Inventory!$AM108="Btu/hr"),Inventory!$AL108,IF(AND($Z352&lt;&gt;"b",Inventory!$AM108="Tons"),Inventory!$AL108*12000,0))))</f>
        <v>0</v>
      </c>
      <c r="BJ352" s="760">
        <f t="shared" si="246"/>
        <v>0</v>
      </c>
      <c r="BK352" s="598">
        <f t="shared" si="249"/>
        <v>0</v>
      </c>
      <c r="BL352" s="759" t="s">
        <v>567</v>
      </c>
      <c r="BM352" s="477" t="str">
        <f t="shared" si="280"/>
        <v>No</v>
      </c>
      <c r="BN352" s="477" t="str">
        <f>IF(OR(Inventory!$H108="",$BM352="No"),"-",Inventory!$H108)</f>
        <v>-</v>
      </c>
      <c r="BO352" s="477" t="str">
        <f>IFERROR(VLOOKUP(BN352,'Early Retirement'!$B$6:$C$33,2,FALSE),"-")</f>
        <v>-</v>
      </c>
      <c r="BP352" s="477" t="str">
        <f>IF(Inventory!$J108="Centrifugal","Yes","No")</f>
        <v>No</v>
      </c>
      <c r="BQ352" s="477">
        <f t="shared" si="281"/>
        <v>0</v>
      </c>
      <c r="BR352" s="477" t="str">
        <f t="shared" si="259"/>
        <v>-</v>
      </c>
      <c r="BS352" s="479">
        <f>IFERROR(INDEX('Early Retirement'!$C$4:$AC$33,$BO352,$BR352),0)</f>
        <v>0</v>
      </c>
      <c r="BT352" s="477">
        <f>IFERROR(HLOOKUP($BR352,'Early Retirement'!$D$4:$AC$5,2,FALSE),0)</f>
        <v>0</v>
      </c>
      <c r="BU352" s="761">
        <f>IFERROR(INDEX('Early Retirement'!$AE$4:$BE$33,$BO352,$BR352),0)</f>
        <v>0</v>
      </c>
      <c r="BV352" s="759">
        <f>IFERROR(HLOOKUP($BR352,'Early Retirement'!$AF$4:$BE$5,2,FALSE),0)</f>
        <v>0</v>
      </c>
      <c r="BW352" s="479">
        <f t="shared" si="282"/>
        <v>0</v>
      </c>
      <c r="BX352" s="761">
        <f t="shared" si="250"/>
        <v>0</v>
      </c>
      <c r="BY352" s="477" t="s">
        <v>46</v>
      </c>
      <c r="BZ352" s="598">
        <f>IFERROR(INDEX('Early Retirement'!$BG$4:$CG$33,$BO352,$BR352),0)</f>
        <v>0</v>
      </c>
      <c r="CA352" s="759">
        <f>IFERROR(HLOOKUP($BR352,'Early Retirement'!$BH$4:$CH$5,2,FALSE),0)</f>
        <v>0</v>
      </c>
      <c r="CB352" s="598">
        <f t="shared" si="251"/>
        <v>0</v>
      </c>
      <c r="CC352" s="759" t="s">
        <v>567</v>
      </c>
      <c r="CD352" s="477" t="str">
        <f t="shared" si="283"/>
        <v>Yes</v>
      </c>
      <c r="CE352" s="479">
        <f t="shared" si="252"/>
        <v>0</v>
      </c>
      <c r="CF352" s="761">
        <f t="shared" si="253"/>
        <v>0</v>
      </c>
      <c r="CG352" s="759" t="s">
        <v>46</v>
      </c>
      <c r="CH352" s="598">
        <f t="shared" si="258"/>
        <v>0</v>
      </c>
      <c r="CI352" s="759" t="s">
        <v>567</v>
      </c>
      <c r="CJ352" s="480">
        <f t="shared" si="284"/>
        <v>0</v>
      </c>
      <c r="CK352" s="583">
        <f t="shared" si="254"/>
        <v>0</v>
      </c>
      <c r="CL352" s="596" t="s">
        <v>46</v>
      </c>
      <c r="CM352" s="581">
        <f t="shared" si="255"/>
        <v>0</v>
      </c>
      <c r="CN352" s="762" t="s">
        <v>567</v>
      </c>
      <c r="CW352" s="630"/>
      <c r="CX352" s="630"/>
      <c r="CY352" s="630"/>
      <c r="CZ352" s="630"/>
      <c r="DA352" s="630"/>
    </row>
    <row r="353" spans="2:105" s="78" customFormat="1" ht="15" customHeight="1" x14ac:dyDescent="0.25">
      <c r="B353" s="77"/>
      <c r="E353" s="77"/>
      <c r="H353" s="77"/>
      <c r="Y353" s="90">
        <v>100</v>
      </c>
      <c r="Z353" s="559" t="str">
        <f>IF(Inventory!$C109="","",VLOOKUP(Inventory!$C109,$B$7:$C$9,2,FALSE))</f>
        <v/>
      </c>
      <c r="AA353" s="559" t="str">
        <f>IF($Z353="","",IF(AND($Z353="b",Inventory!$G109=""),"",IF(AND($Z353="b",Inventory!$G109&lt;&gt;""),VLOOKUP(Inventory!$G109,$E$3:$F$10,2,FALSE),IF(AND($Z353="a",Inventory!$Z109=""),"",IF(AND($Z353="a",Inventory!$Z109&lt;&gt;""),VLOOKUP(Inventory!$Z109,$E$3:$F$10,2,FALSE),IF(AND($Z353="c",Inventory!$Z109=""),"",IF(AND($Z353="c",Inventory!$Z109&lt;&gt;""),VLOOKUP(Inventory!$Z109,$E$3:$F$10,2,FALSE),"")))))))</f>
        <v/>
      </c>
      <c r="AB353" s="559" t="str">
        <f>IF($Z353="","a",IF(AND($Z353="b",Inventory!$J109=""),"a",IF(AND($Z353="b",Inventory!$J109&lt;&gt;""),VLOOKUP(Inventory!$J109,$H$4:$I$6,2,FALSE),IF(AND($Z353="a",Inventory!$AA109=""),"a",IF(AND($Z353="a",Inventory!$AA109&lt;&gt;""),VLOOKUP(Inventory!$AA109,$H$4:$I$6,2,FALSE),IF(AND($Z353="c",Inventory!$AA109=""),"a",IF(AND($Z353="c",Inventory!$AA109&lt;&gt;""),VLOOKUP(Inventory!$AA109,$H$4:$I$6,2,FALSE),"a")))))))</f>
        <v>a</v>
      </c>
      <c r="AC353" s="559" t="str">
        <f t="shared" si="260"/>
        <v>a</v>
      </c>
      <c r="AD353" s="473" t="str">
        <f>IF($Z353="","a",IF(AND($Z353="b",Inventory!$L109=""),"a",IF(AND($Z353="b",Inventory!$L109&lt;&gt;""),VLOOKUP(Inventory!$L109,$N$4:$O$5,2,FALSE),IF(AND($Z353="a",Inventory!$AC109=""),"a",IF(AND($Z353="a",Inventory!$AC109&lt;&gt;""),VLOOKUP(Inventory!$AC109,$N$4:$O$5,2,FALSE),IF(AND($Z353="c",Inventory!$AC109=""),"a",IF(AND($Z353="c",Inventory!$AC109&lt;&gt;""),VLOOKUP(Inventory!$AC109,$N$4:$O$5,2,FALSE),"a")))))))</f>
        <v>a</v>
      </c>
      <c r="AE353" s="474">
        <f>IF(OR(Inventory!C109="New Construction",Inventory!C109="Replace-on-Burnout"),Inventory!AF109,IF(Inventory!C109="Early Retirement",MIN(Inventory!AE109,Inventory!AF109),0))</f>
        <v>0</v>
      </c>
      <c r="AF353" s="475" t="str">
        <f t="shared" si="261"/>
        <v/>
      </c>
      <c r="AG353" s="475" t="str">
        <f t="shared" si="262"/>
        <v/>
      </c>
      <c r="AH353" s="475" t="str">
        <f t="shared" si="263"/>
        <v/>
      </c>
      <c r="AI353" s="475" t="str">
        <f t="shared" si="264"/>
        <v/>
      </c>
      <c r="AJ353" s="475" t="str">
        <f t="shared" si="265"/>
        <v/>
      </c>
      <c r="AK353" s="475" t="str">
        <f t="shared" si="266"/>
        <v/>
      </c>
      <c r="AL353" s="475" t="str">
        <f t="shared" si="267"/>
        <v/>
      </c>
      <c r="AM353" s="475" t="str">
        <f t="shared" si="268"/>
        <v/>
      </c>
      <c r="AN353" s="475" t="str">
        <f t="shared" si="269"/>
        <v/>
      </c>
      <c r="AO353" s="475" t="str">
        <f t="shared" si="270"/>
        <v/>
      </c>
      <c r="AP353" s="475" t="str">
        <f t="shared" si="271"/>
        <v/>
      </c>
      <c r="AQ353" s="475" t="str">
        <f t="shared" si="272"/>
        <v/>
      </c>
      <c r="AR353" s="475" t="str">
        <f t="shared" si="273"/>
        <v/>
      </c>
      <c r="AS353" s="475" t="str">
        <f t="shared" si="256"/>
        <v/>
      </c>
      <c r="AT353" s="475" t="str">
        <f t="shared" si="274"/>
        <v/>
      </c>
      <c r="AU353" s="475" t="str">
        <f t="shared" si="275"/>
        <v/>
      </c>
      <c r="AV353" s="475" t="str">
        <f t="shared" si="276"/>
        <v/>
      </c>
      <c r="AW353" s="473">
        <f t="shared" si="277"/>
        <v>0</v>
      </c>
      <c r="AX353" s="473" t="str">
        <f>IF(AND($Z353="b",OR($AA353="a",$AA353="b"),Inventory!$I109="",$AE353&lt;(65000/12000)),"x",IF(AND($Z353="b",OR($AA353="a",$AA353="b"),Inventory!$I109&lt;&gt;"",$AE353&lt;(65000/12000)),VLOOKUP(Inventory!$I360,$V$4:$W$5,2,FALSE),"x"))</f>
        <v>x</v>
      </c>
      <c r="AY353" s="476" t="str">
        <f t="shared" si="278"/>
        <v>aaa0</v>
      </c>
      <c r="AZ353" s="477" t="str">
        <f t="shared" si="247"/>
        <v>No</v>
      </c>
      <c r="BA353" s="759" t="str">
        <f t="shared" si="248"/>
        <v>No</v>
      </c>
      <c r="BB353" s="477">
        <f>IF($Z353="c",Inventory!$AB109,Inventory!$K109)</f>
        <v>0</v>
      </c>
      <c r="BC353" s="478">
        <f>IF(AND($Z353="b",Inventory!$N109="Btu/hr"),Inventory!$M109,IF(AND($Z353="b",Inventory!$N109="Tons"),Inventory!$M109*12000,IF(AND($Z353&lt;&gt;"b",Inventory!$AK109="Btu/hr"),Inventory!$AD109,IF(AND($Z353&lt;&gt;"b",Inventory!$AK109="Tons"),Inventory!$AD109*12000,0))))</f>
        <v>0</v>
      </c>
      <c r="BD353" s="478">
        <f t="shared" si="245"/>
        <v>0</v>
      </c>
      <c r="BE353" s="479">
        <f t="shared" si="257"/>
        <v>0</v>
      </c>
      <c r="BF353" s="477" t="s">
        <v>50</v>
      </c>
      <c r="BG353" s="479">
        <f t="shared" si="279"/>
        <v>0</v>
      </c>
      <c r="BH353" s="477" t="s">
        <v>46</v>
      </c>
      <c r="BI353" s="760">
        <f>IF(AND($Z353="b",Inventory!$P109="Btu/hr"),Inventory!$O109,IF(AND($Z353="b",Inventory!$P109="Tons"),Inventory!$O109*12000,IF(AND($Z353&lt;&gt;"b",Inventory!$AM109="Btu/hr"),Inventory!$AL109,IF(AND($Z353&lt;&gt;"b",Inventory!$AM109="Tons"),Inventory!$AL109*12000,0))))</f>
        <v>0</v>
      </c>
      <c r="BJ353" s="760">
        <f t="shared" si="246"/>
        <v>0</v>
      </c>
      <c r="BK353" s="598">
        <f t="shared" si="249"/>
        <v>0</v>
      </c>
      <c r="BL353" s="759" t="s">
        <v>567</v>
      </c>
      <c r="BM353" s="477" t="str">
        <f t="shared" si="280"/>
        <v>No</v>
      </c>
      <c r="BN353" s="477" t="str">
        <f>IF(OR(Inventory!$H109="",$BM353="No"),"-",Inventory!$H109)</f>
        <v>-</v>
      </c>
      <c r="BO353" s="477" t="str">
        <f>IFERROR(VLOOKUP(BN353,'Early Retirement'!$B$6:$C$33,2,FALSE),"-")</f>
        <v>-</v>
      </c>
      <c r="BP353" s="477" t="str">
        <f>IF(Inventory!$J109="Centrifugal","Yes","No")</f>
        <v>No</v>
      </c>
      <c r="BQ353" s="477">
        <f t="shared" si="281"/>
        <v>0</v>
      </c>
      <c r="BR353" s="477" t="str">
        <f t="shared" si="259"/>
        <v>-</v>
      </c>
      <c r="BS353" s="479">
        <f>IFERROR(INDEX('Early Retirement'!$C$4:$AC$33,$BO353,$BR353),0)</f>
        <v>0</v>
      </c>
      <c r="BT353" s="477">
        <f>IFERROR(HLOOKUP($BR353,'Early Retirement'!$D$4:$AC$5,2,FALSE),0)</f>
        <v>0</v>
      </c>
      <c r="BU353" s="761">
        <f>IFERROR(INDEX('Early Retirement'!$AE$4:$BE$33,$BO353,$BR353),0)</f>
        <v>0</v>
      </c>
      <c r="BV353" s="759">
        <f>IFERROR(HLOOKUP($BR353,'Early Retirement'!$AF$4:$BE$5,2,FALSE),0)</f>
        <v>0</v>
      </c>
      <c r="BW353" s="479">
        <f t="shared" si="282"/>
        <v>0</v>
      </c>
      <c r="BX353" s="761">
        <f t="shared" si="250"/>
        <v>0</v>
      </c>
      <c r="BY353" s="477" t="s">
        <v>46</v>
      </c>
      <c r="BZ353" s="598">
        <f>IFERROR(INDEX('Early Retirement'!$BG$4:$CG$33,$BO353,$BR353),0)</f>
        <v>0</v>
      </c>
      <c r="CA353" s="759">
        <f>IFERROR(HLOOKUP($BR353,'Early Retirement'!$BH$4:$CH$5,2,FALSE),0)</f>
        <v>0</v>
      </c>
      <c r="CB353" s="598">
        <f t="shared" si="251"/>
        <v>0</v>
      </c>
      <c r="CC353" s="759" t="s">
        <v>567</v>
      </c>
      <c r="CD353" s="477" t="str">
        <f t="shared" si="283"/>
        <v>Yes</v>
      </c>
      <c r="CE353" s="479">
        <f t="shared" si="252"/>
        <v>0</v>
      </c>
      <c r="CF353" s="761">
        <f t="shared" si="253"/>
        <v>0</v>
      </c>
      <c r="CG353" s="759" t="s">
        <v>46</v>
      </c>
      <c r="CH353" s="598">
        <f t="shared" si="258"/>
        <v>0</v>
      </c>
      <c r="CI353" s="759" t="s">
        <v>567</v>
      </c>
      <c r="CJ353" s="480">
        <f t="shared" si="284"/>
        <v>0</v>
      </c>
      <c r="CK353" s="583">
        <f t="shared" si="254"/>
        <v>0</v>
      </c>
      <c r="CL353" s="596" t="s">
        <v>46</v>
      </c>
      <c r="CM353" s="581">
        <f t="shared" si="255"/>
        <v>0</v>
      </c>
      <c r="CN353" s="762" t="s">
        <v>567</v>
      </c>
      <c r="CW353" s="630"/>
      <c r="CX353" s="630"/>
      <c r="CY353" s="630"/>
      <c r="CZ353" s="630"/>
      <c r="DA353" s="630"/>
    </row>
    <row r="354" spans="2:105" s="78" customFormat="1" ht="15" customHeight="1" x14ac:dyDescent="0.25">
      <c r="B354" s="77"/>
      <c r="E354" s="77"/>
      <c r="H354" s="77"/>
      <c r="Y354" s="90">
        <v>101</v>
      </c>
      <c r="Z354" s="559" t="str">
        <f>IF(Inventory!$C110="","",VLOOKUP(Inventory!$C110,$B$7:$C$9,2,FALSE))</f>
        <v/>
      </c>
      <c r="AA354" s="559" t="str">
        <f>IF($Z354="","",IF(AND($Z354="b",Inventory!$G110=""),"",IF(AND($Z354="b",Inventory!$G110&lt;&gt;""),VLOOKUP(Inventory!$G110,$E$3:$F$10,2,FALSE),IF(AND($Z354="a",Inventory!$Z110=""),"",IF(AND($Z354="a",Inventory!$Z110&lt;&gt;""),VLOOKUP(Inventory!$Z110,$E$3:$F$10,2,FALSE),IF(AND($Z354="c",Inventory!$Z110=""),"",IF(AND($Z354="c",Inventory!$Z110&lt;&gt;""),VLOOKUP(Inventory!$Z110,$E$3:$F$10,2,FALSE),"")))))))</f>
        <v/>
      </c>
      <c r="AB354" s="559" t="str">
        <f>IF($Z354="","a",IF(AND($Z354="b",Inventory!$J110=""),"a",IF(AND($Z354="b",Inventory!$J110&lt;&gt;""),VLOOKUP(Inventory!$J110,$H$4:$I$6,2,FALSE),IF(AND($Z354="a",Inventory!$AA110=""),"a",IF(AND($Z354="a",Inventory!$AA110&lt;&gt;""),VLOOKUP(Inventory!$AA110,$H$4:$I$6,2,FALSE),IF(AND($Z354="c",Inventory!$AA110=""),"a",IF(AND($Z354="c",Inventory!$AA110&lt;&gt;""),VLOOKUP(Inventory!$AA110,$H$4:$I$6,2,FALSE),"a")))))))</f>
        <v>a</v>
      </c>
      <c r="AC354" s="559" t="str">
        <f t="shared" si="260"/>
        <v>a</v>
      </c>
      <c r="AD354" s="473" t="str">
        <f>IF($Z354="","a",IF(AND($Z354="b",Inventory!$L110=""),"a",IF(AND($Z354="b",Inventory!$L110&lt;&gt;""),VLOOKUP(Inventory!$L110,$N$4:$O$5,2,FALSE),IF(AND($Z354="a",Inventory!$AC110=""),"a",IF(AND($Z354="a",Inventory!$AC110&lt;&gt;""),VLOOKUP(Inventory!$AC110,$N$4:$O$5,2,FALSE),IF(AND($Z354="c",Inventory!$AC110=""),"a",IF(AND($Z354="c",Inventory!$AC110&lt;&gt;""),VLOOKUP(Inventory!$AC110,$N$4:$O$5,2,FALSE),"a")))))))</f>
        <v>a</v>
      </c>
      <c r="AE354" s="474">
        <f>IF(OR(Inventory!C110="New Construction",Inventory!C110="Replace-on-Burnout"),Inventory!AF110,IF(Inventory!C110="Early Retirement",MIN(Inventory!AE110,Inventory!AF110),0))</f>
        <v>0</v>
      </c>
      <c r="AF354" s="475" t="str">
        <f t="shared" si="261"/>
        <v/>
      </c>
      <c r="AG354" s="475" t="str">
        <f t="shared" si="262"/>
        <v/>
      </c>
      <c r="AH354" s="475" t="str">
        <f t="shared" si="263"/>
        <v/>
      </c>
      <c r="AI354" s="475" t="str">
        <f t="shared" si="264"/>
        <v/>
      </c>
      <c r="AJ354" s="475" t="str">
        <f t="shared" si="265"/>
        <v/>
      </c>
      <c r="AK354" s="475" t="str">
        <f t="shared" si="266"/>
        <v/>
      </c>
      <c r="AL354" s="475" t="str">
        <f t="shared" si="267"/>
        <v/>
      </c>
      <c r="AM354" s="475" t="str">
        <f t="shared" si="268"/>
        <v/>
      </c>
      <c r="AN354" s="475" t="str">
        <f t="shared" si="269"/>
        <v/>
      </c>
      <c r="AO354" s="475" t="str">
        <f t="shared" si="270"/>
        <v/>
      </c>
      <c r="AP354" s="475" t="str">
        <f t="shared" si="271"/>
        <v/>
      </c>
      <c r="AQ354" s="475" t="str">
        <f t="shared" si="272"/>
        <v/>
      </c>
      <c r="AR354" s="475" t="str">
        <f t="shared" si="273"/>
        <v/>
      </c>
      <c r="AS354" s="475" t="str">
        <f t="shared" si="256"/>
        <v/>
      </c>
      <c r="AT354" s="475" t="str">
        <f t="shared" si="274"/>
        <v/>
      </c>
      <c r="AU354" s="475" t="str">
        <f t="shared" si="275"/>
        <v/>
      </c>
      <c r="AV354" s="475" t="str">
        <f t="shared" si="276"/>
        <v/>
      </c>
      <c r="AW354" s="473">
        <f t="shared" si="277"/>
        <v>0</v>
      </c>
      <c r="AX354" s="473" t="str">
        <f>IF(AND($Z354="b",OR($AA354="a",$AA354="b"),Inventory!$I110="",$AE354&lt;(65000/12000)),"x",IF(AND($Z354="b",OR($AA354="a",$AA354="b"),Inventory!$I110&lt;&gt;"",$AE354&lt;(65000/12000)),VLOOKUP(Inventory!$I361,$V$4:$W$5,2,FALSE),"x"))</f>
        <v>x</v>
      </c>
      <c r="AY354" s="476" t="str">
        <f t="shared" si="278"/>
        <v>aaa0</v>
      </c>
      <c r="AZ354" s="477" t="str">
        <f t="shared" si="247"/>
        <v>No</v>
      </c>
      <c r="BA354" s="759" t="str">
        <f t="shared" si="248"/>
        <v>No</v>
      </c>
      <c r="BB354" s="477">
        <f>IF($Z354="c",Inventory!$AB110,Inventory!$K110)</f>
        <v>0</v>
      </c>
      <c r="BC354" s="478">
        <f>IF(AND($Z354="b",Inventory!$N110="Btu/hr"),Inventory!$M110,IF(AND($Z354="b",Inventory!$N110="Tons"),Inventory!$M110*12000,IF(AND($Z354&lt;&gt;"b",Inventory!$AK110="Btu/hr"),Inventory!$AD110,IF(AND($Z354&lt;&gt;"b",Inventory!$AK110="Tons"),Inventory!$AD110*12000,0))))</f>
        <v>0</v>
      </c>
      <c r="BD354" s="478">
        <f t="shared" si="245"/>
        <v>0</v>
      </c>
      <c r="BE354" s="479">
        <f t="shared" si="257"/>
        <v>0</v>
      </c>
      <c r="BF354" s="477" t="s">
        <v>50</v>
      </c>
      <c r="BG354" s="479">
        <f t="shared" si="279"/>
        <v>0</v>
      </c>
      <c r="BH354" s="477" t="s">
        <v>46</v>
      </c>
      <c r="BI354" s="760">
        <f>IF(AND($Z354="b",Inventory!$P110="Btu/hr"),Inventory!$O110,IF(AND($Z354="b",Inventory!$P110="Tons"),Inventory!$O110*12000,IF(AND($Z354&lt;&gt;"b",Inventory!$AM110="Btu/hr"),Inventory!$AL110,IF(AND($Z354&lt;&gt;"b",Inventory!$AM110="Tons"),Inventory!$AL110*12000,0))))</f>
        <v>0</v>
      </c>
      <c r="BJ354" s="760">
        <f t="shared" si="246"/>
        <v>0</v>
      </c>
      <c r="BK354" s="598">
        <f t="shared" si="249"/>
        <v>0</v>
      </c>
      <c r="BL354" s="759" t="s">
        <v>567</v>
      </c>
      <c r="BM354" s="477" t="str">
        <f t="shared" si="280"/>
        <v>No</v>
      </c>
      <c r="BN354" s="477" t="str">
        <f>IF(OR(Inventory!$H110="",$BM354="No"),"-",Inventory!$H110)</f>
        <v>-</v>
      </c>
      <c r="BO354" s="477" t="str">
        <f>IFERROR(VLOOKUP(BN354,'Early Retirement'!$B$6:$C$33,2,FALSE),"-")</f>
        <v>-</v>
      </c>
      <c r="BP354" s="477" t="str">
        <f>IF(Inventory!$J110="Centrifugal","Yes","No")</f>
        <v>No</v>
      </c>
      <c r="BQ354" s="477">
        <f t="shared" si="281"/>
        <v>0</v>
      </c>
      <c r="BR354" s="477" t="str">
        <f t="shared" si="259"/>
        <v>-</v>
      </c>
      <c r="BS354" s="479">
        <f>IFERROR(INDEX('Early Retirement'!$C$4:$AC$33,$BO354,$BR354),0)</f>
        <v>0</v>
      </c>
      <c r="BT354" s="477">
        <f>IFERROR(HLOOKUP($BR354,'Early Retirement'!$D$4:$AC$5,2,FALSE),0)</f>
        <v>0</v>
      </c>
      <c r="BU354" s="761">
        <f>IFERROR(INDEX('Early Retirement'!$AE$4:$BE$33,$BO354,$BR354),0)</f>
        <v>0</v>
      </c>
      <c r="BV354" s="759">
        <f>IFERROR(HLOOKUP($BR354,'Early Retirement'!$AF$4:$BE$5,2,FALSE),0)</f>
        <v>0</v>
      </c>
      <c r="BW354" s="479">
        <f t="shared" si="282"/>
        <v>0</v>
      </c>
      <c r="BX354" s="761">
        <f t="shared" si="250"/>
        <v>0</v>
      </c>
      <c r="BY354" s="477" t="s">
        <v>46</v>
      </c>
      <c r="BZ354" s="598">
        <f>IFERROR(INDEX('Early Retirement'!$BG$4:$CG$33,$BO354,$BR354),0)</f>
        <v>0</v>
      </c>
      <c r="CA354" s="759">
        <f>IFERROR(HLOOKUP($BR354,'Early Retirement'!$BH$4:$CH$5,2,FALSE),0)</f>
        <v>0</v>
      </c>
      <c r="CB354" s="598">
        <f t="shared" si="251"/>
        <v>0</v>
      </c>
      <c r="CC354" s="759" t="s">
        <v>567</v>
      </c>
      <c r="CD354" s="477" t="str">
        <f t="shared" si="283"/>
        <v>Yes</v>
      </c>
      <c r="CE354" s="479">
        <f t="shared" si="252"/>
        <v>0</v>
      </c>
      <c r="CF354" s="761">
        <f t="shared" si="253"/>
        <v>0</v>
      </c>
      <c r="CG354" s="759" t="s">
        <v>46</v>
      </c>
      <c r="CH354" s="598">
        <f t="shared" si="258"/>
        <v>0</v>
      </c>
      <c r="CI354" s="759" t="s">
        <v>567</v>
      </c>
      <c r="CJ354" s="480">
        <f t="shared" si="284"/>
        <v>0</v>
      </c>
      <c r="CK354" s="583">
        <f t="shared" si="254"/>
        <v>0</v>
      </c>
      <c r="CL354" s="596" t="s">
        <v>46</v>
      </c>
      <c r="CM354" s="581">
        <f t="shared" si="255"/>
        <v>0</v>
      </c>
      <c r="CN354" s="762" t="s">
        <v>567</v>
      </c>
      <c r="CW354" s="630"/>
      <c r="CX354" s="630"/>
      <c r="CY354" s="630"/>
      <c r="CZ354" s="630"/>
      <c r="DA354" s="630"/>
    </row>
    <row r="355" spans="2:105" s="78" customFormat="1" ht="15" customHeight="1" x14ac:dyDescent="0.25">
      <c r="B355" s="77"/>
      <c r="E355" s="77"/>
      <c r="H355" s="77"/>
      <c r="Y355" s="90">
        <v>102</v>
      </c>
      <c r="Z355" s="559" t="str">
        <f>IF(Inventory!$C111="","",VLOOKUP(Inventory!$C111,$B$7:$C$9,2,FALSE))</f>
        <v/>
      </c>
      <c r="AA355" s="559" t="str">
        <f>IF($Z355="","",IF(AND($Z355="b",Inventory!$G111=""),"",IF(AND($Z355="b",Inventory!$G111&lt;&gt;""),VLOOKUP(Inventory!$G111,$E$3:$F$10,2,FALSE),IF(AND($Z355="a",Inventory!$Z111=""),"",IF(AND($Z355="a",Inventory!$Z111&lt;&gt;""),VLOOKUP(Inventory!$Z111,$E$3:$F$10,2,FALSE),IF(AND($Z355="c",Inventory!$Z111=""),"",IF(AND($Z355="c",Inventory!$Z111&lt;&gt;""),VLOOKUP(Inventory!$Z111,$E$3:$F$10,2,FALSE),"")))))))</f>
        <v/>
      </c>
      <c r="AB355" s="559" t="str">
        <f>IF($Z355="","a",IF(AND($Z355="b",Inventory!$J111=""),"a",IF(AND($Z355="b",Inventory!$J111&lt;&gt;""),VLOOKUP(Inventory!$J111,$H$4:$I$6,2,FALSE),IF(AND($Z355="a",Inventory!$AA111=""),"a",IF(AND($Z355="a",Inventory!$AA111&lt;&gt;""),VLOOKUP(Inventory!$AA111,$H$4:$I$6,2,FALSE),IF(AND($Z355="c",Inventory!$AA111=""),"a",IF(AND($Z355="c",Inventory!$AA111&lt;&gt;""),VLOOKUP(Inventory!$AA111,$H$4:$I$6,2,FALSE),"a")))))))</f>
        <v>a</v>
      </c>
      <c r="AC355" s="559" t="str">
        <f t="shared" si="260"/>
        <v>a</v>
      </c>
      <c r="AD355" s="473" t="str">
        <f>IF($Z355="","a",IF(AND($Z355="b",Inventory!$L111=""),"a",IF(AND($Z355="b",Inventory!$L111&lt;&gt;""),VLOOKUP(Inventory!$L111,$N$4:$O$5,2,FALSE),IF(AND($Z355="a",Inventory!$AC111=""),"a",IF(AND($Z355="a",Inventory!$AC111&lt;&gt;""),VLOOKUP(Inventory!$AC111,$N$4:$O$5,2,FALSE),IF(AND($Z355="c",Inventory!$AC111=""),"a",IF(AND($Z355="c",Inventory!$AC111&lt;&gt;""),VLOOKUP(Inventory!$AC111,$N$4:$O$5,2,FALSE),"a")))))))</f>
        <v>a</v>
      </c>
      <c r="AE355" s="474">
        <f>IF(OR(Inventory!C111="New Construction",Inventory!C111="Replace-on-Burnout"),Inventory!AF111,IF(Inventory!C111="Early Retirement",MIN(Inventory!AE111,Inventory!AF111),0))</f>
        <v>0</v>
      </c>
      <c r="AF355" s="475" t="str">
        <f t="shared" si="261"/>
        <v/>
      </c>
      <c r="AG355" s="475" t="str">
        <f t="shared" si="262"/>
        <v/>
      </c>
      <c r="AH355" s="475" t="str">
        <f t="shared" si="263"/>
        <v/>
      </c>
      <c r="AI355" s="475" t="str">
        <f t="shared" si="264"/>
        <v/>
      </c>
      <c r="AJ355" s="475" t="str">
        <f t="shared" si="265"/>
        <v/>
      </c>
      <c r="AK355" s="475" t="str">
        <f t="shared" si="266"/>
        <v/>
      </c>
      <c r="AL355" s="475" t="str">
        <f t="shared" si="267"/>
        <v/>
      </c>
      <c r="AM355" s="475" t="str">
        <f t="shared" si="268"/>
        <v/>
      </c>
      <c r="AN355" s="475" t="str">
        <f t="shared" si="269"/>
        <v/>
      </c>
      <c r="AO355" s="475" t="str">
        <f t="shared" si="270"/>
        <v/>
      </c>
      <c r="AP355" s="475" t="str">
        <f t="shared" si="271"/>
        <v/>
      </c>
      <c r="AQ355" s="475" t="str">
        <f t="shared" si="272"/>
        <v/>
      </c>
      <c r="AR355" s="475" t="str">
        <f t="shared" si="273"/>
        <v/>
      </c>
      <c r="AS355" s="475" t="str">
        <f t="shared" si="256"/>
        <v/>
      </c>
      <c r="AT355" s="475" t="str">
        <f t="shared" si="274"/>
        <v/>
      </c>
      <c r="AU355" s="475" t="str">
        <f t="shared" si="275"/>
        <v/>
      </c>
      <c r="AV355" s="475" t="str">
        <f t="shared" si="276"/>
        <v/>
      </c>
      <c r="AW355" s="473">
        <f t="shared" si="277"/>
        <v>0</v>
      </c>
      <c r="AX355" s="473" t="str">
        <f>IF(AND($Z355="b",OR($AA355="a",$AA355="b"),Inventory!$I111="",$AE355&lt;(65000/12000)),"x",IF(AND($Z355="b",OR($AA355="a",$AA355="b"),Inventory!$I111&lt;&gt;"",$AE355&lt;(65000/12000)),VLOOKUP(Inventory!$I362,$V$4:$W$5,2,FALSE),"x"))</f>
        <v>x</v>
      </c>
      <c r="AY355" s="476" t="str">
        <f t="shared" si="278"/>
        <v>aaa0</v>
      </c>
      <c r="AZ355" s="477" t="str">
        <f t="shared" si="247"/>
        <v>No</v>
      </c>
      <c r="BA355" s="759" t="str">
        <f t="shared" si="248"/>
        <v>No</v>
      </c>
      <c r="BB355" s="477">
        <f>IF($Z355="c",Inventory!$AB111,Inventory!$K111)</f>
        <v>0</v>
      </c>
      <c r="BC355" s="478">
        <f>IF(AND($Z355="b",Inventory!$N111="Btu/hr"),Inventory!$M111,IF(AND($Z355="b",Inventory!$N111="Tons"),Inventory!$M111*12000,IF(AND($Z355&lt;&gt;"b",Inventory!$AK111="Btu/hr"),Inventory!$AD111,IF(AND($Z355&lt;&gt;"b",Inventory!$AK111="Tons"),Inventory!$AD111*12000,0))))</f>
        <v>0</v>
      </c>
      <c r="BD355" s="478">
        <f t="shared" si="245"/>
        <v>0</v>
      </c>
      <c r="BE355" s="479">
        <f t="shared" si="257"/>
        <v>0</v>
      </c>
      <c r="BF355" s="477" t="s">
        <v>50</v>
      </c>
      <c r="BG355" s="479">
        <f t="shared" si="279"/>
        <v>0</v>
      </c>
      <c r="BH355" s="477" t="s">
        <v>46</v>
      </c>
      <c r="BI355" s="760">
        <f>IF(AND($Z355="b",Inventory!$P111="Btu/hr"),Inventory!$O111,IF(AND($Z355="b",Inventory!$P111="Tons"),Inventory!$O111*12000,IF(AND($Z355&lt;&gt;"b",Inventory!$AM111="Btu/hr"),Inventory!$AL111,IF(AND($Z355&lt;&gt;"b",Inventory!$AM111="Tons"),Inventory!$AL111*12000,0))))</f>
        <v>0</v>
      </c>
      <c r="BJ355" s="760">
        <f t="shared" si="246"/>
        <v>0</v>
      </c>
      <c r="BK355" s="598">
        <f t="shared" si="249"/>
        <v>0</v>
      </c>
      <c r="BL355" s="759" t="s">
        <v>567</v>
      </c>
      <c r="BM355" s="477" t="str">
        <f t="shared" si="280"/>
        <v>No</v>
      </c>
      <c r="BN355" s="477" t="str">
        <f>IF(OR(Inventory!$H111="",$BM355="No"),"-",Inventory!$H111)</f>
        <v>-</v>
      </c>
      <c r="BO355" s="477" t="str">
        <f>IFERROR(VLOOKUP(BN355,'Early Retirement'!$B$6:$C$33,2,FALSE),"-")</f>
        <v>-</v>
      </c>
      <c r="BP355" s="477" t="str">
        <f>IF(Inventory!$J111="Centrifugal","Yes","No")</f>
        <v>No</v>
      </c>
      <c r="BQ355" s="477">
        <f t="shared" si="281"/>
        <v>0</v>
      </c>
      <c r="BR355" s="477" t="str">
        <f t="shared" si="259"/>
        <v>-</v>
      </c>
      <c r="BS355" s="479">
        <f>IFERROR(INDEX('Early Retirement'!$C$4:$AC$33,$BO355,$BR355),0)</f>
        <v>0</v>
      </c>
      <c r="BT355" s="477">
        <f>IFERROR(HLOOKUP($BR355,'Early Retirement'!$D$4:$AC$5,2,FALSE),0)</f>
        <v>0</v>
      </c>
      <c r="BU355" s="761">
        <f>IFERROR(INDEX('Early Retirement'!$AE$4:$BE$33,$BO355,$BR355),0)</f>
        <v>0</v>
      </c>
      <c r="BV355" s="759">
        <f>IFERROR(HLOOKUP($BR355,'Early Retirement'!$AF$4:$BE$5,2,FALSE),0)</f>
        <v>0</v>
      </c>
      <c r="BW355" s="479">
        <f t="shared" si="282"/>
        <v>0</v>
      </c>
      <c r="BX355" s="761">
        <f t="shared" si="250"/>
        <v>0</v>
      </c>
      <c r="BY355" s="477" t="s">
        <v>46</v>
      </c>
      <c r="BZ355" s="598">
        <f>IFERROR(INDEX('Early Retirement'!$BG$4:$CG$33,$BO355,$BR355),0)</f>
        <v>0</v>
      </c>
      <c r="CA355" s="759">
        <f>IFERROR(HLOOKUP($BR355,'Early Retirement'!$BH$4:$CH$5,2,FALSE),0)</f>
        <v>0</v>
      </c>
      <c r="CB355" s="598">
        <f t="shared" si="251"/>
        <v>0</v>
      </c>
      <c r="CC355" s="759" t="s">
        <v>567</v>
      </c>
      <c r="CD355" s="477" t="str">
        <f t="shared" si="283"/>
        <v>Yes</v>
      </c>
      <c r="CE355" s="479">
        <f t="shared" si="252"/>
        <v>0</v>
      </c>
      <c r="CF355" s="761">
        <f t="shared" si="253"/>
        <v>0</v>
      </c>
      <c r="CG355" s="759" t="s">
        <v>46</v>
      </c>
      <c r="CH355" s="598">
        <f t="shared" si="258"/>
        <v>0</v>
      </c>
      <c r="CI355" s="759" t="s">
        <v>567</v>
      </c>
      <c r="CJ355" s="480">
        <f t="shared" si="284"/>
        <v>0</v>
      </c>
      <c r="CK355" s="583">
        <f t="shared" si="254"/>
        <v>0</v>
      </c>
      <c r="CL355" s="596" t="s">
        <v>46</v>
      </c>
      <c r="CM355" s="581">
        <f t="shared" si="255"/>
        <v>0</v>
      </c>
      <c r="CN355" s="762" t="s">
        <v>567</v>
      </c>
      <c r="CW355" s="630"/>
      <c r="CX355" s="630"/>
      <c r="CY355" s="630"/>
      <c r="CZ355" s="630"/>
      <c r="DA355" s="630"/>
    </row>
    <row r="356" spans="2:105" s="78" customFormat="1" ht="15" customHeight="1" x14ac:dyDescent="0.25">
      <c r="B356" s="77"/>
      <c r="E356" s="77"/>
      <c r="H356" s="77"/>
      <c r="Y356" s="90">
        <v>103</v>
      </c>
      <c r="Z356" s="559" t="str">
        <f>IF(Inventory!$C112="","",VLOOKUP(Inventory!$C112,$B$7:$C$9,2,FALSE))</f>
        <v/>
      </c>
      <c r="AA356" s="559" t="str">
        <f>IF($Z356="","",IF(AND($Z356="b",Inventory!$G112=""),"",IF(AND($Z356="b",Inventory!$G112&lt;&gt;""),VLOOKUP(Inventory!$G112,$E$3:$F$10,2,FALSE),IF(AND($Z356="a",Inventory!$Z112=""),"",IF(AND($Z356="a",Inventory!$Z112&lt;&gt;""),VLOOKUP(Inventory!$Z112,$E$3:$F$10,2,FALSE),IF(AND($Z356="c",Inventory!$Z112=""),"",IF(AND($Z356="c",Inventory!$Z112&lt;&gt;""),VLOOKUP(Inventory!$Z112,$E$3:$F$10,2,FALSE),"")))))))</f>
        <v/>
      </c>
      <c r="AB356" s="559" t="str">
        <f>IF($Z356="","a",IF(AND($Z356="b",Inventory!$J112=""),"a",IF(AND($Z356="b",Inventory!$J112&lt;&gt;""),VLOOKUP(Inventory!$J112,$H$4:$I$6,2,FALSE),IF(AND($Z356="a",Inventory!$AA112=""),"a",IF(AND($Z356="a",Inventory!$AA112&lt;&gt;""),VLOOKUP(Inventory!$AA112,$H$4:$I$6,2,FALSE),IF(AND($Z356="c",Inventory!$AA112=""),"a",IF(AND($Z356="c",Inventory!$AA112&lt;&gt;""),VLOOKUP(Inventory!$AA112,$H$4:$I$6,2,FALSE),"a")))))))</f>
        <v>a</v>
      </c>
      <c r="AC356" s="559" t="str">
        <f t="shared" si="260"/>
        <v>a</v>
      </c>
      <c r="AD356" s="473" t="str">
        <f>IF($Z356="","a",IF(AND($Z356="b",Inventory!$L112=""),"a",IF(AND($Z356="b",Inventory!$L112&lt;&gt;""),VLOOKUP(Inventory!$L112,$N$4:$O$5,2,FALSE),IF(AND($Z356="a",Inventory!$AC112=""),"a",IF(AND($Z356="a",Inventory!$AC112&lt;&gt;""),VLOOKUP(Inventory!$AC112,$N$4:$O$5,2,FALSE),IF(AND($Z356="c",Inventory!$AC112=""),"a",IF(AND($Z356="c",Inventory!$AC112&lt;&gt;""),VLOOKUP(Inventory!$AC112,$N$4:$O$5,2,FALSE),"a")))))))</f>
        <v>a</v>
      </c>
      <c r="AE356" s="474">
        <f>IF(OR(Inventory!C112="New Construction",Inventory!C112="Replace-on-Burnout"),Inventory!AF112,IF(Inventory!C112="Early Retirement",MIN(Inventory!AE112,Inventory!AF112),0))</f>
        <v>0</v>
      </c>
      <c r="AF356" s="475" t="str">
        <f t="shared" si="261"/>
        <v/>
      </c>
      <c r="AG356" s="475" t="str">
        <f t="shared" si="262"/>
        <v/>
      </c>
      <c r="AH356" s="475" t="str">
        <f t="shared" si="263"/>
        <v/>
      </c>
      <c r="AI356" s="475" t="str">
        <f t="shared" si="264"/>
        <v/>
      </c>
      <c r="AJ356" s="475" t="str">
        <f t="shared" si="265"/>
        <v/>
      </c>
      <c r="AK356" s="475" t="str">
        <f t="shared" si="266"/>
        <v/>
      </c>
      <c r="AL356" s="475" t="str">
        <f t="shared" si="267"/>
        <v/>
      </c>
      <c r="AM356" s="475" t="str">
        <f t="shared" si="268"/>
        <v/>
      </c>
      <c r="AN356" s="475" t="str">
        <f t="shared" si="269"/>
        <v/>
      </c>
      <c r="AO356" s="475" t="str">
        <f t="shared" si="270"/>
        <v/>
      </c>
      <c r="AP356" s="475" t="str">
        <f t="shared" si="271"/>
        <v/>
      </c>
      <c r="AQ356" s="475" t="str">
        <f t="shared" si="272"/>
        <v/>
      </c>
      <c r="AR356" s="475" t="str">
        <f t="shared" si="273"/>
        <v/>
      </c>
      <c r="AS356" s="475" t="str">
        <f t="shared" si="256"/>
        <v/>
      </c>
      <c r="AT356" s="475" t="str">
        <f t="shared" si="274"/>
        <v/>
      </c>
      <c r="AU356" s="475" t="str">
        <f t="shared" si="275"/>
        <v/>
      </c>
      <c r="AV356" s="475" t="str">
        <f t="shared" si="276"/>
        <v/>
      </c>
      <c r="AW356" s="473">
        <f t="shared" si="277"/>
        <v>0</v>
      </c>
      <c r="AX356" s="473" t="str">
        <f>IF(AND($Z356="b",OR($AA356="a",$AA356="b"),Inventory!$I112="",$AE356&lt;(65000/12000)),"x",IF(AND($Z356="b",OR($AA356="a",$AA356="b"),Inventory!$I112&lt;&gt;"",$AE356&lt;(65000/12000)),VLOOKUP(Inventory!$I363,$V$4:$W$5,2,FALSE),"x"))</f>
        <v>x</v>
      </c>
      <c r="AY356" s="476" t="str">
        <f t="shared" si="278"/>
        <v>aaa0</v>
      </c>
      <c r="AZ356" s="477" t="str">
        <f t="shared" si="247"/>
        <v>No</v>
      </c>
      <c r="BA356" s="759" t="str">
        <f t="shared" si="248"/>
        <v>No</v>
      </c>
      <c r="BB356" s="477">
        <f>IF($Z356="c",Inventory!$AB112,Inventory!$K112)</f>
        <v>0</v>
      </c>
      <c r="BC356" s="478">
        <f>IF(AND($Z356="b",Inventory!$N112="Btu/hr"),Inventory!$M112,IF(AND($Z356="b",Inventory!$N112="Tons"),Inventory!$M112*12000,IF(AND($Z356&lt;&gt;"b",Inventory!$AK112="Btu/hr"),Inventory!$AD112,IF(AND($Z356&lt;&gt;"b",Inventory!$AK112="Tons"),Inventory!$AD112*12000,0))))</f>
        <v>0</v>
      </c>
      <c r="BD356" s="478">
        <f t="shared" si="245"/>
        <v>0</v>
      </c>
      <c r="BE356" s="479">
        <f t="shared" si="257"/>
        <v>0</v>
      </c>
      <c r="BF356" s="477" t="s">
        <v>50</v>
      </c>
      <c r="BG356" s="479">
        <f t="shared" si="279"/>
        <v>0</v>
      </c>
      <c r="BH356" s="477" t="s">
        <v>46</v>
      </c>
      <c r="BI356" s="760">
        <f>IF(AND($Z356="b",Inventory!$P112="Btu/hr"),Inventory!$O112,IF(AND($Z356="b",Inventory!$P112="Tons"),Inventory!$O112*12000,IF(AND($Z356&lt;&gt;"b",Inventory!$AM112="Btu/hr"),Inventory!$AL112,IF(AND($Z356&lt;&gt;"b",Inventory!$AM112="Tons"),Inventory!$AL112*12000,0))))</f>
        <v>0</v>
      </c>
      <c r="BJ356" s="760">
        <f t="shared" si="246"/>
        <v>0</v>
      </c>
      <c r="BK356" s="598">
        <f t="shared" si="249"/>
        <v>0</v>
      </c>
      <c r="BL356" s="759" t="s">
        <v>567</v>
      </c>
      <c r="BM356" s="477" t="str">
        <f t="shared" si="280"/>
        <v>No</v>
      </c>
      <c r="BN356" s="477" t="str">
        <f>IF(OR(Inventory!$H112="",$BM356="No"),"-",Inventory!$H112)</f>
        <v>-</v>
      </c>
      <c r="BO356" s="477" t="str">
        <f>IFERROR(VLOOKUP(BN356,'Early Retirement'!$B$6:$C$33,2,FALSE),"-")</f>
        <v>-</v>
      </c>
      <c r="BP356" s="477" t="str">
        <f>IF(Inventory!$J112="Centrifugal","Yes","No")</f>
        <v>No</v>
      </c>
      <c r="BQ356" s="477">
        <f t="shared" si="281"/>
        <v>0</v>
      </c>
      <c r="BR356" s="477" t="str">
        <f t="shared" si="259"/>
        <v>-</v>
      </c>
      <c r="BS356" s="479">
        <f>IFERROR(INDEX('Early Retirement'!$C$4:$AC$33,$BO356,$BR356),0)</f>
        <v>0</v>
      </c>
      <c r="BT356" s="477">
        <f>IFERROR(HLOOKUP($BR356,'Early Retirement'!$D$4:$AC$5,2,FALSE),0)</f>
        <v>0</v>
      </c>
      <c r="BU356" s="761">
        <f>IFERROR(INDEX('Early Retirement'!$AE$4:$BE$33,$BO356,$BR356),0)</f>
        <v>0</v>
      </c>
      <c r="BV356" s="759">
        <f>IFERROR(HLOOKUP($BR356,'Early Retirement'!$AF$4:$BE$5,2,FALSE),0)</f>
        <v>0</v>
      </c>
      <c r="BW356" s="479">
        <f t="shared" si="282"/>
        <v>0</v>
      </c>
      <c r="BX356" s="761">
        <f t="shared" si="250"/>
        <v>0</v>
      </c>
      <c r="BY356" s="477" t="s">
        <v>46</v>
      </c>
      <c r="BZ356" s="598">
        <f>IFERROR(INDEX('Early Retirement'!$BG$4:$CG$33,$BO356,$BR356),0)</f>
        <v>0</v>
      </c>
      <c r="CA356" s="759">
        <f>IFERROR(HLOOKUP($BR356,'Early Retirement'!$BH$4:$CH$5,2,FALSE),0)</f>
        <v>0</v>
      </c>
      <c r="CB356" s="598">
        <f t="shared" si="251"/>
        <v>0</v>
      </c>
      <c r="CC356" s="759" t="s">
        <v>567</v>
      </c>
      <c r="CD356" s="477" t="str">
        <f t="shared" si="283"/>
        <v>Yes</v>
      </c>
      <c r="CE356" s="479">
        <f t="shared" si="252"/>
        <v>0</v>
      </c>
      <c r="CF356" s="761">
        <f t="shared" si="253"/>
        <v>0</v>
      </c>
      <c r="CG356" s="759" t="s">
        <v>46</v>
      </c>
      <c r="CH356" s="598">
        <f t="shared" si="258"/>
        <v>0</v>
      </c>
      <c r="CI356" s="759" t="s">
        <v>567</v>
      </c>
      <c r="CJ356" s="480">
        <f t="shared" si="284"/>
        <v>0</v>
      </c>
      <c r="CK356" s="583">
        <f t="shared" si="254"/>
        <v>0</v>
      </c>
      <c r="CL356" s="596" t="s">
        <v>46</v>
      </c>
      <c r="CM356" s="581">
        <f t="shared" si="255"/>
        <v>0</v>
      </c>
      <c r="CN356" s="762" t="s">
        <v>567</v>
      </c>
      <c r="CW356" s="630"/>
      <c r="CX356" s="630"/>
      <c r="CY356" s="630"/>
      <c r="CZ356" s="630"/>
      <c r="DA356" s="630"/>
    </row>
    <row r="357" spans="2:105" s="78" customFormat="1" ht="15" customHeight="1" x14ac:dyDescent="0.25">
      <c r="B357" s="77"/>
      <c r="E357" s="77"/>
      <c r="H357" s="77"/>
      <c r="Y357" s="90">
        <v>104</v>
      </c>
      <c r="Z357" s="559" t="str">
        <f>IF(Inventory!$C113="","",VLOOKUP(Inventory!$C113,$B$7:$C$9,2,FALSE))</f>
        <v/>
      </c>
      <c r="AA357" s="559" t="str">
        <f>IF($Z357="","",IF(AND($Z357="b",Inventory!$G113=""),"",IF(AND($Z357="b",Inventory!$G113&lt;&gt;""),VLOOKUP(Inventory!$G113,$E$3:$F$10,2,FALSE),IF(AND($Z357="a",Inventory!$Z113=""),"",IF(AND($Z357="a",Inventory!$Z113&lt;&gt;""),VLOOKUP(Inventory!$Z113,$E$3:$F$10,2,FALSE),IF(AND($Z357="c",Inventory!$Z113=""),"",IF(AND($Z357="c",Inventory!$Z113&lt;&gt;""),VLOOKUP(Inventory!$Z113,$E$3:$F$10,2,FALSE),"")))))))</f>
        <v/>
      </c>
      <c r="AB357" s="559" t="str">
        <f>IF($Z357="","a",IF(AND($Z357="b",Inventory!$J113=""),"a",IF(AND($Z357="b",Inventory!$J113&lt;&gt;""),VLOOKUP(Inventory!$J113,$H$4:$I$6,2,FALSE),IF(AND($Z357="a",Inventory!$AA113=""),"a",IF(AND($Z357="a",Inventory!$AA113&lt;&gt;""),VLOOKUP(Inventory!$AA113,$H$4:$I$6,2,FALSE),IF(AND($Z357="c",Inventory!$AA113=""),"a",IF(AND($Z357="c",Inventory!$AA113&lt;&gt;""),VLOOKUP(Inventory!$AA113,$H$4:$I$6,2,FALSE),"a")))))))</f>
        <v>a</v>
      </c>
      <c r="AC357" s="559" t="str">
        <f t="shared" si="260"/>
        <v>a</v>
      </c>
      <c r="AD357" s="473" t="str">
        <f>IF($Z357="","a",IF(AND($Z357="b",Inventory!$L113=""),"a",IF(AND($Z357="b",Inventory!$L113&lt;&gt;""),VLOOKUP(Inventory!$L113,$N$4:$O$5,2,FALSE),IF(AND($Z357="a",Inventory!$AC113=""),"a",IF(AND($Z357="a",Inventory!$AC113&lt;&gt;""),VLOOKUP(Inventory!$AC113,$N$4:$O$5,2,FALSE),IF(AND($Z357="c",Inventory!$AC113=""),"a",IF(AND($Z357="c",Inventory!$AC113&lt;&gt;""),VLOOKUP(Inventory!$AC113,$N$4:$O$5,2,FALSE),"a")))))))</f>
        <v>a</v>
      </c>
      <c r="AE357" s="474">
        <f>IF(OR(Inventory!C113="New Construction",Inventory!C113="Replace-on-Burnout"),Inventory!AF113,IF(Inventory!C113="Early Retirement",MIN(Inventory!AE113,Inventory!AF113),0))</f>
        <v>0</v>
      </c>
      <c r="AF357" s="475" t="str">
        <f t="shared" si="261"/>
        <v/>
      </c>
      <c r="AG357" s="475" t="str">
        <f t="shared" si="262"/>
        <v/>
      </c>
      <c r="AH357" s="475" t="str">
        <f t="shared" si="263"/>
        <v/>
      </c>
      <c r="AI357" s="475" t="str">
        <f t="shared" si="264"/>
        <v/>
      </c>
      <c r="AJ357" s="475" t="str">
        <f t="shared" si="265"/>
        <v/>
      </c>
      <c r="AK357" s="475" t="str">
        <f t="shared" si="266"/>
        <v/>
      </c>
      <c r="AL357" s="475" t="str">
        <f t="shared" si="267"/>
        <v/>
      </c>
      <c r="AM357" s="475" t="str">
        <f t="shared" si="268"/>
        <v/>
      </c>
      <c r="AN357" s="475" t="str">
        <f t="shared" si="269"/>
        <v/>
      </c>
      <c r="AO357" s="475" t="str">
        <f t="shared" si="270"/>
        <v/>
      </c>
      <c r="AP357" s="475" t="str">
        <f t="shared" si="271"/>
        <v/>
      </c>
      <c r="AQ357" s="475" t="str">
        <f t="shared" si="272"/>
        <v/>
      </c>
      <c r="AR357" s="475" t="str">
        <f t="shared" si="273"/>
        <v/>
      </c>
      <c r="AS357" s="475" t="str">
        <f t="shared" si="256"/>
        <v/>
      </c>
      <c r="AT357" s="475" t="str">
        <f t="shared" si="274"/>
        <v/>
      </c>
      <c r="AU357" s="475" t="str">
        <f t="shared" si="275"/>
        <v/>
      </c>
      <c r="AV357" s="475" t="str">
        <f t="shared" si="276"/>
        <v/>
      </c>
      <c r="AW357" s="473">
        <f t="shared" si="277"/>
        <v>0</v>
      </c>
      <c r="AX357" s="473" t="str">
        <f>IF(AND($Z357="b",OR($AA357="a",$AA357="b"),Inventory!$I113="",$AE357&lt;(65000/12000)),"x",IF(AND($Z357="b",OR($AA357="a",$AA357="b"),Inventory!$I113&lt;&gt;"",$AE357&lt;(65000/12000)),VLOOKUP(Inventory!$I364,$V$4:$W$5,2,FALSE),"x"))</f>
        <v>x</v>
      </c>
      <c r="AY357" s="476" t="str">
        <f t="shared" si="278"/>
        <v>aaa0</v>
      </c>
      <c r="AZ357" s="477" t="str">
        <f t="shared" si="247"/>
        <v>No</v>
      </c>
      <c r="BA357" s="759" t="str">
        <f t="shared" si="248"/>
        <v>No</v>
      </c>
      <c r="BB357" s="477">
        <f>IF($Z357="c",Inventory!$AB113,Inventory!$K113)</f>
        <v>0</v>
      </c>
      <c r="BC357" s="478">
        <f>IF(AND($Z357="b",Inventory!$N113="Btu/hr"),Inventory!$M113,IF(AND($Z357="b",Inventory!$N113="Tons"),Inventory!$M113*12000,IF(AND($Z357&lt;&gt;"b",Inventory!$AK113="Btu/hr"),Inventory!$AD113,IF(AND($Z357&lt;&gt;"b",Inventory!$AK113="Tons"),Inventory!$AD113*12000,0))))</f>
        <v>0</v>
      </c>
      <c r="BD357" s="478">
        <f t="shared" si="245"/>
        <v>0</v>
      </c>
      <c r="BE357" s="479">
        <f t="shared" si="257"/>
        <v>0</v>
      </c>
      <c r="BF357" s="477" t="s">
        <v>50</v>
      </c>
      <c r="BG357" s="479">
        <f t="shared" si="279"/>
        <v>0</v>
      </c>
      <c r="BH357" s="477" t="s">
        <v>46</v>
      </c>
      <c r="BI357" s="760">
        <f>IF(AND($Z357="b",Inventory!$P113="Btu/hr"),Inventory!$O113,IF(AND($Z357="b",Inventory!$P113="Tons"),Inventory!$O113*12000,IF(AND($Z357&lt;&gt;"b",Inventory!$AM113="Btu/hr"),Inventory!$AL113,IF(AND($Z357&lt;&gt;"b",Inventory!$AM113="Tons"),Inventory!$AL113*12000,0))))</f>
        <v>0</v>
      </c>
      <c r="BJ357" s="760">
        <f t="shared" si="246"/>
        <v>0</v>
      </c>
      <c r="BK357" s="598">
        <f t="shared" si="249"/>
        <v>0</v>
      </c>
      <c r="BL357" s="759" t="s">
        <v>567</v>
      </c>
      <c r="BM357" s="477" t="str">
        <f t="shared" si="280"/>
        <v>No</v>
      </c>
      <c r="BN357" s="477" t="str">
        <f>IF(OR(Inventory!$H113="",$BM357="No"),"-",Inventory!$H113)</f>
        <v>-</v>
      </c>
      <c r="BO357" s="477" t="str">
        <f>IFERROR(VLOOKUP(BN357,'Early Retirement'!$B$6:$C$33,2,FALSE),"-")</f>
        <v>-</v>
      </c>
      <c r="BP357" s="477" t="str">
        <f>IF(Inventory!$J113="Centrifugal","Yes","No")</f>
        <v>No</v>
      </c>
      <c r="BQ357" s="477">
        <f t="shared" si="281"/>
        <v>0</v>
      </c>
      <c r="BR357" s="477" t="str">
        <f t="shared" si="259"/>
        <v>-</v>
      </c>
      <c r="BS357" s="479">
        <f>IFERROR(INDEX('Early Retirement'!$C$4:$AC$33,$BO357,$BR357),0)</f>
        <v>0</v>
      </c>
      <c r="BT357" s="477">
        <f>IFERROR(HLOOKUP($BR357,'Early Retirement'!$D$4:$AC$5,2,FALSE),0)</f>
        <v>0</v>
      </c>
      <c r="BU357" s="761">
        <f>IFERROR(INDEX('Early Retirement'!$AE$4:$BE$33,$BO357,$BR357),0)</f>
        <v>0</v>
      </c>
      <c r="BV357" s="759">
        <f>IFERROR(HLOOKUP($BR357,'Early Retirement'!$AF$4:$BE$5,2,FALSE),0)</f>
        <v>0</v>
      </c>
      <c r="BW357" s="479">
        <f t="shared" si="282"/>
        <v>0</v>
      </c>
      <c r="BX357" s="761">
        <f t="shared" si="250"/>
        <v>0</v>
      </c>
      <c r="BY357" s="477" t="s">
        <v>46</v>
      </c>
      <c r="BZ357" s="598">
        <f>IFERROR(INDEX('Early Retirement'!$BG$4:$CG$33,$BO357,$BR357),0)</f>
        <v>0</v>
      </c>
      <c r="CA357" s="759">
        <f>IFERROR(HLOOKUP($BR357,'Early Retirement'!$BH$4:$CH$5,2,FALSE),0)</f>
        <v>0</v>
      </c>
      <c r="CB357" s="598">
        <f t="shared" si="251"/>
        <v>0</v>
      </c>
      <c r="CC357" s="759" t="s">
        <v>567</v>
      </c>
      <c r="CD357" s="477" t="str">
        <f t="shared" si="283"/>
        <v>Yes</v>
      </c>
      <c r="CE357" s="479">
        <f t="shared" si="252"/>
        <v>0</v>
      </c>
      <c r="CF357" s="761">
        <f t="shared" si="253"/>
        <v>0</v>
      </c>
      <c r="CG357" s="759" t="s">
        <v>46</v>
      </c>
      <c r="CH357" s="598">
        <f t="shared" si="258"/>
        <v>0</v>
      </c>
      <c r="CI357" s="759" t="s">
        <v>567</v>
      </c>
      <c r="CJ357" s="480">
        <f t="shared" si="284"/>
        <v>0</v>
      </c>
      <c r="CK357" s="583">
        <f t="shared" si="254"/>
        <v>0</v>
      </c>
      <c r="CL357" s="596" t="s">
        <v>46</v>
      </c>
      <c r="CM357" s="581">
        <f t="shared" si="255"/>
        <v>0</v>
      </c>
      <c r="CN357" s="762" t="s">
        <v>567</v>
      </c>
      <c r="CW357" s="630"/>
      <c r="CX357" s="630"/>
      <c r="CY357" s="630"/>
      <c r="CZ357" s="630"/>
      <c r="DA357" s="630"/>
    </row>
    <row r="358" spans="2:105" s="78" customFormat="1" ht="15" customHeight="1" x14ac:dyDescent="0.25">
      <c r="B358" s="77"/>
      <c r="E358" s="77"/>
      <c r="H358" s="77"/>
      <c r="Y358" s="90">
        <v>105</v>
      </c>
      <c r="Z358" s="559" t="str">
        <f>IF(Inventory!$C114="","",VLOOKUP(Inventory!$C114,$B$7:$C$9,2,FALSE))</f>
        <v/>
      </c>
      <c r="AA358" s="559" t="str">
        <f>IF($Z358="","",IF(AND($Z358="b",Inventory!$G114=""),"",IF(AND($Z358="b",Inventory!$G114&lt;&gt;""),VLOOKUP(Inventory!$G114,$E$3:$F$10,2,FALSE),IF(AND($Z358="a",Inventory!$Z114=""),"",IF(AND($Z358="a",Inventory!$Z114&lt;&gt;""),VLOOKUP(Inventory!$Z114,$E$3:$F$10,2,FALSE),IF(AND($Z358="c",Inventory!$Z114=""),"",IF(AND($Z358="c",Inventory!$Z114&lt;&gt;""),VLOOKUP(Inventory!$Z114,$E$3:$F$10,2,FALSE),"")))))))</f>
        <v/>
      </c>
      <c r="AB358" s="559" t="str">
        <f>IF($Z358="","a",IF(AND($Z358="b",Inventory!$J114=""),"a",IF(AND($Z358="b",Inventory!$J114&lt;&gt;""),VLOOKUP(Inventory!$J114,$H$4:$I$6,2,FALSE),IF(AND($Z358="a",Inventory!$AA114=""),"a",IF(AND($Z358="a",Inventory!$AA114&lt;&gt;""),VLOOKUP(Inventory!$AA114,$H$4:$I$6,2,FALSE),IF(AND($Z358="c",Inventory!$AA114=""),"a",IF(AND($Z358="c",Inventory!$AA114&lt;&gt;""),VLOOKUP(Inventory!$AA114,$H$4:$I$6,2,FALSE),"a")))))))</f>
        <v>a</v>
      </c>
      <c r="AC358" s="559" t="str">
        <f t="shared" si="260"/>
        <v>a</v>
      </c>
      <c r="AD358" s="473" t="str">
        <f>IF($Z358="","a",IF(AND($Z358="b",Inventory!$L114=""),"a",IF(AND($Z358="b",Inventory!$L114&lt;&gt;""),VLOOKUP(Inventory!$L114,$N$4:$O$5,2,FALSE),IF(AND($Z358="a",Inventory!$AC114=""),"a",IF(AND($Z358="a",Inventory!$AC114&lt;&gt;""),VLOOKUP(Inventory!$AC114,$N$4:$O$5,2,FALSE),IF(AND($Z358="c",Inventory!$AC114=""),"a",IF(AND($Z358="c",Inventory!$AC114&lt;&gt;""),VLOOKUP(Inventory!$AC114,$N$4:$O$5,2,FALSE),"a")))))))</f>
        <v>a</v>
      </c>
      <c r="AE358" s="474">
        <f>IF(OR(Inventory!C114="New Construction",Inventory!C114="Replace-on-Burnout"),Inventory!AF114,IF(Inventory!C114="Early Retirement",MIN(Inventory!AE114,Inventory!AF114),0))</f>
        <v>0</v>
      </c>
      <c r="AF358" s="475" t="str">
        <f t="shared" si="261"/>
        <v/>
      </c>
      <c r="AG358" s="475" t="str">
        <f t="shared" si="262"/>
        <v/>
      </c>
      <c r="AH358" s="475" t="str">
        <f t="shared" si="263"/>
        <v/>
      </c>
      <c r="AI358" s="475" t="str">
        <f t="shared" si="264"/>
        <v/>
      </c>
      <c r="AJ358" s="475" t="str">
        <f t="shared" si="265"/>
        <v/>
      </c>
      <c r="AK358" s="475" t="str">
        <f t="shared" si="266"/>
        <v/>
      </c>
      <c r="AL358" s="475" t="str">
        <f t="shared" si="267"/>
        <v/>
      </c>
      <c r="AM358" s="475" t="str">
        <f t="shared" si="268"/>
        <v/>
      </c>
      <c r="AN358" s="475" t="str">
        <f t="shared" si="269"/>
        <v/>
      </c>
      <c r="AO358" s="475" t="str">
        <f t="shared" si="270"/>
        <v/>
      </c>
      <c r="AP358" s="475" t="str">
        <f t="shared" si="271"/>
        <v/>
      </c>
      <c r="AQ358" s="475" t="str">
        <f t="shared" si="272"/>
        <v/>
      </c>
      <c r="AR358" s="475" t="str">
        <f t="shared" si="273"/>
        <v/>
      </c>
      <c r="AS358" s="475" t="str">
        <f t="shared" si="256"/>
        <v/>
      </c>
      <c r="AT358" s="475" t="str">
        <f t="shared" si="274"/>
        <v/>
      </c>
      <c r="AU358" s="475" t="str">
        <f t="shared" si="275"/>
        <v/>
      </c>
      <c r="AV358" s="475" t="str">
        <f t="shared" si="276"/>
        <v/>
      </c>
      <c r="AW358" s="473">
        <f t="shared" si="277"/>
        <v>0</v>
      </c>
      <c r="AX358" s="473" t="str">
        <f>IF(AND($Z358="b",OR($AA358="a",$AA358="b"),Inventory!$I114="",$AE358&lt;(65000/12000)),"x",IF(AND($Z358="b",OR($AA358="a",$AA358="b"),Inventory!$I114&lt;&gt;"",$AE358&lt;(65000/12000)),VLOOKUP(Inventory!$I365,$V$4:$W$5,2,FALSE),"x"))</f>
        <v>x</v>
      </c>
      <c r="AY358" s="476" t="str">
        <f t="shared" si="278"/>
        <v>aaa0</v>
      </c>
      <c r="AZ358" s="477" t="str">
        <f t="shared" si="247"/>
        <v>No</v>
      </c>
      <c r="BA358" s="759" t="str">
        <f t="shared" si="248"/>
        <v>No</v>
      </c>
      <c r="BB358" s="477">
        <f>IF($Z358="c",Inventory!$AB114,Inventory!$K114)</f>
        <v>0</v>
      </c>
      <c r="BC358" s="478">
        <f>IF(AND($Z358="b",Inventory!$N114="Btu/hr"),Inventory!$M114,IF(AND($Z358="b",Inventory!$N114="Tons"),Inventory!$M114*12000,IF(AND($Z358&lt;&gt;"b",Inventory!$AK114="Btu/hr"),Inventory!$AD114,IF(AND($Z358&lt;&gt;"b",Inventory!$AK114="Tons"),Inventory!$AD114*12000,0))))</f>
        <v>0</v>
      </c>
      <c r="BD358" s="478">
        <f t="shared" si="245"/>
        <v>0</v>
      </c>
      <c r="BE358" s="479">
        <f t="shared" si="257"/>
        <v>0</v>
      </c>
      <c r="BF358" s="477" t="s">
        <v>50</v>
      </c>
      <c r="BG358" s="479">
        <f t="shared" si="279"/>
        <v>0</v>
      </c>
      <c r="BH358" s="477" t="s">
        <v>46</v>
      </c>
      <c r="BI358" s="760">
        <f>IF(AND($Z358="b",Inventory!$P114="Btu/hr"),Inventory!$O114,IF(AND($Z358="b",Inventory!$P114="Tons"),Inventory!$O114*12000,IF(AND($Z358&lt;&gt;"b",Inventory!$AM114="Btu/hr"),Inventory!$AL114,IF(AND($Z358&lt;&gt;"b",Inventory!$AM114="Tons"),Inventory!$AL114*12000,0))))</f>
        <v>0</v>
      </c>
      <c r="BJ358" s="760">
        <f t="shared" si="246"/>
        <v>0</v>
      </c>
      <c r="BK358" s="598">
        <f t="shared" si="249"/>
        <v>0</v>
      </c>
      <c r="BL358" s="759" t="s">
        <v>567</v>
      </c>
      <c r="BM358" s="477" t="str">
        <f t="shared" si="280"/>
        <v>No</v>
      </c>
      <c r="BN358" s="477" t="str">
        <f>IF(OR(Inventory!$H114="",$BM358="No"),"-",Inventory!$H114)</f>
        <v>-</v>
      </c>
      <c r="BO358" s="477" t="str">
        <f>IFERROR(VLOOKUP(BN358,'Early Retirement'!$B$6:$C$33,2,FALSE),"-")</f>
        <v>-</v>
      </c>
      <c r="BP358" s="477" t="str">
        <f>IF(Inventory!$J114="Centrifugal","Yes","No")</f>
        <v>No</v>
      </c>
      <c r="BQ358" s="477">
        <f t="shared" si="281"/>
        <v>0</v>
      </c>
      <c r="BR358" s="477" t="str">
        <f t="shared" si="259"/>
        <v>-</v>
      </c>
      <c r="BS358" s="479">
        <f>IFERROR(INDEX('Early Retirement'!$C$4:$AC$33,$BO358,$BR358),0)</f>
        <v>0</v>
      </c>
      <c r="BT358" s="477">
        <f>IFERROR(HLOOKUP($BR358,'Early Retirement'!$D$4:$AC$5,2,FALSE),0)</f>
        <v>0</v>
      </c>
      <c r="BU358" s="761">
        <f>IFERROR(INDEX('Early Retirement'!$AE$4:$BE$33,$BO358,$BR358),0)</f>
        <v>0</v>
      </c>
      <c r="BV358" s="759">
        <f>IFERROR(HLOOKUP($BR358,'Early Retirement'!$AF$4:$BE$5,2,FALSE),0)</f>
        <v>0</v>
      </c>
      <c r="BW358" s="479">
        <f t="shared" si="282"/>
        <v>0</v>
      </c>
      <c r="BX358" s="761">
        <f t="shared" si="250"/>
        <v>0</v>
      </c>
      <c r="BY358" s="477" t="s">
        <v>46</v>
      </c>
      <c r="BZ358" s="598">
        <f>IFERROR(INDEX('Early Retirement'!$BG$4:$CG$33,$BO358,$BR358),0)</f>
        <v>0</v>
      </c>
      <c r="CA358" s="759">
        <f>IFERROR(HLOOKUP($BR358,'Early Retirement'!$BH$4:$CH$5,2,FALSE),0)</f>
        <v>0</v>
      </c>
      <c r="CB358" s="598">
        <f t="shared" si="251"/>
        <v>0</v>
      </c>
      <c r="CC358" s="759" t="s">
        <v>567</v>
      </c>
      <c r="CD358" s="477" t="str">
        <f t="shared" si="283"/>
        <v>Yes</v>
      </c>
      <c r="CE358" s="479">
        <f t="shared" si="252"/>
        <v>0</v>
      </c>
      <c r="CF358" s="761">
        <f t="shared" si="253"/>
        <v>0</v>
      </c>
      <c r="CG358" s="759" t="s">
        <v>46</v>
      </c>
      <c r="CH358" s="598">
        <f t="shared" si="258"/>
        <v>0</v>
      </c>
      <c r="CI358" s="759" t="s">
        <v>567</v>
      </c>
      <c r="CJ358" s="480">
        <f t="shared" si="284"/>
        <v>0</v>
      </c>
      <c r="CK358" s="583">
        <f t="shared" si="254"/>
        <v>0</v>
      </c>
      <c r="CL358" s="596" t="s">
        <v>46</v>
      </c>
      <c r="CM358" s="581">
        <f t="shared" si="255"/>
        <v>0</v>
      </c>
      <c r="CN358" s="762" t="s">
        <v>567</v>
      </c>
      <c r="CW358" s="630"/>
      <c r="CX358" s="630"/>
      <c r="CY358" s="630"/>
      <c r="CZ358" s="630"/>
      <c r="DA358" s="630"/>
    </row>
    <row r="359" spans="2:105" s="78" customFormat="1" ht="15" customHeight="1" x14ac:dyDescent="0.25">
      <c r="B359" s="77"/>
      <c r="E359" s="77"/>
      <c r="H359" s="77"/>
      <c r="Y359" s="90">
        <v>106</v>
      </c>
      <c r="Z359" s="559" t="str">
        <f>IF(Inventory!$C115="","",VLOOKUP(Inventory!$C115,$B$7:$C$9,2,FALSE))</f>
        <v/>
      </c>
      <c r="AA359" s="559" t="str">
        <f>IF($Z359="","",IF(AND($Z359="b",Inventory!$G115=""),"",IF(AND($Z359="b",Inventory!$G115&lt;&gt;""),VLOOKUP(Inventory!$G115,$E$3:$F$10,2,FALSE),IF(AND($Z359="a",Inventory!$Z115=""),"",IF(AND($Z359="a",Inventory!$Z115&lt;&gt;""),VLOOKUP(Inventory!$Z115,$E$3:$F$10,2,FALSE),IF(AND($Z359="c",Inventory!$Z115=""),"",IF(AND($Z359="c",Inventory!$Z115&lt;&gt;""),VLOOKUP(Inventory!$Z115,$E$3:$F$10,2,FALSE),"")))))))</f>
        <v/>
      </c>
      <c r="AB359" s="559" t="str">
        <f>IF($Z359="","a",IF(AND($Z359="b",Inventory!$J115=""),"a",IF(AND($Z359="b",Inventory!$J115&lt;&gt;""),VLOOKUP(Inventory!$J115,$H$4:$I$6,2,FALSE),IF(AND($Z359="a",Inventory!$AA115=""),"a",IF(AND($Z359="a",Inventory!$AA115&lt;&gt;""),VLOOKUP(Inventory!$AA115,$H$4:$I$6,2,FALSE),IF(AND($Z359="c",Inventory!$AA115=""),"a",IF(AND($Z359="c",Inventory!$AA115&lt;&gt;""),VLOOKUP(Inventory!$AA115,$H$4:$I$6,2,FALSE),"a")))))))</f>
        <v>a</v>
      </c>
      <c r="AC359" s="559" t="str">
        <f t="shared" si="260"/>
        <v>a</v>
      </c>
      <c r="AD359" s="473" t="str">
        <f>IF($Z359="","a",IF(AND($Z359="b",Inventory!$L115=""),"a",IF(AND($Z359="b",Inventory!$L115&lt;&gt;""),VLOOKUP(Inventory!$L115,$N$4:$O$5,2,FALSE),IF(AND($Z359="a",Inventory!$AC115=""),"a",IF(AND($Z359="a",Inventory!$AC115&lt;&gt;""),VLOOKUP(Inventory!$AC115,$N$4:$O$5,2,FALSE),IF(AND($Z359="c",Inventory!$AC115=""),"a",IF(AND($Z359="c",Inventory!$AC115&lt;&gt;""),VLOOKUP(Inventory!$AC115,$N$4:$O$5,2,FALSE),"a")))))))</f>
        <v>a</v>
      </c>
      <c r="AE359" s="474">
        <f>IF(OR(Inventory!C115="New Construction",Inventory!C115="Replace-on-Burnout"),Inventory!AF115,IF(Inventory!C115="Early Retirement",MIN(Inventory!AE115,Inventory!AF115),0))</f>
        <v>0</v>
      </c>
      <c r="AF359" s="475" t="str">
        <f t="shared" si="261"/>
        <v/>
      </c>
      <c r="AG359" s="475" t="str">
        <f t="shared" si="262"/>
        <v/>
      </c>
      <c r="AH359" s="475" t="str">
        <f t="shared" si="263"/>
        <v/>
      </c>
      <c r="AI359" s="475" t="str">
        <f t="shared" si="264"/>
        <v/>
      </c>
      <c r="AJ359" s="475" t="str">
        <f t="shared" si="265"/>
        <v/>
      </c>
      <c r="AK359" s="475" t="str">
        <f t="shared" si="266"/>
        <v/>
      </c>
      <c r="AL359" s="475" t="str">
        <f t="shared" si="267"/>
        <v/>
      </c>
      <c r="AM359" s="475" t="str">
        <f t="shared" si="268"/>
        <v/>
      </c>
      <c r="AN359" s="475" t="str">
        <f t="shared" si="269"/>
        <v/>
      </c>
      <c r="AO359" s="475" t="str">
        <f t="shared" si="270"/>
        <v/>
      </c>
      <c r="AP359" s="475" t="str">
        <f t="shared" si="271"/>
        <v/>
      </c>
      <c r="AQ359" s="475" t="str">
        <f t="shared" si="272"/>
        <v/>
      </c>
      <c r="AR359" s="475" t="str">
        <f t="shared" si="273"/>
        <v/>
      </c>
      <c r="AS359" s="475" t="str">
        <f t="shared" si="256"/>
        <v/>
      </c>
      <c r="AT359" s="475" t="str">
        <f t="shared" si="274"/>
        <v/>
      </c>
      <c r="AU359" s="475" t="str">
        <f t="shared" si="275"/>
        <v/>
      </c>
      <c r="AV359" s="475" t="str">
        <f t="shared" si="276"/>
        <v/>
      </c>
      <c r="AW359" s="473">
        <f t="shared" si="277"/>
        <v>0</v>
      </c>
      <c r="AX359" s="473" t="str">
        <f>IF(AND($Z359="b",OR($AA359="a",$AA359="b"),Inventory!$I115="",$AE359&lt;(65000/12000)),"x",IF(AND($Z359="b",OR($AA359="a",$AA359="b"),Inventory!$I115&lt;&gt;"",$AE359&lt;(65000/12000)),VLOOKUP(Inventory!$I366,$V$4:$W$5,2,FALSE),"x"))</f>
        <v>x</v>
      </c>
      <c r="AY359" s="476" t="str">
        <f t="shared" si="278"/>
        <v>aaa0</v>
      </c>
      <c r="AZ359" s="477" t="str">
        <f t="shared" si="247"/>
        <v>No</v>
      </c>
      <c r="BA359" s="759" t="str">
        <f t="shared" si="248"/>
        <v>No</v>
      </c>
      <c r="BB359" s="477">
        <f>IF($Z359="c",Inventory!$AB115,Inventory!$K115)</f>
        <v>0</v>
      </c>
      <c r="BC359" s="478">
        <f>IF(AND($Z359="b",Inventory!$N115="Btu/hr"),Inventory!$M115,IF(AND($Z359="b",Inventory!$N115="Tons"),Inventory!$M115*12000,IF(AND($Z359&lt;&gt;"b",Inventory!$AK115="Btu/hr"),Inventory!$AD115,IF(AND($Z359&lt;&gt;"b",Inventory!$AK115="Tons"),Inventory!$AD115*12000,0))))</f>
        <v>0</v>
      </c>
      <c r="BD359" s="478">
        <f t="shared" si="245"/>
        <v>0</v>
      </c>
      <c r="BE359" s="479">
        <f t="shared" si="257"/>
        <v>0</v>
      </c>
      <c r="BF359" s="477" t="s">
        <v>50</v>
      </c>
      <c r="BG359" s="479">
        <f t="shared" si="279"/>
        <v>0</v>
      </c>
      <c r="BH359" s="477" t="s">
        <v>46</v>
      </c>
      <c r="BI359" s="760">
        <f>IF(AND($Z359="b",Inventory!$P115="Btu/hr"),Inventory!$O115,IF(AND($Z359="b",Inventory!$P115="Tons"),Inventory!$O115*12000,IF(AND($Z359&lt;&gt;"b",Inventory!$AM115="Btu/hr"),Inventory!$AL115,IF(AND($Z359&lt;&gt;"b",Inventory!$AM115="Tons"),Inventory!$AL115*12000,0))))</f>
        <v>0</v>
      </c>
      <c r="BJ359" s="760">
        <f t="shared" si="246"/>
        <v>0</v>
      </c>
      <c r="BK359" s="598">
        <f t="shared" si="249"/>
        <v>0</v>
      </c>
      <c r="BL359" s="759" t="s">
        <v>567</v>
      </c>
      <c r="BM359" s="477" t="str">
        <f t="shared" si="280"/>
        <v>No</v>
      </c>
      <c r="BN359" s="477" t="str">
        <f>IF(OR(Inventory!$H115="",$BM359="No"),"-",Inventory!$H115)</f>
        <v>-</v>
      </c>
      <c r="BO359" s="477" t="str">
        <f>IFERROR(VLOOKUP(BN359,'Early Retirement'!$B$6:$C$33,2,FALSE),"-")</f>
        <v>-</v>
      </c>
      <c r="BP359" s="477" t="str">
        <f>IF(Inventory!$J115="Centrifugal","Yes","No")</f>
        <v>No</v>
      </c>
      <c r="BQ359" s="477">
        <f t="shared" si="281"/>
        <v>0</v>
      </c>
      <c r="BR359" s="477" t="str">
        <f t="shared" si="259"/>
        <v>-</v>
      </c>
      <c r="BS359" s="479">
        <f>IFERROR(INDEX('Early Retirement'!$C$4:$AC$33,$BO359,$BR359),0)</f>
        <v>0</v>
      </c>
      <c r="BT359" s="477">
        <f>IFERROR(HLOOKUP($BR359,'Early Retirement'!$D$4:$AC$5,2,FALSE),0)</f>
        <v>0</v>
      </c>
      <c r="BU359" s="761">
        <f>IFERROR(INDEX('Early Retirement'!$AE$4:$BE$33,$BO359,$BR359),0)</f>
        <v>0</v>
      </c>
      <c r="BV359" s="759">
        <f>IFERROR(HLOOKUP($BR359,'Early Retirement'!$AF$4:$BE$5,2,FALSE),0)</f>
        <v>0</v>
      </c>
      <c r="BW359" s="479">
        <f t="shared" si="282"/>
        <v>0</v>
      </c>
      <c r="BX359" s="761">
        <f t="shared" si="250"/>
        <v>0</v>
      </c>
      <c r="BY359" s="477" t="s">
        <v>46</v>
      </c>
      <c r="BZ359" s="598">
        <f>IFERROR(INDEX('Early Retirement'!$BG$4:$CG$33,$BO359,$BR359),0)</f>
        <v>0</v>
      </c>
      <c r="CA359" s="759">
        <f>IFERROR(HLOOKUP($BR359,'Early Retirement'!$BH$4:$CH$5,2,FALSE),0)</f>
        <v>0</v>
      </c>
      <c r="CB359" s="598">
        <f t="shared" si="251"/>
        <v>0</v>
      </c>
      <c r="CC359" s="759" t="s">
        <v>567</v>
      </c>
      <c r="CD359" s="477" t="str">
        <f t="shared" si="283"/>
        <v>Yes</v>
      </c>
      <c r="CE359" s="479">
        <f t="shared" si="252"/>
        <v>0</v>
      </c>
      <c r="CF359" s="761">
        <f t="shared" si="253"/>
        <v>0</v>
      </c>
      <c r="CG359" s="759" t="s">
        <v>46</v>
      </c>
      <c r="CH359" s="598">
        <f t="shared" si="258"/>
        <v>0</v>
      </c>
      <c r="CI359" s="759" t="s">
        <v>567</v>
      </c>
      <c r="CJ359" s="480">
        <f t="shared" si="284"/>
        <v>0</v>
      </c>
      <c r="CK359" s="583">
        <f t="shared" si="254"/>
        <v>0</v>
      </c>
      <c r="CL359" s="596" t="s">
        <v>46</v>
      </c>
      <c r="CM359" s="581">
        <f t="shared" si="255"/>
        <v>0</v>
      </c>
      <c r="CN359" s="762" t="s">
        <v>567</v>
      </c>
      <c r="CW359" s="630"/>
      <c r="CX359" s="630"/>
      <c r="CY359" s="630"/>
      <c r="CZ359" s="630"/>
      <c r="DA359" s="630"/>
    </row>
    <row r="360" spans="2:105" s="78" customFormat="1" ht="15" customHeight="1" x14ac:dyDescent="0.25">
      <c r="B360" s="77"/>
      <c r="E360" s="77"/>
      <c r="H360" s="77"/>
      <c r="Y360" s="90">
        <v>107</v>
      </c>
      <c r="Z360" s="559" t="str">
        <f>IF(Inventory!$C116="","",VLOOKUP(Inventory!$C116,$B$7:$C$9,2,FALSE))</f>
        <v/>
      </c>
      <c r="AA360" s="559" t="str">
        <f>IF($Z360="","",IF(AND($Z360="b",Inventory!$G116=""),"",IF(AND($Z360="b",Inventory!$G116&lt;&gt;""),VLOOKUP(Inventory!$G116,$E$3:$F$10,2,FALSE),IF(AND($Z360="a",Inventory!$Z116=""),"",IF(AND($Z360="a",Inventory!$Z116&lt;&gt;""),VLOOKUP(Inventory!$Z116,$E$3:$F$10,2,FALSE),IF(AND($Z360="c",Inventory!$Z116=""),"",IF(AND($Z360="c",Inventory!$Z116&lt;&gt;""),VLOOKUP(Inventory!$Z116,$E$3:$F$10,2,FALSE),"")))))))</f>
        <v/>
      </c>
      <c r="AB360" s="559" t="str">
        <f>IF($Z360="","a",IF(AND($Z360="b",Inventory!$J116=""),"a",IF(AND($Z360="b",Inventory!$J116&lt;&gt;""),VLOOKUP(Inventory!$J116,$H$4:$I$6,2,FALSE),IF(AND($Z360="a",Inventory!$AA116=""),"a",IF(AND($Z360="a",Inventory!$AA116&lt;&gt;""),VLOOKUP(Inventory!$AA116,$H$4:$I$6,2,FALSE),IF(AND($Z360="c",Inventory!$AA116=""),"a",IF(AND($Z360="c",Inventory!$AA116&lt;&gt;""),VLOOKUP(Inventory!$AA116,$H$4:$I$6,2,FALSE),"a")))))))</f>
        <v>a</v>
      </c>
      <c r="AC360" s="559" t="str">
        <f t="shared" si="260"/>
        <v>a</v>
      </c>
      <c r="AD360" s="473" t="str">
        <f>IF($Z360="","a",IF(AND($Z360="b",Inventory!$L116=""),"a",IF(AND($Z360="b",Inventory!$L116&lt;&gt;""),VLOOKUP(Inventory!$L116,$N$4:$O$5,2,FALSE),IF(AND($Z360="a",Inventory!$AC116=""),"a",IF(AND($Z360="a",Inventory!$AC116&lt;&gt;""),VLOOKUP(Inventory!$AC116,$N$4:$O$5,2,FALSE),IF(AND($Z360="c",Inventory!$AC116=""),"a",IF(AND($Z360="c",Inventory!$AC116&lt;&gt;""),VLOOKUP(Inventory!$AC116,$N$4:$O$5,2,FALSE),"a")))))))</f>
        <v>a</v>
      </c>
      <c r="AE360" s="474">
        <f>IF(OR(Inventory!C116="New Construction",Inventory!C116="Replace-on-Burnout"),Inventory!AF116,IF(Inventory!C116="Early Retirement",MIN(Inventory!AE116,Inventory!AF116),0))</f>
        <v>0</v>
      </c>
      <c r="AF360" s="475" t="str">
        <f t="shared" si="261"/>
        <v/>
      </c>
      <c r="AG360" s="475" t="str">
        <f t="shared" si="262"/>
        <v/>
      </c>
      <c r="AH360" s="475" t="str">
        <f t="shared" si="263"/>
        <v/>
      </c>
      <c r="AI360" s="475" t="str">
        <f t="shared" si="264"/>
        <v/>
      </c>
      <c r="AJ360" s="475" t="str">
        <f t="shared" si="265"/>
        <v/>
      </c>
      <c r="AK360" s="475" t="str">
        <f t="shared" si="266"/>
        <v/>
      </c>
      <c r="AL360" s="475" t="str">
        <f t="shared" si="267"/>
        <v/>
      </c>
      <c r="AM360" s="475" t="str">
        <f t="shared" si="268"/>
        <v/>
      </c>
      <c r="AN360" s="475" t="str">
        <f t="shared" si="269"/>
        <v/>
      </c>
      <c r="AO360" s="475" t="str">
        <f t="shared" si="270"/>
        <v/>
      </c>
      <c r="AP360" s="475" t="str">
        <f t="shared" si="271"/>
        <v/>
      </c>
      <c r="AQ360" s="475" t="str">
        <f t="shared" si="272"/>
        <v/>
      </c>
      <c r="AR360" s="475" t="str">
        <f t="shared" si="273"/>
        <v/>
      </c>
      <c r="AS360" s="475" t="str">
        <f t="shared" si="256"/>
        <v/>
      </c>
      <c r="AT360" s="475" t="str">
        <f t="shared" si="274"/>
        <v/>
      </c>
      <c r="AU360" s="475" t="str">
        <f t="shared" si="275"/>
        <v/>
      </c>
      <c r="AV360" s="475" t="str">
        <f t="shared" si="276"/>
        <v/>
      </c>
      <c r="AW360" s="473">
        <f t="shared" si="277"/>
        <v>0</v>
      </c>
      <c r="AX360" s="473" t="str">
        <f>IF(AND($Z360="b",OR($AA360="a",$AA360="b"),Inventory!$I116="",$AE360&lt;(65000/12000)),"x",IF(AND($Z360="b",OR($AA360="a",$AA360="b"),Inventory!$I116&lt;&gt;"",$AE360&lt;(65000/12000)),VLOOKUP(Inventory!$I367,$V$4:$W$5,2,FALSE),"x"))</f>
        <v>x</v>
      </c>
      <c r="AY360" s="476" t="str">
        <f t="shared" si="278"/>
        <v>aaa0</v>
      </c>
      <c r="AZ360" s="477" t="str">
        <f t="shared" si="247"/>
        <v>No</v>
      </c>
      <c r="BA360" s="759" t="str">
        <f t="shared" si="248"/>
        <v>No</v>
      </c>
      <c r="BB360" s="477">
        <f>IF($Z360="c",Inventory!$AB116,Inventory!$K116)</f>
        <v>0</v>
      </c>
      <c r="BC360" s="478">
        <f>IF(AND($Z360="b",Inventory!$N116="Btu/hr"),Inventory!$M116,IF(AND($Z360="b",Inventory!$N116="Tons"),Inventory!$M116*12000,IF(AND($Z360&lt;&gt;"b",Inventory!$AK116="Btu/hr"),Inventory!$AD116,IF(AND($Z360&lt;&gt;"b",Inventory!$AK116="Tons"),Inventory!$AD116*12000,0))))</f>
        <v>0</v>
      </c>
      <c r="BD360" s="478">
        <f t="shared" si="245"/>
        <v>0</v>
      </c>
      <c r="BE360" s="479">
        <f t="shared" si="257"/>
        <v>0</v>
      </c>
      <c r="BF360" s="477" t="s">
        <v>50</v>
      </c>
      <c r="BG360" s="479">
        <f t="shared" si="279"/>
        <v>0</v>
      </c>
      <c r="BH360" s="477" t="s">
        <v>46</v>
      </c>
      <c r="BI360" s="760">
        <f>IF(AND($Z360="b",Inventory!$P116="Btu/hr"),Inventory!$O116,IF(AND($Z360="b",Inventory!$P116="Tons"),Inventory!$O116*12000,IF(AND($Z360&lt;&gt;"b",Inventory!$AM116="Btu/hr"),Inventory!$AL116,IF(AND($Z360&lt;&gt;"b",Inventory!$AM116="Tons"),Inventory!$AL116*12000,0))))</f>
        <v>0</v>
      </c>
      <c r="BJ360" s="760">
        <f t="shared" si="246"/>
        <v>0</v>
      </c>
      <c r="BK360" s="598">
        <f t="shared" si="249"/>
        <v>0</v>
      </c>
      <c r="BL360" s="759" t="s">
        <v>567</v>
      </c>
      <c r="BM360" s="477" t="str">
        <f t="shared" si="280"/>
        <v>No</v>
      </c>
      <c r="BN360" s="477" t="str">
        <f>IF(OR(Inventory!$H116="",$BM360="No"),"-",Inventory!$H116)</f>
        <v>-</v>
      </c>
      <c r="BO360" s="477" t="str">
        <f>IFERROR(VLOOKUP(BN360,'Early Retirement'!$B$6:$C$33,2,FALSE),"-")</f>
        <v>-</v>
      </c>
      <c r="BP360" s="477" t="str">
        <f>IF(Inventory!$J116="Centrifugal","Yes","No")</f>
        <v>No</v>
      </c>
      <c r="BQ360" s="477">
        <f t="shared" si="281"/>
        <v>0</v>
      </c>
      <c r="BR360" s="477" t="str">
        <f t="shared" si="259"/>
        <v>-</v>
      </c>
      <c r="BS360" s="479">
        <f>IFERROR(INDEX('Early Retirement'!$C$4:$AC$33,$BO360,$BR360),0)</f>
        <v>0</v>
      </c>
      <c r="BT360" s="477">
        <f>IFERROR(HLOOKUP($BR360,'Early Retirement'!$D$4:$AC$5,2,FALSE),0)</f>
        <v>0</v>
      </c>
      <c r="BU360" s="761">
        <f>IFERROR(INDEX('Early Retirement'!$AE$4:$BE$33,$BO360,$BR360),0)</f>
        <v>0</v>
      </c>
      <c r="BV360" s="759">
        <f>IFERROR(HLOOKUP($BR360,'Early Retirement'!$AF$4:$BE$5,2,FALSE),0)</f>
        <v>0</v>
      </c>
      <c r="BW360" s="479">
        <f t="shared" si="282"/>
        <v>0</v>
      </c>
      <c r="BX360" s="761">
        <f t="shared" si="250"/>
        <v>0</v>
      </c>
      <c r="BY360" s="477" t="s">
        <v>46</v>
      </c>
      <c r="BZ360" s="598">
        <f>IFERROR(INDEX('Early Retirement'!$BG$4:$CG$33,$BO360,$BR360),0)</f>
        <v>0</v>
      </c>
      <c r="CA360" s="759">
        <f>IFERROR(HLOOKUP($BR360,'Early Retirement'!$BH$4:$CH$5,2,FALSE),0)</f>
        <v>0</v>
      </c>
      <c r="CB360" s="598">
        <f t="shared" si="251"/>
        <v>0</v>
      </c>
      <c r="CC360" s="759" t="s">
        <v>567</v>
      </c>
      <c r="CD360" s="477" t="str">
        <f t="shared" si="283"/>
        <v>Yes</v>
      </c>
      <c r="CE360" s="479">
        <f t="shared" si="252"/>
        <v>0</v>
      </c>
      <c r="CF360" s="761">
        <f t="shared" si="253"/>
        <v>0</v>
      </c>
      <c r="CG360" s="759" t="s">
        <v>46</v>
      </c>
      <c r="CH360" s="598">
        <f t="shared" si="258"/>
        <v>0</v>
      </c>
      <c r="CI360" s="759" t="s">
        <v>567</v>
      </c>
      <c r="CJ360" s="480">
        <f t="shared" si="284"/>
        <v>0</v>
      </c>
      <c r="CK360" s="583">
        <f t="shared" si="254"/>
        <v>0</v>
      </c>
      <c r="CL360" s="596" t="s">
        <v>46</v>
      </c>
      <c r="CM360" s="581">
        <f t="shared" si="255"/>
        <v>0</v>
      </c>
      <c r="CN360" s="762" t="s">
        <v>567</v>
      </c>
      <c r="CW360" s="630"/>
      <c r="CX360" s="630"/>
      <c r="CY360" s="630"/>
      <c r="CZ360" s="630"/>
      <c r="DA360" s="630"/>
    </row>
    <row r="361" spans="2:105" s="78" customFormat="1" ht="15" customHeight="1" x14ac:dyDescent="0.25">
      <c r="B361" s="77"/>
      <c r="E361" s="77"/>
      <c r="H361" s="77"/>
      <c r="Y361" s="90">
        <v>108</v>
      </c>
      <c r="Z361" s="559" t="str">
        <f>IF(Inventory!$C117="","",VLOOKUP(Inventory!$C117,$B$7:$C$9,2,FALSE))</f>
        <v/>
      </c>
      <c r="AA361" s="559" t="str">
        <f>IF($Z361="","",IF(AND($Z361="b",Inventory!$G117=""),"",IF(AND($Z361="b",Inventory!$G117&lt;&gt;""),VLOOKUP(Inventory!$G117,$E$3:$F$10,2,FALSE),IF(AND($Z361="a",Inventory!$Z117=""),"",IF(AND($Z361="a",Inventory!$Z117&lt;&gt;""),VLOOKUP(Inventory!$Z117,$E$3:$F$10,2,FALSE),IF(AND($Z361="c",Inventory!$Z117=""),"",IF(AND($Z361="c",Inventory!$Z117&lt;&gt;""),VLOOKUP(Inventory!$Z117,$E$3:$F$10,2,FALSE),"")))))))</f>
        <v/>
      </c>
      <c r="AB361" s="559" t="str">
        <f>IF($Z361="","a",IF(AND($Z361="b",Inventory!$J117=""),"a",IF(AND($Z361="b",Inventory!$J117&lt;&gt;""),VLOOKUP(Inventory!$J117,$H$4:$I$6,2,FALSE),IF(AND($Z361="a",Inventory!$AA117=""),"a",IF(AND($Z361="a",Inventory!$AA117&lt;&gt;""),VLOOKUP(Inventory!$AA117,$H$4:$I$6,2,FALSE),IF(AND($Z361="c",Inventory!$AA117=""),"a",IF(AND($Z361="c",Inventory!$AA117&lt;&gt;""),VLOOKUP(Inventory!$AA117,$H$4:$I$6,2,FALSE),"a")))))))</f>
        <v>a</v>
      </c>
      <c r="AC361" s="559" t="str">
        <f t="shared" si="260"/>
        <v>a</v>
      </c>
      <c r="AD361" s="473" t="str">
        <f>IF($Z361="","a",IF(AND($Z361="b",Inventory!$L117=""),"a",IF(AND($Z361="b",Inventory!$L117&lt;&gt;""),VLOOKUP(Inventory!$L117,$N$4:$O$5,2,FALSE),IF(AND($Z361="a",Inventory!$AC117=""),"a",IF(AND($Z361="a",Inventory!$AC117&lt;&gt;""),VLOOKUP(Inventory!$AC117,$N$4:$O$5,2,FALSE),IF(AND($Z361="c",Inventory!$AC117=""),"a",IF(AND($Z361="c",Inventory!$AC117&lt;&gt;""),VLOOKUP(Inventory!$AC117,$N$4:$O$5,2,FALSE),"a")))))))</f>
        <v>a</v>
      </c>
      <c r="AE361" s="474">
        <f>IF(OR(Inventory!C117="New Construction",Inventory!C117="Replace-on-Burnout"),Inventory!AF117,IF(Inventory!C117="Early Retirement",MIN(Inventory!AE117,Inventory!AF117),0))</f>
        <v>0</v>
      </c>
      <c r="AF361" s="475" t="str">
        <f t="shared" si="261"/>
        <v/>
      </c>
      <c r="AG361" s="475" t="str">
        <f t="shared" si="262"/>
        <v/>
      </c>
      <c r="AH361" s="475" t="str">
        <f t="shared" si="263"/>
        <v/>
      </c>
      <c r="AI361" s="475" t="str">
        <f t="shared" si="264"/>
        <v/>
      </c>
      <c r="AJ361" s="475" t="str">
        <f t="shared" si="265"/>
        <v/>
      </c>
      <c r="AK361" s="475" t="str">
        <f t="shared" si="266"/>
        <v/>
      </c>
      <c r="AL361" s="475" t="str">
        <f t="shared" si="267"/>
        <v/>
      </c>
      <c r="AM361" s="475" t="str">
        <f t="shared" si="268"/>
        <v/>
      </c>
      <c r="AN361" s="475" t="str">
        <f t="shared" si="269"/>
        <v/>
      </c>
      <c r="AO361" s="475" t="str">
        <f t="shared" si="270"/>
        <v/>
      </c>
      <c r="AP361" s="475" t="str">
        <f t="shared" si="271"/>
        <v/>
      </c>
      <c r="AQ361" s="475" t="str">
        <f t="shared" si="272"/>
        <v/>
      </c>
      <c r="AR361" s="475" t="str">
        <f t="shared" si="273"/>
        <v/>
      </c>
      <c r="AS361" s="475" t="str">
        <f t="shared" si="256"/>
        <v/>
      </c>
      <c r="AT361" s="475" t="str">
        <f t="shared" si="274"/>
        <v/>
      </c>
      <c r="AU361" s="475" t="str">
        <f t="shared" si="275"/>
        <v/>
      </c>
      <c r="AV361" s="475" t="str">
        <f t="shared" si="276"/>
        <v/>
      </c>
      <c r="AW361" s="473">
        <f t="shared" si="277"/>
        <v>0</v>
      </c>
      <c r="AX361" s="473" t="str">
        <f>IF(AND($Z361="b",OR($AA361="a",$AA361="b"),Inventory!$I117="",$AE361&lt;(65000/12000)),"x",IF(AND($Z361="b",OR($AA361="a",$AA361="b"),Inventory!$I117&lt;&gt;"",$AE361&lt;(65000/12000)),VLOOKUP(Inventory!$I368,$V$4:$W$5,2,FALSE),"x"))</f>
        <v>x</v>
      </c>
      <c r="AY361" s="476" t="str">
        <f t="shared" si="278"/>
        <v>aaa0</v>
      </c>
      <c r="AZ361" s="477" t="str">
        <f t="shared" si="247"/>
        <v>No</v>
      </c>
      <c r="BA361" s="759" t="str">
        <f t="shared" si="248"/>
        <v>No</v>
      </c>
      <c r="BB361" s="477">
        <f>IF($Z361="c",Inventory!$AB117,Inventory!$K117)</f>
        <v>0</v>
      </c>
      <c r="BC361" s="478">
        <f>IF(AND($Z361="b",Inventory!$N117="Btu/hr"),Inventory!$M117,IF(AND($Z361="b",Inventory!$N117="Tons"),Inventory!$M117*12000,IF(AND($Z361&lt;&gt;"b",Inventory!$AK117="Btu/hr"),Inventory!$AD117,IF(AND($Z361&lt;&gt;"b",Inventory!$AK117="Tons"),Inventory!$AD117*12000,0))))</f>
        <v>0</v>
      </c>
      <c r="BD361" s="478">
        <f t="shared" si="245"/>
        <v>0</v>
      </c>
      <c r="BE361" s="479">
        <f t="shared" si="257"/>
        <v>0</v>
      </c>
      <c r="BF361" s="477" t="s">
        <v>50</v>
      </c>
      <c r="BG361" s="479">
        <f t="shared" si="279"/>
        <v>0</v>
      </c>
      <c r="BH361" s="477" t="s">
        <v>46</v>
      </c>
      <c r="BI361" s="760">
        <f>IF(AND($Z361="b",Inventory!$P117="Btu/hr"),Inventory!$O117,IF(AND($Z361="b",Inventory!$P117="Tons"),Inventory!$O117*12000,IF(AND($Z361&lt;&gt;"b",Inventory!$AM117="Btu/hr"),Inventory!$AL117,IF(AND($Z361&lt;&gt;"b",Inventory!$AM117="Tons"),Inventory!$AL117*12000,0))))</f>
        <v>0</v>
      </c>
      <c r="BJ361" s="760">
        <f t="shared" si="246"/>
        <v>0</v>
      </c>
      <c r="BK361" s="598">
        <f t="shared" si="249"/>
        <v>0</v>
      </c>
      <c r="BL361" s="759" t="s">
        <v>567</v>
      </c>
      <c r="BM361" s="477" t="str">
        <f t="shared" si="280"/>
        <v>No</v>
      </c>
      <c r="BN361" s="477" t="str">
        <f>IF(OR(Inventory!$H117="",$BM361="No"),"-",Inventory!$H117)</f>
        <v>-</v>
      </c>
      <c r="BO361" s="477" t="str">
        <f>IFERROR(VLOOKUP(BN361,'Early Retirement'!$B$6:$C$33,2,FALSE),"-")</f>
        <v>-</v>
      </c>
      <c r="BP361" s="477" t="str">
        <f>IF(Inventory!$J117="Centrifugal","Yes","No")</f>
        <v>No</v>
      </c>
      <c r="BQ361" s="477">
        <f t="shared" si="281"/>
        <v>0</v>
      </c>
      <c r="BR361" s="477" t="str">
        <f t="shared" si="259"/>
        <v>-</v>
      </c>
      <c r="BS361" s="479">
        <f>IFERROR(INDEX('Early Retirement'!$C$4:$AC$33,$BO361,$BR361),0)</f>
        <v>0</v>
      </c>
      <c r="BT361" s="477">
        <f>IFERROR(HLOOKUP($BR361,'Early Retirement'!$D$4:$AC$5,2,FALSE),0)</f>
        <v>0</v>
      </c>
      <c r="BU361" s="761">
        <f>IFERROR(INDEX('Early Retirement'!$AE$4:$BE$33,$BO361,$BR361),0)</f>
        <v>0</v>
      </c>
      <c r="BV361" s="759">
        <f>IFERROR(HLOOKUP($BR361,'Early Retirement'!$AF$4:$BE$5,2,FALSE),0)</f>
        <v>0</v>
      </c>
      <c r="BW361" s="479">
        <f t="shared" si="282"/>
        <v>0</v>
      </c>
      <c r="BX361" s="761">
        <f t="shared" si="250"/>
        <v>0</v>
      </c>
      <c r="BY361" s="477" t="s">
        <v>46</v>
      </c>
      <c r="BZ361" s="598">
        <f>IFERROR(INDEX('Early Retirement'!$BG$4:$CG$33,$BO361,$BR361),0)</f>
        <v>0</v>
      </c>
      <c r="CA361" s="759">
        <f>IFERROR(HLOOKUP($BR361,'Early Retirement'!$BH$4:$CH$5,2,FALSE),0)</f>
        <v>0</v>
      </c>
      <c r="CB361" s="598">
        <f t="shared" si="251"/>
        <v>0</v>
      </c>
      <c r="CC361" s="759" t="s">
        <v>567</v>
      </c>
      <c r="CD361" s="477" t="str">
        <f t="shared" si="283"/>
        <v>Yes</v>
      </c>
      <c r="CE361" s="479">
        <f t="shared" si="252"/>
        <v>0</v>
      </c>
      <c r="CF361" s="761">
        <f t="shared" si="253"/>
        <v>0</v>
      </c>
      <c r="CG361" s="759" t="s">
        <v>46</v>
      </c>
      <c r="CH361" s="598">
        <f t="shared" si="258"/>
        <v>0</v>
      </c>
      <c r="CI361" s="759" t="s">
        <v>567</v>
      </c>
      <c r="CJ361" s="480">
        <f t="shared" si="284"/>
        <v>0</v>
      </c>
      <c r="CK361" s="583">
        <f t="shared" si="254"/>
        <v>0</v>
      </c>
      <c r="CL361" s="596" t="s">
        <v>46</v>
      </c>
      <c r="CM361" s="581">
        <f t="shared" si="255"/>
        <v>0</v>
      </c>
      <c r="CN361" s="762" t="s">
        <v>567</v>
      </c>
      <c r="CW361" s="630"/>
      <c r="CX361" s="630"/>
      <c r="CY361" s="630"/>
      <c r="CZ361" s="630"/>
      <c r="DA361" s="630"/>
    </row>
    <row r="362" spans="2:105" s="78" customFormat="1" ht="15" customHeight="1" x14ac:dyDescent="0.25">
      <c r="B362" s="77"/>
      <c r="E362" s="77"/>
      <c r="H362" s="77"/>
      <c r="Y362" s="90">
        <v>109</v>
      </c>
      <c r="Z362" s="559" t="str">
        <f>IF(Inventory!$C118="","",VLOOKUP(Inventory!$C118,$B$7:$C$9,2,FALSE))</f>
        <v/>
      </c>
      <c r="AA362" s="559" t="str">
        <f>IF($Z362="","",IF(AND($Z362="b",Inventory!$G118=""),"",IF(AND($Z362="b",Inventory!$G118&lt;&gt;""),VLOOKUP(Inventory!$G118,$E$3:$F$10,2,FALSE),IF(AND($Z362="a",Inventory!$Z118=""),"",IF(AND($Z362="a",Inventory!$Z118&lt;&gt;""),VLOOKUP(Inventory!$Z118,$E$3:$F$10,2,FALSE),IF(AND($Z362="c",Inventory!$Z118=""),"",IF(AND($Z362="c",Inventory!$Z118&lt;&gt;""),VLOOKUP(Inventory!$Z118,$E$3:$F$10,2,FALSE),"")))))))</f>
        <v/>
      </c>
      <c r="AB362" s="559" t="str">
        <f>IF($Z362="","a",IF(AND($Z362="b",Inventory!$J118=""),"a",IF(AND($Z362="b",Inventory!$J118&lt;&gt;""),VLOOKUP(Inventory!$J118,$H$4:$I$6,2,FALSE),IF(AND($Z362="a",Inventory!$AA118=""),"a",IF(AND($Z362="a",Inventory!$AA118&lt;&gt;""),VLOOKUP(Inventory!$AA118,$H$4:$I$6,2,FALSE),IF(AND($Z362="c",Inventory!$AA118=""),"a",IF(AND($Z362="c",Inventory!$AA118&lt;&gt;""),VLOOKUP(Inventory!$AA118,$H$4:$I$6,2,FALSE),"a")))))))</f>
        <v>a</v>
      </c>
      <c r="AC362" s="559" t="str">
        <f t="shared" si="260"/>
        <v>a</v>
      </c>
      <c r="AD362" s="473" t="str">
        <f>IF($Z362="","a",IF(AND($Z362="b",Inventory!$L118=""),"a",IF(AND($Z362="b",Inventory!$L118&lt;&gt;""),VLOOKUP(Inventory!$L118,$N$4:$O$5,2,FALSE),IF(AND($Z362="a",Inventory!$AC118=""),"a",IF(AND($Z362="a",Inventory!$AC118&lt;&gt;""),VLOOKUP(Inventory!$AC118,$N$4:$O$5,2,FALSE),IF(AND($Z362="c",Inventory!$AC118=""),"a",IF(AND($Z362="c",Inventory!$AC118&lt;&gt;""),VLOOKUP(Inventory!$AC118,$N$4:$O$5,2,FALSE),"a")))))))</f>
        <v>a</v>
      </c>
      <c r="AE362" s="474">
        <f>IF(OR(Inventory!C118="New Construction",Inventory!C118="Replace-on-Burnout"),Inventory!AF118,IF(Inventory!C118="Early Retirement",MIN(Inventory!AE118,Inventory!AF118),0))</f>
        <v>0</v>
      </c>
      <c r="AF362" s="475" t="str">
        <f t="shared" si="261"/>
        <v/>
      </c>
      <c r="AG362" s="475" t="str">
        <f t="shared" si="262"/>
        <v/>
      </c>
      <c r="AH362" s="475" t="str">
        <f t="shared" si="263"/>
        <v/>
      </c>
      <c r="AI362" s="475" t="str">
        <f t="shared" si="264"/>
        <v/>
      </c>
      <c r="AJ362" s="475" t="str">
        <f t="shared" si="265"/>
        <v/>
      </c>
      <c r="AK362" s="475" t="str">
        <f t="shared" si="266"/>
        <v/>
      </c>
      <c r="AL362" s="475" t="str">
        <f t="shared" si="267"/>
        <v/>
      </c>
      <c r="AM362" s="475" t="str">
        <f t="shared" si="268"/>
        <v/>
      </c>
      <c r="AN362" s="475" t="str">
        <f t="shared" si="269"/>
        <v/>
      </c>
      <c r="AO362" s="475" t="str">
        <f t="shared" si="270"/>
        <v/>
      </c>
      <c r="AP362" s="475" t="str">
        <f t="shared" si="271"/>
        <v/>
      </c>
      <c r="AQ362" s="475" t="str">
        <f t="shared" si="272"/>
        <v/>
      </c>
      <c r="AR362" s="475" t="str">
        <f t="shared" si="273"/>
        <v/>
      </c>
      <c r="AS362" s="475" t="str">
        <f t="shared" si="256"/>
        <v/>
      </c>
      <c r="AT362" s="475" t="str">
        <f t="shared" si="274"/>
        <v/>
      </c>
      <c r="AU362" s="475" t="str">
        <f t="shared" si="275"/>
        <v/>
      </c>
      <c r="AV362" s="475" t="str">
        <f t="shared" si="276"/>
        <v/>
      </c>
      <c r="AW362" s="473">
        <f t="shared" si="277"/>
        <v>0</v>
      </c>
      <c r="AX362" s="473" t="str">
        <f>IF(AND($Z362="b",OR($AA362="a",$AA362="b"),Inventory!$I118="",$AE362&lt;(65000/12000)),"x",IF(AND($Z362="b",OR($AA362="a",$AA362="b"),Inventory!$I118&lt;&gt;"",$AE362&lt;(65000/12000)),VLOOKUP(Inventory!$I369,$V$4:$W$5,2,FALSE),"x"))</f>
        <v>x</v>
      </c>
      <c r="AY362" s="476" t="str">
        <f t="shared" si="278"/>
        <v>aaa0</v>
      </c>
      <c r="AZ362" s="477" t="str">
        <f t="shared" si="247"/>
        <v>No</v>
      </c>
      <c r="BA362" s="759" t="str">
        <f t="shared" si="248"/>
        <v>No</v>
      </c>
      <c r="BB362" s="477">
        <f>IF($Z362="c",Inventory!$AB118,Inventory!$K118)</f>
        <v>0</v>
      </c>
      <c r="BC362" s="478">
        <f>IF(AND($Z362="b",Inventory!$N118="Btu/hr"),Inventory!$M118,IF(AND($Z362="b",Inventory!$N118="Tons"),Inventory!$M118*12000,IF(AND($Z362&lt;&gt;"b",Inventory!$AK118="Btu/hr"),Inventory!$AD118,IF(AND($Z362&lt;&gt;"b",Inventory!$AK118="Tons"),Inventory!$AD118*12000,0))))</f>
        <v>0</v>
      </c>
      <c r="BD362" s="478">
        <f t="shared" si="245"/>
        <v>0</v>
      </c>
      <c r="BE362" s="479">
        <f t="shared" si="257"/>
        <v>0</v>
      </c>
      <c r="BF362" s="477" t="s">
        <v>50</v>
      </c>
      <c r="BG362" s="479">
        <f t="shared" si="279"/>
        <v>0</v>
      </c>
      <c r="BH362" s="477" t="s">
        <v>46</v>
      </c>
      <c r="BI362" s="760">
        <f>IF(AND($Z362="b",Inventory!$P118="Btu/hr"),Inventory!$O118,IF(AND($Z362="b",Inventory!$P118="Tons"),Inventory!$O118*12000,IF(AND($Z362&lt;&gt;"b",Inventory!$AM118="Btu/hr"),Inventory!$AL118,IF(AND($Z362&lt;&gt;"b",Inventory!$AM118="Tons"),Inventory!$AL118*12000,0))))</f>
        <v>0</v>
      </c>
      <c r="BJ362" s="760">
        <f t="shared" si="246"/>
        <v>0</v>
      </c>
      <c r="BK362" s="598">
        <f t="shared" si="249"/>
        <v>0</v>
      </c>
      <c r="BL362" s="759" t="s">
        <v>567</v>
      </c>
      <c r="BM362" s="477" t="str">
        <f t="shared" si="280"/>
        <v>No</v>
      </c>
      <c r="BN362" s="477" t="str">
        <f>IF(OR(Inventory!$H118="",$BM362="No"),"-",Inventory!$H118)</f>
        <v>-</v>
      </c>
      <c r="BO362" s="477" t="str">
        <f>IFERROR(VLOOKUP(BN362,'Early Retirement'!$B$6:$C$33,2,FALSE),"-")</f>
        <v>-</v>
      </c>
      <c r="BP362" s="477" t="str">
        <f>IF(Inventory!$J118="Centrifugal","Yes","No")</f>
        <v>No</v>
      </c>
      <c r="BQ362" s="477">
        <f t="shared" si="281"/>
        <v>0</v>
      </c>
      <c r="BR362" s="477" t="str">
        <f t="shared" si="259"/>
        <v>-</v>
      </c>
      <c r="BS362" s="479">
        <f>IFERROR(INDEX('Early Retirement'!$C$4:$AC$33,$BO362,$BR362),0)</f>
        <v>0</v>
      </c>
      <c r="BT362" s="477">
        <f>IFERROR(HLOOKUP($BR362,'Early Retirement'!$D$4:$AC$5,2,FALSE),0)</f>
        <v>0</v>
      </c>
      <c r="BU362" s="761">
        <f>IFERROR(INDEX('Early Retirement'!$AE$4:$BE$33,$BO362,$BR362),0)</f>
        <v>0</v>
      </c>
      <c r="BV362" s="759">
        <f>IFERROR(HLOOKUP($BR362,'Early Retirement'!$AF$4:$BE$5,2,FALSE),0)</f>
        <v>0</v>
      </c>
      <c r="BW362" s="479">
        <f t="shared" si="282"/>
        <v>0</v>
      </c>
      <c r="BX362" s="761">
        <f t="shared" si="250"/>
        <v>0</v>
      </c>
      <c r="BY362" s="477" t="s">
        <v>46</v>
      </c>
      <c r="BZ362" s="598">
        <f>IFERROR(INDEX('Early Retirement'!$BG$4:$CG$33,$BO362,$BR362),0)</f>
        <v>0</v>
      </c>
      <c r="CA362" s="759">
        <f>IFERROR(HLOOKUP($BR362,'Early Retirement'!$BH$4:$CH$5,2,FALSE),0)</f>
        <v>0</v>
      </c>
      <c r="CB362" s="598">
        <f t="shared" si="251"/>
        <v>0</v>
      </c>
      <c r="CC362" s="759" t="s">
        <v>567</v>
      </c>
      <c r="CD362" s="477" t="str">
        <f t="shared" si="283"/>
        <v>Yes</v>
      </c>
      <c r="CE362" s="479">
        <f t="shared" si="252"/>
        <v>0</v>
      </c>
      <c r="CF362" s="761">
        <f t="shared" si="253"/>
        <v>0</v>
      </c>
      <c r="CG362" s="759" t="s">
        <v>46</v>
      </c>
      <c r="CH362" s="598">
        <f t="shared" si="258"/>
        <v>0</v>
      </c>
      <c r="CI362" s="759" t="s">
        <v>567</v>
      </c>
      <c r="CJ362" s="480">
        <f t="shared" si="284"/>
        <v>0</v>
      </c>
      <c r="CK362" s="583">
        <f t="shared" si="254"/>
        <v>0</v>
      </c>
      <c r="CL362" s="596" t="s">
        <v>46</v>
      </c>
      <c r="CM362" s="581">
        <f t="shared" si="255"/>
        <v>0</v>
      </c>
      <c r="CN362" s="762" t="s">
        <v>567</v>
      </c>
      <c r="CW362" s="630"/>
      <c r="CX362" s="630"/>
      <c r="CY362" s="630"/>
      <c r="CZ362" s="630"/>
      <c r="DA362" s="630"/>
    </row>
    <row r="363" spans="2:105" s="78" customFormat="1" ht="15" customHeight="1" x14ac:dyDescent="0.25">
      <c r="B363" s="77"/>
      <c r="E363" s="77"/>
      <c r="H363" s="77"/>
      <c r="Y363" s="90">
        <v>110</v>
      </c>
      <c r="Z363" s="559" t="str">
        <f>IF(Inventory!$C119="","",VLOOKUP(Inventory!$C119,$B$7:$C$9,2,FALSE))</f>
        <v/>
      </c>
      <c r="AA363" s="559" t="str">
        <f>IF($Z363="","",IF(AND($Z363="b",Inventory!$G119=""),"",IF(AND($Z363="b",Inventory!$G119&lt;&gt;""),VLOOKUP(Inventory!$G119,$E$3:$F$10,2,FALSE),IF(AND($Z363="a",Inventory!$Z119=""),"",IF(AND($Z363="a",Inventory!$Z119&lt;&gt;""),VLOOKUP(Inventory!$Z119,$E$3:$F$10,2,FALSE),IF(AND($Z363="c",Inventory!$Z119=""),"",IF(AND($Z363="c",Inventory!$Z119&lt;&gt;""),VLOOKUP(Inventory!$Z119,$E$3:$F$10,2,FALSE),"")))))))</f>
        <v/>
      </c>
      <c r="AB363" s="559" t="str">
        <f>IF($Z363="","a",IF(AND($Z363="b",Inventory!$J119=""),"a",IF(AND($Z363="b",Inventory!$J119&lt;&gt;""),VLOOKUP(Inventory!$J119,$H$4:$I$6,2,FALSE),IF(AND($Z363="a",Inventory!$AA119=""),"a",IF(AND($Z363="a",Inventory!$AA119&lt;&gt;""),VLOOKUP(Inventory!$AA119,$H$4:$I$6,2,FALSE),IF(AND($Z363="c",Inventory!$AA119=""),"a",IF(AND($Z363="c",Inventory!$AA119&lt;&gt;""),VLOOKUP(Inventory!$AA119,$H$4:$I$6,2,FALSE),"a")))))))</f>
        <v>a</v>
      </c>
      <c r="AC363" s="559" t="str">
        <f t="shared" si="260"/>
        <v>a</v>
      </c>
      <c r="AD363" s="473" t="str">
        <f>IF($Z363="","a",IF(AND($Z363="b",Inventory!$L119=""),"a",IF(AND($Z363="b",Inventory!$L119&lt;&gt;""),VLOOKUP(Inventory!$L119,$N$4:$O$5,2,FALSE),IF(AND($Z363="a",Inventory!$AC119=""),"a",IF(AND($Z363="a",Inventory!$AC119&lt;&gt;""),VLOOKUP(Inventory!$AC119,$N$4:$O$5,2,FALSE),IF(AND($Z363="c",Inventory!$AC119=""),"a",IF(AND($Z363="c",Inventory!$AC119&lt;&gt;""),VLOOKUP(Inventory!$AC119,$N$4:$O$5,2,FALSE),"a")))))))</f>
        <v>a</v>
      </c>
      <c r="AE363" s="474">
        <f>IF(OR(Inventory!C119="New Construction",Inventory!C119="Replace-on-Burnout"),Inventory!AF119,IF(Inventory!C119="Early Retirement",MIN(Inventory!AE119,Inventory!AF119),0))</f>
        <v>0</v>
      </c>
      <c r="AF363" s="475" t="str">
        <f t="shared" si="261"/>
        <v/>
      </c>
      <c r="AG363" s="475" t="str">
        <f t="shared" si="262"/>
        <v/>
      </c>
      <c r="AH363" s="475" t="str">
        <f t="shared" si="263"/>
        <v/>
      </c>
      <c r="AI363" s="475" t="str">
        <f t="shared" si="264"/>
        <v/>
      </c>
      <c r="AJ363" s="475" t="str">
        <f t="shared" si="265"/>
        <v/>
      </c>
      <c r="AK363" s="475" t="str">
        <f t="shared" si="266"/>
        <v/>
      </c>
      <c r="AL363" s="475" t="str">
        <f t="shared" si="267"/>
        <v/>
      </c>
      <c r="AM363" s="475" t="str">
        <f t="shared" si="268"/>
        <v/>
      </c>
      <c r="AN363" s="475" t="str">
        <f t="shared" si="269"/>
        <v/>
      </c>
      <c r="AO363" s="475" t="str">
        <f t="shared" si="270"/>
        <v/>
      </c>
      <c r="AP363" s="475" t="str">
        <f t="shared" si="271"/>
        <v/>
      </c>
      <c r="AQ363" s="475" t="str">
        <f t="shared" si="272"/>
        <v/>
      </c>
      <c r="AR363" s="475" t="str">
        <f t="shared" si="273"/>
        <v/>
      </c>
      <c r="AS363" s="475" t="str">
        <f t="shared" si="256"/>
        <v/>
      </c>
      <c r="AT363" s="475" t="str">
        <f t="shared" si="274"/>
        <v/>
      </c>
      <c r="AU363" s="475" t="str">
        <f t="shared" si="275"/>
        <v/>
      </c>
      <c r="AV363" s="475" t="str">
        <f t="shared" si="276"/>
        <v/>
      </c>
      <c r="AW363" s="473">
        <f t="shared" si="277"/>
        <v>0</v>
      </c>
      <c r="AX363" s="473" t="str">
        <f>IF(AND($Z363="b",OR($AA363="a",$AA363="b"),Inventory!$I119="",$AE363&lt;(65000/12000)),"x",IF(AND($Z363="b",OR($AA363="a",$AA363="b"),Inventory!$I119&lt;&gt;"",$AE363&lt;(65000/12000)),VLOOKUP(Inventory!$I370,$V$4:$W$5,2,FALSE),"x"))</f>
        <v>x</v>
      </c>
      <c r="AY363" s="476" t="str">
        <f t="shared" si="278"/>
        <v>aaa0</v>
      </c>
      <c r="AZ363" s="477" t="str">
        <f t="shared" si="247"/>
        <v>No</v>
      </c>
      <c r="BA363" s="759" t="str">
        <f t="shared" si="248"/>
        <v>No</v>
      </c>
      <c r="BB363" s="477">
        <f>IF($Z363="c",Inventory!$AB119,Inventory!$K119)</f>
        <v>0</v>
      </c>
      <c r="BC363" s="478">
        <f>IF(AND($Z363="b",Inventory!$N119="Btu/hr"),Inventory!$M119,IF(AND($Z363="b",Inventory!$N119="Tons"),Inventory!$M119*12000,IF(AND($Z363&lt;&gt;"b",Inventory!$AK119="Btu/hr"),Inventory!$AD119,IF(AND($Z363&lt;&gt;"b",Inventory!$AK119="Tons"),Inventory!$AD119*12000,0))))</f>
        <v>0</v>
      </c>
      <c r="BD363" s="478">
        <f t="shared" si="245"/>
        <v>0</v>
      </c>
      <c r="BE363" s="479">
        <f t="shared" si="257"/>
        <v>0</v>
      </c>
      <c r="BF363" s="477" t="s">
        <v>50</v>
      </c>
      <c r="BG363" s="479">
        <f t="shared" si="279"/>
        <v>0</v>
      </c>
      <c r="BH363" s="477" t="s">
        <v>46</v>
      </c>
      <c r="BI363" s="760">
        <f>IF(AND($Z363="b",Inventory!$P119="Btu/hr"),Inventory!$O119,IF(AND($Z363="b",Inventory!$P119="Tons"),Inventory!$O119*12000,IF(AND($Z363&lt;&gt;"b",Inventory!$AM119="Btu/hr"),Inventory!$AL119,IF(AND($Z363&lt;&gt;"b",Inventory!$AM119="Tons"),Inventory!$AL119*12000,0))))</f>
        <v>0</v>
      </c>
      <c r="BJ363" s="760">
        <f t="shared" si="246"/>
        <v>0</v>
      </c>
      <c r="BK363" s="598">
        <f t="shared" si="249"/>
        <v>0</v>
      </c>
      <c r="BL363" s="759" t="s">
        <v>567</v>
      </c>
      <c r="BM363" s="477" t="str">
        <f t="shared" si="280"/>
        <v>No</v>
      </c>
      <c r="BN363" s="477" t="str">
        <f>IF(OR(Inventory!$H119="",$BM363="No"),"-",Inventory!$H119)</f>
        <v>-</v>
      </c>
      <c r="BO363" s="477" t="str">
        <f>IFERROR(VLOOKUP(BN363,'Early Retirement'!$B$6:$C$33,2,FALSE),"-")</f>
        <v>-</v>
      </c>
      <c r="BP363" s="477" t="str">
        <f>IF(Inventory!$J119="Centrifugal","Yes","No")</f>
        <v>No</v>
      </c>
      <c r="BQ363" s="477">
        <f t="shared" si="281"/>
        <v>0</v>
      </c>
      <c r="BR363" s="477" t="str">
        <f t="shared" si="259"/>
        <v>-</v>
      </c>
      <c r="BS363" s="479">
        <f>IFERROR(INDEX('Early Retirement'!$C$4:$AC$33,$BO363,$BR363),0)</f>
        <v>0</v>
      </c>
      <c r="BT363" s="477">
        <f>IFERROR(HLOOKUP($BR363,'Early Retirement'!$D$4:$AC$5,2,FALSE),0)</f>
        <v>0</v>
      </c>
      <c r="BU363" s="761">
        <f>IFERROR(INDEX('Early Retirement'!$AE$4:$BE$33,$BO363,$BR363),0)</f>
        <v>0</v>
      </c>
      <c r="BV363" s="759">
        <f>IFERROR(HLOOKUP($BR363,'Early Retirement'!$AF$4:$BE$5,2,FALSE),0)</f>
        <v>0</v>
      </c>
      <c r="BW363" s="479">
        <f t="shared" si="282"/>
        <v>0</v>
      </c>
      <c r="BX363" s="761">
        <f t="shared" si="250"/>
        <v>0</v>
      </c>
      <c r="BY363" s="477" t="s">
        <v>46</v>
      </c>
      <c r="BZ363" s="598">
        <f>IFERROR(INDEX('Early Retirement'!$BG$4:$CG$33,$BO363,$BR363),0)</f>
        <v>0</v>
      </c>
      <c r="CA363" s="759">
        <f>IFERROR(HLOOKUP($BR363,'Early Retirement'!$BH$4:$CH$5,2,FALSE),0)</f>
        <v>0</v>
      </c>
      <c r="CB363" s="598">
        <f t="shared" si="251"/>
        <v>0</v>
      </c>
      <c r="CC363" s="759" t="s">
        <v>567</v>
      </c>
      <c r="CD363" s="477" t="str">
        <f t="shared" si="283"/>
        <v>Yes</v>
      </c>
      <c r="CE363" s="479">
        <f t="shared" si="252"/>
        <v>0</v>
      </c>
      <c r="CF363" s="761">
        <f t="shared" si="253"/>
        <v>0</v>
      </c>
      <c r="CG363" s="759" t="s">
        <v>46</v>
      </c>
      <c r="CH363" s="598">
        <f t="shared" si="258"/>
        <v>0</v>
      </c>
      <c r="CI363" s="759" t="s">
        <v>567</v>
      </c>
      <c r="CJ363" s="480">
        <f t="shared" si="284"/>
        <v>0</v>
      </c>
      <c r="CK363" s="583">
        <f t="shared" si="254"/>
        <v>0</v>
      </c>
      <c r="CL363" s="596" t="s">
        <v>46</v>
      </c>
      <c r="CM363" s="581">
        <f t="shared" si="255"/>
        <v>0</v>
      </c>
      <c r="CN363" s="762" t="s">
        <v>567</v>
      </c>
      <c r="CW363" s="630"/>
      <c r="CX363" s="630"/>
      <c r="CY363" s="630"/>
      <c r="CZ363" s="630"/>
      <c r="DA363" s="630"/>
    </row>
    <row r="364" spans="2:105" s="78" customFormat="1" ht="15" customHeight="1" x14ac:dyDescent="0.25">
      <c r="B364" s="77"/>
      <c r="E364" s="77"/>
      <c r="H364" s="77"/>
      <c r="Y364" s="90">
        <v>111</v>
      </c>
      <c r="Z364" s="559" t="str">
        <f>IF(Inventory!$C120="","",VLOOKUP(Inventory!$C120,$B$7:$C$9,2,FALSE))</f>
        <v/>
      </c>
      <c r="AA364" s="559" t="str">
        <f>IF($Z364="","",IF(AND($Z364="b",Inventory!$G120=""),"",IF(AND($Z364="b",Inventory!$G120&lt;&gt;""),VLOOKUP(Inventory!$G120,$E$3:$F$10,2,FALSE),IF(AND($Z364="a",Inventory!$Z120=""),"",IF(AND($Z364="a",Inventory!$Z120&lt;&gt;""),VLOOKUP(Inventory!$Z120,$E$3:$F$10,2,FALSE),IF(AND($Z364="c",Inventory!$Z120=""),"",IF(AND($Z364="c",Inventory!$Z120&lt;&gt;""),VLOOKUP(Inventory!$Z120,$E$3:$F$10,2,FALSE),"")))))))</f>
        <v/>
      </c>
      <c r="AB364" s="559" t="str">
        <f>IF($Z364="","a",IF(AND($Z364="b",Inventory!$J120=""),"a",IF(AND($Z364="b",Inventory!$J120&lt;&gt;""),VLOOKUP(Inventory!$J120,$H$4:$I$6,2,FALSE),IF(AND($Z364="a",Inventory!$AA120=""),"a",IF(AND($Z364="a",Inventory!$AA120&lt;&gt;""),VLOOKUP(Inventory!$AA120,$H$4:$I$6,2,FALSE),IF(AND($Z364="c",Inventory!$AA120=""),"a",IF(AND($Z364="c",Inventory!$AA120&lt;&gt;""),VLOOKUP(Inventory!$AA120,$H$4:$I$6,2,FALSE),"a")))))))</f>
        <v>a</v>
      </c>
      <c r="AC364" s="559" t="str">
        <f t="shared" si="260"/>
        <v>a</v>
      </c>
      <c r="AD364" s="473" t="str">
        <f>IF($Z364="","a",IF(AND($Z364="b",Inventory!$L120=""),"a",IF(AND($Z364="b",Inventory!$L120&lt;&gt;""),VLOOKUP(Inventory!$L120,$N$4:$O$5,2,FALSE),IF(AND($Z364="a",Inventory!$AC120=""),"a",IF(AND($Z364="a",Inventory!$AC120&lt;&gt;""),VLOOKUP(Inventory!$AC120,$N$4:$O$5,2,FALSE),IF(AND($Z364="c",Inventory!$AC120=""),"a",IF(AND($Z364="c",Inventory!$AC120&lt;&gt;""),VLOOKUP(Inventory!$AC120,$N$4:$O$5,2,FALSE),"a")))))))</f>
        <v>a</v>
      </c>
      <c r="AE364" s="474">
        <f>IF(OR(Inventory!C120="New Construction",Inventory!C120="Replace-on-Burnout"),Inventory!AF120,IF(Inventory!C120="Early Retirement",MIN(Inventory!AE120,Inventory!AF120),0))</f>
        <v>0</v>
      </c>
      <c r="AF364" s="475" t="str">
        <f t="shared" si="261"/>
        <v/>
      </c>
      <c r="AG364" s="475" t="str">
        <f t="shared" si="262"/>
        <v/>
      </c>
      <c r="AH364" s="475" t="str">
        <f t="shared" si="263"/>
        <v/>
      </c>
      <c r="AI364" s="475" t="str">
        <f t="shared" si="264"/>
        <v/>
      </c>
      <c r="AJ364" s="475" t="str">
        <f t="shared" si="265"/>
        <v/>
      </c>
      <c r="AK364" s="475" t="str">
        <f t="shared" si="266"/>
        <v/>
      </c>
      <c r="AL364" s="475" t="str">
        <f t="shared" si="267"/>
        <v/>
      </c>
      <c r="AM364" s="475" t="str">
        <f t="shared" si="268"/>
        <v/>
      </c>
      <c r="AN364" s="475" t="str">
        <f t="shared" si="269"/>
        <v/>
      </c>
      <c r="AO364" s="475" t="str">
        <f t="shared" si="270"/>
        <v/>
      </c>
      <c r="AP364" s="475" t="str">
        <f t="shared" si="271"/>
        <v/>
      </c>
      <c r="AQ364" s="475" t="str">
        <f t="shared" si="272"/>
        <v/>
      </c>
      <c r="AR364" s="475" t="str">
        <f t="shared" si="273"/>
        <v/>
      </c>
      <c r="AS364" s="475" t="str">
        <f t="shared" si="256"/>
        <v/>
      </c>
      <c r="AT364" s="475" t="str">
        <f t="shared" si="274"/>
        <v/>
      </c>
      <c r="AU364" s="475" t="str">
        <f t="shared" si="275"/>
        <v/>
      </c>
      <c r="AV364" s="475" t="str">
        <f t="shared" si="276"/>
        <v/>
      </c>
      <c r="AW364" s="473">
        <f t="shared" si="277"/>
        <v>0</v>
      </c>
      <c r="AX364" s="473" t="str">
        <f>IF(AND($Z364="b",OR($AA364="a",$AA364="b"),Inventory!$I120="",$AE364&lt;(65000/12000)),"x",IF(AND($Z364="b",OR($AA364="a",$AA364="b"),Inventory!$I120&lt;&gt;"",$AE364&lt;(65000/12000)),VLOOKUP(Inventory!$I371,$V$4:$W$5,2,FALSE),"x"))</f>
        <v>x</v>
      </c>
      <c r="AY364" s="476" t="str">
        <f t="shared" si="278"/>
        <v>aaa0</v>
      </c>
      <c r="AZ364" s="477" t="str">
        <f t="shared" si="247"/>
        <v>No</v>
      </c>
      <c r="BA364" s="759" t="str">
        <f t="shared" si="248"/>
        <v>No</v>
      </c>
      <c r="BB364" s="477">
        <f>IF($Z364="c",Inventory!$AB120,Inventory!$K120)</f>
        <v>0</v>
      </c>
      <c r="BC364" s="478">
        <f>IF(AND($Z364="b",Inventory!$N120="Btu/hr"),Inventory!$M120,IF(AND($Z364="b",Inventory!$N120="Tons"),Inventory!$M120*12000,IF(AND($Z364&lt;&gt;"b",Inventory!$AK120="Btu/hr"),Inventory!$AD120,IF(AND($Z364&lt;&gt;"b",Inventory!$AK120="Tons"),Inventory!$AD120*12000,0))))</f>
        <v>0</v>
      </c>
      <c r="BD364" s="478">
        <f t="shared" si="245"/>
        <v>0</v>
      </c>
      <c r="BE364" s="479">
        <f t="shared" si="257"/>
        <v>0</v>
      </c>
      <c r="BF364" s="477" t="s">
        <v>50</v>
      </c>
      <c r="BG364" s="479">
        <f t="shared" si="279"/>
        <v>0</v>
      </c>
      <c r="BH364" s="477" t="s">
        <v>46</v>
      </c>
      <c r="BI364" s="760">
        <f>IF(AND($Z364="b",Inventory!$P120="Btu/hr"),Inventory!$O120,IF(AND($Z364="b",Inventory!$P120="Tons"),Inventory!$O120*12000,IF(AND($Z364&lt;&gt;"b",Inventory!$AM120="Btu/hr"),Inventory!$AL120,IF(AND($Z364&lt;&gt;"b",Inventory!$AM120="Tons"),Inventory!$AL120*12000,0))))</f>
        <v>0</v>
      </c>
      <c r="BJ364" s="760">
        <f t="shared" si="246"/>
        <v>0</v>
      </c>
      <c r="BK364" s="598">
        <f t="shared" si="249"/>
        <v>0</v>
      </c>
      <c r="BL364" s="759" t="s">
        <v>567</v>
      </c>
      <c r="BM364" s="477" t="str">
        <f t="shared" si="280"/>
        <v>No</v>
      </c>
      <c r="BN364" s="477" t="str">
        <f>IF(OR(Inventory!$H120="",$BM364="No"),"-",Inventory!$H120)</f>
        <v>-</v>
      </c>
      <c r="BO364" s="477" t="str">
        <f>IFERROR(VLOOKUP(BN364,'Early Retirement'!$B$6:$C$33,2,FALSE),"-")</f>
        <v>-</v>
      </c>
      <c r="BP364" s="477" t="str">
        <f>IF(Inventory!$J120="Centrifugal","Yes","No")</f>
        <v>No</v>
      </c>
      <c r="BQ364" s="477">
        <f t="shared" si="281"/>
        <v>0</v>
      </c>
      <c r="BR364" s="477" t="str">
        <f t="shared" si="259"/>
        <v>-</v>
      </c>
      <c r="BS364" s="479">
        <f>IFERROR(INDEX('Early Retirement'!$C$4:$AC$33,$BO364,$BR364),0)</f>
        <v>0</v>
      </c>
      <c r="BT364" s="477">
        <f>IFERROR(HLOOKUP($BR364,'Early Retirement'!$D$4:$AC$5,2,FALSE),0)</f>
        <v>0</v>
      </c>
      <c r="BU364" s="761">
        <f>IFERROR(INDEX('Early Retirement'!$AE$4:$BE$33,$BO364,$BR364),0)</f>
        <v>0</v>
      </c>
      <c r="BV364" s="759">
        <f>IFERROR(HLOOKUP($BR364,'Early Retirement'!$AF$4:$BE$5,2,FALSE),0)</f>
        <v>0</v>
      </c>
      <c r="BW364" s="479">
        <f t="shared" si="282"/>
        <v>0</v>
      </c>
      <c r="BX364" s="761">
        <f t="shared" si="250"/>
        <v>0</v>
      </c>
      <c r="BY364" s="477" t="s">
        <v>46</v>
      </c>
      <c r="BZ364" s="598">
        <f>IFERROR(INDEX('Early Retirement'!$BG$4:$CG$33,$BO364,$BR364),0)</f>
        <v>0</v>
      </c>
      <c r="CA364" s="759">
        <f>IFERROR(HLOOKUP($BR364,'Early Retirement'!$BH$4:$CH$5,2,FALSE),0)</f>
        <v>0</v>
      </c>
      <c r="CB364" s="598">
        <f t="shared" si="251"/>
        <v>0</v>
      </c>
      <c r="CC364" s="759" t="s">
        <v>567</v>
      </c>
      <c r="CD364" s="477" t="str">
        <f t="shared" si="283"/>
        <v>Yes</v>
      </c>
      <c r="CE364" s="479">
        <f t="shared" si="252"/>
        <v>0</v>
      </c>
      <c r="CF364" s="761">
        <f t="shared" si="253"/>
        <v>0</v>
      </c>
      <c r="CG364" s="759" t="s">
        <v>46</v>
      </c>
      <c r="CH364" s="598">
        <f t="shared" si="258"/>
        <v>0</v>
      </c>
      <c r="CI364" s="759" t="s">
        <v>567</v>
      </c>
      <c r="CJ364" s="480">
        <f t="shared" si="284"/>
        <v>0</v>
      </c>
      <c r="CK364" s="583">
        <f t="shared" si="254"/>
        <v>0</v>
      </c>
      <c r="CL364" s="596" t="s">
        <v>46</v>
      </c>
      <c r="CM364" s="581">
        <f t="shared" si="255"/>
        <v>0</v>
      </c>
      <c r="CN364" s="762" t="s">
        <v>567</v>
      </c>
      <c r="CW364" s="630"/>
      <c r="CX364" s="630"/>
      <c r="CY364" s="630"/>
      <c r="CZ364" s="630"/>
      <c r="DA364" s="630"/>
    </row>
    <row r="365" spans="2:105" s="78" customFormat="1" ht="15" customHeight="1" x14ac:dyDescent="0.25">
      <c r="B365" s="77"/>
      <c r="E365" s="77"/>
      <c r="H365" s="77"/>
      <c r="Y365" s="90">
        <v>112</v>
      </c>
      <c r="Z365" s="559" t="str">
        <f>IF(Inventory!$C121="","",VLOOKUP(Inventory!$C121,$B$7:$C$9,2,FALSE))</f>
        <v/>
      </c>
      <c r="AA365" s="559" t="str">
        <f>IF($Z365="","",IF(AND($Z365="b",Inventory!$G121=""),"",IF(AND($Z365="b",Inventory!$G121&lt;&gt;""),VLOOKUP(Inventory!$G121,$E$3:$F$10,2,FALSE),IF(AND($Z365="a",Inventory!$Z121=""),"",IF(AND($Z365="a",Inventory!$Z121&lt;&gt;""),VLOOKUP(Inventory!$Z121,$E$3:$F$10,2,FALSE),IF(AND($Z365="c",Inventory!$Z121=""),"",IF(AND($Z365="c",Inventory!$Z121&lt;&gt;""),VLOOKUP(Inventory!$Z121,$E$3:$F$10,2,FALSE),"")))))))</f>
        <v/>
      </c>
      <c r="AB365" s="559" t="str">
        <f>IF($Z365="","a",IF(AND($Z365="b",Inventory!$J121=""),"a",IF(AND($Z365="b",Inventory!$J121&lt;&gt;""),VLOOKUP(Inventory!$J121,$H$4:$I$6,2,FALSE),IF(AND($Z365="a",Inventory!$AA121=""),"a",IF(AND($Z365="a",Inventory!$AA121&lt;&gt;""),VLOOKUP(Inventory!$AA121,$H$4:$I$6,2,FALSE),IF(AND($Z365="c",Inventory!$AA121=""),"a",IF(AND($Z365="c",Inventory!$AA121&lt;&gt;""),VLOOKUP(Inventory!$AA121,$H$4:$I$6,2,FALSE),"a")))))))</f>
        <v>a</v>
      </c>
      <c r="AC365" s="559" t="str">
        <f t="shared" si="260"/>
        <v>a</v>
      </c>
      <c r="AD365" s="473" t="str">
        <f>IF($Z365="","a",IF(AND($Z365="b",Inventory!$L121=""),"a",IF(AND($Z365="b",Inventory!$L121&lt;&gt;""),VLOOKUP(Inventory!$L121,$N$4:$O$5,2,FALSE),IF(AND($Z365="a",Inventory!$AC121=""),"a",IF(AND($Z365="a",Inventory!$AC121&lt;&gt;""),VLOOKUP(Inventory!$AC121,$N$4:$O$5,2,FALSE),IF(AND($Z365="c",Inventory!$AC121=""),"a",IF(AND($Z365="c",Inventory!$AC121&lt;&gt;""),VLOOKUP(Inventory!$AC121,$N$4:$O$5,2,FALSE),"a")))))))</f>
        <v>a</v>
      </c>
      <c r="AE365" s="474">
        <f>IF(OR(Inventory!C121="New Construction",Inventory!C121="Replace-on-Burnout"),Inventory!AF121,IF(Inventory!C121="Early Retirement",MIN(Inventory!AE121,Inventory!AF121),0))</f>
        <v>0</v>
      </c>
      <c r="AF365" s="475" t="str">
        <f t="shared" si="261"/>
        <v/>
      </c>
      <c r="AG365" s="475" t="str">
        <f t="shared" si="262"/>
        <v/>
      </c>
      <c r="AH365" s="475" t="str">
        <f t="shared" si="263"/>
        <v/>
      </c>
      <c r="AI365" s="475" t="str">
        <f t="shared" si="264"/>
        <v/>
      </c>
      <c r="AJ365" s="475" t="str">
        <f t="shared" si="265"/>
        <v/>
      </c>
      <c r="AK365" s="475" t="str">
        <f t="shared" si="266"/>
        <v/>
      </c>
      <c r="AL365" s="475" t="str">
        <f t="shared" si="267"/>
        <v/>
      </c>
      <c r="AM365" s="475" t="str">
        <f t="shared" si="268"/>
        <v/>
      </c>
      <c r="AN365" s="475" t="str">
        <f t="shared" si="269"/>
        <v/>
      </c>
      <c r="AO365" s="475" t="str">
        <f t="shared" si="270"/>
        <v/>
      </c>
      <c r="AP365" s="475" t="str">
        <f t="shared" si="271"/>
        <v/>
      </c>
      <c r="AQ365" s="475" t="str">
        <f t="shared" si="272"/>
        <v/>
      </c>
      <c r="AR365" s="475" t="str">
        <f t="shared" si="273"/>
        <v/>
      </c>
      <c r="AS365" s="475" t="str">
        <f t="shared" si="256"/>
        <v/>
      </c>
      <c r="AT365" s="475" t="str">
        <f t="shared" si="274"/>
        <v/>
      </c>
      <c r="AU365" s="475" t="str">
        <f t="shared" si="275"/>
        <v/>
      </c>
      <c r="AV365" s="475" t="str">
        <f t="shared" si="276"/>
        <v/>
      </c>
      <c r="AW365" s="473">
        <f t="shared" si="277"/>
        <v>0</v>
      </c>
      <c r="AX365" s="473" t="str">
        <f>IF(AND($Z365="b",OR($AA365="a",$AA365="b"),Inventory!$I121="",$AE365&lt;(65000/12000)),"x",IF(AND($Z365="b",OR($AA365="a",$AA365="b"),Inventory!$I121&lt;&gt;"",$AE365&lt;(65000/12000)),VLOOKUP(Inventory!$I372,$V$4:$W$5,2,FALSE),"x"))</f>
        <v>x</v>
      </c>
      <c r="AY365" s="476" t="str">
        <f t="shared" si="278"/>
        <v>aaa0</v>
      </c>
      <c r="AZ365" s="477" t="str">
        <f t="shared" si="247"/>
        <v>No</v>
      </c>
      <c r="BA365" s="759" t="str">
        <f t="shared" si="248"/>
        <v>No</v>
      </c>
      <c r="BB365" s="477">
        <f>IF($Z365="c",Inventory!$AB121,Inventory!$K121)</f>
        <v>0</v>
      </c>
      <c r="BC365" s="478">
        <f>IF(AND($Z365="b",Inventory!$N121="Btu/hr"),Inventory!$M121,IF(AND($Z365="b",Inventory!$N121="Tons"),Inventory!$M121*12000,IF(AND($Z365&lt;&gt;"b",Inventory!$AK121="Btu/hr"),Inventory!$AD121,IF(AND($Z365&lt;&gt;"b",Inventory!$AK121="Tons"),Inventory!$AD121*12000,0))))</f>
        <v>0</v>
      </c>
      <c r="BD365" s="478">
        <f t="shared" si="245"/>
        <v>0</v>
      </c>
      <c r="BE365" s="479">
        <f t="shared" si="257"/>
        <v>0</v>
      </c>
      <c r="BF365" s="477" t="s">
        <v>50</v>
      </c>
      <c r="BG365" s="479">
        <f t="shared" si="279"/>
        <v>0</v>
      </c>
      <c r="BH365" s="477" t="s">
        <v>46</v>
      </c>
      <c r="BI365" s="760">
        <f>IF(AND($Z365="b",Inventory!$P121="Btu/hr"),Inventory!$O121,IF(AND($Z365="b",Inventory!$P121="Tons"),Inventory!$O121*12000,IF(AND($Z365&lt;&gt;"b",Inventory!$AM121="Btu/hr"),Inventory!$AL121,IF(AND($Z365&lt;&gt;"b",Inventory!$AM121="Tons"),Inventory!$AL121*12000,0))))</f>
        <v>0</v>
      </c>
      <c r="BJ365" s="760">
        <f t="shared" si="246"/>
        <v>0</v>
      </c>
      <c r="BK365" s="598">
        <f t="shared" si="249"/>
        <v>0</v>
      </c>
      <c r="BL365" s="759" t="s">
        <v>567</v>
      </c>
      <c r="BM365" s="477" t="str">
        <f t="shared" si="280"/>
        <v>No</v>
      </c>
      <c r="BN365" s="477" t="str">
        <f>IF(OR(Inventory!$H121="",$BM365="No"),"-",Inventory!$H121)</f>
        <v>-</v>
      </c>
      <c r="BO365" s="477" t="str">
        <f>IFERROR(VLOOKUP(BN365,'Early Retirement'!$B$6:$C$33,2,FALSE),"-")</f>
        <v>-</v>
      </c>
      <c r="BP365" s="477" t="str">
        <f>IF(Inventory!$J121="Centrifugal","Yes","No")</f>
        <v>No</v>
      </c>
      <c r="BQ365" s="477">
        <f t="shared" si="281"/>
        <v>0</v>
      </c>
      <c r="BR365" s="477" t="str">
        <f t="shared" si="259"/>
        <v>-</v>
      </c>
      <c r="BS365" s="479">
        <f>IFERROR(INDEX('Early Retirement'!$C$4:$AC$33,$BO365,$BR365),0)</f>
        <v>0</v>
      </c>
      <c r="BT365" s="477">
        <f>IFERROR(HLOOKUP($BR365,'Early Retirement'!$D$4:$AC$5,2,FALSE),0)</f>
        <v>0</v>
      </c>
      <c r="BU365" s="761">
        <f>IFERROR(INDEX('Early Retirement'!$AE$4:$BE$33,$BO365,$BR365),0)</f>
        <v>0</v>
      </c>
      <c r="BV365" s="759">
        <f>IFERROR(HLOOKUP($BR365,'Early Retirement'!$AF$4:$BE$5,2,FALSE),0)</f>
        <v>0</v>
      </c>
      <c r="BW365" s="479">
        <f t="shared" si="282"/>
        <v>0</v>
      </c>
      <c r="BX365" s="761">
        <f t="shared" si="250"/>
        <v>0</v>
      </c>
      <c r="BY365" s="477" t="s">
        <v>46</v>
      </c>
      <c r="BZ365" s="598">
        <f>IFERROR(INDEX('Early Retirement'!$BG$4:$CG$33,$BO365,$BR365),0)</f>
        <v>0</v>
      </c>
      <c r="CA365" s="759">
        <f>IFERROR(HLOOKUP($BR365,'Early Retirement'!$BH$4:$CH$5,2,FALSE),0)</f>
        <v>0</v>
      </c>
      <c r="CB365" s="598">
        <f t="shared" si="251"/>
        <v>0</v>
      </c>
      <c r="CC365" s="759" t="s">
        <v>567</v>
      </c>
      <c r="CD365" s="477" t="str">
        <f t="shared" si="283"/>
        <v>Yes</v>
      </c>
      <c r="CE365" s="479">
        <f t="shared" si="252"/>
        <v>0</v>
      </c>
      <c r="CF365" s="761">
        <f t="shared" si="253"/>
        <v>0</v>
      </c>
      <c r="CG365" s="759" t="s">
        <v>46</v>
      </c>
      <c r="CH365" s="598">
        <f t="shared" si="258"/>
        <v>0</v>
      </c>
      <c r="CI365" s="759" t="s">
        <v>567</v>
      </c>
      <c r="CJ365" s="480">
        <f t="shared" si="284"/>
        <v>0</v>
      </c>
      <c r="CK365" s="583">
        <f t="shared" si="254"/>
        <v>0</v>
      </c>
      <c r="CL365" s="596" t="s">
        <v>46</v>
      </c>
      <c r="CM365" s="581">
        <f t="shared" si="255"/>
        <v>0</v>
      </c>
      <c r="CN365" s="762" t="s">
        <v>567</v>
      </c>
      <c r="CW365" s="630"/>
      <c r="CX365" s="630"/>
      <c r="CY365" s="630"/>
      <c r="CZ365" s="630"/>
      <c r="DA365" s="630"/>
    </row>
    <row r="366" spans="2:105" s="78" customFormat="1" ht="15" customHeight="1" x14ac:dyDescent="0.25">
      <c r="B366" s="77"/>
      <c r="E366" s="77"/>
      <c r="H366" s="77"/>
      <c r="Y366" s="90">
        <v>113</v>
      </c>
      <c r="Z366" s="559" t="str">
        <f>IF(Inventory!$C122="","",VLOOKUP(Inventory!$C122,$B$7:$C$9,2,FALSE))</f>
        <v/>
      </c>
      <c r="AA366" s="559" t="str">
        <f>IF($Z366="","",IF(AND($Z366="b",Inventory!$G122=""),"",IF(AND($Z366="b",Inventory!$G122&lt;&gt;""),VLOOKUP(Inventory!$G122,$E$3:$F$10,2,FALSE),IF(AND($Z366="a",Inventory!$Z122=""),"",IF(AND($Z366="a",Inventory!$Z122&lt;&gt;""),VLOOKUP(Inventory!$Z122,$E$3:$F$10,2,FALSE),IF(AND($Z366="c",Inventory!$Z122=""),"",IF(AND($Z366="c",Inventory!$Z122&lt;&gt;""),VLOOKUP(Inventory!$Z122,$E$3:$F$10,2,FALSE),"")))))))</f>
        <v/>
      </c>
      <c r="AB366" s="559" t="str">
        <f>IF($Z366="","a",IF(AND($Z366="b",Inventory!$J122=""),"a",IF(AND($Z366="b",Inventory!$J122&lt;&gt;""),VLOOKUP(Inventory!$J122,$H$4:$I$6,2,FALSE),IF(AND($Z366="a",Inventory!$AA122=""),"a",IF(AND($Z366="a",Inventory!$AA122&lt;&gt;""),VLOOKUP(Inventory!$AA122,$H$4:$I$6,2,FALSE),IF(AND($Z366="c",Inventory!$AA122=""),"a",IF(AND($Z366="c",Inventory!$AA122&lt;&gt;""),VLOOKUP(Inventory!$AA122,$H$4:$I$6,2,FALSE),"a")))))))</f>
        <v>a</v>
      </c>
      <c r="AC366" s="559" t="str">
        <f t="shared" si="260"/>
        <v>a</v>
      </c>
      <c r="AD366" s="473" t="str">
        <f>IF($Z366="","a",IF(AND($Z366="b",Inventory!$L122=""),"a",IF(AND($Z366="b",Inventory!$L122&lt;&gt;""),VLOOKUP(Inventory!$L122,$N$4:$O$5,2,FALSE),IF(AND($Z366="a",Inventory!$AC122=""),"a",IF(AND($Z366="a",Inventory!$AC122&lt;&gt;""),VLOOKUP(Inventory!$AC122,$N$4:$O$5,2,FALSE),IF(AND($Z366="c",Inventory!$AC122=""),"a",IF(AND($Z366="c",Inventory!$AC122&lt;&gt;""),VLOOKUP(Inventory!$AC122,$N$4:$O$5,2,FALSE),"a")))))))</f>
        <v>a</v>
      </c>
      <c r="AE366" s="474">
        <f>IF(OR(Inventory!C122="New Construction",Inventory!C122="Replace-on-Burnout"),Inventory!AF122,IF(Inventory!C122="Early Retirement",MIN(Inventory!AE122,Inventory!AF122),0))</f>
        <v>0</v>
      </c>
      <c r="AF366" s="475" t="str">
        <f t="shared" si="261"/>
        <v/>
      </c>
      <c r="AG366" s="475" t="str">
        <f t="shared" si="262"/>
        <v/>
      </c>
      <c r="AH366" s="475" t="str">
        <f t="shared" si="263"/>
        <v/>
      </c>
      <c r="AI366" s="475" t="str">
        <f t="shared" si="264"/>
        <v/>
      </c>
      <c r="AJ366" s="475" t="str">
        <f t="shared" si="265"/>
        <v/>
      </c>
      <c r="AK366" s="475" t="str">
        <f t="shared" si="266"/>
        <v/>
      </c>
      <c r="AL366" s="475" t="str">
        <f t="shared" si="267"/>
        <v/>
      </c>
      <c r="AM366" s="475" t="str">
        <f t="shared" si="268"/>
        <v/>
      </c>
      <c r="AN366" s="475" t="str">
        <f t="shared" si="269"/>
        <v/>
      </c>
      <c r="AO366" s="475" t="str">
        <f t="shared" si="270"/>
        <v/>
      </c>
      <c r="AP366" s="475" t="str">
        <f t="shared" si="271"/>
        <v/>
      </c>
      <c r="AQ366" s="475" t="str">
        <f t="shared" si="272"/>
        <v/>
      </c>
      <c r="AR366" s="475" t="str">
        <f t="shared" si="273"/>
        <v/>
      </c>
      <c r="AS366" s="475" t="str">
        <f t="shared" si="256"/>
        <v/>
      </c>
      <c r="AT366" s="475" t="str">
        <f t="shared" si="274"/>
        <v/>
      </c>
      <c r="AU366" s="475" t="str">
        <f t="shared" si="275"/>
        <v/>
      </c>
      <c r="AV366" s="475" t="str">
        <f t="shared" si="276"/>
        <v/>
      </c>
      <c r="AW366" s="473">
        <f t="shared" si="277"/>
        <v>0</v>
      </c>
      <c r="AX366" s="473" t="str">
        <f>IF(AND($Z366="b",OR($AA366="a",$AA366="b"),Inventory!$I122="",$AE366&lt;(65000/12000)),"x",IF(AND($Z366="b",OR($AA366="a",$AA366="b"),Inventory!$I122&lt;&gt;"",$AE366&lt;(65000/12000)),VLOOKUP(Inventory!$I373,$V$4:$W$5,2,FALSE),"x"))</f>
        <v>x</v>
      </c>
      <c r="AY366" s="476" t="str">
        <f t="shared" si="278"/>
        <v>aaa0</v>
      </c>
      <c r="AZ366" s="477" t="str">
        <f t="shared" si="247"/>
        <v>No</v>
      </c>
      <c r="BA366" s="759" t="str">
        <f t="shared" si="248"/>
        <v>No</v>
      </c>
      <c r="BB366" s="477">
        <f>IF($Z366="c",Inventory!$AB122,Inventory!$K122)</f>
        <v>0</v>
      </c>
      <c r="BC366" s="478">
        <f>IF(AND($Z366="b",Inventory!$N122="Btu/hr"),Inventory!$M122,IF(AND($Z366="b",Inventory!$N122="Tons"),Inventory!$M122*12000,IF(AND($Z366&lt;&gt;"b",Inventory!$AK122="Btu/hr"),Inventory!$AD122,IF(AND($Z366&lt;&gt;"b",Inventory!$AK122="Tons"),Inventory!$AD122*12000,0))))</f>
        <v>0</v>
      </c>
      <c r="BD366" s="478">
        <f t="shared" si="245"/>
        <v>0</v>
      </c>
      <c r="BE366" s="479">
        <f t="shared" si="257"/>
        <v>0</v>
      </c>
      <c r="BF366" s="477" t="s">
        <v>50</v>
      </c>
      <c r="BG366" s="479">
        <f t="shared" si="279"/>
        <v>0</v>
      </c>
      <c r="BH366" s="477" t="s">
        <v>46</v>
      </c>
      <c r="BI366" s="760">
        <f>IF(AND($Z366="b",Inventory!$P122="Btu/hr"),Inventory!$O122,IF(AND($Z366="b",Inventory!$P122="Tons"),Inventory!$O122*12000,IF(AND($Z366&lt;&gt;"b",Inventory!$AM122="Btu/hr"),Inventory!$AL122,IF(AND($Z366&lt;&gt;"b",Inventory!$AM122="Tons"),Inventory!$AL122*12000,0))))</f>
        <v>0</v>
      </c>
      <c r="BJ366" s="760">
        <f t="shared" si="246"/>
        <v>0</v>
      </c>
      <c r="BK366" s="598">
        <f t="shared" si="249"/>
        <v>0</v>
      </c>
      <c r="BL366" s="759" t="s">
        <v>567</v>
      </c>
      <c r="BM366" s="477" t="str">
        <f t="shared" si="280"/>
        <v>No</v>
      </c>
      <c r="BN366" s="477" t="str">
        <f>IF(OR(Inventory!$H122="",$BM366="No"),"-",Inventory!$H122)</f>
        <v>-</v>
      </c>
      <c r="BO366" s="477" t="str">
        <f>IFERROR(VLOOKUP(BN366,'Early Retirement'!$B$6:$C$33,2,FALSE),"-")</f>
        <v>-</v>
      </c>
      <c r="BP366" s="477" t="str">
        <f>IF(Inventory!$J122="Centrifugal","Yes","No")</f>
        <v>No</v>
      </c>
      <c r="BQ366" s="477">
        <f t="shared" si="281"/>
        <v>0</v>
      </c>
      <c r="BR366" s="477" t="str">
        <f t="shared" si="259"/>
        <v>-</v>
      </c>
      <c r="BS366" s="479">
        <f>IFERROR(INDEX('Early Retirement'!$C$4:$AC$33,$BO366,$BR366),0)</f>
        <v>0</v>
      </c>
      <c r="BT366" s="477">
        <f>IFERROR(HLOOKUP($BR366,'Early Retirement'!$D$4:$AC$5,2,FALSE),0)</f>
        <v>0</v>
      </c>
      <c r="BU366" s="761">
        <f>IFERROR(INDEX('Early Retirement'!$AE$4:$BE$33,$BO366,$BR366),0)</f>
        <v>0</v>
      </c>
      <c r="BV366" s="759">
        <f>IFERROR(HLOOKUP($BR366,'Early Retirement'!$AF$4:$BE$5,2,FALSE),0)</f>
        <v>0</v>
      </c>
      <c r="BW366" s="479">
        <f t="shared" si="282"/>
        <v>0</v>
      </c>
      <c r="BX366" s="761">
        <f t="shared" si="250"/>
        <v>0</v>
      </c>
      <c r="BY366" s="477" t="s">
        <v>46</v>
      </c>
      <c r="BZ366" s="598">
        <f>IFERROR(INDEX('Early Retirement'!$BG$4:$CG$33,$BO366,$BR366),0)</f>
        <v>0</v>
      </c>
      <c r="CA366" s="759">
        <f>IFERROR(HLOOKUP($BR366,'Early Retirement'!$BH$4:$CH$5,2,FALSE),0)</f>
        <v>0</v>
      </c>
      <c r="CB366" s="598">
        <f t="shared" si="251"/>
        <v>0</v>
      </c>
      <c r="CC366" s="759" t="s">
        <v>567</v>
      </c>
      <c r="CD366" s="477" t="str">
        <f t="shared" si="283"/>
        <v>Yes</v>
      </c>
      <c r="CE366" s="479">
        <f t="shared" si="252"/>
        <v>0</v>
      </c>
      <c r="CF366" s="761">
        <f t="shared" si="253"/>
        <v>0</v>
      </c>
      <c r="CG366" s="759" t="s">
        <v>46</v>
      </c>
      <c r="CH366" s="598">
        <f t="shared" si="258"/>
        <v>0</v>
      </c>
      <c r="CI366" s="759" t="s">
        <v>567</v>
      </c>
      <c r="CJ366" s="480">
        <f t="shared" si="284"/>
        <v>0</v>
      </c>
      <c r="CK366" s="583">
        <f t="shared" si="254"/>
        <v>0</v>
      </c>
      <c r="CL366" s="596" t="s">
        <v>46</v>
      </c>
      <c r="CM366" s="581">
        <f t="shared" si="255"/>
        <v>0</v>
      </c>
      <c r="CN366" s="762" t="s">
        <v>567</v>
      </c>
      <c r="CW366" s="630"/>
      <c r="CX366" s="630"/>
      <c r="CY366" s="630"/>
      <c r="CZ366" s="630"/>
      <c r="DA366" s="630"/>
    </row>
    <row r="367" spans="2:105" s="78" customFormat="1" ht="15" customHeight="1" x14ac:dyDescent="0.25">
      <c r="B367" s="77"/>
      <c r="E367" s="77"/>
      <c r="H367" s="77"/>
      <c r="Y367" s="90">
        <v>114</v>
      </c>
      <c r="Z367" s="559" t="str">
        <f>IF(Inventory!$C123="","",VLOOKUP(Inventory!$C123,$B$7:$C$9,2,FALSE))</f>
        <v/>
      </c>
      <c r="AA367" s="559" t="str">
        <f>IF($Z367="","",IF(AND($Z367="b",Inventory!$G123=""),"",IF(AND($Z367="b",Inventory!$G123&lt;&gt;""),VLOOKUP(Inventory!$G123,$E$3:$F$10,2,FALSE),IF(AND($Z367="a",Inventory!$Z123=""),"",IF(AND($Z367="a",Inventory!$Z123&lt;&gt;""),VLOOKUP(Inventory!$Z123,$E$3:$F$10,2,FALSE),IF(AND($Z367="c",Inventory!$Z123=""),"",IF(AND($Z367="c",Inventory!$Z123&lt;&gt;""),VLOOKUP(Inventory!$Z123,$E$3:$F$10,2,FALSE),"")))))))</f>
        <v/>
      </c>
      <c r="AB367" s="559" t="str">
        <f>IF($Z367="","a",IF(AND($Z367="b",Inventory!$J123=""),"a",IF(AND($Z367="b",Inventory!$J123&lt;&gt;""),VLOOKUP(Inventory!$J123,$H$4:$I$6,2,FALSE),IF(AND($Z367="a",Inventory!$AA123=""),"a",IF(AND($Z367="a",Inventory!$AA123&lt;&gt;""),VLOOKUP(Inventory!$AA123,$H$4:$I$6,2,FALSE),IF(AND($Z367="c",Inventory!$AA123=""),"a",IF(AND($Z367="c",Inventory!$AA123&lt;&gt;""),VLOOKUP(Inventory!$AA123,$H$4:$I$6,2,FALSE),"a")))))))</f>
        <v>a</v>
      </c>
      <c r="AC367" s="559" t="str">
        <f t="shared" si="260"/>
        <v>a</v>
      </c>
      <c r="AD367" s="473" t="str">
        <f>IF($Z367="","a",IF(AND($Z367="b",Inventory!$L123=""),"a",IF(AND($Z367="b",Inventory!$L123&lt;&gt;""),VLOOKUP(Inventory!$L123,$N$4:$O$5,2,FALSE),IF(AND($Z367="a",Inventory!$AC123=""),"a",IF(AND($Z367="a",Inventory!$AC123&lt;&gt;""),VLOOKUP(Inventory!$AC123,$N$4:$O$5,2,FALSE),IF(AND($Z367="c",Inventory!$AC123=""),"a",IF(AND($Z367="c",Inventory!$AC123&lt;&gt;""),VLOOKUP(Inventory!$AC123,$N$4:$O$5,2,FALSE),"a")))))))</f>
        <v>a</v>
      </c>
      <c r="AE367" s="474">
        <f>IF(OR(Inventory!C123="New Construction",Inventory!C123="Replace-on-Burnout"),Inventory!AF123,IF(Inventory!C123="Early Retirement",MIN(Inventory!AE123,Inventory!AF123),0))</f>
        <v>0</v>
      </c>
      <c r="AF367" s="475" t="str">
        <f t="shared" si="261"/>
        <v/>
      </c>
      <c r="AG367" s="475" t="str">
        <f t="shared" si="262"/>
        <v/>
      </c>
      <c r="AH367" s="475" t="str">
        <f t="shared" si="263"/>
        <v/>
      </c>
      <c r="AI367" s="475" t="str">
        <f t="shared" si="264"/>
        <v/>
      </c>
      <c r="AJ367" s="475" t="str">
        <f t="shared" si="265"/>
        <v/>
      </c>
      <c r="AK367" s="475" t="str">
        <f t="shared" si="266"/>
        <v/>
      </c>
      <c r="AL367" s="475" t="str">
        <f t="shared" si="267"/>
        <v/>
      </c>
      <c r="AM367" s="475" t="str">
        <f t="shared" si="268"/>
        <v/>
      </c>
      <c r="AN367" s="475" t="str">
        <f t="shared" si="269"/>
        <v/>
      </c>
      <c r="AO367" s="475" t="str">
        <f t="shared" si="270"/>
        <v/>
      </c>
      <c r="AP367" s="475" t="str">
        <f t="shared" si="271"/>
        <v/>
      </c>
      <c r="AQ367" s="475" t="str">
        <f t="shared" si="272"/>
        <v/>
      </c>
      <c r="AR367" s="475" t="str">
        <f t="shared" si="273"/>
        <v/>
      </c>
      <c r="AS367" s="475" t="str">
        <f t="shared" si="256"/>
        <v/>
      </c>
      <c r="AT367" s="475" t="str">
        <f t="shared" si="274"/>
        <v/>
      </c>
      <c r="AU367" s="475" t="str">
        <f t="shared" si="275"/>
        <v/>
      </c>
      <c r="AV367" s="475" t="str">
        <f t="shared" si="276"/>
        <v/>
      </c>
      <c r="AW367" s="473">
        <f t="shared" si="277"/>
        <v>0</v>
      </c>
      <c r="AX367" s="473" t="str">
        <f>IF(AND($Z367="b",OR($AA367="a",$AA367="b"),Inventory!$I123="",$AE367&lt;(65000/12000)),"x",IF(AND($Z367="b",OR($AA367="a",$AA367="b"),Inventory!$I123&lt;&gt;"",$AE367&lt;(65000/12000)),VLOOKUP(Inventory!$I374,$V$4:$W$5,2,FALSE),"x"))</f>
        <v>x</v>
      </c>
      <c r="AY367" s="476" t="str">
        <f t="shared" si="278"/>
        <v>aaa0</v>
      </c>
      <c r="AZ367" s="477" t="str">
        <f t="shared" si="247"/>
        <v>No</v>
      </c>
      <c r="BA367" s="759" t="str">
        <f t="shared" si="248"/>
        <v>No</v>
      </c>
      <c r="BB367" s="477">
        <f>IF($Z367="c",Inventory!$AB123,Inventory!$K123)</f>
        <v>0</v>
      </c>
      <c r="BC367" s="478">
        <f>IF(AND($Z367="b",Inventory!$N123="Btu/hr"),Inventory!$M123,IF(AND($Z367="b",Inventory!$N123="Tons"),Inventory!$M123*12000,IF(AND($Z367&lt;&gt;"b",Inventory!$AK123="Btu/hr"),Inventory!$AD123,IF(AND($Z367&lt;&gt;"b",Inventory!$AK123="Tons"),Inventory!$AD123*12000,0))))</f>
        <v>0</v>
      </c>
      <c r="BD367" s="478">
        <f t="shared" ref="BD367:BD430" si="285">IF(BC367=0,0,IF($BC367&lt;7000,7000,IF($BC367&gt;15000,15000,$BC367)))</f>
        <v>0</v>
      </c>
      <c r="BE367" s="479">
        <f t="shared" si="257"/>
        <v>0</v>
      </c>
      <c r="BF367" s="477" t="s">
        <v>50</v>
      </c>
      <c r="BG367" s="479">
        <f t="shared" si="279"/>
        <v>0</v>
      </c>
      <c r="BH367" s="477" t="s">
        <v>46</v>
      </c>
      <c r="BI367" s="760">
        <f>IF(AND($Z367="b",Inventory!$P123="Btu/hr"),Inventory!$O123,IF(AND($Z367="b",Inventory!$P123="Tons"),Inventory!$O123*12000,IF(AND($Z367&lt;&gt;"b",Inventory!$AM123="Btu/hr"),Inventory!$AL123,IF(AND($Z367&lt;&gt;"b",Inventory!$AM123="Tons"),Inventory!$AL123*12000,0))))</f>
        <v>0</v>
      </c>
      <c r="BJ367" s="760">
        <f t="shared" ref="BJ367:BJ430" si="286">IF(BI367=0,0,IF($BI367&lt;7000,7000,IF($BI367&gt;15000,15000,$BI367)))</f>
        <v>0</v>
      </c>
      <c r="BK367" s="598">
        <f t="shared" si="249"/>
        <v>0</v>
      </c>
      <c r="BL367" s="759" t="s">
        <v>567</v>
      </c>
      <c r="BM367" s="477" t="str">
        <f t="shared" si="280"/>
        <v>No</v>
      </c>
      <c r="BN367" s="477" t="str">
        <f>IF(OR(Inventory!$H123="",$BM367="No"),"-",Inventory!$H123)</f>
        <v>-</v>
      </c>
      <c r="BO367" s="477" t="str">
        <f>IFERROR(VLOOKUP(BN367,'Early Retirement'!$B$6:$C$33,2,FALSE),"-")</f>
        <v>-</v>
      </c>
      <c r="BP367" s="477" t="str">
        <f>IF(Inventory!$J123="Centrifugal","Yes","No")</f>
        <v>No</v>
      </c>
      <c r="BQ367" s="477">
        <f t="shared" si="281"/>
        <v>0</v>
      </c>
      <c r="BR367" s="477" t="str">
        <f t="shared" si="259"/>
        <v>-</v>
      </c>
      <c r="BS367" s="479">
        <f>IFERROR(INDEX('Early Retirement'!$C$4:$AC$33,$BO367,$BR367),0)</f>
        <v>0</v>
      </c>
      <c r="BT367" s="477">
        <f>IFERROR(HLOOKUP($BR367,'Early Retirement'!$D$4:$AC$5,2,FALSE),0)</f>
        <v>0</v>
      </c>
      <c r="BU367" s="761">
        <f>IFERROR(INDEX('Early Retirement'!$AE$4:$BE$33,$BO367,$BR367),0)</f>
        <v>0</v>
      </c>
      <c r="BV367" s="759">
        <f>IFERROR(HLOOKUP($BR367,'Early Retirement'!$AF$4:$BE$5,2,FALSE),0)</f>
        <v>0</v>
      </c>
      <c r="BW367" s="479">
        <f t="shared" si="282"/>
        <v>0</v>
      </c>
      <c r="BX367" s="761">
        <f t="shared" si="250"/>
        <v>0</v>
      </c>
      <c r="BY367" s="477" t="s">
        <v>46</v>
      </c>
      <c r="BZ367" s="598">
        <f>IFERROR(INDEX('Early Retirement'!$BG$4:$CG$33,$BO367,$BR367),0)</f>
        <v>0</v>
      </c>
      <c r="CA367" s="759">
        <f>IFERROR(HLOOKUP($BR367,'Early Retirement'!$BH$4:$CH$5,2,FALSE),0)</f>
        <v>0</v>
      </c>
      <c r="CB367" s="598">
        <f t="shared" si="251"/>
        <v>0</v>
      </c>
      <c r="CC367" s="759" t="s">
        <v>567</v>
      </c>
      <c r="CD367" s="477" t="str">
        <f t="shared" si="283"/>
        <v>Yes</v>
      </c>
      <c r="CE367" s="479">
        <f t="shared" si="252"/>
        <v>0</v>
      </c>
      <c r="CF367" s="761">
        <f t="shared" si="253"/>
        <v>0</v>
      </c>
      <c r="CG367" s="759" t="s">
        <v>46</v>
      </c>
      <c r="CH367" s="598">
        <f t="shared" si="258"/>
        <v>0</v>
      </c>
      <c r="CI367" s="759" t="s">
        <v>567</v>
      </c>
      <c r="CJ367" s="480">
        <f t="shared" si="284"/>
        <v>0</v>
      </c>
      <c r="CK367" s="583">
        <f t="shared" si="254"/>
        <v>0</v>
      </c>
      <c r="CL367" s="596" t="s">
        <v>46</v>
      </c>
      <c r="CM367" s="581">
        <f t="shared" si="255"/>
        <v>0</v>
      </c>
      <c r="CN367" s="762" t="s">
        <v>567</v>
      </c>
      <c r="CW367" s="630"/>
      <c r="CX367" s="630"/>
      <c r="CY367" s="630"/>
      <c r="CZ367" s="630"/>
      <c r="DA367" s="630"/>
    </row>
    <row r="368" spans="2:105" s="78" customFormat="1" ht="15" customHeight="1" x14ac:dyDescent="0.25">
      <c r="B368" s="77"/>
      <c r="E368" s="77"/>
      <c r="H368" s="77"/>
      <c r="Y368" s="90">
        <v>115</v>
      </c>
      <c r="Z368" s="559" t="str">
        <f>IF(Inventory!$C124="","",VLOOKUP(Inventory!$C124,$B$7:$C$9,2,FALSE))</f>
        <v/>
      </c>
      <c r="AA368" s="559" t="str">
        <f>IF($Z368="","",IF(AND($Z368="b",Inventory!$G124=""),"",IF(AND($Z368="b",Inventory!$G124&lt;&gt;""),VLOOKUP(Inventory!$G124,$E$3:$F$10,2,FALSE),IF(AND($Z368="a",Inventory!$Z124=""),"",IF(AND($Z368="a",Inventory!$Z124&lt;&gt;""),VLOOKUP(Inventory!$Z124,$E$3:$F$10,2,FALSE),IF(AND($Z368="c",Inventory!$Z124=""),"",IF(AND($Z368="c",Inventory!$Z124&lt;&gt;""),VLOOKUP(Inventory!$Z124,$E$3:$F$10,2,FALSE),"")))))))</f>
        <v/>
      </c>
      <c r="AB368" s="559" t="str">
        <f>IF($Z368="","a",IF(AND($Z368="b",Inventory!$J124=""),"a",IF(AND($Z368="b",Inventory!$J124&lt;&gt;""),VLOOKUP(Inventory!$J124,$H$4:$I$6,2,FALSE),IF(AND($Z368="a",Inventory!$AA124=""),"a",IF(AND($Z368="a",Inventory!$AA124&lt;&gt;""),VLOOKUP(Inventory!$AA124,$H$4:$I$6,2,FALSE),IF(AND($Z368="c",Inventory!$AA124=""),"a",IF(AND($Z368="c",Inventory!$AA124&lt;&gt;""),VLOOKUP(Inventory!$AA124,$H$4:$I$6,2,FALSE),"a")))))))</f>
        <v>a</v>
      </c>
      <c r="AC368" s="559" t="str">
        <f t="shared" si="260"/>
        <v>a</v>
      </c>
      <c r="AD368" s="473" t="str">
        <f>IF($Z368="","a",IF(AND($Z368="b",Inventory!$L124=""),"a",IF(AND($Z368="b",Inventory!$L124&lt;&gt;""),VLOOKUP(Inventory!$L124,$N$4:$O$5,2,FALSE),IF(AND($Z368="a",Inventory!$AC124=""),"a",IF(AND($Z368="a",Inventory!$AC124&lt;&gt;""),VLOOKUP(Inventory!$AC124,$N$4:$O$5,2,FALSE),IF(AND($Z368="c",Inventory!$AC124=""),"a",IF(AND($Z368="c",Inventory!$AC124&lt;&gt;""),VLOOKUP(Inventory!$AC124,$N$4:$O$5,2,FALSE),"a")))))))</f>
        <v>a</v>
      </c>
      <c r="AE368" s="474">
        <f>IF(OR(Inventory!C124="New Construction",Inventory!C124="Replace-on-Burnout"),Inventory!AF124,IF(Inventory!C124="Early Retirement",MIN(Inventory!AE124,Inventory!AF124),0))</f>
        <v>0</v>
      </c>
      <c r="AF368" s="475" t="str">
        <f t="shared" si="261"/>
        <v/>
      </c>
      <c r="AG368" s="475" t="str">
        <f t="shared" si="262"/>
        <v/>
      </c>
      <c r="AH368" s="475" t="str">
        <f t="shared" si="263"/>
        <v/>
      </c>
      <c r="AI368" s="475" t="str">
        <f t="shared" si="264"/>
        <v/>
      </c>
      <c r="AJ368" s="475" t="str">
        <f t="shared" si="265"/>
        <v/>
      </c>
      <c r="AK368" s="475" t="str">
        <f t="shared" si="266"/>
        <v/>
      </c>
      <c r="AL368" s="475" t="str">
        <f t="shared" si="267"/>
        <v/>
      </c>
      <c r="AM368" s="475" t="str">
        <f t="shared" si="268"/>
        <v/>
      </c>
      <c r="AN368" s="475" t="str">
        <f t="shared" si="269"/>
        <v/>
      </c>
      <c r="AO368" s="475" t="str">
        <f t="shared" si="270"/>
        <v/>
      </c>
      <c r="AP368" s="475" t="str">
        <f t="shared" si="271"/>
        <v/>
      </c>
      <c r="AQ368" s="475" t="str">
        <f t="shared" si="272"/>
        <v/>
      </c>
      <c r="AR368" s="475" t="str">
        <f t="shared" si="273"/>
        <v/>
      </c>
      <c r="AS368" s="475" t="str">
        <f t="shared" si="256"/>
        <v/>
      </c>
      <c r="AT368" s="475" t="str">
        <f t="shared" si="274"/>
        <v/>
      </c>
      <c r="AU368" s="475" t="str">
        <f t="shared" si="275"/>
        <v/>
      </c>
      <c r="AV368" s="475" t="str">
        <f t="shared" si="276"/>
        <v/>
      </c>
      <c r="AW368" s="473">
        <f t="shared" si="277"/>
        <v>0</v>
      </c>
      <c r="AX368" s="473" t="str">
        <f>IF(AND($Z368="b",OR($AA368="a",$AA368="b"),Inventory!$I124="",$AE368&lt;(65000/12000)),"x",IF(AND($Z368="b",OR($AA368="a",$AA368="b"),Inventory!$I124&lt;&gt;"",$AE368&lt;(65000/12000)),VLOOKUP(Inventory!$I375,$V$4:$W$5,2,FALSE),"x"))</f>
        <v>x</v>
      </c>
      <c r="AY368" s="476" t="str">
        <f t="shared" si="278"/>
        <v>aaa0</v>
      </c>
      <c r="AZ368" s="477" t="str">
        <f t="shared" si="247"/>
        <v>No</v>
      </c>
      <c r="BA368" s="759" t="str">
        <f t="shared" si="248"/>
        <v>No</v>
      </c>
      <c r="BB368" s="477">
        <f>IF($Z368="c",Inventory!$AB124,Inventory!$K124)</f>
        <v>0</v>
      </c>
      <c r="BC368" s="478">
        <f>IF(AND($Z368="b",Inventory!$N124="Btu/hr"),Inventory!$M124,IF(AND($Z368="b",Inventory!$N124="Tons"),Inventory!$M124*12000,IF(AND($Z368&lt;&gt;"b",Inventory!$AK124="Btu/hr"),Inventory!$AD124,IF(AND($Z368&lt;&gt;"b",Inventory!$AK124="Tons"),Inventory!$AD124*12000,0))))</f>
        <v>0</v>
      </c>
      <c r="BD368" s="478">
        <f t="shared" si="285"/>
        <v>0</v>
      </c>
      <c r="BE368" s="479">
        <f t="shared" si="257"/>
        <v>0</v>
      </c>
      <c r="BF368" s="477" t="s">
        <v>50</v>
      </c>
      <c r="BG368" s="479">
        <f t="shared" si="279"/>
        <v>0</v>
      </c>
      <c r="BH368" s="477" t="s">
        <v>46</v>
      </c>
      <c r="BI368" s="760">
        <f>IF(AND($Z368="b",Inventory!$P124="Btu/hr"),Inventory!$O124,IF(AND($Z368="b",Inventory!$P124="Tons"),Inventory!$O124*12000,IF(AND($Z368&lt;&gt;"b",Inventory!$AM124="Btu/hr"),Inventory!$AL124,IF(AND($Z368&lt;&gt;"b",Inventory!$AM124="Tons"),Inventory!$AL124*12000,0))))</f>
        <v>0</v>
      </c>
      <c r="BJ368" s="760">
        <f t="shared" si="286"/>
        <v>0</v>
      </c>
      <c r="BK368" s="598">
        <f t="shared" si="249"/>
        <v>0</v>
      </c>
      <c r="BL368" s="759" t="s">
        <v>567</v>
      </c>
      <c r="BM368" s="477" t="str">
        <f t="shared" si="280"/>
        <v>No</v>
      </c>
      <c r="BN368" s="477" t="str">
        <f>IF(OR(Inventory!$H124="",$BM368="No"),"-",Inventory!$H124)</f>
        <v>-</v>
      </c>
      <c r="BO368" s="477" t="str">
        <f>IFERROR(VLOOKUP(BN368,'Early Retirement'!$B$6:$C$33,2,FALSE),"-")</f>
        <v>-</v>
      </c>
      <c r="BP368" s="477" t="str">
        <f>IF(Inventory!$J124="Centrifugal","Yes","No")</f>
        <v>No</v>
      </c>
      <c r="BQ368" s="477">
        <f t="shared" si="281"/>
        <v>0</v>
      </c>
      <c r="BR368" s="477" t="str">
        <f t="shared" si="259"/>
        <v>-</v>
      </c>
      <c r="BS368" s="479">
        <f>IFERROR(INDEX('Early Retirement'!$C$4:$AC$33,$BO368,$BR368),0)</f>
        <v>0</v>
      </c>
      <c r="BT368" s="477">
        <f>IFERROR(HLOOKUP($BR368,'Early Retirement'!$D$4:$AC$5,2,FALSE),0)</f>
        <v>0</v>
      </c>
      <c r="BU368" s="761">
        <f>IFERROR(INDEX('Early Retirement'!$AE$4:$BE$33,$BO368,$BR368),0)</f>
        <v>0</v>
      </c>
      <c r="BV368" s="759">
        <f>IFERROR(HLOOKUP($BR368,'Early Retirement'!$AF$4:$BE$5,2,FALSE),0)</f>
        <v>0</v>
      </c>
      <c r="BW368" s="479">
        <f t="shared" si="282"/>
        <v>0</v>
      </c>
      <c r="BX368" s="761">
        <f t="shared" si="250"/>
        <v>0</v>
      </c>
      <c r="BY368" s="477" t="s">
        <v>46</v>
      </c>
      <c r="BZ368" s="598">
        <f>IFERROR(INDEX('Early Retirement'!$BG$4:$CG$33,$BO368,$BR368),0)</f>
        <v>0</v>
      </c>
      <c r="CA368" s="759">
        <f>IFERROR(HLOOKUP($BR368,'Early Retirement'!$BH$4:$CH$5,2,FALSE),0)</f>
        <v>0</v>
      </c>
      <c r="CB368" s="598">
        <f t="shared" si="251"/>
        <v>0</v>
      </c>
      <c r="CC368" s="759" t="s">
        <v>567</v>
      </c>
      <c r="CD368" s="477" t="str">
        <f t="shared" si="283"/>
        <v>Yes</v>
      </c>
      <c r="CE368" s="479">
        <f t="shared" si="252"/>
        <v>0</v>
      </c>
      <c r="CF368" s="761">
        <f t="shared" si="253"/>
        <v>0</v>
      </c>
      <c r="CG368" s="759" t="s">
        <v>46</v>
      </c>
      <c r="CH368" s="598">
        <f t="shared" si="258"/>
        <v>0</v>
      </c>
      <c r="CI368" s="759" t="s">
        <v>567</v>
      </c>
      <c r="CJ368" s="480">
        <f t="shared" si="284"/>
        <v>0</v>
      </c>
      <c r="CK368" s="583">
        <f t="shared" si="254"/>
        <v>0</v>
      </c>
      <c r="CL368" s="596" t="s">
        <v>46</v>
      </c>
      <c r="CM368" s="581">
        <f t="shared" si="255"/>
        <v>0</v>
      </c>
      <c r="CN368" s="762" t="s">
        <v>567</v>
      </c>
      <c r="CW368" s="630"/>
      <c r="CX368" s="630"/>
      <c r="CY368" s="630"/>
      <c r="CZ368" s="630"/>
      <c r="DA368" s="630"/>
    </row>
    <row r="369" spans="2:105" s="78" customFormat="1" ht="15" customHeight="1" x14ac:dyDescent="0.25">
      <c r="B369" s="77"/>
      <c r="E369" s="77"/>
      <c r="H369" s="77"/>
      <c r="Y369" s="90">
        <v>116</v>
      </c>
      <c r="Z369" s="559" t="str">
        <f>IF(Inventory!$C125="","",VLOOKUP(Inventory!$C125,$B$7:$C$9,2,FALSE))</f>
        <v/>
      </c>
      <c r="AA369" s="559" t="str">
        <f>IF($Z369="","",IF(AND($Z369="b",Inventory!$G125=""),"",IF(AND($Z369="b",Inventory!$G125&lt;&gt;""),VLOOKUP(Inventory!$G125,$E$3:$F$10,2,FALSE),IF(AND($Z369="a",Inventory!$Z125=""),"",IF(AND($Z369="a",Inventory!$Z125&lt;&gt;""),VLOOKUP(Inventory!$Z125,$E$3:$F$10,2,FALSE),IF(AND($Z369="c",Inventory!$Z125=""),"",IF(AND($Z369="c",Inventory!$Z125&lt;&gt;""),VLOOKUP(Inventory!$Z125,$E$3:$F$10,2,FALSE),"")))))))</f>
        <v/>
      </c>
      <c r="AB369" s="559" t="str">
        <f>IF($Z369="","a",IF(AND($Z369="b",Inventory!$J125=""),"a",IF(AND($Z369="b",Inventory!$J125&lt;&gt;""),VLOOKUP(Inventory!$J125,$H$4:$I$6,2,FALSE),IF(AND($Z369="a",Inventory!$AA125=""),"a",IF(AND($Z369="a",Inventory!$AA125&lt;&gt;""),VLOOKUP(Inventory!$AA125,$H$4:$I$6,2,FALSE),IF(AND($Z369="c",Inventory!$AA125=""),"a",IF(AND($Z369="c",Inventory!$AA125&lt;&gt;""),VLOOKUP(Inventory!$AA125,$H$4:$I$6,2,FALSE),"a")))))))</f>
        <v>a</v>
      </c>
      <c r="AC369" s="559" t="str">
        <f t="shared" si="260"/>
        <v>a</v>
      </c>
      <c r="AD369" s="473" t="str">
        <f>IF($Z369="","a",IF(AND($Z369="b",Inventory!$L125=""),"a",IF(AND($Z369="b",Inventory!$L125&lt;&gt;""),VLOOKUP(Inventory!$L125,$N$4:$O$5,2,FALSE),IF(AND($Z369="a",Inventory!$AC125=""),"a",IF(AND($Z369="a",Inventory!$AC125&lt;&gt;""),VLOOKUP(Inventory!$AC125,$N$4:$O$5,2,FALSE),IF(AND($Z369="c",Inventory!$AC125=""),"a",IF(AND($Z369="c",Inventory!$AC125&lt;&gt;""),VLOOKUP(Inventory!$AC125,$N$4:$O$5,2,FALSE),"a")))))))</f>
        <v>a</v>
      </c>
      <c r="AE369" s="474">
        <f>IF(OR(Inventory!C125="New Construction",Inventory!C125="Replace-on-Burnout"),Inventory!AF125,IF(Inventory!C125="Early Retirement",MIN(Inventory!AE125,Inventory!AF125),0))</f>
        <v>0</v>
      </c>
      <c r="AF369" s="475" t="str">
        <f t="shared" si="261"/>
        <v/>
      </c>
      <c r="AG369" s="475" t="str">
        <f t="shared" si="262"/>
        <v/>
      </c>
      <c r="AH369" s="475" t="str">
        <f t="shared" si="263"/>
        <v/>
      </c>
      <c r="AI369" s="475" t="str">
        <f t="shared" si="264"/>
        <v/>
      </c>
      <c r="AJ369" s="475" t="str">
        <f t="shared" si="265"/>
        <v/>
      </c>
      <c r="AK369" s="475" t="str">
        <f t="shared" si="266"/>
        <v/>
      </c>
      <c r="AL369" s="475" t="str">
        <f t="shared" si="267"/>
        <v/>
      </c>
      <c r="AM369" s="475" t="str">
        <f t="shared" si="268"/>
        <v/>
      </c>
      <c r="AN369" s="475" t="str">
        <f t="shared" si="269"/>
        <v/>
      </c>
      <c r="AO369" s="475" t="str">
        <f t="shared" si="270"/>
        <v/>
      </c>
      <c r="AP369" s="475" t="str">
        <f t="shared" si="271"/>
        <v/>
      </c>
      <c r="AQ369" s="475" t="str">
        <f t="shared" si="272"/>
        <v/>
      </c>
      <c r="AR369" s="475" t="str">
        <f t="shared" si="273"/>
        <v/>
      </c>
      <c r="AS369" s="475" t="str">
        <f t="shared" si="256"/>
        <v/>
      </c>
      <c r="AT369" s="475" t="str">
        <f t="shared" si="274"/>
        <v/>
      </c>
      <c r="AU369" s="475" t="str">
        <f t="shared" si="275"/>
        <v/>
      </c>
      <c r="AV369" s="475" t="str">
        <f t="shared" si="276"/>
        <v/>
      </c>
      <c r="AW369" s="473">
        <f t="shared" si="277"/>
        <v>0</v>
      </c>
      <c r="AX369" s="473" t="str">
        <f>IF(AND($Z369="b",OR($AA369="a",$AA369="b"),Inventory!$I125="",$AE369&lt;(65000/12000)),"x",IF(AND($Z369="b",OR($AA369="a",$AA369="b"),Inventory!$I125&lt;&gt;"",$AE369&lt;(65000/12000)),VLOOKUP(Inventory!$I376,$V$4:$W$5,2,FALSE),"x"))</f>
        <v>x</v>
      </c>
      <c r="AY369" s="476" t="str">
        <f t="shared" si="278"/>
        <v>aaa0</v>
      </c>
      <c r="AZ369" s="477" t="str">
        <f t="shared" si="247"/>
        <v>No</v>
      </c>
      <c r="BA369" s="759" t="str">
        <f t="shared" si="248"/>
        <v>No</v>
      </c>
      <c r="BB369" s="477">
        <f>IF($Z369="c",Inventory!$AB125,Inventory!$K125)</f>
        <v>0</v>
      </c>
      <c r="BC369" s="478">
        <f>IF(AND($Z369="b",Inventory!$N125="Btu/hr"),Inventory!$M125,IF(AND($Z369="b",Inventory!$N125="Tons"),Inventory!$M125*12000,IF(AND($Z369&lt;&gt;"b",Inventory!$AK125="Btu/hr"),Inventory!$AD125,IF(AND($Z369&lt;&gt;"b",Inventory!$AK125="Tons"),Inventory!$AD125*12000,0))))</f>
        <v>0</v>
      </c>
      <c r="BD369" s="478">
        <f t="shared" si="285"/>
        <v>0</v>
      </c>
      <c r="BE369" s="479">
        <f t="shared" si="257"/>
        <v>0</v>
      </c>
      <c r="BF369" s="477" t="s">
        <v>50</v>
      </c>
      <c r="BG369" s="479">
        <f t="shared" si="279"/>
        <v>0</v>
      </c>
      <c r="BH369" s="477" t="s">
        <v>46</v>
      </c>
      <c r="BI369" s="760">
        <f>IF(AND($Z369="b",Inventory!$P125="Btu/hr"),Inventory!$O125,IF(AND($Z369="b",Inventory!$P125="Tons"),Inventory!$O125*12000,IF(AND($Z369&lt;&gt;"b",Inventory!$AM125="Btu/hr"),Inventory!$AL125,IF(AND($Z369&lt;&gt;"b",Inventory!$AM125="Tons"),Inventory!$AL125*12000,0))))</f>
        <v>0</v>
      </c>
      <c r="BJ369" s="760">
        <f t="shared" si="286"/>
        <v>0</v>
      </c>
      <c r="BK369" s="598">
        <f t="shared" si="249"/>
        <v>0</v>
      </c>
      <c r="BL369" s="759" t="s">
        <v>567</v>
      </c>
      <c r="BM369" s="477" t="str">
        <f t="shared" si="280"/>
        <v>No</v>
      </c>
      <c r="BN369" s="477" t="str">
        <f>IF(OR(Inventory!$H125="",$BM369="No"),"-",Inventory!$H125)</f>
        <v>-</v>
      </c>
      <c r="BO369" s="477" t="str">
        <f>IFERROR(VLOOKUP(BN369,'Early Retirement'!$B$6:$C$33,2,FALSE),"-")</f>
        <v>-</v>
      </c>
      <c r="BP369" s="477" t="str">
        <f>IF(Inventory!$J125="Centrifugal","Yes","No")</f>
        <v>No</v>
      </c>
      <c r="BQ369" s="477">
        <f t="shared" si="281"/>
        <v>0</v>
      </c>
      <c r="BR369" s="477" t="str">
        <f t="shared" si="259"/>
        <v>-</v>
      </c>
      <c r="BS369" s="479">
        <f>IFERROR(INDEX('Early Retirement'!$C$4:$AC$33,$BO369,$BR369),0)</f>
        <v>0</v>
      </c>
      <c r="BT369" s="477">
        <f>IFERROR(HLOOKUP($BR369,'Early Retirement'!$D$4:$AC$5,2,FALSE),0)</f>
        <v>0</v>
      </c>
      <c r="BU369" s="761">
        <f>IFERROR(INDEX('Early Retirement'!$AE$4:$BE$33,$BO369,$BR369),0)</f>
        <v>0</v>
      </c>
      <c r="BV369" s="759">
        <f>IFERROR(HLOOKUP($BR369,'Early Retirement'!$AF$4:$BE$5,2,FALSE),0)</f>
        <v>0</v>
      </c>
      <c r="BW369" s="479">
        <f t="shared" si="282"/>
        <v>0</v>
      </c>
      <c r="BX369" s="761">
        <f t="shared" si="250"/>
        <v>0</v>
      </c>
      <c r="BY369" s="477" t="s">
        <v>46</v>
      </c>
      <c r="BZ369" s="598">
        <f>IFERROR(INDEX('Early Retirement'!$BG$4:$CG$33,$BO369,$BR369),0)</f>
        <v>0</v>
      </c>
      <c r="CA369" s="759">
        <f>IFERROR(HLOOKUP($BR369,'Early Retirement'!$BH$4:$CH$5,2,FALSE),0)</f>
        <v>0</v>
      </c>
      <c r="CB369" s="598">
        <f t="shared" si="251"/>
        <v>0</v>
      </c>
      <c r="CC369" s="759" t="s">
        <v>567</v>
      </c>
      <c r="CD369" s="477" t="str">
        <f t="shared" si="283"/>
        <v>Yes</v>
      </c>
      <c r="CE369" s="479">
        <f t="shared" si="252"/>
        <v>0</v>
      </c>
      <c r="CF369" s="761">
        <f t="shared" si="253"/>
        <v>0</v>
      </c>
      <c r="CG369" s="759" t="s">
        <v>46</v>
      </c>
      <c r="CH369" s="598">
        <f t="shared" si="258"/>
        <v>0</v>
      </c>
      <c r="CI369" s="759" t="s">
        <v>567</v>
      </c>
      <c r="CJ369" s="480">
        <f t="shared" si="284"/>
        <v>0</v>
      </c>
      <c r="CK369" s="583">
        <f t="shared" si="254"/>
        <v>0</v>
      </c>
      <c r="CL369" s="596" t="s">
        <v>46</v>
      </c>
      <c r="CM369" s="581">
        <f t="shared" si="255"/>
        <v>0</v>
      </c>
      <c r="CN369" s="762" t="s">
        <v>567</v>
      </c>
      <c r="CW369" s="630"/>
      <c r="CX369" s="630"/>
      <c r="CY369" s="630"/>
      <c r="CZ369" s="630"/>
      <c r="DA369" s="630"/>
    </row>
    <row r="370" spans="2:105" s="78" customFormat="1" ht="15" customHeight="1" x14ac:dyDescent="0.25">
      <c r="B370" s="77"/>
      <c r="E370" s="77"/>
      <c r="H370" s="77"/>
      <c r="Y370" s="90">
        <v>117</v>
      </c>
      <c r="Z370" s="559" t="str">
        <f>IF(Inventory!$C126="","",VLOOKUP(Inventory!$C126,$B$7:$C$9,2,FALSE))</f>
        <v/>
      </c>
      <c r="AA370" s="559" t="str">
        <f>IF($Z370="","",IF(AND($Z370="b",Inventory!$G126=""),"",IF(AND($Z370="b",Inventory!$G126&lt;&gt;""),VLOOKUP(Inventory!$G126,$E$3:$F$10,2,FALSE),IF(AND($Z370="a",Inventory!$Z126=""),"",IF(AND($Z370="a",Inventory!$Z126&lt;&gt;""),VLOOKUP(Inventory!$Z126,$E$3:$F$10,2,FALSE),IF(AND($Z370="c",Inventory!$Z126=""),"",IF(AND($Z370="c",Inventory!$Z126&lt;&gt;""),VLOOKUP(Inventory!$Z126,$E$3:$F$10,2,FALSE),"")))))))</f>
        <v/>
      </c>
      <c r="AB370" s="559" t="str">
        <f>IF($Z370="","a",IF(AND($Z370="b",Inventory!$J126=""),"a",IF(AND($Z370="b",Inventory!$J126&lt;&gt;""),VLOOKUP(Inventory!$J126,$H$4:$I$6,2,FALSE),IF(AND($Z370="a",Inventory!$AA126=""),"a",IF(AND($Z370="a",Inventory!$AA126&lt;&gt;""),VLOOKUP(Inventory!$AA126,$H$4:$I$6,2,FALSE),IF(AND($Z370="c",Inventory!$AA126=""),"a",IF(AND($Z370="c",Inventory!$AA126&lt;&gt;""),VLOOKUP(Inventory!$AA126,$H$4:$I$6,2,FALSE),"a")))))))</f>
        <v>a</v>
      </c>
      <c r="AC370" s="559" t="str">
        <f t="shared" si="260"/>
        <v>a</v>
      </c>
      <c r="AD370" s="473" t="str">
        <f>IF($Z370="","a",IF(AND($Z370="b",Inventory!$L126=""),"a",IF(AND($Z370="b",Inventory!$L126&lt;&gt;""),VLOOKUP(Inventory!$L126,$N$4:$O$5,2,FALSE),IF(AND($Z370="a",Inventory!$AC126=""),"a",IF(AND($Z370="a",Inventory!$AC126&lt;&gt;""),VLOOKUP(Inventory!$AC126,$N$4:$O$5,2,FALSE),IF(AND($Z370="c",Inventory!$AC126=""),"a",IF(AND($Z370="c",Inventory!$AC126&lt;&gt;""),VLOOKUP(Inventory!$AC126,$N$4:$O$5,2,FALSE),"a")))))))</f>
        <v>a</v>
      </c>
      <c r="AE370" s="474">
        <f>IF(OR(Inventory!C126="New Construction",Inventory!C126="Replace-on-Burnout"),Inventory!AF126,IF(Inventory!C126="Early Retirement",MIN(Inventory!AE126,Inventory!AF126),0))</f>
        <v>0</v>
      </c>
      <c r="AF370" s="475" t="str">
        <f t="shared" si="261"/>
        <v/>
      </c>
      <c r="AG370" s="475" t="str">
        <f t="shared" si="262"/>
        <v/>
      </c>
      <c r="AH370" s="475" t="str">
        <f t="shared" si="263"/>
        <v/>
      </c>
      <c r="AI370" s="475" t="str">
        <f t="shared" si="264"/>
        <v/>
      </c>
      <c r="AJ370" s="475" t="str">
        <f t="shared" si="265"/>
        <v/>
      </c>
      <c r="AK370" s="475" t="str">
        <f t="shared" si="266"/>
        <v/>
      </c>
      <c r="AL370" s="475" t="str">
        <f t="shared" si="267"/>
        <v/>
      </c>
      <c r="AM370" s="475" t="str">
        <f t="shared" si="268"/>
        <v/>
      </c>
      <c r="AN370" s="475" t="str">
        <f t="shared" si="269"/>
        <v/>
      </c>
      <c r="AO370" s="475" t="str">
        <f t="shared" si="270"/>
        <v/>
      </c>
      <c r="AP370" s="475" t="str">
        <f t="shared" si="271"/>
        <v/>
      </c>
      <c r="AQ370" s="475" t="str">
        <f t="shared" si="272"/>
        <v/>
      </c>
      <c r="AR370" s="475" t="str">
        <f t="shared" si="273"/>
        <v/>
      </c>
      <c r="AS370" s="475" t="str">
        <f t="shared" si="256"/>
        <v/>
      </c>
      <c r="AT370" s="475" t="str">
        <f t="shared" si="274"/>
        <v/>
      </c>
      <c r="AU370" s="475" t="str">
        <f t="shared" si="275"/>
        <v/>
      </c>
      <c r="AV370" s="475" t="str">
        <f t="shared" si="276"/>
        <v/>
      </c>
      <c r="AW370" s="473">
        <f t="shared" si="277"/>
        <v>0</v>
      </c>
      <c r="AX370" s="473" t="str">
        <f>IF(AND($Z370="b",OR($AA370="a",$AA370="b"),Inventory!$I126="",$AE370&lt;(65000/12000)),"x",IF(AND($Z370="b",OR($AA370="a",$AA370="b"),Inventory!$I126&lt;&gt;"",$AE370&lt;(65000/12000)),VLOOKUP(Inventory!$I377,$V$4:$W$5,2,FALSE),"x"))</f>
        <v>x</v>
      </c>
      <c r="AY370" s="476" t="str">
        <f t="shared" si="278"/>
        <v>aaa0</v>
      </c>
      <c r="AZ370" s="477" t="str">
        <f t="shared" si="247"/>
        <v>No</v>
      </c>
      <c r="BA370" s="759" t="str">
        <f t="shared" si="248"/>
        <v>No</v>
      </c>
      <c r="BB370" s="477">
        <f>IF($Z370="c",Inventory!$AB126,Inventory!$K126)</f>
        <v>0</v>
      </c>
      <c r="BC370" s="478">
        <f>IF(AND($Z370="b",Inventory!$N126="Btu/hr"),Inventory!$M126,IF(AND($Z370="b",Inventory!$N126="Tons"),Inventory!$M126*12000,IF(AND($Z370&lt;&gt;"b",Inventory!$AK126="Btu/hr"),Inventory!$AD126,IF(AND($Z370&lt;&gt;"b",Inventory!$AK126="Tons"),Inventory!$AD126*12000,0))))</f>
        <v>0</v>
      </c>
      <c r="BD370" s="478">
        <f t="shared" si="285"/>
        <v>0</v>
      </c>
      <c r="BE370" s="479">
        <f t="shared" si="257"/>
        <v>0</v>
      </c>
      <c r="BF370" s="477" t="s">
        <v>50</v>
      </c>
      <c r="BG370" s="479">
        <f t="shared" si="279"/>
        <v>0</v>
      </c>
      <c r="BH370" s="477" t="s">
        <v>46</v>
      </c>
      <c r="BI370" s="760">
        <f>IF(AND($Z370="b",Inventory!$P126="Btu/hr"),Inventory!$O126,IF(AND($Z370="b",Inventory!$P126="Tons"),Inventory!$O126*12000,IF(AND($Z370&lt;&gt;"b",Inventory!$AM126="Btu/hr"),Inventory!$AL126,IF(AND($Z370&lt;&gt;"b",Inventory!$AM126="Tons"),Inventory!$AL126*12000,0))))</f>
        <v>0</v>
      </c>
      <c r="BJ370" s="760">
        <f t="shared" si="286"/>
        <v>0</v>
      </c>
      <c r="BK370" s="598">
        <f t="shared" si="249"/>
        <v>0</v>
      </c>
      <c r="BL370" s="759" t="s">
        <v>567</v>
      </c>
      <c r="BM370" s="477" t="str">
        <f t="shared" si="280"/>
        <v>No</v>
      </c>
      <c r="BN370" s="477" t="str">
        <f>IF(OR(Inventory!$H126="",$BM370="No"),"-",Inventory!$H126)</f>
        <v>-</v>
      </c>
      <c r="BO370" s="477" t="str">
        <f>IFERROR(VLOOKUP(BN370,'Early Retirement'!$B$6:$C$33,2,FALSE),"-")</f>
        <v>-</v>
      </c>
      <c r="BP370" s="477" t="str">
        <f>IF(Inventory!$J126="Centrifugal","Yes","No")</f>
        <v>No</v>
      </c>
      <c r="BQ370" s="477">
        <f t="shared" si="281"/>
        <v>0</v>
      </c>
      <c r="BR370" s="477" t="str">
        <f t="shared" si="259"/>
        <v>-</v>
      </c>
      <c r="BS370" s="479">
        <f>IFERROR(INDEX('Early Retirement'!$C$4:$AC$33,$BO370,$BR370),0)</f>
        <v>0</v>
      </c>
      <c r="BT370" s="477">
        <f>IFERROR(HLOOKUP($BR370,'Early Retirement'!$D$4:$AC$5,2,FALSE),0)</f>
        <v>0</v>
      </c>
      <c r="BU370" s="761">
        <f>IFERROR(INDEX('Early Retirement'!$AE$4:$BE$33,$BO370,$BR370),0)</f>
        <v>0</v>
      </c>
      <c r="BV370" s="759">
        <f>IFERROR(HLOOKUP($BR370,'Early Retirement'!$AF$4:$BE$5,2,FALSE),0)</f>
        <v>0</v>
      </c>
      <c r="BW370" s="479">
        <f t="shared" si="282"/>
        <v>0</v>
      </c>
      <c r="BX370" s="761">
        <f t="shared" si="250"/>
        <v>0</v>
      </c>
      <c r="BY370" s="477" t="s">
        <v>46</v>
      </c>
      <c r="BZ370" s="598">
        <f>IFERROR(INDEX('Early Retirement'!$BG$4:$CG$33,$BO370,$BR370),0)</f>
        <v>0</v>
      </c>
      <c r="CA370" s="759">
        <f>IFERROR(HLOOKUP($BR370,'Early Retirement'!$BH$4:$CH$5,2,FALSE),0)</f>
        <v>0</v>
      </c>
      <c r="CB370" s="598">
        <f t="shared" si="251"/>
        <v>0</v>
      </c>
      <c r="CC370" s="759" t="s">
        <v>567</v>
      </c>
      <c r="CD370" s="477" t="str">
        <f t="shared" si="283"/>
        <v>Yes</v>
      </c>
      <c r="CE370" s="479">
        <f t="shared" si="252"/>
        <v>0</v>
      </c>
      <c r="CF370" s="761">
        <f t="shared" si="253"/>
        <v>0</v>
      </c>
      <c r="CG370" s="759" t="s">
        <v>46</v>
      </c>
      <c r="CH370" s="598">
        <f t="shared" si="258"/>
        <v>0</v>
      </c>
      <c r="CI370" s="759" t="s">
        <v>567</v>
      </c>
      <c r="CJ370" s="480">
        <f t="shared" si="284"/>
        <v>0</v>
      </c>
      <c r="CK370" s="583">
        <f t="shared" si="254"/>
        <v>0</v>
      </c>
      <c r="CL370" s="596" t="s">
        <v>46</v>
      </c>
      <c r="CM370" s="581">
        <f t="shared" si="255"/>
        <v>0</v>
      </c>
      <c r="CN370" s="762" t="s">
        <v>567</v>
      </c>
      <c r="CW370" s="630"/>
      <c r="CX370" s="630"/>
      <c r="CY370" s="630"/>
      <c r="CZ370" s="630"/>
      <c r="DA370" s="630"/>
    </row>
    <row r="371" spans="2:105" s="78" customFormat="1" ht="15" customHeight="1" x14ac:dyDescent="0.25">
      <c r="B371" s="77"/>
      <c r="E371" s="77"/>
      <c r="H371" s="77"/>
      <c r="Y371" s="90">
        <v>118</v>
      </c>
      <c r="Z371" s="559" t="str">
        <f>IF(Inventory!$C127="","",VLOOKUP(Inventory!$C127,$B$7:$C$9,2,FALSE))</f>
        <v/>
      </c>
      <c r="AA371" s="559" t="str">
        <f>IF($Z371="","",IF(AND($Z371="b",Inventory!$G127=""),"",IF(AND($Z371="b",Inventory!$G127&lt;&gt;""),VLOOKUP(Inventory!$G127,$E$3:$F$10,2,FALSE),IF(AND($Z371="a",Inventory!$Z127=""),"",IF(AND($Z371="a",Inventory!$Z127&lt;&gt;""),VLOOKUP(Inventory!$Z127,$E$3:$F$10,2,FALSE),IF(AND($Z371="c",Inventory!$Z127=""),"",IF(AND($Z371="c",Inventory!$Z127&lt;&gt;""),VLOOKUP(Inventory!$Z127,$E$3:$F$10,2,FALSE),"")))))))</f>
        <v/>
      </c>
      <c r="AB371" s="559" t="str">
        <f>IF($Z371="","a",IF(AND($Z371="b",Inventory!$J127=""),"a",IF(AND($Z371="b",Inventory!$J127&lt;&gt;""),VLOOKUP(Inventory!$J127,$H$4:$I$6,2,FALSE),IF(AND($Z371="a",Inventory!$AA127=""),"a",IF(AND($Z371="a",Inventory!$AA127&lt;&gt;""),VLOOKUP(Inventory!$AA127,$H$4:$I$6,2,FALSE),IF(AND($Z371="c",Inventory!$AA127=""),"a",IF(AND($Z371="c",Inventory!$AA127&lt;&gt;""),VLOOKUP(Inventory!$AA127,$H$4:$I$6,2,FALSE),"a")))))))</f>
        <v>a</v>
      </c>
      <c r="AC371" s="559" t="str">
        <f t="shared" si="260"/>
        <v>a</v>
      </c>
      <c r="AD371" s="473" t="str">
        <f>IF($Z371="","a",IF(AND($Z371="b",Inventory!$L127=""),"a",IF(AND($Z371="b",Inventory!$L127&lt;&gt;""),VLOOKUP(Inventory!$L127,$N$4:$O$5,2,FALSE),IF(AND($Z371="a",Inventory!$AC127=""),"a",IF(AND($Z371="a",Inventory!$AC127&lt;&gt;""),VLOOKUP(Inventory!$AC127,$N$4:$O$5,2,FALSE),IF(AND($Z371="c",Inventory!$AC127=""),"a",IF(AND($Z371="c",Inventory!$AC127&lt;&gt;""),VLOOKUP(Inventory!$AC127,$N$4:$O$5,2,FALSE),"a")))))))</f>
        <v>a</v>
      </c>
      <c r="AE371" s="474">
        <f>IF(OR(Inventory!C127="New Construction",Inventory!C127="Replace-on-Burnout"),Inventory!AF127,IF(Inventory!C127="Early Retirement",MIN(Inventory!AE127,Inventory!AF127),0))</f>
        <v>0</v>
      </c>
      <c r="AF371" s="475" t="str">
        <f t="shared" si="261"/>
        <v/>
      </c>
      <c r="AG371" s="475" t="str">
        <f t="shared" si="262"/>
        <v/>
      </c>
      <c r="AH371" s="475" t="str">
        <f t="shared" si="263"/>
        <v/>
      </c>
      <c r="AI371" s="475" t="str">
        <f t="shared" si="264"/>
        <v/>
      </c>
      <c r="AJ371" s="475" t="str">
        <f t="shared" si="265"/>
        <v/>
      </c>
      <c r="AK371" s="475" t="str">
        <f t="shared" si="266"/>
        <v/>
      </c>
      <c r="AL371" s="475" t="str">
        <f t="shared" si="267"/>
        <v/>
      </c>
      <c r="AM371" s="475" t="str">
        <f t="shared" si="268"/>
        <v/>
      </c>
      <c r="AN371" s="475" t="str">
        <f t="shared" si="269"/>
        <v/>
      </c>
      <c r="AO371" s="475" t="str">
        <f t="shared" si="270"/>
        <v/>
      </c>
      <c r="AP371" s="475" t="str">
        <f t="shared" si="271"/>
        <v/>
      </c>
      <c r="AQ371" s="475" t="str">
        <f t="shared" si="272"/>
        <v/>
      </c>
      <c r="AR371" s="475" t="str">
        <f t="shared" si="273"/>
        <v/>
      </c>
      <c r="AS371" s="475" t="str">
        <f t="shared" si="256"/>
        <v/>
      </c>
      <c r="AT371" s="475" t="str">
        <f t="shared" si="274"/>
        <v/>
      </c>
      <c r="AU371" s="475" t="str">
        <f t="shared" si="275"/>
        <v/>
      </c>
      <c r="AV371" s="475" t="str">
        <f t="shared" si="276"/>
        <v/>
      </c>
      <c r="AW371" s="473">
        <f t="shared" si="277"/>
        <v>0</v>
      </c>
      <c r="AX371" s="473" t="str">
        <f>IF(AND($Z371="b",OR($AA371="a",$AA371="b"),Inventory!$I127="",$AE371&lt;(65000/12000)),"x",IF(AND($Z371="b",OR($AA371="a",$AA371="b"),Inventory!$I127&lt;&gt;"",$AE371&lt;(65000/12000)),VLOOKUP(Inventory!$I378,$V$4:$W$5,2,FALSE),"x"))</f>
        <v>x</v>
      </c>
      <c r="AY371" s="476" t="str">
        <f t="shared" si="278"/>
        <v>aaa0</v>
      </c>
      <c r="AZ371" s="477" t="str">
        <f t="shared" si="247"/>
        <v>No</v>
      </c>
      <c r="BA371" s="759" t="str">
        <f t="shared" si="248"/>
        <v>No</v>
      </c>
      <c r="BB371" s="477">
        <f>IF($Z371="c",Inventory!$AB127,Inventory!$K127)</f>
        <v>0</v>
      </c>
      <c r="BC371" s="478">
        <f>IF(AND($Z371="b",Inventory!$N127="Btu/hr"),Inventory!$M127,IF(AND($Z371="b",Inventory!$N127="Tons"),Inventory!$M127*12000,IF(AND($Z371&lt;&gt;"b",Inventory!$AK127="Btu/hr"),Inventory!$AD127,IF(AND($Z371&lt;&gt;"b",Inventory!$AK127="Tons"),Inventory!$AD127*12000,0))))</f>
        <v>0</v>
      </c>
      <c r="BD371" s="478">
        <f t="shared" si="285"/>
        <v>0</v>
      </c>
      <c r="BE371" s="479">
        <f t="shared" si="257"/>
        <v>0</v>
      </c>
      <c r="BF371" s="477" t="s">
        <v>50</v>
      </c>
      <c r="BG371" s="479">
        <f t="shared" si="279"/>
        <v>0</v>
      </c>
      <c r="BH371" s="477" t="s">
        <v>46</v>
      </c>
      <c r="BI371" s="760">
        <f>IF(AND($Z371="b",Inventory!$P127="Btu/hr"),Inventory!$O127,IF(AND($Z371="b",Inventory!$P127="Tons"),Inventory!$O127*12000,IF(AND($Z371&lt;&gt;"b",Inventory!$AM127="Btu/hr"),Inventory!$AL127,IF(AND($Z371&lt;&gt;"b",Inventory!$AM127="Tons"),Inventory!$AL127*12000,0))))</f>
        <v>0</v>
      </c>
      <c r="BJ371" s="760">
        <f t="shared" si="286"/>
        <v>0</v>
      </c>
      <c r="BK371" s="598">
        <f t="shared" si="249"/>
        <v>0</v>
      </c>
      <c r="BL371" s="759" t="s">
        <v>567</v>
      </c>
      <c r="BM371" s="477" t="str">
        <f t="shared" si="280"/>
        <v>No</v>
      </c>
      <c r="BN371" s="477" t="str">
        <f>IF(OR(Inventory!$H127="",$BM371="No"),"-",Inventory!$H127)</f>
        <v>-</v>
      </c>
      <c r="BO371" s="477" t="str">
        <f>IFERROR(VLOOKUP(BN371,'Early Retirement'!$B$6:$C$33,2,FALSE),"-")</f>
        <v>-</v>
      </c>
      <c r="BP371" s="477" t="str">
        <f>IF(Inventory!$J127="Centrifugal","Yes","No")</f>
        <v>No</v>
      </c>
      <c r="BQ371" s="477">
        <f t="shared" si="281"/>
        <v>0</v>
      </c>
      <c r="BR371" s="477" t="str">
        <f t="shared" si="259"/>
        <v>-</v>
      </c>
      <c r="BS371" s="479">
        <f>IFERROR(INDEX('Early Retirement'!$C$4:$AC$33,$BO371,$BR371),0)</f>
        <v>0</v>
      </c>
      <c r="BT371" s="477">
        <f>IFERROR(HLOOKUP($BR371,'Early Retirement'!$D$4:$AC$5,2,FALSE),0)</f>
        <v>0</v>
      </c>
      <c r="BU371" s="761">
        <f>IFERROR(INDEX('Early Retirement'!$AE$4:$BE$33,$BO371,$BR371),0)</f>
        <v>0</v>
      </c>
      <c r="BV371" s="759">
        <f>IFERROR(HLOOKUP($BR371,'Early Retirement'!$AF$4:$BE$5,2,FALSE),0)</f>
        <v>0</v>
      </c>
      <c r="BW371" s="479">
        <f t="shared" si="282"/>
        <v>0</v>
      </c>
      <c r="BX371" s="761">
        <f t="shared" si="250"/>
        <v>0</v>
      </c>
      <c r="BY371" s="477" t="s">
        <v>46</v>
      </c>
      <c r="BZ371" s="598">
        <f>IFERROR(INDEX('Early Retirement'!$BG$4:$CG$33,$BO371,$BR371),0)</f>
        <v>0</v>
      </c>
      <c r="CA371" s="759">
        <f>IFERROR(HLOOKUP($BR371,'Early Retirement'!$BH$4:$CH$5,2,FALSE),0)</f>
        <v>0</v>
      </c>
      <c r="CB371" s="598">
        <f t="shared" si="251"/>
        <v>0</v>
      </c>
      <c r="CC371" s="759" t="s">
        <v>567</v>
      </c>
      <c r="CD371" s="477" t="str">
        <f t="shared" si="283"/>
        <v>Yes</v>
      </c>
      <c r="CE371" s="479">
        <f t="shared" si="252"/>
        <v>0</v>
      </c>
      <c r="CF371" s="761">
        <f t="shared" si="253"/>
        <v>0</v>
      </c>
      <c r="CG371" s="759" t="s">
        <v>46</v>
      </c>
      <c r="CH371" s="598">
        <f t="shared" si="258"/>
        <v>0</v>
      </c>
      <c r="CI371" s="759" t="s">
        <v>567</v>
      </c>
      <c r="CJ371" s="480">
        <f t="shared" si="284"/>
        <v>0</v>
      </c>
      <c r="CK371" s="583">
        <f t="shared" si="254"/>
        <v>0</v>
      </c>
      <c r="CL371" s="596" t="s">
        <v>46</v>
      </c>
      <c r="CM371" s="581">
        <f t="shared" si="255"/>
        <v>0</v>
      </c>
      <c r="CN371" s="762" t="s">
        <v>567</v>
      </c>
      <c r="CW371" s="630"/>
      <c r="CX371" s="630"/>
      <c r="CY371" s="630"/>
      <c r="CZ371" s="630"/>
      <c r="DA371" s="630"/>
    </row>
    <row r="372" spans="2:105" s="78" customFormat="1" ht="15" customHeight="1" x14ac:dyDescent="0.25">
      <c r="B372" s="77"/>
      <c r="E372" s="77"/>
      <c r="H372" s="77"/>
      <c r="Y372" s="90">
        <v>119</v>
      </c>
      <c r="Z372" s="559" t="str">
        <f>IF(Inventory!$C128="","",VLOOKUP(Inventory!$C128,$B$7:$C$9,2,FALSE))</f>
        <v/>
      </c>
      <c r="AA372" s="559" t="str">
        <f>IF($Z372="","",IF(AND($Z372="b",Inventory!$G128=""),"",IF(AND($Z372="b",Inventory!$G128&lt;&gt;""),VLOOKUP(Inventory!$G128,$E$3:$F$10,2,FALSE),IF(AND($Z372="a",Inventory!$Z128=""),"",IF(AND($Z372="a",Inventory!$Z128&lt;&gt;""),VLOOKUP(Inventory!$Z128,$E$3:$F$10,2,FALSE),IF(AND($Z372="c",Inventory!$Z128=""),"",IF(AND($Z372="c",Inventory!$Z128&lt;&gt;""),VLOOKUP(Inventory!$Z128,$E$3:$F$10,2,FALSE),"")))))))</f>
        <v/>
      </c>
      <c r="AB372" s="559" t="str">
        <f>IF($Z372="","a",IF(AND($Z372="b",Inventory!$J128=""),"a",IF(AND($Z372="b",Inventory!$J128&lt;&gt;""),VLOOKUP(Inventory!$J128,$H$4:$I$6,2,FALSE),IF(AND($Z372="a",Inventory!$AA128=""),"a",IF(AND($Z372="a",Inventory!$AA128&lt;&gt;""),VLOOKUP(Inventory!$AA128,$H$4:$I$6,2,FALSE),IF(AND($Z372="c",Inventory!$AA128=""),"a",IF(AND($Z372="c",Inventory!$AA128&lt;&gt;""),VLOOKUP(Inventory!$AA128,$H$4:$I$6,2,FALSE),"a")))))))</f>
        <v>a</v>
      </c>
      <c r="AC372" s="559" t="str">
        <f t="shared" si="260"/>
        <v>a</v>
      </c>
      <c r="AD372" s="473" t="str">
        <f>IF($Z372="","a",IF(AND($Z372="b",Inventory!$L128=""),"a",IF(AND($Z372="b",Inventory!$L128&lt;&gt;""),VLOOKUP(Inventory!$L128,$N$4:$O$5,2,FALSE),IF(AND($Z372="a",Inventory!$AC128=""),"a",IF(AND($Z372="a",Inventory!$AC128&lt;&gt;""),VLOOKUP(Inventory!$AC128,$N$4:$O$5,2,FALSE),IF(AND($Z372="c",Inventory!$AC128=""),"a",IF(AND($Z372="c",Inventory!$AC128&lt;&gt;""),VLOOKUP(Inventory!$AC128,$N$4:$O$5,2,FALSE),"a")))))))</f>
        <v>a</v>
      </c>
      <c r="AE372" s="474">
        <f>IF(OR(Inventory!C128="New Construction",Inventory!C128="Replace-on-Burnout"),Inventory!AF128,IF(Inventory!C128="Early Retirement",MIN(Inventory!AE128,Inventory!AF128),0))</f>
        <v>0</v>
      </c>
      <c r="AF372" s="475" t="str">
        <f t="shared" si="261"/>
        <v/>
      </c>
      <c r="AG372" s="475" t="str">
        <f t="shared" si="262"/>
        <v/>
      </c>
      <c r="AH372" s="475" t="str">
        <f t="shared" si="263"/>
        <v/>
      </c>
      <c r="AI372" s="475" t="str">
        <f t="shared" si="264"/>
        <v/>
      </c>
      <c r="AJ372" s="475" t="str">
        <f t="shared" si="265"/>
        <v/>
      </c>
      <c r="AK372" s="475" t="str">
        <f t="shared" si="266"/>
        <v/>
      </c>
      <c r="AL372" s="475" t="str">
        <f t="shared" si="267"/>
        <v/>
      </c>
      <c r="AM372" s="475" t="str">
        <f t="shared" si="268"/>
        <v/>
      </c>
      <c r="AN372" s="475" t="str">
        <f t="shared" si="269"/>
        <v/>
      </c>
      <c r="AO372" s="475" t="str">
        <f t="shared" si="270"/>
        <v/>
      </c>
      <c r="AP372" s="475" t="str">
        <f t="shared" si="271"/>
        <v/>
      </c>
      <c r="AQ372" s="475" t="str">
        <f t="shared" si="272"/>
        <v/>
      </c>
      <c r="AR372" s="475" t="str">
        <f t="shared" si="273"/>
        <v/>
      </c>
      <c r="AS372" s="475" t="str">
        <f t="shared" si="256"/>
        <v/>
      </c>
      <c r="AT372" s="475" t="str">
        <f t="shared" si="274"/>
        <v/>
      </c>
      <c r="AU372" s="475" t="str">
        <f t="shared" si="275"/>
        <v/>
      </c>
      <c r="AV372" s="475" t="str">
        <f t="shared" si="276"/>
        <v/>
      </c>
      <c r="AW372" s="473">
        <f t="shared" si="277"/>
        <v>0</v>
      </c>
      <c r="AX372" s="473" t="str">
        <f>IF(AND($Z372="b",OR($AA372="a",$AA372="b"),Inventory!$I128="",$AE372&lt;(65000/12000)),"x",IF(AND($Z372="b",OR($AA372="a",$AA372="b"),Inventory!$I128&lt;&gt;"",$AE372&lt;(65000/12000)),VLOOKUP(Inventory!$I379,$V$4:$W$5,2,FALSE),"x"))</f>
        <v>x</v>
      </c>
      <c r="AY372" s="476" t="str">
        <f t="shared" si="278"/>
        <v>aaa0</v>
      </c>
      <c r="AZ372" s="477" t="str">
        <f t="shared" si="247"/>
        <v>No</v>
      </c>
      <c r="BA372" s="759" t="str">
        <f t="shared" si="248"/>
        <v>No</v>
      </c>
      <c r="BB372" s="477">
        <f>IF($Z372="c",Inventory!$AB128,Inventory!$K128)</f>
        <v>0</v>
      </c>
      <c r="BC372" s="478">
        <f>IF(AND($Z372="b",Inventory!$N128="Btu/hr"),Inventory!$M128,IF(AND($Z372="b",Inventory!$N128="Tons"),Inventory!$M128*12000,IF(AND($Z372&lt;&gt;"b",Inventory!$AK128="Btu/hr"),Inventory!$AD128,IF(AND($Z372&lt;&gt;"b",Inventory!$AK128="Tons"),Inventory!$AD128*12000,0))))</f>
        <v>0</v>
      </c>
      <c r="BD372" s="478">
        <f t="shared" si="285"/>
        <v>0</v>
      </c>
      <c r="BE372" s="479">
        <f t="shared" si="257"/>
        <v>0</v>
      </c>
      <c r="BF372" s="477" t="s">
        <v>50</v>
      </c>
      <c r="BG372" s="479">
        <f t="shared" si="279"/>
        <v>0</v>
      </c>
      <c r="BH372" s="477" t="s">
        <v>46</v>
      </c>
      <c r="BI372" s="760">
        <f>IF(AND($Z372="b",Inventory!$P128="Btu/hr"),Inventory!$O128,IF(AND($Z372="b",Inventory!$P128="Tons"),Inventory!$O128*12000,IF(AND($Z372&lt;&gt;"b",Inventory!$AM128="Btu/hr"),Inventory!$AL128,IF(AND($Z372&lt;&gt;"b",Inventory!$AM128="Tons"),Inventory!$AL128*12000,0))))</f>
        <v>0</v>
      </c>
      <c r="BJ372" s="760">
        <f t="shared" si="286"/>
        <v>0</v>
      </c>
      <c r="BK372" s="598">
        <f t="shared" si="249"/>
        <v>0</v>
      </c>
      <c r="BL372" s="759" t="s">
        <v>567</v>
      </c>
      <c r="BM372" s="477" t="str">
        <f t="shared" si="280"/>
        <v>No</v>
      </c>
      <c r="BN372" s="477" t="str">
        <f>IF(OR(Inventory!$H128="",$BM372="No"),"-",Inventory!$H128)</f>
        <v>-</v>
      </c>
      <c r="BO372" s="477" t="str">
        <f>IFERROR(VLOOKUP(BN372,'Early Retirement'!$B$6:$C$33,2,FALSE),"-")</f>
        <v>-</v>
      </c>
      <c r="BP372" s="477" t="str">
        <f>IF(Inventory!$J128="Centrifugal","Yes","No")</f>
        <v>No</v>
      </c>
      <c r="BQ372" s="477">
        <f t="shared" si="281"/>
        <v>0</v>
      </c>
      <c r="BR372" s="477" t="str">
        <f t="shared" si="259"/>
        <v>-</v>
      </c>
      <c r="BS372" s="479">
        <f>IFERROR(INDEX('Early Retirement'!$C$4:$AC$33,$BO372,$BR372),0)</f>
        <v>0</v>
      </c>
      <c r="BT372" s="477">
        <f>IFERROR(HLOOKUP($BR372,'Early Retirement'!$D$4:$AC$5,2,FALSE),0)</f>
        <v>0</v>
      </c>
      <c r="BU372" s="761">
        <f>IFERROR(INDEX('Early Retirement'!$AE$4:$BE$33,$BO372,$BR372),0)</f>
        <v>0</v>
      </c>
      <c r="BV372" s="759">
        <f>IFERROR(HLOOKUP($BR372,'Early Retirement'!$AF$4:$BE$5,2,FALSE),0)</f>
        <v>0</v>
      </c>
      <c r="BW372" s="479">
        <f t="shared" si="282"/>
        <v>0</v>
      </c>
      <c r="BX372" s="761">
        <f t="shared" si="250"/>
        <v>0</v>
      </c>
      <c r="BY372" s="477" t="s">
        <v>46</v>
      </c>
      <c r="BZ372" s="598">
        <f>IFERROR(INDEX('Early Retirement'!$BG$4:$CG$33,$BO372,$BR372),0)</f>
        <v>0</v>
      </c>
      <c r="CA372" s="759">
        <f>IFERROR(HLOOKUP($BR372,'Early Retirement'!$BH$4:$CH$5,2,FALSE),0)</f>
        <v>0</v>
      </c>
      <c r="CB372" s="598">
        <f t="shared" si="251"/>
        <v>0</v>
      </c>
      <c r="CC372" s="759" t="s">
        <v>567</v>
      </c>
      <c r="CD372" s="477" t="str">
        <f t="shared" si="283"/>
        <v>Yes</v>
      </c>
      <c r="CE372" s="479">
        <f t="shared" si="252"/>
        <v>0</v>
      </c>
      <c r="CF372" s="761">
        <f t="shared" si="253"/>
        <v>0</v>
      </c>
      <c r="CG372" s="759" t="s">
        <v>46</v>
      </c>
      <c r="CH372" s="598">
        <f t="shared" si="258"/>
        <v>0</v>
      </c>
      <c r="CI372" s="759" t="s">
        <v>567</v>
      </c>
      <c r="CJ372" s="480">
        <f t="shared" si="284"/>
        <v>0</v>
      </c>
      <c r="CK372" s="583">
        <f t="shared" si="254"/>
        <v>0</v>
      </c>
      <c r="CL372" s="596" t="s">
        <v>46</v>
      </c>
      <c r="CM372" s="581">
        <f t="shared" si="255"/>
        <v>0</v>
      </c>
      <c r="CN372" s="762" t="s">
        <v>567</v>
      </c>
      <c r="CW372" s="630"/>
      <c r="CX372" s="630"/>
      <c r="CY372" s="630"/>
      <c r="CZ372" s="630"/>
      <c r="DA372" s="630"/>
    </row>
    <row r="373" spans="2:105" s="78" customFormat="1" ht="15" customHeight="1" x14ac:dyDescent="0.25">
      <c r="B373" s="77"/>
      <c r="E373" s="77"/>
      <c r="H373" s="77"/>
      <c r="Y373" s="90">
        <v>120</v>
      </c>
      <c r="Z373" s="559" t="str">
        <f>IF(Inventory!$C129="","",VLOOKUP(Inventory!$C129,$B$7:$C$9,2,FALSE))</f>
        <v/>
      </c>
      <c r="AA373" s="559" t="str">
        <f>IF($Z373="","",IF(AND($Z373="b",Inventory!$G129=""),"",IF(AND($Z373="b",Inventory!$G129&lt;&gt;""),VLOOKUP(Inventory!$G129,$E$3:$F$10,2,FALSE),IF(AND($Z373="a",Inventory!$Z129=""),"",IF(AND($Z373="a",Inventory!$Z129&lt;&gt;""),VLOOKUP(Inventory!$Z129,$E$3:$F$10,2,FALSE),IF(AND($Z373="c",Inventory!$Z129=""),"",IF(AND($Z373="c",Inventory!$Z129&lt;&gt;""),VLOOKUP(Inventory!$Z129,$E$3:$F$10,2,FALSE),"")))))))</f>
        <v/>
      </c>
      <c r="AB373" s="559" t="str">
        <f>IF($Z373="","a",IF(AND($Z373="b",Inventory!$J129=""),"a",IF(AND($Z373="b",Inventory!$J129&lt;&gt;""),VLOOKUP(Inventory!$J129,$H$4:$I$6,2,FALSE),IF(AND($Z373="a",Inventory!$AA129=""),"a",IF(AND($Z373="a",Inventory!$AA129&lt;&gt;""),VLOOKUP(Inventory!$AA129,$H$4:$I$6,2,FALSE),IF(AND($Z373="c",Inventory!$AA129=""),"a",IF(AND($Z373="c",Inventory!$AA129&lt;&gt;""),VLOOKUP(Inventory!$AA129,$H$4:$I$6,2,FALSE),"a")))))))</f>
        <v>a</v>
      </c>
      <c r="AC373" s="559" t="str">
        <f t="shared" si="260"/>
        <v>a</v>
      </c>
      <c r="AD373" s="473" t="str">
        <f>IF($Z373="","a",IF(AND($Z373="b",Inventory!$L129=""),"a",IF(AND($Z373="b",Inventory!$L129&lt;&gt;""),VLOOKUP(Inventory!$L129,$N$4:$O$5,2,FALSE),IF(AND($Z373="a",Inventory!$AC129=""),"a",IF(AND($Z373="a",Inventory!$AC129&lt;&gt;""),VLOOKUP(Inventory!$AC129,$N$4:$O$5,2,FALSE),IF(AND($Z373="c",Inventory!$AC129=""),"a",IF(AND($Z373="c",Inventory!$AC129&lt;&gt;""),VLOOKUP(Inventory!$AC129,$N$4:$O$5,2,FALSE),"a")))))))</f>
        <v>a</v>
      </c>
      <c r="AE373" s="474">
        <f>IF(OR(Inventory!C129="New Construction",Inventory!C129="Replace-on-Burnout"),Inventory!AF129,IF(Inventory!C129="Early Retirement",MIN(Inventory!AE129,Inventory!AF129),0))</f>
        <v>0</v>
      </c>
      <c r="AF373" s="475" t="str">
        <f t="shared" si="261"/>
        <v/>
      </c>
      <c r="AG373" s="475" t="str">
        <f t="shared" si="262"/>
        <v/>
      </c>
      <c r="AH373" s="475" t="str">
        <f t="shared" si="263"/>
        <v/>
      </c>
      <c r="AI373" s="475" t="str">
        <f t="shared" si="264"/>
        <v/>
      </c>
      <c r="AJ373" s="475" t="str">
        <f t="shared" si="265"/>
        <v/>
      </c>
      <c r="AK373" s="475" t="str">
        <f t="shared" si="266"/>
        <v/>
      </c>
      <c r="AL373" s="475" t="str">
        <f t="shared" si="267"/>
        <v/>
      </c>
      <c r="AM373" s="475" t="str">
        <f t="shared" si="268"/>
        <v/>
      </c>
      <c r="AN373" s="475" t="str">
        <f t="shared" si="269"/>
        <v/>
      </c>
      <c r="AO373" s="475" t="str">
        <f t="shared" si="270"/>
        <v/>
      </c>
      <c r="AP373" s="475" t="str">
        <f t="shared" si="271"/>
        <v/>
      </c>
      <c r="AQ373" s="475" t="str">
        <f t="shared" si="272"/>
        <v/>
      </c>
      <c r="AR373" s="475" t="str">
        <f t="shared" si="273"/>
        <v/>
      </c>
      <c r="AS373" s="475" t="str">
        <f t="shared" si="256"/>
        <v/>
      </c>
      <c r="AT373" s="475" t="str">
        <f t="shared" si="274"/>
        <v/>
      </c>
      <c r="AU373" s="475" t="str">
        <f t="shared" si="275"/>
        <v/>
      </c>
      <c r="AV373" s="475" t="str">
        <f t="shared" si="276"/>
        <v/>
      </c>
      <c r="AW373" s="473">
        <f t="shared" si="277"/>
        <v>0</v>
      </c>
      <c r="AX373" s="473" t="str">
        <f>IF(AND($Z373="b",OR($AA373="a",$AA373="b"),Inventory!$I129="",$AE373&lt;(65000/12000)),"x",IF(AND($Z373="b",OR($AA373="a",$AA373="b"),Inventory!$I129&lt;&gt;"",$AE373&lt;(65000/12000)),VLOOKUP(Inventory!$I380,$V$4:$W$5,2,FALSE),"x"))</f>
        <v>x</v>
      </c>
      <c r="AY373" s="476" t="str">
        <f t="shared" si="278"/>
        <v>aaa0</v>
      </c>
      <c r="AZ373" s="477" t="str">
        <f t="shared" si="247"/>
        <v>No</v>
      </c>
      <c r="BA373" s="759" t="str">
        <f t="shared" si="248"/>
        <v>No</v>
      </c>
      <c r="BB373" s="477">
        <f>IF($Z373="c",Inventory!$AB129,Inventory!$K129)</f>
        <v>0</v>
      </c>
      <c r="BC373" s="478">
        <f>IF(AND($Z373="b",Inventory!$N129="Btu/hr"),Inventory!$M129,IF(AND($Z373="b",Inventory!$N129="Tons"),Inventory!$M129*12000,IF(AND($Z373&lt;&gt;"b",Inventory!$AK129="Btu/hr"),Inventory!$AD129,IF(AND($Z373&lt;&gt;"b",Inventory!$AK129="Tons"),Inventory!$AD129*12000,0))))</f>
        <v>0</v>
      </c>
      <c r="BD373" s="478">
        <f t="shared" si="285"/>
        <v>0</v>
      </c>
      <c r="BE373" s="479">
        <f t="shared" si="257"/>
        <v>0</v>
      </c>
      <c r="BF373" s="477" t="s">
        <v>50</v>
      </c>
      <c r="BG373" s="479">
        <f t="shared" si="279"/>
        <v>0</v>
      </c>
      <c r="BH373" s="477" t="s">
        <v>46</v>
      </c>
      <c r="BI373" s="760">
        <f>IF(AND($Z373="b",Inventory!$P129="Btu/hr"),Inventory!$O129,IF(AND($Z373="b",Inventory!$P129="Tons"),Inventory!$O129*12000,IF(AND($Z373&lt;&gt;"b",Inventory!$AM129="Btu/hr"),Inventory!$AL129,IF(AND($Z373&lt;&gt;"b",Inventory!$AM129="Tons"),Inventory!$AL129*12000,0))))</f>
        <v>0</v>
      </c>
      <c r="BJ373" s="760">
        <f t="shared" si="286"/>
        <v>0</v>
      </c>
      <c r="BK373" s="598">
        <f t="shared" si="249"/>
        <v>0</v>
      </c>
      <c r="BL373" s="759" t="s">
        <v>567</v>
      </c>
      <c r="BM373" s="477" t="str">
        <f t="shared" si="280"/>
        <v>No</v>
      </c>
      <c r="BN373" s="477" t="str">
        <f>IF(OR(Inventory!$H129="",$BM373="No"),"-",Inventory!$H129)</f>
        <v>-</v>
      </c>
      <c r="BO373" s="477" t="str">
        <f>IFERROR(VLOOKUP(BN373,'Early Retirement'!$B$6:$C$33,2,FALSE),"-")</f>
        <v>-</v>
      </c>
      <c r="BP373" s="477" t="str">
        <f>IF(Inventory!$J129="Centrifugal","Yes","No")</f>
        <v>No</v>
      </c>
      <c r="BQ373" s="477">
        <f t="shared" si="281"/>
        <v>0</v>
      </c>
      <c r="BR373" s="477" t="str">
        <f t="shared" si="259"/>
        <v>-</v>
      </c>
      <c r="BS373" s="479">
        <f>IFERROR(INDEX('Early Retirement'!$C$4:$AC$33,$BO373,$BR373),0)</f>
        <v>0</v>
      </c>
      <c r="BT373" s="477">
        <f>IFERROR(HLOOKUP($BR373,'Early Retirement'!$D$4:$AC$5,2,FALSE),0)</f>
        <v>0</v>
      </c>
      <c r="BU373" s="761">
        <f>IFERROR(INDEX('Early Retirement'!$AE$4:$BE$33,$BO373,$BR373),0)</f>
        <v>0</v>
      </c>
      <c r="BV373" s="759">
        <f>IFERROR(HLOOKUP($BR373,'Early Retirement'!$AF$4:$BE$5,2,FALSE),0)</f>
        <v>0</v>
      </c>
      <c r="BW373" s="479">
        <f t="shared" si="282"/>
        <v>0</v>
      </c>
      <c r="BX373" s="761">
        <f t="shared" si="250"/>
        <v>0</v>
      </c>
      <c r="BY373" s="477" t="s">
        <v>46</v>
      </c>
      <c r="BZ373" s="598">
        <f>IFERROR(INDEX('Early Retirement'!$BG$4:$CG$33,$BO373,$BR373),0)</f>
        <v>0</v>
      </c>
      <c r="CA373" s="759">
        <f>IFERROR(HLOOKUP($BR373,'Early Retirement'!$BH$4:$CH$5,2,FALSE),0)</f>
        <v>0</v>
      </c>
      <c r="CB373" s="598">
        <f t="shared" si="251"/>
        <v>0</v>
      </c>
      <c r="CC373" s="759" t="s">
        <v>567</v>
      </c>
      <c r="CD373" s="477" t="str">
        <f t="shared" si="283"/>
        <v>Yes</v>
      </c>
      <c r="CE373" s="479">
        <f t="shared" si="252"/>
        <v>0</v>
      </c>
      <c r="CF373" s="761">
        <f t="shared" si="253"/>
        <v>0</v>
      </c>
      <c r="CG373" s="759" t="s">
        <v>46</v>
      </c>
      <c r="CH373" s="598">
        <f t="shared" si="258"/>
        <v>0</v>
      </c>
      <c r="CI373" s="759" t="s">
        <v>567</v>
      </c>
      <c r="CJ373" s="480">
        <f t="shared" si="284"/>
        <v>0</v>
      </c>
      <c r="CK373" s="583">
        <f t="shared" si="254"/>
        <v>0</v>
      </c>
      <c r="CL373" s="596" t="s">
        <v>46</v>
      </c>
      <c r="CM373" s="581">
        <f t="shared" si="255"/>
        <v>0</v>
      </c>
      <c r="CN373" s="762" t="s">
        <v>567</v>
      </c>
      <c r="CW373" s="630"/>
      <c r="CX373" s="630"/>
      <c r="CY373" s="630"/>
      <c r="CZ373" s="630"/>
      <c r="DA373" s="630"/>
    </row>
    <row r="374" spans="2:105" s="78" customFormat="1" ht="15" customHeight="1" x14ac:dyDescent="0.25">
      <c r="B374" s="77"/>
      <c r="E374" s="77"/>
      <c r="H374" s="77"/>
      <c r="Y374" s="90">
        <v>121</v>
      </c>
      <c r="Z374" s="559" t="str">
        <f>IF(Inventory!$C130="","",VLOOKUP(Inventory!$C130,$B$7:$C$9,2,FALSE))</f>
        <v/>
      </c>
      <c r="AA374" s="559" t="str">
        <f>IF($Z374="","",IF(AND($Z374="b",Inventory!$G130=""),"",IF(AND($Z374="b",Inventory!$G130&lt;&gt;""),VLOOKUP(Inventory!$G130,$E$3:$F$10,2,FALSE),IF(AND($Z374="a",Inventory!$Z130=""),"",IF(AND($Z374="a",Inventory!$Z130&lt;&gt;""),VLOOKUP(Inventory!$Z130,$E$3:$F$10,2,FALSE),IF(AND($Z374="c",Inventory!$Z130=""),"",IF(AND($Z374="c",Inventory!$Z130&lt;&gt;""),VLOOKUP(Inventory!$Z130,$E$3:$F$10,2,FALSE),"")))))))</f>
        <v/>
      </c>
      <c r="AB374" s="559" t="str">
        <f>IF($Z374="","a",IF(AND($Z374="b",Inventory!$J130=""),"a",IF(AND($Z374="b",Inventory!$J130&lt;&gt;""),VLOOKUP(Inventory!$J130,$H$4:$I$6,2,FALSE),IF(AND($Z374="a",Inventory!$AA130=""),"a",IF(AND($Z374="a",Inventory!$AA130&lt;&gt;""),VLOOKUP(Inventory!$AA130,$H$4:$I$6,2,FALSE),IF(AND($Z374="c",Inventory!$AA130=""),"a",IF(AND($Z374="c",Inventory!$AA130&lt;&gt;""),VLOOKUP(Inventory!$AA130,$H$4:$I$6,2,FALSE),"a")))))))</f>
        <v>a</v>
      </c>
      <c r="AC374" s="559" t="str">
        <f t="shared" si="260"/>
        <v>a</v>
      </c>
      <c r="AD374" s="473" t="str">
        <f>IF($Z374="","a",IF(AND($Z374="b",Inventory!$L130=""),"a",IF(AND($Z374="b",Inventory!$L130&lt;&gt;""),VLOOKUP(Inventory!$L130,$N$4:$O$5,2,FALSE),IF(AND($Z374="a",Inventory!$AC130=""),"a",IF(AND($Z374="a",Inventory!$AC130&lt;&gt;""),VLOOKUP(Inventory!$AC130,$N$4:$O$5,2,FALSE),IF(AND($Z374="c",Inventory!$AC130=""),"a",IF(AND($Z374="c",Inventory!$AC130&lt;&gt;""),VLOOKUP(Inventory!$AC130,$N$4:$O$5,2,FALSE),"a")))))))</f>
        <v>a</v>
      </c>
      <c r="AE374" s="474">
        <f>IF(OR(Inventory!C130="New Construction",Inventory!C130="Replace-on-Burnout"),Inventory!AF130,IF(Inventory!C130="Early Retirement",MIN(Inventory!AE130,Inventory!AF130),0))</f>
        <v>0</v>
      </c>
      <c r="AF374" s="475" t="str">
        <f t="shared" si="261"/>
        <v/>
      </c>
      <c r="AG374" s="475" t="str">
        <f t="shared" si="262"/>
        <v/>
      </c>
      <c r="AH374" s="475" t="str">
        <f t="shared" si="263"/>
        <v/>
      </c>
      <c r="AI374" s="475" t="str">
        <f t="shared" si="264"/>
        <v/>
      </c>
      <c r="AJ374" s="475" t="str">
        <f t="shared" si="265"/>
        <v/>
      </c>
      <c r="AK374" s="475" t="str">
        <f t="shared" si="266"/>
        <v/>
      </c>
      <c r="AL374" s="475" t="str">
        <f t="shared" si="267"/>
        <v/>
      </c>
      <c r="AM374" s="475" t="str">
        <f t="shared" si="268"/>
        <v/>
      </c>
      <c r="AN374" s="475" t="str">
        <f t="shared" si="269"/>
        <v/>
      </c>
      <c r="AO374" s="475" t="str">
        <f t="shared" si="270"/>
        <v/>
      </c>
      <c r="AP374" s="475" t="str">
        <f t="shared" si="271"/>
        <v/>
      </c>
      <c r="AQ374" s="475" t="str">
        <f t="shared" si="272"/>
        <v/>
      </c>
      <c r="AR374" s="475" t="str">
        <f t="shared" si="273"/>
        <v/>
      </c>
      <c r="AS374" s="475" t="str">
        <f t="shared" si="256"/>
        <v/>
      </c>
      <c r="AT374" s="475" t="str">
        <f t="shared" si="274"/>
        <v/>
      </c>
      <c r="AU374" s="475" t="str">
        <f t="shared" si="275"/>
        <v/>
      </c>
      <c r="AV374" s="475" t="str">
        <f t="shared" si="276"/>
        <v/>
      </c>
      <c r="AW374" s="473">
        <f t="shared" si="277"/>
        <v>0</v>
      </c>
      <c r="AX374" s="473" t="str">
        <f>IF(AND($Z374="b",OR($AA374="a",$AA374="b"),Inventory!$I130="",$AE374&lt;(65000/12000)),"x",IF(AND($Z374="b",OR($AA374="a",$AA374="b"),Inventory!$I130&lt;&gt;"",$AE374&lt;(65000/12000)),VLOOKUP(Inventory!$I381,$V$4:$W$5,2,FALSE),"x"))</f>
        <v>x</v>
      </c>
      <c r="AY374" s="476" t="str">
        <f t="shared" si="278"/>
        <v>aaa0</v>
      </c>
      <c r="AZ374" s="477" t="str">
        <f t="shared" si="247"/>
        <v>No</v>
      </c>
      <c r="BA374" s="759" t="str">
        <f t="shared" si="248"/>
        <v>No</v>
      </c>
      <c r="BB374" s="477">
        <f>IF($Z374="c",Inventory!$AB130,Inventory!$K130)</f>
        <v>0</v>
      </c>
      <c r="BC374" s="478">
        <f>IF(AND($Z374="b",Inventory!$N130="Btu/hr"),Inventory!$M130,IF(AND($Z374="b",Inventory!$N130="Tons"),Inventory!$M130*12000,IF(AND($Z374&lt;&gt;"b",Inventory!$AK130="Btu/hr"),Inventory!$AD130,IF(AND($Z374&lt;&gt;"b",Inventory!$AK130="Tons"),Inventory!$AD130*12000,0))))</f>
        <v>0</v>
      </c>
      <c r="BD374" s="478">
        <f t="shared" si="285"/>
        <v>0</v>
      </c>
      <c r="BE374" s="479">
        <f t="shared" si="257"/>
        <v>0</v>
      </c>
      <c r="BF374" s="477" t="s">
        <v>50</v>
      </c>
      <c r="BG374" s="479">
        <f t="shared" si="279"/>
        <v>0</v>
      </c>
      <c r="BH374" s="477" t="s">
        <v>46</v>
      </c>
      <c r="BI374" s="760">
        <f>IF(AND($Z374="b",Inventory!$P130="Btu/hr"),Inventory!$O130,IF(AND($Z374="b",Inventory!$P130="Tons"),Inventory!$O130*12000,IF(AND($Z374&lt;&gt;"b",Inventory!$AM130="Btu/hr"),Inventory!$AL130,IF(AND($Z374&lt;&gt;"b",Inventory!$AM130="Tons"),Inventory!$AL130*12000,0))))</f>
        <v>0</v>
      </c>
      <c r="BJ374" s="760">
        <f t="shared" si="286"/>
        <v>0</v>
      </c>
      <c r="BK374" s="598">
        <f t="shared" si="249"/>
        <v>0</v>
      </c>
      <c r="BL374" s="759" t="s">
        <v>567</v>
      </c>
      <c r="BM374" s="477" t="str">
        <f t="shared" si="280"/>
        <v>No</v>
      </c>
      <c r="BN374" s="477" t="str">
        <f>IF(OR(Inventory!$H130="",$BM374="No"),"-",Inventory!$H130)</f>
        <v>-</v>
      </c>
      <c r="BO374" s="477" t="str">
        <f>IFERROR(VLOOKUP(BN374,'Early Retirement'!$B$6:$C$33,2,FALSE),"-")</f>
        <v>-</v>
      </c>
      <c r="BP374" s="477" t="str">
        <f>IF(Inventory!$J130="Centrifugal","Yes","No")</f>
        <v>No</v>
      </c>
      <c r="BQ374" s="477">
        <f t="shared" si="281"/>
        <v>0</v>
      </c>
      <c r="BR374" s="477" t="str">
        <f t="shared" si="259"/>
        <v>-</v>
      </c>
      <c r="BS374" s="479">
        <f>IFERROR(INDEX('Early Retirement'!$C$4:$AC$33,$BO374,$BR374),0)</f>
        <v>0</v>
      </c>
      <c r="BT374" s="477">
        <f>IFERROR(HLOOKUP($BR374,'Early Retirement'!$D$4:$AC$5,2,FALSE),0)</f>
        <v>0</v>
      </c>
      <c r="BU374" s="761">
        <f>IFERROR(INDEX('Early Retirement'!$AE$4:$BE$33,$BO374,$BR374),0)</f>
        <v>0</v>
      </c>
      <c r="BV374" s="759">
        <f>IFERROR(HLOOKUP($BR374,'Early Retirement'!$AF$4:$BE$5,2,FALSE),0)</f>
        <v>0</v>
      </c>
      <c r="BW374" s="479">
        <f t="shared" si="282"/>
        <v>0</v>
      </c>
      <c r="BX374" s="761">
        <f t="shared" si="250"/>
        <v>0</v>
      </c>
      <c r="BY374" s="477" t="s">
        <v>46</v>
      </c>
      <c r="BZ374" s="598">
        <f>IFERROR(INDEX('Early Retirement'!$BG$4:$CG$33,$BO374,$BR374),0)</f>
        <v>0</v>
      </c>
      <c r="CA374" s="759">
        <f>IFERROR(HLOOKUP($BR374,'Early Retirement'!$BH$4:$CH$5,2,FALSE),0)</f>
        <v>0</v>
      </c>
      <c r="CB374" s="598">
        <f t="shared" si="251"/>
        <v>0</v>
      </c>
      <c r="CC374" s="759" t="s">
        <v>567</v>
      </c>
      <c r="CD374" s="477" t="str">
        <f t="shared" si="283"/>
        <v>Yes</v>
      </c>
      <c r="CE374" s="479">
        <f t="shared" si="252"/>
        <v>0</v>
      </c>
      <c r="CF374" s="761">
        <f t="shared" si="253"/>
        <v>0</v>
      </c>
      <c r="CG374" s="759" t="s">
        <v>46</v>
      </c>
      <c r="CH374" s="598">
        <f t="shared" si="258"/>
        <v>0</v>
      </c>
      <c r="CI374" s="759" t="s">
        <v>567</v>
      </c>
      <c r="CJ374" s="480">
        <f t="shared" si="284"/>
        <v>0</v>
      </c>
      <c r="CK374" s="583">
        <f t="shared" si="254"/>
        <v>0</v>
      </c>
      <c r="CL374" s="596" t="s">
        <v>46</v>
      </c>
      <c r="CM374" s="581">
        <f t="shared" si="255"/>
        <v>0</v>
      </c>
      <c r="CN374" s="762" t="s">
        <v>567</v>
      </c>
      <c r="CW374" s="630"/>
      <c r="CX374" s="630"/>
      <c r="CY374" s="630"/>
      <c r="CZ374" s="630"/>
      <c r="DA374" s="630"/>
    </row>
    <row r="375" spans="2:105" s="78" customFormat="1" ht="15" customHeight="1" x14ac:dyDescent="0.25">
      <c r="B375" s="77"/>
      <c r="E375" s="77"/>
      <c r="H375" s="77"/>
      <c r="Y375" s="90">
        <v>122</v>
      </c>
      <c r="Z375" s="559" t="str">
        <f>IF(Inventory!$C131="","",VLOOKUP(Inventory!$C131,$B$7:$C$9,2,FALSE))</f>
        <v/>
      </c>
      <c r="AA375" s="559" t="str">
        <f>IF($Z375="","",IF(AND($Z375="b",Inventory!$G131=""),"",IF(AND($Z375="b",Inventory!$G131&lt;&gt;""),VLOOKUP(Inventory!$G131,$E$3:$F$10,2,FALSE),IF(AND($Z375="a",Inventory!$Z131=""),"",IF(AND($Z375="a",Inventory!$Z131&lt;&gt;""),VLOOKUP(Inventory!$Z131,$E$3:$F$10,2,FALSE),IF(AND($Z375="c",Inventory!$Z131=""),"",IF(AND($Z375="c",Inventory!$Z131&lt;&gt;""),VLOOKUP(Inventory!$Z131,$E$3:$F$10,2,FALSE),"")))))))</f>
        <v/>
      </c>
      <c r="AB375" s="559" t="str">
        <f>IF($Z375="","a",IF(AND($Z375="b",Inventory!$J131=""),"a",IF(AND($Z375="b",Inventory!$J131&lt;&gt;""),VLOOKUP(Inventory!$J131,$H$4:$I$6,2,FALSE),IF(AND($Z375="a",Inventory!$AA131=""),"a",IF(AND($Z375="a",Inventory!$AA131&lt;&gt;""),VLOOKUP(Inventory!$AA131,$H$4:$I$6,2,FALSE),IF(AND($Z375="c",Inventory!$AA131=""),"a",IF(AND($Z375="c",Inventory!$AA131&lt;&gt;""),VLOOKUP(Inventory!$AA131,$H$4:$I$6,2,FALSE),"a")))))))</f>
        <v>a</v>
      </c>
      <c r="AC375" s="559" t="str">
        <f t="shared" si="260"/>
        <v>a</v>
      </c>
      <c r="AD375" s="473" t="str">
        <f>IF($Z375="","a",IF(AND($Z375="b",Inventory!$L131=""),"a",IF(AND($Z375="b",Inventory!$L131&lt;&gt;""),VLOOKUP(Inventory!$L131,$N$4:$O$5,2,FALSE),IF(AND($Z375="a",Inventory!$AC131=""),"a",IF(AND($Z375="a",Inventory!$AC131&lt;&gt;""),VLOOKUP(Inventory!$AC131,$N$4:$O$5,2,FALSE),IF(AND($Z375="c",Inventory!$AC131=""),"a",IF(AND($Z375="c",Inventory!$AC131&lt;&gt;""),VLOOKUP(Inventory!$AC131,$N$4:$O$5,2,FALSE),"a")))))))</f>
        <v>a</v>
      </c>
      <c r="AE375" s="474">
        <f>IF(OR(Inventory!C131="New Construction",Inventory!C131="Replace-on-Burnout"),Inventory!AF131,IF(Inventory!C131="Early Retirement",MIN(Inventory!AE131,Inventory!AF131),0))</f>
        <v>0</v>
      </c>
      <c r="AF375" s="475" t="str">
        <f t="shared" si="261"/>
        <v/>
      </c>
      <c r="AG375" s="475" t="str">
        <f t="shared" si="262"/>
        <v/>
      </c>
      <c r="AH375" s="475" t="str">
        <f t="shared" si="263"/>
        <v/>
      </c>
      <c r="AI375" s="475" t="str">
        <f t="shared" si="264"/>
        <v/>
      </c>
      <c r="AJ375" s="475" t="str">
        <f t="shared" si="265"/>
        <v/>
      </c>
      <c r="AK375" s="475" t="str">
        <f t="shared" si="266"/>
        <v/>
      </c>
      <c r="AL375" s="475" t="str">
        <f t="shared" si="267"/>
        <v/>
      </c>
      <c r="AM375" s="475" t="str">
        <f t="shared" si="268"/>
        <v/>
      </c>
      <c r="AN375" s="475" t="str">
        <f t="shared" si="269"/>
        <v/>
      </c>
      <c r="AO375" s="475" t="str">
        <f t="shared" si="270"/>
        <v/>
      </c>
      <c r="AP375" s="475" t="str">
        <f t="shared" si="271"/>
        <v/>
      </c>
      <c r="AQ375" s="475" t="str">
        <f t="shared" si="272"/>
        <v/>
      </c>
      <c r="AR375" s="475" t="str">
        <f t="shared" si="273"/>
        <v/>
      </c>
      <c r="AS375" s="475" t="str">
        <f t="shared" si="256"/>
        <v/>
      </c>
      <c r="AT375" s="475" t="str">
        <f t="shared" si="274"/>
        <v/>
      </c>
      <c r="AU375" s="475" t="str">
        <f t="shared" si="275"/>
        <v/>
      </c>
      <c r="AV375" s="475" t="str">
        <f t="shared" si="276"/>
        <v/>
      </c>
      <c r="AW375" s="473">
        <f t="shared" si="277"/>
        <v>0</v>
      </c>
      <c r="AX375" s="473" t="str">
        <f>IF(AND($Z375="b",OR($AA375="a",$AA375="b"),Inventory!$I131="",$AE375&lt;(65000/12000)),"x",IF(AND($Z375="b",OR($AA375="a",$AA375="b"),Inventory!$I131&lt;&gt;"",$AE375&lt;(65000/12000)),VLOOKUP(Inventory!$I382,$V$4:$W$5,2,FALSE),"x"))</f>
        <v>x</v>
      </c>
      <c r="AY375" s="476" t="str">
        <f t="shared" si="278"/>
        <v>aaa0</v>
      </c>
      <c r="AZ375" s="477" t="str">
        <f t="shared" si="247"/>
        <v>No</v>
      </c>
      <c r="BA375" s="759" t="str">
        <f t="shared" si="248"/>
        <v>No</v>
      </c>
      <c r="BB375" s="477">
        <f>IF($Z375="c",Inventory!$AB131,Inventory!$K131)</f>
        <v>0</v>
      </c>
      <c r="BC375" s="478">
        <f>IF(AND($Z375="b",Inventory!$N131="Btu/hr"),Inventory!$M131,IF(AND($Z375="b",Inventory!$N131="Tons"),Inventory!$M131*12000,IF(AND($Z375&lt;&gt;"b",Inventory!$AK131="Btu/hr"),Inventory!$AD131,IF(AND($Z375&lt;&gt;"b",Inventory!$AK131="Tons"),Inventory!$AD131*12000,0))))</f>
        <v>0</v>
      </c>
      <c r="BD375" s="478">
        <f t="shared" si="285"/>
        <v>0</v>
      </c>
      <c r="BE375" s="479">
        <f t="shared" si="257"/>
        <v>0</v>
      </c>
      <c r="BF375" s="477" t="s">
        <v>50</v>
      </c>
      <c r="BG375" s="479">
        <f t="shared" si="279"/>
        <v>0</v>
      </c>
      <c r="BH375" s="477" t="s">
        <v>46</v>
      </c>
      <c r="BI375" s="760">
        <f>IF(AND($Z375="b",Inventory!$P131="Btu/hr"),Inventory!$O131,IF(AND($Z375="b",Inventory!$P131="Tons"),Inventory!$O131*12000,IF(AND($Z375&lt;&gt;"b",Inventory!$AM131="Btu/hr"),Inventory!$AL131,IF(AND($Z375&lt;&gt;"b",Inventory!$AM131="Tons"),Inventory!$AL131*12000,0))))</f>
        <v>0</v>
      </c>
      <c r="BJ375" s="760">
        <f t="shared" si="286"/>
        <v>0</v>
      </c>
      <c r="BK375" s="598">
        <f t="shared" si="249"/>
        <v>0</v>
      </c>
      <c r="BL375" s="759" t="s">
        <v>567</v>
      </c>
      <c r="BM375" s="477" t="str">
        <f t="shared" si="280"/>
        <v>No</v>
      </c>
      <c r="BN375" s="477" t="str">
        <f>IF(OR(Inventory!$H131="",$BM375="No"),"-",Inventory!$H131)</f>
        <v>-</v>
      </c>
      <c r="BO375" s="477" t="str">
        <f>IFERROR(VLOOKUP(BN375,'Early Retirement'!$B$6:$C$33,2,FALSE),"-")</f>
        <v>-</v>
      </c>
      <c r="BP375" s="477" t="str">
        <f>IF(Inventory!$J131="Centrifugal","Yes","No")</f>
        <v>No</v>
      </c>
      <c r="BQ375" s="477">
        <f t="shared" si="281"/>
        <v>0</v>
      </c>
      <c r="BR375" s="477" t="str">
        <f t="shared" si="259"/>
        <v>-</v>
      </c>
      <c r="BS375" s="479">
        <f>IFERROR(INDEX('Early Retirement'!$C$4:$AC$33,$BO375,$BR375),0)</f>
        <v>0</v>
      </c>
      <c r="BT375" s="477">
        <f>IFERROR(HLOOKUP($BR375,'Early Retirement'!$D$4:$AC$5,2,FALSE),0)</f>
        <v>0</v>
      </c>
      <c r="BU375" s="761">
        <f>IFERROR(INDEX('Early Retirement'!$AE$4:$BE$33,$BO375,$BR375),0)</f>
        <v>0</v>
      </c>
      <c r="BV375" s="759">
        <f>IFERROR(HLOOKUP($BR375,'Early Retirement'!$AF$4:$BE$5,2,FALSE),0)</f>
        <v>0</v>
      </c>
      <c r="BW375" s="479">
        <f t="shared" si="282"/>
        <v>0</v>
      </c>
      <c r="BX375" s="761">
        <f t="shared" si="250"/>
        <v>0</v>
      </c>
      <c r="BY375" s="477" t="s">
        <v>46</v>
      </c>
      <c r="BZ375" s="598">
        <f>IFERROR(INDEX('Early Retirement'!$BG$4:$CG$33,$BO375,$BR375),0)</f>
        <v>0</v>
      </c>
      <c r="CA375" s="759">
        <f>IFERROR(HLOOKUP($BR375,'Early Retirement'!$BH$4:$CH$5,2,FALSE),0)</f>
        <v>0</v>
      </c>
      <c r="CB375" s="598">
        <f t="shared" si="251"/>
        <v>0</v>
      </c>
      <c r="CC375" s="759" t="s">
        <v>567</v>
      </c>
      <c r="CD375" s="477" t="str">
        <f t="shared" si="283"/>
        <v>Yes</v>
      </c>
      <c r="CE375" s="479">
        <f t="shared" si="252"/>
        <v>0</v>
      </c>
      <c r="CF375" s="761">
        <f t="shared" si="253"/>
        <v>0</v>
      </c>
      <c r="CG375" s="759" t="s">
        <v>46</v>
      </c>
      <c r="CH375" s="598">
        <f t="shared" si="258"/>
        <v>0</v>
      </c>
      <c r="CI375" s="759" t="s">
        <v>567</v>
      </c>
      <c r="CJ375" s="480">
        <f t="shared" si="284"/>
        <v>0</v>
      </c>
      <c r="CK375" s="583">
        <f t="shared" si="254"/>
        <v>0</v>
      </c>
      <c r="CL375" s="596" t="s">
        <v>46</v>
      </c>
      <c r="CM375" s="581">
        <f t="shared" si="255"/>
        <v>0</v>
      </c>
      <c r="CN375" s="762" t="s">
        <v>567</v>
      </c>
      <c r="CW375" s="630"/>
      <c r="CX375" s="630"/>
      <c r="CY375" s="630"/>
      <c r="CZ375" s="630"/>
      <c r="DA375" s="630"/>
    </row>
    <row r="376" spans="2:105" s="78" customFormat="1" ht="15" customHeight="1" x14ac:dyDescent="0.25">
      <c r="B376" s="77"/>
      <c r="E376" s="77"/>
      <c r="H376" s="77"/>
      <c r="Y376" s="90">
        <v>123</v>
      </c>
      <c r="Z376" s="559" t="str">
        <f>IF(Inventory!$C132="","",VLOOKUP(Inventory!$C132,$B$7:$C$9,2,FALSE))</f>
        <v/>
      </c>
      <c r="AA376" s="559" t="str">
        <f>IF($Z376="","",IF(AND($Z376="b",Inventory!$G132=""),"",IF(AND($Z376="b",Inventory!$G132&lt;&gt;""),VLOOKUP(Inventory!$G132,$E$3:$F$10,2,FALSE),IF(AND($Z376="a",Inventory!$Z132=""),"",IF(AND($Z376="a",Inventory!$Z132&lt;&gt;""),VLOOKUP(Inventory!$Z132,$E$3:$F$10,2,FALSE),IF(AND($Z376="c",Inventory!$Z132=""),"",IF(AND($Z376="c",Inventory!$Z132&lt;&gt;""),VLOOKUP(Inventory!$Z132,$E$3:$F$10,2,FALSE),"")))))))</f>
        <v/>
      </c>
      <c r="AB376" s="559" t="str">
        <f>IF($Z376="","a",IF(AND($Z376="b",Inventory!$J132=""),"a",IF(AND($Z376="b",Inventory!$J132&lt;&gt;""),VLOOKUP(Inventory!$J132,$H$4:$I$6,2,FALSE),IF(AND($Z376="a",Inventory!$AA132=""),"a",IF(AND($Z376="a",Inventory!$AA132&lt;&gt;""),VLOOKUP(Inventory!$AA132,$H$4:$I$6,2,FALSE),IF(AND($Z376="c",Inventory!$AA132=""),"a",IF(AND($Z376="c",Inventory!$AA132&lt;&gt;""),VLOOKUP(Inventory!$AA132,$H$4:$I$6,2,FALSE),"a")))))))</f>
        <v>a</v>
      </c>
      <c r="AC376" s="559" t="str">
        <f t="shared" si="260"/>
        <v>a</v>
      </c>
      <c r="AD376" s="473" t="str">
        <f>IF($Z376="","a",IF(AND($Z376="b",Inventory!$L132=""),"a",IF(AND($Z376="b",Inventory!$L132&lt;&gt;""),VLOOKUP(Inventory!$L132,$N$4:$O$5,2,FALSE),IF(AND($Z376="a",Inventory!$AC132=""),"a",IF(AND($Z376="a",Inventory!$AC132&lt;&gt;""),VLOOKUP(Inventory!$AC132,$N$4:$O$5,2,FALSE),IF(AND($Z376="c",Inventory!$AC132=""),"a",IF(AND($Z376="c",Inventory!$AC132&lt;&gt;""),VLOOKUP(Inventory!$AC132,$N$4:$O$5,2,FALSE),"a")))))))</f>
        <v>a</v>
      </c>
      <c r="AE376" s="474">
        <f>IF(OR(Inventory!C132="New Construction",Inventory!C132="Replace-on-Burnout"),Inventory!AF132,IF(Inventory!C132="Early Retirement",MIN(Inventory!AE132,Inventory!AF132),0))</f>
        <v>0</v>
      </c>
      <c r="AF376" s="475" t="str">
        <f t="shared" si="261"/>
        <v/>
      </c>
      <c r="AG376" s="475" t="str">
        <f t="shared" si="262"/>
        <v/>
      </c>
      <c r="AH376" s="475" t="str">
        <f t="shared" si="263"/>
        <v/>
      </c>
      <c r="AI376" s="475" t="str">
        <f t="shared" si="264"/>
        <v/>
      </c>
      <c r="AJ376" s="475" t="str">
        <f t="shared" si="265"/>
        <v/>
      </c>
      <c r="AK376" s="475" t="str">
        <f t="shared" si="266"/>
        <v/>
      </c>
      <c r="AL376" s="475" t="str">
        <f t="shared" si="267"/>
        <v/>
      </c>
      <c r="AM376" s="475" t="str">
        <f t="shared" si="268"/>
        <v/>
      </c>
      <c r="AN376" s="475" t="str">
        <f t="shared" si="269"/>
        <v/>
      </c>
      <c r="AO376" s="475" t="str">
        <f t="shared" si="270"/>
        <v/>
      </c>
      <c r="AP376" s="475" t="str">
        <f t="shared" si="271"/>
        <v/>
      </c>
      <c r="AQ376" s="475" t="str">
        <f t="shared" si="272"/>
        <v/>
      </c>
      <c r="AR376" s="475" t="str">
        <f t="shared" si="273"/>
        <v/>
      </c>
      <c r="AS376" s="475" t="str">
        <f t="shared" si="256"/>
        <v/>
      </c>
      <c r="AT376" s="475" t="str">
        <f t="shared" si="274"/>
        <v/>
      </c>
      <c r="AU376" s="475" t="str">
        <f t="shared" si="275"/>
        <v/>
      </c>
      <c r="AV376" s="475" t="str">
        <f t="shared" si="276"/>
        <v/>
      </c>
      <c r="AW376" s="473">
        <f t="shared" si="277"/>
        <v>0</v>
      </c>
      <c r="AX376" s="473" t="str">
        <f>IF(AND($Z376="b",OR($AA376="a",$AA376="b"),Inventory!$I132="",$AE376&lt;(65000/12000)),"x",IF(AND($Z376="b",OR($AA376="a",$AA376="b"),Inventory!$I132&lt;&gt;"",$AE376&lt;(65000/12000)),VLOOKUP(Inventory!$I383,$V$4:$W$5,2,FALSE),"x"))</f>
        <v>x</v>
      </c>
      <c r="AY376" s="476" t="str">
        <f t="shared" si="278"/>
        <v>aaa0</v>
      </c>
      <c r="AZ376" s="477" t="str">
        <f t="shared" si="247"/>
        <v>No</v>
      </c>
      <c r="BA376" s="759" t="str">
        <f t="shared" si="248"/>
        <v>No</v>
      </c>
      <c r="BB376" s="477">
        <f>IF($Z376="c",Inventory!$AB132,Inventory!$K132)</f>
        <v>0</v>
      </c>
      <c r="BC376" s="478">
        <f>IF(AND($Z376="b",Inventory!$N132="Btu/hr"),Inventory!$M132,IF(AND($Z376="b",Inventory!$N132="Tons"),Inventory!$M132*12000,IF(AND($Z376&lt;&gt;"b",Inventory!$AK132="Btu/hr"),Inventory!$AD132,IF(AND($Z376&lt;&gt;"b",Inventory!$AK132="Tons"),Inventory!$AD132*12000,0))))</f>
        <v>0</v>
      </c>
      <c r="BD376" s="478">
        <f t="shared" si="285"/>
        <v>0</v>
      </c>
      <c r="BE376" s="479">
        <f t="shared" si="257"/>
        <v>0</v>
      </c>
      <c r="BF376" s="477" t="s">
        <v>50</v>
      </c>
      <c r="BG376" s="479">
        <f t="shared" si="279"/>
        <v>0</v>
      </c>
      <c r="BH376" s="477" t="s">
        <v>46</v>
      </c>
      <c r="BI376" s="760">
        <f>IF(AND($Z376="b",Inventory!$P132="Btu/hr"),Inventory!$O132,IF(AND($Z376="b",Inventory!$P132="Tons"),Inventory!$O132*12000,IF(AND($Z376&lt;&gt;"b",Inventory!$AM132="Btu/hr"),Inventory!$AL132,IF(AND($Z376&lt;&gt;"b",Inventory!$AM132="Tons"),Inventory!$AL132*12000,0))))</f>
        <v>0</v>
      </c>
      <c r="BJ376" s="760">
        <f t="shared" si="286"/>
        <v>0</v>
      </c>
      <c r="BK376" s="598">
        <f t="shared" si="249"/>
        <v>0</v>
      </c>
      <c r="BL376" s="759" t="s">
        <v>567</v>
      </c>
      <c r="BM376" s="477" t="str">
        <f t="shared" si="280"/>
        <v>No</v>
      </c>
      <c r="BN376" s="477" t="str">
        <f>IF(OR(Inventory!$H132="",$BM376="No"),"-",Inventory!$H132)</f>
        <v>-</v>
      </c>
      <c r="BO376" s="477" t="str">
        <f>IFERROR(VLOOKUP(BN376,'Early Retirement'!$B$6:$C$33,2,FALSE),"-")</f>
        <v>-</v>
      </c>
      <c r="BP376" s="477" t="str">
        <f>IF(Inventory!$J132="Centrifugal","Yes","No")</f>
        <v>No</v>
      </c>
      <c r="BQ376" s="477">
        <f t="shared" si="281"/>
        <v>0</v>
      </c>
      <c r="BR376" s="477" t="str">
        <f t="shared" si="259"/>
        <v>-</v>
      </c>
      <c r="BS376" s="479">
        <f>IFERROR(INDEX('Early Retirement'!$C$4:$AC$33,$BO376,$BR376),0)</f>
        <v>0</v>
      </c>
      <c r="BT376" s="477">
        <f>IFERROR(HLOOKUP($BR376,'Early Retirement'!$D$4:$AC$5,2,FALSE),0)</f>
        <v>0</v>
      </c>
      <c r="BU376" s="761">
        <f>IFERROR(INDEX('Early Retirement'!$AE$4:$BE$33,$BO376,$BR376),0)</f>
        <v>0</v>
      </c>
      <c r="BV376" s="759">
        <f>IFERROR(HLOOKUP($BR376,'Early Retirement'!$AF$4:$BE$5,2,FALSE),0)</f>
        <v>0</v>
      </c>
      <c r="BW376" s="479">
        <f t="shared" si="282"/>
        <v>0</v>
      </c>
      <c r="BX376" s="761">
        <f t="shared" si="250"/>
        <v>0</v>
      </c>
      <c r="BY376" s="477" t="s">
        <v>46</v>
      </c>
      <c r="BZ376" s="598">
        <f>IFERROR(INDEX('Early Retirement'!$BG$4:$CG$33,$BO376,$BR376),0)</f>
        <v>0</v>
      </c>
      <c r="CA376" s="759">
        <f>IFERROR(HLOOKUP($BR376,'Early Retirement'!$BH$4:$CH$5,2,FALSE),0)</f>
        <v>0</v>
      </c>
      <c r="CB376" s="598">
        <f t="shared" si="251"/>
        <v>0</v>
      </c>
      <c r="CC376" s="759" t="s">
        <v>567</v>
      </c>
      <c r="CD376" s="477" t="str">
        <f t="shared" si="283"/>
        <v>Yes</v>
      </c>
      <c r="CE376" s="479">
        <f t="shared" si="252"/>
        <v>0</v>
      </c>
      <c r="CF376" s="761">
        <f t="shared" si="253"/>
        <v>0</v>
      </c>
      <c r="CG376" s="759" t="s">
        <v>46</v>
      </c>
      <c r="CH376" s="598">
        <f t="shared" si="258"/>
        <v>0</v>
      </c>
      <c r="CI376" s="759" t="s">
        <v>567</v>
      </c>
      <c r="CJ376" s="480">
        <f t="shared" si="284"/>
        <v>0</v>
      </c>
      <c r="CK376" s="583">
        <f t="shared" si="254"/>
        <v>0</v>
      </c>
      <c r="CL376" s="596" t="s">
        <v>46</v>
      </c>
      <c r="CM376" s="581">
        <f t="shared" si="255"/>
        <v>0</v>
      </c>
      <c r="CN376" s="762" t="s">
        <v>567</v>
      </c>
      <c r="CW376" s="630"/>
      <c r="CX376" s="630"/>
      <c r="CY376" s="630"/>
      <c r="CZ376" s="630"/>
      <c r="DA376" s="630"/>
    </row>
    <row r="377" spans="2:105" s="78" customFormat="1" ht="15" customHeight="1" x14ac:dyDescent="0.25">
      <c r="B377" s="77"/>
      <c r="E377" s="77"/>
      <c r="H377" s="77"/>
      <c r="Y377" s="90">
        <v>124</v>
      </c>
      <c r="Z377" s="559" t="str">
        <f>IF(Inventory!$C133="","",VLOOKUP(Inventory!$C133,$B$7:$C$9,2,FALSE))</f>
        <v/>
      </c>
      <c r="AA377" s="559" t="str">
        <f>IF($Z377="","",IF(AND($Z377="b",Inventory!$G133=""),"",IF(AND($Z377="b",Inventory!$G133&lt;&gt;""),VLOOKUP(Inventory!$G133,$E$3:$F$10,2,FALSE),IF(AND($Z377="a",Inventory!$Z133=""),"",IF(AND($Z377="a",Inventory!$Z133&lt;&gt;""),VLOOKUP(Inventory!$Z133,$E$3:$F$10,2,FALSE),IF(AND($Z377="c",Inventory!$Z133=""),"",IF(AND($Z377="c",Inventory!$Z133&lt;&gt;""),VLOOKUP(Inventory!$Z133,$E$3:$F$10,2,FALSE),"")))))))</f>
        <v/>
      </c>
      <c r="AB377" s="559" t="str">
        <f>IF($Z377="","a",IF(AND($Z377="b",Inventory!$J133=""),"a",IF(AND($Z377="b",Inventory!$J133&lt;&gt;""),VLOOKUP(Inventory!$J133,$H$4:$I$6,2,FALSE),IF(AND($Z377="a",Inventory!$AA133=""),"a",IF(AND($Z377="a",Inventory!$AA133&lt;&gt;""),VLOOKUP(Inventory!$AA133,$H$4:$I$6,2,FALSE),IF(AND($Z377="c",Inventory!$AA133=""),"a",IF(AND($Z377="c",Inventory!$AA133&lt;&gt;""),VLOOKUP(Inventory!$AA133,$H$4:$I$6,2,FALSE),"a")))))))</f>
        <v>a</v>
      </c>
      <c r="AC377" s="559" t="str">
        <f t="shared" si="260"/>
        <v>a</v>
      </c>
      <c r="AD377" s="473" t="str">
        <f>IF($Z377="","a",IF(AND($Z377="b",Inventory!$L133=""),"a",IF(AND($Z377="b",Inventory!$L133&lt;&gt;""),VLOOKUP(Inventory!$L133,$N$4:$O$5,2,FALSE),IF(AND($Z377="a",Inventory!$AC133=""),"a",IF(AND($Z377="a",Inventory!$AC133&lt;&gt;""),VLOOKUP(Inventory!$AC133,$N$4:$O$5,2,FALSE),IF(AND($Z377="c",Inventory!$AC133=""),"a",IF(AND($Z377="c",Inventory!$AC133&lt;&gt;""),VLOOKUP(Inventory!$AC133,$N$4:$O$5,2,FALSE),"a")))))))</f>
        <v>a</v>
      </c>
      <c r="AE377" s="474">
        <f>IF(OR(Inventory!C133="New Construction",Inventory!C133="Replace-on-Burnout"),Inventory!AF133,IF(Inventory!C133="Early Retirement",MIN(Inventory!AE133,Inventory!AF133),0))</f>
        <v>0</v>
      </c>
      <c r="AF377" s="475" t="str">
        <f t="shared" si="261"/>
        <v/>
      </c>
      <c r="AG377" s="475" t="str">
        <f t="shared" si="262"/>
        <v/>
      </c>
      <c r="AH377" s="475" t="str">
        <f t="shared" si="263"/>
        <v/>
      </c>
      <c r="AI377" s="475" t="str">
        <f t="shared" si="264"/>
        <v/>
      </c>
      <c r="AJ377" s="475" t="str">
        <f t="shared" si="265"/>
        <v/>
      </c>
      <c r="AK377" s="475" t="str">
        <f t="shared" si="266"/>
        <v/>
      </c>
      <c r="AL377" s="475" t="str">
        <f t="shared" si="267"/>
        <v/>
      </c>
      <c r="AM377" s="475" t="str">
        <f t="shared" si="268"/>
        <v/>
      </c>
      <c r="AN377" s="475" t="str">
        <f t="shared" si="269"/>
        <v/>
      </c>
      <c r="AO377" s="475" t="str">
        <f t="shared" si="270"/>
        <v/>
      </c>
      <c r="AP377" s="475" t="str">
        <f t="shared" si="271"/>
        <v/>
      </c>
      <c r="AQ377" s="475" t="str">
        <f t="shared" si="272"/>
        <v/>
      </c>
      <c r="AR377" s="475" t="str">
        <f t="shared" si="273"/>
        <v/>
      </c>
      <c r="AS377" s="475" t="str">
        <f t="shared" si="256"/>
        <v/>
      </c>
      <c r="AT377" s="475" t="str">
        <f t="shared" si="274"/>
        <v/>
      </c>
      <c r="AU377" s="475" t="str">
        <f t="shared" si="275"/>
        <v/>
      </c>
      <c r="AV377" s="475" t="str">
        <f t="shared" si="276"/>
        <v/>
      </c>
      <c r="AW377" s="473">
        <f t="shared" si="277"/>
        <v>0</v>
      </c>
      <c r="AX377" s="473" t="str">
        <f>IF(AND($Z377="b",OR($AA377="a",$AA377="b"),Inventory!$I133="",$AE377&lt;(65000/12000)),"x",IF(AND($Z377="b",OR($AA377="a",$AA377="b"),Inventory!$I133&lt;&gt;"",$AE377&lt;(65000/12000)),VLOOKUP(Inventory!$I384,$V$4:$W$5,2,FALSE),"x"))</f>
        <v>x</v>
      </c>
      <c r="AY377" s="476" t="str">
        <f t="shared" si="278"/>
        <v>aaa0</v>
      </c>
      <c r="AZ377" s="477" t="str">
        <f t="shared" si="247"/>
        <v>No</v>
      </c>
      <c r="BA377" s="759" t="str">
        <f t="shared" si="248"/>
        <v>No</v>
      </c>
      <c r="BB377" s="477">
        <f>IF($Z377="c",Inventory!$AB133,Inventory!$K133)</f>
        <v>0</v>
      </c>
      <c r="BC377" s="478">
        <f>IF(AND($Z377="b",Inventory!$N133="Btu/hr"),Inventory!$M133,IF(AND($Z377="b",Inventory!$N133="Tons"),Inventory!$M133*12000,IF(AND($Z377&lt;&gt;"b",Inventory!$AK133="Btu/hr"),Inventory!$AD133,IF(AND($Z377&lt;&gt;"b",Inventory!$AK133="Tons"),Inventory!$AD133*12000,0))))</f>
        <v>0</v>
      </c>
      <c r="BD377" s="478">
        <f t="shared" si="285"/>
        <v>0</v>
      </c>
      <c r="BE377" s="479">
        <f t="shared" si="257"/>
        <v>0</v>
      </c>
      <c r="BF377" s="477" t="s">
        <v>50</v>
      </c>
      <c r="BG377" s="479">
        <f t="shared" si="279"/>
        <v>0</v>
      </c>
      <c r="BH377" s="477" t="s">
        <v>46</v>
      </c>
      <c r="BI377" s="760">
        <f>IF(AND($Z377="b",Inventory!$P133="Btu/hr"),Inventory!$O133,IF(AND($Z377="b",Inventory!$P133="Tons"),Inventory!$O133*12000,IF(AND($Z377&lt;&gt;"b",Inventory!$AM133="Btu/hr"),Inventory!$AL133,IF(AND($Z377&lt;&gt;"b",Inventory!$AM133="Tons"),Inventory!$AL133*12000,0))))</f>
        <v>0</v>
      </c>
      <c r="BJ377" s="760">
        <f t="shared" si="286"/>
        <v>0</v>
      </c>
      <c r="BK377" s="598">
        <f t="shared" si="249"/>
        <v>0</v>
      </c>
      <c r="BL377" s="759" t="s">
        <v>567</v>
      </c>
      <c r="BM377" s="477" t="str">
        <f t="shared" si="280"/>
        <v>No</v>
      </c>
      <c r="BN377" s="477" t="str">
        <f>IF(OR(Inventory!$H133="",$BM377="No"),"-",Inventory!$H133)</f>
        <v>-</v>
      </c>
      <c r="BO377" s="477" t="str">
        <f>IFERROR(VLOOKUP(BN377,'Early Retirement'!$B$6:$C$33,2,FALSE),"-")</f>
        <v>-</v>
      </c>
      <c r="BP377" s="477" t="str">
        <f>IF(Inventory!$J133="Centrifugal","Yes","No")</f>
        <v>No</v>
      </c>
      <c r="BQ377" s="477">
        <f t="shared" si="281"/>
        <v>0</v>
      </c>
      <c r="BR377" s="477" t="str">
        <f t="shared" si="259"/>
        <v>-</v>
      </c>
      <c r="BS377" s="479">
        <f>IFERROR(INDEX('Early Retirement'!$C$4:$AC$33,$BO377,$BR377),0)</f>
        <v>0</v>
      </c>
      <c r="BT377" s="477">
        <f>IFERROR(HLOOKUP($BR377,'Early Retirement'!$D$4:$AC$5,2,FALSE),0)</f>
        <v>0</v>
      </c>
      <c r="BU377" s="761">
        <f>IFERROR(INDEX('Early Retirement'!$AE$4:$BE$33,$BO377,$BR377),0)</f>
        <v>0</v>
      </c>
      <c r="BV377" s="759">
        <f>IFERROR(HLOOKUP($BR377,'Early Retirement'!$AF$4:$BE$5,2,FALSE),0)</f>
        <v>0</v>
      </c>
      <c r="BW377" s="479">
        <f t="shared" si="282"/>
        <v>0</v>
      </c>
      <c r="BX377" s="761">
        <f t="shared" si="250"/>
        <v>0</v>
      </c>
      <c r="BY377" s="477" t="s">
        <v>46</v>
      </c>
      <c r="BZ377" s="598">
        <f>IFERROR(INDEX('Early Retirement'!$BG$4:$CG$33,$BO377,$BR377),0)</f>
        <v>0</v>
      </c>
      <c r="CA377" s="759">
        <f>IFERROR(HLOOKUP($BR377,'Early Retirement'!$BH$4:$CH$5,2,FALSE),0)</f>
        <v>0</v>
      </c>
      <c r="CB377" s="598">
        <f t="shared" si="251"/>
        <v>0</v>
      </c>
      <c r="CC377" s="759" t="s">
        <v>567</v>
      </c>
      <c r="CD377" s="477" t="str">
        <f t="shared" si="283"/>
        <v>Yes</v>
      </c>
      <c r="CE377" s="479">
        <f t="shared" si="252"/>
        <v>0</v>
      </c>
      <c r="CF377" s="761">
        <f t="shared" si="253"/>
        <v>0</v>
      </c>
      <c r="CG377" s="759" t="s">
        <v>46</v>
      </c>
      <c r="CH377" s="598">
        <f t="shared" si="258"/>
        <v>0</v>
      </c>
      <c r="CI377" s="759" t="s">
        <v>567</v>
      </c>
      <c r="CJ377" s="480">
        <f t="shared" si="284"/>
        <v>0</v>
      </c>
      <c r="CK377" s="583">
        <f t="shared" si="254"/>
        <v>0</v>
      </c>
      <c r="CL377" s="596" t="s">
        <v>46</v>
      </c>
      <c r="CM377" s="581">
        <f t="shared" si="255"/>
        <v>0</v>
      </c>
      <c r="CN377" s="762" t="s">
        <v>567</v>
      </c>
      <c r="CW377" s="630"/>
      <c r="CX377" s="630"/>
      <c r="CY377" s="630"/>
      <c r="CZ377" s="630"/>
      <c r="DA377" s="630"/>
    </row>
    <row r="378" spans="2:105" s="78" customFormat="1" ht="15" customHeight="1" x14ac:dyDescent="0.25">
      <c r="B378" s="77"/>
      <c r="E378" s="77"/>
      <c r="H378" s="77"/>
      <c r="Y378" s="90">
        <v>125</v>
      </c>
      <c r="Z378" s="559" t="str">
        <f>IF(Inventory!$C134="","",VLOOKUP(Inventory!$C134,$B$7:$C$9,2,FALSE))</f>
        <v/>
      </c>
      <c r="AA378" s="559" t="str">
        <f>IF($Z378="","",IF(AND($Z378="b",Inventory!$G134=""),"",IF(AND($Z378="b",Inventory!$G134&lt;&gt;""),VLOOKUP(Inventory!$G134,$E$3:$F$10,2,FALSE),IF(AND($Z378="a",Inventory!$Z134=""),"",IF(AND($Z378="a",Inventory!$Z134&lt;&gt;""),VLOOKUP(Inventory!$Z134,$E$3:$F$10,2,FALSE),IF(AND($Z378="c",Inventory!$Z134=""),"",IF(AND($Z378="c",Inventory!$Z134&lt;&gt;""),VLOOKUP(Inventory!$Z134,$E$3:$F$10,2,FALSE),"")))))))</f>
        <v/>
      </c>
      <c r="AB378" s="559" t="str">
        <f>IF($Z378="","a",IF(AND($Z378="b",Inventory!$J134=""),"a",IF(AND($Z378="b",Inventory!$J134&lt;&gt;""),VLOOKUP(Inventory!$J134,$H$4:$I$6,2,FALSE),IF(AND($Z378="a",Inventory!$AA134=""),"a",IF(AND($Z378="a",Inventory!$AA134&lt;&gt;""),VLOOKUP(Inventory!$AA134,$H$4:$I$6,2,FALSE),IF(AND($Z378="c",Inventory!$AA134=""),"a",IF(AND($Z378="c",Inventory!$AA134&lt;&gt;""),VLOOKUP(Inventory!$AA134,$H$4:$I$6,2,FALSE),"a")))))))</f>
        <v>a</v>
      </c>
      <c r="AC378" s="559" t="str">
        <f t="shared" si="260"/>
        <v>a</v>
      </c>
      <c r="AD378" s="473" t="str">
        <f>IF($Z378="","a",IF(AND($Z378="b",Inventory!$L134=""),"a",IF(AND($Z378="b",Inventory!$L134&lt;&gt;""),VLOOKUP(Inventory!$L134,$N$4:$O$5,2,FALSE),IF(AND($Z378="a",Inventory!$AC134=""),"a",IF(AND($Z378="a",Inventory!$AC134&lt;&gt;""),VLOOKUP(Inventory!$AC134,$N$4:$O$5,2,FALSE),IF(AND($Z378="c",Inventory!$AC134=""),"a",IF(AND($Z378="c",Inventory!$AC134&lt;&gt;""),VLOOKUP(Inventory!$AC134,$N$4:$O$5,2,FALSE),"a")))))))</f>
        <v>a</v>
      </c>
      <c r="AE378" s="474">
        <f>IF(OR(Inventory!C134="New Construction",Inventory!C134="Replace-on-Burnout"),Inventory!AF134,IF(Inventory!C134="Early Retirement",MIN(Inventory!AE134,Inventory!AF134),0))</f>
        <v>0</v>
      </c>
      <c r="AF378" s="475" t="str">
        <f t="shared" si="261"/>
        <v/>
      </c>
      <c r="AG378" s="475" t="str">
        <f t="shared" si="262"/>
        <v/>
      </c>
      <c r="AH378" s="475" t="str">
        <f t="shared" si="263"/>
        <v/>
      </c>
      <c r="AI378" s="475" t="str">
        <f t="shared" si="264"/>
        <v/>
      </c>
      <c r="AJ378" s="475" t="str">
        <f t="shared" si="265"/>
        <v/>
      </c>
      <c r="AK378" s="475" t="str">
        <f t="shared" si="266"/>
        <v/>
      </c>
      <c r="AL378" s="475" t="str">
        <f t="shared" si="267"/>
        <v/>
      </c>
      <c r="AM378" s="475" t="str">
        <f t="shared" si="268"/>
        <v/>
      </c>
      <c r="AN378" s="475" t="str">
        <f t="shared" si="269"/>
        <v/>
      </c>
      <c r="AO378" s="475" t="str">
        <f t="shared" si="270"/>
        <v/>
      </c>
      <c r="AP378" s="475" t="str">
        <f t="shared" si="271"/>
        <v/>
      </c>
      <c r="AQ378" s="475" t="str">
        <f t="shared" si="272"/>
        <v/>
      </c>
      <c r="AR378" s="475" t="str">
        <f t="shared" si="273"/>
        <v/>
      </c>
      <c r="AS378" s="475" t="str">
        <f t="shared" si="256"/>
        <v/>
      </c>
      <c r="AT378" s="475" t="str">
        <f t="shared" si="274"/>
        <v/>
      </c>
      <c r="AU378" s="475" t="str">
        <f t="shared" si="275"/>
        <v/>
      </c>
      <c r="AV378" s="475" t="str">
        <f t="shared" si="276"/>
        <v/>
      </c>
      <c r="AW378" s="473">
        <f t="shared" si="277"/>
        <v>0</v>
      </c>
      <c r="AX378" s="473" t="str">
        <f>IF(AND($Z378="b",OR($AA378="a",$AA378="b"),Inventory!$I134="",$AE378&lt;(65000/12000)),"x",IF(AND($Z378="b",OR($AA378="a",$AA378="b"),Inventory!$I134&lt;&gt;"",$AE378&lt;(65000/12000)),VLOOKUP(Inventory!$I385,$V$4:$W$5,2,FALSE),"x"))</f>
        <v>x</v>
      </c>
      <c r="AY378" s="476" t="str">
        <f t="shared" si="278"/>
        <v>aaa0</v>
      </c>
      <c r="AZ378" s="477" t="str">
        <f t="shared" si="247"/>
        <v>No</v>
      </c>
      <c r="BA378" s="759" t="str">
        <f t="shared" si="248"/>
        <v>No</v>
      </c>
      <c r="BB378" s="477">
        <f>IF($Z378="c",Inventory!$AB134,Inventory!$K134)</f>
        <v>0</v>
      </c>
      <c r="BC378" s="478">
        <f>IF(AND($Z378="b",Inventory!$N134="Btu/hr"),Inventory!$M134,IF(AND($Z378="b",Inventory!$N134="Tons"),Inventory!$M134*12000,IF(AND($Z378&lt;&gt;"b",Inventory!$AK134="Btu/hr"),Inventory!$AD134,IF(AND($Z378&lt;&gt;"b",Inventory!$AK134="Tons"),Inventory!$AD134*12000,0))))</f>
        <v>0</v>
      </c>
      <c r="BD378" s="478">
        <f t="shared" si="285"/>
        <v>0</v>
      </c>
      <c r="BE378" s="479">
        <f t="shared" si="257"/>
        <v>0</v>
      </c>
      <c r="BF378" s="477" t="s">
        <v>50</v>
      </c>
      <c r="BG378" s="479">
        <f t="shared" si="279"/>
        <v>0</v>
      </c>
      <c r="BH378" s="477" t="s">
        <v>46</v>
      </c>
      <c r="BI378" s="760">
        <f>IF(AND($Z378="b",Inventory!$P134="Btu/hr"),Inventory!$O134,IF(AND($Z378="b",Inventory!$P134="Tons"),Inventory!$O134*12000,IF(AND($Z378&lt;&gt;"b",Inventory!$AM134="Btu/hr"),Inventory!$AL134,IF(AND($Z378&lt;&gt;"b",Inventory!$AM134="Tons"),Inventory!$AL134*12000,0))))</f>
        <v>0</v>
      </c>
      <c r="BJ378" s="760">
        <f t="shared" si="286"/>
        <v>0</v>
      </c>
      <c r="BK378" s="598">
        <f t="shared" si="249"/>
        <v>0</v>
      </c>
      <c r="BL378" s="759" t="s">
        <v>567</v>
      </c>
      <c r="BM378" s="477" t="str">
        <f t="shared" si="280"/>
        <v>No</v>
      </c>
      <c r="BN378" s="477" t="str">
        <f>IF(OR(Inventory!$H134="",$BM378="No"),"-",Inventory!$H134)</f>
        <v>-</v>
      </c>
      <c r="BO378" s="477" t="str">
        <f>IFERROR(VLOOKUP(BN378,'Early Retirement'!$B$6:$C$33,2,FALSE),"-")</f>
        <v>-</v>
      </c>
      <c r="BP378" s="477" t="str">
        <f>IF(Inventory!$J134="Centrifugal","Yes","No")</f>
        <v>No</v>
      </c>
      <c r="BQ378" s="477">
        <f t="shared" si="281"/>
        <v>0</v>
      </c>
      <c r="BR378" s="477" t="str">
        <f t="shared" si="259"/>
        <v>-</v>
      </c>
      <c r="BS378" s="479">
        <f>IFERROR(INDEX('Early Retirement'!$C$4:$AC$33,$BO378,$BR378),0)</f>
        <v>0</v>
      </c>
      <c r="BT378" s="477">
        <f>IFERROR(HLOOKUP($BR378,'Early Retirement'!$D$4:$AC$5,2,FALSE),0)</f>
        <v>0</v>
      </c>
      <c r="BU378" s="761">
        <f>IFERROR(INDEX('Early Retirement'!$AE$4:$BE$33,$BO378,$BR378),0)</f>
        <v>0</v>
      </c>
      <c r="BV378" s="759">
        <f>IFERROR(HLOOKUP($BR378,'Early Retirement'!$AF$4:$BE$5,2,FALSE),0)</f>
        <v>0</v>
      </c>
      <c r="BW378" s="479">
        <f t="shared" si="282"/>
        <v>0</v>
      </c>
      <c r="BX378" s="761">
        <f t="shared" si="250"/>
        <v>0</v>
      </c>
      <c r="BY378" s="477" t="s">
        <v>46</v>
      </c>
      <c r="BZ378" s="598">
        <f>IFERROR(INDEX('Early Retirement'!$BG$4:$CG$33,$BO378,$BR378),0)</f>
        <v>0</v>
      </c>
      <c r="CA378" s="759">
        <f>IFERROR(HLOOKUP($BR378,'Early Retirement'!$BH$4:$CH$5,2,FALSE),0)</f>
        <v>0</v>
      </c>
      <c r="CB378" s="598">
        <f t="shared" si="251"/>
        <v>0</v>
      </c>
      <c r="CC378" s="759" t="s">
        <v>567</v>
      </c>
      <c r="CD378" s="477" t="str">
        <f t="shared" si="283"/>
        <v>Yes</v>
      </c>
      <c r="CE378" s="479">
        <f t="shared" si="252"/>
        <v>0</v>
      </c>
      <c r="CF378" s="761">
        <f t="shared" si="253"/>
        <v>0</v>
      </c>
      <c r="CG378" s="759" t="s">
        <v>46</v>
      </c>
      <c r="CH378" s="598">
        <f t="shared" si="258"/>
        <v>0</v>
      </c>
      <c r="CI378" s="759" t="s">
        <v>567</v>
      </c>
      <c r="CJ378" s="480">
        <f t="shared" si="284"/>
        <v>0</v>
      </c>
      <c r="CK378" s="583">
        <f t="shared" si="254"/>
        <v>0</v>
      </c>
      <c r="CL378" s="596" t="s">
        <v>46</v>
      </c>
      <c r="CM378" s="581">
        <f t="shared" si="255"/>
        <v>0</v>
      </c>
      <c r="CN378" s="762" t="s">
        <v>567</v>
      </c>
      <c r="CW378" s="630"/>
      <c r="CX378" s="630"/>
      <c r="CY378" s="630"/>
      <c r="CZ378" s="630"/>
      <c r="DA378" s="630"/>
    </row>
    <row r="379" spans="2:105" s="78" customFormat="1" ht="15" customHeight="1" x14ac:dyDescent="0.25">
      <c r="B379" s="77"/>
      <c r="E379" s="77"/>
      <c r="H379" s="77"/>
      <c r="Y379" s="90">
        <v>126</v>
      </c>
      <c r="Z379" s="559" t="str">
        <f>IF(Inventory!$C135="","",VLOOKUP(Inventory!$C135,$B$7:$C$9,2,FALSE))</f>
        <v/>
      </c>
      <c r="AA379" s="559" t="str">
        <f>IF($Z379="","",IF(AND($Z379="b",Inventory!$G135=""),"",IF(AND($Z379="b",Inventory!$G135&lt;&gt;""),VLOOKUP(Inventory!$G135,$E$3:$F$10,2,FALSE),IF(AND($Z379="a",Inventory!$Z135=""),"",IF(AND($Z379="a",Inventory!$Z135&lt;&gt;""),VLOOKUP(Inventory!$Z135,$E$3:$F$10,2,FALSE),IF(AND($Z379="c",Inventory!$Z135=""),"",IF(AND($Z379="c",Inventory!$Z135&lt;&gt;""),VLOOKUP(Inventory!$Z135,$E$3:$F$10,2,FALSE),"")))))))</f>
        <v/>
      </c>
      <c r="AB379" s="559" t="str">
        <f>IF($Z379="","a",IF(AND($Z379="b",Inventory!$J135=""),"a",IF(AND($Z379="b",Inventory!$J135&lt;&gt;""),VLOOKUP(Inventory!$J135,$H$4:$I$6,2,FALSE),IF(AND($Z379="a",Inventory!$AA135=""),"a",IF(AND($Z379="a",Inventory!$AA135&lt;&gt;""),VLOOKUP(Inventory!$AA135,$H$4:$I$6,2,FALSE),IF(AND($Z379="c",Inventory!$AA135=""),"a",IF(AND($Z379="c",Inventory!$AA135&lt;&gt;""),VLOOKUP(Inventory!$AA135,$H$4:$I$6,2,FALSE),"a")))))))</f>
        <v>a</v>
      </c>
      <c r="AC379" s="559" t="str">
        <f t="shared" si="260"/>
        <v>a</v>
      </c>
      <c r="AD379" s="473" t="str">
        <f>IF($Z379="","a",IF(AND($Z379="b",Inventory!$L135=""),"a",IF(AND($Z379="b",Inventory!$L135&lt;&gt;""),VLOOKUP(Inventory!$L135,$N$4:$O$5,2,FALSE),IF(AND($Z379="a",Inventory!$AC135=""),"a",IF(AND($Z379="a",Inventory!$AC135&lt;&gt;""),VLOOKUP(Inventory!$AC135,$N$4:$O$5,2,FALSE),IF(AND($Z379="c",Inventory!$AC135=""),"a",IF(AND($Z379="c",Inventory!$AC135&lt;&gt;""),VLOOKUP(Inventory!$AC135,$N$4:$O$5,2,FALSE),"a")))))))</f>
        <v>a</v>
      </c>
      <c r="AE379" s="474">
        <f>IF(OR(Inventory!C135="New Construction",Inventory!C135="Replace-on-Burnout"),Inventory!AF135,IF(Inventory!C135="Early Retirement",MIN(Inventory!AE135,Inventory!AF135),0))</f>
        <v>0</v>
      </c>
      <c r="AF379" s="475" t="str">
        <f t="shared" si="261"/>
        <v/>
      </c>
      <c r="AG379" s="475" t="str">
        <f t="shared" si="262"/>
        <v/>
      </c>
      <c r="AH379" s="475" t="str">
        <f t="shared" si="263"/>
        <v/>
      </c>
      <c r="AI379" s="475" t="str">
        <f t="shared" si="264"/>
        <v/>
      </c>
      <c r="AJ379" s="475" t="str">
        <f t="shared" si="265"/>
        <v/>
      </c>
      <c r="AK379" s="475" t="str">
        <f t="shared" si="266"/>
        <v/>
      </c>
      <c r="AL379" s="475" t="str">
        <f t="shared" si="267"/>
        <v/>
      </c>
      <c r="AM379" s="475" t="str">
        <f t="shared" si="268"/>
        <v/>
      </c>
      <c r="AN379" s="475" t="str">
        <f t="shared" si="269"/>
        <v/>
      </c>
      <c r="AO379" s="475" t="str">
        <f t="shared" si="270"/>
        <v/>
      </c>
      <c r="AP379" s="475" t="str">
        <f t="shared" si="271"/>
        <v/>
      </c>
      <c r="AQ379" s="475" t="str">
        <f t="shared" si="272"/>
        <v/>
      </c>
      <c r="AR379" s="475" t="str">
        <f t="shared" si="273"/>
        <v/>
      </c>
      <c r="AS379" s="475" t="str">
        <f t="shared" si="256"/>
        <v/>
      </c>
      <c r="AT379" s="475" t="str">
        <f t="shared" si="274"/>
        <v/>
      </c>
      <c r="AU379" s="475" t="str">
        <f t="shared" si="275"/>
        <v/>
      </c>
      <c r="AV379" s="475" t="str">
        <f t="shared" si="276"/>
        <v/>
      </c>
      <c r="AW379" s="473">
        <f t="shared" si="277"/>
        <v>0</v>
      </c>
      <c r="AX379" s="473" t="str">
        <f>IF(AND($Z379="b",OR($AA379="a",$AA379="b"),Inventory!$I135="",$AE379&lt;(65000/12000)),"x",IF(AND($Z379="b",OR($AA379="a",$AA379="b"),Inventory!$I135&lt;&gt;"",$AE379&lt;(65000/12000)),VLOOKUP(Inventory!$I386,$V$4:$W$5,2,FALSE),"x"))</f>
        <v>x</v>
      </c>
      <c r="AY379" s="476" t="str">
        <f t="shared" si="278"/>
        <v>aaa0</v>
      </c>
      <c r="AZ379" s="477" t="str">
        <f t="shared" si="247"/>
        <v>No</v>
      </c>
      <c r="BA379" s="759" t="str">
        <f t="shared" si="248"/>
        <v>No</v>
      </c>
      <c r="BB379" s="477">
        <f>IF($Z379="c",Inventory!$AB135,Inventory!$K135)</f>
        <v>0</v>
      </c>
      <c r="BC379" s="478">
        <f>IF(AND($Z379="b",Inventory!$N135="Btu/hr"),Inventory!$M135,IF(AND($Z379="b",Inventory!$N135="Tons"),Inventory!$M135*12000,IF(AND($Z379&lt;&gt;"b",Inventory!$AK135="Btu/hr"),Inventory!$AD135,IF(AND($Z379&lt;&gt;"b",Inventory!$AK135="Tons"),Inventory!$AD135*12000,0))))</f>
        <v>0</v>
      </c>
      <c r="BD379" s="478">
        <f t="shared" si="285"/>
        <v>0</v>
      </c>
      <c r="BE379" s="479">
        <f t="shared" si="257"/>
        <v>0</v>
      </c>
      <c r="BF379" s="477" t="s">
        <v>50</v>
      </c>
      <c r="BG379" s="479">
        <f t="shared" si="279"/>
        <v>0</v>
      </c>
      <c r="BH379" s="477" t="s">
        <v>46</v>
      </c>
      <c r="BI379" s="760">
        <f>IF(AND($Z379="b",Inventory!$P135="Btu/hr"),Inventory!$O135,IF(AND($Z379="b",Inventory!$P135="Tons"),Inventory!$O135*12000,IF(AND($Z379&lt;&gt;"b",Inventory!$AM135="Btu/hr"),Inventory!$AL135,IF(AND($Z379&lt;&gt;"b",Inventory!$AM135="Tons"),Inventory!$AL135*12000,0))))</f>
        <v>0</v>
      </c>
      <c r="BJ379" s="760">
        <f t="shared" si="286"/>
        <v>0</v>
      </c>
      <c r="BK379" s="598">
        <f t="shared" si="249"/>
        <v>0</v>
      </c>
      <c r="BL379" s="759" t="s">
        <v>567</v>
      </c>
      <c r="BM379" s="477" t="str">
        <f t="shared" si="280"/>
        <v>No</v>
      </c>
      <c r="BN379" s="477" t="str">
        <f>IF(OR(Inventory!$H135="",$BM379="No"),"-",Inventory!$H135)</f>
        <v>-</v>
      </c>
      <c r="BO379" s="477" t="str">
        <f>IFERROR(VLOOKUP(BN379,'Early Retirement'!$B$6:$C$33,2,FALSE),"-")</f>
        <v>-</v>
      </c>
      <c r="BP379" s="477" t="str">
        <f>IF(Inventory!$J135="Centrifugal","Yes","No")</f>
        <v>No</v>
      </c>
      <c r="BQ379" s="477">
        <f t="shared" si="281"/>
        <v>0</v>
      </c>
      <c r="BR379" s="477" t="str">
        <f t="shared" si="259"/>
        <v>-</v>
      </c>
      <c r="BS379" s="479">
        <f>IFERROR(INDEX('Early Retirement'!$C$4:$AC$33,$BO379,$BR379),0)</f>
        <v>0</v>
      </c>
      <c r="BT379" s="477">
        <f>IFERROR(HLOOKUP($BR379,'Early Retirement'!$D$4:$AC$5,2,FALSE),0)</f>
        <v>0</v>
      </c>
      <c r="BU379" s="761">
        <f>IFERROR(INDEX('Early Retirement'!$AE$4:$BE$33,$BO379,$BR379),0)</f>
        <v>0</v>
      </c>
      <c r="BV379" s="759">
        <f>IFERROR(HLOOKUP($BR379,'Early Retirement'!$AF$4:$BE$5,2,FALSE),0)</f>
        <v>0</v>
      </c>
      <c r="BW379" s="479">
        <f t="shared" si="282"/>
        <v>0</v>
      </c>
      <c r="BX379" s="761">
        <f t="shared" si="250"/>
        <v>0</v>
      </c>
      <c r="BY379" s="477" t="s">
        <v>46</v>
      </c>
      <c r="BZ379" s="598">
        <f>IFERROR(INDEX('Early Retirement'!$BG$4:$CG$33,$BO379,$BR379),0)</f>
        <v>0</v>
      </c>
      <c r="CA379" s="759">
        <f>IFERROR(HLOOKUP($BR379,'Early Retirement'!$BH$4:$CH$5,2,FALSE),0)</f>
        <v>0</v>
      </c>
      <c r="CB379" s="598">
        <f t="shared" si="251"/>
        <v>0</v>
      </c>
      <c r="CC379" s="759" t="s">
        <v>567</v>
      </c>
      <c r="CD379" s="477" t="str">
        <f t="shared" si="283"/>
        <v>Yes</v>
      </c>
      <c r="CE379" s="479">
        <f t="shared" si="252"/>
        <v>0</v>
      </c>
      <c r="CF379" s="761">
        <f t="shared" si="253"/>
        <v>0</v>
      </c>
      <c r="CG379" s="759" t="s">
        <v>46</v>
      </c>
      <c r="CH379" s="598">
        <f t="shared" si="258"/>
        <v>0</v>
      </c>
      <c r="CI379" s="759" t="s">
        <v>567</v>
      </c>
      <c r="CJ379" s="480">
        <f t="shared" si="284"/>
        <v>0</v>
      </c>
      <c r="CK379" s="583">
        <f t="shared" si="254"/>
        <v>0</v>
      </c>
      <c r="CL379" s="596" t="s">
        <v>46</v>
      </c>
      <c r="CM379" s="581">
        <f t="shared" si="255"/>
        <v>0</v>
      </c>
      <c r="CN379" s="762" t="s">
        <v>567</v>
      </c>
      <c r="CW379" s="630"/>
      <c r="CX379" s="630"/>
      <c r="CY379" s="630"/>
      <c r="CZ379" s="630"/>
      <c r="DA379" s="630"/>
    </row>
    <row r="380" spans="2:105" s="78" customFormat="1" ht="15" customHeight="1" x14ac:dyDescent="0.25">
      <c r="B380" s="77"/>
      <c r="E380" s="77"/>
      <c r="H380" s="77"/>
      <c r="Y380" s="90">
        <v>127</v>
      </c>
      <c r="Z380" s="559" t="str">
        <f>IF(Inventory!$C136="","",VLOOKUP(Inventory!$C136,$B$7:$C$9,2,FALSE))</f>
        <v/>
      </c>
      <c r="AA380" s="559" t="str">
        <f>IF($Z380="","",IF(AND($Z380="b",Inventory!$G136=""),"",IF(AND($Z380="b",Inventory!$G136&lt;&gt;""),VLOOKUP(Inventory!$G136,$E$3:$F$10,2,FALSE),IF(AND($Z380="a",Inventory!$Z136=""),"",IF(AND($Z380="a",Inventory!$Z136&lt;&gt;""),VLOOKUP(Inventory!$Z136,$E$3:$F$10,2,FALSE),IF(AND($Z380="c",Inventory!$Z136=""),"",IF(AND($Z380="c",Inventory!$Z136&lt;&gt;""),VLOOKUP(Inventory!$Z136,$E$3:$F$10,2,FALSE),"")))))))</f>
        <v/>
      </c>
      <c r="AB380" s="559" t="str">
        <f>IF($Z380="","a",IF(AND($Z380="b",Inventory!$J136=""),"a",IF(AND($Z380="b",Inventory!$J136&lt;&gt;""),VLOOKUP(Inventory!$J136,$H$4:$I$6,2,FALSE),IF(AND($Z380="a",Inventory!$AA136=""),"a",IF(AND($Z380="a",Inventory!$AA136&lt;&gt;""),VLOOKUP(Inventory!$AA136,$H$4:$I$6,2,FALSE),IF(AND($Z380="c",Inventory!$AA136=""),"a",IF(AND($Z380="c",Inventory!$AA136&lt;&gt;""),VLOOKUP(Inventory!$AA136,$H$4:$I$6,2,FALSE),"a")))))))</f>
        <v>a</v>
      </c>
      <c r="AC380" s="559" t="str">
        <f t="shared" si="260"/>
        <v>a</v>
      </c>
      <c r="AD380" s="473" t="str">
        <f>IF($Z380="","a",IF(AND($Z380="b",Inventory!$L136=""),"a",IF(AND($Z380="b",Inventory!$L136&lt;&gt;""),VLOOKUP(Inventory!$L136,$N$4:$O$5,2,FALSE),IF(AND($Z380="a",Inventory!$AC136=""),"a",IF(AND($Z380="a",Inventory!$AC136&lt;&gt;""),VLOOKUP(Inventory!$AC136,$N$4:$O$5,2,FALSE),IF(AND($Z380="c",Inventory!$AC136=""),"a",IF(AND($Z380="c",Inventory!$AC136&lt;&gt;""),VLOOKUP(Inventory!$AC136,$N$4:$O$5,2,FALSE),"a")))))))</f>
        <v>a</v>
      </c>
      <c r="AE380" s="474">
        <f>IF(OR(Inventory!C136="New Construction",Inventory!C136="Replace-on-Burnout"),Inventory!AF136,IF(Inventory!C136="Early Retirement",MIN(Inventory!AE136,Inventory!AF136),0))</f>
        <v>0</v>
      </c>
      <c r="AF380" s="475" t="str">
        <f t="shared" si="261"/>
        <v/>
      </c>
      <c r="AG380" s="475" t="str">
        <f t="shared" si="262"/>
        <v/>
      </c>
      <c r="AH380" s="475" t="str">
        <f t="shared" si="263"/>
        <v/>
      </c>
      <c r="AI380" s="475" t="str">
        <f t="shared" si="264"/>
        <v/>
      </c>
      <c r="AJ380" s="475" t="str">
        <f t="shared" si="265"/>
        <v/>
      </c>
      <c r="AK380" s="475" t="str">
        <f t="shared" si="266"/>
        <v/>
      </c>
      <c r="AL380" s="475" t="str">
        <f t="shared" si="267"/>
        <v/>
      </c>
      <c r="AM380" s="475" t="str">
        <f t="shared" si="268"/>
        <v/>
      </c>
      <c r="AN380" s="475" t="str">
        <f t="shared" si="269"/>
        <v/>
      </c>
      <c r="AO380" s="475" t="str">
        <f t="shared" si="270"/>
        <v/>
      </c>
      <c r="AP380" s="475" t="str">
        <f t="shared" si="271"/>
        <v/>
      </c>
      <c r="AQ380" s="475" t="str">
        <f t="shared" si="272"/>
        <v/>
      </c>
      <c r="AR380" s="475" t="str">
        <f t="shared" si="273"/>
        <v/>
      </c>
      <c r="AS380" s="475" t="str">
        <f t="shared" si="256"/>
        <v/>
      </c>
      <c r="AT380" s="475" t="str">
        <f t="shared" si="274"/>
        <v/>
      </c>
      <c r="AU380" s="475" t="str">
        <f t="shared" si="275"/>
        <v/>
      </c>
      <c r="AV380" s="475" t="str">
        <f t="shared" si="276"/>
        <v/>
      </c>
      <c r="AW380" s="473">
        <f t="shared" si="277"/>
        <v>0</v>
      </c>
      <c r="AX380" s="473" t="str">
        <f>IF(AND($Z380="b",OR($AA380="a",$AA380="b"),Inventory!$I136="",$AE380&lt;(65000/12000)),"x",IF(AND($Z380="b",OR($AA380="a",$AA380="b"),Inventory!$I136&lt;&gt;"",$AE380&lt;(65000/12000)),VLOOKUP(Inventory!$I387,$V$4:$W$5,2,FALSE),"x"))</f>
        <v>x</v>
      </c>
      <c r="AY380" s="476" t="str">
        <f t="shared" si="278"/>
        <v>aaa0</v>
      </c>
      <c r="AZ380" s="477" t="str">
        <f t="shared" si="247"/>
        <v>No</v>
      </c>
      <c r="BA380" s="759" t="str">
        <f t="shared" si="248"/>
        <v>No</v>
      </c>
      <c r="BB380" s="477">
        <f>IF($Z380="c",Inventory!$AB136,Inventory!$K136)</f>
        <v>0</v>
      </c>
      <c r="BC380" s="478">
        <f>IF(AND($Z380="b",Inventory!$N136="Btu/hr"),Inventory!$M136,IF(AND($Z380="b",Inventory!$N136="Tons"),Inventory!$M136*12000,IF(AND($Z380&lt;&gt;"b",Inventory!$AK136="Btu/hr"),Inventory!$AD136,IF(AND($Z380&lt;&gt;"b",Inventory!$AK136="Tons"),Inventory!$AD136*12000,0))))</f>
        <v>0</v>
      </c>
      <c r="BD380" s="478">
        <f t="shared" si="285"/>
        <v>0</v>
      </c>
      <c r="BE380" s="479">
        <f t="shared" si="257"/>
        <v>0</v>
      </c>
      <c r="BF380" s="477" t="s">
        <v>50</v>
      </c>
      <c r="BG380" s="479">
        <f t="shared" si="279"/>
        <v>0</v>
      </c>
      <c r="BH380" s="477" t="s">
        <v>46</v>
      </c>
      <c r="BI380" s="760">
        <f>IF(AND($Z380="b",Inventory!$P136="Btu/hr"),Inventory!$O136,IF(AND($Z380="b",Inventory!$P136="Tons"),Inventory!$O136*12000,IF(AND($Z380&lt;&gt;"b",Inventory!$AM136="Btu/hr"),Inventory!$AL136,IF(AND($Z380&lt;&gt;"b",Inventory!$AM136="Tons"),Inventory!$AL136*12000,0))))</f>
        <v>0</v>
      </c>
      <c r="BJ380" s="760">
        <f t="shared" si="286"/>
        <v>0</v>
      </c>
      <c r="BK380" s="598">
        <f t="shared" si="249"/>
        <v>0</v>
      </c>
      <c r="BL380" s="759" t="s">
        <v>567</v>
      </c>
      <c r="BM380" s="477" t="str">
        <f t="shared" si="280"/>
        <v>No</v>
      </c>
      <c r="BN380" s="477" t="str">
        <f>IF(OR(Inventory!$H136="",$BM380="No"),"-",Inventory!$H136)</f>
        <v>-</v>
      </c>
      <c r="BO380" s="477" t="str">
        <f>IFERROR(VLOOKUP(BN380,'Early Retirement'!$B$6:$C$33,2,FALSE),"-")</f>
        <v>-</v>
      </c>
      <c r="BP380" s="477" t="str">
        <f>IF(Inventory!$J136="Centrifugal","Yes","No")</f>
        <v>No</v>
      </c>
      <c r="BQ380" s="477">
        <f t="shared" si="281"/>
        <v>0</v>
      </c>
      <c r="BR380" s="477" t="str">
        <f t="shared" si="259"/>
        <v>-</v>
      </c>
      <c r="BS380" s="479">
        <f>IFERROR(INDEX('Early Retirement'!$C$4:$AC$33,$BO380,$BR380),0)</f>
        <v>0</v>
      </c>
      <c r="BT380" s="477">
        <f>IFERROR(HLOOKUP($BR380,'Early Retirement'!$D$4:$AC$5,2,FALSE),0)</f>
        <v>0</v>
      </c>
      <c r="BU380" s="761">
        <f>IFERROR(INDEX('Early Retirement'!$AE$4:$BE$33,$BO380,$BR380),0)</f>
        <v>0</v>
      </c>
      <c r="BV380" s="759">
        <f>IFERROR(HLOOKUP($BR380,'Early Retirement'!$AF$4:$BE$5,2,FALSE),0)</f>
        <v>0</v>
      </c>
      <c r="BW380" s="479">
        <f t="shared" si="282"/>
        <v>0</v>
      </c>
      <c r="BX380" s="761">
        <f t="shared" si="250"/>
        <v>0</v>
      </c>
      <c r="BY380" s="477" t="s">
        <v>46</v>
      </c>
      <c r="BZ380" s="598">
        <f>IFERROR(INDEX('Early Retirement'!$BG$4:$CG$33,$BO380,$BR380),0)</f>
        <v>0</v>
      </c>
      <c r="CA380" s="759">
        <f>IFERROR(HLOOKUP($BR380,'Early Retirement'!$BH$4:$CH$5,2,FALSE),0)</f>
        <v>0</v>
      </c>
      <c r="CB380" s="598">
        <f t="shared" si="251"/>
        <v>0</v>
      </c>
      <c r="CC380" s="759" t="s">
        <v>567</v>
      </c>
      <c r="CD380" s="477" t="str">
        <f t="shared" si="283"/>
        <v>Yes</v>
      </c>
      <c r="CE380" s="479">
        <f t="shared" si="252"/>
        <v>0</v>
      </c>
      <c r="CF380" s="761">
        <f t="shared" si="253"/>
        <v>0</v>
      </c>
      <c r="CG380" s="759" t="s">
        <v>46</v>
      </c>
      <c r="CH380" s="598">
        <f t="shared" si="258"/>
        <v>0</v>
      </c>
      <c r="CI380" s="759" t="s">
        <v>567</v>
      </c>
      <c r="CJ380" s="480">
        <f t="shared" si="284"/>
        <v>0</v>
      </c>
      <c r="CK380" s="583">
        <f t="shared" si="254"/>
        <v>0</v>
      </c>
      <c r="CL380" s="596" t="s">
        <v>46</v>
      </c>
      <c r="CM380" s="581">
        <f t="shared" si="255"/>
        <v>0</v>
      </c>
      <c r="CN380" s="762" t="s">
        <v>567</v>
      </c>
      <c r="CW380" s="630"/>
      <c r="CX380" s="630"/>
      <c r="CY380" s="630"/>
      <c r="CZ380" s="630"/>
      <c r="DA380" s="630"/>
    </row>
    <row r="381" spans="2:105" s="78" customFormat="1" ht="15" customHeight="1" x14ac:dyDescent="0.25">
      <c r="B381" s="77"/>
      <c r="E381" s="77"/>
      <c r="H381" s="77"/>
      <c r="Y381" s="90">
        <v>128</v>
      </c>
      <c r="Z381" s="559" t="str">
        <f>IF(Inventory!$C137="","",VLOOKUP(Inventory!$C137,$B$7:$C$9,2,FALSE))</f>
        <v/>
      </c>
      <c r="AA381" s="559" t="str">
        <f>IF($Z381="","",IF(AND($Z381="b",Inventory!$G137=""),"",IF(AND($Z381="b",Inventory!$G137&lt;&gt;""),VLOOKUP(Inventory!$G137,$E$3:$F$10,2,FALSE),IF(AND($Z381="a",Inventory!$Z137=""),"",IF(AND($Z381="a",Inventory!$Z137&lt;&gt;""),VLOOKUP(Inventory!$Z137,$E$3:$F$10,2,FALSE),IF(AND($Z381="c",Inventory!$Z137=""),"",IF(AND($Z381="c",Inventory!$Z137&lt;&gt;""),VLOOKUP(Inventory!$Z137,$E$3:$F$10,2,FALSE),"")))))))</f>
        <v/>
      </c>
      <c r="AB381" s="559" t="str">
        <f>IF($Z381="","a",IF(AND($Z381="b",Inventory!$J137=""),"a",IF(AND($Z381="b",Inventory!$J137&lt;&gt;""),VLOOKUP(Inventory!$J137,$H$4:$I$6,2,FALSE),IF(AND($Z381="a",Inventory!$AA137=""),"a",IF(AND($Z381="a",Inventory!$AA137&lt;&gt;""),VLOOKUP(Inventory!$AA137,$H$4:$I$6,2,FALSE),IF(AND($Z381="c",Inventory!$AA137=""),"a",IF(AND($Z381="c",Inventory!$AA137&lt;&gt;""),VLOOKUP(Inventory!$AA137,$H$4:$I$6,2,FALSE),"a")))))))</f>
        <v>a</v>
      </c>
      <c r="AC381" s="559" t="str">
        <f t="shared" si="260"/>
        <v>a</v>
      </c>
      <c r="AD381" s="473" t="str">
        <f>IF($Z381="","a",IF(AND($Z381="b",Inventory!$L137=""),"a",IF(AND($Z381="b",Inventory!$L137&lt;&gt;""),VLOOKUP(Inventory!$L137,$N$4:$O$5,2,FALSE),IF(AND($Z381="a",Inventory!$AC137=""),"a",IF(AND($Z381="a",Inventory!$AC137&lt;&gt;""),VLOOKUP(Inventory!$AC137,$N$4:$O$5,2,FALSE),IF(AND($Z381="c",Inventory!$AC137=""),"a",IF(AND($Z381="c",Inventory!$AC137&lt;&gt;""),VLOOKUP(Inventory!$AC137,$N$4:$O$5,2,FALSE),"a")))))))</f>
        <v>a</v>
      </c>
      <c r="AE381" s="474">
        <f>IF(OR(Inventory!C137="New Construction",Inventory!C137="Replace-on-Burnout"),Inventory!AF137,IF(Inventory!C137="Early Retirement",MIN(Inventory!AE137,Inventory!AF137),0))</f>
        <v>0</v>
      </c>
      <c r="AF381" s="475" t="str">
        <f t="shared" si="261"/>
        <v/>
      </c>
      <c r="AG381" s="475" t="str">
        <f t="shared" si="262"/>
        <v/>
      </c>
      <c r="AH381" s="475" t="str">
        <f t="shared" si="263"/>
        <v/>
      </c>
      <c r="AI381" s="475" t="str">
        <f t="shared" si="264"/>
        <v/>
      </c>
      <c r="AJ381" s="475" t="str">
        <f t="shared" si="265"/>
        <v/>
      </c>
      <c r="AK381" s="475" t="str">
        <f t="shared" si="266"/>
        <v/>
      </c>
      <c r="AL381" s="475" t="str">
        <f t="shared" si="267"/>
        <v/>
      </c>
      <c r="AM381" s="475" t="str">
        <f t="shared" si="268"/>
        <v/>
      </c>
      <c r="AN381" s="475" t="str">
        <f t="shared" si="269"/>
        <v/>
      </c>
      <c r="AO381" s="475" t="str">
        <f t="shared" si="270"/>
        <v/>
      </c>
      <c r="AP381" s="475" t="str">
        <f t="shared" si="271"/>
        <v/>
      </c>
      <c r="AQ381" s="475" t="str">
        <f t="shared" si="272"/>
        <v/>
      </c>
      <c r="AR381" s="475" t="str">
        <f t="shared" si="273"/>
        <v/>
      </c>
      <c r="AS381" s="475" t="str">
        <f t="shared" si="256"/>
        <v/>
      </c>
      <c r="AT381" s="475" t="str">
        <f t="shared" si="274"/>
        <v/>
      </c>
      <c r="AU381" s="475" t="str">
        <f t="shared" si="275"/>
        <v/>
      </c>
      <c r="AV381" s="475" t="str">
        <f t="shared" si="276"/>
        <v/>
      </c>
      <c r="AW381" s="473">
        <f t="shared" si="277"/>
        <v>0</v>
      </c>
      <c r="AX381" s="473" t="str">
        <f>IF(AND($Z381="b",OR($AA381="a",$AA381="b"),Inventory!$I137="",$AE381&lt;(65000/12000)),"x",IF(AND($Z381="b",OR($AA381="a",$AA381="b"),Inventory!$I137&lt;&gt;"",$AE381&lt;(65000/12000)),VLOOKUP(Inventory!$I388,$V$4:$W$5,2,FALSE),"x"))</f>
        <v>x</v>
      </c>
      <c r="AY381" s="476" t="str">
        <f t="shared" si="278"/>
        <v>aaa0</v>
      </c>
      <c r="AZ381" s="477" t="str">
        <f t="shared" si="247"/>
        <v>No</v>
      </c>
      <c r="BA381" s="759" t="str">
        <f t="shared" si="248"/>
        <v>No</v>
      </c>
      <c r="BB381" s="477">
        <f>IF($Z381="c",Inventory!$AB137,Inventory!$K137)</f>
        <v>0</v>
      </c>
      <c r="BC381" s="478">
        <f>IF(AND($Z381="b",Inventory!$N137="Btu/hr"),Inventory!$M137,IF(AND($Z381="b",Inventory!$N137="Tons"),Inventory!$M137*12000,IF(AND($Z381&lt;&gt;"b",Inventory!$AK137="Btu/hr"),Inventory!$AD137,IF(AND($Z381&lt;&gt;"b",Inventory!$AK137="Tons"),Inventory!$AD137*12000,0))))</f>
        <v>0</v>
      </c>
      <c r="BD381" s="478">
        <f t="shared" si="285"/>
        <v>0</v>
      </c>
      <c r="BE381" s="479">
        <f t="shared" si="257"/>
        <v>0</v>
      </c>
      <c r="BF381" s="477" t="s">
        <v>50</v>
      </c>
      <c r="BG381" s="479">
        <f t="shared" si="279"/>
        <v>0</v>
      </c>
      <c r="BH381" s="477" t="s">
        <v>46</v>
      </c>
      <c r="BI381" s="760">
        <f>IF(AND($Z381="b",Inventory!$P137="Btu/hr"),Inventory!$O137,IF(AND($Z381="b",Inventory!$P137="Tons"),Inventory!$O137*12000,IF(AND($Z381&lt;&gt;"b",Inventory!$AM137="Btu/hr"),Inventory!$AL137,IF(AND($Z381&lt;&gt;"b",Inventory!$AM137="Tons"),Inventory!$AL137*12000,0))))</f>
        <v>0</v>
      </c>
      <c r="BJ381" s="760">
        <f t="shared" si="286"/>
        <v>0</v>
      </c>
      <c r="BK381" s="598">
        <f t="shared" si="249"/>
        <v>0</v>
      </c>
      <c r="BL381" s="759" t="s">
        <v>567</v>
      </c>
      <c r="BM381" s="477" t="str">
        <f t="shared" si="280"/>
        <v>No</v>
      </c>
      <c r="BN381" s="477" t="str">
        <f>IF(OR(Inventory!$H137="",$BM381="No"),"-",Inventory!$H137)</f>
        <v>-</v>
      </c>
      <c r="BO381" s="477" t="str">
        <f>IFERROR(VLOOKUP(BN381,'Early Retirement'!$B$6:$C$33,2,FALSE),"-")</f>
        <v>-</v>
      </c>
      <c r="BP381" s="477" t="str">
        <f>IF(Inventory!$J137="Centrifugal","Yes","No")</f>
        <v>No</v>
      </c>
      <c r="BQ381" s="477">
        <f t="shared" si="281"/>
        <v>0</v>
      </c>
      <c r="BR381" s="477" t="str">
        <f t="shared" si="259"/>
        <v>-</v>
      </c>
      <c r="BS381" s="479">
        <f>IFERROR(INDEX('Early Retirement'!$C$4:$AC$33,$BO381,$BR381),0)</f>
        <v>0</v>
      </c>
      <c r="BT381" s="477">
        <f>IFERROR(HLOOKUP($BR381,'Early Retirement'!$D$4:$AC$5,2,FALSE),0)</f>
        <v>0</v>
      </c>
      <c r="BU381" s="761">
        <f>IFERROR(INDEX('Early Retirement'!$AE$4:$BE$33,$BO381,$BR381),0)</f>
        <v>0</v>
      </c>
      <c r="BV381" s="759">
        <f>IFERROR(HLOOKUP($BR381,'Early Retirement'!$AF$4:$BE$5,2,FALSE),0)</f>
        <v>0</v>
      </c>
      <c r="BW381" s="479">
        <f t="shared" si="282"/>
        <v>0</v>
      </c>
      <c r="BX381" s="761">
        <f t="shared" si="250"/>
        <v>0</v>
      </c>
      <c r="BY381" s="477" t="s">
        <v>46</v>
      </c>
      <c r="BZ381" s="598">
        <f>IFERROR(INDEX('Early Retirement'!$BG$4:$CG$33,$BO381,$BR381),0)</f>
        <v>0</v>
      </c>
      <c r="CA381" s="759">
        <f>IFERROR(HLOOKUP($BR381,'Early Retirement'!$BH$4:$CH$5,2,FALSE),0)</f>
        <v>0</v>
      </c>
      <c r="CB381" s="598">
        <f t="shared" si="251"/>
        <v>0</v>
      </c>
      <c r="CC381" s="759" t="s">
        <v>567</v>
      </c>
      <c r="CD381" s="477" t="str">
        <f t="shared" si="283"/>
        <v>Yes</v>
      </c>
      <c r="CE381" s="479">
        <f t="shared" si="252"/>
        <v>0</v>
      </c>
      <c r="CF381" s="761">
        <f t="shared" si="253"/>
        <v>0</v>
      </c>
      <c r="CG381" s="759" t="s">
        <v>46</v>
      </c>
      <c r="CH381" s="598">
        <f t="shared" si="258"/>
        <v>0</v>
      </c>
      <c r="CI381" s="759" t="s">
        <v>567</v>
      </c>
      <c r="CJ381" s="480">
        <f t="shared" si="284"/>
        <v>0</v>
      </c>
      <c r="CK381" s="583">
        <f t="shared" si="254"/>
        <v>0</v>
      </c>
      <c r="CL381" s="596" t="s">
        <v>46</v>
      </c>
      <c r="CM381" s="581">
        <f t="shared" si="255"/>
        <v>0</v>
      </c>
      <c r="CN381" s="762" t="s">
        <v>567</v>
      </c>
      <c r="CW381" s="630"/>
      <c r="CX381" s="630"/>
      <c r="CY381" s="630"/>
      <c r="CZ381" s="630"/>
      <c r="DA381" s="630"/>
    </row>
    <row r="382" spans="2:105" s="78" customFormat="1" ht="15" customHeight="1" x14ac:dyDescent="0.25">
      <c r="B382" s="77"/>
      <c r="E382" s="77"/>
      <c r="H382" s="77"/>
      <c r="Y382" s="90">
        <v>129</v>
      </c>
      <c r="Z382" s="559" t="str">
        <f>IF(Inventory!$C138="","",VLOOKUP(Inventory!$C138,$B$7:$C$9,2,FALSE))</f>
        <v/>
      </c>
      <c r="AA382" s="559" t="str">
        <f>IF($Z382="","",IF(AND($Z382="b",Inventory!$G138=""),"",IF(AND($Z382="b",Inventory!$G138&lt;&gt;""),VLOOKUP(Inventory!$G138,$E$3:$F$10,2,FALSE),IF(AND($Z382="a",Inventory!$Z138=""),"",IF(AND($Z382="a",Inventory!$Z138&lt;&gt;""),VLOOKUP(Inventory!$Z138,$E$3:$F$10,2,FALSE),IF(AND($Z382="c",Inventory!$Z138=""),"",IF(AND($Z382="c",Inventory!$Z138&lt;&gt;""),VLOOKUP(Inventory!$Z138,$E$3:$F$10,2,FALSE),"")))))))</f>
        <v/>
      </c>
      <c r="AB382" s="559" t="str">
        <f>IF($Z382="","a",IF(AND($Z382="b",Inventory!$J138=""),"a",IF(AND($Z382="b",Inventory!$J138&lt;&gt;""),VLOOKUP(Inventory!$J138,$H$4:$I$6,2,FALSE),IF(AND($Z382="a",Inventory!$AA138=""),"a",IF(AND($Z382="a",Inventory!$AA138&lt;&gt;""),VLOOKUP(Inventory!$AA138,$H$4:$I$6,2,FALSE),IF(AND($Z382="c",Inventory!$AA138=""),"a",IF(AND($Z382="c",Inventory!$AA138&lt;&gt;""),VLOOKUP(Inventory!$AA138,$H$4:$I$6,2,FALSE),"a")))))))</f>
        <v>a</v>
      </c>
      <c r="AC382" s="559" t="str">
        <f t="shared" si="260"/>
        <v>a</v>
      </c>
      <c r="AD382" s="473" t="str">
        <f>IF($Z382="","a",IF(AND($Z382="b",Inventory!$L138=""),"a",IF(AND($Z382="b",Inventory!$L138&lt;&gt;""),VLOOKUP(Inventory!$L138,$N$4:$O$5,2,FALSE),IF(AND($Z382="a",Inventory!$AC138=""),"a",IF(AND($Z382="a",Inventory!$AC138&lt;&gt;""),VLOOKUP(Inventory!$AC138,$N$4:$O$5,2,FALSE),IF(AND($Z382="c",Inventory!$AC138=""),"a",IF(AND($Z382="c",Inventory!$AC138&lt;&gt;""),VLOOKUP(Inventory!$AC138,$N$4:$O$5,2,FALSE),"a")))))))</f>
        <v>a</v>
      </c>
      <c r="AE382" s="474">
        <f>IF(OR(Inventory!C138="New Construction",Inventory!C138="Replace-on-Burnout"),Inventory!AF138,IF(Inventory!C138="Early Retirement",MIN(Inventory!AE138,Inventory!AF138),0))</f>
        <v>0</v>
      </c>
      <c r="AF382" s="475" t="str">
        <f t="shared" si="261"/>
        <v/>
      </c>
      <c r="AG382" s="475" t="str">
        <f t="shared" si="262"/>
        <v/>
      </c>
      <c r="AH382" s="475" t="str">
        <f t="shared" si="263"/>
        <v/>
      </c>
      <c r="AI382" s="475" t="str">
        <f t="shared" si="264"/>
        <v/>
      </c>
      <c r="AJ382" s="475" t="str">
        <f t="shared" si="265"/>
        <v/>
      </c>
      <c r="AK382" s="475" t="str">
        <f t="shared" si="266"/>
        <v/>
      </c>
      <c r="AL382" s="475" t="str">
        <f t="shared" si="267"/>
        <v/>
      </c>
      <c r="AM382" s="475" t="str">
        <f t="shared" si="268"/>
        <v/>
      </c>
      <c r="AN382" s="475" t="str">
        <f t="shared" si="269"/>
        <v/>
      </c>
      <c r="AO382" s="475" t="str">
        <f t="shared" si="270"/>
        <v/>
      </c>
      <c r="AP382" s="475" t="str">
        <f t="shared" si="271"/>
        <v/>
      </c>
      <c r="AQ382" s="475" t="str">
        <f t="shared" si="272"/>
        <v/>
      </c>
      <c r="AR382" s="475" t="str">
        <f t="shared" si="273"/>
        <v/>
      </c>
      <c r="AS382" s="475" t="str">
        <f t="shared" si="256"/>
        <v/>
      </c>
      <c r="AT382" s="475" t="str">
        <f t="shared" si="274"/>
        <v/>
      </c>
      <c r="AU382" s="475" t="str">
        <f t="shared" si="275"/>
        <v/>
      </c>
      <c r="AV382" s="475" t="str">
        <f t="shared" si="276"/>
        <v/>
      </c>
      <c r="AW382" s="473">
        <f t="shared" si="277"/>
        <v>0</v>
      </c>
      <c r="AX382" s="473" t="str">
        <f>IF(AND($Z382="b",OR($AA382="a",$AA382="b"),Inventory!$I138="",$AE382&lt;(65000/12000)),"x",IF(AND($Z382="b",OR($AA382="a",$AA382="b"),Inventory!$I138&lt;&gt;"",$AE382&lt;(65000/12000)),VLOOKUP(Inventory!$I389,$V$4:$W$5,2,FALSE),"x"))</f>
        <v>x</v>
      </c>
      <c r="AY382" s="476" t="str">
        <f t="shared" si="278"/>
        <v>aaa0</v>
      </c>
      <c r="AZ382" s="477" t="str">
        <f t="shared" ref="AZ382:AZ445" si="287">IF($AA382="c","Yes","No")</f>
        <v>No</v>
      </c>
      <c r="BA382" s="759" t="str">
        <f t="shared" ref="BA382:BA445" si="288">IF($AA382="d","Yes","No")</f>
        <v>No</v>
      </c>
      <c r="BB382" s="477">
        <f>IF($Z382="c",Inventory!$AB138,Inventory!$K138)</f>
        <v>0</v>
      </c>
      <c r="BC382" s="478">
        <f>IF(AND($Z382="b",Inventory!$N138="Btu/hr"),Inventory!$M138,IF(AND($Z382="b",Inventory!$N138="Tons"),Inventory!$M138*12000,IF(AND($Z382&lt;&gt;"b",Inventory!$AK138="Btu/hr"),Inventory!$AD138,IF(AND($Z382&lt;&gt;"b",Inventory!$AK138="Tons"),Inventory!$AD138*12000,0))))</f>
        <v>0</v>
      </c>
      <c r="BD382" s="478">
        <f t="shared" si="285"/>
        <v>0</v>
      </c>
      <c r="BE382" s="479">
        <f t="shared" si="257"/>
        <v>0</v>
      </c>
      <c r="BF382" s="477" t="s">
        <v>50</v>
      </c>
      <c r="BG382" s="479">
        <f t="shared" si="279"/>
        <v>0</v>
      </c>
      <c r="BH382" s="477" t="s">
        <v>46</v>
      </c>
      <c r="BI382" s="760">
        <f>IF(AND($Z382="b",Inventory!$P138="Btu/hr"),Inventory!$O138,IF(AND($Z382="b",Inventory!$P138="Tons"),Inventory!$O138*12000,IF(AND($Z382&lt;&gt;"b",Inventory!$AM138="Btu/hr"),Inventory!$AL138,IF(AND($Z382&lt;&gt;"b",Inventory!$AM138="Tons"),Inventory!$AL138*12000,0))))</f>
        <v>0</v>
      </c>
      <c r="BJ382" s="760">
        <f t="shared" si="286"/>
        <v>0</v>
      </c>
      <c r="BK382" s="598">
        <f t="shared" ref="BK382:BK445" si="289">IF(OR($BA382="No",$BI382=0),0,IF(AND($Z382&lt;&gt;"b",$BA382="Yes",$BB382="Yes"),3.7-(0.052*$BJ382/1000),IF(AND($Z382&lt;&gt;"b",$BA382="Yes",$BB382="No"),2.9-(0.026*$BJ382/1000),IF(AND($Z382="b",$BA382="Yes"),3.2-(0.026*$BJ382/1000),0))))</f>
        <v>0</v>
      </c>
      <c r="BL382" s="759" t="s">
        <v>567</v>
      </c>
      <c r="BM382" s="477" t="str">
        <f t="shared" si="280"/>
        <v>No</v>
      </c>
      <c r="BN382" s="477" t="str">
        <f>IF(OR(Inventory!$H138="",$BM382="No"),"-",Inventory!$H138)</f>
        <v>-</v>
      </c>
      <c r="BO382" s="477" t="str">
        <f>IFERROR(VLOOKUP(BN382,'Early Retirement'!$B$6:$C$33,2,FALSE),"-")</f>
        <v>-</v>
      </c>
      <c r="BP382" s="477" t="str">
        <f>IF(Inventory!$J138="Centrifugal","Yes","No")</f>
        <v>No</v>
      </c>
      <c r="BQ382" s="477">
        <f t="shared" si="281"/>
        <v>0</v>
      </c>
      <c r="BR382" s="477" t="str">
        <f t="shared" si="259"/>
        <v>-</v>
      </c>
      <c r="BS382" s="479">
        <f>IFERROR(INDEX('Early Retirement'!$C$4:$AC$33,$BO382,$BR382),0)</f>
        <v>0</v>
      </c>
      <c r="BT382" s="477">
        <f>IFERROR(HLOOKUP($BR382,'Early Retirement'!$D$4:$AC$5,2,FALSE),0)</f>
        <v>0</v>
      </c>
      <c r="BU382" s="761">
        <f>IFERROR(INDEX('Early Retirement'!$AE$4:$BE$33,$BO382,$BR382),0)</f>
        <v>0</v>
      </c>
      <c r="BV382" s="759">
        <f>IFERROR(HLOOKUP($BR382,'Early Retirement'!$AF$4:$BE$5,2,FALSE),0)</f>
        <v>0</v>
      </c>
      <c r="BW382" s="479">
        <f t="shared" si="282"/>
        <v>0</v>
      </c>
      <c r="BX382" s="761">
        <f t="shared" ref="BX382:BX445" si="290">IF(OR($BV382="SEER",$BV382="IEER (EER)",$BV382="IPLV (EER)"),12/$BU382,IF($BV382="IPLV (kW/ton)",$BU382,0))</f>
        <v>0</v>
      </c>
      <c r="BY382" s="477" t="s">
        <v>46</v>
      </c>
      <c r="BZ382" s="598">
        <f>IFERROR(INDEX('Early Retirement'!$BG$4:$CG$33,$BO382,$BR382),0)</f>
        <v>0</v>
      </c>
      <c r="CA382" s="759">
        <f>IFERROR(HLOOKUP($BR382,'Early Retirement'!$BH$4:$CH$5,2,FALSE),0)</f>
        <v>0</v>
      </c>
      <c r="CB382" s="598">
        <f t="shared" ref="CB382:CB445" si="291">IF($CA382="HSPF",$BZ382/3.412,IF($CA382="COP",$BZ382,0))</f>
        <v>0</v>
      </c>
      <c r="CC382" s="759" t="s">
        <v>567</v>
      </c>
      <c r="CD382" s="477" t="str">
        <f t="shared" si="283"/>
        <v>Yes</v>
      </c>
      <c r="CE382" s="479">
        <f t="shared" ref="CE382:CE445" si="292">IF($CD382="Yes",IFERROR(VLOOKUP($AY382,$CP:$CW,6,FALSE),0),0)</f>
        <v>0</v>
      </c>
      <c r="CF382" s="761">
        <f t="shared" ref="CF382:CF445" si="293">IF($CD382="Yes",IFERROR(VLOOKUP($AY382,$CP:$CW,7,FALSE),0),0)</f>
        <v>0</v>
      </c>
      <c r="CG382" s="759" t="s">
        <v>46</v>
      </c>
      <c r="CH382" s="598">
        <f t="shared" si="258"/>
        <v>0</v>
      </c>
      <c r="CI382" s="759" t="s">
        <v>567</v>
      </c>
      <c r="CJ382" s="480">
        <f t="shared" si="284"/>
        <v>0</v>
      </c>
      <c r="CK382" s="583">
        <f t="shared" ref="CK382:CK445" si="294">MAX($BG382,$BX382,$CF382)</f>
        <v>0</v>
      </c>
      <c r="CL382" s="596" t="s">
        <v>46</v>
      </c>
      <c r="CM382" s="581">
        <f t="shared" ref="CM382:CM445" si="295">MAX($BK382,$CB382,$CH382)</f>
        <v>0</v>
      </c>
      <c r="CN382" s="762" t="s">
        <v>567</v>
      </c>
      <c r="CW382" s="630"/>
      <c r="CX382" s="630"/>
      <c r="CY382" s="630"/>
      <c r="CZ382" s="630"/>
      <c r="DA382" s="630"/>
    </row>
    <row r="383" spans="2:105" s="78" customFormat="1" ht="15" customHeight="1" x14ac:dyDescent="0.25">
      <c r="B383" s="77"/>
      <c r="E383" s="77"/>
      <c r="H383" s="77"/>
      <c r="Y383" s="90">
        <v>130</v>
      </c>
      <c r="Z383" s="559" t="str">
        <f>IF(Inventory!$C139="","",VLOOKUP(Inventory!$C139,$B$7:$C$9,2,FALSE))</f>
        <v/>
      </c>
      <c r="AA383" s="559" t="str">
        <f>IF($Z383="","",IF(AND($Z383="b",Inventory!$G139=""),"",IF(AND($Z383="b",Inventory!$G139&lt;&gt;""),VLOOKUP(Inventory!$G139,$E$3:$F$10,2,FALSE),IF(AND($Z383="a",Inventory!$Z139=""),"",IF(AND($Z383="a",Inventory!$Z139&lt;&gt;""),VLOOKUP(Inventory!$Z139,$E$3:$F$10,2,FALSE),IF(AND($Z383="c",Inventory!$Z139=""),"",IF(AND($Z383="c",Inventory!$Z139&lt;&gt;""),VLOOKUP(Inventory!$Z139,$E$3:$F$10,2,FALSE),"")))))))</f>
        <v/>
      </c>
      <c r="AB383" s="559" t="str">
        <f>IF($Z383="","a",IF(AND($Z383="b",Inventory!$J139=""),"a",IF(AND($Z383="b",Inventory!$J139&lt;&gt;""),VLOOKUP(Inventory!$J139,$H$4:$I$6,2,FALSE),IF(AND($Z383="a",Inventory!$AA139=""),"a",IF(AND($Z383="a",Inventory!$AA139&lt;&gt;""),VLOOKUP(Inventory!$AA139,$H$4:$I$6,2,FALSE),IF(AND($Z383="c",Inventory!$AA139=""),"a",IF(AND($Z383="c",Inventory!$AA139&lt;&gt;""),VLOOKUP(Inventory!$AA139,$H$4:$I$6,2,FALSE),"a")))))))</f>
        <v>a</v>
      </c>
      <c r="AC383" s="559" t="str">
        <f t="shared" si="260"/>
        <v>a</v>
      </c>
      <c r="AD383" s="473" t="str">
        <f>IF($Z383="","a",IF(AND($Z383="b",Inventory!$L139=""),"a",IF(AND($Z383="b",Inventory!$L139&lt;&gt;""),VLOOKUP(Inventory!$L139,$N$4:$O$5,2,FALSE),IF(AND($Z383="a",Inventory!$AC139=""),"a",IF(AND($Z383="a",Inventory!$AC139&lt;&gt;""),VLOOKUP(Inventory!$AC139,$N$4:$O$5,2,FALSE),IF(AND($Z383="c",Inventory!$AC139=""),"a",IF(AND($Z383="c",Inventory!$AC139&lt;&gt;""),VLOOKUP(Inventory!$AC139,$N$4:$O$5,2,FALSE),"a")))))))</f>
        <v>a</v>
      </c>
      <c r="AE383" s="474">
        <f>IF(OR(Inventory!C139="New Construction",Inventory!C139="Replace-on-Burnout"),Inventory!AF139,IF(Inventory!C139="Early Retirement",MIN(Inventory!AE139,Inventory!AF139),0))</f>
        <v>0</v>
      </c>
      <c r="AF383" s="475" t="str">
        <f t="shared" si="261"/>
        <v/>
      </c>
      <c r="AG383" s="475" t="str">
        <f t="shared" si="262"/>
        <v/>
      </c>
      <c r="AH383" s="475" t="str">
        <f t="shared" si="263"/>
        <v/>
      </c>
      <c r="AI383" s="475" t="str">
        <f t="shared" si="264"/>
        <v/>
      </c>
      <c r="AJ383" s="475" t="str">
        <f t="shared" si="265"/>
        <v/>
      </c>
      <c r="AK383" s="475" t="str">
        <f t="shared" si="266"/>
        <v/>
      </c>
      <c r="AL383" s="475" t="str">
        <f t="shared" si="267"/>
        <v/>
      </c>
      <c r="AM383" s="475" t="str">
        <f t="shared" si="268"/>
        <v/>
      </c>
      <c r="AN383" s="475" t="str">
        <f t="shared" si="269"/>
        <v/>
      </c>
      <c r="AO383" s="475" t="str">
        <f t="shared" si="270"/>
        <v/>
      </c>
      <c r="AP383" s="475" t="str">
        <f t="shared" si="271"/>
        <v/>
      </c>
      <c r="AQ383" s="475" t="str">
        <f t="shared" si="272"/>
        <v/>
      </c>
      <c r="AR383" s="475" t="str">
        <f t="shared" si="273"/>
        <v/>
      </c>
      <c r="AS383" s="475" t="str">
        <f t="shared" ref="AS383:AS446" si="296">IF(OR(AND($AA383&lt;&gt;"g",$AA383&lt;&gt;"h"),$AE383="",$AR383&lt;&gt;0),"",IF(AND($AE383&gt;=$AS$2,$AA383="g"),31,IF(AND($AE383&gt;=$AS$2,$AA383="h",$AB383="b"),36,IF(AND($AE383&gt;=$AS$2,$AA383="h",$AB383&lt;&gt;"b"),41,0))))</f>
        <v/>
      </c>
      <c r="AT383" s="475" t="str">
        <f t="shared" si="274"/>
        <v/>
      </c>
      <c r="AU383" s="475" t="str">
        <f t="shared" si="275"/>
        <v/>
      </c>
      <c r="AV383" s="475" t="str">
        <f t="shared" si="276"/>
        <v/>
      </c>
      <c r="AW383" s="473">
        <f t="shared" si="277"/>
        <v>0</v>
      </c>
      <c r="AX383" s="473" t="str">
        <f>IF(AND($Z383="b",OR($AA383="a",$AA383="b"),Inventory!$I139="",$AE383&lt;(65000/12000)),"x",IF(AND($Z383="b",OR($AA383="a",$AA383="b"),Inventory!$I139&lt;&gt;"",$AE383&lt;(65000/12000)),VLOOKUP(Inventory!$I390,$V$4:$W$5,2,FALSE),"x"))</f>
        <v>x</v>
      </c>
      <c r="AY383" s="476" t="str">
        <f t="shared" si="278"/>
        <v>aaa0</v>
      </c>
      <c r="AZ383" s="477" t="str">
        <f t="shared" si="287"/>
        <v>No</v>
      </c>
      <c r="BA383" s="759" t="str">
        <f t="shared" si="288"/>
        <v>No</v>
      </c>
      <c r="BB383" s="477">
        <f>IF($Z383="c",Inventory!$AB139,Inventory!$K139)</f>
        <v>0</v>
      </c>
      <c r="BC383" s="478">
        <f>IF(AND($Z383="b",Inventory!$N139="Btu/hr"),Inventory!$M139,IF(AND($Z383="b",Inventory!$N139="Tons"),Inventory!$M139*12000,IF(AND($Z383&lt;&gt;"b",Inventory!$AK139="Btu/hr"),Inventory!$AD139,IF(AND($Z383&lt;&gt;"b",Inventory!$AK139="Tons"),Inventory!$AD139*12000,0))))</f>
        <v>0</v>
      </c>
      <c r="BD383" s="478">
        <f t="shared" si="285"/>
        <v>0</v>
      </c>
      <c r="BE383" s="479">
        <f t="shared" ref="BE383:BE446" si="297">IF(OR(AND($AZ383="No",$BA383="No"),$BC383=0),0,IF(AND($Z383&lt;&gt;"b",$AZ383="Yes",$BB383="Yes"),13.8-(0.3*$BD383/1000),IF(AND($Z383&lt;&gt;"b",$AZ383="Yes",$BB383="No"),10.9-(0.213*$BD383/1000),IF(AND($Z383="b",$AZ383="Yes"),12.5-(0.213*$BD383/1000),IF(AND($Z383&lt;&gt;"b",$BA383="Yes",$BB383="Yes"),14-(0.3*$BD383/1000),IF(AND($Z383&lt;&gt;"b",$BA383="Yes",$BB383="No"),10.8-(0.213*$BD383/1000),IF(AND($Z383="b",$BA383="Yes"),12.3-(0.213*$BD383/1000),0)))))))</f>
        <v>0</v>
      </c>
      <c r="BF383" s="477" t="s">
        <v>50</v>
      </c>
      <c r="BG383" s="479">
        <f t="shared" si="279"/>
        <v>0</v>
      </c>
      <c r="BH383" s="477" t="s">
        <v>46</v>
      </c>
      <c r="BI383" s="760">
        <f>IF(AND($Z383="b",Inventory!$P139="Btu/hr"),Inventory!$O139,IF(AND($Z383="b",Inventory!$P139="Tons"),Inventory!$O139*12000,IF(AND($Z383&lt;&gt;"b",Inventory!$AM139="Btu/hr"),Inventory!$AL139,IF(AND($Z383&lt;&gt;"b",Inventory!$AM139="Tons"),Inventory!$AL139*12000,0))))</f>
        <v>0</v>
      </c>
      <c r="BJ383" s="760">
        <f t="shared" si="286"/>
        <v>0</v>
      </c>
      <c r="BK383" s="598">
        <f t="shared" si="289"/>
        <v>0</v>
      </c>
      <c r="BL383" s="759" t="s">
        <v>567</v>
      </c>
      <c r="BM383" s="477" t="str">
        <f t="shared" si="280"/>
        <v>No</v>
      </c>
      <c r="BN383" s="477" t="str">
        <f>IF(OR(Inventory!$H139="",$BM383="No"),"-",Inventory!$H139)</f>
        <v>-</v>
      </c>
      <c r="BO383" s="477" t="str">
        <f>IFERROR(VLOOKUP(BN383,'Early Retirement'!$B$6:$C$33,2,FALSE),"-")</f>
        <v>-</v>
      </c>
      <c r="BP383" s="477" t="str">
        <f>IF(Inventory!$J139="Centrifugal","Yes","No")</f>
        <v>No</v>
      </c>
      <c r="BQ383" s="477">
        <f t="shared" si="281"/>
        <v>0</v>
      </c>
      <c r="BR383" s="477" t="str">
        <f t="shared" si="259"/>
        <v>-</v>
      </c>
      <c r="BS383" s="479">
        <f>IFERROR(INDEX('Early Retirement'!$C$4:$AC$33,$BO383,$BR383),0)</f>
        <v>0</v>
      </c>
      <c r="BT383" s="477">
        <f>IFERROR(HLOOKUP($BR383,'Early Retirement'!$D$4:$AC$5,2,FALSE),0)</f>
        <v>0</v>
      </c>
      <c r="BU383" s="761">
        <f>IFERROR(INDEX('Early Retirement'!$AE$4:$BE$33,$BO383,$BR383),0)</f>
        <v>0</v>
      </c>
      <c r="BV383" s="759">
        <f>IFERROR(HLOOKUP($BR383,'Early Retirement'!$AF$4:$BE$5,2,FALSE),0)</f>
        <v>0</v>
      </c>
      <c r="BW383" s="479">
        <f t="shared" si="282"/>
        <v>0</v>
      </c>
      <c r="BX383" s="761">
        <f t="shared" si="290"/>
        <v>0</v>
      </c>
      <c r="BY383" s="477" t="s">
        <v>46</v>
      </c>
      <c r="BZ383" s="598">
        <f>IFERROR(INDEX('Early Retirement'!$BG$4:$CG$33,$BO383,$BR383),0)</f>
        <v>0</v>
      </c>
      <c r="CA383" s="759">
        <f>IFERROR(HLOOKUP($BR383,'Early Retirement'!$BH$4:$CH$5,2,FALSE),0)</f>
        <v>0</v>
      </c>
      <c r="CB383" s="598">
        <f t="shared" si="291"/>
        <v>0</v>
      </c>
      <c r="CC383" s="759" t="s">
        <v>567</v>
      </c>
      <c r="CD383" s="477" t="str">
        <f t="shared" si="283"/>
        <v>Yes</v>
      </c>
      <c r="CE383" s="479">
        <f t="shared" si="292"/>
        <v>0</v>
      </c>
      <c r="CF383" s="761">
        <f t="shared" si="293"/>
        <v>0</v>
      </c>
      <c r="CG383" s="759" t="s">
        <v>46</v>
      </c>
      <c r="CH383" s="598">
        <f t="shared" ref="CH383:CH446" si="298">IF($CD383="Yes",IFERROR(VLOOKUP($AY383,$CP:$DA,11,FALSE),0),0)</f>
        <v>0</v>
      </c>
      <c r="CI383" s="759" t="s">
        <v>567</v>
      </c>
      <c r="CJ383" s="480">
        <f t="shared" si="284"/>
        <v>0</v>
      </c>
      <c r="CK383" s="583">
        <f t="shared" si="294"/>
        <v>0</v>
      </c>
      <c r="CL383" s="596" t="s">
        <v>46</v>
      </c>
      <c r="CM383" s="581">
        <f t="shared" si="295"/>
        <v>0</v>
      </c>
      <c r="CN383" s="762" t="s">
        <v>567</v>
      </c>
      <c r="CW383" s="630"/>
      <c r="CX383" s="630"/>
      <c r="CY383" s="630"/>
      <c r="CZ383" s="630"/>
      <c r="DA383" s="630"/>
    </row>
    <row r="384" spans="2:105" s="78" customFormat="1" ht="15" customHeight="1" x14ac:dyDescent="0.25">
      <c r="B384" s="77"/>
      <c r="E384" s="77"/>
      <c r="H384" s="77"/>
      <c r="Y384" s="90">
        <v>131</v>
      </c>
      <c r="Z384" s="559" t="str">
        <f>IF(Inventory!$C140="","",VLOOKUP(Inventory!$C140,$B$7:$C$9,2,FALSE))</f>
        <v/>
      </c>
      <c r="AA384" s="559" t="str">
        <f>IF($Z384="","",IF(AND($Z384="b",Inventory!$G140=""),"",IF(AND($Z384="b",Inventory!$G140&lt;&gt;""),VLOOKUP(Inventory!$G140,$E$3:$F$10,2,FALSE),IF(AND($Z384="a",Inventory!$Z140=""),"",IF(AND($Z384="a",Inventory!$Z140&lt;&gt;""),VLOOKUP(Inventory!$Z140,$E$3:$F$10,2,FALSE),IF(AND($Z384="c",Inventory!$Z140=""),"",IF(AND($Z384="c",Inventory!$Z140&lt;&gt;""),VLOOKUP(Inventory!$Z140,$E$3:$F$10,2,FALSE),"")))))))</f>
        <v/>
      </c>
      <c r="AB384" s="559" t="str">
        <f>IF($Z384="","a",IF(AND($Z384="b",Inventory!$J140=""),"a",IF(AND($Z384="b",Inventory!$J140&lt;&gt;""),VLOOKUP(Inventory!$J140,$H$4:$I$6,2,FALSE),IF(AND($Z384="a",Inventory!$AA140=""),"a",IF(AND($Z384="a",Inventory!$AA140&lt;&gt;""),VLOOKUP(Inventory!$AA140,$H$4:$I$6,2,FALSE),IF(AND($Z384="c",Inventory!$AA140=""),"a",IF(AND($Z384="c",Inventory!$AA140&lt;&gt;""),VLOOKUP(Inventory!$AA140,$H$4:$I$6,2,FALSE),"a")))))))</f>
        <v>a</v>
      </c>
      <c r="AC384" s="559" t="str">
        <f t="shared" si="260"/>
        <v>a</v>
      </c>
      <c r="AD384" s="473" t="str">
        <f>IF($Z384="","a",IF(AND($Z384="b",Inventory!$L140=""),"a",IF(AND($Z384="b",Inventory!$L140&lt;&gt;""),VLOOKUP(Inventory!$L140,$N$4:$O$5,2,FALSE),IF(AND($Z384="a",Inventory!$AC140=""),"a",IF(AND($Z384="a",Inventory!$AC140&lt;&gt;""),VLOOKUP(Inventory!$AC140,$N$4:$O$5,2,FALSE),IF(AND($Z384="c",Inventory!$AC140=""),"a",IF(AND($Z384="c",Inventory!$AC140&lt;&gt;""),VLOOKUP(Inventory!$AC140,$N$4:$O$5,2,FALSE),"a")))))))</f>
        <v>a</v>
      </c>
      <c r="AE384" s="474">
        <f>IF(OR(Inventory!C140="New Construction",Inventory!C140="Replace-on-Burnout"),Inventory!AF140,IF(Inventory!C140="Early Retirement",MIN(Inventory!AE140,Inventory!AF140),0))</f>
        <v>0</v>
      </c>
      <c r="AF384" s="475" t="str">
        <f t="shared" si="261"/>
        <v/>
      </c>
      <c r="AG384" s="475" t="str">
        <f t="shared" si="262"/>
        <v/>
      </c>
      <c r="AH384" s="475" t="str">
        <f t="shared" si="263"/>
        <v/>
      </c>
      <c r="AI384" s="475" t="str">
        <f t="shared" si="264"/>
        <v/>
      </c>
      <c r="AJ384" s="475" t="str">
        <f t="shared" si="265"/>
        <v/>
      </c>
      <c r="AK384" s="475" t="str">
        <f t="shared" si="266"/>
        <v/>
      </c>
      <c r="AL384" s="475" t="str">
        <f t="shared" si="267"/>
        <v/>
      </c>
      <c r="AM384" s="475" t="str">
        <f t="shared" si="268"/>
        <v/>
      </c>
      <c r="AN384" s="475" t="str">
        <f t="shared" si="269"/>
        <v/>
      </c>
      <c r="AO384" s="475" t="str">
        <f t="shared" si="270"/>
        <v/>
      </c>
      <c r="AP384" s="475" t="str">
        <f t="shared" si="271"/>
        <v/>
      </c>
      <c r="AQ384" s="475" t="str">
        <f t="shared" si="272"/>
        <v/>
      </c>
      <c r="AR384" s="475" t="str">
        <f t="shared" si="273"/>
        <v/>
      </c>
      <c r="AS384" s="475" t="str">
        <f t="shared" si="296"/>
        <v/>
      </c>
      <c r="AT384" s="475" t="str">
        <f t="shared" si="274"/>
        <v/>
      </c>
      <c r="AU384" s="475" t="str">
        <f t="shared" si="275"/>
        <v/>
      </c>
      <c r="AV384" s="475" t="str">
        <f t="shared" si="276"/>
        <v/>
      </c>
      <c r="AW384" s="473">
        <f t="shared" si="277"/>
        <v>0</v>
      </c>
      <c r="AX384" s="473" t="str">
        <f>IF(AND($Z384="b",OR($AA384="a",$AA384="b"),Inventory!$I140="",$AE384&lt;(65000/12000)),"x",IF(AND($Z384="b",OR($AA384="a",$AA384="b"),Inventory!$I140&lt;&gt;"",$AE384&lt;(65000/12000)),VLOOKUP(Inventory!$I391,$V$4:$W$5,2,FALSE),"x"))</f>
        <v>x</v>
      </c>
      <c r="AY384" s="476" t="str">
        <f t="shared" si="278"/>
        <v>aaa0</v>
      </c>
      <c r="AZ384" s="477" t="str">
        <f t="shared" si="287"/>
        <v>No</v>
      </c>
      <c r="BA384" s="759" t="str">
        <f t="shared" si="288"/>
        <v>No</v>
      </c>
      <c r="BB384" s="477">
        <f>IF($Z384="c",Inventory!$AB140,Inventory!$K140)</f>
        <v>0</v>
      </c>
      <c r="BC384" s="478">
        <f>IF(AND($Z384="b",Inventory!$N140="Btu/hr"),Inventory!$M140,IF(AND($Z384="b",Inventory!$N140="Tons"),Inventory!$M140*12000,IF(AND($Z384&lt;&gt;"b",Inventory!$AK140="Btu/hr"),Inventory!$AD140,IF(AND($Z384&lt;&gt;"b",Inventory!$AK140="Tons"),Inventory!$AD140*12000,0))))</f>
        <v>0</v>
      </c>
      <c r="BD384" s="478">
        <f t="shared" si="285"/>
        <v>0</v>
      </c>
      <c r="BE384" s="479">
        <f t="shared" si="297"/>
        <v>0</v>
      </c>
      <c r="BF384" s="477" t="s">
        <v>50</v>
      </c>
      <c r="BG384" s="479">
        <f t="shared" si="279"/>
        <v>0</v>
      </c>
      <c r="BH384" s="477" t="s">
        <v>46</v>
      </c>
      <c r="BI384" s="760">
        <f>IF(AND($Z384="b",Inventory!$P140="Btu/hr"),Inventory!$O140,IF(AND($Z384="b",Inventory!$P140="Tons"),Inventory!$O140*12000,IF(AND($Z384&lt;&gt;"b",Inventory!$AM140="Btu/hr"),Inventory!$AL140,IF(AND($Z384&lt;&gt;"b",Inventory!$AM140="Tons"),Inventory!$AL140*12000,0))))</f>
        <v>0</v>
      </c>
      <c r="BJ384" s="760">
        <f t="shared" si="286"/>
        <v>0</v>
      </c>
      <c r="BK384" s="598">
        <f t="shared" si="289"/>
        <v>0</v>
      </c>
      <c r="BL384" s="759" t="s">
        <v>567</v>
      </c>
      <c r="BM384" s="477" t="str">
        <f t="shared" si="280"/>
        <v>No</v>
      </c>
      <c r="BN384" s="477" t="str">
        <f>IF(OR(Inventory!$H140="",$BM384="No"),"-",Inventory!$H140)</f>
        <v>-</v>
      </c>
      <c r="BO384" s="477" t="str">
        <f>IFERROR(VLOOKUP(BN384,'Early Retirement'!$B$6:$C$33,2,FALSE),"-")</f>
        <v>-</v>
      </c>
      <c r="BP384" s="477" t="str">
        <f>IF(Inventory!$J140="Centrifugal","Yes","No")</f>
        <v>No</v>
      </c>
      <c r="BQ384" s="477">
        <f t="shared" si="281"/>
        <v>0</v>
      </c>
      <c r="BR384" s="477" t="str">
        <f t="shared" si="259"/>
        <v>-</v>
      </c>
      <c r="BS384" s="479">
        <f>IFERROR(INDEX('Early Retirement'!$C$4:$AC$33,$BO384,$BR384),0)</f>
        <v>0</v>
      </c>
      <c r="BT384" s="477">
        <f>IFERROR(HLOOKUP($BR384,'Early Retirement'!$D$4:$AC$5,2,FALSE),0)</f>
        <v>0</v>
      </c>
      <c r="BU384" s="761">
        <f>IFERROR(INDEX('Early Retirement'!$AE$4:$BE$33,$BO384,$BR384),0)</f>
        <v>0</v>
      </c>
      <c r="BV384" s="759">
        <f>IFERROR(HLOOKUP($BR384,'Early Retirement'!$AF$4:$BE$5,2,FALSE),0)</f>
        <v>0</v>
      </c>
      <c r="BW384" s="479">
        <f t="shared" si="282"/>
        <v>0</v>
      </c>
      <c r="BX384" s="761">
        <f t="shared" si="290"/>
        <v>0</v>
      </c>
      <c r="BY384" s="477" t="s">
        <v>46</v>
      </c>
      <c r="BZ384" s="598">
        <f>IFERROR(INDEX('Early Retirement'!$BG$4:$CG$33,$BO384,$BR384),0)</f>
        <v>0</v>
      </c>
      <c r="CA384" s="759">
        <f>IFERROR(HLOOKUP($BR384,'Early Retirement'!$BH$4:$CH$5,2,FALSE),0)</f>
        <v>0</v>
      </c>
      <c r="CB384" s="598">
        <f t="shared" si="291"/>
        <v>0</v>
      </c>
      <c r="CC384" s="759" t="s">
        <v>567</v>
      </c>
      <c r="CD384" s="477" t="str">
        <f t="shared" si="283"/>
        <v>Yes</v>
      </c>
      <c r="CE384" s="479">
        <f t="shared" si="292"/>
        <v>0</v>
      </c>
      <c r="CF384" s="761">
        <f t="shared" si="293"/>
        <v>0</v>
      </c>
      <c r="CG384" s="759" t="s">
        <v>46</v>
      </c>
      <c r="CH384" s="598">
        <f t="shared" si="298"/>
        <v>0</v>
      </c>
      <c r="CI384" s="759" t="s">
        <v>567</v>
      </c>
      <c r="CJ384" s="480">
        <f t="shared" si="284"/>
        <v>0</v>
      </c>
      <c r="CK384" s="583">
        <f t="shared" si="294"/>
        <v>0</v>
      </c>
      <c r="CL384" s="596" t="s">
        <v>46</v>
      </c>
      <c r="CM384" s="581">
        <f t="shared" si="295"/>
        <v>0</v>
      </c>
      <c r="CN384" s="762" t="s">
        <v>567</v>
      </c>
      <c r="CW384" s="630"/>
      <c r="CX384" s="630"/>
      <c r="CY384" s="630"/>
      <c r="CZ384" s="630"/>
      <c r="DA384" s="630"/>
    </row>
    <row r="385" spans="2:105" s="78" customFormat="1" ht="15" customHeight="1" x14ac:dyDescent="0.25">
      <c r="B385" s="77"/>
      <c r="E385" s="77"/>
      <c r="H385" s="77"/>
      <c r="Y385" s="90">
        <v>132</v>
      </c>
      <c r="Z385" s="559" t="str">
        <f>IF(Inventory!$C141="","",VLOOKUP(Inventory!$C141,$B$7:$C$9,2,FALSE))</f>
        <v/>
      </c>
      <c r="AA385" s="559" t="str">
        <f>IF($Z385="","",IF(AND($Z385="b",Inventory!$G141=""),"",IF(AND($Z385="b",Inventory!$G141&lt;&gt;""),VLOOKUP(Inventory!$G141,$E$3:$F$10,2,FALSE),IF(AND($Z385="a",Inventory!$Z141=""),"",IF(AND($Z385="a",Inventory!$Z141&lt;&gt;""),VLOOKUP(Inventory!$Z141,$E$3:$F$10,2,FALSE),IF(AND($Z385="c",Inventory!$Z141=""),"",IF(AND($Z385="c",Inventory!$Z141&lt;&gt;""),VLOOKUP(Inventory!$Z141,$E$3:$F$10,2,FALSE),"")))))))</f>
        <v/>
      </c>
      <c r="AB385" s="559" t="str">
        <f>IF($Z385="","a",IF(AND($Z385="b",Inventory!$J141=""),"a",IF(AND($Z385="b",Inventory!$J141&lt;&gt;""),VLOOKUP(Inventory!$J141,$H$4:$I$6,2,FALSE),IF(AND($Z385="a",Inventory!$AA141=""),"a",IF(AND($Z385="a",Inventory!$AA141&lt;&gt;""),VLOOKUP(Inventory!$AA141,$H$4:$I$6,2,FALSE),IF(AND($Z385="c",Inventory!$AA141=""),"a",IF(AND($Z385="c",Inventory!$AA141&lt;&gt;""),VLOOKUP(Inventory!$AA141,$H$4:$I$6,2,FALSE),"a")))))))</f>
        <v>a</v>
      </c>
      <c r="AC385" s="559" t="str">
        <f t="shared" si="260"/>
        <v>a</v>
      </c>
      <c r="AD385" s="473" t="str">
        <f>IF($Z385="","a",IF(AND($Z385="b",Inventory!$L141=""),"a",IF(AND($Z385="b",Inventory!$L141&lt;&gt;""),VLOOKUP(Inventory!$L141,$N$4:$O$5,2,FALSE),IF(AND($Z385="a",Inventory!$AC141=""),"a",IF(AND($Z385="a",Inventory!$AC141&lt;&gt;""),VLOOKUP(Inventory!$AC141,$N$4:$O$5,2,FALSE),IF(AND($Z385="c",Inventory!$AC141=""),"a",IF(AND($Z385="c",Inventory!$AC141&lt;&gt;""),VLOOKUP(Inventory!$AC141,$N$4:$O$5,2,FALSE),"a")))))))</f>
        <v>a</v>
      </c>
      <c r="AE385" s="474">
        <f>IF(OR(Inventory!C141="New Construction",Inventory!C141="Replace-on-Burnout"),Inventory!AF141,IF(Inventory!C141="Early Retirement",MIN(Inventory!AE141,Inventory!AF141),0))</f>
        <v>0</v>
      </c>
      <c r="AF385" s="475" t="str">
        <f t="shared" si="261"/>
        <v/>
      </c>
      <c r="AG385" s="475" t="str">
        <f t="shared" si="262"/>
        <v/>
      </c>
      <c r="AH385" s="475" t="str">
        <f t="shared" si="263"/>
        <v/>
      </c>
      <c r="AI385" s="475" t="str">
        <f t="shared" si="264"/>
        <v/>
      </c>
      <c r="AJ385" s="475" t="str">
        <f t="shared" si="265"/>
        <v/>
      </c>
      <c r="AK385" s="475" t="str">
        <f t="shared" si="266"/>
        <v/>
      </c>
      <c r="AL385" s="475" t="str">
        <f t="shared" si="267"/>
        <v/>
      </c>
      <c r="AM385" s="475" t="str">
        <f t="shared" si="268"/>
        <v/>
      </c>
      <c r="AN385" s="475" t="str">
        <f t="shared" si="269"/>
        <v/>
      </c>
      <c r="AO385" s="475" t="str">
        <f t="shared" si="270"/>
        <v/>
      </c>
      <c r="AP385" s="475" t="str">
        <f t="shared" si="271"/>
        <v/>
      </c>
      <c r="AQ385" s="475" t="str">
        <f t="shared" si="272"/>
        <v/>
      </c>
      <c r="AR385" s="475" t="str">
        <f t="shared" si="273"/>
        <v/>
      </c>
      <c r="AS385" s="475" t="str">
        <f t="shared" si="296"/>
        <v/>
      </c>
      <c r="AT385" s="475" t="str">
        <f t="shared" si="274"/>
        <v/>
      </c>
      <c r="AU385" s="475" t="str">
        <f t="shared" si="275"/>
        <v/>
      </c>
      <c r="AV385" s="475" t="str">
        <f t="shared" si="276"/>
        <v/>
      </c>
      <c r="AW385" s="473">
        <f t="shared" si="277"/>
        <v>0</v>
      </c>
      <c r="AX385" s="473" t="str">
        <f>IF(AND($Z385="b",OR($AA385="a",$AA385="b"),Inventory!$I141="",$AE385&lt;(65000/12000)),"x",IF(AND($Z385="b",OR($AA385="a",$AA385="b"),Inventory!$I141&lt;&gt;"",$AE385&lt;(65000/12000)),VLOOKUP(Inventory!$I392,$V$4:$W$5,2,FALSE),"x"))</f>
        <v>x</v>
      </c>
      <c r="AY385" s="476" t="str">
        <f t="shared" si="278"/>
        <v>aaa0</v>
      </c>
      <c r="AZ385" s="477" t="str">
        <f t="shared" si="287"/>
        <v>No</v>
      </c>
      <c r="BA385" s="759" t="str">
        <f t="shared" si="288"/>
        <v>No</v>
      </c>
      <c r="BB385" s="477">
        <f>IF($Z385="c",Inventory!$AB141,Inventory!$K141)</f>
        <v>0</v>
      </c>
      <c r="BC385" s="478">
        <f>IF(AND($Z385="b",Inventory!$N141="Btu/hr"),Inventory!$M141,IF(AND($Z385="b",Inventory!$N141="Tons"),Inventory!$M141*12000,IF(AND($Z385&lt;&gt;"b",Inventory!$AK141="Btu/hr"),Inventory!$AD141,IF(AND($Z385&lt;&gt;"b",Inventory!$AK141="Tons"),Inventory!$AD141*12000,0))))</f>
        <v>0</v>
      </c>
      <c r="BD385" s="478">
        <f t="shared" si="285"/>
        <v>0</v>
      </c>
      <c r="BE385" s="479">
        <f t="shared" si="297"/>
        <v>0</v>
      </c>
      <c r="BF385" s="477" t="s">
        <v>50</v>
      </c>
      <c r="BG385" s="479">
        <f t="shared" si="279"/>
        <v>0</v>
      </c>
      <c r="BH385" s="477" t="s">
        <v>46</v>
      </c>
      <c r="BI385" s="760">
        <f>IF(AND($Z385="b",Inventory!$P141="Btu/hr"),Inventory!$O141,IF(AND($Z385="b",Inventory!$P141="Tons"),Inventory!$O141*12000,IF(AND($Z385&lt;&gt;"b",Inventory!$AM141="Btu/hr"),Inventory!$AL141,IF(AND($Z385&lt;&gt;"b",Inventory!$AM141="Tons"),Inventory!$AL141*12000,0))))</f>
        <v>0</v>
      </c>
      <c r="BJ385" s="760">
        <f t="shared" si="286"/>
        <v>0</v>
      </c>
      <c r="BK385" s="598">
        <f t="shared" si="289"/>
        <v>0</v>
      </c>
      <c r="BL385" s="759" t="s">
        <v>567</v>
      </c>
      <c r="BM385" s="477" t="str">
        <f t="shared" si="280"/>
        <v>No</v>
      </c>
      <c r="BN385" s="477" t="str">
        <f>IF(OR(Inventory!$H141="",$BM385="No"),"-",Inventory!$H141)</f>
        <v>-</v>
      </c>
      <c r="BO385" s="477" t="str">
        <f>IFERROR(VLOOKUP(BN385,'Early Retirement'!$B$6:$C$33,2,FALSE),"-")</f>
        <v>-</v>
      </c>
      <c r="BP385" s="477" t="str">
        <f>IF(Inventory!$J141="Centrifugal","Yes","No")</f>
        <v>No</v>
      </c>
      <c r="BQ385" s="477">
        <f t="shared" si="281"/>
        <v>0</v>
      </c>
      <c r="BR385" s="477" t="str">
        <f t="shared" si="259"/>
        <v>-</v>
      </c>
      <c r="BS385" s="479">
        <f>IFERROR(INDEX('Early Retirement'!$C$4:$AC$33,$BO385,$BR385),0)</f>
        <v>0</v>
      </c>
      <c r="BT385" s="477">
        <f>IFERROR(HLOOKUP($BR385,'Early Retirement'!$D$4:$AC$5,2,FALSE),0)</f>
        <v>0</v>
      </c>
      <c r="BU385" s="761">
        <f>IFERROR(INDEX('Early Retirement'!$AE$4:$BE$33,$BO385,$BR385),0)</f>
        <v>0</v>
      </c>
      <c r="BV385" s="759">
        <f>IFERROR(HLOOKUP($BR385,'Early Retirement'!$AF$4:$BE$5,2,FALSE),0)</f>
        <v>0</v>
      </c>
      <c r="BW385" s="479">
        <f t="shared" si="282"/>
        <v>0</v>
      </c>
      <c r="BX385" s="761">
        <f t="shared" si="290"/>
        <v>0</v>
      </c>
      <c r="BY385" s="477" t="s">
        <v>46</v>
      </c>
      <c r="BZ385" s="598">
        <f>IFERROR(INDEX('Early Retirement'!$BG$4:$CG$33,$BO385,$BR385),0)</f>
        <v>0</v>
      </c>
      <c r="CA385" s="759">
        <f>IFERROR(HLOOKUP($BR385,'Early Retirement'!$BH$4:$CH$5,2,FALSE),0)</f>
        <v>0</v>
      </c>
      <c r="CB385" s="598">
        <f t="shared" si="291"/>
        <v>0</v>
      </c>
      <c r="CC385" s="759" t="s">
        <v>567</v>
      </c>
      <c r="CD385" s="477" t="str">
        <f t="shared" si="283"/>
        <v>Yes</v>
      </c>
      <c r="CE385" s="479">
        <f t="shared" si="292"/>
        <v>0</v>
      </c>
      <c r="CF385" s="761">
        <f t="shared" si="293"/>
        <v>0</v>
      </c>
      <c r="CG385" s="759" t="s">
        <v>46</v>
      </c>
      <c r="CH385" s="598">
        <f t="shared" si="298"/>
        <v>0</v>
      </c>
      <c r="CI385" s="759" t="s">
        <v>567</v>
      </c>
      <c r="CJ385" s="480">
        <f t="shared" si="284"/>
        <v>0</v>
      </c>
      <c r="CK385" s="583">
        <f t="shared" si="294"/>
        <v>0</v>
      </c>
      <c r="CL385" s="596" t="s">
        <v>46</v>
      </c>
      <c r="CM385" s="581">
        <f t="shared" si="295"/>
        <v>0</v>
      </c>
      <c r="CN385" s="762" t="s">
        <v>567</v>
      </c>
      <c r="CW385" s="630"/>
      <c r="CX385" s="630"/>
      <c r="CY385" s="630"/>
      <c r="CZ385" s="630"/>
      <c r="DA385" s="630"/>
    </row>
    <row r="386" spans="2:105" s="78" customFormat="1" ht="15" customHeight="1" x14ac:dyDescent="0.25">
      <c r="B386" s="77"/>
      <c r="E386" s="77"/>
      <c r="H386" s="77"/>
      <c r="Y386" s="90">
        <v>133</v>
      </c>
      <c r="Z386" s="559" t="str">
        <f>IF(Inventory!$C142="","",VLOOKUP(Inventory!$C142,$B$7:$C$9,2,FALSE))</f>
        <v/>
      </c>
      <c r="AA386" s="559" t="str">
        <f>IF($Z386="","",IF(AND($Z386="b",Inventory!$G142=""),"",IF(AND($Z386="b",Inventory!$G142&lt;&gt;""),VLOOKUP(Inventory!$G142,$E$3:$F$10,2,FALSE),IF(AND($Z386="a",Inventory!$Z142=""),"",IF(AND($Z386="a",Inventory!$Z142&lt;&gt;""),VLOOKUP(Inventory!$Z142,$E$3:$F$10,2,FALSE),IF(AND($Z386="c",Inventory!$Z142=""),"",IF(AND($Z386="c",Inventory!$Z142&lt;&gt;""),VLOOKUP(Inventory!$Z142,$E$3:$F$10,2,FALSE),"")))))))</f>
        <v/>
      </c>
      <c r="AB386" s="559" t="str">
        <f>IF($Z386="","a",IF(AND($Z386="b",Inventory!$J142=""),"a",IF(AND($Z386="b",Inventory!$J142&lt;&gt;""),VLOOKUP(Inventory!$J142,$H$4:$I$6,2,FALSE),IF(AND($Z386="a",Inventory!$AA142=""),"a",IF(AND($Z386="a",Inventory!$AA142&lt;&gt;""),VLOOKUP(Inventory!$AA142,$H$4:$I$6,2,FALSE),IF(AND($Z386="c",Inventory!$AA142=""),"a",IF(AND($Z386="c",Inventory!$AA142&lt;&gt;""),VLOOKUP(Inventory!$AA142,$H$4:$I$6,2,FALSE),"a")))))))</f>
        <v>a</v>
      </c>
      <c r="AC386" s="559" t="str">
        <f t="shared" si="260"/>
        <v>a</v>
      </c>
      <c r="AD386" s="473" t="str">
        <f>IF($Z386="","a",IF(AND($Z386="b",Inventory!$L142=""),"a",IF(AND($Z386="b",Inventory!$L142&lt;&gt;""),VLOOKUP(Inventory!$L142,$N$4:$O$5,2,FALSE),IF(AND($Z386="a",Inventory!$AC142=""),"a",IF(AND($Z386="a",Inventory!$AC142&lt;&gt;""),VLOOKUP(Inventory!$AC142,$N$4:$O$5,2,FALSE),IF(AND($Z386="c",Inventory!$AC142=""),"a",IF(AND($Z386="c",Inventory!$AC142&lt;&gt;""),VLOOKUP(Inventory!$AC142,$N$4:$O$5,2,FALSE),"a")))))))</f>
        <v>a</v>
      </c>
      <c r="AE386" s="474">
        <f>IF(OR(Inventory!C142="New Construction",Inventory!C142="Replace-on-Burnout"),Inventory!AF142,IF(Inventory!C142="Early Retirement",MIN(Inventory!AE142,Inventory!AF142),0))</f>
        <v>0</v>
      </c>
      <c r="AF386" s="475" t="str">
        <f t="shared" si="261"/>
        <v/>
      </c>
      <c r="AG386" s="475" t="str">
        <f t="shared" si="262"/>
        <v/>
      </c>
      <c r="AH386" s="475" t="str">
        <f t="shared" si="263"/>
        <v/>
      </c>
      <c r="AI386" s="475" t="str">
        <f t="shared" si="264"/>
        <v/>
      </c>
      <c r="AJ386" s="475" t="str">
        <f t="shared" si="265"/>
        <v/>
      </c>
      <c r="AK386" s="475" t="str">
        <f t="shared" si="266"/>
        <v/>
      </c>
      <c r="AL386" s="475" t="str">
        <f t="shared" si="267"/>
        <v/>
      </c>
      <c r="AM386" s="475" t="str">
        <f t="shared" si="268"/>
        <v/>
      </c>
      <c r="AN386" s="475" t="str">
        <f t="shared" si="269"/>
        <v/>
      </c>
      <c r="AO386" s="475" t="str">
        <f t="shared" si="270"/>
        <v/>
      </c>
      <c r="AP386" s="475" t="str">
        <f t="shared" si="271"/>
        <v/>
      </c>
      <c r="AQ386" s="475" t="str">
        <f t="shared" si="272"/>
        <v/>
      </c>
      <c r="AR386" s="475" t="str">
        <f t="shared" si="273"/>
        <v/>
      </c>
      <c r="AS386" s="475" t="str">
        <f t="shared" si="296"/>
        <v/>
      </c>
      <c r="AT386" s="475" t="str">
        <f t="shared" si="274"/>
        <v/>
      </c>
      <c r="AU386" s="475" t="str">
        <f t="shared" si="275"/>
        <v/>
      </c>
      <c r="AV386" s="475" t="str">
        <f t="shared" si="276"/>
        <v/>
      </c>
      <c r="AW386" s="473">
        <f t="shared" si="277"/>
        <v>0</v>
      </c>
      <c r="AX386" s="473" t="str">
        <f>IF(AND($Z386="b",OR($AA386="a",$AA386="b"),Inventory!$I142="",$AE386&lt;(65000/12000)),"x",IF(AND($Z386="b",OR($AA386="a",$AA386="b"),Inventory!$I142&lt;&gt;"",$AE386&lt;(65000/12000)),VLOOKUP(Inventory!$I393,$V$4:$W$5,2,FALSE),"x"))</f>
        <v>x</v>
      </c>
      <c r="AY386" s="476" t="str">
        <f t="shared" si="278"/>
        <v>aaa0</v>
      </c>
      <c r="AZ386" s="477" t="str">
        <f t="shared" si="287"/>
        <v>No</v>
      </c>
      <c r="BA386" s="759" t="str">
        <f t="shared" si="288"/>
        <v>No</v>
      </c>
      <c r="BB386" s="477">
        <f>IF($Z386="c",Inventory!$AB142,Inventory!$K142)</f>
        <v>0</v>
      </c>
      <c r="BC386" s="478">
        <f>IF(AND($Z386="b",Inventory!$N142="Btu/hr"),Inventory!$M142,IF(AND($Z386="b",Inventory!$N142="Tons"),Inventory!$M142*12000,IF(AND($Z386&lt;&gt;"b",Inventory!$AK142="Btu/hr"),Inventory!$AD142,IF(AND($Z386&lt;&gt;"b",Inventory!$AK142="Tons"),Inventory!$AD142*12000,0))))</f>
        <v>0</v>
      </c>
      <c r="BD386" s="478">
        <f t="shared" si="285"/>
        <v>0</v>
      </c>
      <c r="BE386" s="479">
        <f t="shared" si="297"/>
        <v>0</v>
      </c>
      <c r="BF386" s="477" t="s">
        <v>50</v>
      </c>
      <c r="BG386" s="479">
        <f t="shared" si="279"/>
        <v>0</v>
      </c>
      <c r="BH386" s="477" t="s">
        <v>46</v>
      </c>
      <c r="BI386" s="760">
        <f>IF(AND($Z386="b",Inventory!$P142="Btu/hr"),Inventory!$O142,IF(AND($Z386="b",Inventory!$P142="Tons"),Inventory!$O142*12000,IF(AND($Z386&lt;&gt;"b",Inventory!$AM142="Btu/hr"),Inventory!$AL142,IF(AND($Z386&lt;&gt;"b",Inventory!$AM142="Tons"),Inventory!$AL142*12000,0))))</f>
        <v>0</v>
      </c>
      <c r="BJ386" s="760">
        <f t="shared" si="286"/>
        <v>0</v>
      </c>
      <c r="BK386" s="598">
        <f t="shared" si="289"/>
        <v>0</v>
      </c>
      <c r="BL386" s="759" t="s">
        <v>567</v>
      </c>
      <c r="BM386" s="477" t="str">
        <f t="shared" si="280"/>
        <v>No</v>
      </c>
      <c r="BN386" s="477" t="str">
        <f>IF(OR(Inventory!$H142="",$BM386="No"),"-",Inventory!$H142)</f>
        <v>-</v>
      </c>
      <c r="BO386" s="477" t="str">
        <f>IFERROR(VLOOKUP(BN386,'Early Retirement'!$B$6:$C$33,2,FALSE),"-")</f>
        <v>-</v>
      </c>
      <c r="BP386" s="477" t="str">
        <f>IF(Inventory!$J142="Centrifugal","Yes","No")</f>
        <v>No</v>
      </c>
      <c r="BQ386" s="477">
        <f t="shared" si="281"/>
        <v>0</v>
      </c>
      <c r="BR386" s="477" t="str">
        <f t="shared" si="259"/>
        <v>-</v>
      </c>
      <c r="BS386" s="479">
        <f>IFERROR(INDEX('Early Retirement'!$C$4:$AC$33,$BO386,$BR386),0)</f>
        <v>0</v>
      </c>
      <c r="BT386" s="477">
        <f>IFERROR(HLOOKUP($BR386,'Early Retirement'!$D$4:$AC$5,2,FALSE),0)</f>
        <v>0</v>
      </c>
      <c r="BU386" s="761">
        <f>IFERROR(INDEX('Early Retirement'!$AE$4:$BE$33,$BO386,$BR386),0)</f>
        <v>0</v>
      </c>
      <c r="BV386" s="759">
        <f>IFERROR(HLOOKUP($BR386,'Early Retirement'!$AF$4:$BE$5,2,FALSE),0)</f>
        <v>0</v>
      </c>
      <c r="BW386" s="479">
        <f t="shared" si="282"/>
        <v>0</v>
      </c>
      <c r="BX386" s="761">
        <f t="shared" si="290"/>
        <v>0</v>
      </c>
      <c r="BY386" s="477" t="s">
        <v>46</v>
      </c>
      <c r="BZ386" s="598">
        <f>IFERROR(INDEX('Early Retirement'!$BG$4:$CG$33,$BO386,$BR386),0)</f>
        <v>0</v>
      </c>
      <c r="CA386" s="759">
        <f>IFERROR(HLOOKUP($BR386,'Early Retirement'!$BH$4:$CH$5,2,FALSE),0)</f>
        <v>0</v>
      </c>
      <c r="CB386" s="598">
        <f t="shared" si="291"/>
        <v>0</v>
      </c>
      <c r="CC386" s="759" t="s">
        <v>567</v>
      </c>
      <c r="CD386" s="477" t="str">
        <f t="shared" si="283"/>
        <v>Yes</v>
      </c>
      <c r="CE386" s="479">
        <f t="shared" si="292"/>
        <v>0</v>
      </c>
      <c r="CF386" s="761">
        <f t="shared" si="293"/>
        <v>0</v>
      </c>
      <c r="CG386" s="759" t="s">
        <v>46</v>
      </c>
      <c r="CH386" s="598">
        <f t="shared" si="298"/>
        <v>0</v>
      </c>
      <c r="CI386" s="759" t="s">
        <v>567</v>
      </c>
      <c r="CJ386" s="480">
        <f t="shared" si="284"/>
        <v>0</v>
      </c>
      <c r="CK386" s="583">
        <f t="shared" si="294"/>
        <v>0</v>
      </c>
      <c r="CL386" s="596" t="s">
        <v>46</v>
      </c>
      <c r="CM386" s="581">
        <f t="shared" si="295"/>
        <v>0</v>
      </c>
      <c r="CN386" s="762" t="s">
        <v>567</v>
      </c>
      <c r="CW386" s="630"/>
      <c r="CX386" s="630"/>
      <c r="CY386" s="630"/>
      <c r="CZ386" s="630"/>
      <c r="DA386" s="630"/>
    </row>
    <row r="387" spans="2:105" s="78" customFormat="1" ht="15" customHeight="1" x14ac:dyDescent="0.25">
      <c r="B387" s="77"/>
      <c r="E387" s="77"/>
      <c r="H387" s="77"/>
      <c r="Y387" s="90">
        <v>134</v>
      </c>
      <c r="Z387" s="559" t="str">
        <f>IF(Inventory!$C143="","",VLOOKUP(Inventory!$C143,$B$7:$C$9,2,FALSE))</f>
        <v/>
      </c>
      <c r="AA387" s="559" t="str">
        <f>IF($Z387="","",IF(AND($Z387="b",Inventory!$G143=""),"",IF(AND($Z387="b",Inventory!$G143&lt;&gt;""),VLOOKUP(Inventory!$G143,$E$3:$F$10,2,FALSE),IF(AND($Z387="a",Inventory!$Z143=""),"",IF(AND($Z387="a",Inventory!$Z143&lt;&gt;""),VLOOKUP(Inventory!$Z143,$E$3:$F$10,2,FALSE),IF(AND($Z387="c",Inventory!$Z143=""),"",IF(AND($Z387="c",Inventory!$Z143&lt;&gt;""),VLOOKUP(Inventory!$Z143,$E$3:$F$10,2,FALSE),"")))))))</f>
        <v/>
      </c>
      <c r="AB387" s="559" t="str">
        <f>IF($Z387="","a",IF(AND($Z387="b",Inventory!$J143=""),"a",IF(AND($Z387="b",Inventory!$J143&lt;&gt;""),VLOOKUP(Inventory!$J143,$H$4:$I$6,2,FALSE),IF(AND($Z387="a",Inventory!$AA143=""),"a",IF(AND($Z387="a",Inventory!$AA143&lt;&gt;""),VLOOKUP(Inventory!$AA143,$H$4:$I$6,2,FALSE),IF(AND($Z387="c",Inventory!$AA143=""),"a",IF(AND($Z387="c",Inventory!$AA143&lt;&gt;""),VLOOKUP(Inventory!$AA143,$H$4:$I$6,2,FALSE),"a")))))))</f>
        <v>a</v>
      </c>
      <c r="AC387" s="559" t="str">
        <f t="shared" si="260"/>
        <v>a</v>
      </c>
      <c r="AD387" s="473" t="str">
        <f>IF($Z387="","a",IF(AND($Z387="b",Inventory!$L143=""),"a",IF(AND($Z387="b",Inventory!$L143&lt;&gt;""),VLOOKUP(Inventory!$L143,$N$4:$O$5,2,FALSE),IF(AND($Z387="a",Inventory!$AC143=""),"a",IF(AND($Z387="a",Inventory!$AC143&lt;&gt;""),VLOOKUP(Inventory!$AC143,$N$4:$O$5,2,FALSE),IF(AND($Z387="c",Inventory!$AC143=""),"a",IF(AND($Z387="c",Inventory!$AC143&lt;&gt;""),VLOOKUP(Inventory!$AC143,$N$4:$O$5,2,FALSE),"a")))))))</f>
        <v>a</v>
      </c>
      <c r="AE387" s="474">
        <f>IF(OR(Inventory!C143="New Construction",Inventory!C143="Replace-on-Burnout"),Inventory!AF143,IF(Inventory!C143="Early Retirement",MIN(Inventory!AE143,Inventory!AF143),0))</f>
        <v>0</v>
      </c>
      <c r="AF387" s="475" t="str">
        <f t="shared" si="261"/>
        <v/>
      </c>
      <c r="AG387" s="475" t="str">
        <f t="shared" si="262"/>
        <v/>
      </c>
      <c r="AH387" s="475" t="str">
        <f t="shared" si="263"/>
        <v/>
      </c>
      <c r="AI387" s="475" t="str">
        <f t="shared" si="264"/>
        <v/>
      </c>
      <c r="AJ387" s="475" t="str">
        <f t="shared" si="265"/>
        <v/>
      </c>
      <c r="AK387" s="475" t="str">
        <f t="shared" si="266"/>
        <v/>
      </c>
      <c r="AL387" s="475" t="str">
        <f t="shared" si="267"/>
        <v/>
      </c>
      <c r="AM387" s="475" t="str">
        <f t="shared" si="268"/>
        <v/>
      </c>
      <c r="AN387" s="475" t="str">
        <f t="shared" si="269"/>
        <v/>
      </c>
      <c r="AO387" s="475" t="str">
        <f t="shared" si="270"/>
        <v/>
      </c>
      <c r="AP387" s="475" t="str">
        <f t="shared" si="271"/>
        <v/>
      </c>
      <c r="AQ387" s="475" t="str">
        <f t="shared" si="272"/>
        <v/>
      </c>
      <c r="AR387" s="475" t="str">
        <f t="shared" si="273"/>
        <v/>
      </c>
      <c r="AS387" s="475" t="str">
        <f t="shared" si="296"/>
        <v/>
      </c>
      <c r="AT387" s="475" t="str">
        <f t="shared" si="274"/>
        <v/>
      </c>
      <c r="AU387" s="475" t="str">
        <f t="shared" si="275"/>
        <v/>
      </c>
      <c r="AV387" s="475" t="str">
        <f t="shared" si="276"/>
        <v/>
      </c>
      <c r="AW387" s="473">
        <f t="shared" si="277"/>
        <v>0</v>
      </c>
      <c r="AX387" s="473" t="str">
        <f>IF(AND($Z387="b",OR($AA387="a",$AA387="b"),Inventory!$I143="",$AE387&lt;(65000/12000)),"x",IF(AND($Z387="b",OR($AA387="a",$AA387="b"),Inventory!$I143&lt;&gt;"",$AE387&lt;(65000/12000)),VLOOKUP(Inventory!$I394,$V$4:$W$5,2,FALSE),"x"))</f>
        <v>x</v>
      </c>
      <c r="AY387" s="476" t="str">
        <f t="shared" si="278"/>
        <v>aaa0</v>
      </c>
      <c r="AZ387" s="477" t="str">
        <f t="shared" si="287"/>
        <v>No</v>
      </c>
      <c r="BA387" s="759" t="str">
        <f t="shared" si="288"/>
        <v>No</v>
      </c>
      <c r="BB387" s="477">
        <f>IF($Z387="c",Inventory!$AB143,Inventory!$K143)</f>
        <v>0</v>
      </c>
      <c r="BC387" s="478">
        <f>IF(AND($Z387="b",Inventory!$N143="Btu/hr"),Inventory!$M143,IF(AND($Z387="b",Inventory!$N143="Tons"),Inventory!$M143*12000,IF(AND($Z387&lt;&gt;"b",Inventory!$AK143="Btu/hr"),Inventory!$AD143,IF(AND($Z387&lt;&gt;"b",Inventory!$AK143="Tons"),Inventory!$AD143*12000,0))))</f>
        <v>0</v>
      </c>
      <c r="BD387" s="478">
        <f t="shared" si="285"/>
        <v>0</v>
      </c>
      <c r="BE387" s="479">
        <f t="shared" si="297"/>
        <v>0</v>
      </c>
      <c r="BF387" s="477" t="s">
        <v>50</v>
      </c>
      <c r="BG387" s="479">
        <f t="shared" si="279"/>
        <v>0</v>
      </c>
      <c r="BH387" s="477" t="s">
        <v>46</v>
      </c>
      <c r="BI387" s="760">
        <f>IF(AND($Z387="b",Inventory!$P143="Btu/hr"),Inventory!$O143,IF(AND($Z387="b",Inventory!$P143="Tons"),Inventory!$O143*12000,IF(AND($Z387&lt;&gt;"b",Inventory!$AM143="Btu/hr"),Inventory!$AL143,IF(AND($Z387&lt;&gt;"b",Inventory!$AM143="Tons"),Inventory!$AL143*12000,0))))</f>
        <v>0</v>
      </c>
      <c r="BJ387" s="760">
        <f t="shared" si="286"/>
        <v>0</v>
      </c>
      <c r="BK387" s="598">
        <f t="shared" si="289"/>
        <v>0</v>
      </c>
      <c r="BL387" s="759" t="s">
        <v>567</v>
      </c>
      <c r="BM387" s="477" t="str">
        <f t="shared" si="280"/>
        <v>No</v>
      </c>
      <c r="BN387" s="477" t="str">
        <f>IF(OR(Inventory!$H143="",$BM387="No"),"-",Inventory!$H143)</f>
        <v>-</v>
      </c>
      <c r="BO387" s="477" t="str">
        <f>IFERROR(VLOOKUP(BN387,'Early Retirement'!$B$6:$C$33,2,FALSE),"-")</f>
        <v>-</v>
      </c>
      <c r="BP387" s="477" t="str">
        <f>IF(Inventory!$J143="Centrifugal","Yes","No")</f>
        <v>No</v>
      </c>
      <c r="BQ387" s="477">
        <f t="shared" si="281"/>
        <v>0</v>
      </c>
      <c r="BR387" s="477" t="str">
        <f t="shared" si="259"/>
        <v>-</v>
      </c>
      <c r="BS387" s="479">
        <f>IFERROR(INDEX('Early Retirement'!$C$4:$AC$33,$BO387,$BR387),0)</f>
        <v>0</v>
      </c>
      <c r="BT387" s="477">
        <f>IFERROR(HLOOKUP($BR387,'Early Retirement'!$D$4:$AC$5,2,FALSE),0)</f>
        <v>0</v>
      </c>
      <c r="BU387" s="761">
        <f>IFERROR(INDEX('Early Retirement'!$AE$4:$BE$33,$BO387,$BR387),0)</f>
        <v>0</v>
      </c>
      <c r="BV387" s="759">
        <f>IFERROR(HLOOKUP($BR387,'Early Retirement'!$AF$4:$BE$5,2,FALSE),0)</f>
        <v>0</v>
      </c>
      <c r="BW387" s="479">
        <f t="shared" si="282"/>
        <v>0</v>
      </c>
      <c r="BX387" s="761">
        <f t="shared" si="290"/>
        <v>0</v>
      </c>
      <c r="BY387" s="477" t="s">
        <v>46</v>
      </c>
      <c r="BZ387" s="598">
        <f>IFERROR(INDEX('Early Retirement'!$BG$4:$CG$33,$BO387,$BR387),0)</f>
        <v>0</v>
      </c>
      <c r="CA387" s="759">
        <f>IFERROR(HLOOKUP($BR387,'Early Retirement'!$BH$4:$CH$5,2,FALSE),0)</f>
        <v>0</v>
      </c>
      <c r="CB387" s="598">
        <f t="shared" si="291"/>
        <v>0</v>
      </c>
      <c r="CC387" s="759" t="s">
        <v>567</v>
      </c>
      <c r="CD387" s="477" t="str">
        <f t="shared" si="283"/>
        <v>Yes</v>
      </c>
      <c r="CE387" s="479">
        <f t="shared" si="292"/>
        <v>0</v>
      </c>
      <c r="CF387" s="761">
        <f t="shared" si="293"/>
        <v>0</v>
      </c>
      <c r="CG387" s="759" t="s">
        <v>46</v>
      </c>
      <c r="CH387" s="598">
        <f t="shared" si="298"/>
        <v>0</v>
      </c>
      <c r="CI387" s="759" t="s">
        <v>567</v>
      </c>
      <c r="CJ387" s="480">
        <f t="shared" si="284"/>
        <v>0</v>
      </c>
      <c r="CK387" s="583">
        <f t="shared" si="294"/>
        <v>0</v>
      </c>
      <c r="CL387" s="596" t="s">
        <v>46</v>
      </c>
      <c r="CM387" s="581">
        <f t="shared" si="295"/>
        <v>0</v>
      </c>
      <c r="CN387" s="762" t="s">
        <v>567</v>
      </c>
      <c r="CW387" s="630"/>
      <c r="CX387" s="630"/>
      <c r="CY387" s="630"/>
      <c r="CZ387" s="630"/>
      <c r="DA387" s="630"/>
    </row>
    <row r="388" spans="2:105" s="78" customFormat="1" ht="15" customHeight="1" x14ac:dyDescent="0.25">
      <c r="B388" s="77"/>
      <c r="E388" s="77"/>
      <c r="H388" s="77"/>
      <c r="Y388" s="90">
        <v>135</v>
      </c>
      <c r="Z388" s="559" t="str">
        <f>IF(Inventory!$C144="","",VLOOKUP(Inventory!$C144,$B$7:$C$9,2,FALSE))</f>
        <v/>
      </c>
      <c r="AA388" s="559" t="str">
        <f>IF($Z388="","",IF(AND($Z388="b",Inventory!$G144=""),"",IF(AND($Z388="b",Inventory!$G144&lt;&gt;""),VLOOKUP(Inventory!$G144,$E$3:$F$10,2,FALSE),IF(AND($Z388="a",Inventory!$Z144=""),"",IF(AND($Z388="a",Inventory!$Z144&lt;&gt;""),VLOOKUP(Inventory!$Z144,$E$3:$F$10,2,FALSE),IF(AND($Z388="c",Inventory!$Z144=""),"",IF(AND($Z388="c",Inventory!$Z144&lt;&gt;""),VLOOKUP(Inventory!$Z144,$E$3:$F$10,2,FALSE),"")))))))</f>
        <v/>
      </c>
      <c r="AB388" s="559" t="str">
        <f>IF($Z388="","a",IF(AND($Z388="b",Inventory!$J144=""),"a",IF(AND($Z388="b",Inventory!$J144&lt;&gt;""),VLOOKUP(Inventory!$J144,$H$4:$I$6,2,FALSE),IF(AND($Z388="a",Inventory!$AA144=""),"a",IF(AND($Z388="a",Inventory!$AA144&lt;&gt;""),VLOOKUP(Inventory!$AA144,$H$4:$I$6,2,FALSE),IF(AND($Z388="c",Inventory!$AA144=""),"a",IF(AND($Z388="c",Inventory!$AA144&lt;&gt;""),VLOOKUP(Inventory!$AA144,$H$4:$I$6,2,FALSE),"a")))))))</f>
        <v>a</v>
      </c>
      <c r="AC388" s="559" t="str">
        <f t="shared" si="260"/>
        <v>a</v>
      </c>
      <c r="AD388" s="473" t="str">
        <f>IF($Z388="","a",IF(AND($Z388="b",Inventory!$L144=""),"a",IF(AND($Z388="b",Inventory!$L144&lt;&gt;""),VLOOKUP(Inventory!$L144,$N$4:$O$5,2,FALSE),IF(AND($Z388="a",Inventory!$AC144=""),"a",IF(AND($Z388="a",Inventory!$AC144&lt;&gt;""),VLOOKUP(Inventory!$AC144,$N$4:$O$5,2,FALSE),IF(AND($Z388="c",Inventory!$AC144=""),"a",IF(AND($Z388="c",Inventory!$AC144&lt;&gt;""),VLOOKUP(Inventory!$AC144,$N$4:$O$5,2,FALSE),"a")))))))</f>
        <v>a</v>
      </c>
      <c r="AE388" s="474">
        <f>IF(OR(Inventory!C144="New Construction",Inventory!C144="Replace-on-Burnout"),Inventory!AF144,IF(Inventory!C144="Early Retirement",MIN(Inventory!AE144,Inventory!AF144),0))</f>
        <v>0</v>
      </c>
      <c r="AF388" s="475" t="str">
        <f t="shared" si="261"/>
        <v/>
      </c>
      <c r="AG388" s="475" t="str">
        <f t="shared" si="262"/>
        <v/>
      </c>
      <c r="AH388" s="475" t="str">
        <f t="shared" si="263"/>
        <v/>
      </c>
      <c r="AI388" s="475" t="str">
        <f t="shared" si="264"/>
        <v/>
      </c>
      <c r="AJ388" s="475" t="str">
        <f t="shared" si="265"/>
        <v/>
      </c>
      <c r="AK388" s="475" t="str">
        <f t="shared" si="266"/>
        <v/>
      </c>
      <c r="AL388" s="475" t="str">
        <f t="shared" si="267"/>
        <v/>
      </c>
      <c r="AM388" s="475" t="str">
        <f t="shared" si="268"/>
        <v/>
      </c>
      <c r="AN388" s="475" t="str">
        <f t="shared" si="269"/>
        <v/>
      </c>
      <c r="AO388" s="475" t="str">
        <f t="shared" si="270"/>
        <v/>
      </c>
      <c r="AP388" s="475" t="str">
        <f t="shared" si="271"/>
        <v/>
      </c>
      <c r="AQ388" s="475" t="str">
        <f t="shared" si="272"/>
        <v/>
      </c>
      <c r="AR388" s="475" t="str">
        <f t="shared" si="273"/>
        <v/>
      </c>
      <c r="AS388" s="475" t="str">
        <f t="shared" si="296"/>
        <v/>
      </c>
      <c r="AT388" s="475" t="str">
        <f t="shared" si="274"/>
        <v/>
      </c>
      <c r="AU388" s="475" t="str">
        <f t="shared" si="275"/>
        <v/>
      </c>
      <c r="AV388" s="475" t="str">
        <f t="shared" si="276"/>
        <v/>
      </c>
      <c r="AW388" s="473">
        <f t="shared" si="277"/>
        <v>0</v>
      </c>
      <c r="AX388" s="473" t="str">
        <f>IF(AND($Z388="b",OR($AA388="a",$AA388="b"),Inventory!$I144="",$AE388&lt;(65000/12000)),"x",IF(AND($Z388="b",OR($AA388="a",$AA388="b"),Inventory!$I144&lt;&gt;"",$AE388&lt;(65000/12000)),VLOOKUP(Inventory!$I395,$V$4:$W$5,2,FALSE),"x"))</f>
        <v>x</v>
      </c>
      <c r="AY388" s="476" t="str">
        <f t="shared" si="278"/>
        <v>aaa0</v>
      </c>
      <c r="AZ388" s="477" t="str">
        <f t="shared" si="287"/>
        <v>No</v>
      </c>
      <c r="BA388" s="759" t="str">
        <f t="shared" si="288"/>
        <v>No</v>
      </c>
      <c r="BB388" s="477">
        <f>IF($Z388="c",Inventory!$AB144,Inventory!$K144)</f>
        <v>0</v>
      </c>
      <c r="BC388" s="478">
        <f>IF(AND($Z388="b",Inventory!$N144="Btu/hr"),Inventory!$M144,IF(AND($Z388="b",Inventory!$N144="Tons"),Inventory!$M144*12000,IF(AND($Z388&lt;&gt;"b",Inventory!$AK144="Btu/hr"),Inventory!$AD144,IF(AND($Z388&lt;&gt;"b",Inventory!$AK144="Tons"),Inventory!$AD144*12000,0))))</f>
        <v>0</v>
      </c>
      <c r="BD388" s="478">
        <f t="shared" si="285"/>
        <v>0</v>
      </c>
      <c r="BE388" s="479">
        <f t="shared" si="297"/>
        <v>0</v>
      </c>
      <c r="BF388" s="477" t="s">
        <v>50</v>
      </c>
      <c r="BG388" s="479">
        <f t="shared" si="279"/>
        <v>0</v>
      </c>
      <c r="BH388" s="477" t="s">
        <v>46</v>
      </c>
      <c r="BI388" s="760">
        <f>IF(AND($Z388="b",Inventory!$P144="Btu/hr"),Inventory!$O144,IF(AND($Z388="b",Inventory!$P144="Tons"),Inventory!$O144*12000,IF(AND($Z388&lt;&gt;"b",Inventory!$AM144="Btu/hr"),Inventory!$AL144,IF(AND($Z388&lt;&gt;"b",Inventory!$AM144="Tons"),Inventory!$AL144*12000,0))))</f>
        <v>0</v>
      </c>
      <c r="BJ388" s="760">
        <f t="shared" si="286"/>
        <v>0</v>
      </c>
      <c r="BK388" s="598">
        <f t="shared" si="289"/>
        <v>0</v>
      </c>
      <c r="BL388" s="759" t="s">
        <v>567</v>
      </c>
      <c r="BM388" s="477" t="str">
        <f t="shared" si="280"/>
        <v>No</v>
      </c>
      <c r="BN388" s="477" t="str">
        <f>IF(OR(Inventory!$H144="",$BM388="No"),"-",Inventory!$H144)</f>
        <v>-</v>
      </c>
      <c r="BO388" s="477" t="str">
        <f>IFERROR(VLOOKUP(BN388,'Early Retirement'!$B$6:$C$33,2,FALSE),"-")</f>
        <v>-</v>
      </c>
      <c r="BP388" s="477" t="str">
        <f>IF(Inventory!$J144="Centrifugal","Yes","No")</f>
        <v>No</v>
      </c>
      <c r="BQ388" s="477">
        <f t="shared" si="281"/>
        <v>0</v>
      </c>
      <c r="BR388" s="477" t="str">
        <f t="shared" ref="BR388:BR451" si="299">IFERROR(VLOOKUP($BQ388,$BQ$506:$BR$537,2,FALSE),"-")</f>
        <v>-</v>
      </c>
      <c r="BS388" s="479">
        <f>IFERROR(INDEX('Early Retirement'!$C$4:$AC$33,$BO388,$BR388),0)</f>
        <v>0</v>
      </c>
      <c r="BT388" s="477">
        <f>IFERROR(HLOOKUP($BR388,'Early Retirement'!$D$4:$AC$5,2,FALSE),0)</f>
        <v>0</v>
      </c>
      <c r="BU388" s="761">
        <f>IFERROR(INDEX('Early Retirement'!$AE$4:$BE$33,$BO388,$BR388),0)</f>
        <v>0</v>
      </c>
      <c r="BV388" s="759">
        <f>IFERROR(HLOOKUP($BR388,'Early Retirement'!$AF$4:$BE$5,2,FALSE),0)</f>
        <v>0</v>
      </c>
      <c r="BW388" s="479">
        <f t="shared" si="282"/>
        <v>0</v>
      </c>
      <c r="BX388" s="761">
        <f t="shared" si="290"/>
        <v>0</v>
      </c>
      <c r="BY388" s="477" t="s">
        <v>46</v>
      </c>
      <c r="BZ388" s="598">
        <f>IFERROR(INDEX('Early Retirement'!$BG$4:$CG$33,$BO388,$BR388),0)</f>
        <v>0</v>
      </c>
      <c r="CA388" s="759">
        <f>IFERROR(HLOOKUP($BR388,'Early Retirement'!$BH$4:$CH$5,2,FALSE),0)</f>
        <v>0</v>
      </c>
      <c r="CB388" s="598">
        <f t="shared" si="291"/>
        <v>0</v>
      </c>
      <c r="CC388" s="759" t="s">
        <v>567</v>
      </c>
      <c r="CD388" s="477" t="str">
        <f t="shared" si="283"/>
        <v>Yes</v>
      </c>
      <c r="CE388" s="479">
        <f t="shared" si="292"/>
        <v>0</v>
      </c>
      <c r="CF388" s="761">
        <f t="shared" si="293"/>
        <v>0</v>
      </c>
      <c r="CG388" s="759" t="s">
        <v>46</v>
      </c>
      <c r="CH388" s="598">
        <f t="shared" si="298"/>
        <v>0</v>
      </c>
      <c r="CI388" s="759" t="s">
        <v>567</v>
      </c>
      <c r="CJ388" s="480">
        <f t="shared" si="284"/>
        <v>0</v>
      </c>
      <c r="CK388" s="583">
        <f t="shared" si="294"/>
        <v>0</v>
      </c>
      <c r="CL388" s="596" t="s">
        <v>46</v>
      </c>
      <c r="CM388" s="581">
        <f t="shared" si="295"/>
        <v>0</v>
      </c>
      <c r="CN388" s="762" t="s">
        <v>567</v>
      </c>
      <c r="CW388" s="630"/>
      <c r="CX388" s="630"/>
      <c r="CY388" s="630"/>
      <c r="CZ388" s="630"/>
      <c r="DA388" s="630"/>
    </row>
    <row r="389" spans="2:105" s="78" customFormat="1" ht="15" customHeight="1" x14ac:dyDescent="0.25">
      <c r="B389" s="77"/>
      <c r="E389" s="77"/>
      <c r="H389" s="77"/>
      <c r="Y389" s="90">
        <v>136</v>
      </c>
      <c r="Z389" s="559" t="str">
        <f>IF(Inventory!$C145="","",VLOOKUP(Inventory!$C145,$B$7:$C$9,2,FALSE))</f>
        <v/>
      </c>
      <c r="AA389" s="559" t="str">
        <f>IF($Z389="","",IF(AND($Z389="b",Inventory!$G145=""),"",IF(AND($Z389="b",Inventory!$G145&lt;&gt;""),VLOOKUP(Inventory!$G145,$E$3:$F$10,2,FALSE),IF(AND($Z389="a",Inventory!$Z145=""),"",IF(AND($Z389="a",Inventory!$Z145&lt;&gt;""),VLOOKUP(Inventory!$Z145,$E$3:$F$10,2,FALSE),IF(AND($Z389="c",Inventory!$Z145=""),"",IF(AND($Z389="c",Inventory!$Z145&lt;&gt;""),VLOOKUP(Inventory!$Z145,$E$3:$F$10,2,FALSE),"")))))))</f>
        <v/>
      </c>
      <c r="AB389" s="559" t="str">
        <f>IF($Z389="","a",IF(AND($Z389="b",Inventory!$J145=""),"a",IF(AND($Z389="b",Inventory!$J145&lt;&gt;""),VLOOKUP(Inventory!$J145,$H$4:$I$6,2,FALSE),IF(AND($Z389="a",Inventory!$AA145=""),"a",IF(AND($Z389="a",Inventory!$AA145&lt;&gt;""),VLOOKUP(Inventory!$AA145,$H$4:$I$6,2,FALSE),IF(AND($Z389="c",Inventory!$AA145=""),"a",IF(AND($Z389="c",Inventory!$AA145&lt;&gt;""),VLOOKUP(Inventory!$AA145,$H$4:$I$6,2,FALSE),"a")))))))</f>
        <v>a</v>
      </c>
      <c r="AC389" s="559" t="str">
        <f t="shared" si="260"/>
        <v>a</v>
      </c>
      <c r="AD389" s="473" t="str">
        <f>IF($Z389="","a",IF(AND($Z389="b",Inventory!$L145=""),"a",IF(AND($Z389="b",Inventory!$L145&lt;&gt;""),VLOOKUP(Inventory!$L145,$N$4:$O$5,2,FALSE),IF(AND($Z389="a",Inventory!$AC145=""),"a",IF(AND($Z389="a",Inventory!$AC145&lt;&gt;""),VLOOKUP(Inventory!$AC145,$N$4:$O$5,2,FALSE),IF(AND($Z389="c",Inventory!$AC145=""),"a",IF(AND($Z389="c",Inventory!$AC145&lt;&gt;""),VLOOKUP(Inventory!$AC145,$N$4:$O$5,2,FALSE),"a")))))))</f>
        <v>a</v>
      </c>
      <c r="AE389" s="474">
        <f>IF(OR(Inventory!C145="New Construction",Inventory!C145="Replace-on-Burnout"),Inventory!AF145,IF(Inventory!C145="Early Retirement",MIN(Inventory!AE145,Inventory!AF145),0))</f>
        <v>0</v>
      </c>
      <c r="AF389" s="475" t="str">
        <f t="shared" si="261"/>
        <v/>
      </c>
      <c r="AG389" s="475" t="str">
        <f t="shared" si="262"/>
        <v/>
      </c>
      <c r="AH389" s="475" t="str">
        <f t="shared" si="263"/>
        <v/>
      </c>
      <c r="AI389" s="475" t="str">
        <f t="shared" si="264"/>
        <v/>
      </c>
      <c r="AJ389" s="475" t="str">
        <f t="shared" si="265"/>
        <v/>
      </c>
      <c r="AK389" s="475" t="str">
        <f t="shared" si="266"/>
        <v/>
      </c>
      <c r="AL389" s="475" t="str">
        <f t="shared" si="267"/>
        <v/>
      </c>
      <c r="AM389" s="475" t="str">
        <f t="shared" si="268"/>
        <v/>
      </c>
      <c r="AN389" s="475" t="str">
        <f t="shared" si="269"/>
        <v/>
      </c>
      <c r="AO389" s="475" t="str">
        <f t="shared" si="270"/>
        <v/>
      </c>
      <c r="AP389" s="475" t="str">
        <f t="shared" si="271"/>
        <v/>
      </c>
      <c r="AQ389" s="475" t="str">
        <f t="shared" si="272"/>
        <v/>
      </c>
      <c r="AR389" s="475" t="str">
        <f t="shared" si="273"/>
        <v/>
      </c>
      <c r="AS389" s="475" t="str">
        <f t="shared" si="296"/>
        <v/>
      </c>
      <c r="AT389" s="475" t="str">
        <f t="shared" si="274"/>
        <v/>
      </c>
      <c r="AU389" s="475" t="str">
        <f t="shared" si="275"/>
        <v/>
      </c>
      <c r="AV389" s="475" t="str">
        <f t="shared" si="276"/>
        <v/>
      </c>
      <c r="AW389" s="473">
        <f t="shared" si="277"/>
        <v>0</v>
      </c>
      <c r="AX389" s="473" t="str">
        <f>IF(AND($Z389="b",OR($AA389="a",$AA389="b"),Inventory!$I145="",$AE389&lt;(65000/12000)),"x",IF(AND($Z389="b",OR($AA389="a",$AA389="b"),Inventory!$I145&lt;&gt;"",$AE389&lt;(65000/12000)),VLOOKUP(Inventory!$I396,$V$4:$W$5,2,FALSE),"x"))</f>
        <v>x</v>
      </c>
      <c r="AY389" s="476" t="str">
        <f t="shared" si="278"/>
        <v>aaa0</v>
      </c>
      <c r="AZ389" s="477" t="str">
        <f t="shared" si="287"/>
        <v>No</v>
      </c>
      <c r="BA389" s="759" t="str">
        <f t="shared" si="288"/>
        <v>No</v>
      </c>
      <c r="BB389" s="477">
        <f>IF($Z389="c",Inventory!$AB145,Inventory!$K145)</f>
        <v>0</v>
      </c>
      <c r="BC389" s="478">
        <f>IF(AND($Z389="b",Inventory!$N145="Btu/hr"),Inventory!$M145,IF(AND($Z389="b",Inventory!$N145="Tons"),Inventory!$M145*12000,IF(AND($Z389&lt;&gt;"b",Inventory!$AK145="Btu/hr"),Inventory!$AD145,IF(AND($Z389&lt;&gt;"b",Inventory!$AK145="Tons"),Inventory!$AD145*12000,0))))</f>
        <v>0</v>
      </c>
      <c r="BD389" s="478">
        <f t="shared" si="285"/>
        <v>0</v>
      </c>
      <c r="BE389" s="479">
        <f t="shared" si="297"/>
        <v>0</v>
      </c>
      <c r="BF389" s="477" t="s">
        <v>50</v>
      </c>
      <c r="BG389" s="479">
        <f t="shared" si="279"/>
        <v>0</v>
      </c>
      <c r="BH389" s="477" t="s">
        <v>46</v>
      </c>
      <c r="BI389" s="760">
        <f>IF(AND($Z389="b",Inventory!$P145="Btu/hr"),Inventory!$O145,IF(AND($Z389="b",Inventory!$P145="Tons"),Inventory!$O145*12000,IF(AND($Z389&lt;&gt;"b",Inventory!$AM145="Btu/hr"),Inventory!$AL145,IF(AND($Z389&lt;&gt;"b",Inventory!$AM145="Tons"),Inventory!$AL145*12000,0))))</f>
        <v>0</v>
      </c>
      <c r="BJ389" s="760">
        <f t="shared" si="286"/>
        <v>0</v>
      </c>
      <c r="BK389" s="598">
        <f t="shared" si="289"/>
        <v>0</v>
      </c>
      <c r="BL389" s="759" t="s">
        <v>567</v>
      </c>
      <c r="BM389" s="477" t="str">
        <f t="shared" si="280"/>
        <v>No</v>
      </c>
      <c r="BN389" s="477" t="str">
        <f>IF(OR(Inventory!$H145="",$BM389="No"),"-",Inventory!$H145)</f>
        <v>-</v>
      </c>
      <c r="BO389" s="477" t="str">
        <f>IFERROR(VLOOKUP(BN389,'Early Retirement'!$B$6:$C$33,2,FALSE),"-")</f>
        <v>-</v>
      </c>
      <c r="BP389" s="477" t="str">
        <f>IF(Inventory!$J145="Centrifugal","Yes","No")</f>
        <v>No</v>
      </c>
      <c r="BQ389" s="477">
        <f t="shared" si="281"/>
        <v>0</v>
      </c>
      <c r="BR389" s="477" t="str">
        <f t="shared" si="299"/>
        <v>-</v>
      </c>
      <c r="BS389" s="479">
        <f>IFERROR(INDEX('Early Retirement'!$C$4:$AC$33,$BO389,$BR389),0)</f>
        <v>0</v>
      </c>
      <c r="BT389" s="477">
        <f>IFERROR(HLOOKUP($BR389,'Early Retirement'!$D$4:$AC$5,2,FALSE),0)</f>
        <v>0</v>
      </c>
      <c r="BU389" s="761">
        <f>IFERROR(INDEX('Early Retirement'!$AE$4:$BE$33,$BO389,$BR389),0)</f>
        <v>0</v>
      </c>
      <c r="BV389" s="759">
        <f>IFERROR(HLOOKUP($BR389,'Early Retirement'!$AF$4:$BE$5,2,FALSE),0)</f>
        <v>0</v>
      </c>
      <c r="BW389" s="479">
        <f t="shared" si="282"/>
        <v>0</v>
      </c>
      <c r="BX389" s="761">
        <f t="shared" si="290"/>
        <v>0</v>
      </c>
      <c r="BY389" s="477" t="s">
        <v>46</v>
      </c>
      <c r="BZ389" s="598">
        <f>IFERROR(INDEX('Early Retirement'!$BG$4:$CG$33,$BO389,$BR389),0)</f>
        <v>0</v>
      </c>
      <c r="CA389" s="759">
        <f>IFERROR(HLOOKUP($BR389,'Early Retirement'!$BH$4:$CH$5,2,FALSE),0)</f>
        <v>0</v>
      </c>
      <c r="CB389" s="598">
        <f t="shared" si="291"/>
        <v>0</v>
      </c>
      <c r="CC389" s="759" t="s">
        <v>567</v>
      </c>
      <c r="CD389" s="477" t="str">
        <f t="shared" si="283"/>
        <v>Yes</v>
      </c>
      <c r="CE389" s="479">
        <f t="shared" si="292"/>
        <v>0</v>
      </c>
      <c r="CF389" s="761">
        <f t="shared" si="293"/>
        <v>0</v>
      </c>
      <c r="CG389" s="759" t="s">
        <v>46</v>
      </c>
      <c r="CH389" s="598">
        <f t="shared" si="298"/>
        <v>0</v>
      </c>
      <c r="CI389" s="759" t="s">
        <v>567</v>
      </c>
      <c r="CJ389" s="480">
        <f t="shared" si="284"/>
        <v>0</v>
      </c>
      <c r="CK389" s="583">
        <f t="shared" si="294"/>
        <v>0</v>
      </c>
      <c r="CL389" s="596" t="s">
        <v>46</v>
      </c>
      <c r="CM389" s="581">
        <f t="shared" si="295"/>
        <v>0</v>
      </c>
      <c r="CN389" s="762" t="s">
        <v>567</v>
      </c>
      <c r="CW389" s="630"/>
      <c r="CX389" s="630"/>
      <c r="CY389" s="630"/>
      <c r="CZ389" s="630"/>
      <c r="DA389" s="630"/>
    </row>
    <row r="390" spans="2:105" s="78" customFormat="1" ht="15" customHeight="1" x14ac:dyDescent="0.25">
      <c r="B390" s="77"/>
      <c r="E390" s="77"/>
      <c r="H390" s="77"/>
      <c r="Y390" s="90">
        <v>137</v>
      </c>
      <c r="Z390" s="559" t="str">
        <f>IF(Inventory!$C146="","",VLOOKUP(Inventory!$C146,$B$7:$C$9,2,FALSE))</f>
        <v/>
      </c>
      <c r="AA390" s="559" t="str">
        <f>IF($Z390="","",IF(AND($Z390="b",Inventory!$G146=""),"",IF(AND($Z390="b",Inventory!$G146&lt;&gt;""),VLOOKUP(Inventory!$G146,$E$3:$F$10,2,FALSE),IF(AND($Z390="a",Inventory!$Z146=""),"",IF(AND($Z390="a",Inventory!$Z146&lt;&gt;""),VLOOKUP(Inventory!$Z146,$E$3:$F$10,2,FALSE),IF(AND($Z390="c",Inventory!$Z146=""),"",IF(AND($Z390="c",Inventory!$Z146&lt;&gt;""),VLOOKUP(Inventory!$Z146,$E$3:$F$10,2,FALSE),"")))))))</f>
        <v/>
      </c>
      <c r="AB390" s="559" t="str">
        <f>IF($Z390="","a",IF(AND($Z390="b",Inventory!$J146=""),"a",IF(AND($Z390="b",Inventory!$J146&lt;&gt;""),VLOOKUP(Inventory!$J146,$H$4:$I$6,2,FALSE),IF(AND($Z390="a",Inventory!$AA146=""),"a",IF(AND($Z390="a",Inventory!$AA146&lt;&gt;""),VLOOKUP(Inventory!$AA146,$H$4:$I$6,2,FALSE),IF(AND($Z390="c",Inventory!$AA146=""),"a",IF(AND($Z390="c",Inventory!$AA146&lt;&gt;""),VLOOKUP(Inventory!$AA146,$H$4:$I$6,2,FALSE),"a")))))))</f>
        <v>a</v>
      </c>
      <c r="AC390" s="559" t="str">
        <f t="shared" si="260"/>
        <v>a</v>
      </c>
      <c r="AD390" s="473" t="str">
        <f>IF($Z390="","a",IF(AND($Z390="b",Inventory!$L146=""),"a",IF(AND($Z390="b",Inventory!$L146&lt;&gt;""),VLOOKUP(Inventory!$L146,$N$4:$O$5,2,FALSE),IF(AND($Z390="a",Inventory!$AC146=""),"a",IF(AND($Z390="a",Inventory!$AC146&lt;&gt;""),VLOOKUP(Inventory!$AC146,$N$4:$O$5,2,FALSE),IF(AND($Z390="c",Inventory!$AC146=""),"a",IF(AND($Z390="c",Inventory!$AC146&lt;&gt;""),VLOOKUP(Inventory!$AC146,$N$4:$O$5,2,FALSE),"a")))))))</f>
        <v>a</v>
      </c>
      <c r="AE390" s="474">
        <f>IF(OR(Inventory!C146="New Construction",Inventory!C146="Replace-on-Burnout"),Inventory!AF146,IF(Inventory!C146="Early Retirement",MIN(Inventory!AE146,Inventory!AF146),0))</f>
        <v>0</v>
      </c>
      <c r="AF390" s="475" t="str">
        <f t="shared" si="261"/>
        <v/>
      </c>
      <c r="AG390" s="475" t="str">
        <f t="shared" si="262"/>
        <v/>
      </c>
      <c r="AH390" s="475" t="str">
        <f t="shared" si="263"/>
        <v/>
      </c>
      <c r="AI390" s="475" t="str">
        <f t="shared" si="264"/>
        <v/>
      </c>
      <c r="AJ390" s="475" t="str">
        <f t="shared" si="265"/>
        <v/>
      </c>
      <c r="AK390" s="475" t="str">
        <f t="shared" si="266"/>
        <v/>
      </c>
      <c r="AL390" s="475" t="str">
        <f t="shared" si="267"/>
        <v/>
      </c>
      <c r="AM390" s="475" t="str">
        <f t="shared" si="268"/>
        <v/>
      </c>
      <c r="AN390" s="475" t="str">
        <f t="shared" si="269"/>
        <v/>
      </c>
      <c r="AO390" s="475" t="str">
        <f t="shared" si="270"/>
        <v/>
      </c>
      <c r="AP390" s="475" t="str">
        <f t="shared" si="271"/>
        <v/>
      </c>
      <c r="AQ390" s="475" t="str">
        <f t="shared" si="272"/>
        <v/>
      </c>
      <c r="AR390" s="475" t="str">
        <f t="shared" si="273"/>
        <v/>
      </c>
      <c r="AS390" s="475" t="str">
        <f t="shared" si="296"/>
        <v/>
      </c>
      <c r="AT390" s="475" t="str">
        <f t="shared" si="274"/>
        <v/>
      </c>
      <c r="AU390" s="475" t="str">
        <f t="shared" si="275"/>
        <v/>
      </c>
      <c r="AV390" s="475" t="str">
        <f t="shared" si="276"/>
        <v/>
      </c>
      <c r="AW390" s="473">
        <f t="shared" si="277"/>
        <v>0</v>
      </c>
      <c r="AX390" s="473" t="str">
        <f>IF(AND($Z390="b",OR($AA390="a",$AA390="b"),Inventory!$I146="",$AE390&lt;(65000/12000)),"x",IF(AND($Z390="b",OR($AA390="a",$AA390="b"),Inventory!$I146&lt;&gt;"",$AE390&lt;(65000/12000)),VLOOKUP(Inventory!$I397,$V$4:$W$5,2,FALSE),"x"))</f>
        <v>x</v>
      </c>
      <c r="AY390" s="476" t="str">
        <f t="shared" si="278"/>
        <v>aaa0</v>
      </c>
      <c r="AZ390" s="477" t="str">
        <f t="shared" si="287"/>
        <v>No</v>
      </c>
      <c r="BA390" s="759" t="str">
        <f t="shared" si="288"/>
        <v>No</v>
      </c>
      <c r="BB390" s="477">
        <f>IF($Z390="c",Inventory!$AB146,Inventory!$K146)</f>
        <v>0</v>
      </c>
      <c r="BC390" s="478">
        <f>IF(AND($Z390="b",Inventory!$N146="Btu/hr"),Inventory!$M146,IF(AND($Z390="b",Inventory!$N146="Tons"),Inventory!$M146*12000,IF(AND($Z390&lt;&gt;"b",Inventory!$AK146="Btu/hr"),Inventory!$AD146,IF(AND($Z390&lt;&gt;"b",Inventory!$AK146="Tons"),Inventory!$AD146*12000,0))))</f>
        <v>0</v>
      </c>
      <c r="BD390" s="478">
        <f t="shared" si="285"/>
        <v>0</v>
      </c>
      <c r="BE390" s="479">
        <f t="shared" si="297"/>
        <v>0</v>
      </c>
      <c r="BF390" s="477" t="s">
        <v>50</v>
      </c>
      <c r="BG390" s="479">
        <f t="shared" si="279"/>
        <v>0</v>
      </c>
      <c r="BH390" s="477" t="s">
        <v>46</v>
      </c>
      <c r="BI390" s="760">
        <f>IF(AND($Z390="b",Inventory!$P146="Btu/hr"),Inventory!$O146,IF(AND($Z390="b",Inventory!$P146="Tons"),Inventory!$O146*12000,IF(AND($Z390&lt;&gt;"b",Inventory!$AM146="Btu/hr"),Inventory!$AL146,IF(AND($Z390&lt;&gt;"b",Inventory!$AM146="Tons"),Inventory!$AL146*12000,0))))</f>
        <v>0</v>
      </c>
      <c r="BJ390" s="760">
        <f t="shared" si="286"/>
        <v>0</v>
      </c>
      <c r="BK390" s="598">
        <f t="shared" si="289"/>
        <v>0</v>
      </c>
      <c r="BL390" s="759" t="s">
        <v>567</v>
      </c>
      <c r="BM390" s="477" t="str">
        <f t="shared" si="280"/>
        <v>No</v>
      </c>
      <c r="BN390" s="477" t="str">
        <f>IF(OR(Inventory!$H146="",$BM390="No"),"-",Inventory!$H146)</f>
        <v>-</v>
      </c>
      <c r="BO390" s="477" t="str">
        <f>IFERROR(VLOOKUP(BN390,'Early Retirement'!$B$6:$C$33,2,FALSE),"-")</f>
        <v>-</v>
      </c>
      <c r="BP390" s="477" t="str">
        <f>IF(Inventory!$J146="Centrifugal","Yes","No")</f>
        <v>No</v>
      </c>
      <c r="BQ390" s="477">
        <f t="shared" si="281"/>
        <v>0</v>
      </c>
      <c r="BR390" s="477" t="str">
        <f t="shared" si="299"/>
        <v>-</v>
      </c>
      <c r="BS390" s="479">
        <f>IFERROR(INDEX('Early Retirement'!$C$4:$AC$33,$BO390,$BR390),0)</f>
        <v>0</v>
      </c>
      <c r="BT390" s="477">
        <f>IFERROR(HLOOKUP($BR390,'Early Retirement'!$D$4:$AC$5,2,FALSE),0)</f>
        <v>0</v>
      </c>
      <c r="BU390" s="761">
        <f>IFERROR(INDEX('Early Retirement'!$AE$4:$BE$33,$BO390,$BR390),0)</f>
        <v>0</v>
      </c>
      <c r="BV390" s="759">
        <f>IFERROR(HLOOKUP($BR390,'Early Retirement'!$AF$4:$BE$5,2,FALSE),0)</f>
        <v>0</v>
      </c>
      <c r="BW390" s="479">
        <f t="shared" si="282"/>
        <v>0</v>
      </c>
      <c r="BX390" s="761">
        <f t="shared" si="290"/>
        <v>0</v>
      </c>
      <c r="BY390" s="477" t="s">
        <v>46</v>
      </c>
      <c r="BZ390" s="598">
        <f>IFERROR(INDEX('Early Retirement'!$BG$4:$CG$33,$BO390,$BR390),0)</f>
        <v>0</v>
      </c>
      <c r="CA390" s="759">
        <f>IFERROR(HLOOKUP($BR390,'Early Retirement'!$BH$4:$CH$5,2,FALSE),0)</f>
        <v>0</v>
      </c>
      <c r="CB390" s="598">
        <f t="shared" si="291"/>
        <v>0</v>
      </c>
      <c r="CC390" s="759" t="s">
        <v>567</v>
      </c>
      <c r="CD390" s="477" t="str">
        <f t="shared" si="283"/>
        <v>Yes</v>
      </c>
      <c r="CE390" s="479">
        <f t="shared" si="292"/>
        <v>0</v>
      </c>
      <c r="CF390" s="761">
        <f t="shared" si="293"/>
        <v>0</v>
      </c>
      <c r="CG390" s="759" t="s">
        <v>46</v>
      </c>
      <c r="CH390" s="598">
        <f t="shared" si="298"/>
        <v>0</v>
      </c>
      <c r="CI390" s="759" t="s">
        <v>567</v>
      </c>
      <c r="CJ390" s="480">
        <f t="shared" si="284"/>
        <v>0</v>
      </c>
      <c r="CK390" s="583">
        <f t="shared" si="294"/>
        <v>0</v>
      </c>
      <c r="CL390" s="596" t="s">
        <v>46</v>
      </c>
      <c r="CM390" s="581">
        <f t="shared" si="295"/>
        <v>0</v>
      </c>
      <c r="CN390" s="762" t="s">
        <v>567</v>
      </c>
      <c r="CW390" s="630"/>
      <c r="CX390" s="630"/>
      <c r="CY390" s="630"/>
      <c r="CZ390" s="630"/>
      <c r="DA390" s="630"/>
    </row>
    <row r="391" spans="2:105" s="78" customFormat="1" ht="15" customHeight="1" x14ac:dyDescent="0.25">
      <c r="B391" s="77"/>
      <c r="E391" s="77"/>
      <c r="H391" s="77"/>
      <c r="Y391" s="90">
        <v>138</v>
      </c>
      <c r="Z391" s="559" t="str">
        <f>IF(Inventory!$C147="","",VLOOKUP(Inventory!$C147,$B$7:$C$9,2,FALSE))</f>
        <v/>
      </c>
      <c r="AA391" s="559" t="str">
        <f>IF($Z391="","",IF(AND($Z391="b",Inventory!$G147=""),"",IF(AND($Z391="b",Inventory!$G147&lt;&gt;""),VLOOKUP(Inventory!$G147,$E$3:$F$10,2,FALSE),IF(AND($Z391="a",Inventory!$Z147=""),"",IF(AND($Z391="a",Inventory!$Z147&lt;&gt;""),VLOOKUP(Inventory!$Z147,$E$3:$F$10,2,FALSE),IF(AND($Z391="c",Inventory!$Z147=""),"",IF(AND($Z391="c",Inventory!$Z147&lt;&gt;""),VLOOKUP(Inventory!$Z147,$E$3:$F$10,2,FALSE),"")))))))</f>
        <v/>
      </c>
      <c r="AB391" s="559" t="str">
        <f>IF($Z391="","a",IF(AND($Z391="b",Inventory!$J147=""),"a",IF(AND($Z391="b",Inventory!$J147&lt;&gt;""),VLOOKUP(Inventory!$J147,$H$4:$I$6,2,FALSE),IF(AND($Z391="a",Inventory!$AA147=""),"a",IF(AND($Z391="a",Inventory!$AA147&lt;&gt;""),VLOOKUP(Inventory!$AA147,$H$4:$I$6,2,FALSE),IF(AND($Z391="c",Inventory!$AA147=""),"a",IF(AND($Z391="c",Inventory!$AA147&lt;&gt;""),VLOOKUP(Inventory!$AA147,$H$4:$I$6,2,FALSE),"a")))))))</f>
        <v>a</v>
      </c>
      <c r="AC391" s="559" t="str">
        <f t="shared" si="260"/>
        <v>a</v>
      </c>
      <c r="AD391" s="473" t="str">
        <f>IF($Z391="","a",IF(AND($Z391="b",Inventory!$L147=""),"a",IF(AND($Z391="b",Inventory!$L147&lt;&gt;""),VLOOKUP(Inventory!$L147,$N$4:$O$5,2,FALSE),IF(AND($Z391="a",Inventory!$AC147=""),"a",IF(AND($Z391="a",Inventory!$AC147&lt;&gt;""),VLOOKUP(Inventory!$AC147,$N$4:$O$5,2,FALSE),IF(AND($Z391="c",Inventory!$AC147=""),"a",IF(AND($Z391="c",Inventory!$AC147&lt;&gt;""),VLOOKUP(Inventory!$AC147,$N$4:$O$5,2,FALSE),"a")))))))</f>
        <v>a</v>
      </c>
      <c r="AE391" s="474">
        <f>IF(OR(Inventory!C147="New Construction",Inventory!C147="Replace-on-Burnout"),Inventory!AF147,IF(Inventory!C147="Early Retirement",MIN(Inventory!AE147,Inventory!AF147),0))</f>
        <v>0</v>
      </c>
      <c r="AF391" s="475" t="str">
        <f t="shared" si="261"/>
        <v/>
      </c>
      <c r="AG391" s="475" t="str">
        <f t="shared" si="262"/>
        <v/>
      </c>
      <c r="AH391" s="475" t="str">
        <f t="shared" si="263"/>
        <v/>
      </c>
      <c r="AI391" s="475" t="str">
        <f t="shared" si="264"/>
        <v/>
      </c>
      <c r="AJ391" s="475" t="str">
        <f t="shared" si="265"/>
        <v/>
      </c>
      <c r="AK391" s="475" t="str">
        <f t="shared" si="266"/>
        <v/>
      </c>
      <c r="AL391" s="475" t="str">
        <f t="shared" si="267"/>
        <v/>
      </c>
      <c r="AM391" s="475" t="str">
        <f t="shared" si="268"/>
        <v/>
      </c>
      <c r="AN391" s="475" t="str">
        <f t="shared" si="269"/>
        <v/>
      </c>
      <c r="AO391" s="475" t="str">
        <f t="shared" si="270"/>
        <v/>
      </c>
      <c r="AP391" s="475" t="str">
        <f t="shared" si="271"/>
        <v/>
      </c>
      <c r="AQ391" s="475" t="str">
        <f t="shared" si="272"/>
        <v/>
      </c>
      <c r="AR391" s="475" t="str">
        <f t="shared" si="273"/>
        <v/>
      </c>
      <c r="AS391" s="475" t="str">
        <f t="shared" si="296"/>
        <v/>
      </c>
      <c r="AT391" s="475" t="str">
        <f t="shared" si="274"/>
        <v/>
      </c>
      <c r="AU391" s="475" t="str">
        <f t="shared" si="275"/>
        <v/>
      </c>
      <c r="AV391" s="475" t="str">
        <f t="shared" si="276"/>
        <v/>
      </c>
      <c r="AW391" s="473">
        <f t="shared" si="277"/>
        <v>0</v>
      </c>
      <c r="AX391" s="473" t="str">
        <f>IF(AND($Z391="b",OR($AA391="a",$AA391="b"),Inventory!$I147="",$AE391&lt;(65000/12000)),"x",IF(AND($Z391="b",OR($AA391="a",$AA391="b"),Inventory!$I147&lt;&gt;"",$AE391&lt;(65000/12000)),VLOOKUP(Inventory!$I398,$V$4:$W$5,2,FALSE),"x"))</f>
        <v>x</v>
      </c>
      <c r="AY391" s="476" t="str">
        <f t="shared" si="278"/>
        <v>aaa0</v>
      </c>
      <c r="AZ391" s="477" t="str">
        <f t="shared" si="287"/>
        <v>No</v>
      </c>
      <c r="BA391" s="759" t="str">
        <f t="shared" si="288"/>
        <v>No</v>
      </c>
      <c r="BB391" s="477">
        <f>IF($Z391="c",Inventory!$AB147,Inventory!$K147)</f>
        <v>0</v>
      </c>
      <c r="BC391" s="478">
        <f>IF(AND($Z391="b",Inventory!$N147="Btu/hr"),Inventory!$M147,IF(AND($Z391="b",Inventory!$N147="Tons"),Inventory!$M147*12000,IF(AND($Z391&lt;&gt;"b",Inventory!$AK147="Btu/hr"),Inventory!$AD147,IF(AND($Z391&lt;&gt;"b",Inventory!$AK147="Tons"),Inventory!$AD147*12000,0))))</f>
        <v>0</v>
      </c>
      <c r="BD391" s="478">
        <f t="shared" si="285"/>
        <v>0</v>
      </c>
      <c r="BE391" s="479">
        <f t="shared" si="297"/>
        <v>0</v>
      </c>
      <c r="BF391" s="477" t="s">
        <v>50</v>
      </c>
      <c r="BG391" s="479">
        <f t="shared" si="279"/>
        <v>0</v>
      </c>
      <c r="BH391" s="477" t="s">
        <v>46</v>
      </c>
      <c r="BI391" s="760">
        <f>IF(AND($Z391="b",Inventory!$P147="Btu/hr"),Inventory!$O147,IF(AND($Z391="b",Inventory!$P147="Tons"),Inventory!$O147*12000,IF(AND($Z391&lt;&gt;"b",Inventory!$AM147="Btu/hr"),Inventory!$AL147,IF(AND($Z391&lt;&gt;"b",Inventory!$AM147="Tons"),Inventory!$AL147*12000,0))))</f>
        <v>0</v>
      </c>
      <c r="BJ391" s="760">
        <f t="shared" si="286"/>
        <v>0</v>
      </c>
      <c r="BK391" s="598">
        <f t="shared" si="289"/>
        <v>0</v>
      </c>
      <c r="BL391" s="759" t="s">
        <v>567</v>
      </c>
      <c r="BM391" s="477" t="str">
        <f t="shared" si="280"/>
        <v>No</v>
      </c>
      <c r="BN391" s="477" t="str">
        <f>IF(OR(Inventory!$H147="",$BM391="No"),"-",Inventory!$H147)</f>
        <v>-</v>
      </c>
      <c r="BO391" s="477" t="str">
        <f>IFERROR(VLOOKUP(BN391,'Early Retirement'!$B$6:$C$33,2,FALSE),"-")</f>
        <v>-</v>
      </c>
      <c r="BP391" s="477" t="str">
        <f>IF(Inventory!$J147="Centrifugal","Yes","No")</f>
        <v>No</v>
      </c>
      <c r="BQ391" s="477">
        <f t="shared" si="281"/>
        <v>0</v>
      </c>
      <c r="BR391" s="477" t="str">
        <f t="shared" si="299"/>
        <v>-</v>
      </c>
      <c r="BS391" s="479">
        <f>IFERROR(INDEX('Early Retirement'!$C$4:$AC$33,$BO391,$BR391),0)</f>
        <v>0</v>
      </c>
      <c r="BT391" s="477">
        <f>IFERROR(HLOOKUP($BR391,'Early Retirement'!$D$4:$AC$5,2,FALSE),0)</f>
        <v>0</v>
      </c>
      <c r="BU391" s="761">
        <f>IFERROR(INDEX('Early Retirement'!$AE$4:$BE$33,$BO391,$BR391),0)</f>
        <v>0</v>
      </c>
      <c r="BV391" s="759">
        <f>IFERROR(HLOOKUP($BR391,'Early Retirement'!$AF$4:$BE$5,2,FALSE),0)</f>
        <v>0</v>
      </c>
      <c r="BW391" s="479">
        <f t="shared" si="282"/>
        <v>0</v>
      </c>
      <c r="BX391" s="761">
        <f t="shared" si="290"/>
        <v>0</v>
      </c>
      <c r="BY391" s="477" t="s">
        <v>46</v>
      </c>
      <c r="BZ391" s="598">
        <f>IFERROR(INDEX('Early Retirement'!$BG$4:$CG$33,$BO391,$BR391),0)</f>
        <v>0</v>
      </c>
      <c r="CA391" s="759">
        <f>IFERROR(HLOOKUP($BR391,'Early Retirement'!$BH$4:$CH$5,2,FALSE),0)</f>
        <v>0</v>
      </c>
      <c r="CB391" s="598">
        <f t="shared" si="291"/>
        <v>0</v>
      </c>
      <c r="CC391" s="759" t="s">
        <v>567</v>
      </c>
      <c r="CD391" s="477" t="str">
        <f t="shared" si="283"/>
        <v>Yes</v>
      </c>
      <c r="CE391" s="479">
        <f t="shared" si="292"/>
        <v>0</v>
      </c>
      <c r="CF391" s="761">
        <f t="shared" si="293"/>
        <v>0</v>
      </c>
      <c r="CG391" s="759" t="s">
        <v>46</v>
      </c>
      <c r="CH391" s="598">
        <f t="shared" si="298"/>
        <v>0</v>
      </c>
      <c r="CI391" s="759" t="s">
        <v>567</v>
      </c>
      <c r="CJ391" s="480">
        <f t="shared" si="284"/>
        <v>0</v>
      </c>
      <c r="CK391" s="583">
        <f t="shared" si="294"/>
        <v>0</v>
      </c>
      <c r="CL391" s="596" t="s">
        <v>46</v>
      </c>
      <c r="CM391" s="581">
        <f t="shared" si="295"/>
        <v>0</v>
      </c>
      <c r="CN391" s="762" t="s">
        <v>567</v>
      </c>
      <c r="CW391" s="630"/>
      <c r="CX391" s="630"/>
      <c r="CY391" s="630"/>
      <c r="CZ391" s="630"/>
      <c r="DA391" s="630"/>
    </row>
    <row r="392" spans="2:105" s="78" customFormat="1" ht="15" customHeight="1" x14ac:dyDescent="0.25">
      <c r="B392" s="77"/>
      <c r="E392" s="77"/>
      <c r="H392" s="77"/>
      <c r="Y392" s="90">
        <v>139</v>
      </c>
      <c r="Z392" s="559" t="str">
        <f>IF(Inventory!$C148="","",VLOOKUP(Inventory!$C148,$B$7:$C$9,2,FALSE))</f>
        <v/>
      </c>
      <c r="AA392" s="559" t="str">
        <f>IF($Z392="","",IF(AND($Z392="b",Inventory!$G148=""),"",IF(AND($Z392="b",Inventory!$G148&lt;&gt;""),VLOOKUP(Inventory!$G148,$E$3:$F$10,2,FALSE),IF(AND($Z392="a",Inventory!$Z148=""),"",IF(AND($Z392="a",Inventory!$Z148&lt;&gt;""),VLOOKUP(Inventory!$Z148,$E$3:$F$10,2,FALSE),IF(AND($Z392="c",Inventory!$Z148=""),"",IF(AND($Z392="c",Inventory!$Z148&lt;&gt;""),VLOOKUP(Inventory!$Z148,$E$3:$F$10,2,FALSE),"")))))))</f>
        <v/>
      </c>
      <c r="AB392" s="559" t="str">
        <f>IF($Z392="","a",IF(AND($Z392="b",Inventory!$J148=""),"a",IF(AND($Z392="b",Inventory!$J148&lt;&gt;""),VLOOKUP(Inventory!$J148,$H$4:$I$6,2,FALSE),IF(AND($Z392="a",Inventory!$AA148=""),"a",IF(AND($Z392="a",Inventory!$AA148&lt;&gt;""),VLOOKUP(Inventory!$AA148,$H$4:$I$6,2,FALSE),IF(AND($Z392="c",Inventory!$AA148=""),"a",IF(AND($Z392="c",Inventory!$AA148&lt;&gt;""),VLOOKUP(Inventory!$AA148,$H$4:$I$6,2,FALSE),"a")))))))</f>
        <v>a</v>
      </c>
      <c r="AC392" s="559" t="str">
        <f t="shared" si="260"/>
        <v>a</v>
      </c>
      <c r="AD392" s="473" t="str">
        <f>IF($Z392="","a",IF(AND($Z392="b",Inventory!$L148=""),"a",IF(AND($Z392="b",Inventory!$L148&lt;&gt;""),VLOOKUP(Inventory!$L148,$N$4:$O$5,2,FALSE),IF(AND($Z392="a",Inventory!$AC148=""),"a",IF(AND($Z392="a",Inventory!$AC148&lt;&gt;""),VLOOKUP(Inventory!$AC148,$N$4:$O$5,2,FALSE),IF(AND($Z392="c",Inventory!$AC148=""),"a",IF(AND($Z392="c",Inventory!$AC148&lt;&gt;""),VLOOKUP(Inventory!$AC148,$N$4:$O$5,2,FALSE),"a")))))))</f>
        <v>a</v>
      </c>
      <c r="AE392" s="474">
        <f>IF(OR(Inventory!C148="New Construction",Inventory!C148="Replace-on-Burnout"),Inventory!AF148,IF(Inventory!C148="Early Retirement",MIN(Inventory!AE148,Inventory!AF148),0))</f>
        <v>0</v>
      </c>
      <c r="AF392" s="475" t="str">
        <f t="shared" si="261"/>
        <v/>
      </c>
      <c r="AG392" s="475" t="str">
        <f t="shared" si="262"/>
        <v/>
      </c>
      <c r="AH392" s="475" t="str">
        <f t="shared" si="263"/>
        <v/>
      </c>
      <c r="AI392" s="475" t="str">
        <f t="shared" si="264"/>
        <v/>
      </c>
      <c r="AJ392" s="475" t="str">
        <f t="shared" si="265"/>
        <v/>
      </c>
      <c r="AK392" s="475" t="str">
        <f t="shared" si="266"/>
        <v/>
      </c>
      <c r="AL392" s="475" t="str">
        <f t="shared" si="267"/>
        <v/>
      </c>
      <c r="AM392" s="475" t="str">
        <f t="shared" si="268"/>
        <v/>
      </c>
      <c r="AN392" s="475" t="str">
        <f t="shared" si="269"/>
        <v/>
      </c>
      <c r="AO392" s="475" t="str">
        <f t="shared" si="270"/>
        <v/>
      </c>
      <c r="AP392" s="475" t="str">
        <f t="shared" si="271"/>
        <v/>
      </c>
      <c r="AQ392" s="475" t="str">
        <f t="shared" si="272"/>
        <v/>
      </c>
      <c r="AR392" s="475" t="str">
        <f t="shared" si="273"/>
        <v/>
      </c>
      <c r="AS392" s="475" t="str">
        <f t="shared" si="296"/>
        <v/>
      </c>
      <c r="AT392" s="475" t="str">
        <f t="shared" si="274"/>
        <v/>
      </c>
      <c r="AU392" s="475" t="str">
        <f t="shared" si="275"/>
        <v/>
      </c>
      <c r="AV392" s="475" t="str">
        <f t="shared" si="276"/>
        <v/>
      </c>
      <c r="AW392" s="473">
        <f t="shared" si="277"/>
        <v>0</v>
      </c>
      <c r="AX392" s="473" t="str">
        <f>IF(AND($Z392="b",OR($AA392="a",$AA392="b"),Inventory!$I148="",$AE392&lt;(65000/12000)),"x",IF(AND($Z392="b",OR($AA392="a",$AA392="b"),Inventory!$I148&lt;&gt;"",$AE392&lt;(65000/12000)),VLOOKUP(Inventory!$I399,$V$4:$W$5,2,FALSE),"x"))</f>
        <v>x</v>
      </c>
      <c r="AY392" s="476" t="str">
        <f t="shared" si="278"/>
        <v>aaa0</v>
      </c>
      <c r="AZ392" s="477" t="str">
        <f t="shared" si="287"/>
        <v>No</v>
      </c>
      <c r="BA392" s="759" t="str">
        <f t="shared" si="288"/>
        <v>No</v>
      </c>
      <c r="BB392" s="477">
        <f>IF($Z392="c",Inventory!$AB148,Inventory!$K148)</f>
        <v>0</v>
      </c>
      <c r="BC392" s="478">
        <f>IF(AND($Z392="b",Inventory!$N148="Btu/hr"),Inventory!$M148,IF(AND($Z392="b",Inventory!$N148="Tons"),Inventory!$M148*12000,IF(AND($Z392&lt;&gt;"b",Inventory!$AK148="Btu/hr"),Inventory!$AD148,IF(AND($Z392&lt;&gt;"b",Inventory!$AK148="Tons"),Inventory!$AD148*12000,0))))</f>
        <v>0</v>
      </c>
      <c r="BD392" s="478">
        <f t="shared" si="285"/>
        <v>0</v>
      </c>
      <c r="BE392" s="479">
        <f t="shared" si="297"/>
        <v>0</v>
      </c>
      <c r="BF392" s="477" t="s">
        <v>50</v>
      </c>
      <c r="BG392" s="479">
        <f t="shared" si="279"/>
        <v>0</v>
      </c>
      <c r="BH392" s="477" t="s">
        <v>46</v>
      </c>
      <c r="BI392" s="760">
        <f>IF(AND($Z392="b",Inventory!$P148="Btu/hr"),Inventory!$O148,IF(AND($Z392="b",Inventory!$P148="Tons"),Inventory!$O148*12000,IF(AND($Z392&lt;&gt;"b",Inventory!$AM148="Btu/hr"),Inventory!$AL148,IF(AND($Z392&lt;&gt;"b",Inventory!$AM148="Tons"),Inventory!$AL148*12000,0))))</f>
        <v>0</v>
      </c>
      <c r="BJ392" s="760">
        <f t="shared" si="286"/>
        <v>0</v>
      </c>
      <c r="BK392" s="598">
        <f t="shared" si="289"/>
        <v>0</v>
      </c>
      <c r="BL392" s="759" t="s">
        <v>567</v>
      </c>
      <c r="BM392" s="477" t="str">
        <f t="shared" si="280"/>
        <v>No</v>
      </c>
      <c r="BN392" s="477" t="str">
        <f>IF(OR(Inventory!$H148="",$BM392="No"),"-",Inventory!$H148)</f>
        <v>-</v>
      </c>
      <c r="BO392" s="477" t="str">
        <f>IFERROR(VLOOKUP(BN392,'Early Retirement'!$B$6:$C$33,2,FALSE),"-")</f>
        <v>-</v>
      </c>
      <c r="BP392" s="477" t="str">
        <f>IF(Inventory!$J148="Centrifugal","Yes","No")</f>
        <v>No</v>
      </c>
      <c r="BQ392" s="477">
        <f t="shared" si="281"/>
        <v>0</v>
      </c>
      <c r="BR392" s="477" t="str">
        <f t="shared" si="299"/>
        <v>-</v>
      </c>
      <c r="BS392" s="479">
        <f>IFERROR(INDEX('Early Retirement'!$C$4:$AC$33,$BO392,$BR392),0)</f>
        <v>0</v>
      </c>
      <c r="BT392" s="477">
        <f>IFERROR(HLOOKUP($BR392,'Early Retirement'!$D$4:$AC$5,2,FALSE),0)</f>
        <v>0</v>
      </c>
      <c r="BU392" s="761">
        <f>IFERROR(INDEX('Early Retirement'!$AE$4:$BE$33,$BO392,$BR392),0)</f>
        <v>0</v>
      </c>
      <c r="BV392" s="759">
        <f>IFERROR(HLOOKUP($BR392,'Early Retirement'!$AF$4:$BE$5,2,FALSE),0)</f>
        <v>0</v>
      </c>
      <c r="BW392" s="479">
        <f t="shared" si="282"/>
        <v>0</v>
      </c>
      <c r="BX392" s="761">
        <f t="shared" si="290"/>
        <v>0</v>
      </c>
      <c r="BY392" s="477" t="s">
        <v>46</v>
      </c>
      <c r="BZ392" s="598">
        <f>IFERROR(INDEX('Early Retirement'!$BG$4:$CG$33,$BO392,$BR392),0)</f>
        <v>0</v>
      </c>
      <c r="CA392" s="759">
        <f>IFERROR(HLOOKUP($BR392,'Early Retirement'!$BH$4:$CH$5,2,FALSE),0)</f>
        <v>0</v>
      </c>
      <c r="CB392" s="598">
        <f t="shared" si="291"/>
        <v>0</v>
      </c>
      <c r="CC392" s="759" t="s">
        <v>567</v>
      </c>
      <c r="CD392" s="477" t="str">
        <f t="shared" si="283"/>
        <v>Yes</v>
      </c>
      <c r="CE392" s="479">
        <f t="shared" si="292"/>
        <v>0</v>
      </c>
      <c r="CF392" s="761">
        <f t="shared" si="293"/>
        <v>0</v>
      </c>
      <c r="CG392" s="759" t="s">
        <v>46</v>
      </c>
      <c r="CH392" s="598">
        <f t="shared" si="298"/>
        <v>0</v>
      </c>
      <c r="CI392" s="759" t="s">
        <v>567</v>
      </c>
      <c r="CJ392" s="480">
        <f t="shared" si="284"/>
        <v>0</v>
      </c>
      <c r="CK392" s="583">
        <f t="shared" si="294"/>
        <v>0</v>
      </c>
      <c r="CL392" s="596" t="s">
        <v>46</v>
      </c>
      <c r="CM392" s="581">
        <f t="shared" si="295"/>
        <v>0</v>
      </c>
      <c r="CN392" s="762" t="s">
        <v>567</v>
      </c>
      <c r="CW392" s="630"/>
      <c r="CX392" s="630"/>
      <c r="CY392" s="630"/>
      <c r="CZ392" s="630"/>
      <c r="DA392" s="630"/>
    </row>
    <row r="393" spans="2:105" s="78" customFormat="1" ht="15" customHeight="1" x14ac:dyDescent="0.25">
      <c r="B393" s="77"/>
      <c r="E393" s="77"/>
      <c r="H393" s="77"/>
      <c r="Y393" s="90">
        <v>140</v>
      </c>
      <c r="Z393" s="559" t="str">
        <f>IF(Inventory!$C149="","",VLOOKUP(Inventory!$C149,$B$7:$C$9,2,FALSE))</f>
        <v/>
      </c>
      <c r="AA393" s="559" t="str">
        <f>IF($Z393="","",IF(AND($Z393="b",Inventory!$G149=""),"",IF(AND($Z393="b",Inventory!$G149&lt;&gt;""),VLOOKUP(Inventory!$G149,$E$3:$F$10,2,FALSE),IF(AND($Z393="a",Inventory!$Z149=""),"",IF(AND($Z393="a",Inventory!$Z149&lt;&gt;""),VLOOKUP(Inventory!$Z149,$E$3:$F$10,2,FALSE),IF(AND($Z393="c",Inventory!$Z149=""),"",IF(AND($Z393="c",Inventory!$Z149&lt;&gt;""),VLOOKUP(Inventory!$Z149,$E$3:$F$10,2,FALSE),"")))))))</f>
        <v/>
      </c>
      <c r="AB393" s="559" t="str">
        <f>IF($Z393="","a",IF(AND($Z393="b",Inventory!$J149=""),"a",IF(AND($Z393="b",Inventory!$J149&lt;&gt;""),VLOOKUP(Inventory!$J149,$H$4:$I$6,2,FALSE),IF(AND($Z393="a",Inventory!$AA149=""),"a",IF(AND($Z393="a",Inventory!$AA149&lt;&gt;""),VLOOKUP(Inventory!$AA149,$H$4:$I$6,2,FALSE),IF(AND($Z393="c",Inventory!$AA149=""),"a",IF(AND($Z393="c",Inventory!$AA149&lt;&gt;""),VLOOKUP(Inventory!$AA149,$H$4:$I$6,2,FALSE),"a")))))))</f>
        <v>a</v>
      </c>
      <c r="AC393" s="559" t="str">
        <f t="shared" si="260"/>
        <v>a</v>
      </c>
      <c r="AD393" s="473" t="str">
        <f>IF($Z393="","a",IF(AND($Z393="b",Inventory!$L149=""),"a",IF(AND($Z393="b",Inventory!$L149&lt;&gt;""),VLOOKUP(Inventory!$L149,$N$4:$O$5,2,FALSE),IF(AND($Z393="a",Inventory!$AC149=""),"a",IF(AND($Z393="a",Inventory!$AC149&lt;&gt;""),VLOOKUP(Inventory!$AC149,$N$4:$O$5,2,FALSE),IF(AND($Z393="c",Inventory!$AC149=""),"a",IF(AND($Z393="c",Inventory!$AC149&lt;&gt;""),VLOOKUP(Inventory!$AC149,$N$4:$O$5,2,FALSE),"a")))))))</f>
        <v>a</v>
      </c>
      <c r="AE393" s="474">
        <f>IF(OR(Inventory!C149="New Construction",Inventory!C149="Replace-on-Burnout"),Inventory!AF149,IF(Inventory!C149="Early Retirement",MIN(Inventory!AE149,Inventory!AF149),0))</f>
        <v>0</v>
      </c>
      <c r="AF393" s="475" t="str">
        <f t="shared" si="261"/>
        <v/>
      </c>
      <c r="AG393" s="475" t="str">
        <f t="shared" si="262"/>
        <v/>
      </c>
      <c r="AH393" s="475" t="str">
        <f t="shared" si="263"/>
        <v/>
      </c>
      <c r="AI393" s="475" t="str">
        <f t="shared" si="264"/>
        <v/>
      </c>
      <c r="AJ393" s="475" t="str">
        <f t="shared" si="265"/>
        <v/>
      </c>
      <c r="AK393" s="475" t="str">
        <f t="shared" si="266"/>
        <v/>
      </c>
      <c r="AL393" s="475" t="str">
        <f t="shared" si="267"/>
        <v/>
      </c>
      <c r="AM393" s="475" t="str">
        <f t="shared" si="268"/>
        <v/>
      </c>
      <c r="AN393" s="475" t="str">
        <f t="shared" si="269"/>
        <v/>
      </c>
      <c r="AO393" s="475" t="str">
        <f t="shared" si="270"/>
        <v/>
      </c>
      <c r="AP393" s="475" t="str">
        <f t="shared" si="271"/>
        <v/>
      </c>
      <c r="AQ393" s="475" t="str">
        <f t="shared" si="272"/>
        <v/>
      </c>
      <c r="AR393" s="475" t="str">
        <f t="shared" si="273"/>
        <v/>
      </c>
      <c r="AS393" s="475" t="str">
        <f t="shared" si="296"/>
        <v/>
      </c>
      <c r="AT393" s="475" t="str">
        <f t="shared" si="274"/>
        <v/>
      </c>
      <c r="AU393" s="475" t="str">
        <f t="shared" si="275"/>
        <v/>
      </c>
      <c r="AV393" s="475" t="str">
        <f t="shared" si="276"/>
        <v/>
      </c>
      <c r="AW393" s="473">
        <f t="shared" si="277"/>
        <v>0</v>
      </c>
      <c r="AX393" s="473" t="str">
        <f>IF(AND($Z393="b",OR($AA393="a",$AA393="b"),Inventory!$I149="",$AE393&lt;(65000/12000)),"x",IF(AND($Z393="b",OR($AA393="a",$AA393="b"),Inventory!$I149&lt;&gt;"",$AE393&lt;(65000/12000)),VLOOKUP(Inventory!$I400,$V$4:$W$5,2,FALSE),"x"))</f>
        <v>x</v>
      </c>
      <c r="AY393" s="476" t="str">
        <f t="shared" si="278"/>
        <v>aaa0</v>
      </c>
      <c r="AZ393" s="477" t="str">
        <f t="shared" si="287"/>
        <v>No</v>
      </c>
      <c r="BA393" s="759" t="str">
        <f t="shared" si="288"/>
        <v>No</v>
      </c>
      <c r="BB393" s="477">
        <f>IF($Z393="c",Inventory!$AB149,Inventory!$K149)</f>
        <v>0</v>
      </c>
      <c r="BC393" s="478">
        <f>IF(AND($Z393="b",Inventory!$N149="Btu/hr"),Inventory!$M149,IF(AND($Z393="b",Inventory!$N149="Tons"),Inventory!$M149*12000,IF(AND($Z393&lt;&gt;"b",Inventory!$AK149="Btu/hr"),Inventory!$AD149,IF(AND($Z393&lt;&gt;"b",Inventory!$AK149="Tons"),Inventory!$AD149*12000,0))))</f>
        <v>0</v>
      </c>
      <c r="BD393" s="478">
        <f t="shared" si="285"/>
        <v>0</v>
      </c>
      <c r="BE393" s="479">
        <f t="shared" si="297"/>
        <v>0</v>
      </c>
      <c r="BF393" s="477" t="s">
        <v>50</v>
      </c>
      <c r="BG393" s="479">
        <f t="shared" si="279"/>
        <v>0</v>
      </c>
      <c r="BH393" s="477" t="s">
        <v>46</v>
      </c>
      <c r="BI393" s="760">
        <f>IF(AND($Z393="b",Inventory!$P149="Btu/hr"),Inventory!$O149,IF(AND($Z393="b",Inventory!$P149="Tons"),Inventory!$O149*12000,IF(AND($Z393&lt;&gt;"b",Inventory!$AM149="Btu/hr"),Inventory!$AL149,IF(AND($Z393&lt;&gt;"b",Inventory!$AM149="Tons"),Inventory!$AL149*12000,0))))</f>
        <v>0</v>
      </c>
      <c r="BJ393" s="760">
        <f t="shared" si="286"/>
        <v>0</v>
      </c>
      <c r="BK393" s="598">
        <f t="shared" si="289"/>
        <v>0</v>
      </c>
      <c r="BL393" s="759" t="s">
        <v>567</v>
      </c>
      <c r="BM393" s="477" t="str">
        <f t="shared" si="280"/>
        <v>No</v>
      </c>
      <c r="BN393" s="477" t="str">
        <f>IF(OR(Inventory!$H149="",$BM393="No"),"-",Inventory!$H149)</f>
        <v>-</v>
      </c>
      <c r="BO393" s="477" t="str">
        <f>IFERROR(VLOOKUP(BN393,'Early Retirement'!$B$6:$C$33,2,FALSE),"-")</f>
        <v>-</v>
      </c>
      <c r="BP393" s="477" t="str">
        <f>IF(Inventory!$J149="Centrifugal","Yes","No")</f>
        <v>No</v>
      </c>
      <c r="BQ393" s="477">
        <f t="shared" si="281"/>
        <v>0</v>
      </c>
      <c r="BR393" s="477" t="str">
        <f t="shared" si="299"/>
        <v>-</v>
      </c>
      <c r="BS393" s="479">
        <f>IFERROR(INDEX('Early Retirement'!$C$4:$AC$33,$BO393,$BR393),0)</f>
        <v>0</v>
      </c>
      <c r="BT393" s="477">
        <f>IFERROR(HLOOKUP($BR393,'Early Retirement'!$D$4:$AC$5,2,FALSE),0)</f>
        <v>0</v>
      </c>
      <c r="BU393" s="761">
        <f>IFERROR(INDEX('Early Retirement'!$AE$4:$BE$33,$BO393,$BR393),0)</f>
        <v>0</v>
      </c>
      <c r="BV393" s="759">
        <f>IFERROR(HLOOKUP($BR393,'Early Retirement'!$AF$4:$BE$5,2,FALSE),0)</f>
        <v>0</v>
      </c>
      <c r="BW393" s="479">
        <f t="shared" si="282"/>
        <v>0</v>
      </c>
      <c r="BX393" s="761">
        <f t="shared" si="290"/>
        <v>0</v>
      </c>
      <c r="BY393" s="477" t="s">
        <v>46</v>
      </c>
      <c r="BZ393" s="598">
        <f>IFERROR(INDEX('Early Retirement'!$BG$4:$CG$33,$BO393,$BR393),0)</f>
        <v>0</v>
      </c>
      <c r="CA393" s="759">
        <f>IFERROR(HLOOKUP($BR393,'Early Retirement'!$BH$4:$CH$5,2,FALSE),0)</f>
        <v>0</v>
      </c>
      <c r="CB393" s="598">
        <f t="shared" si="291"/>
        <v>0</v>
      </c>
      <c r="CC393" s="759" t="s">
        <v>567</v>
      </c>
      <c r="CD393" s="477" t="str">
        <f t="shared" si="283"/>
        <v>Yes</v>
      </c>
      <c r="CE393" s="479">
        <f t="shared" si="292"/>
        <v>0</v>
      </c>
      <c r="CF393" s="761">
        <f t="shared" si="293"/>
        <v>0</v>
      </c>
      <c r="CG393" s="759" t="s">
        <v>46</v>
      </c>
      <c r="CH393" s="598">
        <f t="shared" si="298"/>
        <v>0</v>
      </c>
      <c r="CI393" s="759" t="s">
        <v>567</v>
      </c>
      <c r="CJ393" s="480">
        <f t="shared" si="284"/>
        <v>0</v>
      </c>
      <c r="CK393" s="583">
        <f t="shared" si="294"/>
        <v>0</v>
      </c>
      <c r="CL393" s="596" t="s">
        <v>46</v>
      </c>
      <c r="CM393" s="581">
        <f t="shared" si="295"/>
        <v>0</v>
      </c>
      <c r="CN393" s="762" t="s">
        <v>567</v>
      </c>
      <c r="CW393" s="630"/>
      <c r="CX393" s="630"/>
      <c r="CY393" s="630"/>
      <c r="CZ393" s="630"/>
      <c r="DA393" s="630"/>
    </row>
    <row r="394" spans="2:105" s="78" customFormat="1" ht="15" customHeight="1" x14ac:dyDescent="0.25">
      <c r="B394" s="77"/>
      <c r="E394" s="77"/>
      <c r="H394" s="77"/>
      <c r="Y394" s="90">
        <v>141</v>
      </c>
      <c r="Z394" s="559" t="str">
        <f>IF(Inventory!$C150="","",VLOOKUP(Inventory!$C150,$B$7:$C$9,2,FALSE))</f>
        <v/>
      </c>
      <c r="AA394" s="559" t="str">
        <f>IF($Z394="","",IF(AND($Z394="b",Inventory!$G150=""),"",IF(AND($Z394="b",Inventory!$G150&lt;&gt;""),VLOOKUP(Inventory!$G150,$E$3:$F$10,2,FALSE),IF(AND($Z394="a",Inventory!$Z150=""),"",IF(AND($Z394="a",Inventory!$Z150&lt;&gt;""),VLOOKUP(Inventory!$Z150,$E$3:$F$10,2,FALSE),IF(AND($Z394="c",Inventory!$Z150=""),"",IF(AND($Z394="c",Inventory!$Z150&lt;&gt;""),VLOOKUP(Inventory!$Z150,$E$3:$F$10,2,FALSE),"")))))))</f>
        <v/>
      </c>
      <c r="AB394" s="559" t="str">
        <f>IF($Z394="","a",IF(AND($Z394="b",Inventory!$J150=""),"a",IF(AND($Z394="b",Inventory!$J150&lt;&gt;""),VLOOKUP(Inventory!$J150,$H$4:$I$6,2,FALSE),IF(AND($Z394="a",Inventory!$AA150=""),"a",IF(AND($Z394="a",Inventory!$AA150&lt;&gt;""),VLOOKUP(Inventory!$AA150,$H$4:$I$6,2,FALSE),IF(AND($Z394="c",Inventory!$AA150=""),"a",IF(AND($Z394="c",Inventory!$AA150&lt;&gt;""),VLOOKUP(Inventory!$AA150,$H$4:$I$6,2,FALSE),"a")))))))</f>
        <v>a</v>
      </c>
      <c r="AC394" s="559" t="str">
        <f t="shared" si="260"/>
        <v>a</v>
      </c>
      <c r="AD394" s="473" t="str">
        <f>IF($Z394="","a",IF(AND($Z394="b",Inventory!$L150=""),"a",IF(AND($Z394="b",Inventory!$L150&lt;&gt;""),VLOOKUP(Inventory!$L150,$N$4:$O$5,2,FALSE),IF(AND($Z394="a",Inventory!$AC150=""),"a",IF(AND($Z394="a",Inventory!$AC150&lt;&gt;""),VLOOKUP(Inventory!$AC150,$N$4:$O$5,2,FALSE),IF(AND($Z394="c",Inventory!$AC150=""),"a",IF(AND($Z394="c",Inventory!$AC150&lt;&gt;""),VLOOKUP(Inventory!$AC150,$N$4:$O$5,2,FALSE),"a")))))))</f>
        <v>a</v>
      </c>
      <c r="AE394" s="474">
        <f>IF(OR(Inventory!C150="New Construction",Inventory!C150="Replace-on-Burnout"),Inventory!AF150,IF(Inventory!C150="Early Retirement",MIN(Inventory!AE150,Inventory!AF150),0))</f>
        <v>0</v>
      </c>
      <c r="AF394" s="475" t="str">
        <f t="shared" si="261"/>
        <v/>
      </c>
      <c r="AG394" s="475" t="str">
        <f t="shared" si="262"/>
        <v/>
      </c>
      <c r="AH394" s="475" t="str">
        <f t="shared" si="263"/>
        <v/>
      </c>
      <c r="AI394" s="475" t="str">
        <f t="shared" si="264"/>
        <v/>
      </c>
      <c r="AJ394" s="475" t="str">
        <f t="shared" si="265"/>
        <v/>
      </c>
      <c r="AK394" s="475" t="str">
        <f t="shared" si="266"/>
        <v/>
      </c>
      <c r="AL394" s="475" t="str">
        <f t="shared" si="267"/>
        <v/>
      </c>
      <c r="AM394" s="475" t="str">
        <f t="shared" si="268"/>
        <v/>
      </c>
      <c r="AN394" s="475" t="str">
        <f t="shared" si="269"/>
        <v/>
      </c>
      <c r="AO394" s="475" t="str">
        <f t="shared" si="270"/>
        <v/>
      </c>
      <c r="AP394" s="475" t="str">
        <f t="shared" si="271"/>
        <v/>
      </c>
      <c r="AQ394" s="475" t="str">
        <f t="shared" si="272"/>
        <v/>
      </c>
      <c r="AR394" s="475" t="str">
        <f t="shared" si="273"/>
        <v/>
      </c>
      <c r="AS394" s="475" t="str">
        <f t="shared" si="296"/>
        <v/>
      </c>
      <c r="AT394" s="475" t="str">
        <f t="shared" si="274"/>
        <v/>
      </c>
      <c r="AU394" s="475" t="str">
        <f t="shared" si="275"/>
        <v/>
      </c>
      <c r="AV394" s="475" t="str">
        <f t="shared" si="276"/>
        <v/>
      </c>
      <c r="AW394" s="473">
        <f t="shared" si="277"/>
        <v>0</v>
      </c>
      <c r="AX394" s="473" t="str">
        <f>IF(AND($Z394="b",OR($AA394="a",$AA394="b"),Inventory!$I150="",$AE394&lt;(65000/12000)),"x",IF(AND($Z394="b",OR($AA394="a",$AA394="b"),Inventory!$I150&lt;&gt;"",$AE394&lt;(65000/12000)),VLOOKUP(Inventory!$I401,$V$4:$W$5,2,FALSE),"x"))</f>
        <v>x</v>
      </c>
      <c r="AY394" s="476" t="str">
        <f t="shared" si="278"/>
        <v>aaa0</v>
      </c>
      <c r="AZ394" s="477" t="str">
        <f t="shared" si="287"/>
        <v>No</v>
      </c>
      <c r="BA394" s="759" t="str">
        <f t="shared" si="288"/>
        <v>No</v>
      </c>
      <c r="BB394" s="477">
        <f>IF($Z394="c",Inventory!$AB150,Inventory!$K150)</f>
        <v>0</v>
      </c>
      <c r="BC394" s="478">
        <f>IF(AND($Z394="b",Inventory!$N150="Btu/hr"),Inventory!$M150,IF(AND($Z394="b",Inventory!$N150="Tons"),Inventory!$M150*12000,IF(AND($Z394&lt;&gt;"b",Inventory!$AK150="Btu/hr"),Inventory!$AD150,IF(AND($Z394&lt;&gt;"b",Inventory!$AK150="Tons"),Inventory!$AD150*12000,0))))</f>
        <v>0</v>
      </c>
      <c r="BD394" s="478">
        <f t="shared" si="285"/>
        <v>0</v>
      </c>
      <c r="BE394" s="479">
        <f t="shared" si="297"/>
        <v>0</v>
      </c>
      <c r="BF394" s="477" t="s">
        <v>50</v>
      </c>
      <c r="BG394" s="479">
        <f t="shared" si="279"/>
        <v>0</v>
      </c>
      <c r="BH394" s="477" t="s">
        <v>46</v>
      </c>
      <c r="BI394" s="760">
        <f>IF(AND($Z394="b",Inventory!$P150="Btu/hr"),Inventory!$O150,IF(AND($Z394="b",Inventory!$P150="Tons"),Inventory!$O150*12000,IF(AND($Z394&lt;&gt;"b",Inventory!$AM150="Btu/hr"),Inventory!$AL150,IF(AND($Z394&lt;&gt;"b",Inventory!$AM150="Tons"),Inventory!$AL150*12000,0))))</f>
        <v>0</v>
      </c>
      <c r="BJ394" s="760">
        <f t="shared" si="286"/>
        <v>0</v>
      </c>
      <c r="BK394" s="598">
        <f t="shared" si="289"/>
        <v>0</v>
      </c>
      <c r="BL394" s="759" t="s">
        <v>567</v>
      </c>
      <c r="BM394" s="477" t="str">
        <f t="shared" si="280"/>
        <v>No</v>
      </c>
      <c r="BN394" s="477" t="str">
        <f>IF(OR(Inventory!$H150="",$BM394="No"),"-",Inventory!$H150)</f>
        <v>-</v>
      </c>
      <c r="BO394" s="477" t="str">
        <f>IFERROR(VLOOKUP(BN394,'Early Retirement'!$B$6:$C$33,2,FALSE),"-")</f>
        <v>-</v>
      </c>
      <c r="BP394" s="477" t="str">
        <f>IF(Inventory!$J150="Centrifugal","Yes","No")</f>
        <v>No</v>
      </c>
      <c r="BQ394" s="477">
        <f t="shared" si="281"/>
        <v>0</v>
      </c>
      <c r="BR394" s="477" t="str">
        <f t="shared" si="299"/>
        <v>-</v>
      </c>
      <c r="BS394" s="479">
        <f>IFERROR(INDEX('Early Retirement'!$C$4:$AC$33,$BO394,$BR394),0)</f>
        <v>0</v>
      </c>
      <c r="BT394" s="477">
        <f>IFERROR(HLOOKUP($BR394,'Early Retirement'!$D$4:$AC$5,2,FALSE),0)</f>
        <v>0</v>
      </c>
      <c r="BU394" s="761">
        <f>IFERROR(INDEX('Early Retirement'!$AE$4:$BE$33,$BO394,$BR394),0)</f>
        <v>0</v>
      </c>
      <c r="BV394" s="759">
        <f>IFERROR(HLOOKUP($BR394,'Early Retirement'!$AF$4:$BE$5,2,FALSE),0)</f>
        <v>0</v>
      </c>
      <c r="BW394" s="479">
        <f t="shared" si="282"/>
        <v>0</v>
      </c>
      <c r="BX394" s="761">
        <f t="shared" si="290"/>
        <v>0</v>
      </c>
      <c r="BY394" s="477" t="s">
        <v>46</v>
      </c>
      <c r="BZ394" s="598">
        <f>IFERROR(INDEX('Early Retirement'!$BG$4:$CG$33,$BO394,$BR394),0)</f>
        <v>0</v>
      </c>
      <c r="CA394" s="759">
        <f>IFERROR(HLOOKUP($BR394,'Early Retirement'!$BH$4:$CH$5,2,FALSE),0)</f>
        <v>0</v>
      </c>
      <c r="CB394" s="598">
        <f t="shared" si="291"/>
        <v>0</v>
      </c>
      <c r="CC394" s="759" t="s">
        <v>567</v>
      </c>
      <c r="CD394" s="477" t="str">
        <f t="shared" si="283"/>
        <v>Yes</v>
      </c>
      <c r="CE394" s="479">
        <f t="shared" si="292"/>
        <v>0</v>
      </c>
      <c r="CF394" s="761">
        <f t="shared" si="293"/>
        <v>0</v>
      </c>
      <c r="CG394" s="759" t="s">
        <v>46</v>
      </c>
      <c r="CH394" s="598">
        <f t="shared" si="298"/>
        <v>0</v>
      </c>
      <c r="CI394" s="759" t="s">
        <v>567</v>
      </c>
      <c r="CJ394" s="480">
        <f t="shared" si="284"/>
        <v>0</v>
      </c>
      <c r="CK394" s="583">
        <f t="shared" si="294"/>
        <v>0</v>
      </c>
      <c r="CL394" s="596" t="s">
        <v>46</v>
      </c>
      <c r="CM394" s="581">
        <f t="shared" si="295"/>
        <v>0</v>
      </c>
      <c r="CN394" s="762" t="s">
        <v>567</v>
      </c>
      <c r="CW394" s="630"/>
      <c r="CX394" s="630"/>
      <c r="CY394" s="630"/>
      <c r="CZ394" s="630"/>
      <c r="DA394" s="630"/>
    </row>
    <row r="395" spans="2:105" s="78" customFormat="1" ht="15" customHeight="1" x14ac:dyDescent="0.25">
      <c r="B395" s="77"/>
      <c r="E395" s="77"/>
      <c r="H395" s="77"/>
      <c r="Y395" s="90">
        <v>142</v>
      </c>
      <c r="Z395" s="559" t="str">
        <f>IF(Inventory!$C151="","",VLOOKUP(Inventory!$C151,$B$7:$C$9,2,FALSE))</f>
        <v/>
      </c>
      <c r="AA395" s="559" t="str">
        <f>IF($Z395="","",IF(AND($Z395="b",Inventory!$G151=""),"",IF(AND($Z395="b",Inventory!$G151&lt;&gt;""),VLOOKUP(Inventory!$G151,$E$3:$F$10,2,FALSE),IF(AND($Z395="a",Inventory!$Z151=""),"",IF(AND($Z395="a",Inventory!$Z151&lt;&gt;""),VLOOKUP(Inventory!$Z151,$E$3:$F$10,2,FALSE),IF(AND($Z395="c",Inventory!$Z151=""),"",IF(AND($Z395="c",Inventory!$Z151&lt;&gt;""),VLOOKUP(Inventory!$Z151,$E$3:$F$10,2,FALSE),"")))))))</f>
        <v/>
      </c>
      <c r="AB395" s="559" t="str">
        <f>IF($Z395="","a",IF(AND($Z395="b",Inventory!$J151=""),"a",IF(AND($Z395="b",Inventory!$J151&lt;&gt;""),VLOOKUP(Inventory!$J151,$H$4:$I$6,2,FALSE),IF(AND($Z395="a",Inventory!$AA151=""),"a",IF(AND($Z395="a",Inventory!$AA151&lt;&gt;""),VLOOKUP(Inventory!$AA151,$H$4:$I$6,2,FALSE),IF(AND($Z395="c",Inventory!$AA151=""),"a",IF(AND($Z395="c",Inventory!$AA151&lt;&gt;""),VLOOKUP(Inventory!$AA151,$H$4:$I$6,2,FALSE),"a")))))))</f>
        <v>a</v>
      </c>
      <c r="AC395" s="559" t="str">
        <f t="shared" si="260"/>
        <v>a</v>
      </c>
      <c r="AD395" s="473" t="str">
        <f>IF($Z395="","a",IF(AND($Z395="b",Inventory!$L151=""),"a",IF(AND($Z395="b",Inventory!$L151&lt;&gt;""),VLOOKUP(Inventory!$L151,$N$4:$O$5,2,FALSE),IF(AND($Z395="a",Inventory!$AC151=""),"a",IF(AND($Z395="a",Inventory!$AC151&lt;&gt;""),VLOOKUP(Inventory!$AC151,$N$4:$O$5,2,FALSE),IF(AND($Z395="c",Inventory!$AC151=""),"a",IF(AND($Z395="c",Inventory!$AC151&lt;&gt;""),VLOOKUP(Inventory!$AC151,$N$4:$O$5,2,FALSE),"a")))))))</f>
        <v>a</v>
      </c>
      <c r="AE395" s="474">
        <f>IF(OR(Inventory!C151="New Construction",Inventory!C151="Replace-on-Burnout"),Inventory!AF151,IF(Inventory!C151="Early Retirement",MIN(Inventory!AE151,Inventory!AF151),0))</f>
        <v>0</v>
      </c>
      <c r="AF395" s="475" t="str">
        <f t="shared" si="261"/>
        <v/>
      </c>
      <c r="AG395" s="475" t="str">
        <f t="shared" si="262"/>
        <v/>
      </c>
      <c r="AH395" s="475" t="str">
        <f t="shared" si="263"/>
        <v/>
      </c>
      <c r="AI395" s="475" t="str">
        <f t="shared" si="264"/>
        <v/>
      </c>
      <c r="AJ395" s="475" t="str">
        <f t="shared" si="265"/>
        <v/>
      </c>
      <c r="AK395" s="475" t="str">
        <f t="shared" si="266"/>
        <v/>
      </c>
      <c r="AL395" s="475" t="str">
        <f t="shared" si="267"/>
        <v/>
      </c>
      <c r="AM395" s="475" t="str">
        <f t="shared" si="268"/>
        <v/>
      </c>
      <c r="AN395" s="475" t="str">
        <f t="shared" si="269"/>
        <v/>
      </c>
      <c r="AO395" s="475" t="str">
        <f t="shared" si="270"/>
        <v/>
      </c>
      <c r="AP395" s="475" t="str">
        <f t="shared" si="271"/>
        <v/>
      </c>
      <c r="AQ395" s="475" t="str">
        <f t="shared" si="272"/>
        <v/>
      </c>
      <c r="AR395" s="475" t="str">
        <f t="shared" si="273"/>
        <v/>
      </c>
      <c r="AS395" s="475" t="str">
        <f t="shared" si="296"/>
        <v/>
      </c>
      <c r="AT395" s="475" t="str">
        <f t="shared" si="274"/>
        <v/>
      </c>
      <c r="AU395" s="475" t="str">
        <f t="shared" si="275"/>
        <v/>
      </c>
      <c r="AV395" s="475" t="str">
        <f t="shared" si="276"/>
        <v/>
      </c>
      <c r="AW395" s="473">
        <f t="shared" si="277"/>
        <v>0</v>
      </c>
      <c r="AX395" s="473" t="str">
        <f>IF(AND($Z395="b",OR($AA395="a",$AA395="b"),Inventory!$I151="",$AE395&lt;(65000/12000)),"x",IF(AND($Z395="b",OR($AA395="a",$AA395="b"),Inventory!$I151&lt;&gt;"",$AE395&lt;(65000/12000)),VLOOKUP(Inventory!$I402,$V$4:$W$5,2,FALSE),"x"))</f>
        <v>x</v>
      </c>
      <c r="AY395" s="476" t="str">
        <f t="shared" si="278"/>
        <v>aaa0</v>
      </c>
      <c r="AZ395" s="477" t="str">
        <f t="shared" si="287"/>
        <v>No</v>
      </c>
      <c r="BA395" s="759" t="str">
        <f t="shared" si="288"/>
        <v>No</v>
      </c>
      <c r="BB395" s="477">
        <f>IF($Z395="c",Inventory!$AB151,Inventory!$K151)</f>
        <v>0</v>
      </c>
      <c r="BC395" s="478">
        <f>IF(AND($Z395="b",Inventory!$N151="Btu/hr"),Inventory!$M151,IF(AND($Z395="b",Inventory!$N151="Tons"),Inventory!$M151*12000,IF(AND($Z395&lt;&gt;"b",Inventory!$AK151="Btu/hr"),Inventory!$AD151,IF(AND($Z395&lt;&gt;"b",Inventory!$AK151="Tons"),Inventory!$AD151*12000,0))))</f>
        <v>0</v>
      </c>
      <c r="BD395" s="478">
        <f t="shared" si="285"/>
        <v>0</v>
      </c>
      <c r="BE395" s="479">
        <f t="shared" si="297"/>
        <v>0</v>
      </c>
      <c r="BF395" s="477" t="s">
        <v>50</v>
      </c>
      <c r="BG395" s="479">
        <f t="shared" si="279"/>
        <v>0</v>
      </c>
      <c r="BH395" s="477" t="s">
        <v>46</v>
      </c>
      <c r="BI395" s="760">
        <f>IF(AND($Z395="b",Inventory!$P151="Btu/hr"),Inventory!$O151,IF(AND($Z395="b",Inventory!$P151="Tons"),Inventory!$O151*12000,IF(AND($Z395&lt;&gt;"b",Inventory!$AM151="Btu/hr"),Inventory!$AL151,IF(AND($Z395&lt;&gt;"b",Inventory!$AM151="Tons"),Inventory!$AL151*12000,0))))</f>
        <v>0</v>
      </c>
      <c r="BJ395" s="760">
        <f t="shared" si="286"/>
        <v>0</v>
      </c>
      <c r="BK395" s="598">
        <f t="shared" si="289"/>
        <v>0</v>
      </c>
      <c r="BL395" s="759" t="s">
        <v>567</v>
      </c>
      <c r="BM395" s="477" t="str">
        <f t="shared" si="280"/>
        <v>No</v>
      </c>
      <c r="BN395" s="477" t="str">
        <f>IF(OR(Inventory!$H151="",$BM395="No"),"-",Inventory!$H151)</f>
        <v>-</v>
      </c>
      <c r="BO395" s="477" t="str">
        <f>IFERROR(VLOOKUP(BN395,'Early Retirement'!$B$6:$C$33,2,FALSE),"-")</f>
        <v>-</v>
      </c>
      <c r="BP395" s="477" t="str">
        <f>IF(Inventory!$J151="Centrifugal","Yes","No")</f>
        <v>No</v>
      </c>
      <c r="BQ395" s="477">
        <f t="shared" si="281"/>
        <v>0</v>
      </c>
      <c r="BR395" s="477" t="str">
        <f t="shared" si="299"/>
        <v>-</v>
      </c>
      <c r="BS395" s="479">
        <f>IFERROR(INDEX('Early Retirement'!$C$4:$AC$33,$BO395,$BR395),0)</f>
        <v>0</v>
      </c>
      <c r="BT395" s="477">
        <f>IFERROR(HLOOKUP($BR395,'Early Retirement'!$D$4:$AC$5,2,FALSE),0)</f>
        <v>0</v>
      </c>
      <c r="BU395" s="761">
        <f>IFERROR(INDEX('Early Retirement'!$AE$4:$BE$33,$BO395,$BR395),0)</f>
        <v>0</v>
      </c>
      <c r="BV395" s="759">
        <f>IFERROR(HLOOKUP($BR395,'Early Retirement'!$AF$4:$BE$5,2,FALSE),0)</f>
        <v>0</v>
      </c>
      <c r="BW395" s="479">
        <f t="shared" si="282"/>
        <v>0</v>
      </c>
      <c r="BX395" s="761">
        <f t="shared" si="290"/>
        <v>0</v>
      </c>
      <c r="BY395" s="477" t="s">
        <v>46</v>
      </c>
      <c r="BZ395" s="598">
        <f>IFERROR(INDEX('Early Retirement'!$BG$4:$CG$33,$BO395,$BR395),0)</f>
        <v>0</v>
      </c>
      <c r="CA395" s="759">
        <f>IFERROR(HLOOKUP($BR395,'Early Retirement'!$BH$4:$CH$5,2,FALSE),0)</f>
        <v>0</v>
      </c>
      <c r="CB395" s="598">
        <f t="shared" si="291"/>
        <v>0</v>
      </c>
      <c r="CC395" s="759" t="s">
        <v>567</v>
      </c>
      <c r="CD395" s="477" t="str">
        <f t="shared" si="283"/>
        <v>Yes</v>
      </c>
      <c r="CE395" s="479">
        <f t="shared" si="292"/>
        <v>0</v>
      </c>
      <c r="CF395" s="761">
        <f t="shared" si="293"/>
        <v>0</v>
      </c>
      <c r="CG395" s="759" t="s">
        <v>46</v>
      </c>
      <c r="CH395" s="598">
        <f t="shared" si="298"/>
        <v>0</v>
      </c>
      <c r="CI395" s="759" t="s">
        <v>567</v>
      </c>
      <c r="CJ395" s="480">
        <f t="shared" si="284"/>
        <v>0</v>
      </c>
      <c r="CK395" s="583">
        <f t="shared" si="294"/>
        <v>0</v>
      </c>
      <c r="CL395" s="596" t="s">
        <v>46</v>
      </c>
      <c r="CM395" s="581">
        <f t="shared" si="295"/>
        <v>0</v>
      </c>
      <c r="CN395" s="762" t="s">
        <v>567</v>
      </c>
      <c r="CW395" s="630"/>
      <c r="CX395" s="630"/>
      <c r="CY395" s="630"/>
      <c r="CZ395" s="630"/>
      <c r="DA395" s="630"/>
    </row>
    <row r="396" spans="2:105" s="78" customFormat="1" ht="15" customHeight="1" x14ac:dyDescent="0.25">
      <c r="B396" s="77"/>
      <c r="E396" s="77"/>
      <c r="H396" s="77"/>
      <c r="Y396" s="90">
        <v>143</v>
      </c>
      <c r="Z396" s="559" t="str">
        <f>IF(Inventory!$C152="","",VLOOKUP(Inventory!$C152,$B$7:$C$9,2,FALSE))</f>
        <v/>
      </c>
      <c r="AA396" s="559" t="str">
        <f>IF($Z396="","",IF(AND($Z396="b",Inventory!$G152=""),"",IF(AND($Z396="b",Inventory!$G152&lt;&gt;""),VLOOKUP(Inventory!$G152,$E$3:$F$10,2,FALSE),IF(AND($Z396="a",Inventory!$Z152=""),"",IF(AND($Z396="a",Inventory!$Z152&lt;&gt;""),VLOOKUP(Inventory!$Z152,$E$3:$F$10,2,FALSE),IF(AND($Z396="c",Inventory!$Z152=""),"",IF(AND($Z396="c",Inventory!$Z152&lt;&gt;""),VLOOKUP(Inventory!$Z152,$E$3:$F$10,2,FALSE),"")))))))</f>
        <v/>
      </c>
      <c r="AB396" s="559" t="str">
        <f>IF($Z396="","a",IF(AND($Z396="b",Inventory!$J152=""),"a",IF(AND($Z396="b",Inventory!$J152&lt;&gt;""),VLOOKUP(Inventory!$J152,$H$4:$I$6,2,FALSE),IF(AND($Z396="a",Inventory!$AA152=""),"a",IF(AND($Z396="a",Inventory!$AA152&lt;&gt;""),VLOOKUP(Inventory!$AA152,$H$4:$I$6,2,FALSE),IF(AND($Z396="c",Inventory!$AA152=""),"a",IF(AND($Z396="c",Inventory!$AA152&lt;&gt;""),VLOOKUP(Inventory!$AA152,$H$4:$I$6,2,FALSE),"a")))))))</f>
        <v>a</v>
      </c>
      <c r="AC396" s="559" t="str">
        <f t="shared" si="260"/>
        <v>a</v>
      </c>
      <c r="AD396" s="473" t="str">
        <f>IF($Z396="","a",IF(AND($Z396="b",Inventory!$L152=""),"a",IF(AND($Z396="b",Inventory!$L152&lt;&gt;""),VLOOKUP(Inventory!$L152,$N$4:$O$5,2,FALSE),IF(AND($Z396="a",Inventory!$AC152=""),"a",IF(AND($Z396="a",Inventory!$AC152&lt;&gt;""),VLOOKUP(Inventory!$AC152,$N$4:$O$5,2,FALSE),IF(AND($Z396="c",Inventory!$AC152=""),"a",IF(AND($Z396="c",Inventory!$AC152&lt;&gt;""),VLOOKUP(Inventory!$AC152,$N$4:$O$5,2,FALSE),"a")))))))</f>
        <v>a</v>
      </c>
      <c r="AE396" s="474">
        <f>IF(OR(Inventory!C152="New Construction",Inventory!C152="Replace-on-Burnout"),Inventory!AF152,IF(Inventory!C152="Early Retirement",MIN(Inventory!AE152,Inventory!AF152),0))</f>
        <v>0</v>
      </c>
      <c r="AF396" s="475" t="str">
        <f t="shared" si="261"/>
        <v/>
      </c>
      <c r="AG396" s="475" t="str">
        <f t="shared" si="262"/>
        <v/>
      </c>
      <c r="AH396" s="475" t="str">
        <f t="shared" si="263"/>
        <v/>
      </c>
      <c r="AI396" s="475" t="str">
        <f t="shared" si="264"/>
        <v/>
      </c>
      <c r="AJ396" s="475" t="str">
        <f t="shared" si="265"/>
        <v/>
      </c>
      <c r="AK396" s="475" t="str">
        <f t="shared" si="266"/>
        <v/>
      </c>
      <c r="AL396" s="475" t="str">
        <f t="shared" si="267"/>
        <v/>
      </c>
      <c r="AM396" s="475" t="str">
        <f t="shared" si="268"/>
        <v/>
      </c>
      <c r="AN396" s="475" t="str">
        <f t="shared" si="269"/>
        <v/>
      </c>
      <c r="AO396" s="475" t="str">
        <f t="shared" si="270"/>
        <v/>
      </c>
      <c r="AP396" s="475" t="str">
        <f t="shared" si="271"/>
        <v/>
      </c>
      <c r="AQ396" s="475" t="str">
        <f t="shared" si="272"/>
        <v/>
      </c>
      <c r="AR396" s="475" t="str">
        <f t="shared" si="273"/>
        <v/>
      </c>
      <c r="AS396" s="475" t="str">
        <f t="shared" si="296"/>
        <v/>
      </c>
      <c r="AT396" s="475" t="str">
        <f t="shared" si="274"/>
        <v/>
      </c>
      <c r="AU396" s="475" t="str">
        <f t="shared" si="275"/>
        <v/>
      </c>
      <c r="AV396" s="475" t="str">
        <f t="shared" si="276"/>
        <v/>
      </c>
      <c r="AW396" s="473">
        <f t="shared" si="277"/>
        <v>0</v>
      </c>
      <c r="AX396" s="473" t="str">
        <f>IF(AND($Z396="b",OR($AA396="a",$AA396="b"),Inventory!$I152="",$AE396&lt;(65000/12000)),"x",IF(AND($Z396="b",OR($AA396="a",$AA396="b"),Inventory!$I152&lt;&gt;"",$AE396&lt;(65000/12000)),VLOOKUP(Inventory!$I403,$V$4:$W$5,2,FALSE),"x"))</f>
        <v>x</v>
      </c>
      <c r="AY396" s="476" t="str">
        <f t="shared" si="278"/>
        <v>aaa0</v>
      </c>
      <c r="AZ396" s="477" t="str">
        <f t="shared" si="287"/>
        <v>No</v>
      </c>
      <c r="BA396" s="759" t="str">
        <f t="shared" si="288"/>
        <v>No</v>
      </c>
      <c r="BB396" s="477">
        <f>IF($Z396="c",Inventory!$AB152,Inventory!$K152)</f>
        <v>0</v>
      </c>
      <c r="BC396" s="478">
        <f>IF(AND($Z396="b",Inventory!$N152="Btu/hr"),Inventory!$M152,IF(AND($Z396="b",Inventory!$N152="Tons"),Inventory!$M152*12000,IF(AND($Z396&lt;&gt;"b",Inventory!$AK152="Btu/hr"),Inventory!$AD152,IF(AND($Z396&lt;&gt;"b",Inventory!$AK152="Tons"),Inventory!$AD152*12000,0))))</f>
        <v>0</v>
      </c>
      <c r="BD396" s="478">
        <f t="shared" si="285"/>
        <v>0</v>
      </c>
      <c r="BE396" s="479">
        <f t="shared" si="297"/>
        <v>0</v>
      </c>
      <c r="BF396" s="477" t="s">
        <v>50</v>
      </c>
      <c r="BG396" s="479">
        <f t="shared" si="279"/>
        <v>0</v>
      </c>
      <c r="BH396" s="477" t="s">
        <v>46</v>
      </c>
      <c r="BI396" s="760">
        <f>IF(AND($Z396="b",Inventory!$P152="Btu/hr"),Inventory!$O152,IF(AND($Z396="b",Inventory!$P152="Tons"),Inventory!$O152*12000,IF(AND($Z396&lt;&gt;"b",Inventory!$AM152="Btu/hr"),Inventory!$AL152,IF(AND($Z396&lt;&gt;"b",Inventory!$AM152="Tons"),Inventory!$AL152*12000,0))))</f>
        <v>0</v>
      </c>
      <c r="BJ396" s="760">
        <f t="shared" si="286"/>
        <v>0</v>
      </c>
      <c r="BK396" s="598">
        <f t="shared" si="289"/>
        <v>0</v>
      </c>
      <c r="BL396" s="759" t="s">
        <v>567</v>
      </c>
      <c r="BM396" s="477" t="str">
        <f t="shared" si="280"/>
        <v>No</v>
      </c>
      <c r="BN396" s="477" t="str">
        <f>IF(OR(Inventory!$H152="",$BM396="No"),"-",Inventory!$H152)</f>
        <v>-</v>
      </c>
      <c r="BO396" s="477" t="str">
        <f>IFERROR(VLOOKUP(BN396,'Early Retirement'!$B$6:$C$33,2,FALSE),"-")</f>
        <v>-</v>
      </c>
      <c r="BP396" s="477" t="str">
        <f>IF(Inventory!$J152="Centrifugal","Yes","No")</f>
        <v>No</v>
      </c>
      <c r="BQ396" s="477">
        <f t="shared" si="281"/>
        <v>0</v>
      </c>
      <c r="BR396" s="477" t="str">
        <f t="shared" si="299"/>
        <v>-</v>
      </c>
      <c r="BS396" s="479">
        <f>IFERROR(INDEX('Early Retirement'!$C$4:$AC$33,$BO396,$BR396),0)</f>
        <v>0</v>
      </c>
      <c r="BT396" s="477">
        <f>IFERROR(HLOOKUP($BR396,'Early Retirement'!$D$4:$AC$5,2,FALSE),0)</f>
        <v>0</v>
      </c>
      <c r="BU396" s="761">
        <f>IFERROR(INDEX('Early Retirement'!$AE$4:$BE$33,$BO396,$BR396),0)</f>
        <v>0</v>
      </c>
      <c r="BV396" s="759">
        <f>IFERROR(HLOOKUP($BR396,'Early Retirement'!$AF$4:$BE$5,2,FALSE),0)</f>
        <v>0</v>
      </c>
      <c r="BW396" s="479">
        <f t="shared" si="282"/>
        <v>0</v>
      </c>
      <c r="BX396" s="761">
        <f t="shared" si="290"/>
        <v>0</v>
      </c>
      <c r="BY396" s="477" t="s">
        <v>46</v>
      </c>
      <c r="BZ396" s="598">
        <f>IFERROR(INDEX('Early Retirement'!$BG$4:$CG$33,$BO396,$BR396),0)</f>
        <v>0</v>
      </c>
      <c r="CA396" s="759">
        <f>IFERROR(HLOOKUP($BR396,'Early Retirement'!$BH$4:$CH$5,2,FALSE),0)</f>
        <v>0</v>
      </c>
      <c r="CB396" s="598">
        <f t="shared" si="291"/>
        <v>0</v>
      </c>
      <c r="CC396" s="759" t="s">
        <v>567</v>
      </c>
      <c r="CD396" s="477" t="str">
        <f t="shared" si="283"/>
        <v>Yes</v>
      </c>
      <c r="CE396" s="479">
        <f t="shared" si="292"/>
        <v>0</v>
      </c>
      <c r="CF396" s="761">
        <f t="shared" si="293"/>
        <v>0</v>
      </c>
      <c r="CG396" s="759" t="s">
        <v>46</v>
      </c>
      <c r="CH396" s="598">
        <f t="shared" si="298"/>
        <v>0</v>
      </c>
      <c r="CI396" s="759" t="s">
        <v>567</v>
      </c>
      <c r="CJ396" s="480">
        <f t="shared" si="284"/>
        <v>0</v>
      </c>
      <c r="CK396" s="583">
        <f t="shared" si="294"/>
        <v>0</v>
      </c>
      <c r="CL396" s="596" t="s">
        <v>46</v>
      </c>
      <c r="CM396" s="581">
        <f t="shared" si="295"/>
        <v>0</v>
      </c>
      <c r="CN396" s="762" t="s">
        <v>567</v>
      </c>
      <c r="CW396" s="630"/>
      <c r="CX396" s="630"/>
      <c r="CY396" s="630"/>
      <c r="CZ396" s="630"/>
      <c r="DA396" s="630"/>
    </row>
    <row r="397" spans="2:105" s="78" customFormat="1" ht="15" customHeight="1" x14ac:dyDescent="0.25">
      <c r="B397" s="77"/>
      <c r="E397" s="77"/>
      <c r="H397" s="77"/>
      <c r="Y397" s="90">
        <v>144</v>
      </c>
      <c r="Z397" s="559" t="str">
        <f>IF(Inventory!$C153="","",VLOOKUP(Inventory!$C153,$B$7:$C$9,2,FALSE))</f>
        <v/>
      </c>
      <c r="AA397" s="559" t="str">
        <f>IF($Z397="","",IF(AND($Z397="b",Inventory!$G153=""),"",IF(AND($Z397="b",Inventory!$G153&lt;&gt;""),VLOOKUP(Inventory!$G153,$E$3:$F$10,2,FALSE),IF(AND($Z397="a",Inventory!$Z153=""),"",IF(AND($Z397="a",Inventory!$Z153&lt;&gt;""),VLOOKUP(Inventory!$Z153,$E$3:$F$10,2,FALSE),IF(AND($Z397="c",Inventory!$Z153=""),"",IF(AND($Z397="c",Inventory!$Z153&lt;&gt;""),VLOOKUP(Inventory!$Z153,$E$3:$F$10,2,FALSE),"")))))))</f>
        <v/>
      </c>
      <c r="AB397" s="559" t="str">
        <f>IF($Z397="","a",IF(AND($Z397="b",Inventory!$J153=""),"a",IF(AND($Z397="b",Inventory!$J153&lt;&gt;""),VLOOKUP(Inventory!$J153,$H$4:$I$6,2,FALSE),IF(AND($Z397="a",Inventory!$AA153=""),"a",IF(AND($Z397="a",Inventory!$AA153&lt;&gt;""),VLOOKUP(Inventory!$AA153,$H$4:$I$6,2,FALSE),IF(AND($Z397="c",Inventory!$AA153=""),"a",IF(AND($Z397="c",Inventory!$AA153&lt;&gt;""),VLOOKUP(Inventory!$AA153,$H$4:$I$6,2,FALSE),"a")))))))</f>
        <v>a</v>
      </c>
      <c r="AC397" s="559" t="str">
        <f t="shared" si="260"/>
        <v>a</v>
      </c>
      <c r="AD397" s="473" t="str">
        <f>IF($Z397="","a",IF(AND($Z397="b",Inventory!$L153=""),"a",IF(AND($Z397="b",Inventory!$L153&lt;&gt;""),VLOOKUP(Inventory!$L153,$N$4:$O$5,2,FALSE),IF(AND($Z397="a",Inventory!$AC153=""),"a",IF(AND($Z397="a",Inventory!$AC153&lt;&gt;""),VLOOKUP(Inventory!$AC153,$N$4:$O$5,2,FALSE),IF(AND($Z397="c",Inventory!$AC153=""),"a",IF(AND($Z397="c",Inventory!$AC153&lt;&gt;""),VLOOKUP(Inventory!$AC153,$N$4:$O$5,2,FALSE),"a")))))))</f>
        <v>a</v>
      </c>
      <c r="AE397" s="474">
        <f>IF(OR(Inventory!C153="New Construction",Inventory!C153="Replace-on-Burnout"),Inventory!AF153,IF(Inventory!C153="Early Retirement",MIN(Inventory!AE153,Inventory!AF153),0))</f>
        <v>0</v>
      </c>
      <c r="AF397" s="475" t="str">
        <f t="shared" si="261"/>
        <v/>
      </c>
      <c r="AG397" s="475" t="str">
        <f t="shared" si="262"/>
        <v/>
      </c>
      <c r="AH397" s="475" t="str">
        <f t="shared" si="263"/>
        <v/>
      </c>
      <c r="AI397" s="475" t="str">
        <f t="shared" si="264"/>
        <v/>
      </c>
      <c r="AJ397" s="475" t="str">
        <f t="shared" si="265"/>
        <v/>
      </c>
      <c r="AK397" s="475" t="str">
        <f t="shared" si="266"/>
        <v/>
      </c>
      <c r="AL397" s="475" t="str">
        <f t="shared" si="267"/>
        <v/>
      </c>
      <c r="AM397" s="475" t="str">
        <f t="shared" si="268"/>
        <v/>
      </c>
      <c r="AN397" s="475" t="str">
        <f t="shared" si="269"/>
        <v/>
      </c>
      <c r="AO397" s="475" t="str">
        <f t="shared" si="270"/>
        <v/>
      </c>
      <c r="AP397" s="475" t="str">
        <f t="shared" si="271"/>
        <v/>
      </c>
      <c r="AQ397" s="475" t="str">
        <f t="shared" si="272"/>
        <v/>
      </c>
      <c r="AR397" s="475" t="str">
        <f t="shared" si="273"/>
        <v/>
      </c>
      <c r="AS397" s="475" t="str">
        <f t="shared" si="296"/>
        <v/>
      </c>
      <c r="AT397" s="475" t="str">
        <f t="shared" si="274"/>
        <v/>
      </c>
      <c r="AU397" s="475" t="str">
        <f t="shared" si="275"/>
        <v/>
      </c>
      <c r="AV397" s="475" t="str">
        <f t="shared" si="276"/>
        <v/>
      </c>
      <c r="AW397" s="473">
        <f t="shared" si="277"/>
        <v>0</v>
      </c>
      <c r="AX397" s="473" t="str">
        <f>IF(AND($Z397="b",OR($AA397="a",$AA397="b"),Inventory!$I153="",$AE397&lt;(65000/12000)),"x",IF(AND($Z397="b",OR($AA397="a",$AA397="b"),Inventory!$I153&lt;&gt;"",$AE397&lt;(65000/12000)),VLOOKUP(Inventory!$I404,$V$4:$W$5,2,FALSE),"x"))</f>
        <v>x</v>
      </c>
      <c r="AY397" s="476" t="str">
        <f t="shared" si="278"/>
        <v>aaa0</v>
      </c>
      <c r="AZ397" s="477" t="str">
        <f t="shared" si="287"/>
        <v>No</v>
      </c>
      <c r="BA397" s="759" t="str">
        <f t="shared" si="288"/>
        <v>No</v>
      </c>
      <c r="BB397" s="477">
        <f>IF($Z397="c",Inventory!$AB153,Inventory!$K153)</f>
        <v>0</v>
      </c>
      <c r="BC397" s="478">
        <f>IF(AND($Z397="b",Inventory!$N153="Btu/hr"),Inventory!$M153,IF(AND($Z397="b",Inventory!$N153="Tons"),Inventory!$M153*12000,IF(AND($Z397&lt;&gt;"b",Inventory!$AK153="Btu/hr"),Inventory!$AD153,IF(AND($Z397&lt;&gt;"b",Inventory!$AK153="Tons"),Inventory!$AD153*12000,0))))</f>
        <v>0</v>
      </c>
      <c r="BD397" s="478">
        <f t="shared" si="285"/>
        <v>0</v>
      </c>
      <c r="BE397" s="479">
        <f t="shared" si="297"/>
        <v>0</v>
      </c>
      <c r="BF397" s="477" t="s">
        <v>50</v>
      </c>
      <c r="BG397" s="479">
        <f t="shared" si="279"/>
        <v>0</v>
      </c>
      <c r="BH397" s="477" t="s">
        <v>46</v>
      </c>
      <c r="BI397" s="760">
        <f>IF(AND($Z397="b",Inventory!$P153="Btu/hr"),Inventory!$O153,IF(AND($Z397="b",Inventory!$P153="Tons"),Inventory!$O153*12000,IF(AND($Z397&lt;&gt;"b",Inventory!$AM153="Btu/hr"),Inventory!$AL153,IF(AND($Z397&lt;&gt;"b",Inventory!$AM153="Tons"),Inventory!$AL153*12000,0))))</f>
        <v>0</v>
      </c>
      <c r="BJ397" s="760">
        <f t="shared" si="286"/>
        <v>0</v>
      </c>
      <c r="BK397" s="598">
        <f t="shared" si="289"/>
        <v>0</v>
      </c>
      <c r="BL397" s="759" t="s">
        <v>567</v>
      </c>
      <c r="BM397" s="477" t="str">
        <f t="shared" si="280"/>
        <v>No</v>
      </c>
      <c r="BN397" s="477" t="str">
        <f>IF(OR(Inventory!$H153="",$BM397="No"),"-",Inventory!$H153)</f>
        <v>-</v>
      </c>
      <c r="BO397" s="477" t="str">
        <f>IFERROR(VLOOKUP(BN397,'Early Retirement'!$B$6:$C$33,2,FALSE),"-")</f>
        <v>-</v>
      </c>
      <c r="BP397" s="477" t="str">
        <f>IF(Inventory!$J153="Centrifugal","Yes","No")</f>
        <v>No</v>
      </c>
      <c r="BQ397" s="477">
        <f t="shared" si="281"/>
        <v>0</v>
      </c>
      <c r="BR397" s="477" t="str">
        <f t="shared" si="299"/>
        <v>-</v>
      </c>
      <c r="BS397" s="479">
        <f>IFERROR(INDEX('Early Retirement'!$C$4:$AC$33,$BO397,$BR397),0)</f>
        <v>0</v>
      </c>
      <c r="BT397" s="477">
        <f>IFERROR(HLOOKUP($BR397,'Early Retirement'!$D$4:$AC$5,2,FALSE),0)</f>
        <v>0</v>
      </c>
      <c r="BU397" s="761">
        <f>IFERROR(INDEX('Early Retirement'!$AE$4:$BE$33,$BO397,$BR397),0)</f>
        <v>0</v>
      </c>
      <c r="BV397" s="759">
        <f>IFERROR(HLOOKUP($BR397,'Early Retirement'!$AF$4:$BE$5,2,FALSE),0)</f>
        <v>0</v>
      </c>
      <c r="BW397" s="479">
        <f t="shared" si="282"/>
        <v>0</v>
      </c>
      <c r="BX397" s="761">
        <f t="shared" si="290"/>
        <v>0</v>
      </c>
      <c r="BY397" s="477" t="s">
        <v>46</v>
      </c>
      <c r="BZ397" s="598">
        <f>IFERROR(INDEX('Early Retirement'!$BG$4:$CG$33,$BO397,$BR397),0)</f>
        <v>0</v>
      </c>
      <c r="CA397" s="759">
        <f>IFERROR(HLOOKUP($BR397,'Early Retirement'!$BH$4:$CH$5,2,FALSE),0)</f>
        <v>0</v>
      </c>
      <c r="CB397" s="598">
        <f t="shared" si="291"/>
        <v>0</v>
      </c>
      <c r="CC397" s="759" t="s">
        <v>567</v>
      </c>
      <c r="CD397" s="477" t="str">
        <f t="shared" si="283"/>
        <v>Yes</v>
      </c>
      <c r="CE397" s="479">
        <f t="shared" si="292"/>
        <v>0</v>
      </c>
      <c r="CF397" s="761">
        <f t="shared" si="293"/>
        <v>0</v>
      </c>
      <c r="CG397" s="759" t="s">
        <v>46</v>
      </c>
      <c r="CH397" s="598">
        <f t="shared" si="298"/>
        <v>0</v>
      </c>
      <c r="CI397" s="759" t="s">
        <v>567</v>
      </c>
      <c r="CJ397" s="480">
        <f t="shared" si="284"/>
        <v>0</v>
      </c>
      <c r="CK397" s="583">
        <f t="shared" si="294"/>
        <v>0</v>
      </c>
      <c r="CL397" s="596" t="s">
        <v>46</v>
      </c>
      <c r="CM397" s="581">
        <f t="shared" si="295"/>
        <v>0</v>
      </c>
      <c r="CN397" s="762" t="s">
        <v>567</v>
      </c>
      <c r="CW397" s="630"/>
      <c r="CX397" s="630"/>
      <c r="CY397" s="630"/>
      <c r="CZ397" s="630"/>
      <c r="DA397" s="630"/>
    </row>
    <row r="398" spans="2:105" s="78" customFormat="1" ht="15" customHeight="1" x14ac:dyDescent="0.25">
      <c r="B398" s="77"/>
      <c r="E398" s="77"/>
      <c r="H398" s="77"/>
      <c r="Y398" s="90">
        <v>145</v>
      </c>
      <c r="Z398" s="559" t="str">
        <f>IF(Inventory!$C154="","",VLOOKUP(Inventory!$C154,$B$7:$C$9,2,FALSE))</f>
        <v/>
      </c>
      <c r="AA398" s="559" t="str">
        <f>IF($Z398="","",IF(AND($Z398="b",Inventory!$G154=""),"",IF(AND($Z398="b",Inventory!$G154&lt;&gt;""),VLOOKUP(Inventory!$G154,$E$3:$F$10,2,FALSE),IF(AND($Z398="a",Inventory!$Z154=""),"",IF(AND($Z398="a",Inventory!$Z154&lt;&gt;""),VLOOKUP(Inventory!$Z154,$E$3:$F$10,2,FALSE),IF(AND($Z398="c",Inventory!$Z154=""),"",IF(AND($Z398="c",Inventory!$Z154&lt;&gt;""),VLOOKUP(Inventory!$Z154,$E$3:$F$10,2,FALSE),"")))))))</f>
        <v/>
      </c>
      <c r="AB398" s="559" t="str">
        <f>IF($Z398="","a",IF(AND($Z398="b",Inventory!$J154=""),"a",IF(AND($Z398="b",Inventory!$J154&lt;&gt;""),VLOOKUP(Inventory!$J154,$H$4:$I$6,2,FALSE),IF(AND($Z398="a",Inventory!$AA154=""),"a",IF(AND($Z398="a",Inventory!$AA154&lt;&gt;""),VLOOKUP(Inventory!$AA154,$H$4:$I$6,2,FALSE),IF(AND($Z398="c",Inventory!$AA154=""),"a",IF(AND($Z398="c",Inventory!$AA154&lt;&gt;""),VLOOKUP(Inventory!$AA154,$H$4:$I$6,2,FALSE),"a")))))))</f>
        <v>a</v>
      </c>
      <c r="AC398" s="559" t="str">
        <f t="shared" si="260"/>
        <v>a</v>
      </c>
      <c r="AD398" s="473" t="str">
        <f>IF($Z398="","a",IF(AND($Z398="b",Inventory!$L154=""),"a",IF(AND($Z398="b",Inventory!$L154&lt;&gt;""),VLOOKUP(Inventory!$L154,$N$4:$O$5,2,FALSE),IF(AND($Z398="a",Inventory!$AC154=""),"a",IF(AND($Z398="a",Inventory!$AC154&lt;&gt;""),VLOOKUP(Inventory!$AC154,$N$4:$O$5,2,FALSE),IF(AND($Z398="c",Inventory!$AC154=""),"a",IF(AND($Z398="c",Inventory!$AC154&lt;&gt;""),VLOOKUP(Inventory!$AC154,$N$4:$O$5,2,FALSE),"a")))))))</f>
        <v>a</v>
      </c>
      <c r="AE398" s="474">
        <f>IF(OR(Inventory!C154="New Construction",Inventory!C154="Replace-on-Burnout"),Inventory!AF154,IF(Inventory!C154="Early Retirement",MIN(Inventory!AE154,Inventory!AF154),0))</f>
        <v>0</v>
      </c>
      <c r="AF398" s="475" t="str">
        <f t="shared" si="261"/>
        <v/>
      </c>
      <c r="AG398" s="475" t="str">
        <f t="shared" si="262"/>
        <v/>
      </c>
      <c r="AH398" s="475" t="str">
        <f t="shared" si="263"/>
        <v/>
      </c>
      <c r="AI398" s="475" t="str">
        <f t="shared" si="264"/>
        <v/>
      </c>
      <c r="AJ398" s="475" t="str">
        <f t="shared" si="265"/>
        <v/>
      </c>
      <c r="AK398" s="475" t="str">
        <f t="shared" si="266"/>
        <v/>
      </c>
      <c r="AL398" s="475" t="str">
        <f t="shared" si="267"/>
        <v/>
      </c>
      <c r="AM398" s="475" t="str">
        <f t="shared" si="268"/>
        <v/>
      </c>
      <c r="AN398" s="475" t="str">
        <f t="shared" si="269"/>
        <v/>
      </c>
      <c r="AO398" s="475" t="str">
        <f t="shared" si="270"/>
        <v/>
      </c>
      <c r="AP398" s="475" t="str">
        <f t="shared" si="271"/>
        <v/>
      </c>
      <c r="AQ398" s="475" t="str">
        <f t="shared" si="272"/>
        <v/>
      </c>
      <c r="AR398" s="475" t="str">
        <f t="shared" si="273"/>
        <v/>
      </c>
      <c r="AS398" s="475" t="str">
        <f t="shared" si="296"/>
        <v/>
      </c>
      <c r="AT398" s="475" t="str">
        <f t="shared" si="274"/>
        <v/>
      </c>
      <c r="AU398" s="475" t="str">
        <f t="shared" si="275"/>
        <v/>
      </c>
      <c r="AV398" s="475" t="str">
        <f t="shared" si="276"/>
        <v/>
      </c>
      <c r="AW398" s="473">
        <f t="shared" si="277"/>
        <v>0</v>
      </c>
      <c r="AX398" s="473" t="str">
        <f>IF(AND($Z398="b",OR($AA398="a",$AA398="b"),Inventory!$I154="",$AE398&lt;(65000/12000)),"x",IF(AND($Z398="b",OR($AA398="a",$AA398="b"),Inventory!$I154&lt;&gt;"",$AE398&lt;(65000/12000)),VLOOKUP(Inventory!$I405,$V$4:$W$5,2,FALSE),"x"))</f>
        <v>x</v>
      </c>
      <c r="AY398" s="476" t="str">
        <f t="shared" si="278"/>
        <v>aaa0</v>
      </c>
      <c r="AZ398" s="477" t="str">
        <f t="shared" si="287"/>
        <v>No</v>
      </c>
      <c r="BA398" s="759" t="str">
        <f t="shared" si="288"/>
        <v>No</v>
      </c>
      <c r="BB398" s="477">
        <f>IF($Z398="c",Inventory!$AB154,Inventory!$K154)</f>
        <v>0</v>
      </c>
      <c r="BC398" s="478">
        <f>IF(AND($Z398="b",Inventory!$N154="Btu/hr"),Inventory!$M154,IF(AND($Z398="b",Inventory!$N154="Tons"),Inventory!$M154*12000,IF(AND($Z398&lt;&gt;"b",Inventory!$AK154="Btu/hr"),Inventory!$AD154,IF(AND($Z398&lt;&gt;"b",Inventory!$AK154="Tons"),Inventory!$AD154*12000,0))))</f>
        <v>0</v>
      </c>
      <c r="BD398" s="478">
        <f t="shared" si="285"/>
        <v>0</v>
      </c>
      <c r="BE398" s="479">
        <f t="shared" si="297"/>
        <v>0</v>
      </c>
      <c r="BF398" s="477" t="s">
        <v>50</v>
      </c>
      <c r="BG398" s="479">
        <f t="shared" si="279"/>
        <v>0</v>
      </c>
      <c r="BH398" s="477" t="s">
        <v>46</v>
      </c>
      <c r="BI398" s="760">
        <f>IF(AND($Z398="b",Inventory!$P154="Btu/hr"),Inventory!$O154,IF(AND($Z398="b",Inventory!$P154="Tons"),Inventory!$O154*12000,IF(AND($Z398&lt;&gt;"b",Inventory!$AM154="Btu/hr"),Inventory!$AL154,IF(AND($Z398&lt;&gt;"b",Inventory!$AM154="Tons"),Inventory!$AL154*12000,0))))</f>
        <v>0</v>
      </c>
      <c r="BJ398" s="760">
        <f t="shared" si="286"/>
        <v>0</v>
      </c>
      <c r="BK398" s="598">
        <f t="shared" si="289"/>
        <v>0</v>
      </c>
      <c r="BL398" s="759" t="s">
        <v>567</v>
      </c>
      <c r="BM398" s="477" t="str">
        <f t="shared" si="280"/>
        <v>No</v>
      </c>
      <c r="BN398" s="477" t="str">
        <f>IF(OR(Inventory!$H154="",$BM398="No"),"-",Inventory!$H154)</f>
        <v>-</v>
      </c>
      <c r="BO398" s="477" t="str">
        <f>IFERROR(VLOOKUP(BN398,'Early Retirement'!$B$6:$C$33,2,FALSE),"-")</f>
        <v>-</v>
      </c>
      <c r="BP398" s="477" t="str">
        <f>IF(Inventory!$J154="Centrifugal","Yes","No")</f>
        <v>No</v>
      </c>
      <c r="BQ398" s="477">
        <f t="shared" si="281"/>
        <v>0</v>
      </c>
      <c r="BR398" s="477" t="str">
        <f t="shared" si="299"/>
        <v>-</v>
      </c>
      <c r="BS398" s="479">
        <f>IFERROR(INDEX('Early Retirement'!$C$4:$AC$33,$BO398,$BR398),0)</f>
        <v>0</v>
      </c>
      <c r="BT398" s="477">
        <f>IFERROR(HLOOKUP($BR398,'Early Retirement'!$D$4:$AC$5,2,FALSE),0)</f>
        <v>0</v>
      </c>
      <c r="BU398" s="761">
        <f>IFERROR(INDEX('Early Retirement'!$AE$4:$BE$33,$BO398,$BR398),0)</f>
        <v>0</v>
      </c>
      <c r="BV398" s="759">
        <f>IFERROR(HLOOKUP($BR398,'Early Retirement'!$AF$4:$BE$5,2,FALSE),0)</f>
        <v>0</v>
      </c>
      <c r="BW398" s="479">
        <f t="shared" si="282"/>
        <v>0</v>
      </c>
      <c r="BX398" s="761">
        <f t="shared" si="290"/>
        <v>0</v>
      </c>
      <c r="BY398" s="477" t="s">
        <v>46</v>
      </c>
      <c r="BZ398" s="598">
        <f>IFERROR(INDEX('Early Retirement'!$BG$4:$CG$33,$BO398,$BR398),0)</f>
        <v>0</v>
      </c>
      <c r="CA398" s="759">
        <f>IFERROR(HLOOKUP($BR398,'Early Retirement'!$BH$4:$CH$5,2,FALSE),0)</f>
        <v>0</v>
      </c>
      <c r="CB398" s="598">
        <f t="shared" si="291"/>
        <v>0</v>
      </c>
      <c r="CC398" s="759" t="s">
        <v>567</v>
      </c>
      <c r="CD398" s="477" t="str">
        <f t="shared" si="283"/>
        <v>Yes</v>
      </c>
      <c r="CE398" s="479">
        <f t="shared" si="292"/>
        <v>0</v>
      </c>
      <c r="CF398" s="761">
        <f t="shared" si="293"/>
        <v>0</v>
      </c>
      <c r="CG398" s="759" t="s">
        <v>46</v>
      </c>
      <c r="CH398" s="598">
        <f t="shared" si="298"/>
        <v>0</v>
      </c>
      <c r="CI398" s="759" t="s">
        <v>567</v>
      </c>
      <c r="CJ398" s="480">
        <f t="shared" si="284"/>
        <v>0</v>
      </c>
      <c r="CK398" s="583">
        <f t="shared" si="294"/>
        <v>0</v>
      </c>
      <c r="CL398" s="596" t="s">
        <v>46</v>
      </c>
      <c r="CM398" s="581">
        <f t="shared" si="295"/>
        <v>0</v>
      </c>
      <c r="CN398" s="762" t="s">
        <v>567</v>
      </c>
      <c r="CW398" s="630"/>
      <c r="CX398" s="630"/>
      <c r="CY398" s="630"/>
      <c r="CZ398" s="630"/>
      <c r="DA398" s="630"/>
    </row>
    <row r="399" spans="2:105" s="78" customFormat="1" ht="15" customHeight="1" x14ac:dyDescent="0.25">
      <c r="B399" s="77"/>
      <c r="E399" s="77"/>
      <c r="H399" s="77"/>
      <c r="Y399" s="90">
        <v>146</v>
      </c>
      <c r="Z399" s="559" t="str">
        <f>IF(Inventory!$C155="","",VLOOKUP(Inventory!$C155,$B$7:$C$9,2,FALSE))</f>
        <v/>
      </c>
      <c r="AA399" s="559" t="str">
        <f>IF($Z399="","",IF(AND($Z399="b",Inventory!$G155=""),"",IF(AND($Z399="b",Inventory!$G155&lt;&gt;""),VLOOKUP(Inventory!$G155,$E$3:$F$10,2,FALSE),IF(AND($Z399="a",Inventory!$Z155=""),"",IF(AND($Z399="a",Inventory!$Z155&lt;&gt;""),VLOOKUP(Inventory!$Z155,$E$3:$F$10,2,FALSE),IF(AND($Z399="c",Inventory!$Z155=""),"",IF(AND($Z399="c",Inventory!$Z155&lt;&gt;""),VLOOKUP(Inventory!$Z155,$E$3:$F$10,2,FALSE),"")))))))</f>
        <v/>
      </c>
      <c r="AB399" s="559" t="str">
        <f>IF($Z399="","a",IF(AND($Z399="b",Inventory!$J155=""),"a",IF(AND($Z399="b",Inventory!$J155&lt;&gt;""),VLOOKUP(Inventory!$J155,$H$4:$I$6,2,FALSE),IF(AND($Z399="a",Inventory!$AA155=""),"a",IF(AND($Z399="a",Inventory!$AA155&lt;&gt;""),VLOOKUP(Inventory!$AA155,$H$4:$I$6,2,FALSE),IF(AND($Z399="c",Inventory!$AA155=""),"a",IF(AND($Z399="c",Inventory!$AA155&lt;&gt;""),VLOOKUP(Inventory!$AA155,$H$4:$I$6,2,FALSE),"a")))))))</f>
        <v>a</v>
      </c>
      <c r="AC399" s="559" t="str">
        <f t="shared" si="260"/>
        <v>a</v>
      </c>
      <c r="AD399" s="473" t="str">
        <f>IF($Z399="","a",IF(AND($Z399="b",Inventory!$L155=""),"a",IF(AND($Z399="b",Inventory!$L155&lt;&gt;""),VLOOKUP(Inventory!$L155,$N$4:$O$5,2,FALSE),IF(AND($Z399="a",Inventory!$AC155=""),"a",IF(AND($Z399="a",Inventory!$AC155&lt;&gt;""),VLOOKUP(Inventory!$AC155,$N$4:$O$5,2,FALSE),IF(AND($Z399="c",Inventory!$AC155=""),"a",IF(AND($Z399="c",Inventory!$AC155&lt;&gt;""),VLOOKUP(Inventory!$AC155,$N$4:$O$5,2,FALSE),"a")))))))</f>
        <v>a</v>
      </c>
      <c r="AE399" s="474">
        <f>IF(OR(Inventory!C155="New Construction",Inventory!C155="Replace-on-Burnout"),Inventory!AF155,IF(Inventory!C155="Early Retirement",MIN(Inventory!AE155,Inventory!AF155),0))</f>
        <v>0</v>
      </c>
      <c r="AF399" s="475" t="str">
        <f t="shared" si="261"/>
        <v/>
      </c>
      <c r="AG399" s="475" t="str">
        <f t="shared" si="262"/>
        <v/>
      </c>
      <c r="AH399" s="475" t="str">
        <f t="shared" si="263"/>
        <v/>
      </c>
      <c r="AI399" s="475" t="str">
        <f t="shared" si="264"/>
        <v/>
      </c>
      <c r="AJ399" s="475" t="str">
        <f t="shared" si="265"/>
        <v/>
      </c>
      <c r="AK399" s="475" t="str">
        <f t="shared" si="266"/>
        <v/>
      </c>
      <c r="AL399" s="475" t="str">
        <f t="shared" si="267"/>
        <v/>
      </c>
      <c r="AM399" s="475" t="str">
        <f t="shared" si="268"/>
        <v/>
      </c>
      <c r="AN399" s="475" t="str">
        <f t="shared" si="269"/>
        <v/>
      </c>
      <c r="AO399" s="475" t="str">
        <f t="shared" si="270"/>
        <v/>
      </c>
      <c r="AP399" s="475" t="str">
        <f t="shared" si="271"/>
        <v/>
      </c>
      <c r="AQ399" s="475" t="str">
        <f t="shared" si="272"/>
        <v/>
      </c>
      <c r="AR399" s="475" t="str">
        <f t="shared" si="273"/>
        <v/>
      </c>
      <c r="AS399" s="475" t="str">
        <f t="shared" si="296"/>
        <v/>
      </c>
      <c r="AT399" s="475" t="str">
        <f t="shared" si="274"/>
        <v/>
      </c>
      <c r="AU399" s="475" t="str">
        <f t="shared" si="275"/>
        <v/>
      </c>
      <c r="AV399" s="475" t="str">
        <f t="shared" si="276"/>
        <v/>
      </c>
      <c r="AW399" s="473">
        <f t="shared" si="277"/>
        <v>0</v>
      </c>
      <c r="AX399" s="473" t="str">
        <f>IF(AND($Z399="b",OR($AA399="a",$AA399="b"),Inventory!$I155="",$AE399&lt;(65000/12000)),"x",IF(AND($Z399="b",OR($AA399="a",$AA399="b"),Inventory!$I155&lt;&gt;"",$AE399&lt;(65000/12000)),VLOOKUP(Inventory!$I406,$V$4:$W$5,2,FALSE),"x"))</f>
        <v>x</v>
      </c>
      <c r="AY399" s="476" t="str">
        <f t="shared" si="278"/>
        <v>aaa0</v>
      </c>
      <c r="AZ399" s="477" t="str">
        <f t="shared" si="287"/>
        <v>No</v>
      </c>
      <c r="BA399" s="759" t="str">
        <f t="shared" si="288"/>
        <v>No</v>
      </c>
      <c r="BB399" s="477">
        <f>IF($Z399="c",Inventory!$AB155,Inventory!$K155)</f>
        <v>0</v>
      </c>
      <c r="BC399" s="478">
        <f>IF(AND($Z399="b",Inventory!$N155="Btu/hr"),Inventory!$M155,IF(AND($Z399="b",Inventory!$N155="Tons"),Inventory!$M155*12000,IF(AND($Z399&lt;&gt;"b",Inventory!$AK155="Btu/hr"),Inventory!$AD155,IF(AND($Z399&lt;&gt;"b",Inventory!$AK155="Tons"),Inventory!$AD155*12000,0))))</f>
        <v>0</v>
      </c>
      <c r="BD399" s="478">
        <f t="shared" si="285"/>
        <v>0</v>
      </c>
      <c r="BE399" s="479">
        <f t="shared" si="297"/>
        <v>0</v>
      </c>
      <c r="BF399" s="477" t="s">
        <v>50</v>
      </c>
      <c r="BG399" s="479">
        <f t="shared" si="279"/>
        <v>0</v>
      </c>
      <c r="BH399" s="477" t="s">
        <v>46</v>
      </c>
      <c r="BI399" s="760">
        <f>IF(AND($Z399="b",Inventory!$P155="Btu/hr"),Inventory!$O155,IF(AND($Z399="b",Inventory!$P155="Tons"),Inventory!$O155*12000,IF(AND($Z399&lt;&gt;"b",Inventory!$AM155="Btu/hr"),Inventory!$AL155,IF(AND($Z399&lt;&gt;"b",Inventory!$AM155="Tons"),Inventory!$AL155*12000,0))))</f>
        <v>0</v>
      </c>
      <c r="BJ399" s="760">
        <f t="shared" si="286"/>
        <v>0</v>
      </c>
      <c r="BK399" s="598">
        <f t="shared" si="289"/>
        <v>0</v>
      </c>
      <c r="BL399" s="759" t="s">
        <v>567</v>
      </c>
      <c r="BM399" s="477" t="str">
        <f t="shared" si="280"/>
        <v>No</v>
      </c>
      <c r="BN399" s="477" t="str">
        <f>IF(OR(Inventory!$H155="",$BM399="No"),"-",Inventory!$H155)</f>
        <v>-</v>
      </c>
      <c r="BO399" s="477" t="str">
        <f>IFERROR(VLOOKUP(BN399,'Early Retirement'!$B$6:$C$33,2,FALSE),"-")</f>
        <v>-</v>
      </c>
      <c r="BP399" s="477" t="str">
        <f>IF(Inventory!$J155="Centrifugal","Yes","No")</f>
        <v>No</v>
      </c>
      <c r="BQ399" s="477">
        <f t="shared" si="281"/>
        <v>0</v>
      </c>
      <c r="BR399" s="477" t="str">
        <f t="shared" si="299"/>
        <v>-</v>
      </c>
      <c r="BS399" s="479">
        <f>IFERROR(INDEX('Early Retirement'!$C$4:$AC$33,$BO399,$BR399),0)</f>
        <v>0</v>
      </c>
      <c r="BT399" s="477">
        <f>IFERROR(HLOOKUP($BR399,'Early Retirement'!$D$4:$AC$5,2,FALSE),0)</f>
        <v>0</v>
      </c>
      <c r="BU399" s="761">
        <f>IFERROR(INDEX('Early Retirement'!$AE$4:$BE$33,$BO399,$BR399),0)</f>
        <v>0</v>
      </c>
      <c r="BV399" s="759">
        <f>IFERROR(HLOOKUP($BR399,'Early Retirement'!$AF$4:$BE$5,2,FALSE),0)</f>
        <v>0</v>
      </c>
      <c r="BW399" s="479">
        <f t="shared" si="282"/>
        <v>0</v>
      </c>
      <c r="BX399" s="761">
        <f t="shared" si="290"/>
        <v>0</v>
      </c>
      <c r="BY399" s="477" t="s">
        <v>46</v>
      </c>
      <c r="BZ399" s="598">
        <f>IFERROR(INDEX('Early Retirement'!$BG$4:$CG$33,$BO399,$BR399),0)</f>
        <v>0</v>
      </c>
      <c r="CA399" s="759">
        <f>IFERROR(HLOOKUP($BR399,'Early Retirement'!$BH$4:$CH$5,2,FALSE),0)</f>
        <v>0</v>
      </c>
      <c r="CB399" s="598">
        <f t="shared" si="291"/>
        <v>0</v>
      </c>
      <c r="CC399" s="759" t="s">
        <v>567</v>
      </c>
      <c r="CD399" s="477" t="str">
        <f t="shared" si="283"/>
        <v>Yes</v>
      </c>
      <c r="CE399" s="479">
        <f t="shared" si="292"/>
        <v>0</v>
      </c>
      <c r="CF399" s="761">
        <f t="shared" si="293"/>
        <v>0</v>
      </c>
      <c r="CG399" s="759" t="s">
        <v>46</v>
      </c>
      <c r="CH399" s="598">
        <f t="shared" si="298"/>
        <v>0</v>
      </c>
      <c r="CI399" s="759" t="s">
        <v>567</v>
      </c>
      <c r="CJ399" s="480">
        <f t="shared" si="284"/>
        <v>0</v>
      </c>
      <c r="CK399" s="583">
        <f t="shared" si="294"/>
        <v>0</v>
      </c>
      <c r="CL399" s="596" t="s">
        <v>46</v>
      </c>
      <c r="CM399" s="581">
        <f t="shared" si="295"/>
        <v>0</v>
      </c>
      <c r="CN399" s="762" t="s">
        <v>567</v>
      </c>
      <c r="CW399" s="630"/>
      <c r="CX399" s="630"/>
      <c r="CY399" s="630"/>
      <c r="CZ399" s="630"/>
      <c r="DA399" s="630"/>
    </row>
    <row r="400" spans="2:105" s="78" customFormat="1" ht="15" customHeight="1" x14ac:dyDescent="0.25">
      <c r="B400" s="77"/>
      <c r="E400" s="77"/>
      <c r="H400" s="77"/>
      <c r="Y400" s="90">
        <v>147</v>
      </c>
      <c r="Z400" s="559" t="str">
        <f>IF(Inventory!$C156="","",VLOOKUP(Inventory!$C156,$B$7:$C$9,2,FALSE))</f>
        <v/>
      </c>
      <c r="AA400" s="559" t="str">
        <f>IF($Z400="","",IF(AND($Z400="b",Inventory!$G156=""),"",IF(AND($Z400="b",Inventory!$G156&lt;&gt;""),VLOOKUP(Inventory!$G156,$E$3:$F$10,2,FALSE),IF(AND($Z400="a",Inventory!$Z156=""),"",IF(AND($Z400="a",Inventory!$Z156&lt;&gt;""),VLOOKUP(Inventory!$Z156,$E$3:$F$10,2,FALSE),IF(AND($Z400="c",Inventory!$Z156=""),"",IF(AND($Z400="c",Inventory!$Z156&lt;&gt;""),VLOOKUP(Inventory!$Z156,$E$3:$F$10,2,FALSE),"")))))))</f>
        <v/>
      </c>
      <c r="AB400" s="559" t="str">
        <f>IF($Z400="","a",IF(AND($Z400="b",Inventory!$J156=""),"a",IF(AND($Z400="b",Inventory!$J156&lt;&gt;""),VLOOKUP(Inventory!$J156,$H$4:$I$6,2,FALSE),IF(AND($Z400="a",Inventory!$AA156=""),"a",IF(AND($Z400="a",Inventory!$AA156&lt;&gt;""),VLOOKUP(Inventory!$AA156,$H$4:$I$6,2,FALSE),IF(AND($Z400="c",Inventory!$AA156=""),"a",IF(AND($Z400="c",Inventory!$AA156&lt;&gt;""),VLOOKUP(Inventory!$AA156,$H$4:$I$6,2,FALSE),"a")))))))</f>
        <v>a</v>
      </c>
      <c r="AC400" s="559" t="str">
        <f t="shared" si="260"/>
        <v>a</v>
      </c>
      <c r="AD400" s="473" t="str">
        <f>IF($Z400="","a",IF(AND($Z400="b",Inventory!$L156=""),"a",IF(AND($Z400="b",Inventory!$L156&lt;&gt;""),VLOOKUP(Inventory!$L156,$N$4:$O$5,2,FALSE),IF(AND($Z400="a",Inventory!$AC156=""),"a",IF(AND($Z400="a",Inventory!$AC156&lt;&gt;""),VLOOKUP(Inventory!$AC156,$N$4:$O$5,2,FALSE),IF(AND($Z400="c",Inventory!$AC156=""),"a",IF(AND($Z400="c",Inventory!$AC156&lt;&gt;""),VLOOKUP(Inventory!$AC156,$N$4:$O$5,2,FALSE),"a")))))))</f>
        <v>a</v>
      </c>
      <c r="AE400" s="474">
        <f>IF(OR(Inventory!C156="New Construction",Inventory!C156="Replace-on-Burnout"),Inventory!AF156,IF(Inventory!C156="Early Retirement",MIN(Inventory!AE156,Inventory!AF156),0))</f>
        <v>0</v>
      </c>
      <c r="AF400" s="475" t="str">
        <f t="shared" si="261"/>
        <v/>
      </c>
      <c r="AG400" s="475" t="str">
        <f t="shared" si="262"/>
        <v/>
      </c>
      <c r="AH400" s="475" t="str">
        <f t="shared" si="263"/>
        <v/>
      </c>
      <c r="AI400" s="475" t="str">
        <f t="shared" si="264"/>
        <v/>
      </c>
      <c r="AJ400" s="475" t="str">
        <f t="shared" si="265"/>
        <v/>
      </c>
      <c r="AK400" s="475" t="str">
        <f t="shared" si="266"/>
        <v/>
      </c>
      <c r="AL400" s="475" t="str">
        <f t="shared" si="267"/>
        <v/>
      </c>
      <c r="AM400" s="475" t="str">
        <f t="shared" si="268"/>
        <v/>
      </c>
      <c r="AN400" s="475" t="str">
        <f t="shared" si="269"/>
        <v/>
      </c>
      <c r="AO400" s="475" t="str">
        <f t="shared" si="270"/>
        <v/>
      </c>
      <c r="AP400" s="475" t="str">
        <f t="shared" si="271"/>
        <v/>
      </c>
      <c r="AQ400" s="475" t="str">
        <f t="shared" si="272"/>
        <v/>
      </c>
      <c r="AR400" s="475" t="str">
        <f t="shared" si="273"/>
        <v/>
      </c>
      <c r="AS400" s="475" t="str">
        <f t="shared" si="296"/>
        <v/>
      </c>
      <c r="AT400" s="475" t="str">
        <f t="shared" si="274"/>
        <v/>
      </c>
      <c r="AU400" s="475" t="str">
        <f t="shared" si="275"/>
        <v/>
      </c>
      <c r="AV400" s="475" t="str">
        <f t="shared" si="276"/>
        <v/>
      </c>
      <c r="AW400" s="473">
        <f t="shared" si="277"/>
        <v>0</v>
      </c>
      <c r="AX400" s="473" t="str">
        <f>IF(AND($Z400="b",OR($AA400="a",$AA400="b"),Inventory!$I156="",$AE400&lt;(65000/12000)),"x",IF(AND($Z400="b",OR($AA400="a",$AA400="b"),Inventory!$I156&lt;&gt;"",$AE400&lt;(65000/12000)),VLOOKUP(Inventory!$I407,$V$4:$W$5,2,FALSE),"x"))</f>
        <v>x</v>
      </c>
      <c r="AY400" s="476" t="str">
        <f t="shared" si="278"/>
        <v>aaa0</v>
      </c>
      <c r="AZ400" s="477" t="str">
        <f t="shared" si="287"/>
        <v>No</v>
      </c>
      <c r="BA400" s="759" t="str">
        <f t="shared" si="288"/>
        <v>No</v>
      </c>
      <c r="BB400" s="477">
        <f>IF($Z400="c",Inventory!$AB156,Inventory!$K156)</f>
        <v>0</v>
      </c>
      <c r="BC400" s="478">
        <f>IF(AND($Z400="b",Inventory!$N156="Btu/hr"),Inventory!$M156,IF(AND($Z400="b",Inventory!$N156="Tons"),Inventory!$M156*12000,IF(AND($Z400&lt;&gt;"b",Inventory!$AK156="Btu/hr"),Inventory!$AD156,IF(AND($Z400&lt;&gt;"b",Inventory!$AK156="Tons"),Inventory!$AD156*12000,0))))</f>
        <v>0</v>
      </c>
      <c r="BD400" s="478">
        <f t="shared" si="285"/>
        <v>0</v>
      </c>
      <c r="BE400" s="479">
        <f t="shared" si="297"/>
        <v>0</v>
      </c>
      <c r="BF400" s="477" t="s">
        <v>50</v>
      </c>
      <c r="BG400" s="479">
        <f t="shared" si="279"/>
        <v>0</v>
      </c>
      <c r="BH400" s="477" t="s">
        <v>46</v>
      </c>
      <c r="BI400" s="760">
        <f>IF(AND($Z400="b",Inventory!$P156="Btu/hr"),Inventory!$O156,IF(AND($Z400="b",Inventory!$P156="Tons"),Inventory!$O156*12000,IF(AND($Z400&lt;&gt;"b",Inventory!$AM156="Btu/hr"),Inventory!$AL156,IF(AND($Z400&lt;&gt;"b",Inventory!$AM156="Tons"),Inventory!$AL156*12000,0))))</f>
        <v>0</v>
      </c>
      <c r="BJ400" s="760">
        <f t="shared" si="286"/>
        <v>0</v>
      </c>
      <c r="BK400" s="598">
        <f t="shared" si="289"/>
        <v>0</v>
      </c>
      <c r="BL400" s="759" t="s">
        <v>567</v>
      </c>
      <c r="BM400" s="477" t="str">
        <f t="shared" si="280"/>
        <v>No</v>
      </c>
      <c r="BN400" s="477" t="str">
        <f>IF(OR(Inventory!$H156="",$BM400="No"),"-",Inventory!$H156)</f>
        <v>-</v>
      </c>
      <c r="BO400" s="477" t="str">
        <f>IFERROR(VLOOKUP(BN400,'Early Retirement'!$B$6:$C$33,2,FALSE),"-")</f>
        <v>-</v>
      </c>
      <c r="BP400" s="477" t="str">
        <f>IF(Inventory!$J156="Centrifugal","Yes","No")</f>
        <v>No</v>
      </c>
      <c r="BQ400" s="477">
        <f t="shared" si="281"/>
        <v>0</v>
      </c>
      <c r="BR400" s="477" t="str">
        <f t="shared" si="299"/>
        <v>-</v>
      </c>
      <c r="BS400" s="479">
        <f>IFERROR(INDEX('Early Retirement'!$C$4:$AC$33,$BO400,$BR400),0)</f>
        <v>0</v>
      </c>
      <c r="BT400" s="477">
        <f>IFERROR(HLOOKUP($BR400,'Early Retirement'!$D$4:$AC$5,2,FALSE),0)</f>
        <v>0</v>
      </c>
      <c r="BU400" s="761">
        <f>IFERROR(INDEX('Early Retirement'!$AE$4:$BE$33,$BO400,$BR400),0)</f>
        <v>0</v>
      </c>
      <c r="BV400" s="759">
        <f>IFERROR(HLOOKUP($BR400,'Early Retirement'!$AF$4:$BE$5,2,FALSE),0)</f>
        <v>0</v>
      </c>
      <c r="BW400" s="479">
        <f t="shared" si="282"/>
        <v>0</v>
      </c>
      <c r="BX400" s="761">
        <f t="shared" si="290"/>
        <v>0</v>
      </c>
      <c r="BY400" s="477" t="s">
        <v>46</v>
      </c>
      <c r="BZ400" s="598">
        <f>IFERROR(INDEX('Early Retirement'!$BG$4:$CG$33,$BO400,$BR400),0)</f>
        <v>0</v>
      </c>
      <c r="CA400" s="759">
        <f>IFERROR(HLOOKUP($BR400,'Early Retirement'!$BH$4:$CH$5,2,FALSE),0)</f>
        <v>0</v>
      </c>
      <c r="CB400" s="598">
        <f t="shared" si="291"/>
        <v>0</v>
      </c>
      <c r="CC400" s="759" t="s">
        <v>567</v>
      </c>
      <c r="CD400" s="477" t="str">
        <f t="shared" si="283"/>
        <v>Yes</v>
      </c>
      <c r="CE400" s="479">
        <f t="shared" si="292"/>
        <v>0</v>
      </c>
      <c r="CF400" s="761">
        <f t="shared" si="293"/>
        <v>0</v>
      </c>
      <c r="CG400" s="759" t="s">
        <v>46</v>
      </c>
      <c r="CH400" s="598">
        <f t="shared" si="298"/>
        <v>0</v>
      </c>
      <c r="CI400" s="759" t="s">
        <v>567</v>
      </c>
      <c r="CJ400" s="480">
        <f t="shared" si="284"/>
        <v>0</v>
      </c>
      <c r="CK400" s="583">
        <f t="shared" si="294"/>
        <v>0</v>
      </c>
      <c r="CL400" s="596" t="s">
        <v>46</v>
      </c>
      <c r="CM400" s="581">
        <f t="shared" si="295"/>
        <v>0</v>
      </c>
      <c r="CN400" s="762" t="s">
        <v>567</v>
      </c>
      <c r="CW400" s="630"/>
      <c r="CX400" s="630"/>
      <c r="CY400" s="630"/>
      <c r="CZ400" s="630"/>
      <c r="DA400" s="630"/>
    </row>
    <row r="401" spans="2:105" s="78" customFormat="1" ht="15" customHeight="1" x14ac:dyDescent="0.25">
      <c r="B401" s="77"/>
      <c r="E401" s="77"/>
      <c r="H401" s="77"/>
      <c r="Y401" s="90">
        <v>148</v>
      </c>
      <c r="Z401" s="559" t="str">
        <f>IF(Inventory!$C157="","",VLOOKUP(Inventory!$C157,$B$7:$C$9,2,FALSE))</f>
        <v/>
      </c>
      <c r="AA401" s="559" t="str">
        <f>IF($Z401="","",IF(AND($Z401="b",Inventory!$G157=""),"",IF(AND($Z401="b",Inventory!$G157&lt;&gt;""),VLOOKUP(Inventory!$G157,$E$3:$F$10,2,FALSE),IF(AND($Z401="a",Inventory!$Z157=""),"",IF(AND($Z401="a",Inventory!$Z157&lt;&gt;""),VLOOKUP(Inventory!$Z157,$E$3:$F$10,2,FALSE),IF(AND($Z401="c",Inventory!$Z157=""),"",IF(AND($Z401="c",Inventory!$Z157&lt;&gt;""),VLOOKUP(Inventory!$Z157,$E$3:$F$10,2,FALSE),"")))))))</f>
        <v/>
      </c>
      <c r="AB401" s="559" t="str">
        <f>IF($Z401="","a",IF(AND($Z401="b",Inventory!$J157=""),"a",IF(AND($Z401="b",Inventory!$J157&lt;&gt;""),VLOOKUP(Inventory!$J157,$H$4:$I$6,2,FALSE),IF(AND($Z401="a",Inventory!$AA157=""),"a",IF(AND($Z401="a",Inventory!$AA157&lt;&gt;""),VLOOKUP(Inventory!$AA157,$H$4:$I$6,2,FALSE),IF(AND($Z401="c",Inventory!$AA157=""),"a",IF(AND($Z401="c",Inventory!$AA157&lt;&gt;""),VLOOKUP(Inventory!$AA157,$H$4:$I$6,2,FALSE),"a")))))))</f>
        <v>a</v>
      </c>
      <c r="AC401" s="559" t="str">
        <f t="shared" si="260"/>
        <v>a</v>
      </c>
      <c r="AD401" s="473" t="str">
        <f>IF($Z401="","a",IF(AND($Z401="b",Inventory!$L157=""),"a",IF(AND($Z401="b",Inventory!$L157&lt;&gt;""),VLOOKUP(Inventory!$L157,$N$4:$O$5,2,FALSE),IF(AND($Z401="a",Inventory!$AC157=""),"a",IF(AND($Z401="a",Inventory!$AC157&lt;&gt;""),VLOOKUP(Inventory!$AC157,$N$4:$O$5,2,FALSE),IF(AND($Z401="c",Inventory!$AC157=""),"a",IF(AND($Z401="c",Inventory!$AC157&lt;&gt;""),VLOOKUP(Inventory!$AC157,$N$4:$O$5,2,FALSE),"a")))))))</f>
        <v>a</v>
      </c>
      <c r="AE401" s="474">
        <f>IF(OR(Inventory!C157="New Construction",Inventory!C157="Replace-on-Burnout"),Inventory!AF157,IF(Inventory!C157="Early Retirement",MIN(Inventory!AE157,Inventory!AF157),0))</f>
        <v>0</v>
      </c>
      <c r="AF401" s="475" t="str">
        <f t="shared" si="261"/>
        <v/>
      </c>
      <c r="AG401" s="475" t="str">
        <f t="shared" si="262"/>
        <v/>
      </c>
      <c r="AH401" s="475" t="str">
        <f t="shared" si="263"/>
        <v/>
      </c>
      <c r="AI401" s="475" t="str">
        <f t="shared" si="264"/>
        <v/>
      </c>
      <c r="AJ401" s="475" t="str">
        <f t="shared" si="265"/>
        <v/>
      </c>
      <c r="AK401" s="475" t="str">
        <f t="shared" si="266"/>
        <v/>
      </c>
      <c r="AL401" s="475" t="str">
        <f t="shared" si="267"/>
        <v/>
      </c>
      <c r="AM401" s="475" t="str">
        <f t="shared" si="268"/>
        <v/>
      </c>
      <c r="AN401" s="475" t="str">
        <f t="shared" si="269"/>
        <v/>
      </c>
      <c r="AO401" s="475" t="str">
        <f t="shared" si="270"/>
        <v/>
      </c>
      <c r="AP401" s="475" t="str">
        <f t="shared" si="271"/>
        <v/>
      </c>
      <c r="AQ401" s="475" t="str">
        <f t="shared" si="272"/>
        <v/>
      </c>
      <c r="AR401" s="475" t="str">
        <f t="shared" si="273"/>
        <v/>
      </c>
      <c r="AS401" s="475" t="str">
        <f t="shared" si="296"/>
        <v/>
      </c>
      <c r="AT401" s="475" t="str">
        <f t="shared" si="274"/>
        <v/>
      </c>
      <c r="AU401" s="475" t="str">
        <f t="shared" si="275"/>
        <v/>
      </c>
      <c r="AV401" s="475" t="str">
        <f t="shared" si="276"/>
        <v/>
      </c>
      <c r="AW401" s="473">
        <f t="shared" si="277"/>
        <v>0</v>
      </c>
      <c r="AX401" s="473" t="str">
        <f>IF(AND($Z401="b",OR($AA401="a",$AA401="b"),Inventory!$I157="",$AE401&lt;(65000/12000)),"x",IF(AND($Z401="b",OR($AA401="a",$AA401="b"),Inventory!$I157&lt;&gt;"",$AE401&lt;(65000/12000)),VLOOKUP(Inventory!$I408,$V$4:$W$5,2,FALSE),"x"))</f>
        <v>x</v>
      </c>
      <c r="AY401" s="476" t="str">
        <f t="shared" si="278"/>
        <v>aaa0</v>
      </c>
      <c r="AZ401" s="477" t="str">
        <f t="shared" si="287"/>
        <v>No</v>
      </c>
      <c r="BA401" s="759" t="str">
        <f t="shared" si="288"/>
        <v>No</v>
      </c>
      <c r="BB401" s="477">
        <f>IF($Z401="c",Inventory!$AB157,Inventory!$K157)</f>
        <v>0</v>
      </c>
      <c r="BC401" s="478">
        <f>IF(AND($Z401="b",Inventory!$N157="Btu/hr"),Inventory!$M157,IF(AND($Z401="b",Inventory!$N157="Tons"),Inventory!$M157*12000,IF(AND($Z401&lt;&gt;"b",Inventory!$AK157="Btu/hr"),Inventory!$AD157,IF(AND($Z401&lt;&gt;"b",Inventory!$AK157="Tons"),Inventory!$AD157*12000,0))))</f>
        <v>0</v>
      </c>
      <c r="BD401" s="478">
        <f t="shared" si="285"/>
        <v>0</v>
      </c>
      <c r="BE401" s="479">
        <f t="shared" si="297"/>
        <v>0</v>
      </c>
      <c r="BF401" s="477" t="s">
        <v>50</v>
      </c>
      <c r="BG401" s="479">
        <f t="shared" si="279"/>
        <v>0</v>
      </c>
      <c r="BH401" s="477" t="s">
        <v>46</v>
      </c>
      <c r="BI401" s="760">
        <f>IF(AND($Z401="b",Inventory!$P157="Btu/hr"),Inventory!$O157,IF(AND($Z401="b",Inventory!$P157="Tons"),Inventory!$O157*12000,IF(AND($Z401&lt;&gt;"b",Inventory!$AM157="Btu/hr"),Inventory!$AL157,IF(AND($Z401&lt;&gt;"b",Inventory!$AM157="Tons"),Inventory!$AL157*12000,0))))</f>
        <v>0</v>
      </c>
      <c r="BJ401" s="760">
        <f t="shared" si="286"/>
        <v>0</v>
      </c>
      <c r="BK401" s="598">
        <f t="shared" si="289"/>
        <v>0</v>
      </c>
      <c r="BL401" s="759" t="s">
        <v>567</v>
      </c>
      <c r="BM401" s="477" t="str">
        <f t="shared" si="280"/>
        <v>No</v>
      </c>
      <c r="BN401" s="477" t="str">
        <f>IF(OR(Inventory!$H157="",$BM401="No"),"-",Inventory!$H157)</f>
        <v>-</v>
      </c>
      <c r="BO401" s="477" t="str">
        <f>IFERROR(VLOOKUP(BN401,'Early Retirement'!$B$6:$C$33,2,FALSE),"-")</f>
        <v>-</v>
      </c>
      <c r="BP401" s="477" t="str">
        <f>IF(Inventory!$J157="Centrifugal","Yes","No")</f>
        <v>No</v>
      </c>
      <c r="BQ401" s="477">
        <f t="shared" si="281"/>
        <v>0</v>
      </c>
      <c r="BR401" s="477" t="str">
        <f t="shared" si="299"/>
        <v>-</v>
      </c>
      <c r="BS401" s="479">
        <f>IFERROR(INDEX('Early Retirement'!$C$4:$AC$33,$BO401,$BR401),0)</f>
        <v>0</v>
      </c>
      <c r="BT401" s="477">
        <f>IFERROR(HLOOKUP($BR401,'Early Retirement'!$D$4:$AC$5,2,FALSE),0)</f>
        <v>0</v>
      </c>
      <c r="BU401" s="761">
        <f>IFERROR(INDEX('Early Retirement'!$AE$4:$BE$33,$BO401,$BR401),0)</f>
        <v>0</v>
      </c>
      <c r="BV401" s="759">
        <f>IFERROR(HLOOKUP($BR401,'Early Retirement'!$AF$4:$BE$5,2,FALSE),0)</f>
        <v>0</v>
      </c>
      <c r="BW401" s="479">
        <f t="shared" si="282"/>
        <v>0</v>
      </c>
      <c r="BX401" s="761">
        <f t="shared" si="290"/>
        <v>0</v>
      </c>
      <c r="BY401" s="477" t="s">
        <v>46</v>
      </c>
      <c r="BZ401" s="598">
        <f>IFERROR(INDEX('Early Retirement'!$BG$4:$CG$33,$BO401,$BR401),0)</f>
        <v>0</v>
      </c>
      <c r="CA401" s="759">
        <f>IFERROR(HLOOKUP($BR401,'Early Retirement'!$BH$4:$CH$5,2,FALSE),0)</f>
        <v>0</v>
      </c>
      <c r="CB401" s="598">
        <f t="shared" si="291"/>
        <v>0</v>
      </c>
      <c r="CC401" s="759" t="s">
        <v>567</v>
      </c>
      <c r="CD401" s="477" t="str">
        <f t="shared" si="283"/>
        <v>Yes</v>
      </c>
      <c r="CE401" s="479">
        <f t="shared" si="292"/>
        <v>0</v>
      </c>
      <c r="CF401" s="761">
        <f t="shared" si="293"/>
        <v>0</v>
      </c>
      <c r="CG401" s="759" t="s">
        <v>46</v>
      </c>
      <c r="CH401" s="598">
        <f t="shared" si="298"/>
        <v>0</v>
      </c>
      <c r="CI401" s="759" t="s">
        <v>567</v>
      </c>
      <c r="CJ401" s="480">
        <f t="shared" si="284"/>
        <v>0</v>
      </c>
      <c r="CK401" s="583">
        <f t="shared" si="294"/>
        <v>0</v>
      </c>
      <c r="CL401" s="596" t="s">
        <v>46</v>
      </c>
      <c r="CM401" s="581">
        <f t="shared" si="295"/>
        <v>0</v>
      </c>
      <c r="CN401" s="762" t="s">
        <v>567</v>
      </c>
      <c r="CW401" s="630"/>
      <c r="CX401" s="630"/>
      <c r="CY401" s="630"/>
      <c r="CZ401" s="630"/>
      <c r="DA401" s="630"/>
    </row>
    <row r="402" spans="2:105" s="78" customFormat="1" ht="15" customHeight="1" x14ac:dyDescent="0.25">
      <c r="B402" s="77"/>
      <c r="E402" s="77"/>
      <c r="H402" s="77"/>
      <c r="Y402" s="90">
        <v>149</v>
      </c>
      <c r="Z402" s="559" t="str">
        <f>IF(Inventory!$C158="","",VLOOKUP(Inventory!$C158,$B$7:$C$9,2,FALSE))</f>
        <v/>
      </c>
      <c r="AA402" s="559" t="str">
        <f>IF($Z402="","",IF(AND($Z402="b",Inventory!$G158=""),"",IF(AND($Z402="b",Inventory!$G158&lt;&gt;""),VLOOKUP(Inventory!$G158,$E$3:$F$10,2,FALSE),IF(AND($Z402="a",Inventory!$Z158=""),"",IF(AND($Z402="a",Inventory!$Z158&lt;&gt;""),VLOOKUP(Inventory!$Z158,$E$3:$F$10,2,FALSE),IF(AND($Z402="c",Inventory!$Z158=""),"",IF(AND($Z402="c",Inventory!$Z158&lt;&gt;""),VLOOKUP(Inventory!$Z158,$E$3:$F$10,2,FALSE),"")))))))</f>
        <v/>
      </c>
      <c r="AB402" s="559" t="str">
        <f>IF($Z402="","a",IF(AND($Z402="b",Inventory!$J158=""),"a",IF(AND($Z402="b",Inventory!$J158&lt;&gt;""),VLOOKUP(Inventory!$J158,$H$4:$I$6,2,FALSE),IF(AND($Z402="a",Inventory!$AA158=""),"a",IF(AND($Z402="a",Inventory!$AA158&lt;&gt;""),VLOOKUP(Inventory!$AA158,$H$4:$I$6,2,FALSE),IF(AND($Z402="c",Inventory!$AA158=""),"a",IF(AND($Z402="c",Inventory!$AA158&lt;&gt;""),VLOOKUP(Inventory!$AA158,$H$4:$I$6,2,FALSE),"a")))))))</f>
        <v>a</v>
      </c>
      <c r="AC402" s="559" t="str">
        <f t="shared" si="260"/>
        <v>a</v>
      </c>
      <c r="AD402" s="473" t="str">
        <f>IF($Z402="","a",IF(AND($Z402="b",Inventory!$L158=""),"a",IF(AND($Z402="b",Inventory!$L158&lt;&gt;""),VLOOKUP(Inventory!$L158,$N$4:$O$5,2,FALSE),IF(AND($Z402="a",Inventory!$AC158=""),"a",IF(AND($Z402="a",Inventory!$AC158&lt;&gt;""),VLOOKUP(Inventory!$AC158,$N$4:$O$5,2,FALSE),IF(AND($Z402="c",Inventory!$AC158=""),"a",IF(AND($Z402="c",Inventory!$AC158&lt;&gt;""),VLOOKUP(Inventory!$AC158,$N$4:$O$5,2,FALSE),"a")))))))</f>
        <v>a</v>
      </c>
      <c r="AE402" s="474">
        <f>IF(OR(Inventory!C158="New Construction",Inventory!C158="Replace-on-Burnout"),Inventory!AF158,IF(Inventory!C158="Early Retirement",MIN(Inventory!AE158,Inventory!AF158),0))</f>
        <v>0</v>
      </c>
      <c r="AF402" s="475" t="str">
        <f t="shared" si="261"/>
        <v/>
      </c>
      <c r="AG402" s="475" t="str">
        <f t="shared" si="262"/>
        <v/>
      </c>
      <c r="AH402" s="475" t="str">
        <f t="shared" si="263"/>
        <v/>
      </c>
      <c r="AI402" s="475" t="str">
        <f t="shared" si="264"/>
        <v/>
      </c>
      <c r="AJ402" s="475" t="str">
        <f t="shared" si="265"/>
        <v/>
      </c>
      <c r="AK402" s="475" t="str">
        <f t="shared" si="266"/>
        <v/>
      </c>
      <c r="AL402" s="475" t="str">
        <f t="shared" si="267"/>
        <v/>
      </c>
      <c r="AM402" s="475" t="str">
        <f t="shared" si="268"/>
        <v/>
      </c>
      <c r="AN402" s="475" t="str">
        <f t="shared" si="269"/>
        <v/>
      </c>
      <c r="AO402" s="475" t="str">
        <f t="shared" si="270"/>
        <v/>
      </c>
      <c r="AP402" s="475" t="str">
        <f t="shared" si="271"/>
        <v/>
      </c>
      <c r="AQ402" s="475" t="str">
        <f t="shared" si="272"/>
        <v/>
      </c>
      <c r="AR402" s="475" t="str">
        <f t="shared" si="273"/>
        <v/>
      </c>
      <c r="AS402" s="475" t="str">
        <f t="shared" si="296"/>
        <v/>
      </c>
      <c r="AT402" s="475" t="str">
        <f t="shared" si="274"/>
        <v/>
      </c>
      <c r="AU402" s="475" t="str">
        <f t="shared" si="275"/>
        <v/>
      </c>
      <c r="AV402" s="475" t="str">
        <f t="shared" si="276"/>
        <v/>
      </c>
      <c r="AW402" s="473">
        <f t="shared" si="277"/>
        <v>0</v>
      </c>
      <c r="AX402" s="473" t="str">
        <f>IF(AND($Z402="b",OR($AA402="a",$AA402="b"),Inventory!$I158="",$AE402&lt;(65000/12000)),"x",IF(AND($Z402="b",OR($AA402="a",$AA402="b"),Inventory!$I158&lt;&gt;"",$AE402&lt;(65000/12000)),VLOOKUP(Inventory!$I409,$V$4:$W$5,2,FALSE),"x"))</f>
        <v>x</v>
      </c>
      <c r="AY402" s="476" t="str">
        <f t="shared" si="278"/>
        <v>aaa0</v>
      </c>
      <c r="AZ402" s="477" t="str">
        <f t="shared" si="287"/>
        <v>No</v>
      </c>
      <c r="BA402" s="759" t="str">
        <f t="shared" si="288"/>
        <v>No</v>
      </c>
      <c r="BB402" s="477">
        <f>IF($Z402="c",Inventory!$AB158,Inventory!$K158)</f>
        <v>0</v>
      </c>
      <c r="BC402" s="478">
        <f>IF(AND($Z402="b",Inventory!$N158="Btu/hr"),Inventory!$M158,IF(AND($Z402="b",Inventory!$N158="Tons"),Inventory!$M158*12000,IF(AND($Z402&lt;&gt;"b",Inventory!$AK158="Btu/hr"),Inventory!$AD158,IF(AND($Z402&lt;&gt;"b",Inventory!$AK158="Tons"),Inventory!$AD158*12000,0))))</f>
        <v>0</v>
      </c>
      <c r="BD402" s="478">
        <f t="shared" si="285"/>
        <v>0</v>
      </c>
      <c r="BE402" s="479">
        <f t="shared" si="297"/>
        <v>0</v>
      </c>
      <c r="BF402" s="477" t="s">
        <v>50</v>
      </c>
      <c r="BG402" s="479">
        <f t="shared" si="279"/>
        <v>0</v>
      </c>
      <c r="BH402" s="477" t="s">
        <v>46</v>
      </c>
      <c r="BI402" s="760">
        <f>IF(AND($Z402="b",Inventory!$P158="Btu/hr"),Inventory!$O158,IF(AND($Z402="b",Inventory!$P158="Tons"),Inventory!$O158*12000,IF(AND($Z402&lt;&gt;"b",Inventory!$AM158="Btu/hr"),Inventory!$AL158,IF(AND($Z402&lt;&gt;"b",Inventory!$AM158="Tons"),Inventory!$AL158*12000,0))))</f>
        <v>0</v>
      </c>
      <c r="BJ402" s="760">
        <f t="shared" si="286"/>
        <v>0</v>
      </c>
      <c r="BK402" s="598">
        <f t="shared" si="289"/>
        <v>0</v>
      </c>
      <c r="BL402" s="759" t="s">
        <v>567</v>
      </c>
      <c r="BM402" s="477" t="str">
        <f t="shared" si="280"/>
        <v>No</v>
      </c>
      <c r="BN402" s="477" t="str">
        <f>IF(OR(Inventory!$H158="",$BM402="No"),"-",Inventory!$H158)</f>
        <v>-</v>
      </c>
      <c r="BO402" s="477" t="str">
        <f>IFERROR(VLOOKUP(BN402,'Early Retirement'!$B$6:$C$33,2,FALSE),"-")</f>
        <v>-</v>
      </c>
      <c r="BP402" s="477" t="str">
        <f>IF(Inventory!$J158="Centrifugal","Yes","No")</f>
        <v>No</v>
      </c>
      <c r="BQ402" s="477">
        <f t="shared" si="281"/>
        <v>0</v>
      </c>
      <c r="BR402" s="477" t="str">
        <f t="shared" si="299"/>
        <v>-</v>
      </c>
      <c r="BS402" s="479">
        <f>IFERROR(INDEX('Early Retirement'!$C$4:$AC$33,$BO402,$BR402),0)</f>
        <v>0</v>
      </c>
      <c r="BT402" s="477">
        <f>IFERROR(HLOOKUP($BR402,'Early Retirement'!$D$4:$AC$5,2,FALSE),0)</f>
        <v>0</v>
      </c>
      <c r="BU402" s="761">
        <f>IFERROR(INDEX('Early Retirement'!$AE$4:$BE$33,$BO402,$BR402),0)</f>
        <v>0</v>
      </c>
      <c r="BV402" s="759">
        <f>IFERROR(HLOOKUP($BR402,'Early Retirement'!$AF$4:$BE$5,2,FALSE),0)</f>
        <v>0</v>
      </c>
      <c r="BW402" s="479">
        <f t="shared" si="282"/>
        <v>0</v>
      </c>
      <c r="BX402" s="761">
        <f t="shared" si="290"/>
        <v>0</v>
      </c>
      <c r="BY402" s="477" t="s">
        <v>46</v>
      </c>
      <c r="BZ402" s="598">
        <f>IFERROR(INDEX('Early Retirement'!$BG$4:$CG$33,$BO402,$BR402),0)</f>
        <v>0</v>
      </c>
      <c r="CA402" s="759">
        <f>IFERROR(HLOOKUP($BR402,'Early Retirement'!$BH$4:$CH$5,2,FALSE),0)</f>
        <v>0</v>
      </c>
      <c r="CB402" s="598">
        <f t="shared" si="291"/>
        <v>0</v>
      </c>
      <c r="CC402" s="759" t="s">
        <v>567</v>
      </c>
      <c r="CD402" s="477" t="str">
        <f t="shared" si="283"/>
        <v>Yes</v>
      </c>
      <c r="CE402" s="479">
        <f t="shared" si="292"/>
        <v>0</v>
      </c>
      <c r="CF402" s="761">
        <f t="shared" si="293"/>
        <v>0</v>
      </c>
      <c r="CG402" s="759" t="s">
        <v>46</v>
      </c>
      <c r="CH402" s="598">
        <f t="shared" si="298"/>
        <v>0</v>
      </c>
      <c r="CI402" s="759" t="s">
        <v>567</v>
      </c>
      <c r="CJ402" s="480">
        <f t="shared" si="284"/>
        <v>0</v>
      </c>
      <c r="CK402" s="583">
        <f t="shared" si="294"/>
        <v>0</v>
      </c>
      <c r="CL402" s="596" t="s">
        <v>46</v>
      </c>
      <c r="CM402" s="581">
        <f t="shared" si="295"/>
        <v>0</v>
      </c>
      <c r="CN402" s="762" t="s">
        <v>567</v>
      </c>
      <c r="CW402" s="630"/>
      <c r="CX402" s="630"/>
      <c r="CY402" s="630"/>
      <c r="CZ402" s="630"/>
      <c r="DA402" s="630"/>
    </row>
    <row r="403" spans="2:105" s="78" customFormat="1" ht="15" customHeight="1" x14ac:dyDescent="0.25">
      <c r="B403" s="77"/>
      <c r="E403" s="77"/>
      <c r="H403" s="77"/>
      <c r="Y403" s="90">
        <v>150</v>
      </c>
      <c r="Z403" s="559" t="str">
        <f>IF(Inventory!$C159="","",VLOOKUP(Inventory!$C159,$B$7:$C$9,2,FALSE))</f>
        <v/>
      </c>
      <c r="AA403" s="559" t="str">
        <f>IF($Z403="","",IF(AND($Z403="b",Inventory!$G159=""),"",IF(AND($Z403="b",Inventory!$G159&lt;&gt;""),VLOOKUP(Inventory!$G159,$E$3:$F$10,2,FALSE),IF(AND($Z403="a",Inventory!$Z159=""),"",IF(AND($Z403="a",Inventory!$Z159&lt;&gt;""),VLOOKUP(Inventory!$Z159,$E$3:$F$10,2,FALSE),IF(AND($Z403="c",Inventory!$Z159=""),"",IF(AND($Z403="c",Inventory!$Z159&lt;&gt;""),VLOOKUP(Inventory!$Z159,$E$3:$F$10,2,FALSE),"")))))))</f>
        <v/>
      </c>
      <c r="AB403" s="559" t="str">
        <f>IF($Z403="","a",IF(AND($Z403="b",Inventory!$J159=""),"a",IF(AND($Z403="b",Inventory!$J159&lt;&gt;""),VLOOKUP(Inventory!$J159,$H$4:$I$6,2,FALSE),IF(AND($Z403="a",Inventory!$AA159=""),"a",IF(AND($Z403="a",Inventory!$AA159&lt;&gt;""),VLOOKUP(Inventory!$AA159,$H$4:$I$6,2,FALSE),IF(AND($Z403="c",Inventory!$AA159=""),"a",IF(AND($Z403="c",Inventory!$AA159&lt;&gt;""),VLOOKUP(Inventory!$AA159,$H$4:$I$6,2,FALSE),"a")))))))</f>
        <v>a</v>
      </c>
      <c r="AC403" s="559" t="str">
        <f t="shared" si="260"/>
        <v>a</v>
      </c>
      <c r="AD403" s="473" t="str">
        <f>IF($Z403="","a",IF(AND($Z403="b",Inventory!$L159=""),"a",IF(AND($Z403="b",Inventory!$L159&lt;&gt;""),VLOOKUP(Inventory!$L159,$N$4:$O$5,2,FALSE),IF(AND($Z403="a",Inventory!$AC159=""),"a",IF(AND($Z403="a",Inventory!$AC159&lt;&gt;""),VLOOKUP(Inventory!$AC159,$N$4:$O$5,2,FALSE),IF(AND($Z403="c",Inventory!$AC159=""),"a",IF(AND($Z403="c",Inventory!$AC159&lt;&gt;""),VLOOKUP(Inventory!$AC159,$N$4:$O$5,2,FALSE),"a")))))))</f>
        <v>a</v>
      </c>
      <c r="AE403" s="474">
        <f>IF(OR(Inventory!C159="New Construction",Inventory!C159="Replace-on-Burnout"),Inventory!AF159,IF(Inventory!C159="Early Retirement",MIN(Inventory!AE159,Inventory!AF159),0))</f>
        <v>0</v>
      </c>
      <c r="AF403" s="475" t="str">
        <f t="shared" si="261"/>
        <v/>
      </c>
      <c r="AG403" s="475" t="str">
        <f t="shared" si="262"/>
        <v/>
      </c>
      <c r="AH403" s="475" t="str">
        <f t="shared" si="263"/>
        <v/>
      </c>
      <c r="AI403" s="475" t="str">
        <f t="shared" si="264"/>
        <v/>
      </c>
      <c r="AJ403" s="475" t="str">
        <f t="shared" si="265"/>
        <v/>
      </c>
      <c r="AK403" s="475" t="str">
        <f t="shared" si="266"/>
        <v/>
      </c>
      <c r="AL403" s="475" t="str">
        <f t="shared" si="267"/>
        <v/>
      </c>
      <c r="AM403" s="475" t="str">
        <f t="shared" si="268"/>
        <v/>
      </c>
      <c r="AN403" s="475" t="str">
        <f t="shared" si="269"/>
        <v/>
      </c>
      <c r="AO403" s="475" t="str">
        <f t="shared" si="270"/>
        <v/>
      </c>
      <c r="AP403" s="475" t="str">
        <f t="shared" si="271"/>
        <v/>
      </c>
      <c r="AQ403" s="475" t="str">
        <f t="shared" si="272"/>
        <v/>
      </c>
      <c r="AR403" s="475" t="str">
        <f t="shared" si="273"/>
        <v/>
      </c>
      <c r="AS403" s="475" t="str">
        <f t="shared" si="296"/>
        <v/>
      </c>
      <c r="AT403" s="475" t="str">
        <f t="shared" si="274"/>
        <v/>
      </c>
      <c r="AU403" s="475" t="str">
        <f t="shared" si="275"/>
        <v/>
      </c>
      <c r="AV403" s="475" t="str">
        <f t="shared" si="276"/>
        <v/>
      </c>
      <c r="AW403" s="473">
        <f t="shared" si="277"/>
        <v>0</v>
      </c>
      <c r="AX403" s="473" t="str">
        <f>IF(AND($Z403="b",OR($AA403="a",$AA403="b"),Inventory!$I159="",$AE403&lt;(65000/12000)),"x",IF(AND($Z403="b",OR($AA403="a",$AA403="b"),Inventory!$I159&lt;&gt;"",$AE403&lt;(65000/12000)),VLOOKUP(Inventory!$I410,$V$4:$W$5,2,FALSE),"x"))</f>
        <v>x</v>
      </c>
      <c r="AY403" s="476" t="str">
        <f t="shared" si="278"/>
        <v>aaa0</v>
      </c>
      <c r="AZ403" s="477" t="str">
        <f t="shared" si="287"/>
        <v>No</v>
      </c>
      <c r="BA403" s="759" t="str">
        <f t="shared" si="288"/>
        <v>No</v>
      </c>
      <c r="BB403" s="477">
        <f>IF($Z403="c",Inventory!$AB159,Inventory!$K159)</f>
        <v>0</v>
      </c>
      <c r="BC403" s="478">
        <f>IF(AND($Z403="b",Inventory!$N159="Btu/hr"),Inventory!$M159,IF(AND($Z403="b",Inventory!$N159="Tons"),Inventory!$M159*12000,IF(AND($Z403&lt;&gt;"b",Inventory!$AK159="Btu/hr"),Inventory!$AD159,IF(AND($Z403&lt;&gt;"b",Inventory!$AK159="Tons"),Inventory!$AD159*12000,0))))</f>
        <v>0</v>
      </c>
      <c r="BD403" s="478">
        <f t="shared" si="285"/>
        <v>0</v>
      </c>
      <c r="BE403" s="479">
        <f t="shared" si="297"/>
        <v>0</v>
      </c>
      <c r="BF403" s="477" t="s">
        <v>50</v>
      </c>
      <c r="BG403" s="479">
        <f t="shared" si="279"/>
        <v>0</v>
      </c>
      <c r="BH403" s="477" t="s">
        <v>46</v>
      </c>
      <c r="BI403" s="760">
        <f>IF(AND($Z403="b",Inventory!$P159="Btu/hr"),Inventory!$O159,IF(AND($Z403="b",Inventory!$P159="Tons"),Inventory!$O159*12000,IF(AND($Z403&lt;&gt;"b",Inventory!$AM159="Btu/hr"),Inventory!$AL159,IF(AND($Z403&lt;&gt;"b",Inventory!$AM159="Tons"),Inventory!$AL159*12000,0))))</f>
        <v>0</v>
      </c>
      <c r="BJ403" s="760">
        <f t="shared" si="286"/>
        <v>0</v>
      </c>
      <c r="BK403" s="598">
        <f t="shared" si="289"/>
        <v>0</v>
      </c>
      <c r="BL403" s="759" t="s">
        <v>567</v>
      </c>
      <c r="BM403" s="477" t="str">
        <f t="shared" si="280"/>
        <v>No</v>
      </c>
      <c r="BN403" s="477" t="str">
        <f>IF(OR(Inventory!$H159="",$BM403="No"),"-",Inventory!$H159)</f>
        <v>-</v>
      </c>
      <c r="BO403" s="477" t="str">
        <f>IFERROR(VLOOKUP(BN403,'Early Retirement'!$B$6:$C$33,2,FALSE),"-")</f>
        <v>-</v>
      </c>
      <c r="BP403" s="477" t="str">
        <f>IF(Inventory!$J159="Centrifugal","Yes","No")</f>
        <v>No</v>
      </c>
      <c r="BQ403" s="477">
        <f t="shared" si="281"/>
        <v>0</v>
      </c>
      <c r="BR403" s="477" t="str">
        <f t="shared" si="299"/>
        <v>-</v>
      </c>
      <c r="BS403" s="479">
        <f>IFERROR(INDEX('Early Retirement'!$C$4:$AC$33,$BO403,$BR403),0)</f>
        <v>0</v>
      </c>
      <c r="BT403" s="477">
        <f>IFERROR(HLOOKUP($BR403,'Early Retirement'!$D$4:$AC$5,2,FALSE),0)</f>
        <v>0</v>
      </c>
      <c r="BU403" s="761">
        <f>IFERROR(INDEX('Early Retirement'!$AE$4:$BE$33,$BO403,$BR403),0)</f>
        <v>0</v>
      </c>
      <c r="BV403" s="759">
        <f>IFERROR(HLOOKUP($BR403,'Early Retirement'!$AF$4:$BE$5,2,FALSE),0)</f>
        <v>0</v>
      </c>
      <c r="BW403" s="479">
        <f t="shared" si="282"/>
        <v>0</v>
      </c>
      <c r="BX403" s="761">
        <f t="shared" si="290"/>
        <v>0</v>
      </c>
      <c r="BY403" s="477" t="s">
        <v>46</v>
      </c>
      <c r="BZ403" s="598">
        <f>IFERROR(INDEX('Early Retirement'!$BG$4:$CG$33,$BO403,$BR403),0)</f>
        <v>0</v>
      </c>
      <c r="CA403" s="759">
        <f>IFERROR(HLOOKUP($BR403,'Early Retirement'!$BH$4:$CH$5,2,FALSE),0)</f>
        <v>0</v>
      </c>
      <c r="CB403" s="598">
        <f t="shared" si="291"/>
        <v>0</v>
      </c>
      <c r="CC403" s="759" t="s">
        <v>567</v>
      </c>
      <c r="CD403" s="477" t="str">
        <f t="shared" si="283"/>
        <v>Yes</v>
      </c>
      <c r="CE403" s="479">
        <f t="shared" si="292"/>
        <v>0</v>
      </c>
      <c r="CF403" s="761">
        <f t="shared" si="293"/>
        <v>0</v>
      </c>
      <c r="CG403" s="759" t="s">
        <v>46</v>
      </c>
      <c r="CH403" s="598">
        <f t="shared" si="298"/>
        <v>0</v>
      </c>
      <c r="CI403" s="759" t="s">
        <v>567</v>
      </c>
      <c r="CJ403" s="480">
        <f t="shared" si="284"/>
        <v>0</v>
      </c>
      <c r="CK403" s="583">
        <f t="shared" si="294"/>
        <v>0</v>
      </c>
      <c r="CL403" s="596" t="s">
        <v>46</v>
      </c>
      <c r="CM403" s="581">
        <f t="shared" si="295"/>
        <v>0</v>
      </c>
      <c r="CN403" s="762" t="s">
        <v>567</v>
      </c>
      <c r="CW403" s="630"/>
      <c r="CX403" s="630"/>
      <c r="CY403" s="630"/>
      <c r="CZ403" s="630"/>
      <c r="DA403" s="630"/>
    </row>
    <row r="404" spans="2:105" s="78" customFormat="1" ht="15" customHeight="1" x14ac:dyDescent="0.25">
      <c r="B404" s="77"/>
      <c r="E404" s="77"/>
      <c r="H404" s="77"/>
      <c r="Y404" s="90">
        <v>151</v>
      </c>
      <c r="Z404" s="559" t="str">
        <f>IF(Inventory!$C160="","",VLOOKUP(Inventory!$C160,$B$7:$C$9,2,FALSE))</f>
        <v/>
      </c>
      <c r="AA404" s="559" t="str">
        <f>IF($Z404="","",IF(AND($Z404="b",Inventory!$G160=""),"",IF(AND($Z404="b",Inventory!$G160&lt;&gt;""),VLOOKUP(Inventory!$G160,$E$3:$F$10,2,FALSE),IF(AND($Z404="a",Inventory!$Z160=""),"",IF(AND($Z404="a",Inventory!$Z160&lt;&gt;""),VLOOKUP(Inventory!$Z160,$E$3:$F$10,2,FALSE),IF(AND($Z404="c",Inventory!$Z160=""),"",IF(AND($Z404="c",Inventory!$Z160&lt;&gt;""),VLOOKUP(Inventory!$Z160,$E$3:$F$10,2,FALSE),"")))))))</f>
        <v/>
      </c>
      <c r="AB404" s="559" t="str">
        <f>IF($Z404="","a",IF(AND($Z404="b",Inventory!$J160=""),"a",IF(AND($Z404="b",Inventory!$J160&lt;&gt;""),VLOOKUP(Inventory!$J160,$H$4:$I$6,2,FALSE),IF(AND($Z404="a",Inventory!$AA160=""),"a",IF(AND($Z404="a",Inventory!$AA160&lt;&gt;""),VLOOKUP(Inventory!$AA160,$H$4:$I$6,2,FALSE),IF(AND($Z404="c",Inventory!$AA160=""),"a",IF(AND($Z404="c",Inventory!$AA160&lt;&gt;""),VLOOKUP(Inventory!$AA160,$H$4:$I$6,2,FALSE),"a")))))))</f>
        <v>a</v>
      </c>
      <c r="AC404" s="559" t="str">
        <f t="shared" si="260"/>
        <v>a</v>
      </c>
      <c r="AD404" s="473" t="str">
        <f>IF($Z404="","a",IF(AND($Z404="b",Inventory!$L160=""),"a",IF(AND($Z404="b",Inventory!$L160&lt;&gt;""),VLOOKUP(Inventory!$L160,$N$4:$O$5,2,FALSE),IF(AND($Z404="a",Inventory!$AC160=""),"a",IF(AND($Z404="a",Inventory!$AC160&lt;&gt;""),VLOOKUP(Inventory!$AC160,$N$4:$O$5,2,FALSE),IF(AND($Z404="c",Inventory!$AC160=""),"a",IF(AND($Z404="c",Inventory!$AC160&lt;&gt;""),VLOOKUP(Inventory!$AC160,$N$4:$O$5,2,FALSE),"a")))))))</f>
        <v>a</v>
      </c>
      <c r="AE404" s="474">
        <f>IF(OR(Inventory!C160="New Construction",Inventory!C160="Replace-on-Burnout"),Inventory!AF160,IF(Inventory!C160="Early Retirement",MIN(Inventory!AE160,Inventory!AF160),0))</f>
        <v>0</v>
      </c>
      <c r="AF404" s="475" t="str">
        <f t="shared" si="261"/>
        <v/>
      </c>
      <c r="AG404" s="475" t="str">
        <f t="shared" si="262"/>
        <v/>
      </c>
      <c r="AH404" s="475" t="str">
        <f t="shared" si="263"/>
        <v/>
      </c>
      <c r="AI404" s="475" t="str">
        <f t="shared" si="264"/>
        <v/>
      </c>
      <c r="AJ404" s="475" t="str">
        <f t="shared" si="265"/>
        <v/>
      </c>
      <c r="AK404" s="475" t="str">
        <f t="shared" si="266"/>
        <v/>
      </c>
      <c r="AL404" s="475" t="str">
        <f t="shared" si="267"/>
        <v/>
      </c>
      <c r="AM404" s="475" t="str">
        <f t="shared" si="268"/>
        <v/>
      </c>
      <c r="AN404" s="475" t="str">
        <f t="shared" si="269"/>
        <v/>
      </c>
      <c r="AO404" s="475" t="str">
        <f t="shared" si="270"/>
        <v/>
      </c>
      <c r="AP404" s="475" t="str">
        <f t="shared" si="271"/>
        <v/>
      </c>
      <c r="AQ404" s="475" t="str">
        <f t="shared" si="272"/>
        <v/>
      </c>
      <c r="AR404" s="475" t="str">
        <f t="shared" si="273"/>
        <v/>
      </c>
      <c r="AS404" s="475" t="str">
        <f t="shared" si="296"/>
        <v/>
      </c>
      <c r="AT404" s="475" t="str">
        <f t="shared" si="274"/>
        <v/>
      </c>
      <c r="AU404" s="475" t="str">
        <f t="shared" si="275"/>
        <v/>
      </c>
      <c r="AV404" s="475" t="str">
        <f t="shared" si="276"/>
        <v/>
      </c>
      <c r="AW404" s="473">
        <f t="shared" si="277"/>
        <v>0</v>
      </c>
      <c r="AX404" s="473" t="str">
        <f>IF(AND($Z404="b",OR($AA404="a",$AA404="b"),Inventory!$I160="",$AE404&lt;(65000/12000)),"x",IF(AND($Z404="b",OR($AA404="a",$AA404="b"),Inventory!$I160&lt;&gt;"",$AE404&lt;(65000/12000)),VLOOKUP(Inventory!$I411,$V$4:$W$5,2,FALSE),"x"))</f>
        <v>x</v>
      </c>
      <c r="AY404" s="476" t="str">
        <f t="shared" si="278"/>
        <v>aaa0</v>
      </c>
      <c r="AZ404" s="477" t="str">
        <f t="shared" si="287"/>
        <v>No</v>
      </c>
      <c r="BA404" s="759" t="str">
        <f t="shared" si="288"/>
        <v>No</v>
      </c>
      <c r="BB404" s="477">
        <f>IF($Z404="c",Inventory!$AB160,Inventory!$K160)</f>
        <v>0</v>
      </c>
      <c r="BC404" s="478">
        <f>IF(AND($Z404="b",Inventory!$N160="Btu/hr"),Inventory!$M160,IF(AND($Z404="b",Inventory!$N160="Tons"),Inventory!$M160*12000,IF(AND($Z404&lt;&gt;"b",Inventory!$AK160="Btu/hr"),Inventory!$AD160,IF(AND($Z404&lt;&gt;"b",Inventory!$AK160="Tons"),Inventory!$AD160*12000,0))))</f>
        <v>0</v>
      </c>
      <c r="BD404" s="478">
        <f t="shared" si="285"/>
        <v>0</v>
      </c>
      <c r="BE404" s="479">
        <f t="shared" si="297"/>
        <v>0</v>
      </c>
      <c r="BF404" s="477" t="s">
        <v>50</v>
      </c>
      <c r="BG404" s="479">
        <f t="shared" si="279"/>
        <v>0</v>
      </c>
      <c r="BH404" s="477" t="s">
        <v>46</v>
      </c>
      <c r="BI404" s="760">
        <f>IF(AND($Z404="b",Inventory!$P160="Btu/hr"),Inventory!$O160,IF(AND($Z404="b",Inventory!$P160="Tons"),Inventory!$O160*12000,IF(AND($Z404&lt;&gt;"b",Inventory!$AM160="Btu/hr"),Inventory!$AL160,IF(AND($Z404&lt;&gt;"b",Inventory!$AM160="Tons"),Inventory!$AL160*12000,0))))</f>
        <v>0</v>
      </c>
      <c r="BJ404" s="760">
        <f t="shared" si="286"/>
        <v>0</v>
      </c>
      <c r="BK404" s="598">
        <f t="shared" si="289"/>
        <v>0</v>
      </c>
      <c r="BL404" s="759" t="s">
        <v>567</v>
      </c>
      <c r="BM404" s="477" t="str">
        <f t="shared" si="280"/>
        <v>No</v>
      </c>
      <c r="BN404" s="477" t="str">
        <f>IF(OR(Inventory!$H160="",$BM404="No"),"-",Inventory!$H160)</f>
        <v>-</v>
      </c>
      <c r="BO404" s="477" t="str">
        <f>IFERROR(VLOOKUP(BN404,'Early Retirement'!$B$6:$C$33,2,FALSE),"-")</f>
        <v>-</v>
      </c>
      <c r="BP404" s="477" t="str">
        <f>IF(Inventory!$J160="Centrifugal","Yes","No")</f>
        <v>No</v>
      </c>
      <c r="BQ404" s="477">
        <f t="shared" si="281"/>
        <v>0</v>
      </c>
      <c r="BR404" s="477" t="str">
        <f t="shared" si="299"/>
        <v>-</v>
      </c>
      <c r="BS404" s="479">
        <f>IFERROR(INDEX('Early Retirement'!$C$4:$AC$33,$BO404,$BR404),0)</f>
        <v>0</v>
      </c>
      <c r="BT404" s="477">
        <f>IFERROR(HLOOKUP($BR404,'Early Retirement'!$D$4:$AC$5,2,FALSE),0)</f>
        <v>0</v>
      </c>
      <c r="BU404" s="761">
        <f>IFERROR(INDEX('Early Retirement'!$AE$4:$BE$33,$BO404,$BR404),0)</f>
        <v>0</v>
      </c>
      <c r="BV404" s="759">
        <f>IFERROR(HLOOKUP($BR404,'Early Retirement'!$AF$4:$BE$5,2,FALSE),0)</f>
        <v>0</v>
      </c>
      <c r="BW404" s="479">
        <f t="shared" si="282"/>
        <v>0</v>
      </c>
      <c r="BX404" s="761">
        <f t="shared" si="290"/>
        <v>0</v>
      </c>
      <c r="BY404" s="477" t="s">
        <v>46</v>
      </c>
      <c r="BZ404" s="598">
        <f>IFERROR(INDEX('Early Retirement'!$BG$4:$CG$33,$BO404,$BR404),0)</f>
        <v>0</v>
      </c>
      <c r="CA404" s="759">
        <f>IFERROR(HLOOKUP($BR404,'Early Retirement'!$BH$4:$CH$5,2,FALSE),0)</f>
        <v>0</v>
      </c>
      <c r="CB404" s="598">
        <f t="shared" si="291"/>
        <v>0</v>
      </c>
      <c r="CC404" s="759" t="s">
        <v>567</v>
      </c>
      <c r="CD404" s="477" t="str">
        <f t="shared" si="283"/>
        <v>Yes</v>
      </c>
      <c r="CE404" s="479">
        <f t="shared" si="292"/>
        <v>0</v>
      </c>
      <c r="CF404" s="761">
        <f t="shared" si="293"/>
        <v>0</v>
      </c>
      <c r="CG404" s="759" t="s">
        <v>46</v>
      </c>
      <c r="CH404" s="598">
        <f t="shared" si="298"/>
        <v>0</v>
      </c>
      <c r="CI404" s="759" t="s">
        <v>567</v>
      </c>
      <c r="CJ404" s="480">
        <f t="shared" si="284"/>
        <v>0</v>
      </c>
      <c r="CK404" s="583">
        <f t="shared" si="294"/>
        <v>0</v>
      </c>
      <c r="CL404" s="596" t="s">
        <v>46</v>
      </c>
      <c r="CM404" s="581">
        <f t="shared" si="295"/>
        <v>0</v>
      </c>
      <c r="CN404" s="762" t="s">
        <v>567</v>
      </c>
      <c r="CW404" s="630"/>
      <c r="CX404" s="630"/>
      <c r="CY404" s="630"/>
      <c r="CZ404" s="630"/>
      <c r="DA404" s="630"/>
    </row>
    <row r="405" spans="2:105" s="78" customFormat="1" ht="15" customHeight="1" x14ac:dyDescent="0.25">
      <c r="B405" s="77"/>
      <c r="E405" s="77"/>
      <c r="H405" s="77"/>
      <c r="Y405" s="90">
        <v>152</v>
      </c>
      <c r="Z405" s="559" t="str">
        <f>IF(Inventory!$C161="","",VLOOKUP(Inventory!$C161,$B$7:$C$9,2,FALSE))</f>
        <v/>
      </c>
      <c r="AA405" s="559" t="str">
        <f>IF($Z405="","",IF(AND($Z405="b",Inventory!$G161=""),"",IF(AND($Z405="b",Inventory!$G161&lt;&gt;""),VLOOKUP(Inventory!$G161,$E$3:$F$10,2,FALSE),IF(AND($Z405="a",Inventory!$Z161=""),"",IF(AND($Z405="a",Inventory!$Z161&lt;&gt;""),VLOOKUP(Inventory!$Z161,$E$3:$F$10,2,FALSE),IF(AND($Z405="c",Inventory!$Z161=""),"",IF(AND($Z405="c",Inventory!$Z161&lt;&gt;""),VLOOKUP(Inventory!$Z161,$E$3:$F$10,2,FALSE),"")))))))</f>
        <v/>
      </c>
      <c r="AB405" s="559" t="str">
        <f>IF($Z405="","a",IF(AND($Z405="b",Inventory!$J161=""),"a",IF(AND($Z405="b",Inventory!$J161&lt;&gt;""),VLOOKUP(Inventory!$J161,$H$4:$I$6,2,FALSE),IF(AND($Z405="a",Inventory!$AA161=""),"a",IF(AND($Z405="a",Inventory!$AA161&lt;&gt;""),VLOOKUP(Inventory!$AA161,$H$4:$I$6,2,FALSE),IF(AND($Z405="c",Inventory!$AA161=""),"a",IF(AND($Z405="c",Inventory!$AA161&lt;&gt;""),VLOOKUP(Inventory!$AA161,$H$4:$I$6,2,FALSE),"a")))))))</f>
        <v>a</v>
      </c>
      <c r="AC405" s="559" t="str">
        <f t="shared" si="260"/>
        <v>a</v>
      </c>
      <c r="AD405" s="473" t="str">
        <f>IF($Z405="","a",IF(AND($Z405="b",Inventory!$L161=""),"a",IF(AND($Z405="b",Inventory!$L161&lt;&gt;""),VLOOKUP(Inventory!$L161,$N$4:$O$5,2,FALSE),IF(AND($Z405="a",Inventory!$AC161=""),"a",IF(AND($Z405="a",Inventory!$AC161&lt;&gt;""),VLOOKUP(Inventory!$AC161,$N$4:$O$5,2,FALSE),IF(AND($Z405="c",Inventory!$AC161=""),"a",IF(AND($Z405="c",Inventory!$AC161&lt;&gt;""),VLOOKUP(Inventory!$AC161,$N$4:$O$5,2,FALSE),"a")))))))</f>
        <v>a</v>
      </c>
      <c r="AE405" s="474">
        <f>IF(OR(Inventory!C161="New Construction",Inventory!C161="Replace-on-Burnout"),Inventory!AF161,IF(Inventory!C161="Early Retirement",MIN(Inventory!AE161,Inventory!AF161),0))</f>
        <v>0</v>
      </c>
      <c r="AF405" s="475" t="str">
        <f t="shared" si="261"/>
        <v/>
      </c>
      <c r="AG405" s="475" t="str">
        <f t="shared" si="262"/>
        <v/>
      </c>
      <c r="AH405" s="475" t="str">
        <f t="shared" si="263"/>
        <v/>
      </c>
      <c r="AI405" s="475" t="str">
        <f t="shared" si="264"/>
        <v/>
      </c>
      <c r="AJ405" s="475" t="str">
        <f t="shared" si="265"/>
        <v/>
      </c>
      <c r="AK405" s="475" t="str">
        <f t="shared" si="266"/>
        <v/>
      </c>
      <c r="AL405" s="475" t="str">
        <f t="shared" si="267"/>
        <v/>
      </c>
      <c r="AM405" s="475" t="str">
        <f t="shared" si="268"/>
        <v/>
      </c>
      <c r="AN405" s="475" t="str">
        <f t="shared" si="269"/>
        <v/>
      </c>
      <c r="AO405" s="475" t="str">
        <f t="shared" si="270"/>
        <v/>
      </c>
      <c r="AP405" s="475" t="str">
        <f t="shared" si="271"/>
        <v/>
      </c>
      <c r="AQ405" s="475" t="str">
        <f t="shared" si="272"/>
        <v/>
      </c>
      <c r="AR405" s="475" t="str">
        <f t="shared" si="273"/>
        <v/>
      </c>
      <c r="AS405" s="475" t="str">
        <f t="shared" si="296"/>
        <v/>
      </c>
      <c r="AT405" s="475" t="str">
        <f t="shared" si="274"/>
        <v/>
      </c>
      <c r="AU405" s="475" t="str">
        <f t="shared" si="275"/>
        <v/>
      </c>
      <c r="AV405" s="475" t="str">
        <f t="shared" si="276"/>
        <v/>
      </c>
      <c r="AW405" s="473">
        <f t="shared" si="277"/>
        <v>0</v>
      </c>
      <c r="AX405" s="473" t="str">
        <f>IF(AND($Z405="b",OR($AA405="a",$AA405="b"),Inventory!$I161="",$AE405&lt;(65000/12000)),"x",IF(AND($Z405="b",OR($AA405="a",$AA405="b"),Inventory!$I161&lt;&gt;"",$AE405&lt;(65000/12000)),VLOOKUP(Inventory!$I412,$V$4:$W$5,2,FALSE),"x"))</f>
        <v>x</v>
      </c>
      <c r="AY405" s="476" t="str">
        <f t="shared" si="278"/>
        <v>aaa0</v>
      </c>
      <c r="AZ405" s="477" t="str">
        <f t="shared" si="287"/>
        <v>No</v>
      </c>
      <c r="BA405" s="759" t="str">
        <f t="shared" si="288"/>
        <v>No</v>
      </c>
      <c r="BB405" s="477">
        <f>IF($Z405="c",Inventory!$AB161,Inventory!$K161)</f>
        <v>0</v>
      </c>
      <c r="BC405" s="478">
        <f>IF(AND($Z405="b",Inventory!$N161="Btu/hr"),Inventory!$M161,IF(AND($Z405="b",Inventory!$N161="Tons"),Inventory!$M161*12000,IF(AND($Z405&lt;&gt;"b",Inventory!$AK161="Btu/hr"),Inventory!$AD161,IF(AND($Z405&lt;&gt;"b",Inventory!$AK161="Tons"),Inventory!$AD161*12000,0))))</f>
        <v>0</v>
      </c>
      <c r="BD405" s="478">
        <f t="shared" si="285"/>
        <v>0</v>
      </c>
      <c r="BE405" s="479">
        <f t="shared" si="297"/>
        <v>0</v>
      </c>
      <c r="BF405" s="477" t="s">
        <v>50</v>
      </c>
      <c r="BG405" s="479">
        <f t="shared" si="279"/>
        <v>0</v>
      </c>
      <c r="BH405" s="477" t="s">
        <v>46</v>
      </c>
      <c r="BI405" s="760">
        <f>IF(AND($Z405="b",Inventory!$P161="Btu/hr"),Inventory!$O161,IF(AND($Z405="b",Inventory!$P161="Tons"),Inventory!$O161*12000,IF(AND($Z405&lt;&gt;"b",Inventory!$AM161="Btu/hr"),Inventory!$AL161,IF(AND($Z405&lt;&gt;"b",Inventory!$AM161="Tons"),Inventory!$AL161*12000,0))))</f>
        <v>0</v>
      </c>
      <c r="BJ405" s="760">
        <f t="shared" si="286"/>
        <v>0</v>
      </c>
      <c r="BK405" s="598">
        <f t="shared" si="289"/>
        <v>0</v>
      </c>
      <c r="BL405" s="759" t="s">
        <v>567</v>
      </c>
      <c r="BM405" s="477" t="str">
        <f t="shared" si="280"/>
        <v>No</v>
      </c>
      <c r="BN405" s="477" t="str">
        <f>IF(OR(Inventory!$H161="",$BM405="No"),"-",Inventory!$H161)</f>
        <v>-</v>
      </c>
      <c r="BO405" s="477" t="str">
        <f>IFERROR(VLOOKUP(BN405,'Early Retirement'!$B$6:$C$33,2,FALSE),"-")</f>
        <v>-</v>
      </c>
      <c r="BP405" s="477" t="str">
        <f>IF(Inventory!$J161="Centrifugal","Yes","No")</f>
        <v>No</v>
      </c>
      <c r="BQ405" s="477">
        <f t="shared" si="281"/>
        <v>0</v>
      </c>
      <c r="BR405" s="477" t="str">
        <f t="shared" si="299"/>
        <v>-</v>
      </c>
      <c r="BS405" s="479">
        <f>IFERROR(INDEX('Early Retirement'!$C$4:$AC$33,$BO405,$BR405),0)</f>
        <v>0</v>
      </c>
      <c r="BT405" s="477">
        <f>IFERROR(HLOOKUP($BR405,'Early Retirement'!$D$4:$AC$5,2,FALSE),0)</f>
        <v>0</v>
      </c>
      <c r="BU405" s="761">
        <f>IFERROR(INDEX('Early Retirement'!$AE$4:$BE$33,$BO405,$BR405),0)</f>
        <v>0</v>
      </c>
      <c r="BV405" s="759">
        <f>IFERROR(HLOOKUP($BR405,'Early Retirement'!$AF$4:$BE$5,2,FALSE),0)</f>
        <v>0</v>
      </c>
      <c r="BW405" s="479">
        <f t="shared" si="282"/>
        <v>0</v>
      </c>
      <c r="BX405" s="761">
        <f t="shared" si="290"/>
        <v>0</v>
      </c>
      <c r="BY405" s="477" t="s">
        <v>46</v>
      </c>
      <c r="BZ405" s="598">
        <f>IFERROR(INDEX('Early Retirement'!$BG$4:$CG$33,$BO405,$BR405),0)</f>
        <v>0</v>
      </c>
      <c r="CA405" s="759">
        <f>IFERROR(HLOOKUP($BR405,'Early Retirement'!$BH$4:$CH$5,2,FALSE),0)</f>
        <v>0</v>
      </c>
      <c r="CB405" s="598">
        <f t="shared" si="291"/>
        <v>0</v>
      </c>
      <c r="CC405" s="759" t="s">
        <v>567</v>
      </c>
      <c r="CD405" s="477" t="str">
        <f t="shared" si="283"/>
        <v>Yes</v>
      </c>
      <c r="CE405" s="479">
        <f t="shared" si="292"/>
        <v>0</v>
      </c>
      <c r="CF405" s="761">
        <f t="shared" si="293"/>
        <v>0</v>
      </c>
      <c r="CG405" s="759" t="s">
        <v>46</v>
      </c>
      <c r="CH405" s="598">
        <f t="shared" si="298"/>
        <v>0</v>
      </c>
      <c r="CI405" s="759" t="s">
        <v>567</v>
      </c>
      <c r="CJ405" s="480">
        <f t="shared" si="284"/>
        <v>0</v>
      </c>
      <c r="CK405" s="583">
        <f t="shared" si="294"/>
        <v>0</v>
      </c>
      <c r="CL405" s="596" t="s">
        <v>46</v>
      </c>
      <c r="CM405" s="581">
        <f t="shared" si="295"/>
        <v>0</v>
      </c>
      <c r="CN405" s="762" t="s">
        <v>567</v>
      </c>
      <c r="CW405" s="630"/>
      <c r="CX405" s="630"/>
      <c r="CY405" s="630"/>
      <c r="CZ405" s="630"/>
      <c r="DA405" s="630"/>
    </row>
    <row r="406" spans="2:105" s="78" customFormat="1" ht="15" customHeight="1" x14ac:dyDescent="0.25">
      <c r="B406" s="77"/>
      <c r="E406" s="77"/>
      <c r="H406" s="77"/>
      <c r="Y406" s="90">
        <v>153</v>
      </c>
      <c r="Z406" s="559" t="str">
        <f>IF(Inventory!$C162="","",VLOOKUP(Inventory!$C162,$B$7:$C$9,2,FALSE))</f>
        <v/>
      </c>
      <c r="AA406" s="559" t="str">
        <f>IF($Z406="","",IF(AND($Z406="b",Inventory!$G162=""),"",IF(AND($Z406="b",Inventory!$G162&lt;&gt;""),VLOOKUP(Inventory!$G162,$E$3:$F$10,2,FALSE),IF(AND($Z406="a",Inventory!$Z162=""),"",IF(AND($Z406="a",Inventory!$Z162&lt;&gt;""),VLOOKUP(Inventory!$Z162,$E$3:$F$10,2,FALSE),IF(AND($Z406="c",Inventory!$Z162=""),"",IF(AND($Z406="c",Inventory!$Z162&lt;&gt;""),VLOOKUP(Inventory!$Z162,$E$3:$F$10,2,FALSE),"")))))))</f>
        <v/>
      </c>
      <c r="AB406" s="559" t="str">
        <f>IF($Z406="","a",IF(AND($Z406="b",Inventory!$J162=""),"a",IF(AND($Z406="b",Inventory!$J162&lt;&gt;""),VLOOKUP(Inventory!$J162,$H$4:$I$6,2,FALSE),IF(AND($Z406="a",Inventory!$AA162=""),"a",IF(AND($Z406="a",Inventory!$AA162&lt;&gt;""),VLOOKUP(Inventory!$AA162,$H$4:$I$6,2,FALSE),IF(AND($Z406="c",Inventory!$AA162=""),"a",IF(AND($Z406="c",Inventory!$AA162&lt;&gt;""),VLOOKUP(Inventory!$AA162,$H$4:$I$6,2,FALSE),"a")))))))</f>
        <v>a</v>
      </c>
      <c r="AC406" s="559" t="str">
        <f t="shared" si="260"/>
        <v>a</v>
      </c>
      <c r="AD406" s="473" t="str">
        <f>IF($Z406="","a",IF(AND($Z406="b",Inventory!$L162=""),"a",IF(AND($Z406="b",Inventory!$L162&lt;&gt;""),VLOOKUP(Inventory!$L162,$N$4:$O$5,2,FALSE),IF(AND($Z406="a",Inventory!$AC162=""),"a",IF(AND($Z406="a",Inventory!$AC162&lt;&gt;""),VLOOKUP(Inventory!$AC162,$N$4:$O$5,2,FALSE),IF(AND($Z406="c",Inventory!$AC162=""),"a",IF(AND($Z406="c",Inventory!$AC162&lt;&gt;""),VLOOKUP(Inventory!$AC162,$N$4:$O$5,2,FALSE),"a")))))))</f>
        <v>a</v>
      </c>
      <c r="AE406" s="474">
        <f>IF(OR(Inventory!C162="New Construction",Inventory!C162="Replace-on-Burnout"),Inventory!AF162,IF(Inventory!C162="Early Retirement",MIN(Inventory!AE162,Inventory!AF162),0))</f>
        <v>0</v>
      </c>
      <c r="AF406" s="475" t="str">
        <f t="shared" si="261"/>
        <v/>
      </c>
      <c r="AG406" s="475" t="str">
        <f t="shared" si="262"/>
        <v/>
      </c>
      <c r="AH406" s="475" t="str">
        <f t="shared" si="263"/>
        <v/>
      </c>
      <c r="AI406" s="475" t="str">
        <f t="shared" si="264"/>
        <v/>
      </c>
      <c r="AJ406" s="475" t="str">
        <f t="shared" si="265"/>
        <v/>
      </c>
      <c r="AK406" s="475" t="str">
        <f t="shared" si="266"/>
        <v/>
      </c>
      <c r="AL406" s="475" t="str">
        <f t="shared" si="267"/>
        <v/>
      </c>
      <c r="AM406" s="475" t="str">
        <f t="shared" si="268"/>
        <v/>
      </c>
      <c r="AN406" s="475" t="str">
        <f t="shared" si="269"/>
        <v/>
      </c>
      <c r="AO406" s="475" t="str">
        <f t="shared" si="270"/>
        <v/>
      </c>
      <c r="AP406" s="475" t="str">
        <f t="shared" si="271"/>
        <v/>
      </c>
      <c r="AQ406" s="475" t="str">
        <f t="shared" si="272"/>
        <v/>
      </c>
      <c r="AR406" s="475" t="str">
        <f t="shared" si="273"/>
        <v/>
      </c>
      <c r="AS406" s="475" t="str">
        <f t="shared" si="296"/>
        <v/>
      </c>
      <c r="AT406" s="475" t="str">
        <f t="shared" si="274"/>
        <v/>
      </c>
      <c r="AU406" s="475" t="str">
        <f t="shared" si="275"/>
        <v/>
      </c>
      <c r="AV406" s="475" t="str">
        <f t="shared" si="276"/>
        <v/>
      </c>
      <c r="AW406" s="473">
        <f t="shared" si="277"/>
        <v>0</v>
      </c>
      <c r="AX406" s="473" t="str">
        <f>IF(AND($Z406="b",OR($AA406="a",$AA406="b"),Inventory!$I162="",$AE406&lt;(65000/12000)),"x",IF(AND($Z406="b",OR($AA406="a",$AA406="b"),Inventory!$I162&lt;&gt;"",$AE406&lt;(65000/12000)),VLOOKUP(Inventory!$I413,$V$4:$W$5,2,FALSE),"x"))</f>
        <v>x</v>
      </c>
      <c r="AY406" s="476" t="str">
        <f t="shared" si="278"/>
        <v>aaa0</v>
      </c>
      <c r="AZ406" s="477" t="str">
        <f t="shared" si="287"/>
        <v>No</v>
      </c>
      <c r="BA406" s="759" t="str">
        <f t="shared" si="288"/>
        <v>No</v>
      </c>
      <c r="BB406" s="477">
        <f>IF($Z406="c",Inventory!$AB162,Inventory!$K162)</f>
        <v>0</v>
      </c>
      <c r="BC406" s="478">
        <f>IF(AND($Z406="b",Inventory!$N162="Btu/hr"),Inventory!$M162,IF(AND($Z406="b",Inventory!$N162="Tons"),Inventory!$M162*12000,IF(AND($Z406&lt;&gt;"b",Inventory!$AK162="Btu/hr"),Inventory!$AD162,IF(AND($Z406&lt;&gt;"b",Inventory!$AK162="Tons"),Inventory!$AD162*12000,0))))</f>
        <v>0</v>
      </c>
      <c r="BD406" s="478">
        <f t="shared" si="285"/>
        <v>0</v>
      </c>
      <c r="BE406" s="479">
        <f t="shared" si="297"/>
        <v>0</v>
      </c>
      <c r="BF406" s="477" t="s">
        <v>50</v>
      </c>
      <c r="BG406" s="479">
        <f t="shared" si="279"/>
        <v>0</v>
      </c>
      <c r="BH406" s="477" t="s">
        <v>46</v>
      </c>
      <c r="BI406" s="760">
        <f>IF(AND($Z406="b",Inventory!$P162="Btu/hr"),Inventory!$O162,IF(AND($Z406="b",Inventory!$P162="Tons"),Inventory!$O162*12000,IF(AND($Z406&lt;&gt;"b",Inventory!$AM162="Btu/hr"),Inventory!$AL162,IF(AND($Z406&lt;&gt;"b",Inventory!$AM162="Tons"),Inventory!$AL162*12000,0))))</f>
        <v>0</v>
      </c>
      <c r="BJ406" s="760">
        <f t="shared" si="286"/>
        <v>0</v>
      </c>
      <c r="BK406" s="598">
        <f t="shared" si="289"/>
        <v>0</v>
      </c>
      <c r="BL406" s="759" t="s">
        <v>567</v>
      </c>
      <c r="BM406" s="477" t="str">
        <f t="shared" si="280"/>
        <v>No</v>
      </c>
      <c r="BN406" s="477" t="str">
        <f>IF(OR(Inventory!$H162="",$BM406="No"),"-",Inventory!$H162)</f>
        <v>-</v>
      </c>
      <c r="BO406" s="477" t="str">
        <f>IFERROR(VLOOKUP(BN406,'Early Retirement'!$B$6:$C$33,2,FALSE),"-")</f>
        <v>-</v>
      </c>
      <c r="BP406" s="477" t="str">
        <f>IF(Inventory!$J162="Centrifugal","Yes","No")</f>
        <v>No</v>
      </c>
      <c r="BQ406" s="477">
        <f t="shared" si="281"/>
        <v>0</v>
      </c>
      <c r="BR406" s="477" t="str">
        <f t="shared" si="299"/>
        <v>-</v>
      </c>
      <c r="BS406" s="479">
        <f>IFERROR(INDEX('Early Retirement'!$C$4:$AC$33,$BO406,$BR406),0)</f>
        <v>0</v>
      </c>
      <c r="BT406" s="477">
        <f>IFERROR(HLOOKUP($BR406,'Early Retirement'!$D$4:$AC$5,2,FALSE),0)</f>
        <v>0</v>
      </c>
      <c r="BU406" s="761">
        <f>IFERROR(INDEX('Early Retirement'!$AE$4:$BE$33,$BO406,$BR406),0)</f>
        <v>0</v>
      </c>
      <c r="BV406" s="759">
        <f>IFERROR(HLOOKUP($BR406,'Early Retirement'!$AF$4:$BE$5,2,FALSE),0)</f>
        <v>0</v>
      </c>
      <c r="BW406" s="479">
        <f t="shared" si="282"/>
        <v>0</v>
      </c>
      <c r="BX406" s="761">
        <f t="shared" si="290"/>
        <v>0</v>
      </c>
      <c r="BY406" s="477" t="s">
        <v>46</v>
      </c>
      <c r="BZ406" s="598">
        <f>IFERROR(INDEX('Early Retirement'!$BG$4:$CG$33,$BO406,$BR406),0)</f>
        <v>0</v>
      </c>
      <c r="CA406" s="759">
        <f>IFERROR(HLOOKUP($BR406,'Early Retirement'!$BH$4:$CH$5,2,FALSE),0)</f>
        <v>0</v>
      </c>
      <c r="CB406" s="598">
        <f t="shared" si="291"/>
        <v>0</v>
      </c>
      <c r="CC406" s="759" t="s">
        <v>567</v>
      </c>
      <c r="CD406" s="477" t="str">
        <f t="shared" si="283"/>
        <v>Yes</v>
      </c>
      <c r="CE406" s="479">
        <f t="shared" si="292"/>
        <v>0</v>
      </c>
      <c r="CF406" s="761">
        <f t="shared" si="293"/>
        <v>0</v>
      </c>
      <c r="CG406" s="759" t="s">
        <v>46</v>
      </c>
      <c r="CH406" s="598">
        <f t="shared" si="298"/>
        <v>0</v>
      </c>
      <c r="CI406" s="759" t="s">
        <v>567</v>
      </c>
      <c r="CJ406" s="480">
        <f t="shared" si="284"/>
        <v>0</v>
      </c>
      <c r="CK406" s="583">
        <f t="shared" si="294"/>
        <v>0</v>
      </c>
      <c r="CL406" s="596" t="s">
        <v>46</v>
      </c>
      <c r="CM406" s="581">
        <f t="shared" si="295"/>
        <v>0</v>
      </c>
      <c r="CN406" s="762" t="s">
        <v>567</v>
      </c>
      <c r="CW406" s="630"/>
      <c r="CX406" s="630"/>
      <c r="CY406" s="630"/>
      <c r="CZ406" s="630"/>
      <c r="DA406" s="630"/>
    </row>
    <row r="407" spans="2:105" s="78" customFormat="1" ht="15" customHeight="1" x14ac:dyDescent="0.25">
      <c r="B407" s="77"/>
      <c r="E407" s="77"/>
      <c r="H407" s="77"/>
      <c r="Y407" s="90">
        <v>154</v>
      </c>
      <c r="Z407" s="559" t="str">
        <f>IF(Inventory!$C163="","",VLOOKUP(Inventory!$C163,$B$7:$C$9,2,FALSE))</f>
        <v/>
      </c>
      <c r="AA407" s="559" t="str">
        <f>IF($Z407="","",IF(AND($Z407="b",Inventory!$G163=""),"",IF(AND($Z407="b",Inventory!$G163&lt;&gt;""),VLOOKUP(Inventory!$G163,$E$3:$F$10,2,FALSE),IF(AND($Z407="a",Inventory!$Z163=""),"",IF(AND($Z407="a",Inventory!$Z163&lt;&gt;""),VLOOKUP(Inventory!$Z163,$E$3:$F$10,2,FALSE),IF(AND($Z407="c",Inventory!$Z163=""),"",IF(AND($Z407="c",Inventory!$Z163&lt;&gt;""),VLOOKUP(Inventory!$Z163,$E$3:$F$10,2,FALSE),"")))))))</f>
        <v/>
      </c>
      <c r="AB407" s="559" t="str">
        <f>IF($Z407="","a",IF(AND($Z407="b",Inventory!$J163=""),"a",IF(AND($Z407="b",Inventory!$J163&lt;&gt;""),VLOOKUP(Inventory!$J163,$H$4:$I$6,2,FALSE),IF(AND($Z407="a",Inventory!$AA163=""),"a",IF(AND($Z407="a",Inventory!$AA163&lt;&gt;""),VLOOKUP(Inventory!$AA163,$H$4:$I$6,2,FALSE),IF(AND($Z407="c",Inventory!$AA163=""),"a",IF(AND($Z407="c",Inventory!$AA163&lt;&gt;""),VLOOKUP(Inventory!$AA163,$H$4:$I$6,2,FALSE),"a")))))))</f>
        <v>a</v>
      </c>
      <c r="AC407" s="559" t="str">
        <f t="shared" si="260"/>
        <v>a</v>
      </c>
      <c r="AD407" s="473" t="str">
        <f>IF($Z407="","a",IF(AND($Z407="b",Inventory!$L163=""),"a",IF(AND($Z407="b",Inventory!$L163&lt;&gt;""),VLOOKUP(Inventory!$L163,$N$4:$O$5,2,FALSE),IF(AND($Z407="a",Inventory!$AC163=""),"a",IF(AND($Z407="a",Inventory!$AC163&lt;&gt;""),VLOOKUP(Inventory!$AC163,$N$4:$O$5,2,FALSE),IF(AND($Z407="c",Inventory!$AC163=""),"a",IF(AND($Z407="c",Inventory!$AC163&lt;&gt;""),VLOOKUP(Inventory!$AC163,$N$4:$O$5,2,FALSE),"a")))))))</f>
        <v>a</v>
      </c>
      <c r="AE407" s="474">
        <f>IF(OR(Inventory!C163="New Construction",Inventory!C163="Replace-on-Burnout"),Inventory!AF163,IF(Inventory!C163="Early Retirement",MIN(Inventory!AE163,Inventory!AF163),0))</f>
        <v>0</v>
      </c>
      <c r="AF407" s="475" t="str">
        <f t="shared" si="261"/>
        <v/>
      </c>
      <c r="AG407" s="475" t="str">
        <f t="shared" si="262"/>
        <v/>
      </c>
      <c r="AH407" s="475" t="str">
        <f t="shared" si="263"/>
        <v/>
      </c>
      <c r="AI407" s="475" t="str">
        <f t="shared" si="264"/>
        <v/>
      </c>
      <c r="AJ407" s="475" t="str">
        <f t="shared" si="265"/>
        <v/>
      </c>
      <c r="AK407" s="475" t="str">
        <f t="shared" si="266"/>
        <v/>
      </c>
      <c r="AL407" s="475" t="str">
        <f t="shared" si="267"/>
        <v/>
      </c>
      <c r="AM407" s="475" t="str">
        <f t="shared" si="268"/>
        <v/>
      </c>
      <c r="AN407" s="475" t="str">
        <f t="shared" si="269"/>
        <v/>
      </c>
      <c r="AO407" s="475" t="str">
        <f t="shared" si="270"/>
        <v/>
      </c>
      <c r="AP407" s="475" t="str">
        <f t="shared" si="271"/>
        <v/>
      </c>
      <c r="AQ407" s="475" t="str">
        <f t="shared" si="272"/>
        <v/>
      </c>
      <c r="AR407" s="475" t="str">
        <f t="shared" si="273"/>
        <v/>
      </c>
      <c r="AS407" s="475" t="str">
        <f t="shared" si="296"/>
        <v/>
      </c>
      <c r="AT407" s="475" t="str">
        <f t="shared" si="274"/>
        <v/>
      </c>
      <c r="AU407" s="475" t="str">
        <f t="shared" si="275"/>
        <v/>
      </c>
      <c r="AV407" s="475" t="str">
        <f t="shared" si="276"/>
        <v/>
      </c>
      <c r="AW407" s="473">
        <f t="shared" si="277"/>
        <v>0</v>
      </c>
      <c r="AX407" s="473" t="str">
        <f>IF(AND($Z407="b",OR($AA407="a",$AA407="b"),Inventory!$I163="",$AE407&lt;(65000/12000)),"x",IF(AND($Z407="b",OR($AA407="a",$AA407="b"),Inventory!$I163&lt;&gt;"",$AE407&lt;(65000/12000)),VLOOKUP(Inventory!$I414,$V$4:$W$5,2,FALSE),"x"))</f>
        <v>x</v>
      </c>
      <c r="AY407" s="476" t="str">
        <f t="shared" si="278"/>
        <v>aaa0</v>
      </c>
      <c r="AZ407" s="477" t="str">
        <f t="shared" si="287"/>
        <v>No</v>
      </c>
      <c r="BA407" s="759" t="str">
        <f t="shared" si="288"/>
        <v>No</v>
      </c>
      <c r="BB407" s="477">
        <f>IF($Z407="c",Inventory!$AB163,Inventory!$K163)</f>
        <v>0</v>
      </c>
      <c r="BC407" s="478">
        <f>IF(AND($Z407="b",Inventory!$N163="Btu/hr"),Inventory!$M163,IF(AND($Z407="b",Inventory!$N163="Tons"),Inventory!$M163*12000,IF(AND($Z407&lt;&gt;"b",Inventory!$AK163="Btu/hr"),Inventory!$AD163,IF(AND($Z407&lt;&gt;"b",Inventory!$AK163="Tons"),Inventory!$AD163*12000,0))))</f>
        <v>0</v>
      </c>
      <c r="BD407" s="478">
        <f t="shared" si="285"/>
        <v>0</v>
      </c>
      <c r="BE407" s="479">
        <f t="shared" si="297"/>
        <v>0</v>
      </c>
      <c r="BF407" s="477" t="s">
        <v>50</v>
      </c>
      <c r="BG407" s="479">
        <f t="shared" si="279"/>
        <v>0</v>
      </c>
      <c r="BH407" s="477" t="s">
        <v>46</v>
      </c>
      <c r="BI407" s="760">
        <f>IF(AND($Z407="b",Inventory!$P163="Btu/hr"),Inventory!$O163,IF(AND($Z407="b",Inventory!$P163="Tons"),Inventory!$O163*12000,IF(AND($Z407&lt;&gt;"b",Inventory!$AM163="Btu/hr"),Inventory!$AL163,IF(AND($Z407&lt;&gt;"b",Inventory!$AM163="Tons"),Inventory!$AL163*12000,0))))</f>
        <v>0</v>
      </c>
      <c r="BJ407" s="760">
        <f t="shared" si="286"/>
        <v>0</v>
      </c>
      <c r="BK407" s="598">
        <f t="shared" si="289"/>
        <v>0</v>
      </c>
      <c r="BL407" s="759" t="s">
        <v>567</v>
      </c>
      <c r="BM407" s="477" t="str">
        <f t="shared" si="280"/>
        <v>No</v>
      </c>
      <c r="BN407" s="477" t="str">
        <f>IF(OR(Inventory!$H163="",$BM407="No"),"-",Inventory!$H163)</f>
        <v>-</v>
      </c>
      <c r="BO407" s="477" t="str">
        <f>IFERROR(VLOOKUP(BN407,'Early Retirement'!$B$6:$C$33,2,FALSE),"-")</f>
        <v>-</v>
      </c>
      <c r="BP407" s="477" t="str">
        <f>IF(Inventory!$J163="Centrifugal","Yes","No")</f>
        <v>No</v>
      </c>
      <c r="BQ407" s="477">
        <f t="shared" si="281"/>
        <v>0</v>
      </c>
      <c r="BR407" s="477" t="str">
        <f t="shared" si="299"/>
        <v>-</v>
      </c>
      <c r="BS407" s="479">
        <f>IFERROR(INDEX('Early Retirement'!$C$4:$AC$33,$BO407,$BR407),0)</f>
        <v>0</v>
      </c>
      <c r="BT407" s="477">
        <f>IFERROR(HLOOKUP($BR407,'Early Retirement'!$D$4:$AC$5,2,FALSE),0)</f>
        <v>0</v>
      </c>
      <c r="BU407" s="761">
        <f>IFERROR(INDEX('Early Retirement'!$AE$4:$BE$33,$BO407,$BR407),0)</f>
        <v>0</v>
      </c>
      <c r="BV407" s="759">
        <f>IFERROR(HLOOKUP($BR407,'Early Retirement'!$AF$4:$BE$5,2,FALSE),0)</f>
        <v>0</v>
      </c>
      <c r="BW407" s="479">
        <f t="shared" si="282"/>
        <v>0</v>
      </c>
      <c r="BX407" s="761">
        <f t="shared" si="290"/>
        <v>0</v>
      </c>
      <c r="BY407" s="477" t="s">
        <v>46</v>
      </c>
      <c r="BZ407" s="598">
        <f>IFERROR(INDEX('Early Retirement'!$BG$4:$CG$33,$BO407,$BR407),0)</f>
        <v>0</v>
      </c>
      <c r="CA407" s="759">
        <f>IFERROR(HLOOKUP($BR407,'Early Retirement'!$BH$4:$CH$5,2,FALSE),0)</f>
        <v>0</v>
      </c>
      <c r="CB407" s="598">
        <f t="shared" si="291"/>
        <v>0</v>
      </c>
      <c r="CC407" s="759" t="s">
        <v>567</v>
      </c>
      <c r="CD407" s="477" t="str">
        <f t="shared" si="283"/>
        <v>Yes</v>
      </c>
      <c r="CE407" s="479">
        <f t="shared" si="292"/>
        <v>0</v>
      </c>
      <c r="CF407" s="761">
        <f t="shared" si="293"/>
        <v>0</v>
      </c>
      <c r="CG407" s="759" t="s">
        <v>46</v>
      </c>
      <c r="CH407" s="598">
        <f t="shared" si="298"/>
        <v>0</v>
      </c>
      <c r="CI407" s="759" t="s">
        <v>567</v>
      </c>
      <c r="CJ407" s="480">
        <f t="shared" si="284"/>
        <v>0</v>
      </c>
      <c r="CK407" s="583">
        <f t="shared" si="294"/>
        <v>0</v>
      </c>
      <c r="CL407" s="596" t="s">
        <v>46</v>
      </c>
      <c r="CM407" s="581">
        <f t="shared" si="295"/>
        <v>0</v>
      </c>
      <c r="CN407" s="762" t="s">
        <v>567</v>
      </c>
      <c r="CW407" s="630"/>
      <c r="CX407" s="630"/>
      <c r="CY407" s="630"/>
      <c r="CZ407" s="630"/>
      <c r="DA407" s="630"/>
    </row>
    <row r="408" spans="2:105" s="78" customFormat="1" ht="15" customHeight="1" x14ac:dyDescent="0.25">
      <c r="B408" s="77"/>
      <c r="E408" s="77"/>
      <c r="H408" s="77"/>
      <c r="Y408" s="90">
        <v>155</v>
      </c>
      <c r="Z408" s="559" t="str">
        <f>IF(Inventory!$C164="","",VLOOKUP(Inventory!$C164,$B$7:$C$9,2,FALSE))</f>
        <v/>
      </c>
      <c r="AA408" s="559" t="str">
        <f>IF($Z408="","",IF(AND($Z408="b",Inventory!$G164=""),"",IF(AND($Z408="b",Inventory!$G164&lt;&gt;""),VLOOKUP(Inventory!$G164,$E$3:$F$10,2,FALSE),IF(AND($Z408="a",Inventory!$Z164=""),"",IF(AND($Z408="a",Inventory!$Z164&lt;&gt;""),VLOOKUP(Inventory!$Z164,$E$3:$F$10,2,FALSE),IF(AND($Z408="c",Inventory!$Z164=""),"",IF(AND($Z408="c",Inventory!$Z164&lt;&gt;""),VLOOKUP(Inventory!$Z164,$E$3:$F$10,2,FALSE),"")))))))</f>
        <v/>
      </c>
      <c r="AB408" s="559" t="str">
        <f>IF($Z408="","a",IF(AND($Z408="b",Inventory!$J164=""),"a",IF(AND($Z408="b",Inventory!$J164&lt;&gt;""),VLOOKUP(Inventory!$J164,$H$4:$I$6,2,FALSE),IF(AND($Z408="a",Inventory!$AA164=""),"a",IF(AND($Z408="a",Inventory!$AA164&lt;&gt;""),VLOOKUP(Inventory!$AA164,$H$4:$I$6,2,FALSE),IF(AND($Z408="c",Inventory!$AA164=""),"a",IF(AND($Z408="c",Inventory!$AA164&lt;&gt;""),VLOOKUP(Inventory!$AA164,$H$4:$I$6,2,FALSE),"a")))))))</f>
        <v>a</v>
      </c>
      <c r="AC408" s="559" t="str">
        <f t="shared" si="260"/>
        <v>a</v>
      </c>
      <c r="AD408" s="473" t="str">
        <f>IF($Z408="","a",IF(AND($Z408="b",Inventory!$L164=""),"a",IF(AND($Z408="b",Inventory!$L164&lt;&gt;""),VLOOKUP(Inventory!$L164,$N$4:$O$5,2,FALSE),IF(AND($Z408="a",Inventory!$AC164=""),"a",IF(AND($Z408="a",Inventory!$AC164&lt;&gt;""),VLOOKUP(Inventory!$AC164,$N$4:$O$5,2,FALSE),IF(AND($Z408="c",Inventory!$AC164=""),"a",IF(AND($Z408="c",Inventory!$AC164&lt;&gt;""),VLOOKUP(Inventory!$AC164,$N$4:$O$5,2,FALSE),"a")))))))</f>
        <v>a</v>
      </c>
      <c r="AE408" s="474">
        <f>IF(OR(Inventory!C164="New Construction",Inventory!C164="Replace-on-Burnout"),Inventory!AF164,IF(Inventory!C164="Early Retirement",MIN(Inventory!AE164,Inventory!AF164),0))</f>
        <v>0</v>
      </c>
      <c r="AF408" s="475" t="str">
        <f t="shared" si="261"/>
        <v/>
      </c>
      <c r="AG408" s="475" t="str">
        <f t="shared" si="262"/>
        <v/>
      </c>
      <c r="AH408" s="475" t="str">
        <f t="shared" si="263"/>
        <v/>
      </c>
      <c r="AI408" s="475" t="str">
        <f t="shared" si="264"/>
        <v/>
      </c>
      <c r="AJ408" s="475" t="str">
        <f t="shared" si="265"/>
        <v/>
      </c>
      <c r="AK408" s="475" t="str">
        <f t="shared" si="266"/>
        <v/>
      </c>
      <c r="AL408" s="475" t="str">
        <f t="shared" si="267"/>
        <v/>
      </c>
      <c r="AM408" s="475" t="str">
        <f t="shared" si="268"/>
        <v/>
      </c>
      <c r="AN408" s="475" t="str">
        <f t="shared" si="269"/>
        <v/>
      </c>
      <c r="AO408" s="475" t="str">
        <f t="shared" si="270"/>
        <v/>
      </c>
      <c r="AP408" s="475" t="str">
        <f t="shared" si="271"/>
        <v/>
      </c>
      <c r="AQ408" s="475" t="str">
        <f t="shared" si="272"/>
        <v/>
      </c>
      <c r="AR408" s="475" t="str">
        <f t="shared" si="273"/>
        <v/>
      </c>
      <c r="AS408" s="475" t="str">
        <f t="shared" si="296"/>
        <v/>
      </c>
      <c r="AT408" s="475" t="str">
        <f t="shared" si="274"/>
        <v/>
      </c>
      <c r="AU408" s="475" t="str">
        <f t="shared" si="275"/>
        <v/>
      </c>
      <c r="AV408" s="475" t="str">
        <f t="shared" si="276"/>
        <v/>
      </c>
      <c r="AW408" s="473">
        <f t="shared" si="277"/>
        <v>0</v>
      </c>
      <c r="AX408" s="473" t="str">
        <f>IF(AND($Z408="b",OR($AA408="a",$AA408="b"),Inventory!$I164="",$AE408&lt;(65000/12000)),"x",IF(AND($Z408="b",OR($AA408="a",$AA408="b"),Inventory!$I164&lt;&gt;"",$AE408&lt;(65000/12000)),VLOOKUP(Inventory!$I415,$V$4:$W$5,2,FALSE),"x"))</f>
        <v>x</v>
      </c>
      <c r="AY408" s="476" t="str">
        <f t="shared" si="278"/>
        <v>aaa0</v>
      </c>
      <c r="AZ408" s="477" t="str">
        <f t="shared" si="287"/>
        <v>No</v>
      </c>
      <c r="BA408" s="759" t="str">
        <f t="shared" si="288"/>
        <v>No</v>
      </c>
      <c r="BB408" s="477">
        <f>IF($Z408="c",Inventory!$AB164,Inventory!$K164)</f>
        <v>0</v>
      </c>
      <c r="BC408" s="478">
        <f>IF(AND($Z408="b",Inventory!$N164="Btu/hr"),Inventory!$M164,IF(AND($Z408="b",Inventory!$N164="Tons"),Inventory!$M164*12000,IF(AND($Z408&lt;&gt;"b",Inventory!$AK164="Btu/hr"),Inventory!$AD164,IF(AND($Z408&lt;&gt;"b",Inventory!$AK164="Tons"),Inventory!$AD164*12000,0))))</f>
        <v>0</v>
      </c>
      <c r="BD408" s="478">
        <f t="shared" si="285"/>
        <v>0</v>
      </c>
      <c r="BE408" s="479">
        <f t="shared" si="297"/>
        <v>0</v>
      </c>
      <c r="BF408" s="477" t="s">
        <v>50</v>
      </c>
      <c r="BG408" s="479">
        <f t="shared" si="279"/>
        <v>0</v>
      </c>
      <c r="BH408" s="477" t="s">
        <v>46</v>
      </c>
      <c r="BI408" s="760">
        <f>IF(AND($Z408="b",Inventory!$P164="Btu/hr"),Inventory!$O164,IF(AND($Z408="b",Inventory!$P164="Tons"),Inventory!$O164*12000,IF(AND($Z408&lt;&gt;"b",Inventory!$AM164="Btu/hr"),Inventory!$AL164,IF(AND($Z408&lt;&gt;"b",Inventory!$AM164="Tons"),Inventory!$AL164*12000,0))))</f>
        <v>0</v>
      </c>
      <c r="BJ408" s="760">
        <f t="shared" si="286"/>
        <v>0</v>
      </c>
      <c r="BK408" s="598">
        <f t="shared" si="289"/>
        <v>0</v>
      </c>
      <c r="BL408" s="759" t="s">
        <v>567</v>
      </c>
      <c r="BM408" s="477" t="str">
        <f t="shared" si="280"/>
        <v>No</v>
      </c>
      <c r="BN408" s="477" t="str">
        <f>IF(OR(Inventory!$H164="",$BM408="No"),"-",Inventory!$H164)</f>
        <v>-</v>
      </c>
      <c r="BO408" s="477" t="str">
        <f>IFERROR(VLOOKUP(BN408,'Early Retirement'!$B$6:$C$33,2,FALSE),"-")</f>
        <v>-</v>
      </c>
      <c r="BP408" s="477" t="str">
        <f>IF(Inventory!$J164="Centrifugal","Yes","No")</f>
        <v>No</v>
      </c>
      <c r="BQ408" s="477">
        <f t="shared" si="281"/>
        <v>0</v>
      </c>
      <c r="BR408" s="477" t="str">
        <f t="shared" si="299"/>
        <v>-</v>
      </c>
      <c r="BS408" s="479">
        <f>IFERROR(INDEX('Early Retirement'!$C$4:$AC$33,$BO408,$BR408),0)</f>
        <v>0</v>
      </c>
      <c r="BT408" s="477">
        <f>IFERROR(HLOOKUP($BR408,'Early Retirement'!$D$4:$AC$5,2,FALSE),0)</f>
        <v>0</v>
      </c>
      <c r="BU408" s="761">
        <f>IFERROR(INDEX('Early Retirement'!$AE$4:$BE$33,$BO408,$BR408),0)</f>
        <v>0</v>
      </c>
      <c r="BV408" s="759">
        <f>IFERROR(HLOOKUP($BR408,'Early Retirement'!$AF$4:$BE$5,2,FALSE),0)</f>
        <v>0</v>
      </c>
      <c r="BW408" s="479">
        <f t="shared" si="282"/>
        <v>0</v>
      </c>
      <c r="BX408" s="761">
        <f t="shared" si="290"/>
        <v>0</v>
      </c>
      <c r="BY408" s="477" t="s">
        <v>46</v>
      </c>
      <c r="BZ408" s="598">
        <f>IFERROR(INDEX('Early Retirement'!$BG$4:$CG$33,$BO408,$BR408),0)</f>
        <v>0</v>
      </c>
      <c r="CA408" s="759">
        <f>IFERROR(HLOOKUP($BR408,'Early Retirement'!$BH$4:$CH$5,2,FALSE),0)</f>
        <v>0</v>
      </c>
      <c r="CB408" s="598">
        <f t="shared" si="291"/>
        <v>0</v>
      </c>
      <c r="CC408" s="759" t="s">
        <v>567</v>
      </c>
      <c r="CD408" s="477" t="str">
        <f t="shared" si="283"/>
        <v>Yes</v>
      </c>
      <c r="CE408" s="479">
        <f t="shared" si="292"/>
        <v>0</v>
      </c>
      <c r="CF408" s="761">
        <f t="shared" si="293"/>
        <v>0</v>
      </c>
      <c r="CG408" s="759" t="s">
        <v>46</v>
      </c>
      <c r="CH408" s="598">
        <f t="shared" si="298"/>
        <v>0</v>
      </c>
      <c r="CI408" s="759" t="s">
        <v>567</v>
      </c>
      <c r="CJ408" s="480">
        <f t="shared" si="284"/>
        <v>0</v>
      </c>
      <c r="CK408" s="583">
        <f t="shared" si="294"/>
        <v>0</v>
      </c>
      <c r="CL408" s="596" t="s">
        <v>46</v>
      </c>
      <c r="CM408" s="581">
        <f t="shared" si="295"/>
        <v>0</v>
      </c>
      <c r="CN408" s="762" t="s">
        <v>567</v>
      </c>
      <c r="CW408" s="630"/>
      <c r="CX408" s="630"/>
      <c r="CY408" s="630"/>
      <c r="CZ408" s="630"/>
      <c r="DA408" s="630"/>
    </row>
    <row r="409" spans="2:105" s="78" customFormat="1" ht="15" customHeight="1" x14ac:dyDescent="0.25">
      <c r="B409" s="77"/>
      <c r="E409" s="77"/>
      <c r="H409" s="77"/>
      <c r="Y409" s="90">
        <v>156</v>
      </c>
      <c r="Z409" s="559" t="str">
        <f>IF(Inventory!$C165="","",VLOOKUP(Inventory!$C165,$B$7:$C$9,2,FALSE))</f>
        <v/>
      </c>
      <c r="AA409" s="559" t="str">
        <f>IF($Z409="","",IF(AND($Z409="b",Inventory!$G165=""),"",IF(AND($Z409="b",Inventory!$G165&lt;&gt;""),VLOOKUP(Inventory!$G165,$E$3:$F$10,2,FALSE),IF(AND($Z409="a",Inventory!$Z165=""),"",IF(AND($Z409="a",Inventory!$Z165&lt;&gt;""),VLOOKUP(Inventory!$Z165,$E$3:$F$10,2,FALSE),IF(AND($Z409="c",Inventory!$Z165=""),"",IF(AND($Z409="c",Inventory!$Z165&lt;&gt;""),VLOOKUP(Inventory!$Z165,$E$3:$F$10,2,FALSE),"")))))))</f>
        <v/>
      </c>
      <c r="AB409" s="559" t="str">
        <f>IF($Z409="","a",IF(AND($Z409="b",Inventory!$J165=""),"a",IF(AND($Z409="b",Inventory!$J165&lt;&gt;""),VLOOKUP(Inventory!$J165,$H$4:$I$6,2,FALSE),IF(AND($Z409="a",Inventory!$AA165=""),"a",IF(AND($Z409="a",Inventory!$AA165&lt;&gt;""),VLOOKUP(Inventory!$AA165,$H$4:$I$6,2,FALSE),IF(AND($Z409="c",Inventory!$AA165=""),"a",IF(AND($Z409="c",Inventory!$AA165&lt;&gt;""),VLOOKUP(Inventory!$AA165,$H$4:$I$6,2,FALSE),"a")))))))</f>
        <v>a</v>
      </c>
      <c r="AC409" s="559" t="str">
        <f t="shared" si="260"/>
        <v>a</v>
      </c>
      <c r="AD409" s="473" t="str">
        <f>IF($Z409="","a",IF(AND($Z409="b",Inventory!$L165=""),"a",IF(AND($Z409="b",Inventory!$L165&lt;&gt;""),VLOOKUP(Inventory!$L165,$N$4:$O$5,2,FALSE),IF(AND($Z409="a",Inventory!$AC165=""),"a",IF(AND($Z409="a",Inventory!$AC165&lt;&gt;""),VLOOKUP(Inventory!$AC165,$N$4:$O$5,2,FALSE),IF(AND($Z409="c",Inventory!$AC165=""),"a",IF(AND($Z409="c",Inventory!$AC165&lt;&gt;""),VLOOKUP(Inventory!$AC165,$N$4:$O$5,2,FALSE),"a")))))))</f>
        <v>a</v>
      </c>
      <c r="AE409" s="474">
        <f>IF(OR(Inventory!C165="New Construction",Inventory!C165="Replace-on-Burnout"),Inventory!AF165,IF(Inventory!C165="Early Retirement",MIN(Inventory!AE165,Inventory!AF165),0))</f>
        <v>0</v>
      </c>
      <c r="AF409" s="475" t="str">
        <f t="shared" si="261"/>
        <v/>
      </c>
      <c r="AG409" s="475" t="str">
        <f t="shared" si="262"/>
        <v/>
      </c>
      <c r="AH409" s="475" t="str">
        <f t="shared" si="263"/>
        <v/>
      </c>
      <c r="AI409" s="475" t="str">
        <f t="shared" si="264"/>
        <v/>
      </c>
      <c r="AJ409" s="475" t="str">
        <f t="shared" si="265"/>
        <v/>
      </c>
      <c r="AK409" s="475" t="str">
        <f t="shared" si="266"/>
        <v/>
      </c>
      <c r="AL409" s="475" t="str">
        <f t="shared" si="267"/>
        <v/>
      </c>
      <c r="AM409" s="475" t="str">
        <f t="shared" si="268"/>
        <v/>
      </c>
      <c r="AN409" s="475" t="str">
        <f t="shared" si="269"/>
        <v/>
      </c>
      <c r="AO409" s="475" t="str">
        <f t="shared" si="270"/>
        <v/>
      </c>
      <c r="AP409" s="475" t="str">
        <f t="shared" si="271"/>
        <v/>
      </c>
      <c r="AQ409" s="475" t="str">
        <f t="shared" si="272"/>
        <v/>
      </c>
      <c r="AR409" s="475" t="str">
        <f t="shared" si="273"/>
        <v/>
      </c>
      <c r="AS409" s="475" t="str">
        <f t="shared" si="296"/>
        <v/>
      </c>
      <c r="AT409" s="475" t="str">
        <f t="shared" si="274"/>
        <v/>
      </c>
      <c r="AU409" s="475" t="str">
        <f t="shared" si="275"/>
        <v/>
      </c>
      <c r="AV409" s="475" t="str">
        <f t="shared" si="276"/>
        <v/>
      </c>
      <c r="AW409" s="473">
        <f t="shared" si="277"/>
        <v>0</v>
      </c>
      <c r="AX409" s="473" t="str">
        <f>IF(AND($Z409="b",OR($AA409="a",$AA409="b"),Inventory!$I165="",$AE409&lt;(65000/12000)),"x",IF(AND($Z409="b",OR($AA409="a",$AA409="b"),Inventory!$I165&lt;&gt;"",$AE409&lt;(65000/12000)),VLOOKUP(Inventory!$I416,$V$4:$W$5,2,FALSE),"x"))</f>
        <v>x</v>
      </c>
      <c r="AY409" s="476" t="str">
        <f t="shared" si="278"/>
        <v>aaa0</v>
      </c>
      <c r="AZ409" s="477" t="str">
        <f t="shared" si="287"/>
        <v>No</v>
      </c>
      <c r="BA409" s="759" t="str">
        <f t="shared" si="288"/>
        <v>No</v>
      </c>
      <c r="BB409" s="477">
        <f>IF($Z409="c",Inventory!$AB165,Inventory!$K165)</f>
        <v>0</v>
      </c>
      <c r="BC409" s="478">
        <f>IF(AND($Z409="b",Inventory!$N165="Btu/hr"),Inventory!$M165,IF(AND($Z409="b",Inventory!$N165="Tons"),Inventory!$M165*12000,IF(AND($Z409&lt;&gt;"b",Inventory!$AK165="Btu/hr"),Inventory!$AD165,IF(AND($Z409&lt;&gt;"b",Inventory!$AK165="Tons"),Inventory!$AD165*12000,0))))</f>
        <v>0</v>
      </c>
      <c r="BD409" s="478">
        <f t="shared" si="285"/>
        <v>0</v>
      </c>
      <c r="BE409" s="479">
        <f t="shared" si="297"/>
        <v>0</v>
      </c>
      <c r="BF409" s="477" t="s">
        <v>50</v>
      </c>
      <c r="BG409" s="479">
        <f t="shared" si="279"/>
        <v>0</v>
      </c>
      <c r="BH409" s="477" t="s">
        <v>46</v>
      </c>
      <c r="BI409" s="760">
        <f>IF(AND($Z409="b",Inventory!$P165="Btu/hr"),Inventory!$O165,IF(AND($Z409="b",Inventory!$P165="Tons"),Inventory!$O165*12000,IF(AND($Z409&lt;&gt;"b",Inventory!$AM165="Btu/hr"),Inventory!$AL165,IF(AND($Z409&lt;&gt;"b",Inventory!$AM165="Tons"),Inventory!$AL165*12000,0))))</f>
        <v>0</v>
      </c>
      <c r="BJ409" s="760">
        <f t="shared" si="286"/>
        <v>0</v>
      </c>
      <c r="BK409" s="598">
        <f t="shared" si="289"/>
        <v>0</v>
      </c>
      <c r="BL409" s="759" t="s">
        <v>567</v>
      </c>
      <c r="BM409" s="477" t="str">
        <f t="shared" si="280"/>
        <v>No</v>
      </c>
      <c r="BN409" s="477" t="str">
        <f>IF(OR(Inventory!$H165="",$BM409="No"),"-",Inventory!$H165)</f>
        <v>-</v>
      </c>
      <c r="BO409" s="477" t="str">
        <f>IFERROR(VLOOKUP(BN409,'Early Retirement'!$B$6:$C$33,2,FALSE),"-")</f>
        <v>-</v>
      </c>
      <c r="BP409" s="477" t="str">
        <f>IF(Inventory!$J165="Centrifugal","Yes","No")</f>
        <v>No</v>
      </c>
      <c r="BQ409" s="477">
        <f t="shared" si="281"/>
        <v>0</v>
      </c>
      <c r="BR409" s="477" t="str">
        <f t="shared" si="299"/>
        <v>-</v>
      </c>
      <c r="BS409" s="479">
        <f>IFERROR(INDEX('Early Retirement'!$C$4:$AC$33,$BO409,$BR409),0)</f>
        <v>0</v>
      </c>
      <c r="BT409" s="477">
        <f>IFERROR(HLOOKUP($BR409,'Early Retirement'!$D$4:$AC$5,2,FALSE),0)</f>
        <v>0</v>
      </c>
      <c r="BU409" s="761">
        <f>IFERROR(INDEX('Early Retirement'!$AE$4:$BE$33,$BO409,$BR409),0)</f>
        <v>0</v>
      </c>
      <c r="BV409" s="759">
        <f>IFERROR(HLOOKUP($BR409,'Early Retirement'!$AF$4:$BE$5,2,FALSE),0)</f>
        <v>0</v>
      </c>
      <c r="BW409" s="479">
        <f t="shared" si="282"/>
        <v>0</v>
      </c>
      <c r="BX409" s="761">
        <f t="shared" si="290"/>
        <v>0</v>
      </c>
      <c r="BY409" s="477" t="s">
        <v>46</v>
      </c>
      <c r="BZ409" s="598">
        <f>IFERROR(INDEX('Early Retirement'!$BG$4:$CG$33,$BO409,$BR409),0)</f>
        <v>0</v>
      </c>
      <c r="CA409" s="759">
        <f>IFERROR(HLOOKUP($BR409,'Early Retirement'!$BH$4:$CH$5,2,FALSE),0)</f>
        <v>0</v>
      </c>
      <c r="CB409" s="598">
        <f t="shared" si="291"/>
        <v>0</v>
      </c>
      <c r="CC409" s="759" t="s">
        <v>567</v>
      </c>
      <c r="CD409" s="477" t="str">
        <f t="shared" si="283"/>
        <v>Yes</v>
      </c>
      <c r="CE409" s="479">
        <f t="shared" si="292"/>
        <v>0</v>
      </c>
      <c r="CF409" s="761">
        <f t="shared" si="293"/>
        <v>0</v>
      </c>
      <c r="CG409" s="759" t="s">
        <v>46</v>
      </c>
      <c r="CH409" s="598">
        <f t="shared" si="298"/>
        <v>0</v>
      </c>
      <c r="CI409" s="759" t="s">
        <v>567</v>
      </c>
      <c r="CJ409" s="480">
        <f t="shared" si="284"/>
        <v>0</v>
      </c>
      <c r="CK409" s="583">
        <f t="shared" si="294"/>
        <v>0</v>
      </c>
      <c r="CL409" s="596" t="s">
        <v>46</v>
      </c>
      <c r="CM409" s="581">
        <f t="shared" si="295"/>
        <v>0</v>
      </c>
      <c r="CN409" s="762" t="s">
        <v>567</v>
      </c>
      <c r="CW409" s="630"/>
      <c r="CX409" s="630"/>
      <c r="CY409" s="630"/>
      <c r="CZ409" s="630"/>
      <c r="DA409" s="630"/>
    </row>
    <row r="410" spans="2:105" s="78" customFormat="1" ht="15" customHeight="1" x14ac:dyDescent="0.25">
      <c r="B410" s="77"/>
      <c r="E410" s="77"/>
      <c r="H410" s="77"/>
      <c r="Y410" s="90">
        <v>157</v>
      </c>
      <c r="Z410" s="559" t="str">
        <f>IF(Inventory!$C166="","",VLOOKUP(Inventory!$C166,$B$7:$C$9,2,FALSE))</f>
        <v/>
      </c>
      <c r="AA410" s="559" t="str">
        <f>IF($Z410="","",IF(AND($Z410="b",Inventory!$G166=""),"",IF(AND($Z410="b",Inventory!$G166&lt;&gt;""),VLOOKUP(Inventory!$G166,$E$3:$F$10,2,FALSE),IF(AND($Z410="a",Inventory!$Z166=""),"",IF(AND($Z410="a",Inventory!$Z166&lt;&gt;""),VLOOKUP(Inventory!$Z166,$E$3:$F$10,2,FALSE),IF(AND($Z410="c",Inventory!$Z166=""),"",IF(AND($Z410="c",Inventory!$Z166&lt;&gt;""),VLOOKUP(Inventory!$Z166,$E$3:$F$10,2,FALSE),"")))))))</f>
        <v/>
      </c>
      <c r="AB410" s="559" t="str">
        <f>IF($Z410="","a",IF(AND($Z410="b",Inventory!$J166=""),"a",IF(AND($Z410="b",Inventory!$J166&lt;&gt;""),VLOOKUP(Inventory!$J166,$H$4:$I$6,2,FALSE),IF(AND($Z410="a",Inventory!$AA166=""),"a",IF(AND($Z410="a",Inventory!$AA166&lt;&gt;""),VLOOKUP(Inventory!$AA166,$H$4:$I$6,2,FALSE),IF(AND($Z410="c",Inventory!$AA166=""),"a",IF(AND($Z410="c",Inventory!$AA166&lt;&gt;""),VLOOKUP(Inventory!$AA166,$H$4:$I$6,2,FALSE),"a")))))))</f>
        <v>a</v>
      </c>
      <c r="AC410" s="559" t="str">
        <f t="shared" si="260"/>
        <v>a</v>
      </c>
      <c r="AD410" s="473" t="str">
        <f>IF($Z410="","a",IF(AND($Z410="b",Inventory!$L166=""),"a",IF(AND($Z410="b",Inventory!$L166&lt;&gt;""),VLOOKUP(Inventory!$L166,$N$4:$O$5,2,FALSE),IF(AND($Z410="a",Inventory!$AC166=""),"a",IF(AND($Z410="a",Inventory!$AC166&lt;&gt;""),VLOOKUP(Inventory!$AC166,$N$4:$O$5,2,FALSE),IF(AND($Z410="c",Inventory!$AC166=""),"a",IF(AND($Z410="c",Inventory!$AC166&lt;&gt;""),VLOOKUP(Inventory!$AC166,$N$4:$O$5,2,FALSE),"a")))))))</f>
        <v>a</v>
      </c>
      <c r="AE410" s="474">
        <f>IF(OR(Inventory!C166="New Construction",Inventory!C166="Replace-on-Burnout"),Inventory!AF166,IF(Inventory!C166="Early Retirement",MIN(Inventory!AE166,Inventory!AF166),0))</f>
        <v>0</v>
      </c>
      <c r="AF410" s="475" t="str">
        <f t="shared" si="261"/>
        <v/>
      </c>
      <c r="AG410" s="475" t="str">
        <f t="shared" si="262"/>
        <v/>
      </c>
      <c r="AH410" s="475" t="str">
        <f t="shared" si="263"/>
        <v/>
      </c>
      <c r="AI410" s="475" t="str">
        <f t="shared" si="264"/>
        <v/>
      </c>
      <c r="AJ410" s="475" t="str">
        <f t="shared" si="265"/>
        <v/>
      </c>
      <c r="AK410" s="475" t="str">
        <f t="shared" si="266"/>
        <v/>
      </c>
      <c r="AL410" s="475" t="str">
        <f t="shared" si="267"/>
        <v/>
      </c>
      <c r="AM410" s="475" t="str">
        <f t="shared" si="268"/>
        <v/>
      </c>
      <c r="AN410" s="475" t="str">
        <f t="shared" si="269"/>
        <v/>
      </c>
      <c r="AO410" s="475" t="str">
        <f t="shared" si="270"/>
        <v/>
      </c>
      <c r="AP410" s="475" t="str">
        <f t="shared" si="271"/>
        <v/>
      </c>
      <c r="AQ410" s="475" t="str">
        <f t="shared" si="272"/>
        <v/>
      </c>
      <c r="AR410" s="475" t="str">
        <f t="shared" si="273"/>
        <v/>
      </c>
      <c r="AS410" s="475" t="str">
        <f t="shared" si="296"/>
        <v/>
      </c>
      <c r="AT410" s="475" t="str">
        <f t="shared" si="274"/>
        <v/>
      </c>
      <c r="AU410" s="475" t="str">
        <f t="shared" si="275"/>
        <v/>
      </c>
      <c r="AV410" s="475" t="str">
        <f t="shared" si="276"/>
        <v/>
      </c>
      <c r="AW410" s="473">
        <f t="shared" si="277"/>
        <v>0</v>
      </c>
      <c r="AX410" s="473" t="str">
        <f>IF(AND($Z410="b",OR($AA410="a",$AA410="b"),Inventory!$I166="",$AE410&lt;(65000/12000)),"x",IF(AND($Z410="b",OR($AA410="a",$AA410="b"),Inventory!$I166&lt;&gt;"",$AE410&lt;(65000/12000)),VLOOKUP(Inventory!$I417,$V$4:$W$5,2,FALSE),"x"))</f>
        <v>x</v>
      </c>
      <c r="AY410" s="476" t="str">
        <f t="shared" si="278"/>
        <v>aaa0</v>
      </c>
      <c r="AZ410" s="477" t="str">
        <f t="shared" si="287"/>
        <v>No</v>
      </c>
      <c r="BA410" s="759" t="str">
        <f t="shared" si="288"/>
        <v>No</v>
      </c>
      <c r="BB410" s="477">
        <f>IF($Z410="c",Inventory!$AB166,Inventory!$K166)</f>
        <v>0</v>
      </c>
      <c r="BC410" s="478">
        <f>IF(AND($Z410="b",Inventory!$N166="Btu/hr"),Inventory!$M166,IF(AND($Z410="b",Inventory!$N166="Tons"),Inventory!$M166*12000,IF(AND($Z410&lt;&gt;"b",Inventory!$AK166="Btu/hr"),Inventory!$AD166,IF(AND($Z410&lt;&gt;"b",Inventory!$AK166="Tons"),Inventory!$AD166*12000,0))))</f>
        <v>0</v>
      </c>
      <c r="BD410" s="478">
        <f t="shared" si="285"/>
        <v>0</v>
      </c>
      <c r="BE410" s="479">
        <f t="shared" si="297"/>
        <v>0</v>
      </c>
      <c r="BF410" s="477" t="s">
        <v>50</v>
      </c>
      <c r="BG410" s="479">
        <f t="shared" si="279"/>
        <v>0</v>
      </c>
      <c r="BH410" s="477" t="s">
        <v>46</v>
      </c>
      <c r="BI410" s="760">
        <f>IF(AND($Z410="b",Inventory!$P166="Btu/hr"),Inventory!$O166,IF(AND($Z410="b",Inventory!$P166="Tons"),Inventory!$O166*12000,IF(AND($Z410&lt;&gt;"b",Inventory!$AM166="Btu/hr"),Inventory!$AL166,IF(AND($Z410&lt;&gt;"b",Inventory!$AM166="Tons"),Inventory!$AL166*12000,0))))</f>
        <v>0</v>
      </c>
      <c r="BJ410" s="760">
        <f t="shared" si="286"/>
        <v>0</v>
      </c>
      <c r="BK410" s="598">
        <f t="shared" si="289"/>
        <v>0</v>
      </c>
      <c r="BL410" s="759" t="s">
        <v>567</v>
      </c>
      <c r="BM410" s="477" t="str">
        <f t="shared" si="280"/>
        <v>No</v>
      </c>
      <c r="BN410" s="477" t="str">
        <f>IF(OR(Inventory!$H166="",$BM410="No"),"-",Inventory!$H166)</f>
        <v>-</v>
      </c>
      <c r="BO410" s="477" t="str">
        <f>IFERROR(VLOOKUP(BN410,'Early Retirement'!$B$6:$C$33,2,FALSE),"-")</f>
        <v>-</v>
      </c>
      <c r="BP410" s="477" t="str">
        <f>IF(Inventory!$J166="Centrifugal","Yes","No")</f>
        <v>No</v>
      </c>
      <c r="BQ410" s="477">
        <f t="shared" si="281"/>
        <v>0</v>
      </c>
      <c r="BR410" s="477" t="str">
        <f t="shared" si="299"/>
        <v>-</v>
      </c>
      <c r="BS410" s="479">
        <f>IFERROR(INDEX('Early Retirement'!$C$4:$AC$33,$BO410,$BR410),0)</f>
        <v>0</v>
      </c>
      <c r="BT410" s="477">
        <f>IFERROR(HLOOKUP($BR410,'Early Retirement'!$D$4:$AC$5,2,FALSE),0)</f>
        <v>0</v>
      </c>
      <c r="BU410" s="761">
        <f>IFERROR(INDEX('Early Retirement'!$AE$4:$BE$33,$BO410,$BR410),0)</f>
        <v>0</v>
      </c>
      <c r="BV410" s="759">
        <f>IFERROR(HLOOKUP($BR410,'Early Retirement'!$AF$4:$BE$5,2,FALSE),0)</f>
        <v>0</v>
      </c>
      <c r="BW410" s="479">
        <f t="shared" si="282"/>
        <v>0</v>
      </c>
      <c r="BX410" s="761">
        <f t="shared" si="290"/>
        <v>0</v>
      </c>
      <c r="BY410" s="477" t="s">
        <v>46</v>
      </c>
      <c r="BZ410" s="598">
        <f>IFERROR(INDEX('Early Retirement'!$BG$4:$CG$33,$BO410,$BR410),0)</f>
        <v>0</v>
      </c>
      <c r="CA410" s="759">
        <f>IFERROR(HLOOKUP($BR410,'Early Retirement'!$BH$4:$CH$5,2,FALSE),0)</f>
        <v>0</v>
      </c>
      <c r="CB410" s="598">
        <f t="shared" si="291"/>
        <v>0</v>
      </c>
      <c r="CC410" s="759" t="s">
        <v>567</v>
      </c>
      <c r="CD410" s="477" t="str">
        <f t="shared" si="283"/>
        <v>Yes</v>
      </c>
      <c r="CE410" s="479">
        <f t="shared" si="292"/>
        <v>0</v>
      </c>
      <c r="CF410" s="761">
        <f t="shared" si="293"/>
        <v>0</v>
      </c>
      <c r="CG410" s="759" t="s">
        <v>46</v>
      </c>
      <c r="CH410" s="598">
        <f t="shared" si="298"/>
        <v>0</v>
      </c>
      <c r="CI410" s="759" t="s">
        <v>567</v>
      </c>
      <c r="CJ410" s="480">
        <f t="shared" si="284"/>
        <v>0</v>
      </c>
      <c r="CK410" s="583">
        <f t="shared" si="294"/>
        <v>0</v>
      </c>
      <c r="CL410" s="596" t="s">
        <v>46</v>
      </c>
      <c r="CM410" s="581">
        <f t="shared" si="295"/>
        <v>0</v>
      </c>
      <c r="CN410" s="762" t="s">
        <v>567</v>
      </c>
      <c r="CW410" s="630"/>
      <c r="CX410" s="630"/>
      <c r="CY410" s="630"/>
      <c r="CZ410" s="630"/>
      <c r="DA410" s="630"/>
    </row>
    <row r="411" spans="2:105" s="78" customFormat="1" ht="15" customHeight="1" x14ac:dyDescent="0.25">
      <c r="B411" s="77"/>
      <c r="E411" s="77"/>
      <c r="H411" s="77"/>
      <c r="Y411" s="90">
        <v>158</v>
      </c>
      <c r="Z411" s="559" t="str">
        <f>IF(Inventory!$C167="","",VLOOKUP(Inventory!$C167,$B$7:$C$9,2,FALSE))</f>
        <v/>
      </c>
      <c r="AA411" s="559" t="str">
        <f>IF($Z411="","",IF(AND($Z411="b",Inventory!$G167=""),"",IF(AND($Z411="b",Inventory!$G167&lt;&gt;""),VLOOKUP(Inventory!$G167,$E$3:$F$10,2,FALSE),IF(AND($Z411="a",Inventory!$Z167=""),"",IF(AND($Z411="a",Inventory!$Z167&lt;&gt;""),VLOOKUP(Inventory!$Z167,$E$3:$F$10,2,FALSE),IF(AND($Z411="c",Inventory!$Z167=""),"",IF(AND($Z411="c",Inventory!$Z167&lt;&gt;""),VLOOKUP(Inventory!$Z167,$E$3:$F$10,2,FALSE),"")))))))</f>
        <v/>
      </c>
      <c r="AB411" s="559" t="str">
        <f>IF($Z411="","a",IF(AND($Z411="b",Inventory!$J167=""),"a",IF(AND($Z411="b",Inventory!$J167&lt;&gt;""),VLOOKUP(Inventory!$J167,$H$4:$I$6,2,FALSE),IF(AND($Z411="a",Inventory!$AA167=""),"a",IF(AND($Z411="a",Inventory!$AA167&lt;&gt;""),VLOOKUP(Inventory!$AA167,$H$4:$I$6,2,FALSE),IF(AND($Z411="c",Inventory!$AA167=""),"a",IF(AND($Z411="c",Inventory!$AA167&lt;&gt;""),VLOOKUP(Inventory!$AA167,$H$4:$I$6,2,FALSE),"a")))))))</f>
        <v>a</v>
      </c>
      <c r="AC411" s="559" t="str">
        <f t="shared" si="260"/>
        <v>a</v>
      </c>
      <c r="AD411" s="473" t="str">
        <f>IF($Z411="","a",IF(AND($Z411="b",Inventory!$L167=""),"a",IF(AND($Z411="b",Inventory!$L167&lt;&gt;""),VLOOKUP(Inventory!$L167,$N$4:$O$5,2,FALSE),IF(AND($Z411="a",Inventory!$AC167=""),"a",IF(AND($Z411="a",Inventory!$AC167&lt;&gt;""),VLOOKUP(Inventory!$AC167,$N$4:$O$5,2,FALSE),IF(AND($Z411="c",Inventory!$AC167=""),"a",IF(AND($Z411="c",Inventory!$AC167&lt;&gt;""),VLOOKUP(Inventory!$AC167,$N$4:$O$5,2,FALSE),"a")))))))</f>
        <v>a</v>
      </c>
      <c r="AE411" s="474">
        <f>IF(OR(Inventory!C167="New Construction",Inventory!C167="Replace-on-Burnout"),Inventory!AF167,IF(Inventory!C167="Early Retirement",MIN(Inventory!AE167,Inventory!AF167),0))</f>
        <v>0</v>
      </c>
      <c r="AF411" s="475" t="str">
        <f t="shared" si="261"/>
        <v/>
      </c>
      <c r="AG411" s="475" t="str">
        <f t="shared" si="262"/>
        <v/>
      </c>
      <c r="AH411" s="475" t="str">
        <f t="shared" si="263"/>
        <v/>
      </c>
      <c r="AI411" s="475" t="str">
        <f t="shared" si="264"/>
        <v/>
      </c>
      <c r="AJ411" s="475" t="str">
        <f t="shared" si="265"/>
        <v/>
      </c>
      <c r="AK411" s="475" t="str">
        <f t="shared" si="266"/>
        <v/>
      </c>
      <c r="AL411" s="475" t="str">
        <f t="shared" si="267"/>
        <v/>
      </c>
      <c r="AM411" s="475" t="str">
        <f t="shared" si="268"/>
        <v/>
      </c>
      <c r="AN411" s="475" t="str">
        <f t="shared" si="269"/>
        <v/>
      </c>
      <c r="AO411" s="475" t="str">
        <f t="shared" si="270"/>
        <v/>
      </c>
      <c r="AP411" s="475" t="str">
        <f t="shared" si="271"/>
        <v/>
      </c>
      <c r="AQ411" s="475" t="str">
        <f t="shared" si="272"/>
        <v/>
      </c>
      <c r="AR411" s="475" t="str">
        <f t="shared" si="273"/>
        <v/>
      </c>
      <c r="AS411" s="475" t="str">
        <f t="shared" si="296"/>
        <v/>
      </c>
      <c r="AT411" s="475" t="str">
        <f t="shared" si="274"/>
        <v/>
      </c>
      <c r="AU411" s="475" t="str">
        <f t="shared" si="275"/>
        <v/>
      </c>
      <c r="AV411" s="475" t="str">
        <f t="shared" si="276"/>
        <v/>
      </c>
      <c r="AW411" s="473">
        <f t="shared" si="277"/>
        <v>0</v>
      </c>
      <c r="AX411" s="473" t="str">
        <f>IF(AND($Z411="b",OR($AA411="a",$AA411="b"),Inventory!$I167="",$AE411&lt;(65000/12000)),"x",IF(AND($Z411="b",OR($AA411="a",$AA411="b"),Inventory!$I167&lt;&gt;"",$AE411&lt;(65000/12000)),VLOOKUP(Inventory!$I418,$V$4:$W$5,2,FALSE),"x"))</f>
        <v>x</v>
      </c>
      <c r="AY411" s="476" t="str">
        <f t="shared" si="278"/>
        <v>aaa0</v>
      </c>
      <c r="AZ411" s="477" t="str">
        <f t="shared" si="287"/>
        <v>No</v>
      </c>
      <c r="BA411" s="759" t="str">
        <f t="shared" si="288"/>
        <v>No</v>
      </c>
      <c r="BB411" s="477">
        <f>IF($Z411="c",Inventory!$AB167,Inventory!$K167)</f>
        <v>0</v>
      </c>
      <c r="BC411" s="478">
        <f>IF(AND($Z411="b",Inventory!$N167="Btu/hr"),Inventory!$M167,IF(AND($Z411="b",Inventory!$N167="Tons"),Inventory!$M167*12000,IF(AND($Z411&lt;&gt;"b",Inventory!$AK167="Btu/hr"),Inventory!$AD167,IF(AND($Z411&lt;&gt;"b",Inventory!$AK167="Tons"),Inventory!$AD167*12000,0))))</f>
        <v>0</v>
      </c>
      <c r="BD411" s="478">
        <f t="shared" si="285"/>
        <v>0</v>
      </c>
      <c r="BE411" s="479">
        <f t="shared" si="297"/>
        <v>0</v>
      </c>
      <c r="BF411" s="477" t="s">
        <v>50</v>
      </c>
      <c r="BG411" s="479">
        <f t="shared" si="279"/>
        <v>0</v>
      </c>
      <c r="BH411" s="477" t="s">
        <v>46</v>
      </c>
      <c r="BI411" s="760">
        <f>IF(AND($Z411="b",Inventory!$P167="Btu/hr"),Inventory!$O167,IF(AND($Z411="b",Inventory!$P167="Tons"),Inventory!$O167*12000,IF(AND($Z411&lt;&gt;"b",Inventory!$AM167="Btu/hr"),Inventory!$AL167,IF(AND($Z411&lt;&gt;"b",Inventory!$AM167="Tons"),Inventory!$AL167*12000,0))))</f>
        <v>0</v>
      </c>
      <c r="BJ411" s="760">
        <f t="shared" si="286"/>
        <v>0</v>
      </c>
      <c r="BK411" s="598">
        <f t="shared" si="289"/>
        <v>0</v>
      </c>
      <c r="BL411" s="759" t="s">
        <v>567</v>
      </c>
      <c r="BM411" s="477" t="str">
        <f t="shared" si="280"/>
        <v>No</v>
      </c>
      <c r="BN411" s="477" t="str">
        <f>IF(OR(Inventory!$H167="",$BM411="No"),"-",Inventory!$H167)</f>
        <v>-</v>
      </c>
      <c r="BO411" s="477" t="str">
        <f>IFERROR(VLOOKUP(BN411,'Early Retirement'!$B$6:$C$33,2,FALSE),"-")</f>
        <v>-</v>
      </c>
      <c r="BP411" s="477" t="str">
        <f>IF(Inventory!$J167="Centrifugal","Yes","No")</f>
        <v>No</v>
      </c>
      <c r="BQ411" s="477">
        <f t="shared" si="281"/>
        <v>0</v>
      </c>
      <c r="BR411" s="477" t="str">
        <f t="shared" si="299"/>
        <v>-</v>
      </c>
      <c r="BS411" s="479">
        <f>IFERROR(INDEX('Early Retirement'!$C$4:$AC$33,$BO411,$BR411),0)</f>
        <v>0</v>
      </c>
      <c r="BT411" s="477">
        <f>IFERROR(HLOOKUP($BR411,'Early Retirement'!$D$4:$AC$5,2,FALSE),0)</f>
        <v>0</v>
      </c>
      <c r="BU411" s="761">
        <f>IFERROR(INDEX('Early Retirement'!$AE$4:$BE$33,$BO411,$BR411),0)</f>
        <v>0</v>
      </c>
      <c r="BV411" s="759">
        <f>IFERROR(HLOOKUP($BR411,'Early Retirement'!$AF$4:$BE$5,2,FALSE),0)</f>
        <v>0</v>
      </c>
      <c r="BW411" s="479">
        <f t="shared" si="282"/>
        <v>0</v>
      </c>
      <c r="BX411" s="761">
        <f t="shared" si="290"/>
        <v>0</v>
      </c>
      <c r="BY411" s="477" t="s">
        <v>46</v>
      </c>
      <c r="BZ411" s="598">
        <f>IFERROR(INDEX('Early Retirement'!$BG$4:$CG$33,$BO411,$BR411),0)</f>
        <v>0</v>
      </c>
      <c r="CA411" s="759">
        <f>IFERROR(HLOOKUP($BR411,'Early Retirement'!$BH$4:$CH$5,2,FALSE),0)</f>
        <v>0</v>
      </c>
      <c r="CB411" s="598">
        <f t="shared" si="291"/>
        <v>0</v>
      </c>
      <c r="CC411" s="759" t="s">
        <v>567</v>
      </c>
      <c r="CD411" s="477" t="str">
        <f t="shared" si="283"/>
        <v>Yes</v>
      </c>
      <c r="CE411" s="479">
        <f t="shared" si="292"/>
        <v>0</v>
      </c>
      <c r="CF411" s="761">
        <f t="shared" si="293"/>
        <v>0</v>
      </c>
      <c r="CG411" s="759" t="s">
        <v>46</v>
      </c>
      <c r="CH411" s="598">
        <f t="shared" si="298"/>
        <v>0</v>
      </c>
      <c r="CI411" s="759" t="s">
        <v>567</v>
      </c>
      <c r="CJ411" s="480">
        <f t="shared" si="284"/>
        <v>0</v>
      </c>
      <c r="CK411" s="583">
        <f t="shared" si="294"/>
        <v>0</v>
      </c>
      <c r="CL411" s="596" t="s">
        <v>46</v>
      </c>
      <c r="CM411" s="581">
        <f t="shared" si="295"/>
        <v>0</v>
      </c>
      <c r="CN411" s="762" t="s">
        <v>567</v>
      </c>
      <c r="CW411" s="630"/>
      <c r="CX411" s="630"/>
      <c r="CY411" s="630"/>
      <c r="CZ411" s="630"/>
      <c r="DA411" s="630"/>
    </row>
    <row r="412" spans="2:105" s="78" customFormat="1" ht="15" customHeight="1" x14ac:dyDescent="0.25">
      <c r="B412" s="77"/>
      <c r="E412" s="77"/>
      <c r="H412" s="77"/>
      <c r="Y412" s="90">
        <v>159</v>
      </c>
      <c r="Z412" s="559" t="str">
        <f>IF(Inventory!$C168="","",VLOOKUP(Inventory!$C168,$B$7:$C$9,2,FALSE))</f>
        <v/>
      </c>
      <c r="AA412" s="559" t="str">
        <f>IF($Z412="","",IF(AND($Z412="b",Inventory!$G168=""),"",IF(AND($Z412="b",Inventory!$G168&lt;&gt;""),VLOOKUP(Inventory!$G168,$E$3:$F$10,2,FALSE),IF(AND($Z412="a",Inventory!$Z168=""),"",IF(AND($Z412="a",Inventory!$Z168&lt;&gt;""),VLOOKUP(Inventory!$Z168,$E$3:$F$10,2,FALSE),IF(AND($Z412="c",Inventory!$Z168=""),"",IF(AND($Z412="c",Inventory!$Z168&lt;&gt;""),VLOOKUP(Inventory!$Z168,$E$3:$F$10,2,FALSE),"")))))))</f>
        <v/>
      </c>
      <c r="AB412" s="559" t="str">
        <f>IF($Z412="","a",IF(AND($Z412="b",Inventory!$J168=""),"a",IF(AND($Z412="b",Inventory!$J168&lt;&gt;""),VLOOKUP(Inventory!$J168,$H$4:$I$6,2,FALSE),IF(AND($Z412="a",Inventory!$AA168=""),"a",IF(AND($Z412="a",Inventory!$AA168&lt;&gt;""),VLOOKUP(Inventory!$AA168,$H$4:$I$6,2,FALSE),IF(AND($Z412="c",Inventory!$AA168=""),"a",IF(AND($Z412="c",Inventory!$AA168&lt;&gt;""),VLOOKUP(Inventory!$AA168,$H$4:$I$6,2,FALSE),"a")))))))</f>
        <v>a</v>
      </c>
      <c r="AC412" s="559" t="str">
        <f t="shared" si="260"/>
        <v>a</v>
      </c>
      <c r="AD412" s="473" t="str">
        <f>IF($Z412="","a",IF(AND($Z412="b",Inventory!$L168=""),"a",IF(AND($Z412="b",Inventory!$L168&lt;&gt;""),VLOOKUP(Inventory!$L168,$N$4:$O$5,2,FALSE),IF(AND($Z412="a",Inventory!$AC168=""),"a",IF(AND($Z412="a",Inventory!$AC168&lt;&gt;""),VLOOKUP(Inventory!$AC168,$N$4:$O$5,2,FALSE),IF(AND($Z412="c",Inventory!$AC168=""),"a",IF(AND($Z412="c",Inventory!$AC168&lt;&gt;""),VLOOKUP(Inventory!$AC168,$N$4:$O$5,2,FALSE),"a")))))))</f>
        <v>a</v>
      </c>
      <c r="AE412" s="474">
        <f>IF(OR(Inventory!C168="New Construction",Inventory!C168="Replace-on-Burnout"),Inventory!AF168,IF(Inventory!C168="Early Retirement",MIN(Inventory!AE168,Inventory!AF168),0))</f>
        <v>0</v>
      </c>
      <c r="AF412" s="475" t="str">
        <f t="shared" si="261"/>
        <v/>
      </c>
      <c r="AG412" s="475" t="str">
        <f t="shared" si="262"/>
        <v/>
      </c>
      <c r="AH412" s="475" t="str">
        <f t="shared" si="263"/>
        <v/>
      </c>
      <c r="AI412" s="475" t="str">
        <f t="shared" si="264"/>
        <v/>
      </c>
      <c r="AJ412" s="475" t="str">
        <f t="shared" si="265"/>
        <v/>
      </c>
      <c r="AK412" s="475" t="str">
        <f t="shared" si="266"/>
        <v/>
      </c>
      <c r="AL412" s="475" t="str">
        <f t="shared" si="267"/>
        <v/>
      </c>
      <c r="AM412" s="475" t="str">
        <f t="shared" si="268"/>
        <v/>
      </c>
      <c r="AN412" s="475" t="str">
        <f t="shared" si="269"/>
        <v/>
      </c>
      <c r="AO412" s="475" t="str">
        <f t="shared" si="270"/>
        <v/>
      </c>
      <c r="AP412" s="475" t="str">
        <f t="shared" si="271"/>
        <v/>
      </c>
      <c r="AQ412" s="475" t="str">
        <f t="shared" si="272"/>
        <v/>
      </c>
      <c r="AR412" s="475" t="str">
        <f t="shared" si="273"/>
        <v/>
      </c>
      <c r="AS412" s="475" t="str">
        <f t="shared" si="296"/>
        <v/>
      </c>
      <c r="AT412" s="475" t="str">
        <f t="shared" si="274"/>
        <v/>
      </c>
      <c r="AU412" s="475" t="str">
        <f t="shared" si="275"/>
        <v/>
      </c>
      <c r="AV412" s="475" t="str">
        <f t="shared" si="276"/>
        <v/>
      </c>
      <c r="AW412" s="473">
        <f t="shared" si="277"/>
        <v>0</v>
      </c>
      <c r="AX412" s="473" t="str">
        <f>IF(AND($Z412="b",OR($AA412="a",$AA412="b"),Inventory!$I168="",$AE412&lt;(65000/12000)),"x",IF(AND($Z412="b",OR($AA412="a",$AA412="b"),Inventory!$I168&lt;&gt;"",$AE412&lt;(65000/12000)),VLOOKUP(Inventory!$I419,$V$4:$W$5,2,FALSE),"x"))</f>
        <v>x</v>
      </c>
      <c r="AY412" s="476" t="str">
        <f t="shared" si="278"/>
        <v>aaa0</v>
      </c>
      <c r="AZ412" s="477" t="str">
        <f t="shared" si="287"/>
        <v>No</v>
      </c>
      <c r="BA412" s="759" t="str">
        <f t="shared" si="288"/>
        <v>No</v>
      </c>
      <c r="BB412" s="477">
        <f>IF($Z412="c",Inventory!$AB168,Inventory!$K168)</f>
        <v>0</v>
      </c>
      <c r="BC412" s="478">
        <f>IF(AND($Z412="b",Inventory!$N168="Btu/hr"),Inventory!$M168,IF(AND($Z412="b",Inventory!$N168="Tons"),Inventory!$M168*12000,IF(AND($Z412&lt;&gt;"b",Inventory!$AK168="Btu/hr"),Inventory!$AD168,IF(AND($Z412&lt;&gt;"b",Inventory!$AK168="Tons"),Inventory!$AD168*12000,0))))</f>
        <v>0</v>
      </c>
      <c r="BD412" s="478">
        <f t="shared" si="285"/>
        <v>0</v>
      </c>
      <c r="BE412" s="479">
        <f t="shared" si="297"/>
        <v>0</v>
      </c>
      <c r="BF412" s="477" t="s">
        <v>50</v>
      </c>
      <c r="BG412" s="479">
        <f t="shared" si="279"/>
        <v>0</v>
      </c>
      <c r="BH412" s="477" t="s">
        <v>46</v>
      </c>
      <c r="BI412" s="760">
        <f>IF(AND($Z412="b",Inventory!$P168="Btu/hr"),Inventory!$O168,IF(AND($Z412="b",Inventory!$P168="Tons"),Inventory!$O168*12000,IF(AND($Z412&lt;&gt;"b",Inventory!$AM168="Btu/hr"),Inventory!$AL168,IF(AND($Z412&lt;&gt;"b",Inventory!$AM168="Tons"),Inventory!$AL168*12000,0))))</f>
        <v>0</v>
      </c>
      <c r="BJ412" s="760">
        <f t="shared" si="286"/>
        <v>0</v>
      </c>
      <c r="BK412" s="598">
        <f t="shared" si="289"/>
        <v>0</v>
      </c>
      <c r="BL412" s="759" t="s">
        <v>567</v>
      </c>
      <c r="BM412" s="477" t="str">
        <f t="shared" si="280"/>
        <v>No</v>
      </c>
      <c r="BN412" s="477" t="str">
        <f>IF(OR(Inventory!$H168="",$BM412="No"),"-",Inventory!$H168)</f>
        <v>-</v>
      </c>
      <c r="BO412" s="477" t="str">
        <f>IFERROR(VLOOKUP(BN412,'Early Retirement'!$B$6:$C$33,2,FALSE),"-")</f>
        <v>-</v>
      </c>
      <c r="BP412" s="477" t="str">
        <f>IF(Inventory!$J168="Centrifugal","Yes","No")</f>
        <v>No</v>
      </c>
      <c r="BQ412" s="477">
        <f t="shared" si="281"/>
        <v>0</v>
      </c>
      <c r="BR412" s="477" t="str">
        <f t="shared" si="299"/>
        <v>-</v>
      </c>
      <c r="BS412" s="479">
        <f>IFERROR(INDEX('Early Retirement'!$C$4:$AC$33,$BO412,$BR412),0)</f>
        <v>0</v>
      </c>
      <c r="BT412" s="477">
        <f>IFERROR(HLOOKUP($BR412,'Early Retirement'!$D$4:$AC$5,2,FALSE),0)</f>
        <v>0</v>
      </c>
      <c r="BU412" s="761">
        <f>IFERROR(INDEX('Early Retirement'!$AE$4:$BE$33,$BO412,$BR412),0)</f>
        <v>0</v>
      </c>
      <c r="BV412" s="759">
        <f>IFERROR(HLOOKUP($BR412,'Early Retirement'!$AF$4:$BE$5,2,FALSE),0)</f>
        <v>0</v>
      </c>
      <c r="BW412" s="479">
        <f t="shared" si="282"/>
        <v>0</v>
      </c>
      <c r="BX412" s="761">
        <f t="shared" si="290"/>
        <v>0</v>
      </c>
      <c r="BY412" s="477" t="s">
        <v>46</v>
      </c>
      <c r="BZ412" s="598">
        <f>IFERROR(INDEX('Early Retirement'!$BG$4:$CG$33,$BO412,$BR412),0)</f>
        <v>0</v>
      </c>
      <c r="CA412" s="759">
        <f>IFERROR(HLOOKUP($BR412,'Early Retirement'!$BH$4:$CH$5,2,FALSE),0)</f>
        <v>0</v>
      </c>
      <c r="CB412" s="598">
        <f t="shared" si="291"/>
        <v>0</v>
      </c>
      <c r="CC412" s="759" t="s">
        <v>567</v>
      </c>
      <c r="CD412" s="477" t="str">
        <f t="shared" si="283"/>
        <v>Yes</v>
      </c>
      <c r="CE412" s="479">
        <f t="shared" si="292"/>
        <v>0</v>
      </c>
      <c r="CF412" s="761">
        <f t="shared" si="293"/>
        <v>0</v>
      </c>
      <c r="CG412" s="759" t="s">
        <v>46</v>
      </c>
      <c r="CH412" s="598">
        <f t="shared" si="298"/>
        <v>0</v>
      </c>
      <c r="CI412" s="759" t="s">
        <v>567</v>
      </c>
      <c r="CJ412" s="480">
        <f t="shared" si="284"/>
        <v>0</v>
      </c>
      <c r="CK412" s="583">
        <f t="shared" si="294"/>
        <v>0</v>
      </c>
      <c r="CL412" s="596" t="s">
        <v>46</v>
      </c>
      <c r="CM412" s="581">
        <f t="shared" si="295"/>
        <v>0</v>
      </c>
      <c r="CN412" s="762" t="s">
        <v>567</v>
      </c>
      <c r="CW412" s="630"/>
      <c r="CX412" s="630"/>
      <c r="CY412" s="630"/>
      <c r="CZ412" s="630"/>
      <c r="DA412" s="630"/>
    </row>
    <row r="413" spans="2:105" s="78" customFormat="1" ht="15" customHeight="1" x14ac:dyDescent="0.25">
      <c r="B413" s="77"/>
      <c r="E413" s="77"/>
      <c r="H413" s="77"/>
      <c r="Y413" s="90">
        <v>160</v>
      </c>
      <c r="Z413" s="559" t="str">
        <f>IF(Inventory!$C169="","",VLOOKUP(Inventory!$C169,$B$7:$C$9,2,FALSE))</f>
        <v/>
      </c>
      <c r="AA413" s="559" t="str">
        <f>IF($Z413="","",IF(AND($Z413="b",Inventory!$G169=""),"",IF(AND($Z413="b",Inventory!$G169&lt;&gt;""),VLOOKUP(Inventory!$G169,$E$3:$F$10,2,FALSE),IF(AND($Z413="a",Inventory!$Z169=""),"",IF(AND($Z413="a",Inventory!$Z169&lt;&gt;""),VLOOKUP(Inventory!$Z169,$E$3:$F$10,2,FALSE),IF(AND($Z413="c",Inventory!$Z169=""),"",IF(AND($Z413="c",Inventory!$Z169&lt;&gt;""),VLOOKUP(Inventory!$Z169,$E$3:$F$10,2,FALSE),"")))))))</f>
        <v/>
      </c>
      <c r="AB413" s="559" t="str">
        <f>IF($Z413="","a",IF(AND($Z413="b",Inventory!$J169=""),"a",IF(AND($Z413="b",Inventory!$J169&lt;&gt;""),VLOOKUP(Inventory!$J169,$H$4:$I$6,2,FALSE),IF(AND($Z413="a",Inventory!$AA169=""),"a",IF(AND($Z413="a",Inventory!$AA169&lt;&gt;""),VLOOKUP(Inventory!$AA169,$H$4:$I$6,2,FALSE),IF(AND($Z413="c",Inventory!$AA169=""),"a",IF(AND($Z413="c",Inventory!$AA169&lt;&gt;""),VLOOKUP(Inventory!$AA169,$H$4:$I$6,2,FALSE),"a")))))))</f>
        <v>a</v>
      </c>
      <c r="AC413" s="559" t="str">
        <f t="shared" si="260"/>
        <v>a</v>
      </c>
      <c r="AD413" s="473" t="str">
        <f>IF($Z413="","a",IF(AND($Z413="b",Inventory!$L169=""),"a",IF(AND($Z413="b",Inventory!$L169&lt;&gt;""),VLOOKUP(Inventory!$L169,$N$4:$O$5,2,FALSE),IF(AND($Z413="a",Inventory!$AC169=""),"a",IF(AND($Z413="a",Inventory!$AC169&lt;&gt;""),VLOOKUP(Inventory!$AC169,$N$4:$O$5,2,FALSE),IF(AND($Z413="c",Inventory!$AC169=""),"a",IF(AND($Z413="c",Inventory!$AC169&lt;&gt;""),VLOOKUP(Inventory!$AC169,$N$4:$O$5,2,FALSE),"a")))))))</f>
        <v>a</v>
      </c>
      <c r="AE413" s="474">
        <f>IF(OR(Inventory!C169="New Construction",Inventory!C169="Replace-on-Burnout"),Inventory!AF169,IF(Inventory!C169="Early Retirement",MIN(Inventory!AE169,Inventory!AF169),0))</f>
        <v>0</v>
      </c>
      <c r="AF413" s="475" t="str">
        <f t="shared" si="261"/>
        <v/>
      </c>
      <c r="AG413" s="475" t="str">
        <f t="shared" si="262"/>
        <v/>
      </c>
      <c r="AH413" s="475" t="str">
        <f t="shared" si="263"/>
        <v/>
      </c>
      <c r="AI413" s="475" t="str">
        <f t="shared" si="264"/>
        <v/>
      </c>
      <c r="AJ413" s="475" t="str">
        <f t="shared" si="265"/>
        <v/>
      </c>
      <c r="AK413" s="475" t="str">
        <f t="shared" si="266"/>
        <v/>
      </c>
      <c r="AL413" s="475" t="str">
        <f t="shared" si="267"/>
        <v/>
      </c>
      <c r="AM413" s="475" t="str">
        <f t="shared" si="268"/>
        <v/>
      </c>
      <c r="AN413" s="475" t="str">
        <f t="shared" si="269"/>
        <v/>
      </c>
      <c r="AO413" s="475" t="str">
        <f t="shared" si="270"/>
        <v/>
      </c>
      <c r="AP413" s="475" t="str">
        <f t="shared" si="271"/>
        <v/>
      </c>
      <c r="AQ413" s="475" t="str">
        <f t="shared" si="272"/>
        <v/>
      </c>
      <c r="AR413" s="475" t="str">
        <f t="shared" si="273"/>
        <v/>
      </c>
      <c r="AS413" s="475" t="str">
        <f t="shared" si="296"/>
        <v/>
      </c>
      <c r="AT413" s="475" t="str">
        <f t="shared" si="274"/>
        <v/>
      </c>
      <c r="AU413" s="475" t="str">
        <f t="shared" si="275"/>
        <v/>
      </c>
      <c r="AV413" s="475" t="str">
        <f t="shared" si="276"/>
        <v/>
      </c>
      <c r="AW413" s="473">
        <f t="shared" si="277"/>
        <v>0</v>
      </c>
      <c r="AX413" s="473" t="str">
        <f>IF(AND($Z413="b",OR($AA413="a",$AA413="b"),Inventory!$I169="",$AE413&lt;(65000/12000)),"x",IF(AND($Z413="b",OR($AA413="a",$AA413="b"),Inventory!$I169&lt;&gt;"",$AE413&lt;(65000/12000)),VLOOKUP(Inventory!$I420,$V$4:$W$5,2,FALSE),"x"))</f>
        <v>x</v>
      </c>
      <c r="AY413" s="476" t="str">
        <f t="shared" si="278"/>
        <v>aaa0</v>
      </c>
      <c r="AZ413" s="477" t="str">
        <f t="shared" si="287"/>
        <v>No</v>
      </c>
      <c r="BA413" s="759" t="str">
        <f t="shared" si="288"/>
        <v>No</v>
      </c>
      <c r="BB413" s="477">
        <f>IF($Z413="c",Inventory!$AB169,Inventory!$K169)</f>
        <v>0</v>
      </c>
      <c r="BC413" s="478">
        <f>IF(AND($Z413="b",Inventory!$N169="Btu/hr"),Inventory!$M169,IF(AND($Z413="b",Inventory!$N169="Tons"),Inventory!$M169*12000,IF(AND($Z413&lt;&gt;"b",Inventory!$AK169="Btu/hr"),Inventory!$AD169,IF(AND($Z413&lt;&gt;"b",Inventory!$AK169="Tons"),Inventory!$AD169*12000,0))))</f>
        <v>0</v>
      </c>
      <c r="BD413" s="478">
        <f t="shared" si="285"/>
        <v>0</v>
      </c>
      <c r="BE413" s="479">
        <f t="shared" si="297"/>
        <v>0</v>
      </c>
      <c r="BF413" s="477" t="s">
        <v>50</v>
      </c>
      <c r="BG413" s="479">
        <f t="shared" si="279"/>
        <v>0</v>
      </c>
      <c r="BH413" s="477" t="s">
        <v>46</v>
      </c>
      <c r="BI413" s="760">
        <f>IF(AND($Z413="b",Inventory!$P169="Btu/hr"),Inventory!$O169,IF(AND($Z413="b",Inventory!$P169="Tons"),Inventory!$O169*12000,IF(AND($Z413&lt;&gt;"b",Inventory!$AM169="Btu/hr"),Inventory!$AL169,IF(AND($Z413&lt;&gt;"b",Inventory!$AM169="Tons"),Inventory!$AL169*12000,0))))</f>
        <v>0</v>
      </c>
      <c r="BJ413" s="760">
        <f t="shared" si="286"/>
        <v>0</v>
      </c>
      <c r="BK413" s="598">
        <f t="shared" si="289"/>
        <v>0</v>
      </c>
      <c r="BL413" s="759" t="s">
        <v>567</v>
      </c>
      <c r="BM413" s="477" t="str">
        <f t="shared" si="280"/>
        <v>No</v>
      </c>
      <c r="BN413" s="477" t="str">
        <f>IF(OR(Inventory!$H169="",$BM413="No"),"-",Inventory!$H169)</f>
        <v>-</v>
      </c>
      <c r="BO413" s="477" t="str">
        <f>IFERROR(VLOOKUP(BN413,'Early Retirement'!$B$6:$C$33,2,FALSE),"-")</f>
        <v>-</v>
      </c>
      <c r="BP413" s="477" t="str">
        <f>IF(Inventory!$J169="Centrifugal","Yes","No")</f>
        <v>No</v>
      </c>
      <c r="BQ413" s="477">
        <f t="shared" si="281"/>
        <v>0</v>
      </c>
      <c r="BR413" s="477" t="str">
        <f t="shared" si="299"/>
        <v>-</v>
      </c>
      <c r="BS413" s="479">
        <f>IFERROR(INDEX('Early Retirement'!$C$4:$AC$33,$BO413,$BR413),0)</f>
        <v>0</v>
      </c>
      <c r="BT413" s="477">
        <f>IFERROR(HLOOKUP($BR413,'Early Retirement'!$D$4:$AC$5,2,FALSE),0)</f>
        <v>0</v>
      </c>
      <c r="BU413" s="761">
        <f>IFERROR(INDEX('Early Retirement'!$AE$4:$BE$33,$BO413,$BR413),0)</f>
        <v>0</v>
      </c>
      <c r="BV413" s="759">
        <f>IFERROR(HLOOKUP($BR413,'Early Retirement'!$AF$4:$BE$5,2,FALSE),0)</f>
        <v>0</v>
      </c>
      <c r="BW413" s="479">
        <f t="shared" si="282"/>
        <v>0</v>
      </c>
      <c r="BX413" s="761">
        <f t="shared" si="290"/>
        <v>0</v>
      </c>
      <c r="BY413" s="477" t="s">
        <v>46</v>
      </c>
      <c r="BZ413" s="598">
        <f>IFERROR(INDEX('Early Retirement'!$BG$4:$CG$33,$BO413,$BR413),0)</f>
        <v>0</v>
      </c>
      <c r="CA413" s="759">
        <f>IFERROR(HLOOKUP($BR413,'Early Retirement'!$BH$4:$CH$5,2,FALSE),0)</f>
        <v>0</v>
      </c>
      <c r="CB413" s="598">
        <f t="shared" si="291"/>
        <v>0</v>
      </c>
      <c r="CC413" s="759" t="s">
        <v>567</v>
      </c>
      <c r="CD413" s="477" t="str">
        <f t="shared" si="283"/>
        <v>Yes</v>
      </c>
      <c r="CE413" s="479">
        <f t="shared" si="292"/>
        <v>0</v>
      </c>
      <c r="CF413" s="761">
        <f t="shared" si="293"/>
        <v>0</v>
      </c>
      <c r="CG413" s="759" t="s">
        <v>46</v>
      </c>
      <c r="CH413" s="598">
        <f t="shared" si="298"/>
        <v>0</v>
      </c>
      <c r="CI413" s="759" t="s">
        <v>567</v>
      </c>
      <c r="CJ413" s="480">
        <f t="shared" si="284"/>
        <v>0</v>
      </c>
      <c r="CK413" s="583">
        <f t="shared" si="294"/>
        <v>0</v>
      </c>
      <c r="CL413" s="596" t="s">
        <v>46</v>
      </c>
      <c r="CM413" s="581">
        <f t="shared" si="295"/>
        <v>0</v>
      </c>
      <c r="CN413" s="762" t="s">
        <v>567</v>
      </c>
      <c r="CW413" s="630"/>
      <c r="CX413" s="630"/>
      <c r="CY413" s="630"/>
      <c r="CZ413" s="630"/>
      <c r="DA413" s="630"/>
    </row>
    <row r="414" spans="2:105" s="78" customFormat="1" ht="15" customHeight="1" x14ac:dyDescent="0.25">
      <c r="B414" s="77"/>
      <c r="E414" s="77"/>
      <c r="H414" s="77"/>
      <c r="Y414" s="90">
        <v>161</v>
      </c>
      <c r="Z414" s="559" t="str">
        <f>IF(Inventory!$C170="","",VLOOKUP(Inventory!$C170,$B$7:$C$9,2,FALSE))</f>
        <v/>
      </c>
      <c r="AA414" s="559" t="str">
        <f>IF($Z414="","",IF(AND($Z414="b",Inventory!$G170=""),"",IF(AND($Z414="b",Inventory!$G170&lt;&gt;""),VLOOKUP(Inventory!$G170,$E$3:$F$10,2,FALSE),IF(AND($Z414="a",Inventory!$Z170=""),"",IF(AND($Z414="a",Inventory!$Z170&lt;&gt;""),VLOOKUP(Inventory!$Z170,$E$3:$F$10,2,FALSE),IF(AND($Z414="c",Inventory!$Z170=""),"",IF(AND($Z414="c",Inventory!$Z170&lt;&gt;""),VLOOKUP(Inventory!$Z170,$E$3:$F$10,2,FALSE),"")))))))</f>
        <v/>
      </c>
      <c r="AB414" s="559" t="str">
        <f>IF($Z414="","a",IF(AND($Z414="b",Inventory!$J170=""),"a",IF(AND($Z414="b",Inventory!$J170&lt;&gt;""),VLOOKUP(Inventory!$J170,$H$4:$I$6,2,FALSE),IF(AND($Z414="a",Inventory!$AA170=""),"a",IF(AND($Z414="a",Inventory!$AA170&lt;&gt;""),VLOOKUP(Inventory!$AA170,$H$4:$I$6,2,FALSE),IF(AND($Z414="c",Inventory!$AA170=""),"a",IF(AND($Z414="c",Inventory!$AA170&lt;&gt;""),VLOOKUP(Inventory!$AA170,$H$4:$I$6,2,FALSE),"a")))))))</f>
        <v>a</v>
      </c>
      <c r="AC414" s="559" t="str">
        <f t="shared" ref="AC414:AC477" si="300">IF($AA414="f","b",IF($AA414="e","c","a"))</f>
        <v>a</v>
      </c>
      <c r="AD414" s="473" t="str">
        <f>IF($Z414="","a",IF(AND($Z414="b",Inventory!$L170=""),"a",IF(AND($Z414="b",Inventory!$L170&lt;&gt;""),VLOOKUP(Inventory!$L170,$N$4:$O$5,2,FALSE),IF(AND($Z414="a",Inventory!$AC170=""),"a",IF(AND($Z414="a",Inventory!$AC170&lt;&gt;""),VLOOKUP(Inventory!$AC170,$N$4:$O$5,2,FALSE),IF(AND($Z414="c",Inventory!$AC170=""),"a",IF(AND($Z414="c",Inventory!$AC170&lt;&gt;""),VLOOKUP(Inventory!$AC170,$N$4:$O$5,2,FALSE),"a")))))))</f>
        <v>a</v>
      </c>
      <c r="AE414" s="474">
        <f>IF(OR(Inventory!C170="New Construction",Inventory!C170="Replace-on-Burnout"),Inventory!AF170,IF(Inventory!C170="Early Retirement",MIN(Inventory!AE170,Inventory!AF170),0))</f>
        <v>0</v>
      </c>
      <c r="AF414" s="475" t="str">
        <f t="shared" ref="AF414:AF477" si="301">IF(OR(AND($AA414&lt;&gt;"a",$AA414&lt;&gt;"b"),$AE414=""),"",IF(AND($AE414&gt;=$AF$2,$AA414="a"),5,IF(AND($AE414&gt;=$AF$2,$AA414="b"),10,0)))</f>
        <v/>
      </c>
      <c r="AG414" s="475" t="str">
        <f t="shared" ref="AG414:AG477" si="302">IF(OR(AND($AA414&lt;&gt;"a",$AA414&lt;&gt;"b"),$AE414="",$AF414&lt;&gt;0),"",IF(AND($AE414&gt;=$AG$2,$AA414="a"),4,IF(AND($AE414&gt;=$AG$2,$AA414="b"),9,0)))</f>
        <v/>
      </c>
      <c r="AH414" s="475" t="str">
        <f t="shared" ref="AH414:AH477" si="303">IF(OR(AND($AA414&lt;&gt;"a",$AA414&lt;&gt;"b"),$AE414="",$AG414&lt;&gt;0),"",IF(AND($AE414&gt;=$AH$2,$AA414="a"),3,IF(AND($AE414&gt;=$AH$2,$AA414="b"),8,0)))</f>
        <v/>
      </c>
      <c r="AI414" s="475" t="str">
        <f t="shared" ref="AI414:AI477" si="304">IF(OR(AND($AA414&lt;&gt;"a",$AA414&lt;&gt;"b"),$AE414="",$AH414&lt;&gt;0),"",IF(AND($AE414&gt;=$AI$2,$AA414="a"),2,IF(AND($AE414&gt;=$AI$2,$AA414="b"),7,0)))</f>
        <v/>
      </c>
      <c r="AJ414" s="475" t="str">
        <f t="shared" ref="AJ414:AJ477" si="305">IF(OR(AND($AA414&lt;&gt;"a",$AA414&lt;&gt;"b"),$AE414="",$AI414&lt;&gt;0),"",IF(AND($AE414&gt;=$AJ$2,$AA414="a"),1,IF(AND($AE414&gt;=$AJ$2,$AA414="b"),6,0)))</f>
        <v/>
      </c>
      <c r="AK414" s="475" t="str">
        <f t="shared" ref="AK414:AK477" si="306">IF(OR(AND($AA414&lt;&gt;"e",$AA414&lt;&gt;"f"),$AE414=""),"",IF(AND($AE414&gt;=$AK$2,OR($AA414="e",$AA414="f"),$AC414="b",$AD414="b"),26,IF(AND($AE414&gt;$AK$2,OR($AA414="e",$AA414="f"),$AC414="b",$AD414="c"),28,IF(AND($AE414&gt;$AK$2,OR($AA414="e",$AA414="f"),$AC414="c",$AD414="b"),19,IF(AND($AE414&gt;$AK$2,OR($AA414="e",$AA414="f"),$AC414="c",$AD414="c"),24,0)))))</f>
        <v/>
      </c>
      <c r="AL414" s="475" t="str">
        <f t="shared" ref="AL414:AL477" si="307">IF(OR(AND($AA414&lt;&gt;"e",$AA414&lt;&gt;"f"),$AE414="",$AK414&lt;&gt;0),"",IF(AND($AE414&gt;=$AL$2,OR($AA414="e",$AA414="f"),$AC414="b",$AD414="b"),26,IF(AND($AE414&gt;$AL$2,OR($AA414="e",$AA414="f"),$AC414="b",$AD414="c"),28,IF(AND($AE414&gt;$AL$2,OR($AA414="e",$AA414="f"),$AC414="c",$AD414="b"),18,IF(AND($AE414&gt;$AL$2,OR($AA414="e",$AA414="f"),$AC414="c",$AD414="c"),24,0)))))</f>
        <v/>
      </c>
      <c r="AM414" s="475" t="str">
        <f t="shared" ref="AM414:AM477" si="308">IF(OR(AND($AA414&lt;&gt;"e",$AA414&lt;&gt;"f"),$AE414="",$AL414&lt;&gt;0),"",IF(AND($AE414&gt;=$AM$2,OR($AA414="e",$AA414="f"),$AC414="b",$AD414="b"),25,IF(AND($AE414&gt;$AM$2,OR($AA414="e",$AA414="f"),$AC414="b",$AD414="c"),28,IF(AND($AE414&gt;$AM$2,OR($AA414="e",$AA414="f"),$AC414="c",$AD414="b"),17,IF(AND($AE414&gt;$AM$2,OR($AA414="e",$AA414="f"),$AC414="c",$AD414="c"),23,0)))))</f>
        <v/>
      </c>
      <c r="AN414" s="475" t="str">
        <f t="shared" ref="AN414:AN477" si="309">IF(OR(AND($AA414&lt;&gt;"e",$AA414&lt;&gt;"f"),$AE414="",$AM414&lt;&gt;0),"",IF(AND($AE414&gt;=$AN$2,OR($AA414="e",$AA414="f"),$AC414="b",$AD414="b"),25,IF(AND($AE414&gt;$AN$2,OR($AA414="e",$AA414="f"),$AC414="b",$AD414="c"),27,IF(AND($AE414&gt;$AN$2,OR($AA414="e",$AA414="f"),$AC414="c",$AD414="b"),16,IF(AND($AE414&gt;$AN$2,OR($AA414="e",$AA414="f"),$AC414="c",$AD414="c"),22,0)))))</f>
        <v/>
      </c>
      <c r="AO414" s="475" t="str">
        <f t="shared" ref="AO414:AO477" si="310">IF(OR(AND($AA414&lt;&gt;"e",$AA414&lt;&gt;"f"),$AE414="",$AN414&lt;&gt;0),"",IF(AND($AE414&gt;=$AO$2,OR($AA414="e",$AA414="f"),$AC414="b",$AD414="b"),25,IF(AND($AE414&gt;$AO$2,OR($AA414="e",$AA414="f"),$AC414="b",$AD414="c"),27,IF(AND($AE414&gt;$AO$2,OR($AA414="e",$AA414="f"),$AC414="c",$AD414="b"),16,IF(AND($AE414&gt;$AO$2,OR($AA414="e",$AA414="f"),$AC414="c",$AD414="c"),21,0)))))</f>
        <v/>
      </c>
      <c r="AP414" s="475" t="str">
        <f t="shared" ref="AP414:AP477" si="311">IF(OR(AND($AA414&lt;&gt;"e",$AA414&lt;&gt;"f"),$AE414="",$AO414&lt;&gt;0),"",IF(AND($AE414&gt;=$AP$2,OR($AA414="e",$AA414="f"),$AC414="b",$AD414="b"),25,IF(AND($AE414&gt;$AP$2,OR($AA414="e",$AA414="f"),$AC414="b",$AD414="c"),27,IF(AND($AE414&gt;$AP$2,OR($AA414="e",$AA414="f"),$AC414="c",$AD414="b"),15,IF(AND($AE414&gt;$AP$2,OR($AA414="e",$AA414="f"),$AC414="c",$AD414="c"),20,0)))))</f>
        <v/>
      </c>
      <c r="AQ414" s="475" t="str">
        <f t="shared" ref="AQ414:AQ477" si="312">IF(OR(AND($AA414&lt;&gt;"g",$AA414&lt;&gt;"h"),$AE414=""),"",IF(AND($AE414&gt;=$AQ$2,$AA414="g"),33,IF(AND($AE414&gt;=$AQ$2,$AA414="h",$AB414="b"),38,IF(AND($AE414&gt;=$AQ$2,$AA414="h",$AB414&lt;&gt;"b"),43,0))))</f>
        <v/>
      </c>
      <c r="AR414" s="475" t="str">
        <f t="shared" ref="AR414:AR477" si="313">IF(OR(AND($AA414&lt;&gt;"g",$AA414&lt;&gt;"h"),$AE414="",$AQ414&lt;&gt;0),"",IF(AND($AE414&gt;=$AR$2,$AA414="g"),32,IF(AND($AE414&gt;=$AR$2,$AA414="h",$AB414="b"),37,IF(AND($AE414&gt;=$AR$2,$AA414="h",$AB414&lt;&gt;"b"),42,0))))</f>
        <v/>
      </c>
      <c r="AS414" s="475" t="str">
        <f t="shared" si="296"/>
        <v/>
      </c>
      <c r="AT414" s="475" t="str">
        <f t="shared" ref="AT414:AT477" si="314">IF(OR(AND($AA414&lt;&gt;"g",$AA414&lt;&gt;"h"),$AE414="",$AS414&lt;&gt;0),"",IF(AND($AE414&gt;=$AT$2,$AA414="g"),30,IF(AND($AE414&gt;=$AT$2,$AA414="h",$AB414="b"),35,IF(AND($AE414&gt;=$AT$2,$AA414="h",$AB414&lt;&gt;"b"),40,0))))</f>
        <v/>
      </c>
      <c r="AU414" s="475" t="str">
        <f t="shared" ref="AU414:AU477" si="315">IF(OR(AND($AA414&lt;&gt;"g",$AA414&lt;&gt;"h"),$AE414="",$AT414&lt;&gt;0),"",IF(AND($AE414&gt;=$AU$2,$AA414="g"),29,IF(AND($AE414&gt;=$AU$2,$AA414="h",$AB414="b"),34,IF(AND($AE414&gt;=$AU$2,$AA414="h",$AB414&lt;&gt;"b"),39,0))))</f>
        <v/>
      </c>
      <c r="AV414" s="475" t="str">
        <f t="shared" ref="AV414:AV477" si="316">IF($AE414="","",IF(AND($Z414="c",$AA414="c"),10,IF(AND($Z414="a",$AA414="c"),11,IF(AND($Z414="c",$AA414="d"),12,IF(AND($Z414="a",$AA414="d"),13,"")))))</f>
        <v/>
      </c>
      <c r="AW414" s="473">
        <f t="shared" ref="AW414:AW477" si="317">SUM($AF414:$AV414)</f>
        <v>0</v>
      </c>
      <c r="AX414" s="473" t="str">
        <f>IF(AND($Z414="b",OR($AA414="a",$AA414="b"),Inventory!$I170="",$AE414&lt;(65000/12000)),"x",IF(AND($Z414="b",OR($AA414="a",$AA414="b"),Inventory!$I170&lt;&gt;"",$AE414&lt;(65000/12000)),VLOOKUP(Inventory!$I421,$V$4:$W$5,2,FALSE),"x"))</f>
        <v>x</v>
      </c>
      <c r="AY414" s="476" t="str">
        <f t="shared" ref="AY414:AY477" si="318">CONCATENATE($Z414,$AA414,$AB414,$AC414,$AD414,$AW414)</f>
        <v>aaa0</v>
      </c>
      <c r="AZ414" s="477" t="str">
        <f t="shared" si="287"/>
        <v>No</v>
      </c>
      <c r="BA414" s="759" t="str">
        <f t="shared" si="288"/>
        <v>No</v>
      </c>
      <c r="BB414" s="477">
        <f>IF($Z414="c",Inventory!$AB170,Inventory!$K170)</f>
        <v>0</v>
      </c>
      <c r="BC414" s="478">
        <f>IF(AND($Z414="b",Inventory!$N170="Btu/hr"),Inventory!$M170,IF(AND($Z414="b",Inventory!$N170="Tons"),Inventory!$M170*12000,IF(AND($Z414&lt;&gt;"b",Inventory!$AK170="Btu/hr"),Inventory!$AD170,IF(AND($Z414&lt;&gt;"b",Inventory!$AK170="Tons"),Inventory!$AD170*12000,0))))</f>
        <v>0</v>
      </c>
      <c r="BD414" s="478">
        <f t="shared" si="285"/>
        <v>0</v>
      </c>
      <c r="BE414" s="479">
        <f t="shared" si="297"/>
        <v>0</v>
      </c>
      <c r="BF414" s="477" t="s">
        <v>50</v>
      </c>
      <c r="BG414" s="479">
        <f t="shared" ref="BG414:BG477" si="319">IFERROR(12/$BE414,0)</f>
        <v>0</v>
      </c>
      <c r="BH414" s="477" t="s">
        <v>46</v>
      </c>
      <c r="BI414" s="760">
        <f>IF(AND($Z414="b",Inventory!$P170="Btu/hr"),Inventory!$O170,IF(AND($Z414="b",Inventory!$P170="Tons"),Inventory!$O170*12000,IF(AND($Z414&lt;&gt;"b",Inventory!$AM170="Btu/hr"),Inventory!$AL170,IF(AND($Z414&lt;&gt;"b",Inventory!$AM170="Tons"),Inventory!$AL170*12000,0))))</f>
        <v>0</v>
      </c>
      <c r="BJ414" s="760">
        <f t="shared" si="286"/>
        <v>0</v>
      </c>
      <c r="BK414" s="598">
        <f t="shared" si="289"/>
        <v>0</v>
      </c>
      <c r="BL414" s="759" t="s">
        <v>567</v>
      </c>
      <c r="BM414" s="477" t="str">
        <f t="shared" ref="BM414:BM477" si="320">IF($Z414="b","Yes","No")</f>
        <v>No</v>
      </c>
      <c r="BN414" s="477" t="str">
        <f>IF(OR(Inventory!$H170="",$BM414="No"),"-",Inventory!$H170)</f>
        <v>-</v>
      </c>
      <c r="BO414" s="477" t="str">
        <f>IFERROR(VLOOKUP(BN414,'Early Retirement'!$B$6:$C$33,2,FALSE),"-")</f>
        <v>-</v>
      </c>
      <c r="BP414" s="477" t="str">
        <f>IF(Inventory!$J170="Centrifugal","Yes","No")</f>
        <v>No</v>
      </c>
      <c r="BQ414" s="477">
        <f t="shared" ref="BQ414:BQ477" si="321">IF($BM414="No",0,IF($BP414="Yes",CONCATENATE($AW414,$AX414,"c"),CONCATENATE($AW414,$AX414)))</f>
        <v>0</v>
      </c>
      <c r="BR414" s="477" t="str">
        <f t="shared" si="299"/>
        <v>-</v>
      </c>
      <c r="BS414" s="479">
        <f>IFERROR(INDEX('Early Retirement'!$C$4:$AC$33,$BO414,$BR414),0)</f>
        <v>0</v>
      </c>
      <c r="BT414" s="477">
        <f>IFERROR(HLOOKUP($BR414,'Early Retirement'!$D$4:$AC$5,2,FALSE),0)</f>
        <v>0</v>
      </c>
      <c r="BU414" s="761">
        <f>IFERROR(INDEX('Early Retirement'!$AE$4:$BE$33,$BO414,$BR414),0)</f>
        <v>0</v>
      </c>
      <c r="BV414" s="759">
        <f>IFERROR(HLOOKUP($BR414,'Early Retirement'!$AF$4:$BE$5,2,FALSE),0)</f>
        <v>0</v>
      </c>
      <c r="BW414" s="479">
        <f t="shared" ref="BW414:BW477" si="322">IF($BT414="SEER",12/($BS414*0.697+2.0394),IF($BT414="EER",12/$BS414,IF($BT414="kW/ton",$BS414,0)))</f>
        <v>0</v>
      </c>
      <c r="BX414" s="761">
        <f t="shared" si="290"/>
        <v>0</v>
      </c>
      <c r="BY414" s="477" t="s">
        <v>46</v>
      </c>
      <c r="BZ414" s="598">
        <f>IFERROR(INDEX('Early Retirement'!$BG$4:$CG$33,$BO414,$BR414),0)</f>
        <v>0</v>
      </c>
      <c r="CA414" s="759">
        <f>IFERROR(HLOOKUP($BR414,'Early Retirement'!$BH$4:$CH$5,2,FALSE),0)</f>
        <v>0</v>
      </c>
      <c r="CB414" s="598">
        <f t="shared" si="291"/>
        <v>0</v>
      </c>
      <c r="CC414" s="759" t="s">
        <v>567</v>
      </c>
      <c r="CD414" s="477" t="str">
        <f t="shared" ref="CD414:CD477" si="323">IF(AND($AZ414="No",$BM414="No"),"Yes","No")</f>
        <v>Yes</v>
      </c>
      <c r="CE414" s="479">
        <f t="shared" si="292"/>
        <v>0</v>
      </c>
      <c r="CF414" s="761">
        <f t="shared" si="293"/>
        <v>0</v>
      </c>
      <c r="CG414" s="759" t="s">
        <v>46</v>
      </c>
      <c r="CH414" s="598">
        <f t="shared" si="298"/>
        <v>0</v>
      </c>
      <c r="CI414" s="759" t="s">
        <v>567</v>
      </c>
      <c r="CJ414" s="480">
        <f t="shared" ref="CJ414:CJ477" si="324">MAX($BG414,$BW414,$CE414)</f>
        <v>0</v>
      </c>
      <c r="CK414" s="583">
        <f t="shared" si="294"/>
        <v>0</v>
      </c>
      <c r="CL414" s="596" t="s">
        <v>46</v>
      </c>
      <c r="CM414" s="581">
        <f t="shared" si="295"/>
        <v>0</v>
      </c>
      <c r="CN414" s="762" t="s">
        <v>567</v>
      </c>
      <c r="CW414" s="630"/>
      <c r="CX414" s="630"/>
      <c r="CY414" s="630"/>
      <c r="CZ414" s="630"/>
      <c r="DA414" s="630"/>
    </row>
    <row r="415" spans="2:105" s="78" customFormat="1" ht="15" customHeight="1" x14ac:dyDescent="0.25">
      <c r="B415" s="77"/>
      <c r="E415" s="77"/>
      <c r="H415" s="77"/>
      <c r="Y415" s="90">
        <v>162</v>
      </c>
      <c r="Z415" s="559" t="str">
        <f>IF(Inventory!$C171="","",VLOOKUP(Inventory!$C171,$B$7:$C$9,2,FALSE))</f>
        <v/>
      </c>
      <c r="AA415" s="559" t="str">
        <f>IF($Z415="","",IF(AND($Z415="b",Inventory!$G171=""),"",IF(AND($Z415="b",Inventory!$G171&lt;&gt;""),VLOOKUP(Inventory!$G171,$E$3:$F$10,2,FALSE),IF(AND($Z415="a",Inventory!$Z171=""),"",IF(AND($Z415="a",Inventory!$Z171&lt;&gt;""),VLOOKUP(Inventory!$Z171,$E$3:$F$10,2,FALSE),IF(AND($Z415="c",Inventory!$Z171=""),"",IF(AND($Z415="c",Inventory!$Z171&lt;&gt;""),VLOOKUP(Inventory!$Z171,$E$3:$F$10,2,FALSE),"")))))))</f>
        <v/>
      </c>
      <c r="AB415" s="559" t="str">
        <f>IF($Z415="","a",IF(AND($Z415="b",Inventory!$J171=""),"a",IF(AND($Z415="b",Inventory!$J171&lt;&gt;""),VLOOKUP(Inventory!$J171,$H$4:$I$6,2,FALSE),IF(AND($Z415="a",Inventory!$AA171=""),"a",IF(AND($Z415="a",Inventory!$AA171&lt;&gt;""),VLOOKUP(Inventory!$AA171,$H$4:$I$6,2,FALSE),IF(AND($Z415="c",Inventory!$AA171=""),"a",IF(AND($Z415="c",Inventory!$AA171&lt;&gt;""),VLOOKUP(Inventory!$AA171,$H$4:$I$6,2,FALSE),"a")))))))</f>
        <v>a</v>
      </c>
      <c r="AC415" s="559" t="str">
        <f t="shared" si="300"/>
        <v>a</v>
      </c>
      <c r="AD415" s="473" t="str">
        <f>IF($Z415="","a",IF(AND($Z415="b",Inventory!$L171=""),"a",IF(AND($Z415="b",Inventory!$L171&lt;&gt;""),VLOOKUP(Inventory!$L171,$N$4:$O$5,2,FALSE),IF(AND($Z415="a",Inventory!$AC171=""),"a",IF(AND($Z415="a",Inventory!$AC171&lt;&gt;""),VLOOKUP(Inventory!$AC171,$N$4:$O$5,2,FALSE),IF(AND($Z415="c",Inventory!$AC171=""),"a",IF(AND($Z415="c",Inventory!$AC171&lt;&gt;""),VLOOKUP(Inventory!$AC171,$N$4:$O$5,2,FALSE),"a")))))))</f>
        <v>a</v>
      </c>
      <c r="AE415" s="474">
        <f>IF(OR(Inventory!C171="New Construction",Inventory!C171="Replace-on-Burnout"),Inventory!AF171,IF(Inventory!C171="Early Retirement",MIN(Inventory!AE171,Inventory!AF171),0))</f>
        <v>0</v>
      </c>
      <c r="AF415" s="475" t="str">
        <f t="shared" si="301"/>
        <v/>
      </c>
      <c r="AG415" s="475" t="str">
        <f t="shared" si="302"/>
        <v/>
      </c>
      <c r="AH415" s="475" t="str">
        <f t="shared" si="303"/>
        <v/>
      </c>
      <c r="AI415" s="475" t="str">
        <f t="shared" si="304"/>
        <v/>
      </c>
      <c r="AJ415" s="475" t="str">
        <f t="shared" si="305"/>
        <v/>
      </c>
      <c r="AK415" s="475" t="str">
        <f t="shared" si="306"/>
        <v/>
      </c>
      <c r="AL415" s="475" t="str">
        <f t="shared" si="307"/>
        <v/>
      </c>
      <c r="AM415" s="475" t="str">
        <f t="shared" si="308"/>
        <v/>
      </c>
      <c r="AN415" s="475" t="str">
        <f t="shared" si="309"/>
        <v/>
      </c>
      <c r="AO415" s="475" t="str">
        <f t="shared" si="310"/>
        <v/>
      </c>
      <c r="AP415" s="475" t="str">
        <f t="shared" si="311"/>
        <v/>
      </c>
      <c r="AQ415" s="475" t="str">
        <f t="shared" si="312"/>
        <v/>
      </c>
      <c r="AR415" s="475" t="str">
        <f t="shared" si="313"/>
        <v/>
      </c>
      <c r="AS415" s="475" t="str">
        <f t="shared" si="296"/>
        <v/>
      </c>
      <c r="AT415" s="475" t="str">
        <f t="shared" si="314"/>
        <v/>
      </c>
      <c r="AU415" s="475" t="str">
        <f t="shared" si="315"/>
        <v/>
      </c>
      <c r="AV415" s="475" t="str">
        <f t="shared" si="316"/>
        <v/>
      </c>
      <c r="AW415" s="473">
        <f t="shared" si="317"/>
        <v>0</v>
      </c>
      <c r="AX415" s="473" t="str">
        <f>IF(AND($Z415="b",OR($AA415="a",$AA415="b"),Inventory!$I171="",$AE415&lt;(65000/12000)),"x",IF(AND($Z415="b",OR($AA415="a",$AA415="b"),Inventory!$I171&lt;&gt;"",$AE415&lt;(65000/12000)),VLOOKUP(Inventory!$I422,$V$4:$W$5,2,FALSE),"x"))</f>
        <v>x</v>
      </c>
      <c r="AY415" s="476" t="str">
        <f t="shared" si="318"/>
        <v>aaa0</v>
      </c>
      <c r="AZ415" s="477" t="str">
        <f t="shared" si="287"/>
        <v>No</v>
      </c>
      <c r="BA415" s="759" t="str">
        <f t="shared" si="288"/>
        <v>No</v>
      </c>
      <c r="BB415" s="477">
        <f>IF($Z415="c",Inventory!$AB171,Inventory!$K171)</f>
        <v>0</v>
      </c>
      <c r="BC415" s="478">
        <f>IF(AND($Z415="b",Inventory!$N171="Btu/hr"),Inventory!$M171,IF(AND($Z415="b",Inventory!$N171="Tons"),Inventory!$M171*12000,IF(AND($Z415&lt;&gt;"b",Inventory!$AK171="Btu/hr"),Inventory!$AD171,IF(AND($Z415&lt;&gt;"b",Inventory!$AK171="Tons"),Inventory!$AD171*12000,0))))</f>
        <v>0</v>
      </c>
      <c r="BD415" s="478">
        <f t="shared" si="285"/>
        <v>0</v>
      </c>
      <c r="BE415" s="479">
        <f t="shared" si="297"/>
        <v>0</v>
      </c>
      <c r="BF415" s="477" t="s">
        <v>50</v>
      </c>
      <c r="BG415" s="479">
        <f t="shared" si="319"/>
        <v>0</v>
      </c>
      <c r="BH415" s="477" t="s">
        <v>46</v>
      </c>
      <c r="BI415" s="760">
        <f>IF(AND($Z415="b",Inventory!$P171="Btu/hr"),Inventory!$O171,IF(AND($Z415="b",Inventory!$P171="Tons"),Inventory!$O171*12000,IF(AND($Z415&lt;&gt;"b",Inventory!$AM171="Btu/hr"),Inventory!$AL171,IF(AND($Z415&lt;&gt;"b",Inventory!$AM171="Tons"),Inventory!$AL171*12000,0))))</f>
        <v>0</v>
      </c>
      <c r="BJ415" s="760">
        <f t="shared" si="286"/>
        <v>0</v>
      </c>
      <c r="BK415" s="598">
        <f t="shared" si="289"/>
        <v>0</v>
      </c>
      <c r="BL415" s="759" t="s">
        <v>567</v>
      </c>
      <c r="BM415" s="477" t="str">
        <f t="shared" si="320"/>
        <v>No</v>
      </c>
      <c r="BN415" s="477" t="str">
        <f>IF(OR(Inventory!$H171="",$BM415="No"),"-",Inventory!$H171)</f>
        <v>-</v>
      </c>
      <c r="BO415" s="477" t="str">
        <f>IFERROR(VLOOKUP(BN415,'Early Retirement'!$B$6:$C$33,2,FALSE),"-")</f>
        <v>-</v>
      </c>
      <c r="BP415" s="477" t="str">
        <f>IF(Inventory!$J171="Centrifugal","Yes","No")</f>
        <v>No</v>
      </c>
      <c r="BQ415" s="477">
        <f t="shared" si="321"/>
        <v>0</v>
      </c>
      <c r="BR415" s="477" t="str">
        <f t="shared" si="299"/>
        <v>-</v>
      </c>
      <c r="BS415" s="479">
        <f>IFERROR(INDEX('Early Retirement'!$C$4:$AC$33,$BO415,$BR415),0)</f>
        <v>0</v>
      </c>
      <c r="BT415" s="477">
        <f>IFERROR(HLOOKUP($BR415,'Early Retirement'!$D$4:$AC$5,2,FALSE),0)</f>
        <v>0</v>
      </c>
      <c r="BU415" s="761">
        <f>IFERROR(INDEX('Early Retirement'!$AE$4:$BE$33,$BO415,$BR415),0)</f>
        <v>0</v>
      </c>
      <c r="BV415" s="759">
        <f>IFERROR(HLOOKUP($BR415,'Early Retirement'!$AF$4:$BE$5,2,FALSE),0)</f>
        <v>0</v>
      </c>
      <c r="BW415" s="479">
        <f t="shared" si="322"/>
        <v>0</v>
      </c>
      <c r="BX415" s="761">
        <f t="shared" si="290"/>
        <v>0</v>
      </c>
      <c r="BY415" s="477" t="s">
        <v>46</v>
      </c>
      <c r="BZ415" s="598">
        <f>IFERROR(INDEX('Early Retirement'!$BG$4:$CG$33,$BO415,$BR415),0)</f>
        <v>0</v>
      </c>
      <c r="CA415" s="759">
        <f>IFERROR(HLOOKUP($BR415,'Early Retirement'!$BH$4:$CH$5,2,FALSE),0)</f>
        <v>0</v>
      </c>
      <c r="CB415" s="598">
        <f t="shared" si="291"/>
        <v>0</v>
      </c>
      <c r="CC415" s="759" t="s">
        <v>567</v>
      </c>
      <c r="CD415" s="477" t="str">
        <f t="shared" si="323"/>
        <v>Yes</v>
      </c>
      <c r="CE415" s="479">
        <f t="shared" si="292"/>
        <v>0</v>
      </c>
      <c r="CF415" s="761">
        <f t="shared" si="293"/>
        <v>0</v>
      </c>
      <c r="CG415" s="759" t="s">
        <v>46</v>
      </c>
      <c r="CH415" s="598">
        <f t="shared" si="298"/>
        <v>0</v>
      </c>
      <c r="CI415" s="759" t="s">
        <v>567</v>
      </c>
      <c r="CJ415" s="480">
        <f t="shared" si="324"/>
        <v>0</v>
      </c>
      <c r="CK415" s="583">
        <f t="shared" si="294"/>
        <v>0</v>
      </c>
      <c r="CL415" s="596" t="s">
        <v>46</v>
      </c>
      <c r="CM415" s="581">
        <f t="shared" si="295"/>
        <v>0</v>
      </c>
      <c r="CN415" s="762" t="s">
        <v>567</v>
      </c>
      <c r="CW415" s="630"/>
      <c r="CX415" s="630"/>
      <c r="CY415" s="630"/>
      <c r="CZ415" s="630"/>
      <c r="DA415" s="630"/>
    </row>
    <row r="416" spans="2:105" s="78" customFormat="1" ht="15" customHeight="1" x14ac:dyDescent="0.25">
      <c r="B416" s="77"/>
      <c r="E416" s="77"/>
      <c r="H416" s="77"/>
      <c r="Y416" s="90">
        <v>163</v>
      </c>
      <c r="Z416" s="559" t="str">
        <f>IF(Inventory!$C172="","",VLOOKUP(Inventory!$C172,$B$7:$C$9,2,FALSE))</f>
        <v/>
      </c>
      <c r="AA416" s="559" t="str">
        <f>IF($Z416="","",IF(AND($Z416="b",Inventory!$G172=""),"",IF(AND($Z416="b",Inventory!$G172&lt;&gt;""),VLOOKUP(Inventory!$G172,$E$3:$F$10,2,FALSE),IF(AND($Z416="a",Inventory!$Z172=""),"",IF(AND($Z416="a",Inventory!$Z172&lt;&gt;""),VLOOKUP(Inventory!$Z172,$E$3:$F$10,2,FALSE),IF(AND($Z416="c",Inventory!$Z172=""),"",IF(AND($Z416="c",Inventory!$Z172&lt;&gt;""),VLOOKUP(Inventory!$Z172,$E$3:$F$10,2,FALSE),"")))))))</f>
        <v/>
      </c>
      <c r="AB416" s="559" t="str">
        <f>IF($Z416="","a",IF(AND($Z416="b",Inventory!$J172=""),"a",IF(AND($Z416="b",Inventory!$J172&lt;&gt;""),VLOOKUP(Inventory!$J172,$H$4:$I$6,2,FALSE),IF(AND($Z416="a",Inventory!$AA172=""),"a",IF(AND($Z416="a",Inventory!$AA172&lt;&gt;""),VLOOKUP(Inventory!$AA172,$H$4:$I$6,2,FALSE),IF(AND($Z416="c",Inventory!$AA172=""),"a",IF(AND($Z416="c",Inventory!$AA172&lt;&gt;""),VLOOKUP(Inventory!$AA172,$H$4:$I$6,2,FALSE),"a")))))))</f>
        <v>a</v>
      </c>
      <c r="AC416" s="559" t="str">
        <f t="shared" si="300"/>
        <v>a</v>
      </c>
      <c r="AD416" s="473" t="str">
        <f>IF($Z416="","a",IF(AND($Z416="b",Inventory!$L172=""),"a",IF(AND($Z416="b",Inventory!$L172&lt;&gt;""),VLOOKUP(Inventory!$L172,$N$4:$O$5,2,FALSE),IF(AND($Z416="a",Inventory!$AC172=""),"a",IF(AND($Z416="a",Inventory!$AC172&lt;&gt;""),VLOOKUP(Inventory!$AC172,$N$4:$O$5,2,FALSE),IF(AND($Z416="c",Inventory!$AC172=""),"a",IF(AND($Z416="c",Inventory!$AC172&lt;&gt;""),VLOOKUP(Inventory!$AC172,$N$4:$O$5,2,FALSE),"a")))))))</f>
        <v>a</v>
      </c>
      <c r="AE416" s="474">
        <f>IF(OR(Inventory!C172="New Construction",Inventory!C172="Replace-on-Burnout"),Inventory!AF172,IF(Inventory!C172="Early Retirement",MIN(Inventory!AE172,Inventory!AF172),0))</f>
        <v>0</v>
      </c>
      <c r="AF416" s="475" t="str">
        <f t="shared" si="301"/>
        <v/>
      </c>
      <c r="AG416" s="475" t="str">
        <f t="shared" si="302"/>
        <v/>
      </c>
      <c r="AH416" s="475" t="str">
        <f t="shared" si="303"/>
        <v/>
      </c>
      <c r="AI416" s="475" t="str">
        <f t="shared" si="304"/>
        <v/>
      </c>
      <c r="AJ416" s="475" t="str">
        <f t="shared" si="305"/>
        <v/>
      </c>
      <c r="AK416" s="475" t="str">
        <f t="shared" si="306"/>
        <v/>
      </c>
      <c r="AL416" s="475" t="str">
        <f t="shared" si="307"/>
        <v/>
      </c>
      <c r="AM416" s="475" t="str">
        <f t="shared" si="308"/>
        <v/>
      </c>
      <c r="AN416" s="475" t="str">
        <f t="shared" si="309"/>
        <v/>
      </c>
      <c r="AO416" s="475" t="str">
        <f t="shared" si="310"/>
        <v/>
      </c>
      <c r="AP416" s="475" t="str">
        <f t="shared" si="311"/>
        <v/>
      </c>
      <c r="AQ416" s="475" t="str">
        <f t="shared" si="312"/>
        <v/>
      </c>
      <c r="AR416" s="475" t="str">
        <f t="shared" si="313"/>
        <v/>
      </c>
      <c r="AS416" s="475" t="str">
        <f t="shared" si="296"/>
        <v/>
      </c>
      <c r="AT416" s="475" t="str">
        <f t="shared" si="314"/>
        <v/>
      </c>
      <c r="AU416" s="475" t="str">
        <f t="shared" si="315"/>
        <v/>
      </c>
      <c r="AV416" s="475" t="str">
        <f t="shared" si="316"/>
        <v/>
      </c>
      <c r="AW416" s="473">
        <f t="shared" si="317"/>
        <v>0</v>
      </c>
      <c r="AX416" s="473" t="str">
        <f>IF(AND($Z416="b",OR($AA416="a",$AA416="b"),Inventory!$I172="",$AE416&lt;(65000/12000)),"x",IF(AND($Z416="b",OR($AA416="a",$AA416="b"),Inventory!$I172&lt;&gt;"",$AE416&lt;(65000/12000)),VLOOKUP(Inventory!$I423,$V$4:$W$5,2,FALSE),"x"))</f>
        <v>x</v>
      </c>
      <c r="AY416" s="476" t="str">
        <f t="shared" si="318"/>
        <v>aaa0</v>
      </c>
      <c r="AZ416" s="477" t="str">
        <f t="shared" si="287"/>
        <v>No</v>
      </c>
      <c r="BA416" s="759" t="str">
        <f t="shared" si="288"/>
        <v>No</v>
      </c>
      <c r="BB416" s="477">
        <f>IF($Z416="c",Inventory!$AB172,Inventory!$K172)</f>
        <v>0</v>
      </c>
      <c r="BC416" s="478">
        <f>IF(AND($Z416="b",Inventory!$N172="Btu/hr"),Inventory!$M172,IF(AND($Z416="b",Inventory!$N172="Tons"),Inventory!$M172*12000,IF(AND($Z416&lt;&gt;"b",Inventory!$AK172="Btu/hr"),Inventory!$AD172,IF(AND($Z416&lt;&gt;"b",Inventory!$AK172="Tons"),Inventory!$AD172*12000,0))))</f>
        <v>0</v>
      </c>
      <c r="BD416" s="478">
        <f t="shared" si="285"/>
        <v>0</v>
      </c>
      <c r="BE416" s="479">
        <f t="shared" si="297"/>
        <v>0</v>
      </c>
      <c r="BF416" s="477" t="s">
        <v>50</v>
      </c>
      <c r="BG416" s="479">
        <f t="shared" si="319"/>
        <v>0</v>
      </c>
      <c r="BH416" s="477" t="s">
        <v>46</v>
      </c>
      <c r="BI416" s="760">
        <f>IF(AND($Z416="b",Inventory!$P172="Btu/hr"),Inventory!$O172,IF(AND($Z416="b",Inventory!$P172="Tons"),Inventory!$O172*12000,IF(AND($Z416&lt;&gt;"b",Inventory!$AM172="Btu/hr"),Inventory!$AL172,IF(AND($Z416&lt;&gt;"b",Inventory!$AM172="Tons"),Inventory!$AL172*12000,0))))</f>
        <v>0</v>
      </c>
      <c r="BJ416" s="760">
        <f t="shared" si="286"/>
        <v>0</v>
      </c>
      <c r="BK416" s="598">
        <f t="shared" si="289"/>
        <v>0</v>
      </c>
      <c r="BL416" s="759" t="s">
        <v>567</v>
      </c>
      <c r="BM416" s="477" t="str">
        <f t="shared" si="320"/>
        <v>No</v>
      </c>
      <c r="BN416" s="477" t="str">
        <f>IF(OR(Inventory!$H172="",$BM416="No"),"-",Inventory!$H172)</f>
        <v>-</v>
      </c>
      <c r="BO416" s="477" t="str">
        <f>IFERROR(VLOOKUP(BN416,'Early Retirement'!$B$6:$C$33,2,FALSE),"-")</f>
        <v>-</v>
      </c>
      <c r="BP416" s="477" t="str">
        <f>IF(Inventory!$J172="Centrifugal","Yes","No")</f>
        <v>No</v>
      </c>
      <c r="BQ416" s="477">
        <f t="shared" si="321"/>
        <v>0</v>
      </c>
      <c r="BR416" s="477" t="str">
        <f t="shared" si="299"/>
        <v>-</v>
      </c>
      <c r="BS416" s="479">
        <f>IFERROR(INDEX('Early Retirement'!$C$4:$AC$33,$BO416,$BR416),0)</f>
        <v>0</v>
      </c>
      <c r="BT416" s="477">
        <f>IFERROR(HLOOKUP($BR416,'Early Retirement'!$D$4:$AC$5,2,FALSE),0)</f>
        <v>0</v>
      </c>
      <c r="BU416" s="761">
        <f>IFERROR(INDEX('Early Retirement'!$AE$4:$BE$33,$BO416,$BR416),0)</f>
        <v>0</v>
      </c>
      <c r="BV416" s="759">
        <f>IFERROR(HLOOKUP($BR416,'Early Retirement'!$AF$4:$BE$5,2,FALSE),0)</f>
        <v>0</v>
      </c>
      <c r="BW416" s="479">
        <f t="shared" si="322"/>
        <v>0</v>
      </c>
      <c r="BX416" s="761">
        <f t="shared" si="290"/>
        <v>0</v>
      </c>
      <c r="BY416" s="477" t="s">
        <v>46</v>
      </c>
      <c r="BZ416" s="598">
        <f>IFERROR(INDEX('Early Retirement'!$BG$4:$CG$33,$BO416,$BR416),0)</f>
        <v>0</v>
      </c>
      <c r="CA416" s="759">
        <f>IFERROR(HLOOKUP($BR416,'Early Retirement'!$BH$4:$CH$5,2,FALSE),0)</f>
        <v>0</v>
      </c>
      <c r="CB416" s="598">
        <f t="shared" si="291"/>
        <v>0</v>
      </c>
      <c r="CC416" s="759" t="s">
        <v>567</v>
      </c>
      <c r="CD416" s="477" t="str">
        <f t="shared" si="323"/>
        <v>Yes</v>
      </c>
      <c r="CE416" s="479">
        <f t="shared" si="292"/>
        <v>0</v>
      </c>
      <c r="CF416" s="761">
        <f t="shared" si="293"/>
        <v>0</v>
      </c>
      <c r="CG416" s="759" t="s">
        <v>46</v>
      </c>
      <c r="CH416" s="598">
        <f t="shared" si="298"/>
        <v>0</v>
      </c>
      <c r="CI416" s="759" t="s">
        <v>567</v>
      </c>
      <c r="CJ416" s="480">
        <f t="shared" si="324"/>
        <v>0</v>
      </c>
      <c r="CK416" s="583">
        <f t="shared" si="294"/>
        <v>0</v>
      </c>
      <c r="CL416" s="596" t="s">
        <v>46</v>
      </c>
      <c r="CM416" s="581">
        <f t="shared" si="295"/>
        <v>0</v>
      </c>
      <c r="CN416" s="762" t="s">
        <v>567</v>
      </c>
      <c r="CW416" s="630"/>
      <c r="CX416" s="630"/>
      <c r="CY416" s="630"/>
      <c r="CZ416" s="630"/>
      <c r="DA416" s="630"/>
    </row>
    <row r="417" spans="2:105" s="78" customFormat="1" ht="15" customHeight="1" x14ac:dyDescent="0.25">
      <c r="B417" s="77"/>
      <c r="E417" s="77"/>
      <c r="H417" s="77"/>
      <c r="Y417" s="90">
        <v>164</v>
      </c>
      <c r="Z417" s="559" t="str">
        <f>IF(Inventory!$C173="","",VLOOKUP(Inventory!$C173,$B$7:$C$9,2,FALSE))</f>
        <v/>
      </c>
      <c r="AA417" s="559" t="str">
        <f>IF($Z417="","",IF(AND($Z417="b",Inventory!$G173=""),"",IF(AND($Z417="b",Inventory!$G173&lt;&gt;""),VLOOKUP(Inventory!$G173,$E$3:$F$10,2,FALSE),IF(AND($Z417="a",Inventory!$Z173=""),"",IF(AND($Z417="a",Inventory!$Z173&lt;&gt;""),VLOOKUP(Inventory!$Z173,$E$3:$F$10,2,FALSE),IF(AND($Z417="c",Inventory!$Z173=""),"",IF(AND($Z417="c",Inventory!$Z173&lt;&gt;""),VLOOKUP(Inventory!$Z173,$E$3:$F$10,2,FALSE),"")))))))</f>
        <v/>
      </c>
      <c r="AB417" s="559" t="str">
        <f>IF($Z417="","a",IF(AND($Z417="b",Inventory!$J173=""),"a",IF(AND($Z417="b",Inventory!$J173&lt;&gt;""),VLOOKUP(Inventory!$J173,$H$4:$I$6,2,FALSE),IF(AND($Z417="a",Inventory!$AA173=""),"a",IF(AND($Z417="a",Inventory!$AA173&lt;&gt;""),VLOOKUP(Inventory!$AA173,$H$4:$I$6,2,FALSE),IF(AND($Z417="c",Inventory!$AA173=""),"a",IF(AND($Z417="c",Inventory!$AA173&lt;&gt;""),VLOOKUP(Inventory!$AA173,$H$4:$I$6,2,FALSE),"a")))))))</f>
        <v>a</v>
      </c>
      <c r="AC417" s="559" t="str">
        <f t="shared" si="300"/>
        <v>a</v>
      </c>
      <c r="AD417" s="473" t="str">
        <f>IF($Z417="","a",IF(AND($Z417="b",Inventory!$L173=""),"a",IF(AND($Z417="b",Inventory!$L173&lt;&gt;""),VLOOKUP(Inventory!$L173,$N$4:$O$5,2,FALSE),IF(AND($Z417="a",Inventory!$AC173=""),"a",IF(AND($Z417="a",Inventory!$AC173&lt;&gt;""),VLOOKUP(Inventory!$AC173,$N$4:$O$5,2,FALSE),IF(AND($Z417="c",Inventory!$AC173=""),"a",IF(AND($Z417="c",Inventory!$AC173&lt;&gt;""),VLOOKUP(Inventory!$AC173,$N$4:$O$5,2,FALSE),"a")))))))</f>
        <v>a</v>
      </c>
      <c r="AE417" s="474">
        <f>IF(OR(Inventory!C173="New Construction",Inventory!C173="Replace-on-Burnout"),Inventory!AF173,IF(Inventory!C173="Early Retirement",MIN(Inventory!AE173,Inventory!AF173),0))</f>
        <v>0</v>
      </c>
      <c r="AF417" s="475" t="str">
        <f t="shared" si="301"/>
        <v/>
      </c>
      <c r="AG417" s="475" t="str">
        <f t="shared" si="302"/>
        <v/>
      </c>
      <c r="AH417" s="475" t="str">
        <f t="shared" si="303"/>
        <v/>
      </c>
      <c r="AI417" s="475" t="str">
        <f t="shared" si="304"/>
        <v/>
      </c>
      <c r="AJ417" s="475" t="str">
        <f t="shared" si="305"/>
        <v/>
      </c>
      <c r="AK417" s="475" t="str">
        <f t="shared" si="306"/>
        <v/>
      </c>
      <c r="AL417" s="475" t="str">
        <f t="shared" si="307"/>
        <v/>
      </c>
      <c r="AM417" s="475" t="str">
        <f t="shared" si="308"/>
        <v/>
      </c>
      <c r="AN417" s="475" t="str">
        <f t="shared" si="309"/>
        <v/>
      </c>
      <c r="AO417" s="475" t="str">
        <f t="shared" si="310"/>
        <v/>
      </c>
      <c r="AP417" s="475" t="str">
        <f t="shared" si="311"/>
        <v/>
      </c>
      <c r="AQ417" s="475" t="str">
        <f t="shared" si="312"/>
        <v/>
      </c>
      <c r="AR417" s="475" t="str">
        <f t="shared" si="313"/>
        <v/>
      </c>
      <c r="AS417" s="475" t="str">
        <f t="shared" si="296"/>
        <v/>
      </c>
      <c r="AT417" s="475" t="str">
        <f t="shared" si="314"/>
        <v/>
      </c>
      <c r="AU417" s="475" t="str">
        <f t="shared" si="315"/>
        <v/>
      </c>
      <c r="AV417" s="475" t="str">
        <f t="shared" si="316"/>
        <v/>
      </c>
      <c r="AW417" s="473">
        <f t="shared" si="317"/>
        <v>0</v>
      </c>
      <c r="AX417" s="473" t="str">
        <f>IF(AND($Z417="b",OR($AA417="a",$AA417="b"),Inventory!$I173="",$AE417&lt;(65000/12000)),"x",IF(AND($Z417="b",OR($AA417="a",$AA417="b"),Inventory!$I173&lt;&gt;"",$AE417&lt;(65000/12000)),VLOOKUP(Inventory!$I424,$V$4:$W$5,2,FALSE),"x"))</f>
        <v>x</v>
      </c>
      <c r="AY417" s="476" t="str">
        <f t="shared" si="318"/>
        <v>aaa0</v>
      </c>
      <c r="AZ417" s="477" t="str">
        <f t="shared" si="287"/>
        <v>No</v>
      </c>
      <c r="BA417" s="759" t="str">
        <f t="shared" si="288"/>
        <v>No</v>
      </c>
      <c r="BB417" s="477">
        <f>IF($Z417="c",Inventory!$AB173,Inventory!$K173)</f>
        <v>0</v>
      </c>
      <c r="BC417" s="478">
        <f>IF(AND($Z417="b",Inventory!$N173="Btu/hr"),Inventory!$M173,IF(AND($Z417="b",Inventory!$N173="Tons"),Inventory!$M173*12000,IF(AND($Z417&lt;&gt;"b",Inventory!$AK173="Btu/hr"),Inventory!$AD173,IF(AND($Z417&lt;&gt;"b",Inventory!$AK173="Tons"),Inventory!$AD173*12000,0))))</f>
        <v>0</v>
      </c>
      <c r="BD417" s="478">
        <f t="shared" si="285"/>
        <v>0</v>
      </c>
      <c r="BE417" s="479">
        <f t="shared" si="297"/>
        <v>0</v>
      </c>
      <c r="BF417" s="477" t="s">
        <v>50</v>
      </c>
      <c r="BG417" s="479">
        <f t="shared" si="319"/>
        <v>0</v>
      </c>
      <c r="BH417" s="477" t="s">
        <v>46</v>
      </c>
      <c r="BI417" s="760">
        <f>IF(AND($Z417="b",Inventory!$P173="Btu/hr"),Inventory!$O173,IF(AND($Z417="b",Inventory!$P173="Tons"),Inventory!$O173*12000,IF(AND($Z417&lt;&gt;"b",Inventory!$AM173="Btu/hr"),Inventory!$AL173,IF(AND($Z417&lt;&gt;"b",Inventory!$AM173="Tons"),Inventory!$AL173*12000,0))))</f>
        <v>0</v>
      </c>
      <c r="BJ417" s="760">
        <f t="shared" si="286"/>
        <v>0</v>
      </c>
      <c r="BK417" s="598">
        <f t="shared" si="289"/>
        <v>0</v>
      </c>
      <c r="BL417" s="759" t="s">
        <v>567</v>
      </c>
      <c r="BM417" s="477" t="str">
        <f t="shared" si="320"/>
        <v>No</v>
      </c>
      <c r="BN417" s="477" t="str">
        <f>IF(OR(Inventory!$H173="",$BM417="No"),"-",Inventory!$H173)</f>
        <v>-</v>
      </c>
      <c r="BO417" s="477" t="str">
        <f>IFERROR(VLOOKUP(BN417,'Early Retirement'!$B$6:$C$33,2,FALSE),"-")</f>
        <v>-</v>
      </c>
      <c r="BP417" s="477" t="str">
        <f>IF(Inventory!$J173="Centrifugal","Yes","No")</f>
        <v>No</v>
      </c>
      <c r="BQ417" s="477">
        <f t="shared" si="321"/>
        <v>0</v>
      </c>
      <c r="BR417" s="477" t="str">
        <f t="shared" si="299"/>
        <v>-</v>
      </c>
      <c r="BS417" s="479">
        <f>IFERROR(INDEX('Early Retirement'!$C$4:$AC$33,$BO417,$BR417),0)</f>
        <v>0</v>
      </c>
      <c r="BT417" s="477">
        <f>IFERROR(HLOOKUP($BR417,'Early Retirement'!$D$4:$AC$5,2,FALSE),0)</f>
        <v>0</v>
      </c>
      <c r="BU417" s="761">
        <f>IFERROR(INDEX('Early Retirement'!$AE$4:$BE$33,$BO417,$BR417),0)</f>
        <v>0</v>
      </c>
      <c r="BV417" s="759">
        <f>IFERROR(HLOOKUP($BR417,'Early Retirement'!$AF$4:$BE$5,2,FALSE),0)</f>
        <v>0</v>
      </c>
      <c r="BW417" s="479">
        <f t="shared" si="322"/>
        <v>0</v>
      </c>
      <c r="BX417" s="761">
        <f t="shared" si="290"/>
        <v>0</v>
      </c>
      <c r="BY417" s="477" t="s">
        <v>46</v>
      </c>
      <c r="BZ417" s="598">
        <f>IFERROR(INDEX('Early Retirement'!$BG$4:$CG$33,$BO417,$BR417),0)</f>
        <v>0</v>
      </c>
      <c r="CA417" s="759">
        <f>IFERROR(HLOOKUP($BR417,'Early Retirement'!$BH$4:$CH$5,2,FALSE),0)</f>
        <v>0</v>
      </c>
      <c r="CB417" s="598">
        <f t="shared" si="291"/>
        <v>0</v>
      </c>
      <c r="CC417" s="759" t="s">
        <v>567</v>
      </c>
      <c r="CD417" s="477" t="str">
        <f t="shared" si="323"/>
        <v>Yes</v>
      </c>
      <c r="CE417" s="479">
        <f t="shared" si="292"/>
        <v>0</v>
      </c>
      <c r="CF417" s="761">
        <f t="shared" si="293"/>
        <v>0</v>
      </c>
      <c r="CG417" s="759" t="s">
        <v>46</v>
      </c>
      <c r="CH417" s="598">
        <f t="shared" si="298"/>
        <v>0</v>
      </c>
      <c r="CI417" s="759" t="s">
        <v>567</v>
      </c>
      <c r="CJ417" s="480">
        <f t="shared" si="324"/>
        <v>0</v>
      </c>
      <c r="CK417" s="583">
        <f t="shared" si="294"/>
        <v>0</v>
      </c>
      <c r="CL417" s="596" t="s">
        <v>46</v>
      </c>
      <c r="CM417" s="581">
        <f t="shared" si="295"/>
        <v>0</v>
      </c>
      <c r="CN417" s="762" t="s">
        <v>567</v>
      </c>
      <c r="CW417" s="630"/>
      <c r="CX417" s="630"/>
      <c r="CY417" s="630"/>
      <c r="CZ417" s="630"/>
      <c r="DA417" s="630"/>
    </row>
    <row r="418" spans="2:105" s="78" customFormat="1" ht="15" customHeight="1" x14ac:dyDescent="0.25">
      <c r="B418" s="77"/>
      <c r="E418" s="77"/>
      <c r="H418" s="77"/>
      <c r="Y418" s="90">
        <v>165</v>
      </c>
      <c r="Z418" s="559" t="str">
        <f>IF(Inventory!$C174="","",VLOOKUP(Inventory!$C174,$B$7:$C$9,2,FALSE))</f>
        <v/>
      </c>
      <c r="AA418" s="559" t="str">
        <f>IF($Z418="","",IF(AND($Z418="b",Inventory!$G174=""),"",IF(AND($Z418="b",Inventory!$G174&lt;&gt;""),VLOOKUP(Inventory!$G174,$E$3:$F$10,2,FALSE),IF(AND($Z418="a",Inventory!$Z174=""),"",IF(AND($Z418="a",Inventory!$Z174&lt;&gt;""),VLOOKUP(Inventory!$Z174,$E$3:$F$10,2,FALSE),IF(AND($Z418="c",Inventory!$Z174=""),"",IF(AND($Z418="c",Inventory!$Z174&lt;&gt;""),VLOOKUP(Inventory!$Z174,$E$3:$F$10,2,FALSE),"")))))))</f>
        <v/>
      </c>
      <c r="AB418" s="559" t="str">
        <f>IF($Z418="","a",IF(AND($Z418="b",Inventory!$J174=""),"a",IF(AND($Z418="b",Inventory!$J174&lt;&gt;""),VLOOKUP(Inventory!$J174,$H$4:$I$6,2,FALSE),IF(AND($Z418="a",Inventory!$AA174=""),"a",IF(AND($Z418="a",Inventory!$AA174&lt;&gt;""),VLOOKUP(Inventory!$AA174,$H$4:$I$6,2,FALSE),IF(AND($Z418="c",Inventory!$AA174=""),"a",IF(AND($Z418="c",Inventory!$AA174&lt;&gt;""),VLOOKUP(Inventory!$AA174,$H$4:$I$6,2,FALSE),"a")))))))</f>
        <v>a</v>
      </c>
      <c r="AC418" s="559" t="str">
        <f t="shared" si="300"/>
        <v>a</v>
      </c>
      <c r="AD418" s="473" t="str">
        <f>IF($Z418="","a",IF(AND($Z418="b",Inventory!$L174=""),"a",IF(AND($Z418="b",Inventory!$L174&lt;&gt;""),VLOOKUP(Inventory!$L174,$N$4:$O$5,2,FALSE),IF(AND($Z418="a",Inventory!$AC174=""),"a",IF(AND($Z418="a",Inventory!$AC174&lt;&gt;""),VLOOKUP(Inventory!$AC174,$N$4:$O$5,2,FALSE),IF(AND($Z418="c",Inventory!$AC174=""),"a",IF(AND($Z418="c",Inventory!$AC174&lt;&gt;""),VLOOKUP(Inventory!$AC174,$N$4:$O$5,2,FALSE),"a")))))))</f>
        <v>a</v>
      </c>
      <c r="AE418" s="474">
        <f>IF(OR(Inventory!C174="New Construction",Inventory!C174="Replace-on-Burnout"),Inventory!AF174,IF(Inventory!C174="Early Retirement",MIN(Inventory!AE174,Inventory!AF174),0))</f>
        <v>0</v>
      </c>
      <c r="AF418" s="475" t="str">
        <f t="shared" si="301"/>
        <v/>
      </c>
      <c r="AG418" s="475" t="str">
        <f t="shared" si="302"/>
        <v/>
      </c>
      <c r="AH418" s="475" t="str">
        <f t="shared" si="303"/>
        <v/>
      </c>
      <c r="AI418" s="475" t="str">
        <f t="shared" si="304"/>
        <v/>
      </c>
      <c r="AJ418" s="475" t="str">
        <f t="shared" si="305"/>
        <v/>
      </c>
      <c r="AK418" s="475" t="str">
        <f t="shared" si="306"/>
        <v/>
      </c>
      <c r="AL418" s="475" t="str">
        <f t="shared" si="307"/>
        <v/>
      </c>
      <c r="AM418" s="475" t="str">
        <f t="shared" si="308"/>
        <v/>
      </c>
      <c r="AN418" s="475" t="str">
        <f t="shared" si="309"/>
        <v/>
      </c>
      <c r="AO418" s="475" t="str">
        <f t="shared" si="310"/>
        <v/>
      </c>
      <c r="AP418" s="475" t="str">
        <f t="shared" si="311"/>
        <v/>
      </c>
      <c r="AQ418" s="475" t="str">
        <f t="shared" si="312"/>
        <v/>
      </c>
      <c r="AR418" s="475" t="str">
        <f t="shared" si="313"/>
        <v/>
      </c>
      <c r="AS418" s="475" t="str">
        <f t="shared" si="296"/>
        <v/>
      </c>
      <c r="AT418" s="475" t="str">
        <f t="shared" si="314"/>
        <v/>
      </c>
      <c r="AU418" s="475" t="str">
        <f t="shared" si="315"/>
        <v/>
      </c>
      <c r="AV418" s="475" t="str">
        <f t="shared" si="316"/>
        <v/>
      </c>
      <c r="AW418" s="473">
        <f t="shared" si="317"/>
        <v>0</v>
      </c>
      <c r="AX418" s="473" t="str">
        <f>IF(AND($Z418="b",OR($AA418="a",$AA418="b"),Inventory!$I174="",$AE418&lt;(65000/12000)),"x",IF(AND($Z418="b",OR($AA418="a",$AA418="b"),Inventory!$I174&lt;&gt;"",$AE418&lt;(65000/12000)),VLOOKUP(Inventory!$I425,$V$4:$W$5,2,FALSE),"x"))</f>
        <v>x</v>
      </c>
      <c r="AY418" s="476" t="str">
        <f t="shared" si="318"/>
        <v>aaa0</v>
      </c>
      <c r="AZ418" s="477" t="str">
        <f t="shared" si="287"/>
        <v>No</v>
      </c>
      <c r="BA418" s="759" t="str">
        <f t="shared" si="288"/>
        <v>No</v>
      </c>
      <c r="BB418" s="477">
        <f>IF($Z418="c",Inventory!$AB174,Inventory!$K174)</f>
        <v>0</v>
      </c>
      <c r="BC418" s="478">
        <f>IF(AND($Z418="b",Inventory!$N174="Btu/hr"),Inventory!$M174,IF(AND($Z418="b",Inventory!$N174="Tons"),Inventory!$M174*12000,IF(AND($Z418&lt;&gt;"b",Inventory!$AK174="Btu/hr"),Inventory!$AD174,IF(AND($Z418&lt;&gt;"b",Inventory!$AK174="Tons"),Inventory!$AD174*12000,0))))</f>
        <v>0</v>
      </c>
      <c r="BD418" s="478">
        <f t="shared" si="285"/>
        <v>0</v>
      </c>
      <c r="BE418" s="479">
        <f t="shared" si="297"/>
        <v>0</v>
      </c>
      <c r="BF418" s="477" t="s">
        <v>50</v>
      </c>
      <c r="BG418" s="479">
        <f t="shared" si="319"/>
        <v>0</v>
      </c>
      <c r="BH418" s="477" t="s">
        <v>46</v>
      </c>
      <c r="BI418" s="760">
        <f>IF(AND($Z418="b",Inventory!$P174="Btu/hr"),Inventory!$O174,IF(AND($Z418="b",Inventory!$P174="Tons"),Inventory!$O174*12000,IF(AND($Z418&lt;&gt;"b",Inventory!$AM174="Btu/hr"),Inventory!$AL174,IF(AND($Z418&lt;&gt;"b",Inventory!$AM174="Tons"),Inventory!$AL174*12000,0))))</f>
        <v>0</v>
      </c>
      <c r="BJ418" s="760">
        <f t="shared" si="286"/>
        <v>0</v>
      </c>
      <c r="BK418" s="598">
        <f t="shared" si="289"/>
        <v>0</v>
      </c>
      <c r="BL418" s="759" t="s">
        <v>567</v>
      </c>
      <c r="BM418" s="477" t="str">
        <f t="shared" si="320"/>
        <v>No</v>
      </c>
      <c r="BN418" s="477" t="str">
        <f>IF(OR(Inventory!$H174="",$BM418="No"),"-",Inventory!$H174)</f>
        <v>-</v>
      </c>
      <c r="BO418" s="477" t="str">
        <f>IFERROR(VLOOKUP(BN418,'Early Retirement'!$B$6:$C$33,2,FALSE),"-")</f>
        <v>-</v>
      </c>
      <c r="BP418" s="477" t="str">
        <f>IF(Inventory!$J174="Centrifugal","Yes","No")</f>
        <v>No</v>
      </c>
      <c r="BQ418" s="477">
        <f t="shared" si="321"/>
        <v>0</v>
      </c>
      <c r="BR418" s="477" t="str">
        <f t="shared" si="299"/>
        <v>-</v>
      </c>
      <c r="BS418" s="479">
        <f>IFERROR(INDEX('Early Retirement'!$C$4:$AC$33,$BO418,$BR418),0)</f>
        <v>0</v>
      </c>
      <c r="BT418" s="477">
        <f>IFERROR(HLOOKUP($BR418,'Early Retirement'!$D$4:$AC$5,2,FALSE),0)</f>
        <v>0</v>
      </c>
      <c r="BU418" s="761">
        <f>IFERROR(INDEX('Early Retirement'!$AE$4:$BE$33,$BO418,$BR418),0)</f>
        <v>0</v>
      </c>
      <c r="BV418" s="759">
        <f>IFERROR(HLOOKUP($BR418,'Early Retirement'!$AF$4:$BE$5,2,FALSE),0)</f>
        <v>0</v>
      </c>
      <c r="BW418" s="479">
        <f t="shared" si="322"/>
        <v>0</v>
      </c>
      <c r="BX418" s="761">
        <f t="shared" si="290"/>
        <v>0</v>
      </c>
      <c r="BY418" s="477" t="s">
        <v>46</v>
      </c>
      <c r="BZ418" s="598">
        <f>IFERROR(INDEX('Early Retirement'!$BG$4:$CG$33,$BO418,$BR418),0)</f>
        <v>0</v>
      </c>
      <c r="CA418" s="759">
        <f>IFERROR(HLOOKUP($BR418,'Early Retirement'!$BH$4:$CH$5,2,FALSE),0)</f>
        <v>0</v>
      </c>
      <c r="CB418" s="598">
        <f t="shared" si="291"/>
        <v>0</v>
      </c>
      <c r="CC418" s="759" t="s">
        <v>567</v>
      </c>
      <c r="CD418" s="477" t="str">
        <f t="shared" si="323"/>
        <v>Yes</v>
      </c>
      <c r="CE418" s="479">
        <f t="shared" si="292"/>
        <v>0</v>
      </c>
      <c r="CF418" s="761">
        <f t="shared" si="293"/>
        <v>0</v>
      </c>
      <c r="CG418" s="759" t="s">
        <v>46</v>
      </c>
      <c r="CH418" s="598">
        <f t="shared" si="298"/>
        <v>0</v>
      </c>
      <c r="CI418" s="759" t="s">
        <v>567</v>
      </c>
      <c r="CJ418" s="480">
        <f t="shared" si="324"/>
        <v>0</v>
      </c>
      <c r="CK418" s="583">
        <f t="shared" si="294"/>
        <v>0</v>
      </c>
      <c r="CL418" s="596" t="s">
        <v>46</v>
      </c>
      <c r="CM418" s="581">
        <f t="shared" si="295"/>
        <v>0</v>
      </c>
      <c r="CN418" s="762" t="s">
        <v>567</v>
      </c>
      <c r="CW418" s="630"/>
      <c r="CX418" s="630"/>
      <c r="CY418" s="630"/>
      <c r="CZ418" s="630"/>
      <c r="DA418" s="630"/>
    </row>
    <row r="419" spans="2:105" s="78" customFormat="1" ht="15" customHeight="1" x14ac:dyDescent="0.25">
      <c r="B419" s="77"/>
      <c r="E419" s="77"/>
      <c r="H419" s="77"/>
      <c r="Y419" s="90">
        <v>166</v>
      </c>
      <c r="Z419" s="559" t="str">
        <f>IF(Inventory!$C175="","",VLOOKUP(Inventory!$C175,$B$7:$C$9,2,FALSE))</f>
        <v/>
      </c>
      <c r="AA419" s="559" t="str">
        <f>IF($Z419="","",IF(AND($Z419="b",Inventory!$G175=""),"",IF(AND($Z419="b",Inventory!$G175&lt;&gt;""),VLOOKUP(Inventory!$G175,$E$3:$F$10,2,FALSE),IF(AND($Z419="a",Inventory!$Z175=""),"",IF(AND($Z419="a",Inventory!$Z175&lt;&gt;""),VLOOKUP(Inventory!$Z175,$E$3:$F$10,2,FALSE),IF(AND($Z419="c",Inventory!$Z175=""),"",IF(AND($Z419="c",Inventory!$Z175&lt;&gt;""),VLOOKUP(Inventory!$Z175,$E$3:$F$10,2,FALSE),"")))))))</f>
        <v/>
      </c>
      <c r="AB419" s="559" t="str">
        <f>IF($Z419="","a",IF(AND($Z419="b",Inventory!$J175=""),"a",IF(AND($Z419="b",Inventory!$J175&lt;&gt;""),VLOOKUP(Inventory!$J175,$H$4:$I$6,2,FALSE),IF(AND($Z419="a",Inventory!$AA175=""),"a",IF(AND($Z419="a",Inventory!$AA175&lt;&gt;""),VLOOKUP(Inventory!$AA175,$H$4:$I$6,2,FALSE),IF(AND($Z419="c",Inventory!$AA175=""),"a",IF(AND($Z419="c",Inventory!$AA175&lt;&gt;""),VLOOKUP(Inventory!$AA175,$H$4:$I$6,2,FALSE),"a")))))))</f>
        <v>a</v>
      </c>
      <c r="AC419" s="559" t="str">
        <f t="shared" si="300"/>
        <v>a</v>
      </c>
      <c r="AD419" s="473" t="str">
        <f>IF($Z419="","a",IF(AND($Z419="b",Inventory!$L175=""),"a",IF(AND($Z419="b",Inventory!$L175&lt;&gt;""),VLOOKUP(Inventory!$L175,$N$4:$O$5,2,FALSE),IF(AND($Z419="a",Inventory!$AC175=""),"a",IF(AND($Z419="a",Inventory!$AC175&lt;&gt;""),VLOOKUP(Inventory!$AC175,$N$4:$O$5,2,FALSE),IF(AND($Z419="c",Inventory!$AC175=""),"a",IF(AND($Z419="c",Inventory!$AC175&lt;&gt;""),VLOOKUP(Inventory!$AC175,$N$4:$O$5,2,FALSE),"a")))))))</f>
        <v>a</v>
      </c>
      <c r="AE419" s="474">
        <f>IF(OR(Inventory!C175="New Construction",Inventory!C175="Replace-on-Burnout"),Inventory!AF175,IF(Inventory!C175="Early Retirement",MIN(Inventory!AE175,Inventory!AF175),0))</f>
        <v>0</v>
      </c>
      <c r="AF419" s="475" t="str">
        <f t="shared" si="301"/>
        <v/>
      </c>
      <c r="AG419" s="475" t="str">
        <f t="shared" si="302"/>
        <v/>
      </c>
      <c r="AH419" s="475" t="str">
        <f t="shared" si="303"/>
        <v/>
      </c>
      <c r="AI419" s="475" t="str">
        <f t="shared" si="304"/>
        <v/>
      </c>
      <c r="AJ419" s="475" t="str">
        <f t="shared" si="305"/>
        <v/>
      </c>
      <c r="AK419" s="475" t="str">
        <f t="shared" si="306"/>
        <v/>
      </c>
      <c r="AL419" s="475" t="str">
        <f t="shared" si="307"/>
        <v/>
      </c>
      <c r="AM419" s="475" t="str">
        <f t="shared" si="308"/>
        <v/>
      </c>
      <c r="AN419" s="475" t="str">
        <f t="shared" si="309"/>
        <v/>
      </c>
      <c r="AO419" s="475" t="str">
        <f t="shared" si="310"/>
        <v/>
      </c>
      <c r="AP419" s="475" t="str">
        <f t="shared" si="311"/>
        <v/>
      </c>
      <c r="AQ419" s="475" t="str">
        <f t="shared" si="312"/>
        <v/>
      </c>
      <c r="AR419" s="475" t="str">
        <f t="shared" si="313"/>
        <v/>
      </c>
      <c r="AS419" s="475" t="str">
        <f t="shared" si="296"/>
        <v/>
      </c>
      <c r="AT419" s="475" t="str">
        <f t="shared" si="314"/>
        <v/>
      </c>
      <c r="AU419" s="475" t="str">
        <f t="shared" si="315"/>
        <v/>
      </c>
      <c r="AV419" s="475" t="str">
        <f t="shared" si="316"/>
        <v/>
      </c>
      <c r="AW419" s="473">
        <f t="shared" si="317"/>
        <v>0</v>
      </c>
      <c r="AX419" s="473" t="str">
        <f>IF(AND($Z419="b",OR($AA419="a",$AA419="b"),Inventory!$I175="",$AE419&lt;(65000/12000)),"x",IF(AND($Z419="b",OR($AA419="a",$AA419="b"),Inventory!$I175&lt;&gt;"",$AE419&lt;(65000/12000)),VLOOKUP(Inventory!$I426,$V$4:$W$5,2,FALSE),"x"))</f>
        <v>x</v>
      </c>
      <c r="AY419" s="476" t="str">
        <f t="shared" si="318"/>
        <v>aaa0</v>
      </c>
      <c r="AZ419" s="477" t="str">
        <f t="shared" si="287"/>
        <v>No</v>
      </c>
      <c r="BA419" s="759" t="str">
        <f t="shared" si="288"/>
        <v>No</v>
      </c>
      <c r="BB419" s="477">
        <f>IF($Z419="c",Inventory!$AB175,Inventory!$K175)</f>
        <v>0</v>
      </c>
      <c r="BC419" s="478">
        <f>IF(AND($Z419="b",Inventory!$N175="Btu/hr"),Inventory!$M175,IF(AND($Z419="b",Inventory!$N175="Tons"),Inventory!$M175*12000,IF(AND($Z419&lt;&gt;"b",Inventory!$AK175="Btu/hr"),Inventory!$AD175,IF(AND($Z419&lt;&gt;"b",Inventory!$AK175="Tons"),Inventory!$AD175*12000,0))))</f>
        <v>0</v>
      </c>
      <c r="BD419" s="478">
        <f t="shared" si="285"/>
        <v>0</v>
      </c>
      <c r="BE419" s="479">
        <f t="shared" si="297"/>
        <v>0</v>
      </c>
      <c r="BF419" s="477" t="s">
        <v>50</v>
      </c>
      <c r="BG419" s="479">
        <f t="shared" si="319"/>
        <v>0</v>
      </c>
      <c r="BH419" s="477" t="s">
        <v>46</v>
      </c>
      <c r="BI419" s="760">
        <f>IF(AND($Z419="b",Inventory!$P175="Btu/hr"),Inventory!$O175,IF(AND($Z419="b",Inventory!$P175="Tons"),Inventory!$O175*12000,IF(AND($Z419&lt;&gt;"b",Inventory!$AM175="Btu/hr"),Inventory!$AL175,IF(AND($Z419&lt;&gt;"b",Inventory!$AM175="Tons"),Inventory!$AL175*12000,0))))</f>
        <v>0</v>
      </c>
      <c r="BJ419" s="760">
        <f t="shared" si="286"/>
        <v>0</v>
      </c>
      <c r="BK419" s="598">
        <f t="shared" si="289"/>
        <v>0</v>
      </c>
      <c r="BL419" s="759" t="s">
        <v>567</v>
      </c>
      <c r="BM419" s="477" t="str">
        <f t="shared" si="320"/>
        <v>No</v>
      </c>
      <c r="BN419" s="477" t="str">
        <f>IF(OR(Inventory!$H175="",$BM419="No"),"-",Inventory!$H175)</f>
        <v>-</v>
      </c>
      <c r="BO419" s="477" t="str">
        <f>IFERROR(VLOOKUP(BN419,'Early Retirement'!$B$6:$C$33,2,FALSE),"-")</f>
        <v>-</v>
      </c>
      <c r="BP419" s="477" t="str">
        <f>IF(Inventory!$J175="Centrifugal","Yes","No")</f>
        <v>No</v>
      </c>
      <c r="BQ419" s="477">
        <f t="shared" si="321"/>
        <v>0</v>
      </c>
      <c r="BR419" s="477" t="str">
        <f t="shared" si="299"/>
        <v>-</v>
      </c>
      <c r="BS419" s="479">
        <f>IFERROR(INDEX('Early Retirement'!$C$4:$AC$33,$BO419,$BR419),0)</f>
        <v>0</v>
      </c>
      <c r="BT419" s="477">
        <f>IFERROR(HLOOKUP($BR419,'Early Retirement'!$D$4:$AC$5,2,FALSE),0)</f>
        <v>0</v>
      </c>
      <c r="BU419" s="761">
        <f>IFERROR(INDEX('Early Retirement'!$AE$4:$BE$33,$BO419,$BR419),0)</f>
        <v>0</v>
      </c>
      <c r="BV419" s="759">
        <f>IFERROR(HLOOKUP($BR419,'Early Retirement'!$AF$4:$BE$5,2,FALSE),0)</f>
        <v>0</v>
      </c>
      <c r="BW419" s="479">
        <f t="shared" si="322"/>
        <v>0</v>
      </c>
      <c r="BX419" s="761">
        <f t="shared" si="290"/>
        <v>0</v>
      </c>
      <c r="BY419" s="477" t="s">
        <v>46</v>
      </c>
      <c r="BZ419" s="598">
        <f>IFERROR(INDEX('Early Retirement'!$BG$4:$CG$33,$BO419,$BR419),0)</f>
        <v>0</v>
      </c>
      <c r="CA419" s="759">
        <f>IFERROR(HLOOKUP($BR419,'Early Retirement'!$BH$4:$CH$5,2,FALSE),0)</f>
        <v>0</v>
      </c>
      <c r="CB419" s="598">
        <f t="shared" si="291"/>
        <v>0</v>
      </c>
      <c r="CC419" s="759" t="s">
        <v>567</v>
      </c>
      <c r="CD419" s="477" t="str">
        <f t="shared" si="323"/>
        <v>Yes</v>
      </c>
      <c r="CE419" s="479">
        <f t="shared" si="292"/>
        <v>0</v>
      </c>
      <c r="CF419" s="761">
        <f t="shared" si="293"/>
        <v>0</v>
      </c>
      <c r="CG419" s="759" t="s">
        <v>46</v>
      </c>
      <c r="CH419" s="598">
        <f t="shared" si="298"/>
        <v>0</v>
      </c>
      <c r="CI419" s="759" t="s">
        <v>567</v>
      </c>
      <c r="CJ419" s="480">
        <f t="shared" si="324"/>
        <v>0</v>
      </c>
      <c r="CK419" s="583">
        <f t="shared" si="294"/>
        <v>0</v>
      </c>
      <c r="CL419" s="596" t="s">
        <v>46</v>
      </c>
      <c r="CM419" s="581">
        <f t="shared" si="295"/>
        <v>0</v>
      </c>
      <c r="CN419" s="762" t="s">
        <v>567</v>
      </c>
      <c r="CW419" s="630"/>
      <c r="CX419" s="630"/>
      <c r="CY419" s="630"/>
      <c r="CZ419" s="630"/>
      <c r="DA419" s="630"/>
    </row>
    <row r="420" spans="2:105" s="78" customFormat="1" ht="15" customHeight="1" x14ac:dyDescent="0.25">
      <c r="B420" s="77"/>
      <c r="E420" s="77"/>
      <c r="H420" s="77"/>
      <c r="Y420" s="90">
        <v>167</v>
      </c>
      <c r="Z420" s="559" t="str">
        <f>IF(Inventory!$C176="","",VLOOKUP(Inventory!$C176,$B$7:$C$9,2,FALSE))</f>
        <v/>
      </c>
      <c r="AA420" s="559" t="str">
        <f>IF($Z420="","",IF(AND($Z420="b",Inventory!$G176=""),"",IF(AND($Z420="b",Inventory!$G176&lt;&gt;""),VLOOKUP(Inventory!$G176,$E$3:$F$10,2,FALSE),IF(AND($Z420="a",Inventory!$Z176=""),"",IF(AND($Z420="a",Inventory!$Z176&lt;&gt;""),VLOOKUP(Inventory!$Z176,$E$3:$F$10,2,FALSE),IF(AND($Z420="c",Inventory!$Z176=""),"",IF(AND($Z420="c",Inventory!$Z176&lt;&gt;""),VLOOKUP(Inventory!$Z176,$E$3:$F$10,2,FALSE),"")))))))</f>
        <v/>
      </c>
      <c r="AB420" s="559" t="str">
        <f>IF($Z420="","a",IF(AND($Z420="b",Inventory!$J176=""),"a",IF(AND($Z420="b",Inventory!$J176&lt;&gt;""),VLOOKUP(Inventory!$J176,$H$4:$I$6,2,FALSE),IF(AND($Z420="a",Inventory!$AA176=""),"a",IF(AND($Z420="a",Inventory!$AA176&lt;&gt;""),VLOOKUP(Inventory!$AA176,$H$4:$I$6,2,FALSE),IF(AND($Z420="c",Inventory!$AA176=""),"a",IF(AND($Z420="c",Inventory!$AA176&lt;&gt;""),VLOOKUP(Inventory!$AA176,$H$4:$I$6,2,FALSE),"a")))))))</f>
        <v>a</v>
      </c>
      <c r="AC420" s="559" t="str">
        <f t="shared" si="300"/>
        <v>a</v>
      </c>
      <c r="AD420" s="473" t="str">
        <f>IF($Z420="","a",IF(AND($Z420="b",Inventory!$L176=""),"a",IF(AND($Z420="b",Inventory!$L176&lt;&gt;""),VLOOKUP(Inventory!$L176,$N$4:$O$5,2,FALSE),IF(AND($Z420="a",Inventory!$AC176=""),"a",IF(AND($Z420="a",Inventory!$AC176&lt;&gt;""),VLOOKUP(Inventory!$AC176,$N$4:$O$5,2,FALSE),IF(AND($Z420="c",Inventory!$AC176=""),"a",IF(AND($Z420="c",Inventory!$AC176&lt;&gt;""),VLOOKUP(Inventory!$AC176,$N$4:$O$5,2,FALSE),"a")))))))</f>
        <v>a</v>
      </c>
      <c r="AE420" s="474">
        <f>IF(OR(Inventory!C176="New Construction",Inventory!C176="Replace-on-Burnout"),Inventory!AF176,IF(Inventory!C176="Early Retirement",MIN(Inventory!AE176,Inventory!AF176),0))</f>
        <v>0</v>
      </c>
      <c r="AF420" s="475" t="str">
        <f t="shared" si="301"/>
        <v/>
      </c>
      <c r="AG420" s="475" t="str">
        <f t="shared" si="302"/>
        <v/>
      </c>
      <c r="AH420" s="475" t="str">
        <f t="shared" si="303"/>
        <v/>
      </c>
      <c r="AI420" s="475" t="str">
        <f t="shared" si="304"/>
        <v/>
      </c>
      <c r="AJ420" s="475" t="str">
        <f t="shared" si="305"/>
        <v/>
      </c>
      <c r="AK420" s="475" t="str">
        <f t="shared" si="306"/>
        <v/>
      </c>
      <c r="AL420" s="475" t="str">
        <f t="shared" si="307"/>
        <v/>
      </c>
      <c r="AM420" s="475" t="str">
        <f t="shared" si="308"/>
        <v/>
      </c>
      <c r="AN420" s="475" t="str">
        <f t="shared" si="309"/>
        <v/>
      </c>
      <c r="AO420" s="475" t="str">
        <f t="shared" si="310"/>
        <v/>
      </c>
      <c r="AP420" s="475" t="str">
        <f t="shared" si="311"/>
        <v/>
      </c>
      <c r="AQ420" s="475" t="str">
        <f t="shared" si="312"/>
        <v/>
      </c>
      <c r="AR420" s="475" t="str">
        <f t="shared" si="313"/>
        <v/>
      </c>
      <c r="AS420" s="475" t="str">
        <f t="shared" si="296"/>
        <v/>
      </c>
      <c r="AT420" s="475" t="str">
        <f t="shared" si="314"/>
        <v/>
      </c>
      <c r="AU420" s="475" t="str">
        <f t="shared" si="315"/>
        <v/>
      </c>
      <c r="AV420" s="475" t="str">
        <f t="shared" si="316"/>
        <v/>
      </c>
      <c r="AW420" s="473">
        <f t="shared" si="317"/>
        <v>0</v>
      </c>
      <c r="AX420" s="473" t="str">
        <f>IF(AND($Z420="b",OR($AA420="a",$AA420="b"),Inventory!$I176="",$AE420&lt;(65000/12000)),"x",IF(AND($Z420="b",OR($AA420="a",$AA420="b"),Inventory!$I176&lt;&gt;"",$AE420&lt;(65000/12000)),VLOOKUP(Inventory!$I427,$V$4:$W$5,2,FALSE),"x"))</f>
        <v>x</v>
      </c>
      <c r="AY420" s="476" t="str">
        <f t="shared" si="318"/>
        <v>aaa0</v>
      </c>
      <c r="AZ420" s="477" t="str">
        <f t="shared" si="287"/>
        <v>No</v>
      </c>
      <c r="BA420" s="759" t="str">
        <f t="shared" si="288"/>
        <v>No</v>
      </c>
      <c r="BB420" s="477">
        <f>IF($Z420="c",Inventory!$AB176,Inventory!$K176)</f>
        <v>0</v>
      </c>
      <c r="BC420" s="478">
        <f>IF(AND($Z420="b",Inventory!$N176="Btu/hr"),Inventory!$M176,IF(AND($Z420="b",Inventory!$N176="Tons"),Inventory!$M176*12000,IF(AND($Z420&lt;&gt;"b",Inventory!$AK176="Btu/hr"),Inventory!$AD176,IF(AND($Z420&lt;&gt;"b",Inventory!$AK176="Tons"),Inventory!$AD176*12000,0))))</f>
        <v>0</v>
      </c>
      <c r="BD420" s="478">
        <f t="shared" si="285"/>
        <v>0</v>
      </c>
      <c r="BE420" s="479">
        <f t="shared" si="297"/>
        <v>0</v>
      </c>
      <c r="BF420" s="477" t="s">
        <v>50</v>
      </c>
      <c r="BG420" s="479">
        <f t="shared" si="319"/>
        <v>0</v>
      </c>
      <c r="BH420" s="477" t="s">
        <v>46</v>
      </c>
      <c r="BI420" s="760">
        <f>IF(AND($Z420="b",Inventory!$P176="Btu/hr"),Inventory!$O176,IF(AND($Z420="b",Inventory!$P176="Tons"),Inventory!$O176*12000,IF(AND($Z420&lt;&gt;"b",Inventory!$AM176="Btu/hr"),Inventory!$AL176,IF(AND($Z420&lt;&gt;"b",Inventory!$AM176="Tons"),Inventory!$AL176*12000,0))))</f>
        <v>0</v>
      </c>
      <c r="BJ420" s="760">
        <f t="shared" si="286"/>
        <v>0</v>
      </c>
      <c r="BK420" s="598">
        <f t="shared" si="289"/>
        <v>0</v>
      </c>
      <c r="BL420" s="759" t="s">
        <v>567</v>
      </c>
      <c r="BM420" s="477" t="str">
        <f t="shared" si="320"/>
        <v>No</v>
      </c>
      <c r="BN420" s="477" t="str">
        <f>IF(OR(Inventory!$H176="",$BM420="No"),"-",Inventory!$H176)</f>
        <v>-</v>
      </c>
      <c r="BO420" s="477" t="str">
        <f>IFERROR(VLOOKUP(BN420,'Early Retirement'!$B$6:$C$33,2,FALSE),"-")</f>
        <v>-</v>
      </c>
      <c r="BP420" s="477" t="str">
        <f>IF(Inventory!$J176="Centrifugal","Yes","No")</f>
        <v>No</v>
      </c>
      <c r="BQ420" s="477">
        <f t="shared" si="321"/>
        <v>0</v>
      </c>
      <c r="BR420" s="477" t="str">
        <f t="shared" si="299"/>
        <v>-</v>
      </c>
      <c r="BS420" s="479">
        <f>IFERROR(INDEX('Early Retirement'!$C$4:$AC$33,$BO420,$BR420),0)</f>
        <v>0</v>
      </c>
      <c r="BT420" s="477">
        <f>IFERROR(HLOOKUP($BR420,'Early Retirement'!$D$4:$AC$5,2,FALSE),0)</f>
        <v>0</v>
      </c>
      <c r="BU420" s="761">
        <f>IFERROR(INDEX('Early Retirement'!$AE$4:$BE$33,$BO420,$BR420),0)</f>
        <v>0</v>
      </c>
      <c r="BV420" s="759">
        <f>IFERROR(HLOOKUP($BR420,'Early Retirement'!$AF$4:$BE$5,2,FALSE),0)</f>
        <v>0</v>
      </c>
      <c r="BW420" s="479">
        <f t="shared" si="322"/>
        <v>0</v>
      </c>
      <c r="BX420" s="761">
        <f t="shared" si="290"/>
        <v>0</v>
      </c>
      <c r="BY420" s="477" t="s">
        <v>46</v>
      </c>
      <c r="BZ420" s="598">
        <f>IFERROR(INDEX('Early Retirement'!$BG$4:$CG$33,$BO420,$BR420),0)</f>
        <v>0</v>
      </c>
      <c r="CA420" s="759">
        <f>IFERROR(HLOOKUP($BR420,'Early Retirement'!$BH$4:$CH$5,2,FALSE),0)</f>
        <v>0</v>
      </c>
      <c r="CB420" s="598">
        <f t="shared" si="291"/>
        <v>0</v>
      </c>
      <c r="CC420" s="759" t="s">
        <v>567</v>
      </c>
      <c r="CD420" s="477" t="str">
        <f t="shared" si="323"/>
        <v>Yes</v>
      </c>
      <c r="CE420" s="479">
        <f t="shared" si="292"/>
        <v>0</v>
      </c>
      <c r="CF420" s="761">
        <f t="shared" si="293"/>
        <v>0</v>
      </c>
      <c r="CG420" s="759" t="s">
        <v>46</v>
      </c>
      <c r="CH420" s="598">
        <f t="shared" si="298"/>
        <v>0</v>
      </c>
      <c r="CI420" s="759" t="s">
        <v>567</v>
      </c>
      <c r="CJ420" s="480">
        <f t="shared" si="324"/>
        <v>0</v>
      </c>
      <c r="CK420" s="583">
        <f t="shared" si="294"/>
        <v>0</v>
      </c>
      <c r="CL420" s="596" t="s">
        <v>46</v>
      </c>
      <c r="CM420" s="581">
        <f t="shared" si="295"/>
        <v>0</v>
      </c>
      <c r="CN420" s="762" t="s">
        <v>567</v>
      </c>
      <c r="CW420" s="630"/>
      <c r="CX420" s="630"/>
      <c r="CY420" s="630"/>
      <c r="CZ420" s="630"/>
      <c r="DA420" s="630"/>
    </row>
    <row r="421" spans="2:105" s="78" customFormat="1" ht="15" customHeight="1" x14ac:dyDescent="0.25">
      <c r="B421" s="77"/>
      <c r="E421" s="77"/>
      <c r="H421" s="77"/>
      <c r="Y421" s="90">
        <v>168</v>
      </c>
      <c r="Z421" s="559" t="str">
        <f>IF(Inventory!$C177="","",VLOOKUP(Inventory!$C177,$B$7:$C$9,2,FALSE))</f>
        <v/>
      </c>
      <c r="AA421" s="559" t="str">
        <f>IF($Z421="","",IF(AND($Z421="b",Inventory!$G177=""),"",IF(AND($Z421="b",Inventory!$G177&lt;&gt;""),VLOOKUP(Inventory!$G177,$E$3:$F$10,2,FALSE),IF(AND($Z421="a",Inventory!$Z177=""),"",IF(AND($Z421="a",Inventory!$Z177&lt;&gt;""),VLOOKUP(Inventory!$Z177,$E$3:$F$10,2,FALSE),IF(AND($Z421="c",Inventory!$Z177=""),"",IF(AND($Z421="c",Inventory!$Z177&lt;&gt;""),VLOOKUP(Inventory!$Z177,$E$3:$F$10,2,FALSE),"")))))))</f>
        <v/>
      </c>
      <c r="AB421" s="559" t="str">
        <f>IF($Z421="","a",IF(AND($Z421="b",Inventory!$J177=""),"a",IF(AND($Z421="b",Inventory!$J177&lt;&gt;""),VLOOKUP(Inventory!$J177,$H$4:$I$6,2,FALSE),IF(AND($Z421="a",Inventory!$AA177=""),"a",IF(AND($Z421="a",Inventory!$AA177&lt;&gt;""),VLOOKUP(Inventory!$AA177,$H$4:$I$6,2,FALSE),IF(AND($Z421="c",Inventory!$AA177=""),"a",IF(AND($Z421="c",Inventory!$AA177&lt;&gt;""),VLOOKUP(Inventory!$AA177,$H$4:$I$6,2,FALSE),"a")))))))</f>
        <v>a</v>
      </c>
      <c r="AC421" s="559" t="str">
        <f t="shared" si="300"/>
        <v>a</v>
      </c>
      <c r="AD421" s="473" t="str">
        <f>IF($Z421="","a",IF(AND($Z421="b",Inventory!$L177=""),"a",IF(AND($Z421="b",Inventory!$L177&lt;&gt;""),VLOOKUP(Inventory!$L177,$N$4:$O$5,2,FALSE),IF(AND($Z421="a",Inventory!$AC177=""),"a",IF(AND($Z421="a",Inventory!$AC177&lt;&gt;""),VLOOKUP(Inventory!$AC177,$N$4:$O$5,2,FALSE),IF(AND($Z421="c",Inventory!$AC177=""),"a",IF(AND($Z421="c",Inventory!$AC177&lt;&gt;""),VLOOKUP(Inventory!$AC177,$N$4:$O$5,2,FALSE),"a")))))))</f>
        <v>a</v>
      </c>
      <c r="AE421" s="474">
        <f>IF(OR(Inventory!C177="New Construction",Inventory!C177="Replace-on-Burnout"),Inventory!AF177,IF(Inventory!C177="Early Retirement",MIN(Inventory!AE177,Inventory!AF177),0))</f>
        <v>0</v>
      </c>
      <c r="AF421" s="475" t="str">
        <f t="shared" si="301"/>
        <v/>
      </c>
      <c r="AG421" s="475" t="str">
        <f t="shared" si="302"/>
        <v/>
      </c>
      <c r="AH421" s="475" t="str">
        <f t="shared" si="303"/>
        <v/>
      </c>
      <c r="AI421" s="475" t="str">
        <f t="shared" si="304"/>
        <v/>
      </c>
      <c r="AJ421" s="475" t="str">
        <f t="shared" si="305"/>
        <v/>
      </c>
      <c r="AK421" s="475" t="str">
        <f t="shared" si="306"/>
        <v/>
      </c>
      <c r="AL421" s="475" t="str">
        <f t="shared" si="307"/>
        <v/>
      </c>
      <c r="AM421" s="475" t="str">
        <f t="shared" si="308"/>
        <v/>
      </c>
      <c r="AN421" s="475" t="str">
        <f t="shared" si="309"/>
        <v/>
      </c>
      <c r="AO421" s="475" t="str">
        <f t="shared" si="310"/>
        <v/>
      </c>
      <c r="AP421" s="475" t="str">
        <f t="shared" si="311"/>
        <v/>
      </c>
      <c r="AQ421" s="475" t="str">
        <f t="shared" si="312"/>
        <v/>
      </c>
      <c r="AR421" s="475" t="str">
        <f t="shared" si="313"/>
        <v/>
      </c>
      <c r="AS421" s="475" t="str">
        <f t="shared" si="296"/>
        <v/>
      </c>
      <c r="AT421" s="475" t="str">
        <f t="shared" si="314"/>
        <v/>
      </c>
      <c r="AU421" s="475" t="str">
        <f t="shared" si="315"/>
        <v/>
      </c>
      <c r="AV421" s="475" t="str">
        <f t="shared" si="316"/>
        <v/>
      </c>
      <c r="AW421" s="473">
        <f t="shared" si="317"/>
        <v>0</v>
      </c>
      <c r="AX421" s="473" t="str">
        <f>IF(AND($Z421="b",OR($AA421="a",$AA421="b"),Inventory!$I177="",$AE421&lt;(65000/12000)),"x",IF(AND($Z421="b",OR($AA421="a",$AA421="b"),Inventory!$I177&lt;&gt;"",$AE421&lt;(65000/12000)),VLOOKUP(Inventory!$I428,$V$4:$W$5,2,FALSE),"x"))</f>
        <v>x</v>
      </c>
      <c r="AY421" s="476" t="str">
        <f t="shared" si="318"/>
        <v>aaa0</v>
      </c>
      <c r="AZ421" s="477" t="str">
        <f t="shared" si="287"/>
        <v>No</v>
      </c>
      <c r="BA421" s="759" t="str">
        <f t="shared" si="288"/>
        <v>No</v>
      </c>
      <c r="BB421" s="477">
        <f>IF($Z421="c",Inventory!$AB177,Inventory!$K177)</f>
        <v>0</v>
      </c>
      <c r="BC421" s="478">
        <f>IF(AND($Z421="b",Inventory!$N177="Btu/hr"),Inventory!$M177,IF(AND($Z421="b",Inventory!$N177="Tons"),Inventory!$M177*12000,IF(AND($Z421&lt;&gt;"b",Inventory!$AK177="Btu/hr"),Inventory!$AD177,IF(AND($Z421&lt;&gt;"b",Inventory!$AK177="Tons"),Inventory!$AD177*12000,0))))</f>
        <v>0</v>
      </c>
      <c r="BD421" s="478">
        <f t="shared" si="285"/>
        <v>0</v>
      </c>
      <c r="BE421" s="479">
        <f t="shared" si="297"/>
        <v>0</v>
      </c>
      <c r="BF421" s="477" t="s">
        <v>50</v>
      </c>
      <c r="BG421" s="479">
        <f t="shared" si="319"/>
        <v>0</v>
      </c>
      <c r="BH421" s="477" t="s">
        <v>46</v>
      </c>
      <c r="BI421" s="760">
        <f>IF(AND($Z421="b",Inventory!$P177="Btu/hr"),Inventory!$O177,IF(AND($Z421="b",Inventory!$P177="Tons"),Inventory!$O177*12000,IF(AND($Z421&lt;&gt;"b",Inventory!$AM177="Btu/hr"),Inventory!$AL177,IF(AND($Z421&lt;&gt;"b",Inventory!$AM177="Tons"),Inventory!$AL177*12000,0))))</f>
        <v>0</v>
      </c>
      <c r="BJ421" s="760">
        <f t="shared" si="286"/>
        <v>0</v>
      </c>
      <c r="BK421" s="598">
        <f t="shared" si="289"/>
        <v>0</v>
      </c>
      <c r="BL421" s="759" t="s">
        <v>567</v>
      </c>
      <c r="BM421" s="477" t="str">
        <f t="shared" si="320"/>
        <v>No</v>
      </c>
      <c r="BN421" s="477" t="str">
        <f>IF(OR(Inventory!$H177="",$BM421="No"),"-",Inventory!$H177)</f>
        <v>-</v>
      </c>
      <c r="BO421" s="477" t="str">
        <f>IFERROR(VLOOKUP(BN421,'Early Retirement'!$B$6:$C$33,2,FALSE),"-")</f>
        <v>-</v>
      </c>
      <c r="BP421" s="477" t="str">
        <f>IF(Inventory!$J177="Centrifugal","Yes","No")</f>
        <v>No</v>
      </c>
      <c r="BQ421" s="477">
        <f t="shared" si="321"/>
        <v>0</v>
      </c>
      <c r="BR421" s="477" t="str">
        <f t="shared" si="299"/>
        <v>-</v>
      </c>
      <c r="BS421" s="479">
        <f>IFERROR(INDEX('Early Retirement'!$C$4:$AC$33,$BO421,$BR421),0)</f>
        <v>0</v>
      </c>
      <c r="BT421" s="477">
        <f>IFERROR(HLOOKUP($BR421,'Early Retirement'!$D$4:$AC$5,2,FALSE),0)</f>
        <v>0</v>
      </c>
      <c r="BU421" s="761">
        <f>IFERROR(INDEX('Early Retirement'!$AE$4:$BE$33,$BO421,$BR421),0)</f>
        <v>0</v>
      </c>
      <c r="BV421" s="759">
        <f>IFERROR(HLOOKUP($BR421,'Early Retirement'!$AF$4:$BE$5,2,FALSE),0)</f>
        <v>0</v>
      </c>
      <c r="BW421" s="479">
        <f t="shared" si="322"/>
        <v>0</v>
      </c>
      <c r="BX421" s="761">
        <f t="shared" si="290"/>
        <v>0</v>
      </c>
      <c r="BY421" s="477" t="s">
        <v>46</v>
      </c>
      <c r="BZ421" s="598">
        <f>IFERROR(INDEX('Early Retirement'!$BG$4:$CG$33,$BO421,$BR421),0)</f>
        <v>0</v>
      </c>
      <c r="CA421" s="759">
        <f>IFERROR(HLOOKUP($BR421,'Early Retirement'!$BH$4:$CH$5,2,FALSE),0)</f>
        <v>0</v>
      </c>
      <c r="CB421" s="598">
        <f t="shared" si="291"/>
        <v>0</v>
      </c>
      <c r="CC421" s="759" t="s">
        <v>567</v>
      </c>
      <c r="CD421" s="477" t="str">
        <f t="shared" si="323"/>
        <v>Yes</v>
      </c>
      <c r="CE421" s="479">
        <f t="shared" si="292"/>
        <v>0</v>
      </c>
      <c r="CF421" s="761">
        <f t="shared" si="293"/>
        <v>0</v>
      </c>
      <c r="CG421" s="759" t="s">
        <v>46</v>
      </c>
      <c r="CH421" s="598">
        <f t="shared" si="298"/>
        <v>0</v>
      </c>
      <c r="CI421" s="759" t="s">
        <v>567</v>
      </c>
      <c r="CJ421" s="480">
        <f t="shared" si="324"/>
        <v>0</v>
      </c>
      <c r="CK421" s="583">
        <f t="shared" si="294"/>
        <v>0</v>
      </c>
      <c r="CL421" s="596" t="s">
        <v>46</v>
      </c>
      <c r="CM421" s="581">
        <f t="shared" si="295"/>
        <v>0</v>
      </c>
      <c r="CN421" s="762" t="s">
        <v>567</v>
      </c>
      <c r="CW421" s="630"/>
      <c r="CX421" s="630"/>
      <c r="CY421" s="630"/>
      <c r="CZ421" s="630"/>
      <c r="DA421" s="630"/>
    </row>
    <row r="422" spans="2:105" s="78" customFormat="1" ht="15" customHeight="1" x14ac:dyDescent="0.25">
      <c r="B422" s="77"/>
      <c r="E422" s="77"/>
      <c r="H422" s="77"/>
      <c r="Y422" s="90">
        <v>169</v>
      </c>
      <c r="Z422" s="559" t="str">
        <f>IF(Inventory!$C178="","",VLOOKUP(Inventory!$C178,$B$7:$C$9,2,FALSE))</f>
        <v/>
      </c>
      <c r="AA422" s="559" t="str">
        <f>IF($Z422="","",IF(AND($Z422="b",Inventory!$G178=""),"",IF(AND($Z422="b",Inventory!$G178&lt;&gt;""),VLOOKUP(Inventory!$G178,$E$3:$F$10,2,FALSE),IF(AND($Z422="a",Inventory!$Z178=""),"",IF(AND($Z422="a",Inventory!$Z178&lt;&gt;""),VLOOKUP(Inventory!$Z178,$E$3:$F$10,2,FALSE),IF(AND($Z422="c",Inventory!$Z178=""),"",IF(AND($Z422="c",Inventory!$Z178&lt;&gt;""),VLOOKUP(Inventory!$Z178,$E$3:$F$10,2,FALSE),"")))))))</f>
        <v/>
      </c>
      <c r="AB422" s="559" t="str">
        <f>IF($Z422="","a",IF(AND($Z422="b",Inventory!$J178=""),"a",IF(AND($Z422="b",Inventory!$J178&lt;&gt;""),VLOOKUP(Inventory!$J178,$H$4:$I$6,2,FALSE),IF(AND($Z422="a",Inventory!$AA178=""),"a",IF(AND($Z422="a",Inventory!$AA178&lt;&gt;""),VLOOKUP(Inventory!$AA178,$H$4:$I$6,2,FALSE),IF(AND($Z422="c",Inventory!$AA178=""),"a",IF(AND($Z422="c",Inventory!$AA178&lt;&gt;""),VLOOKUP(Inventory!$AA178,$H$4:$I$6,2,FALSE),"a")))))))</f>
        <v>a</v>
      </c>
      <c r="AC422" s="559" t="str">
        <f t="shared" si="300"/>
        <v>a</v>
      </c>
      <c r="AD422" s="473" t="str">
        <f>IF($Z422="","a",IF(AND($Z422="b",Inventory!$L178=""),"a",IF(AND($Z422="b",Inventory!$L178&lt;&gt;""),VLOOKUP(Inventory!$L178,$N$4:$O$5,2,FALSE),IF(AND($Z422="a",Inventory!$AC178=""),"a",IF(AND($Z422="a",Inventory!$AC178&lt;&gt;""),VLOOKUP(Inventory!$AC178,$N$4:$O$5,2,FALSE),IF(AND($Z422="c",Inventory!$AC178=""),"a",IF(AND($Z422="c",Inventory!$AC178&lt;&gt;""),VLOOKUP(Inventory!$AC178,$N$4:$O$5,2,FALSE),"a")))))))</f>
        <v>a</v>
      </c>
      <c r="AE422" s="474">
        <f>IF(OR(Inventory!C178="New Construction",Inventory!C178="Replace-on-Burnout"),Inventory!AF178,IF(Inventory!C178="Early Retirement",MIN(Inventory!AE178,Inventory!AF178),0))</f>
        <v>0</v>
      </c>
      <c r="AF422" s="475" t="str">
        <f t="shared" si="301"/>
        <v/>
      </c>
      <c r="AG422" s="475" t="str">
        <f t="shared" si="302"/>
        <v/>
      </c>
      <c r="AH422" s="475" t="str">
        <f t="shared" si="303"/>
        <v/>
      </c>
      <c r="AI422" s="475" t="str">
        <f t="shared" si="304"/>
        <v/>
      </c>
      <c r="AJ422" s="475" t="str">
        <f t="shared" si="305"/>
        <v/>
      </c>
      <c r="AK422" s="475" t="str">
        <f t="shared" si="306"/>
        <v/>
      </c>
      <c r="AL422" s="475" t="str">
        <f t="shared" si="307"/>
        <v/>
      </c>
      <c r="AM422" s="475" t="str">
        <f t="shared" si="308"/>
        <v/>
      </c>
      <c r="AN422" s="475" t="str">
        <f t="shared" si="309"/>
        <v/>
      </c>
      <c r="AO422" s="475" t="str">
        <f t="shared" si="310"/>
        <v/>
      </c>
      <c r="AP422" s="475" t="str">
        <f t="shared" si="311"/>
        <v/>
      </c>
      <c r="AQ422" s="475" t="str">
        <f t="shared" si="312"/>
        <v/>
      </c>
      <c r="AR422" s="475" t="str">
        <f t="shared" si="313"/>
        <v/>
      </c>
      <c r="AS422" s="475" t="str">
        <f t="shared" si="296"/>
        <v/>
      </c>
      <c r="AT422" s="475" t="str">
        <f t="shared" si="314"/>
        <v/>
      </c>
      <c r="AU422" s="475" t="str">
        <f t="shared" si="315"/>
        <v/>
      </c>
      <c r="AV422" s="475" t="str">
        <f t="shared" si="316"/>
        <v/>
      </c>
      <c r="AW422" s="473">
        <f t="shared" si="317"/>
        <v>0</v>
      </c>
      <c r="AX422" s="473" t="str">
        <f>IF(AND($Z422="b",OR($AA422="a",$AA422="b"),Inventory!$I178="",$AE422&lt;(65000/12000)),"x",IF(AND($Z422="b",OR($AA422="a",$AA422="b"),Inventory!$I178&lt;&gt;"",$AE422&lt;(65000/12000)),VLOOKUP(Inventory!$I429,$V$4:$W$5,2,FALSE),"x"))</f>
        <v>x</v>
      </c>
      <c r="AY422" s="476" t="str">
        <f t="shared" si="318"/>
        <v>aaa0</v>
      </c>
      <c r="AZ422" s="477" t="str">
        <f t="shared" si="287"/>
        <v>No</v>
      </c>
      <c r="BA422" s="759" t="str">
        <f t="shared" si="288"/>
        <v>No</v>
      </c>
      <c r="BB422" s="477">
        <f>IF($Z422="c",Inventory!$AB178,Inventory!$K178)</f>
        <v>0</v>
      </c>
      <c r="BC422" s="478">
        <f>IF(AND($Z422="b",Inventory!$N178="Btu/hr"),Inventory!$M178,IF(AND($Z422="b",Inventory!$N178="Tons"),Inventory!$M178*12000,IF(AND($Z422&lt;&gt;"b",Inventory!$AK178="Btu/hr"),Inventory!$AD178,IF(AND($Z422&lt;&gt;"b",Inventory!$AK178="Tons"),Inventory!$AD178*12000,0))))</f>
        <v>0</v>
      </c>
      <c r="BD422" s="478">
        <f t="shared" si="285"/>
        <v>0</v>
      </c>
      <c r="BE422" s="479">
        <f t="shared" si="297"/>
        <v>0</v>
      </c>
      <c r="BF422" s="477" t="s">
        <v>50</v>
      </c>
      <c r="BG422" s="479">
        <f t="shared" si="319"/>
        <v>0</v>
      </c>
      <c r="BH422" s="477" t="s">
        <v>46</v>
      </c>
      <c r="BI422" s="760">
        <f>IF(AND($Z422="b",Inventory!$P178="Btu/hr"),Inventory!$O178,IF(AND($Z422="b",Inventory!$P178="Tons"),Inventory!$O178*12000,IF(AND($Z422&lt;&gt;"b",Inventory!$AM178="Btu/hr"),Inventory!$AL178,IF(AND($Z422&lt;&gt;"b",Inventory!$AM178="Tons"),Inventory!$AL178*12000,0))))</f>
        <v>0</v>
      </c>
      <c r="BJ422" s="760">
        <f t="shared" si="286"/>
        <v>0</v>
      </c>
      <c r="BK422" s="598">
        <f t="shared" si="289"/>
        <v>0</v>
      </c>
      <c r="BL422" s="759" t="s">
        <v>567</v>
      </c>
      <c r="BM422" s="477" t="str">
        <f t="shared" si="320"/>
        <v>No</v>
      </c>
      <c r="BN422" s="477" t="str">
        <f>IF(OR(Inventory!$H178="",$BM422="No"),"-",Inventory!$H178)</f>
        <v>-</v>
      </c>
      <c r="BO422" s="477" t="str">
        <f>IFERROR(VLOOKUP(BN422,'Early Retirement'!$B$6:$C$33,2,FALSE),"-")</f>
        <v>-</v>
      </c>
      <c r="BP422" s="477" t="str">
        <f>IF(Inventory!$J178="Centrifugal","Yes","No")</f>
        <v>No</v>
      </c>
      <c r="BQ422" s="477">
        <f t="shared" si="321"/>
        <v>0</v>
      </c>
      <c r="BR422" s="477" t="str">
        <f t="shared" si="299"/>
        <v>-</v>
      </c>
      <c r="BS422" s="479">
        <f>IFERROR(INDEX('Early Retirement'!$C$4:$AC$33,$BO422,$BR422),0)</f>
        <v>0</v>
      </c>
      <c r="BT422" s="477">
        <f>IFERROR(HLOOKUP($BR422,'Early Retirement'!$D$4:$AC$5,2,FALSE),0)</f>
        <v>0</v>
      </c>
      <c r="BU422" s="761">
        <f>IFERROR(INDEX('Early Retirement'!$AE$4:$BE$33,$BO422,$BR422),0)</f>
        <v>0</v>
      </c>
      <c r="BV422" s="759">
        <f>IFERROR(HLOOKUP($BR422,'Early Retirement'!$AF$4:$BE$5,2,FALSE),0)</f>
        <v>0</v>
      </c>
      <c r="BW422" s="479">
        <f t="shared" si="322"/>
        <v>0</v>
      </c>
      <c r="BX422" s="761">
        <f t="shared" si="290"/>
        <v>0</v>
      </c>
      <c r="BY422" s="477" t="s">
        <v>46</v>
      </c>
      <c r="BZ422" s="598">
        <f>IFERROR(INDEX('Early Retirement'!$BG$4:$CG$33,$BO422,$BR422),0)</f>
        <v>0</v>
      </c>
      <c r="CA422" s="759">
        <f>IFERROR(HLOOKUP($BR422,'Early Retirement'!$BH$4:$CH$5,2,FALSE),0)</f>
        <v>0</v>
      </c>
      <c r="CB422" s="598">
        <f t="shared" si="291"/>
        <v>0</v>
      </c>
      <c r="CC422" s="759" t="s">
        <v>567</v>
      </c>
      <c r="CD422" s="477" t="str">
        <f t="shared" si="323"/>
        <v>Yes</v>
      </c>
      <c r="CE422" s="479">
        <f t="shared" si="292"/>
        <v>0</v>
      </c>
      <c r="CF422" s="761">
        <f t="shared" si="293"/>
        <v>0</v>
      </c>
      <c r="CG422" s="759" t="s">
        <v>46</v>
      </c>
      <c r="CH422" s="598">
        <f t="shared" si="298"/>
        <v>0</v>
      </c>
      <c r="CI422" s="759" t="s">
        <v>567</v>
      </c>
      <c r="CJ422" s="480">
        <f t="shared" si="324"/>
        <v>0</v>
      </c>
      <c r="CK422" s="583">
        <f t="shared" si="294"/>
        <v>0</v>
      </c>
      <c r="CL422" s="596" t="s">
        <v>46</v>
      </c>
      <c r="CM422" s="581">
        <f t="shared" si="295"/>
        <v>0</v>
      </c>
      <c r="CN422" s="762" t="s">
        <v>567</v>
      </c>
      <c r="CW422" s="630"/>
      <c r="CX422" s="630"/>
      <c r="CY422" s="630"/>
      <c r="CZ422" s="630"/>
      <c r="DA422" s="630"/>
    </row>
    <row r="423" spans="2:105" s="78" customFormat="1" ht="15" customHeight="1" x14ac:dyDescent="0.25">
      <c r="B423" s="77"/>
      <c r="E423" s="77"/>
      <c r="H423" s="77"/>
      <c r="Y423" s="90">
        <v>170</v>
      </c>
      <c r="Z423" s="559" t="str">
        <f>IF(Inventory!$C179="","",VLOOKUP(Inventory!$C179,$B$7:$C$9,2,FALSE))</f>
        <v/>
      </c>
      <c r="AA423" s="559" t="str">
        <f>IF($Z423="","",IF(AND($Z423="b",Inventory!$G179=""),"",IF(AND($Z423="b",Inventory!$G179&lt;&gt;""),VLOOKUP(Inventory!$G179,$E$3:$F$10,2,FALSE),IF(AND($Z423="a",Inventory!$Z179=""),"",IF(AND($Z423="a",Inventory!$Z179&lt;&gt;""),VLOOKUP(Inventory!$Z179,$E$3:$F$10,2,FALSE),IF(AND($Z423="c",Inventory!$Z179=""),"",IF(AND($Z423="c",Inventory!$Z179&lt;&gt;""),VLOOKUP(Inventory!$Z179,$E$3:$F$10,2,FALSE),"")))))))</f>
        <v/>
      </c>
      <c r="AB423" s="559" t="str">
        <f>IF($Z423="","a",IF(AND($Z423="b",Inventory!$J179=""),"a",IF(AND($Z423="b",Inventory!$J179&lt;&gt;""),VLOOKUP(Inventory!$J179,$H$4:$I$6,2,FALSE),IF(AND($Z423="a",Inventory!$AA179=""),"a",IF(AND($Z423="a",Inventory!$AA179&lt;&gt;""),VLOOKUP(Inventory!$AA179,$H$4:$I$6,2,FALSE),IF(AND($Z423="c",Inventory!$AA179=""),"a",IF(AND($Z423="c",Inventory!$AA179&lt;&gt;""),VLOOKUP(Inventory!$AA179,$H$4:$I$6,2,FALSE),"a")))))))</f>
        <v>a</v>
      </c>
      <c r="AC423" s="559" t="str">
        <f t="shared" si="300"/>
        <v>a</v>
      </c>
      <c r="AD423" s="473" t="str">
        <f>IF($Z423="","a",IF(AND($Z423="b",Inventory!$L179=""),"a",IF(AND($Z423="b",Inventory!$L179&lt;&gt;""),VLOOKUP(Inventory!$L179,$N$4:$O$5,2,FALSE),IF(AND($Z423="a",Inventory!$AC179=""),"a",IF(AND($Z423="a",Inventory!$AC179&lt;&gt;""),VLOOKUP(Inventory!$AC179,$N$4:$O$5,2,FALSE),IF(AND($Z423="c",Inventory!$AC179=""),"a",IF(AND($Z423="c",Inventory!$AC179&lt;&gt;""),VLOOKUP(Inventory!$AC179,$N$4:$O$5,2,FALSE),"a")))))))</f>
        <v>a</v>
      </c>
      <c r="AE423" s="474">
        <f>IF(OR(Inventory!C179="New Construction",Inventory!C179="Replace-on-Burnout"),Inventory!AF179,IF(Inventory!C179="Early Retirement",MIN(Inventory!AE179,Inventory!AF179),0))</f>
        <v>0</v>
      </c>
      <c r="AF423" s="475" t="str">
        <f t="shared" si="301"/>
        <v/>
      </c>
      <c r="AG423" s="475" t="str">
        <f t="shared" si="302"/>
        <v/>
      </c>
      <c r="AH423" s="475" t="str">
        <f t="shared" si="303"/>
        <v/>
      </c>
      <c r="AI423" s="475" t="str">
        <f t="shared" si="304"/>
        <v/>
      </c>
      <c r="AJ423" s="475" t="str">
        <f t="shared" si="305"/>
        <v/>
      </c>
      <c r="AK423" s="475" t="str">
        <f t="shared" si="306"/>
        <v/>
      </c>
      <c r="AL423" s="475" t="str">
        <f t="shared" si="307"/>
        <v/>
      </c>
      <c r="AM423" s="475" t="str">
        <f t="shared" si="308"/>
        <v/>
      </c>
      <c r="AN423" s="475" t="str">
        <f t="shared" si="309"/>
        <v/>
      </c>
      <c r="AO423" s="475" t="str">
        <f t="shared" si="310"/>
        <v/>
      </c>
      <c r="AP423" s="475" t="str">
        <f t="shared" si="311"/>
        <v/>
      </c>
      <c r="AQ423" s="475" t="str">
        <f t="shared" si="312"/>
        <v/>
      </c>
      <c r="AR423" s="475" t="str">
        <f t="shared" si="313"/>
        <v/>
      </c>
      <c r="AS423" s="475" t="str">
        <f t="shared" si="296"/>
        <v/>
      </c>
      <c r="AT423" s="475" t="str">
        <f t="shared" si="314"/>
        <v/>
      </c>
      <c r="AU423" s="475" t="str">
        <f t="shared" si="315"/>
        <v/>
      </c>
      <c r="AV423" s="475" t="str">
        <f t="shared" si="316"/>
        <v/>
      </c>
      <c r="AW423" s="473">
        <f t="shared" si="317"/>
        <v>0</v>
      </c>
      <c r="AX423" s="473" t="str">
        <f>IF(AND($Z423="b",OR($AA423="a",$AA423="b"),Inventory!$I179="",$AE423&lt;(65000/12000)),"x",IF(AND($Z423="b",OR($AA423="a",$AA423="b"),Inventory!$I179&lt;&gt;"",$AE423&lt;(65000/12000)),VLOOKUP(Inventory!$I430,$V$4:$W$5,2,FALSE),"x"))</f>
        <v>x</v>
      </c>
      <c r="AY423" s="476" t="str">
        <f t="shared" si="318"/>
        <v>aaa0</v>
      </c>
      <c r="AZ423" s="477" t="str">
        <f t="shared" si="287"/>
        <v>No</v>
      </c>
      <c r="BA423" s="759" t="str">
        <f t="shared" si="288"/>
        <v>No</v>
      </c>
      <c r="BB423" s="477">
        <f>IF($Z423="c",Inventory!$AB179,Inventory!$K179)</f>
        <v>0</v>
      </c>
      <c r="BC423" s="478">
        <f>IF(AND($Z423="b",Inventory!$N179="Btu/hr"),Inventory!$M179,IF(AND($Z423="b",Inventory!$N179="Tons"),Inventory!$M179*12000,IF(AND($Z423&lt;&gt;"b",Inventory!$AK179="Btu/hr"),Inventory!$AD179,IF(AND($Z423&lt;&gt;"b",Inventory!$AK179="Tons"),Inventory!$AD179*12000,0))))</f>
        <v>0</v>
      </c>
      <c r="BD423" s="478">
        <f t="shared" si="285"/>
        <v>0</v>
      </c>
      <c r="BE423" s="479">
        <f t="shared" si="297"/>
        <v>0</v>
      </c>
      <c r="BF423" s="477" t="s">
        <v>50</v>
      </c>
      <c r="BG423" s="479">
        <f t="shared" si="319"/>
        <v>0</v>
      </c>
      <c r="BH423" s="477" t="s">
        <v>46</v>
      </c>
      <c r="BI423" s="760">
        <f>IF(AND($Z423="b",Inventory!$P179="Btu/hr"),Inventory!$O179,IF(AND($Z423="b",Inventory!$P179="Tons"),Inventory!$O179*12000,IF(AND($Z423&lt;&gt;"b",Inventory!$AM179="Btu/hr"),Inventory!$AL179,IF(AND($Z423&lt;&gt;"b",Inventory!$AM179="Tons"),Inventory!$AL179*12000,0))))</f>
        <v>0</v>
      </c>
      <c r="BJ423" s="760">
        <f t="shared" si="286"/>
        <v>0</v>
      </c>
      <c r="BK423" s="598">
        <f t="shared" si="289"/>
        <v>0</v>
      </c>
      <c r="BL423" s="759" t="s">
        <v>567</v>
      </c>
      <c r="BM423" s="477" t="str">
        <f t="shared" si="320"/>
        <v>No</v>
      </c>
      <c r="BN423" s="477" t="str">
        <f>IF(OR(Inventory!$H179="",$BM423="No"),"-",Inventory!$H179)</f>
        <v>-</v>
      </c>
      <c r="BO423" s="477" t="str">
        <f>IFERROR(VLOOKUP(BN423,'Early Retirement'!$B$6:$C$33,2,FALSE),"-")</f>
        <v>-</v>
      </c>
      <c r="BP423" s="477" t="str">
        <f>IF(Inventory!$J179="Centrifugal","Yes","No")</f>
        <v>No</v>
      </c>
      <c r="BQ423" s="477">
        <f t="shared" si="321"/>
        <v>0</v>
      </c>
      <c r="BR423" s="477" t="str">
        <f t="shared" si="299"/>
        <v>-</v>
      </c>
      <c r="BS423" s="479">
        <f>IFERROR(INDEX('Early Retirement'!$C$4:$AC$33,$BO423,$BR423),0)</f>
        <v>0</v>
      </c>
      <c r="BT423" s="477">
        <f>IFERROR(HLOOKUP($BR423,'Early Retirement'!$D$4:$AC$5,2,FALSE),0)</f>
        <v>0</v>
      </c>
      <c r="BU423" s="761">
        <f>IFERROR(INDEX('Early Retirement'!$AE$4:$BE$33,$BO423,$BR423),0)</f>
        <v>0</v>
      </c>
      <c r="BV423" s="759">
        <f>IFERROR(HLOOKUP($BR423,'Early Retirement'!$AF$4:$BE$5,2,FALSE),0)</f>
        <v>0</v>
      </c>
      <c r="BW423" s="479">
        <f t="shared" si="322"/>
        <v>0</v>
      </c>
      <c r="BX423" s="761">
        <f t="shared" si="290"/>
        <v>0</v>
      </c>
      <c r="BY423" s="477" t="s">
        <v>46</v>
      </c>
      <c r="BZ423" s="598">
        <f>IFERROR(INDEX('Early Retirement'!$BG$4:$CG$33,$BO423,$BR423),0)</f>
        <v>0</v>
      </c>
      <c r="CA423" s="759">
        <f>IFERROR(HLOOKUP($BR423,'Early Retirement'!$BH$4:$CH$5,2,FALSE),0)</f>
        <v>0</v>
      </c>
      <c r="CB423" s="598">
        <f t="shared" si="291"/>
        <v>0</v>
      </c>
      <c r="CC423" s="759" t="s">
        <v>567</v>
      </c>
      <c r="CD423" s="477" t="str">
        <f t="shared" si="323"/>
        <v>Yes</v>
      </c>
      <c r="CE423" s="479">
        <f t="shared" si="292"/>
        <v>0</v>
      </c>
      <c r="CF423" s="761">
        <f t="shared" si="293"/>
        <v>0</v>
      </c>
      <c r="CG423" s="759" t="s">
        <v>46</v>
      </c>
      <c r="CH423" s="598">
        <f t="shared" si="298"/>
        <v>0</v>
      </c>
      <c r="CI423" s="759" t="s">
        <v>567</v>
      </c>
      <c r="CJ423" s="480">
        <f t="shared" si="324"/>
        <v>0</v>
      </c>
      <c r="CK423" s="583">
        <f t="shared" si="294"/>
        <v>0</v>
      </c>
      <c r="CL423" s="596" t="s">
        <v>46</v>
      </c>
      <c r="CM423" s="581">
        <f t="shared" si="295"/>
        <v>0</v>
      </c>
      <c r="CN423" s="762" t="s">
        <v>567</v>
      </c>
      <c r="CW423" s="630"/>
      <c r="CX423" s="630"/>
      <c r="CY423" s="630"/>
      <c r="CZ423" s="630"/>
      <c r="DA423" s="630"/>
    </row>
    <row r="424" spans="2:105" s="78" customFormat="1" ht="15" customHeight="1" x14ac:dyDescent="0.25">
      <c r="B424" s="77"/>
      <c r="E424" s="77"/>
      <c r="H424" s="77"/>
      <c r="Y424" s="90">
        <v>171</v>
      </c>
      <c r="Z424" s="559" t="str">
        <f>IF(Inventory!$C180="","",VLOOKUP(Inventory!$C180,$B$7:$C$9,2,FALSE))</f>
        <v/>
      </c>
      <c r="AA424" s="559" t="str">
        <f>IF($Z424="","",IF(AND($Z424="b",Inventory!$G180=""),"",IF(AND($Z424="b",Inventory!$G180&lt;&gt;""),VLOOKUP(Inventory!$G180,$E$3:$F$10,2,FALSE),IF(AND($Z424="a",Inventory!$Z180=""),"",IF(AND($Z424="a",Inventory!$Z180&lt;&gt;""),VLOOKUP(Inventory!$Z180,$E$3:$F$10,2,FALSE),IF(AND($Z424="c",Inventory!$Z180=""),"",IF(AND($Z424="c",Inventory!$Z180&lt;&gt;""),VLOOKUP(Inventory!$Z180,$E$3:$F$10,2,FALSE),"")))))))</f>
        <v/>
      </c>
      <c r="AB424" s="559" t="str">
        <f>IF($Z424="","a",IF(AND($Z424="b",Inventory!$J180=""),"a",IF(AND($Z424="b",Inventory!$J180&lt;&gt;""),VLOOKUP(Inventory!$J180,$H$4:$I$6,2,FALSE),IF(AND($Z424="a",Inventory!$AA180=""),"a",IF(AND($Z424="a",Inventory!$AA180&lt;&gt;""),VLOOKUP(Inventory!$AA180,$H$4:$I$6,2,FALSE),IF(AND($Z424="c",Inventory!$AA180=""),"a",IF(AND($Z424="c",Inventory!$AA180&lt;&gt;""),VLOOKUP(Inventory!$AA180,$H$4:$I$6,2,FALSE),"a")))))))</f>
        <v>a</v>
      </c>
      <c r="AC424" s="559" t="str">
        <f t="shared" si="300"/>
        <v>a</v>
      </c>
      <c r="AD424" s="473" t="str">
        <f>IF($Z424="","a",IF(AND($Z424="b",Inventory!$L180=""),"a",IF(AND($Z424="b",Inventory!$L180&lt;&gt;""),VLOOKUP(Inventory!$L180,$N$4:$O$5,2,FALSE),IF(AND($Z424="a",Inventory!$AC180=""),"a",IF(AND($Z424="a",Inventory!$AC180&lt;&gt;""),VLOOKUP(Inventory!$AC180,$N$4:$O$5,2,FALSE),IF(AND($Z424="c",Inventory!$AC180=""),"a",IF(AND($Z424="c",Inventory!$AC180&lt;&gt;""),VLOOKUP(Inventory!$AC180,$N$4:$O$5,2,FALSE),"a")))))))</f>
        <v>a</v>
      </c>
      <c r="AE424" s="474">
        <f>IF(OR(Inventory!C180="New Construction",Inventory!C180="Replace-on-Burnout"),Inventory!AF180,IF(Inventory!C180="Early Retirement",MIN(Inventory!AE180,Inventory!AF180),0))</f>
        <v>0</v>
      </c>
      <c r="AF424" s="475" t="str">
        <f t="shared" si="301"/>
        <v/>
      </c>
      <c r="AG424" s="475" t="str">
        <f t="shared" si="302"/>
        <v/>
      </c>
      <c r="AH424" s="475" t="str">
        <f t="shared" si="303"/>
        <v/>
      </c>
      <c r="AI424" s="475" t="str">
        <f t="shared" si="304"/>
        <v/>
      </c>
      <c r="AJ424" s="475" t="str">
        <f t="shared" si="305"/>
        <v/>
      </c>
      <c r="AK424" s="475" t="str">
        <f t="shared" si="306"/>
        <v/>
      </c>
      <c r="AL424" s="475" t="str">
        <f t="shared" si="307"/>
        <v/>
      </c>
      <c r="AM424" s="475" t="str">
        <f t="shared" si="308"/>
        <v/>
      </c>
      <c r="AN424" s="475" t="str">
        <f t="shared" si="309"/>
        <v/>
      </c>
      <c r="AO424" s="475" t="str">
        <f t="shared" si="310"/>
        <v/>
      </c>
      <c r="AP424" s="475" t="str">
        <f t="shared" si="311"/>
        <v/>
      </c>
      <c r="AQ424" s="475" t="str">
        <f t="shared" si="312"/>
        <v/>
      </c>
      <c r="AR424" s="475" t="str">
        <f t="shared" si="313"/>
        <v/>
      </c>
      <c r="AS424" s="475" t="str">
        <f t="shared" si="296"/>
        <v/>
      </c>
      <c r="AT424" s="475" t="str">
        <f t="shared" si="314"/>
        <v/>
      </c>
      <c r="AU424" s="475" t="str">
        <f t="shared" si="315"/>
        <v/>
      </c>
      <c r="AV424" s="475" t="str">
        <f t="shared" si="316"/>
        <v/>
      </c>
      <c r="AW424" s="473">
        <f t="shared" si="317"/>
        <v>0</v>
      </c>
      <c r="AX424" s="473" t="str">
        <f>IF(AND($Z424="b",OR($AA424="a",$AA424="b"),Inventory!$I180="",$AE424&lt;(65000/12000)),"x",IF(AND($Z424="b",OR($AA424="a",$AA424="b"),Inventory!$I180&lt;&gt;"",$AE424&lt;(65000/12000)),VLOOKUP(Inventory!$I431,$V$4:$W$5,2,FALSE),"x"))</f>
        <v>x</v>
      </c>
      <c r="AY424" s="476" t="str">
        <f t="shared" si="318"/>
        <v>aaa0</v>
      </c>
      <c r="AZ424" s="477" t="str">
        <f t="shared" si="287"/>
        <v>No</v>
      </c>
      <c r="BA424" s="759" t="str">
        <f t="shared" si="288"/>
        <v>No</v>
      </c>
      <c r="BB424" s="477">
        <f>IF($Z424="c",Inventory!$AB180,Inventory!$K180)</f>
        <v>0</v>
      </c>
      <c r="BC424" s="478">
        <f>IF(AND($Z424="b",Inventory!$N180="Btu/hr"),Inventory!$M180,IF(AND($Z424="b",Inventory!$N180="Tons"),Inventory!$M180*12000,IF(AND($Z424&lt;&gt;"b",Inventory!$AK180="Btu/hr"),Inventory!$AD180,IF(AND($Z424&lt;&gt;"b",Inventory!$AK180="Tons"),Inventory!$AD180*12000,0))))</f>
        <v>0</v>
      </c>
      <c r="BD424" s="478">
        <f t="shared" si="285"/>
        <v>0</v>
      </c>
      <c r="BE424" s="479">
        <f t="shared" si="297"/>
        <v>0</v>
      </c>
      <c r="BF424" s="477" t="s">
        <v>50</v>
      </c>
      <c r="BG424" s="479">
        <f t="shared" si="319"/>
        <v>0</v>
      </c>
      <c r="BH424" s="477" t="s">
        <v>46</v>
      </c>
      <c r="BI424" s="760">
        <f>IF(AND($Z424="b",Inventory!$P180="Btu/hr"),Inventory!$O180,IF(AND($Z424="b",Inventory!$P180="Tons"),Inventory!$O180*12000,IF(AND($Z424&lt;&gt;"b",Inventory!$AM180="Btu/hr"),Inventory!$AL180,IF(AND($Z424&lt;&gt;"b",Inventory!$AM180="Tons"),Inventory!$AL180*12000,0))))</f>
        <v>0</v>
      </c>
      <c r="BJ424" s="760">
        <f t="shared" si="286"/>
        <v>0</v>
      </c>
      <c r="BK424" s="598">
        <f t="shared" si="289"/>
        <v>0</v>
      </c>
      <c r="BL424" s="759" t="s">
        <v>567</v>
      </c>
      <c r="BM424" s="477" t="str">
        <f t="shared" si="320"/>
        <v>No</v>
      </c>
      <c r="BN424" s="477" t="str">
        <f>IF(OR(Inventory!$H180="",$BM424="No"),"-",Inventory!$H180)</f>
        <v>-</v>
      </c>
      <c r="BO424" s="477" t="str">
        <f>IFERROR(VLOOKUP(BN424,'Early Retirement'!$B$6:$C$33,2,FALSE),"-")</f>
        <v>-</v>
      </c>
      <c r="BP424" s="477" t="str">
        <f>IF(Inventory!$J180="Centrifugal","Yes","No")</f>
        <v>No</v>
      </c>
      <c r="BQ424" s="477">
        <f t="shared" si="321"/>
        <v>0</v>
      </c>
      <c r="BR424" s="477" t="str">
        <f t="shared" si="299"/>
        <v>-</v>
      </c>
      <c r="BS424" s="479">
        <f>IFERROR(INDEX('Early Retirement'!$C$4:$AC$33,$BO424,$BR424),0)</f>
        <v>0</v>
      </c>
      <c r="BT424" s="477">
        <f>IFERROR(HLOOKUP($BR424,'Early Retirement'!$D$4:$AC$5,2,FALSE),0)</f>
        <v>0</v>
      </c>
      <c r="BU424" s="761">
        <f>IFERROR(INDEX('Early Retirement'!$AE$4:$BE$33,$BO424,$BR424),0)</f>
        <v>0</v>
      </c>
      <c r="BV424" s="759">
        <f>IFERROR(HLOOKUP($BR424,'Early Retirement'!$AF$4:$BE$5,2,FALSE),0)</f>
        <v>0</v>
      </c>
      <c r="BW424" s="479">
        <f t="shared" si="322"/>
        <v>0</v>
      </c>
      <c r="BX424" s="761">
        <f t="shared" si="290"/>
        <v>0</v>
      </c>
      <c r="BY424" s="477" t="s">
        <v>46</v>
      </c>
      <c r="BZ424" s="598">
        <f>IFERROR(INDEX('Early Retirement'!$BG$4:$CG$33,$BO424,$BR424),0)</f>
        <v>0</v>
      </c>
      <c r="CA424" s="759">
        <f>IFERROR(HLOOKUP($BR424,'Early Retirement'!$BH$4:$CH$5,2,FALSE),0)</f>
        <v>0</v>
      </c>
      <c r="CB424" s="598">
        <f t="shared" si="291"/>
        <v>0</v>
      </c>
      <c r="CC424" s="759" t="s">
        <v>567</v>
      </c>
      <c r="CD424" s="477" t="str">
        <f t="shared" si="323"/>
        <v>Yes</v>
      </c>
      <c r="CE424" s="479">
        <f t="shared" si="292"/>
        <v>0</v>
      </c>
      <c r="CF424" s="761">
        <f t="shared" si="293"/>
        <v>0</v>
      </c>
      <c r="CG424" s="759" t="s">
        <v>46</v>
      </c>
      <c r="CH424" s="598">
        <f t="shared" si="298"/>
        <v>0</v>
      </c>
      <c r="CI424" s="759" t="s">
        <v>567</v>
      </c>
      <c r="CJ424" s="480">
        <f t="shared" si="324"/>
        <v>0</v>
      </c>
      <c r="CK424" s="583">
        <f t="shared" si="294"/>
        <v>0</v>
      </c>
      <c r="CL424" s="596" t="s">
        <v>46</v>
      </c>
      <c r="CM424" s="581">
        <f t="shared" si="295"/>
        <v>0</v>
      </c>
      <c r="CN424" s="762" t="s">
        <v>567</v>
      </c>
      <c r="CW424" s="630"/>
      <c r="CX424" s="630"/>
      <c r="CY424" s="630"/>
      <c r="CZ424" s="630"/>
      <c r="DA424" s="630"/>
    </row>
    <row r="425" spans="2:105" s="78" customFormat="1" ht="15" customHeight="1" x14ac:dyDescent="0.25">
      <c r="B425" s="77"/>
      <c r="E425" s="77"/>
      <c r="H425" s="77"/>
      <c r="Y425" s="90">
        <v>172</v>
      </c>
      <c r="Z425" s="559" t="str">
        <f>IF(Inventory!$C181="","",VLOOKUP(Inventory!$C181,$B$7:$C$9,2,FALSE))</f>
        <v/>
      </c>
      <c r="AA425" s="559" t="str">
        <f>IF($Z425="","",IF(AND($Z425="b",Inventory!$G181=""),"",IF(AND($Z425="b",Inventory!$G181&lt;&gt;""),VLOOKUP(Inventory!$G181,$E$3:$F$10,2,FALSE),IF(AND($Z425="a",Inventory!$Z181=""),"",IF(AND($Z425="a",Inventory!$Z181&lt;&gt;""),VLOOKUP(Inventory!$Z181,$E$3:$F$10,2,FALSE),IF(AND($Z425="c",Inventory!$Z181=""),"",IF(AND($Z425="c",Inventory!$Z181&lt;&gt;""),VLOOKUP(Inventory!$Z181,$E$3:$F$10,2,FALSE),"")))))))</f>
        <v/>
      </c>
      <c r="AB425" s="559" t="str">
        <f>IF($Z425="","a",IF(AND($Z425="b",Inventory!$J181=""),"a",IF(AND($Z425="b",Inventory!$J181&lt;&gt;""),VLOOKUP(Inventory!$J181,$H$4:$I$6,2,FALSE),IF(AND($Z425="a",Inventory!$AA181=""),"a",IF(AND($Z425="a",Inventory!$AA181&lt;&gt;""),VLOOKUP(Inventory!$AA181,$H$4:$I$6,2,FALSE),IF(AND($Z425="c",Inventory!$AA181=""),"a",IF(AND($Z425="c",Inventory!$AA181&lt;&gt;""),VLOOKUP(Inventory!$AA181,$H$4:$I$6,2,FALSE),"a")))))))</f>
        <v>a</v>
      </c>
      <c r="AC425" s="559" t="str">
        <f t="shared" si="300"/>
        <v>a</v>
      </c>
      <c r="AD425" s="473" t="str">
        <f>IF($Z425="","a",IF(AND($Z425="b",Inventory!$L181=""),"a",IF(AND($Z425="b",Inventory!$L181&lt;&gt;""),VLOOKUP(Inventory!$L181,$N$4:$O$5,2,FALSE),IF(AND($Z425="a",Inventory!$AC181=""),"a",IF(AND($Z425="a",Inventory!$AC181&lt;&gt;""),VLOOKUP(Inventory!$AC181,$N$4:$O$5,2,FALSE),IF(AND($Z425="c",Inventory!$AC181=""),"a",IF(AND($Z425="c",Inventory!$AC181&lt;&gt;""),VLOOKUP(Inventory!$AC181,$N$4:$O$5,2,FALSE),"a")))))))</f>
        <v>a</v>
      </c>
      <c r="AE425" s="474">
        <f>IF(OR(Inventory!C181="New Construction",Inventory!C181="Replace-on-Burnout"),Inventory!AF181,IF(Inventory!C181="Early Retirement",MIN(Inventory!AE181,Inventory!AF181),0))</f>
        <v>0</v>
      </c>
      <c r="AF425" s="475" t="str">
        <f t="shared" si="301"/>
        <v/>
      </c>
      <c r="AG425" s="475" t="str">
        <f t="shared" si="302"/>
        <v/>
      </c>
      <c r="AH425" s="475" t="str">
        <f t="shared" si="303"/>
        <v/>
      </c>
      <c r="AI425" s="475" t="str">
        <f t="shared" si="304"/>
        <v/>
      </c>
      <c r="AJ425" s="475" t="str">
        <f t="shared" si="305"/>
        <v/>
      </c>
      <c r="AK425" s="475" t="str">
        <f t="shared" si="306"/>
        <v/>
      </c>
      <c r="AL425" s="475" t="str">
        <f t="shared" si="307"/>
        <v/>
      </c>
      <c r="AM425" s="475" t="str">
        <f t="shared" si="308"/>
        <v/>
      </c>
      <c r="AN425" s="475" t="str">
        <f t="shared" si="309"/>
        <v/>
      </c>
      <c r="AO425" s="475" t="str">
        <f t="shared" si="310"/>
        <v/>
      </c>
      <c r="AP425" s="475" t="str">
        <f t="shared" si="311"/>
        <v/>
      </c>
      <c r="AQ425" s="475" t="str">
        <f t="shared" si="312"/>
        <v/>
      </c>
      <c r="AR425" s="475" t="str">
        <f t="shared" si="313"/>
        <v/>
      </c>
      <c r="AS425" s="475" t="str">
        <f t="shared" si="296"/>
        <v/>
      </c>
      <c r="AT425" s="475" t="str">
        <f t="shared" si="314"/>
        <v/>
      </c>
      <c r="AU425" s="475" t="str">
        <f t="shared" si="315"/>
        <v/>
      </c>
      <c r="AV425" s="475" t="str">
        <f t="shared" si="316"/>
        <v/>
      </c>
      <c r="AW425" s="473">
        <f t="shared" si="317"/>
        <v>0</v>
      </c>
      <c r="AX425" s="473" t="str">
        <f>IF(AND($Z425="b",OR($AA425="a",$AA425="b"),Inventory!$I181="",$AE425&lt;(65000/12000)),"x",IF(AND($Z425="b",OR($AA425="a",$AA425="b"),Inventory!$I181&lt;&gt;"",$AE425&lt;(65000/12000)),VLOOKUP(Inventory!$I432,$V$4:$W$5,2,FALSE),"x"))</f>
        <v>x</v>
      </c>
      <c r="AY425" s="476" t="str">
        <f t="shared" si="318"/>
        <v>aaa0</v>
      </c>
      <c r="AZ425" s="477" t="str">
        <f t="shared" si="287"/>
        <v>No</v>
      </c>
      <c r="BA425" s="759" t="str">
        <f t="shared" si="288"/>
        <v>No</v>
      </c>
      <c r="BB425" s="477">
        <f>IF($Z425="c",Inventory!$AB181,Inventory!$K181)</f>
        <v>0</v>
      </c>
      <c r="BC425" s="478">
        <f>IF(AND($Z425="b",Inventory!$N181="Btu/hr"),Inventory!$M181,IF(AND($Z425="b",Inventory!$N181="Tons"),Inventory!$M181*12000,IF(AND($Z425&lt;&gt;"b",Inventory!$AK181="Btu/hr"),Inventory!$AD181,IF(AND($Z425&lt;&gt;"b",Inventory!$AK181="Tons"),Inventory!$AD181*12000,0))))</f>
        <v>0</v>
      </c>
      <c r="BD425" s="478">
        <f t="shared" si="285"/>
        <v>0</v>
      </c>
      <c r="BE425" s="479">
        <f t="shared" si="297"/>
        <v>0</v>
      </c>
      <c r="BF425" s="477" t="s">
        <v>50</v>
      </c>
      <c r="BG425" s="479">
        <f t="shared" si="319"/>
        <v>0</v>
      </c>
      <c r="BH425" s="477" t="s">
        <v>46</v>
      </c>
      <c r="BI425" s="760">
        <f>IF(AND($Z425="b",Inventory!$P181="Btu/hr"),Inventory!$O181,IF(AND($Z425="b",Inventory!$P181="Tons"),Inventory!$O181*12000,IF(AND($Z425&lt;&gt;"b",Inventory!$AM181="Btu/hr"),Inventory!$AL181,IF(AND($Z425&lt;&gt;"b",Inventory!$AM181="Tons"),Inventory!$AL181*12000,0))))</f>
        <v>0</v>
      </c>
      <c r="BJ425" s="760">
        <f t="shared" si="286"/>
        <v>0</v>
      </c>
      <c r="BK425" s="598">
        <f t="shared" si="289"/>
        <v>0</v>
      </c>
      <c r="BL425" s="759" t="s">
        <v>567</v>
      </c>
      <c r="BM425" s="477" t="str">
        <f t="shared" si="320"/>
        <v>No</v>
      </c>
      <c r="BN425" s="477" t="str">
        <f>IF(OR(Inventory!$H181="",$BM425="No"),"-",Inventory!$H181)</f>
        <v>-</v>
      </c>
      <c r="BO425" s="477" t="str">
        <f>IFERROR(VLOOKUP(BN425,'Early Retirement'!$B$6:$C$33,2,FALSE),"-")</f>
        <v>-</v>
      </c>
      <c r="BP425" s="477" t="str">
        <f>IF(Inventory!$J181="Centrifugal","Yes","No")</f>
        <v>No</v>
      </c>
      <c r="BQ425" s="477">
        <f t="shared" si="321"/>
        <v>0</v>
      </c>
      <c r="BR425" s="477" t="str">
        <f t="shared" si="299"/>
        <v>-</v>
      </c>
      <c r="BS425" s="479">
        <f>IFERROR(INDEX('Early Retirement'!$C$4:$AC$33,$BO425,$BR425),0)</f>
        <v>0</v>
      </c>
      <c r="BT425" s="477">
        <f>IFERROR(HLOOKUP($BR425,'Early Retirement'!$D$4:$AC$5,2,FALSE),0)</f>
        <v>0</v>
      </c>
      <c r="BU425" s="761">
        <f>IFERROR(INDEX('Early Retirement'!$AE$4:$BE$33,$BO425,$BR425),0)</f>
        <v>0</v>
      </c>
      <c r="BV425" s="759">
        <f>IFERROR(HLOOKUP($BR425,'Early Retirement'!$AF$4:$BE$5,2,FALSE),0)</f>
        <v>0</v>
      </c>
      <c r="BW425" s="479">
        <f t="shared" si="322"/>
        <v>0</v>
      </c>
      <c r="BX425" s="761">
        <f t="shared" si="290"/>
        <v>0</v>
      </c>
      <c r="BY425" s="477" t="s">
        <v>46</v>
      </c>
      <c r="BZ425" s="598">
        <f>IFERROR(INDEX('Early Retirement'!$BG$4:$CG$33,$BO425,$BR425),0)</f>
        <v>0</v>
      </c>
      <c r="CA425" s="759">
        <f>IFERROR(HLOOKUP($BR425,'Early Retirement'!$BH$4:$CH$5,2,FALSE),0)</f>
        <v>0</v>
      </c>
      <c r="CB425" s="598">
        <f t="shared" si="291"/>
        <v>0</v>
      </c>
      <c r="CC425" s="759" t="s">
        <v>567</v>
      </c>
      <c r="CD425" s="477" t="str">
        <f t="shared" si="323"/>
        <v>Yes</v>
      </c>
      <c r="CE425" s="479">
        <f t="shared" si="292"/>
        <v>0</v>
      </c>
      <c r="CF425" s="761">
        <f t="shared" si="293"/>
        <v>0</v>
      </c>
      <c r="CG425" s="759" t="s">
        <v>46</v>
      </c>
      <c r="CH425" s="598">
        <f t="shared" si="298"/>
        <v>0</v>
      </c>
      <c r="CI425" s="759" t="s">
        <v>567</v>
      </c>
      <c r="CJ425" s="480">
        <f t="shared" si="324"/>
        <v>0</v>
      </c>
      <c r="CK425" s="583">
        <f t="shared" si="294"/>
        <v>0</v>
      </c>
      <c r="CL425" s="596" t="s">
        <v>46</v>
      </c>
      <c r="CM425" s="581">
        <f t="shared" si="295"/>
        <v>0</v>
      </c>
      <c r="CN425" s="762" t="s">
        <v>567</v>
      </c>
      <c r="CW425" s="630"/>
      <c r="CX425" s="630"/>
      <c r="CY425" s="630"/>
      <c r="CZ425" s="630"/>
      <c r="DA425" s="630"/>
    </row>
    <row r="426" spans="2:105" s="78" customFormat="1" ht="15" customHeight="1" x14ac:dyDescent="0.25">
      <c r="B426" s="77"/>
      <c r="E426" s="77"/>
      <c r="H426" s="77"/>
      <c r="Y426" s="90">
        <v>173</v>
      </c>
      <c r="Z426" s="559" t="str">
        <f>IF(Inventory!$C182="","",VLOOKUP(Inventory!$C182,$B$7:$C$9,2,FALSE))</f>
        <v/>
      </c>
      <c r="AA426" s="559" t="str">
        <f>IF($Z426="","",IF(AND($Z426="b",Inventory!$G182=""),"",IF(AND($Z426="b",Inventory!$G182&lt;&gt;""),VLOOKUP(Inventory!$G182,$E$3:$F$10,2,FALSE),IF(AND($Z426="a",Inventory!$Z182=""),"",IF(AND($Z426="a",Inventory!$Z182&lt;&gt;""),VLOOKUP(Inventory!$Z182,$E$3:$F$10,2,FALSE),IF(AND($Z426="c",Inventory!$Z182=""),"",IF(AND($Z426="c",Inventory!$Z182&lt;&gt;""),VLOOKUP(Inventory!$Z182,$E$3:$F$10,2,FALSE),"")))))))</f>
        <v/>
      </c>
      <c r="AB426" s="559" t="str">
        <f>IF($Z426="","a",IF(AND($Z426="b",Inventory!$J182=""),"a",IF(AND($Z426="b",Inventory!$J182&lt;&gt;""),VLOOKUP(Inventory!$J182,$H$4:$I$6,2,FALSE),IF(AND($Z426="a",Inventory!$AA182=""),"a",IF(AND($Z426="a",Inventory!$AA182&lt;&gt;""),VLOOKUP(Inventory!$AA182,$H$4:$I$6,2,FALSE),IF(AND($Z426="c",Inventory!$AA182=""),"a",IF(AND($Z426="c",Inventory!$AA182&lt;&gt;""),VLOOKUP(Inventory!$AA182,$H$4:$I$6,2,FALSE),"a")))))))</f>
        <v>a</v>
      </c>
      <c r="AC426" s="559" t="str">
        <f t="shared" si="300"/>
        <v>a</v>
      </c>
      <c r="AD426" s="473" t="str">
        <f>IF($Z426="","a",IF(AND($Z426="b",Inventory!$L182=""),"a",IF(AND($Z426="b",Inventory!$L182&lt;&gt;""),VLOOKUP(Inventory!$L182,$N$4:$O$5,2,FALSE),IF(AND($Z426="a",Inventory!$AC182=""),"a",IF(AND($Z426="a",Inventory!$AC182&lt;&gt;""),VLOOKUP(Inventory!$AC182,$N$4:$O$5,2,FALSE),IF(AND($Z426="c",Inventory!$AC182=""),"a",IF(AND($Z426="c",Inventory!$AC182&lt;&gt;""),VLOOKUP(Inventory!$AC182,$N$4:$O$5,2,FALSE),"a")))))))</f>
        <v>a</v>
      </c>
      <c r="AE426" s="474">
        <f>IF(OR(Inventory!C182="New Construction",Inventory!C182="Replace-on-Burnout"),Inventory!AF182,IF(Inventory!C182="Early Retirement",MIN(Inventory!AE182,Inventory!AF182),0))</f>
        <v>0</v>
      </c>
      <c r="AF426" s="475" t="str">
        <f t="shared" si="301"/>
        <v/>
      </c>
      <c r="AG426" s="475" t="str">
        <f t="shared" si="302"/>
        <v/>
      </c>
      <c r="AH426" s="475" t="str">
        <f t="shared" si="303"/>
        <v/>
      </c>
      <c r="AI426" s="475" t="str">
        <f t="shared" si="304"/>
        <v/>
      </c>
      <c r="AJ426" s="475" t="str">
        <f t="shared" si="305"/>
        <v/>
      </c>
      <c r="AK426" s="475" t="str">
        <f t="shared" si="306"/>
        <v/>
      </c>
      <c r="AL426" s="475" t="str">
        <f t="shared" si="307"/>
        <v/>
      </c>
      <c r="AM426" s="475" t="str">
        <f t="shared" si="308"/>
        <v/>
      </c>
      <c r="AN426" s="475" t="str">
        <f t="shared" si="309"/>
        <v/>
      </c>
      <c r="AO426" s="475" t="str">
        <f t="shared" si="310"/>
        <v/>
      </c>
      <c r="AP426" s="475" t="str">
        <f t="shared" si="311"/>
        <v/>
      </c>
      <c r="AQ426" s="475" t="str">
        <f t="shared" si="312"/>
        <v/>
      </c>
      <c r="AR426" s="475" t="str">
        <f t="shared" si="313"/>
        <v/>
      </c>
      <c r="AS426" s="475" t="str">
        <f t="shared" si="296"/>
        <v/>
      </c>
      <c r="AT426" s="475" t="str">
        <f t="shared" si="314"/>
        <v/>
      </c>
      <c r="AU426" s="475" t="str">
        <f t="shared" si="315"/>
        <v/>
      </c>
      <c r="AV426" s="475" t="str">
        <f t="shared" si="316"/>
        <v/>
      </c>
      <c r="AW426" s="473">
        <f t="shared" si="317"/>
        <v>0</v>
      </c>
      <c r="AX426" s="473" t="str">
        <f>IF(AND($Z426="b",OR($AA426="a",$AA426="b"),Inventory!$I182="",$AE426&lt;(65000/12000)),"x",IF(AND($Z426="b",OR($AA426="a",$AA426="b"),Inventory!$I182&lt;&gt;"",$AE426&lt;(65000/12000)),VLOOKUP(Inventory!$I433,$V$4:$W$5,2,FALSE),"x"))</f>
        <v>x</v>
      </c>
      <c r="AY426" s="476" t="str">
        <f t="shared" si="318"/>
        <v>aaa0</v>
      </c>
      <c r="AZ426" s="477" t="str">
        <f t="shared" si="287"/>
        <v>No</v>
      </c>
      <c r="BA426" s="759" t="str">
        <f t="shared" si="288"/>
        <v>No</v>
      </c>
      <c r="BB426" s="477">
        <f>IF($Z426="c",Inventory!$AB182,Inventory!$K182)</f>
        <v>0</v>
      </c>
      <c r="BC426" s="478">
        <f>IF(AND($Z426="b",Inventory!$N182="Btu/hr"),Inventory!$M182,IF(AND($Z426="b",Inventory!$N182="Tons"),Inventory!$M182*12000,IF(AND($Z426&lt;&gt;"b",Inventory!$AK182="Btu/hr"),Inventory!$AD182,IF(AND($Z426&lt;&gt;"b",Inventory!$AK182="Tons"),Inventory!$AD182*12000,0))))</f>
        <v>0</v>
      </c>
      <c r="BD426" s="478">
        <f t="shared" si="285"/>
        <v>0</v>
      </c>
      <c r="BE426" s="479">
        <f t="shared" si="297"/>
        <v>0</v>
      </c>
      <c r="BF426" s="477" t="s">
        <v>50</v>
      </c>
      <c r="BG426" s="479">
        <f t="shared" si="319"/>
        <v>0</v>
      </c>
      <c r="BH426" s="477" t="s">
        <v>46</v>
      </c>
      <c r="BI426" s="760">
        <f>IF(AND($Z426="b",Inventory!$P182="Btu/hr"),Inventory!$O182,IF(AND($Z426="b",Inventory!$P182="Tons"),Inventory!$O182*12000,IF(AND($Z426&lt;&gt;"b",Inventory!$AM182="Btu/hr"),Inventory!$AL182,IF(AND($Z426&lt;&gt;"b",Inventory!$AM182="Tons"),Inventory!$AL182*12000,0))))</f>
        <v>0</v>
      </c>
      <c r="BJ426" s="760">
        <f t="shared" si="286"/>
        <v>0</v>
      </c>
      <c r="BK426" s="598">
        <f t="shared" si="289"/>
        <v>0</v>
      </c>
      <c r="BL426" s="759" t="s">
        <v>567</v>
      </c>
      <c r="BM426" s="477" t="str">
        <f t="shared" si="320"/>
        <v>No</v>
      </c>
      <c r="BN426" s="477" t="str">
        <f>IF(OR(Inventory!$H182="",$BM426="No"),"-",Inventory!$H182)</f>
        <v>-</v>
      </c>
      <c r="BO426" s="477" t="str">
        <f>IFERROR(VLOOKUP(BN426,'Early Retirement'!$B$6:$C$33,2,FALSE),"-")</f>
        <v>-</v>
      </c>
      <c r="BP426" s="477" t="str">
        <f>IF(Inventory!$J182="Centrifugal","Yes","No")</f>
        <v>No</v>
      </c>
      <c r="BQ426" s="477">
        <f t="shared" si="321"/>
        <v>0</v>
      </c>
      <c r="BR426" s="477" t="str">
        <f t="shared" si="299"/>
        <v>-</v>
      </c>
      <c r="BS426" s="479">
        <f>IFERROR(INDEX('Early Retirement'!$C$4:$AC$33,$BO426,$BR426),0)</f>
        <v>0</v>
      </c>
      <c r="BT426" s="477">
        <f>IFERROR(HLOOKUP($BR426,'Early Retirement'!$D$4:$AC$5,2,FALSE),0)</f>
        <v>0</v>
      </c>
      <c r="BU426" s="761">
        <f>IFERROR(INDEX('Early Retirement'!$AE$4:$BE$33,$BO426,$BR426),0)</f>
        <v>0</v>
      </c>
      <c r="BV426" s="759">
        <f>IFERROR(HLOOKUP($BR426,'Early Retirement'!$AF$4:$BE$5,2,FALSE),0)</f>
        <v>0</v>
      </c>
      <c r="BW426" s="479">
        <f t="shared" si="322"/>
        <v>0</v>
      </c>
      <c r="BX426" s="761">
        <f t="shared" si="290"/>
        <v>0</v>
      </c>
      <c r="BY426" s="477" t="s">
        <v>46</v>
      </c>
      <c r="BZ426" s="598">
        <f>IFERROR(INDEX('Early Retirement'!$BG$4:$CG$33,$BO426,$BR426),0)</f>
        <v>0</v>
      </c>
      <c r="CA426" s="759">
        <f>IFERROR(HLOOKUP($BR426,'Early Retirement'!$BH$4:$CH$5,2,FALSE),0)</f>
        <v>0</v>
      </c>
      <c r="CB426" s="598">
        <f t="shared" si="291"/>
        <v>0</v>
      </c>
      <c r="CC426" s="759" t="s">
        <v>567</v>
      </c>
      <c r="CD426" s="477" t="str">
        <f t="shared" si="323"/>
        <v>Yes</v>
      </c>
      <c r="CE426" s="479">
        <f t="shared" si="292"/>
        <v>0</v>
      </c>
      <c r="CF426" s="761">
        <f t="shared" si="293"/>
        <v>0</v>
      </c>
      <c r="CG426" s="759" t="s">
        <v>46</v>
      </c>
      <c r="CH426" s="598">
        <f t="shared" si="298"/>
        <v>0</v>
      </c>
      <c r="CI426" s="759" t="s">
        <v>567</v>
      </c>
      <c r="CJ426" s="480">
        <f t="shared" si="324"/>
        <v>0</v>
      </c>
      <c r="CK426" s="583">
        <f t="shared" si="294"/>
        <v>0</v>
      </c>
      <c r="CL426" s="596" t="s">
        <v>46</v>
      </c>
      <c r="CM426" s="581">
        <f t="shared" si="295"/>
        <v>0</v>
      </c>
      <c r="CN426" s="762" t="s">
        <v>567</v>
      </c>
      <c r="CW426" s="630"/>
      <c r="CX426" s="630"/>
      <c r="CY426" s="630"/>
      <c r="CZ426" s="630"/>
      <c r="DA426" s="630"/>
    </row>
    <row r="427" spans="2:105" s="78" customFormat="1" ht="15" customHeight="1" x14ac:dyDescent="0.25">
      <c r="B427" s="77"/>
      <c r="E427" s="77"/>
      <c r="H427" s="77"/>
      <c r="Y427" s="90">
        <v>174</v>
      </c>
      <c r="Z427" s="559" t="str">
        <f>IF(Inventory!$C183="","",VLOOKUP(Inventory!$C183,$B$7:$C$9,2,FALSE))</f>
        <v/>
      </c>
      <c r="AA427" s="559" t="str">
        <f>IF($Z427="","",IF(AND($Z427="b",Inventory!$G183=""),"",IF(AND($Z427="b",Inventory!$G183&lt;&gt;""),VLOOKUP(Inventory!$G183,$E$3:$F$10,2,FALSE),IF(AND($Z427="a",Inventory!$Z183=""),"",IF(AND($Z427="a",Inventory!$Z183&lt;&gt;""),VLOOKUP(Inventory!$Z183,$E$3:$F$10,2,FALSE),IF(AND($Z427="c",Inventory!$Z183=""),"",IF(AND($Z427="c",Inventory!$Z183&lt;&gt;""),VLOOKUP(Inventory!$Z183,$E$3:$F$10,2,FALSE),"")))))))</f>
        <v/>
      </c>
      <c r="AB427" s="559" t="str">
        <f>IF($Z427="","a",IF(AND($Z427="b",Inventory!$J183=""),"a",IF(AND($Z427="b",Inventory!$J183&lt;&gt;""),VLOOKUP(Inventory!$J183,$H$4:$I$6,2,FALSE),IF(AND($Z427="a",Inventory!$AA183=""),"a",IF(AND($Z427="a",Inventory!$AA183&lt;&gt;""),VLOOKUP(Inventory!$AA183,$H$4:$I$6,2,FALSE),IF(AND($Z427="c",Inventory!$AA183=""),"a",IF(AND($Z427="c",Inventory!$AA183&lt;&gt;""),VLOOKUP(Inventory!$AA183,$H$4:$I$6,2,FALSE),"a")))))))</f>
        <v>a</v>
      </c>
      <c r="AC427" s="559" t="str">
        <f t="shared" si="300"/>
        <v>a</v>
      </c>
      <c r="AD427" s="473" t="str">
        <f>IF($Z427="","a",IF(AND($Z427="b",Inventory!$L183=""),"a",IF(AND($Z427="b",Inventory!$L183&lt;&gt;""),VLOOKUP(Inventory!$L183,$N$4:$O$5,2,FALSE),IF(AND($Z427="a",Inventory!$AC183=""),"a",IF(AND($Z427="a",Inventory!$AC183&lt;&gt;""),VLOOKUP(Inventory!$AC183,$N$4:$O$5,2,FALSE),IF(AND($Z427="c",Inventory!$AC183=""),"a",IF(AND($Z427="c",Inventory!$AC183&lt;&gt;""),VLOOKUP(Inventory!$AC183,$N$4:$O$5,2,FALSE),"a")))))))</f>
        <v>a</v>
      </c>
      <c r="AE427" s="474">
        <f>IF(OR(Inventory!C183="New Construction",Inventory!C183="Replace-on-Burnout"),Inventory!AF183,IF(Inventory!C183="Early Retirement",MIN(Inventory!AE183,Inventory!AF183),0))</f>
        <v>0</v>
      </c>
      <c r="AF427" s="475" t="str">
        <f t="shared" si="301"/>
        <v/>
      </c>
      <c r="AG427" s="475" t="str">
        <f t="shared" si="302"/>
        <v/>
      </c>
      <c r="AH427" s="475" t="str">
        <f t="shared" si="303"/>
        <v/>
      </c>
      <c r="AI427" s="475" t="str">
        <f t="shared" si="304"/>
        <v/>
      </c>
      <c r="AJ427" s="475" t="str">
        <f t="shared" si="305"/>
        <v/>
      </c>
      <c r="AK427" s="475" t="str">
        <f t="shared" si="306"/>
        <v/>
      </c>
      <c r="AL427" s="475" t="str">
        <f t="shared" si="307"/>
        <v/>
      </c>
      <c r="AM427" s="475" t="str">
        <f t="shared" si="308"/>
        <v/>
      </c>
      <c r="AN427" s="475" t="str">
        <f t="shared" si="309"/>
        <v/>
      </c>
      <c r="AO427" s="475" t="str">
        <f t="shared" si="310"/>
        <v/>
      </c>
      <c r="AP427" s="475" t="str">
        <f t="shared" si="311"/>
        <v/>
      </c>
      <c r="AQ427" s="475" t="str">
        <f t="shared" si="312"/>
        <v/>
      </c>
      <c r="AR427" s="475" t="str">
        <f t="shared" si="313"/>
        <v/>
      </c>
      <c r="AS427" s="475" t="str">
        <f t="shared" si="296"/>
        <v/>
      </c>
      <c r="AT427" s="475" t="str">
        <f t="shared" si="314"/>
        <v/>
      </c>
      <c r="AU427" s="475" t="str">
        <f t="shared" si="315"/>
        <v/>
      </c>
      <c r="AV427" s="475" t="str">
        <f t="shared" si="316"/>
        <v/>
      </c>
      <c r="AW427" s="473">
        <f t="shared" si="317"/>
        <v>0</v>
      </c>
      <c r="AX427" s="473" t="str">
        <f>IF(AND($Z427="b",OR($AA427="a",$AA427="b"),Inventory!$I183="",$AE427&lt;(65000/12000)),"x",IF(AND($Z427="b",OR($AA427="a",$AA427="b"),Inventory!$I183&lt;&gt;"",$AE427&lt;(65000/12000)),VLOOKUP(Inventory!$I434,$V$4:$W$5,2,FALSE),"x"))</f>
        <v>x</v>
      </c>
      <c r="AY427" s="476" t="str">
        <f t="shared" si="318"/>
        <v>aaa0</v>
      </c>
      <c r="AZ427" s="477" t="str">
        <f t="shared" si="287"/>
        <v>No</v>
      </c>
      <c r="BA427" s="759" t="str">
        <f t="shared" si="288"/>
        <v>No</v>
      </c>
      <c r="BB427" s="477">
        <f>IF($Z427="c",Inventory!$AB183,Inventory!$K183)</f>
        <v>0</v>
      </c>
      <c r="BC427" s="478">
        <f>IF(AND($Z427="b",Inventory!$N183="Btu/hr"),Inventory!$M183,IF(AND($Z427="b",Inventory!$N183="Tons"),Inventory!$M183*12000,IF(AND($Z427&lt;&gt;"b",Inventory!$AK183="Btu/hr"),Inventory!$AD183,IF(AND($Z427&lt;&gt;"b",Inventory!$AK183="Tons"),Inventory!$AD183*12000,0))))</f>
        <v>0</v>
      </c>
      <c r="BD427" s="478">
        <f t="shared" si="285"/>
        <v>0</v>
      </c>
      <c r="BE427" s="479">
        <f t="shared" si="297"/>
        <v>0</v>
      </c>
      <c r="BF427" s="477" t="s">
        <v>50</v>
      </c>
      <c r="BG427" s="479">
        <f t="shared" si="319"/>
        <v>0</v>
      </c>
      <c r="BH427" s="477" t="s">
        <v>46</v>
      </c>
      <c r="BI427" s="760">
        <f>IF(AND($Z427="b",Inventory!$P183="Btu/hr"),Inventory!$O183,IF(AND($Z427="b",Inventory!$P183="Tons"),Inventory!$O183*12000,IF(AND($Z427&lt;&gt;"b",Inventory!$AM183="Btu/hr"),Inventory!$AL183,IF(AND($Z427&lt;&gt;"b",Inventory!$AM183="Tons"),Inventory!$AL183*12000,0))))</f>
        <v>0</v>
      </c>
      <c r="BJ427" s="760">
        <f t="shared" si="286"/>
        <v>0</v>
      </c>
      <c r="BK427" s="598">
        <f t="shared" si="289"/>
        <v>0</v>
      </c>
      <c r="BL427" s="759" t="s">
        <v>567</v>
      </c>
      <c r="BM427" s="477" t="str">
        <f t="shared" si="320"/>
        <v>No</v>
      </c>
      <c r="BN427" s="477" t="str">
        <f>IF(OR(Inventory!$H183="",$BM427="No"),"-",Inventory!$H183)</f>
        <v>-</v>
      </c>
      <c r="BO427" s="477" t="str">
        <f>IFERROR(VLOOKUP(BN427,'Early Retirement'!$B$6:$C$33,2,FALSE),"-")</f>
        <v>-</v>
      </c>
      <c r="BP427" s="477" t="str">
        <f>IF(Inventory!$J183="Centrifugal","Yes","No")</f>
        <v>No</v>
      </c>
      <c r="BQ427" s="477">
        <f t="shared" si="321"/>
        <v>0</v>
      </c>
      <c r="BR427" s="477" t="str">
        <f t="shared" si="299"/>
        <v>-</v>
      </c>
      <c r="BS427" s="479">
        <f>IFERROR(INDEX('Early Retirement'!$C$4:$AC$33,$BO427,$BR427),0)</f>
        <v>0</v>
      </c>
      <c r="BT427" s="477">
        <f>IFERROR(HLOOKUP($BR427,'Early Retirement'!$D$4:$AC$5,2,FALSE),0)</f>
        <v>0</v>
      </c>
      <c r="BU427" s="761">
        <f>IFERROR(INDEX('Early Retirement'!$AE$4:$BE$33,$BO427,$BR427),0)</f>
        <v>0</v>
      </c>
      <c r="BV427" s="759">
        <f>IFERROR(HLOOKUP($BR427,'Early Retirement'!$AF$4:$BE$5,2,FALSE),0)</f>
        <v>0</v>
      </c>
      <c r="BW427" s="479">
        <f t="shared" si="322"/>
        <v>0</v>
      </c>
      <c r="BX427" s="761">
        <f t="shared" si="290"/>
        <v>0</v>
      </c>
      <c r="BY427" s="477" t="s">
        <v>46</v>
      </c>
      <c r="BZ427" s="598">
        <f>IFERROR(INDEX('Early Retirement'!$BG$4:$CG$33,$BO427,$BR427),0)</f>
        <v>0</v>
      </c>
      <c r="CA427" s="759">
        <f>IFERROR(HLOOKUP($BR427,'Early Retirement'!$BH$4:$CH$5,2,FALSE),0)</f>
        <v>0</v>
      </c>
      <c r="CB427" s="598">
        <f t="shared" si="291"/>
        <v>0</v>
      </c>
      <c r="CC427" s="759" t="s">
        <v>567</v>
      </c>
      <c r="CD427" s="477" t="str">
        <f t="shared" si="323"/>
        <v>Yes</v>
      </c>
      <c r="CE427" s="479">
        <f t="shared" si="292"/>
        <v>0</v>
      </c>
      <c r="CF427" s="761">
        <f t="shared" si="293"/>
        <v>0</v>
      </c>
      <c r="CG427" s="759" t="s">
        <v>46</v>
      </c>
      <c r="CH427" s="598">
        <f t="shared" si="298"/>
        <v>0</v>
      </c>
      <c r="CI427" s="759" t="s">
        <v>567</v>
      </c>
      <c r="CJ427" s="480">
        <f t="shared" si="324"/>
        <v>0</v>
      </c>
      <c r="CK427" s="583">
        <f t="shared" si="294"/>
        <v>0</v>
      </c>
      <c r="CL427" s="596" t="s">
        <v>46</v>
      </c>
      <c r="CM427" s="581">
        <f t="shared" si="295"/>
        <v>0</v>
      </c>
      <c r="CN427" s="762" t="s">
        <v>567</v>
      </c>
      <c r="CW427" s="630"/>
      <c r="CX427" s="630"/>
      <c r="CY427" s="630"/>
      <c r="CZ427" s="630"/>
      <c r="DA427" s="630"/>
    </row>
    <row r="428" spans="2:105" s="78" customFormat="1" ht="15" customHeight="1" x14ac:dyDescent="0.25">
      <c r="B428" s="77"/>
      <c r="E428" s="77"/>
      <c r="H428" s="77"/>
      <c r="Y428" s="90">
        <v>175</v>
      </c>
      <c r="Z428" s="559" t="str">
        <f>IF(Inventory!$C184="","",VLOOKUP(Inventory!$C184,$B$7:$C$9,2,FALSE))</f>
        <v/>
      </c>
      <c r="AA428" s="559" t="str">
        <f>IF($Z428="","",IF(AND($Z428="b",Inventory!$G184=""),"",IF(AND($Z428="b",Inventory!$G184&lt;&gt;""),VLOOKUP(Inventory!$G184,$E$3:$F$10,2,FALSE),IF(AND($Z428="a",Inventory!$Z184=""),"",IF(AND($Z428="a",Inventory!$Z184&lt;&gt;""),VLOOKUP(Inventory!$Z184,$E$3:$F$10,2,FALSE),IF(AND($Z428="c",Inventory!$Z184=""),"",IF(AND($Z428="c",Inventory!$Z184&lt;&gt;""),VLOOKUP(Inventory!$Z184,$E$3:$F$10,2,FALSE),"")))))))</f>
        <v/>
      </c>
      <c r="AB428" s="559" t="str">
        <f>IF($Z428="","a",IF(AND($Z428="b",Inventory!$J184=""),"a",IF(AND($Z428="b",Inventory!$J184&lt;&gt;""),VLOOKUP(Inventory!$J184,$H$4:$I$6,2,FALSE),IF(AND($Z428="a",Inventory!$AA184=""),"a",IF(AND($Z428="a",Inventory!$AA184&lt;&gt;""),VLOOKUP(Inventory!$AA184,$H$4:$I$6,2,FALSE),IF(AND($Z428="c",Inventory!$AA184=""),"a",IF(AND($Z428="c",Inventory!$AA184&lt;&gt;""),VLOOKUP(Inventory!$AA184,$H$4:$I$6,2,FALSE),"a")))))))</f>
        <v>a</v>
      </c>
      <c r="AC428" s="559" t="str">
        <f t="shared" si="300"/>
        <v>a</v>
      </c>
      <c r="AD428" s="473" t="str">
        <f>IF($Z428="","a",IF(AND($Z428="b",Inventory!$L184=""),"a",IF(AND($Z428="b",Inventory!$L184&lt;&gt;""),VLOOKUP(Inventory!$L184,$N$4:$O$5,2,FALSE),IF(AND($Z428="a",Inventory!$AC184=""),"a",IF(AND($Z428="a",Inventory!$AC184&lt;&gt;""),VLOOKUP(Inventory!$AC184,$N$4:$O$5,2,FALSE),IF(AND($Z428="c",Inventory!$AC184=""),"a",IF(AND($Z428="c",Inventory!$AC184&lt;&gt;""),VLOOKUP(Inventory!$AC184,$N$4:$O$5,2,FALSE),"a")))))))</f>
        <v>a</v>
      </c>
      <c r="AE428" s="474">
        <f>IF(OR(Inventory!C184="New Construction",Inventory!C184="Replace-on-Burnout"),Inventory!AF184,IF(Inventory!C184="Early Retirement",MIN(Inventory!AE184,Inventory!AF184),0))</f>
        <v>0</v>
      </c>
      <c r="AF428" s="475" t="str">
        <f t="shared" si="301"/>
        <v/>
      </c>
      <c r="AG428" s="475" t="str">
        <f t="shared" si="302"/>
        <v/>
      </c>
      <c r="AH428" s="475" t="str">
        <f t="shared" si="303"/>
        <v/>
      </c>
      <c r="AI428" s="475" t="str">
        <f t="shared" si="304"/>
        <v/>
      </c>
      <c r="AJ428" s="475" t="str">
        <f t="shared" si="305"/>
        <v/>
      </c>
      <c r="AK428" s="475" t="str">
        <f t="shared" si="306"/>
        <v/>
      </c>
      <c r="AL428" s="475" t="str">
        <f t="shared" si="307"/>
        <v/>
      </c>
      <c r="AM428" s="475" t="str">
        <f t="shared" si="308"/>
        <v/>
      </c>
      <c r="AN428" s="475" t="str">
        <f t="shared" si="309"/>
        <v/>
      </c>
      <c r="AO428" s="475" t="str">
        <f t="shared" si="310"/>
        <v/>
      </c>
      <c r="AP428" s="475" t="str">
        <f t="shared" si="311"/>
        <v/>
      </c>
      <c r="AQ428" s="475" t="str">
        <f t="shared" si="312"/>
        <v/>
      </c>
      <c r="AR428" s="475" t="str">
        <f t="shared" si="313"/>
        <v/>
      </c>
      <c r="AS428" s="475" t="str">
        <f t="shared" si="296"/>
        <v/>
      </c>
      <c r="AT428" s="475" t="str">
        <f t="shared" si="314"/>
        <v/>
      </c>
      <c r="AU428" s="475" t="str">
        <f t="shared" si="315"/>
        <v/>
      </c>
      <c r="AV428" s="475" t="str">
        <f t="shared" si="316"/>
        <v/>
      </c>
      <c r="AW428" s="473">
        <f t="shared" si="317"/>
        <v>0</v>
      </c>
      <c r="AX428" s="473" t="str">
        <f>IF(AND($Z428="b",OR($AA428="a",$AA428="b"),Inventory!$I184="",$AE428&lt;(65000/12000)),"x",IF(AND($Z428="b",OR($AA428="a",$AA428="b"),Inventory!$I184&lt;&gt;"",$AE428&lt;(65000/12000)),VLOOKUP(Inventory!$I435,$V$4:$W$5,2,FALSE),"x"))</f>
        <v>x</v>
      </c>
      <c r="AY428" s="476" t="str">
        <f t="shared" si="318"/>
        <v>aaa0</v>
      </c>
      <c r="AZ428" s="477" t="str">
        <f t="shared" si="287"/>
        <v>No</v>
      </c>
      <c r="BA428" s="759" t="str">
        <f t="shared" si="288"/>
        <v>No</v>
      </c>
      <c r="BB428" s="477">
        <f>IF($Z428="c",Inventory!$AB184,Inventory!$K184)</f>
        <v>0</v>
      </c>
      <c r="BC428" s="478">
        <f>IF(AND($Z428="b",Inventory!$N184="Btu/hr"),Inventory!$M184,IF(AND($Z428="b",Inventory!$N184="Tons"),Inventory!$M184*12000,IF(AND($Z428&lt;&gt;"b",Inventory!$AK184="Btu/hr"),Inventory!$AD184,IF(AND($Z428&lt;&gt;"b",Inventory!$AK184="Tons"),Inventory!$AD184*12000,0))))</f>
        <v>0</v>
      </c>
      <c r="BD428" s="478">
        <f t="shared" si="285"/>
        <v>0</v>
      </c>
      <c r="BE428" s="479">
        <f t="shared" si="297"/>
        <v>0</v>
      </c>
      <c r="BF428" s="477" t="s">
        <v>50</v>
      </c>
      <c r="BG428" s="479">
        <f t="shared" si="319"/>
        <v>0</v>
      </c>
      <c r="BH428" s="477" t="s">
        <v>46</v>
      </c>
      <c r="BI428" s="760">
        <f>IF(AND($Z428="b",Inventory!$P184="Btu/hr"),Inventory!$O184,IF(AND($Z428="b",Inventory!$P184="Tons"),Inventory!$O184*12000,IF(AND($Z428&lt;&gt;"b",Inventory!$AM184="Btu/hr"),Inventory!$AL184,IF(AND($Z428&lt;&gt;"b",Inventory!$AM184="Tons"),Inventory!$AL184*12000,0))))</f>
        <v>0</v>
      </c>
      <c r="BJ428" s="760">
        <f t="shared" si="286"/>
        <v>0</v>
      </c>
      <c r="BK428" s="598">
        <f t="shared" si="289"/>
        <v>0</v>
      </c>
      <c r="BL428" s="759" t="s">
        <v>567</v>
      </c>
      <c r="BM428" s="477" t="str">
        <f t="shared" si="320"/>
        <v>No</v>
      </c>
      <c r="BN428" s="477" t="str">
        <f>IF(OR(Inventory!$H184="",$BM428="No"),"-",Inventory!$H184)</f>
        <v>-</v>
      </c>
      <c r="BO428" s="477" t="str">
        <f>IFERROR(VLOOKUP(BN428,'Early Retirement'!$B$6:$C$33,2,FALSE),"-")</f>
        <v>-</v>
      </c>
      <c r="BP428" s="477" t="str">
        <f>IF(Inventory!$J184="Centrifugal","Yes","No")</f>
        <v>No</v>
      </c>
      <c r="BQ428" s="477">
        <f t="shared" si="321"/>
        <v>0</v>
      </c>
      <c r="BR428" s="477" t="str">
        <f t="shared" si="299"/>
        <v>-</v>
      </c>
      <c r="BS428" s="479">
        <f>IFERROR(INDEX('Early Retirement'!$C$4:$AC$33,$BO428,$BR428),0)</f>
        <v>0</v>
      </c>
      <c r="BT428" s="477">
        <f>IFERROR(HLOOKUP($BR428,'Early Retirement'!$D$4:$AC$5,2,FALSE),0)</f>
        <v>0</v>
      </c>
      <c r="BU428" s="761">
        <f>IFERROR(INDEX('Early Retirement'!$AE$4:$BE$33,$BO428,$BR428),0)</f>
        <v>0</v>
      </c>
      <c r="BV428" s="759">
        <f>IFERROR(HLOOKUP($BR428,'Early Retirement'!$AF$4:$BE$5,2,FALSE),0)</f>
        <v>0</v>
      </c>
      <c r="BW428" s="479">
        <f t="shared" si="322"/>
        <v>0</v>
      </c>
      <c r="BX428" s="761">
        <f t="shared" si="290"/>
        <v>0</v>
      </c>
      <c r="BY428" s="477" t="s">
        <v>46</v>
      </c>
      <c r="BZ428" s="598">
        <f>IFERROR(INDEX('Early Retirement'!$BG$4:$CG$33,$BO428,$BR428),0)</f>
        <v>0</v>
      </c>
      <c r="CA428" s="759">
        <f>IFERROR(HLOOKUP($BR428,'Early Retirement'!$BH$4:$CH$5,2,FALSE),0)</f>
        <v>0</v>
      </c>
      <c r="CB428" s="598">
        <f t="shared" si="291"/>
        <v>0</v>
      </c>
      <c r="CC428" s="759" t="s">
        <v>567</v>
      </c>
      <c r="CD428" s="477" t="str">
        <f t="shared" si="323"/>
        <v>Yes</v>
      </c>
      <c r="CE428" s="479">
        <f t="shared" si="292"/>
        <v>0</v>
      </c>
      <c r="CF428" s="761">
        <f t="shared" si="293"/>
        <v>0</v>
      </c>
      <c r="CG428" s="759" t="s">
        <v>46</v>
      </c>
      <c r="CH428" s="598">
        <f t="shared" si="298"/>
        <v>0</v>
      </c>
      <c r="CI428" s="759" t="s">
        <v>567</v>
      </c>
      <c r="CJ428" s="480">
        <f t="shared" si="324"/>
        <v>0</v>
      </c>
      <c r="CK428" s="583">
        <f t="shared" si="294"/>
        <v>0</v>
      </c>
      <c r="CL428" s="596" t="s">
        <v>46</v>
      </c>
      <c r="CM428" s="581">
        <f t="shared" si="295"/>
        <v>0</v>
      </c>
      <c r="CN428" s="762" t="s">
        <v>567</v>
      </c>
      <c r="CW428" s="630"/>
      <c r="CX428" s="630"/>
      <c r="CY428" s="630"/>
      <c r="CZ428" s="630"/>
      <c r="DA428" s="630"/>
    </row>
    <row r="429" spans="2:105" s="78" customFormat="1" ht="15" customHeight="1" x14ac:dyDescent="0.25">
      <c r="B429" s="77"/>
      <c r="E429" s="77"/>
      <c r="H429" s="77"/>
      <c r="Y429" s="90">
        <v>176</v>
      </c>
      <c r="Z429" s="559" t="str">
        <f>IF(Inventory!$C185="","",VLOOKUP(Inventory!$C185,$B$7:$C$9,2,FALSE))</f>
        <v/>
      </c>
      <c r="AA429" s="559" t="str">
        <f>IF($Z429="","",IF(AND($Z429="b",Inventory!$G185=""),"",IF(AND($Z429="b",Inventory!$G185&lt;&gt;""),VLOOKUP(Inventory!$G185,$E$3:$F$10,2,FALSE),IF(AND($Z429="a",Inventory!$Z185=""),"",IF(AND($Z429="a",Inventory!$Z185&lt;&gt;""),VLOOKUP(Inventory!$Z185,$E$3:$F$10,2,FALSE),IF(AND($Z429="c",Inventory!$Z185=""),"",IF(AND($Z429="c",Inventory!$Z185&lt;&gt;""),VLOOKUP(Inventory!$Z185,$E$3:$F$10,2,FALSE),"")))))))</f>
        <v/>
      </c>
      <c r="AB429" s="559" t="str">
        <f>IF($Z429="","a",IF(AND($Z429="b",Inventory!$J185=""),"a",IF(AND($Z429="b",Inventory!$J185&lt;&gt;""),VLOOKUP(Inventory!$J185,$H$4:$I$6,2,FALSE),IF(AND($Z429="a",Inventory!$AA185=""),"a",IF(AND($Z429="a",Inventory!$AA185&lt;&gt;""),VLOOKUP(Inventory!$AA185,$H$4:$I$6,2,FALSE),IF(AND($Z429="c",Inventory!$AA185=""),"a",IF(AND($Z429="c",Inventory!$AA185&lt;&gt;""),VLOOKUP(Inventory!$AA185,$H$4:$I$6,2,FALSE),"a")))))))</f>
        <v>a</v>
      </c>
      <c r="AC429" s="559" t="str">
        <f t="shared" si="300"/>
        <v>a</v>
      </c>
      <c r="AD429" s="473" t="str">
        <f>IF($Z429="","a",IF(AND($Z429="b",Inventory!$L185=""),"a",IF(AND($Z429="b",Inventory!$L185&lt;&gt;""),VLOOKUP(Inventory!$L185,$N$4:$O$5,2,FALSE),IF(AND($Z429="a",Inventory!$AC185=""),"a",IF(AND($Z429="a",Inventory!$AC185&lt;&gt;""),VLOOKUP(Inventory!$AC185,$N$4:$O$5,2,FALSE),IF(AND($Z429="c",Inventory!$AC185=""),"a",IF(AND($Z429="c",Inventory!$AC185&lt;&gt;""),VLOOKUP(Inventory!$AC185,$N$4:$O$5,2,FALSE),"a")))))))</f>
        <v>a</v>
      </c>
      <c r="AE429" s="474">
        <f>IF(OR(Inventory!C185="New Construction",Inventory!C185="Replace-on-Burnout"),Inventory!AF185,IF(Inventory!C185="Early Retirement",MIN(Inventory!AE185,Inventory!AF185),0))</f>
        <v>0</v>
      </c>
      <c r="AF429" s="475" t="str">
        <f t="shared" si="301"/>
        <v/>
      </c>
      <c r="AG429" s="475" t="str">
        <f t="shared" si="302"/>
        <v/>
      </c>
      <c r="AH429" s="475" t="str">
        <f t="shared" si="303"/>
        <v/>
      </c>
      <c r="AI429" s="475" t="str">
        <f t="shared" si="304"/>
        <v/>
      </c>
      <c r="AJ429" s="475" t="str">
        <f t="shared" si="305"/>
        <v/>
      </c>
      <c r="AK429" s="475" t="str">
        <f t="shared" si="306"/>
        <v/>
      </c>
      <c r="AL429" s="475" t="str">
        <f t="shared" si="307"/>
        <v/>
      </c>
      <c r="AM429" s="475" t="str">
        <f t="shared" si="308"/>
        <v/>
      </c>
      <c r="AN429" s="475" t="str">
        <f t="shared" si="309"/>
        <v/>
      </c>
      <c r="AO429" s="475" t="str">
        <f t="shared" si="310"/>
        <v/>
      </c>
      <c r="AP429" s="475" t="str">
        <f t="shared" si="311"/>
        <v/>
      </c>
      <c r="AQ429" s="475" t="str">
        <f t="shared" si="312"/>
        <v/>
      </c>
      <c r="AR429" s="475" t="str">
        <f t="shared" si="313"/>
        <v/>
      </c>
      <c r="AS429" s="475" t="str">
        <f t="shared" si="296"/>
        <v/>
      </c>
      <c r="AT429" s="475" t="str">
        <f t="shared" si="314"/>
        <v/>
      </c>
      <c r="AU429" s="475" t="str">
        <f t="shared" si="315"/>
        <v/>
      </c>
      <c r="AV429" s="475" t="str">
        <f t="shared" si="316"/>
        <v/>
      </c>
      <c r="AW429" s="473">
        <f t="shared" si="317"/>
        <v>0</v>
      </c>
      <c r="AX429" s="473" t="str">
        <f>IF(AND($Z429="b",OR($AA429="a",$AA429="b"),Inventory!$I185="",$AE429&lt;(65000/12000)),"x",IF(AND($Z429="b",OR($AA429="a",$AA429="b"),Inventory!$I185&lt;&gt;"",$AE429&lt;(65000/12000)),VLOOKUP(Inventory!$I436,$V$4:$W$5,2,FALSE),"x"))</f>
        <v>x</v>
      </c>
      <c r="AY429" s="476" t="str">
        <f t="shared" si="318"/>
        <v>aaa0</v>
      </c>
      <c r="AZ429" s="477" t="str">
        <f t="shared" si="287"/>
        <v>No</v>
      </c>
      <c r="BA429" s="759" t="str">
        <f t="shared" si="288"/>
        <v>No</v>
      </c>
      <c r="BB429" s="477">
        <f>IF($Z429="c",Inventory!$AB185,Inventory!$K185)</f>
        <v>0</v>
      </c>
      <c r="BC429" s="478">
        <f>IF(AND($Z429="b",Inventory!$N185="Btu/hr"),Inventory!$M185,IF(AND($Z429="b",Inventory!$N185="Tons"),Inventory!$M185*12000,IF(AND($Z429&lt;&gt;"b",Inventory!$AK185="Btu/hr"),Inventory!$AD185,IF(AND($Z429&lt;&gt;"b",Inventory!$AK185="Tons"),Inventory!$AD185*12000,0))))</f>
        <v>0</v>
      </c>
      <c r="BD429" s="478">
        <f t="shared" si="285"/>
        <v>0</v>
      </c>
      <c r="BE429" s="479">
        <f t="shared" si="297"/>
        <v>0</v>
      </c>
      <c r="BF429" s="477" t="s">
        <v>50</v>
      </c>
      <c r="BG429" s="479">
        <f t="shared" si="319"/>
        <v>0</v>
      </c>
      <c r="BH429" s="477" t="s">
        <v>46</v>
      </c>
      <c r="BI429" s="760">
        <f>IF(AND($Z429="b",Inventory!$P185="Btu/hr"),Inventory!$O185,IF(AND($Z429="b",Inventory!$P185="Tons"),Inventory!$O185*12000,IF(AND($Z429&lt;&gt;"b",Inventory!$AM185="Btu/hr"),Inventory!$AL185,IF(AND($Z429&lt;&gt;"b",Inventory!$AM185="Tons"),Inventory!$AL185*12000,0))))</f>
        <v>0</v>
      </c>
      <c r="BJ429" s="760">
        <f t="shared" si="286"/>
        <v>0</v>
      </c>
      <c r="BK429" s="598">
        <f t="shared" si="289"/>
        <v>0</v>
      </c>
      <c r="BL429" s="759" t="s">
        <v>567</v>
      </c>
      <c r="BM429" s="477" t="str">
        <f t="shared" si="320"/>
        <v>No</v>
      </c>
      <c r="BN429" s="477" t="str">
        <f>IF(OR(Inventory!$H185="",$BM429="No"),"-",Inventory!$H185)</f>
        <v>-</v>
      </c>
      <c r="BO429" s="477" t="str">
        <f>IFERROR(VLOOKUP(BN429,'Early Retirement'!$B$6:$C$33,2,FALSE),"-")</f>
        <v>-</v>
      </c>
      <c r="BP429" s="477" t="str">
        <f>IF(Inventory!$J185="Centrifugal","Yes","No")</f>
        <v>No</v>
      </c>
      <c r="BQ429" s="477">
        <f t="shared" si="321"/>
        <v>0</v>
      </c>
      <c r="BR429" s="477" t="str">
        <f t="shared" si="299"/>
        <v>-</v>
      </c>
      <c r="BS429" s="479">
        <f>IFERROR(INDEX('Early Retirement'!$C$4:$AC$33,$BO429,$BR429),0)</f>
        <v>0</v>
      </c>
      <c r="BT429" s="477">
        <f>IFERROR(HLOOKUP($BR429,'Early Retirement'!$D$4:$AC$5,2,FALSE),0)</f>
        <v>0</v>
      </c>
      <c r="BU429" s="761">
        <f>IFERROR(INDEX('Early Retirement'!$AE$4:$BE$33,$BO429,$BR429),0)</f>
        <v>0</v>
      </c>
      <c r="BV429" s="759">
        <f>IFERROR(HLOOKUP($BR429,'Early Retirement'!$AF$4:$BE$5,2,FALSE),0)</f>
        <v>0</v>
      </c>
      <c r="BW429" s="479">
        <f t="shared" si="322"/>
        <v>0</v>
      </c>
      <c r="BX429" s="761">
        <f t="shared" si="290"/>
        <v>0</v>
      </c>
      <c r="BY429" s="477" t="s">
        <v>46</v>
      </c>
      <c r="BZ429" s="598">
        <f>IFERROR(INDEX('Early Retirement'!$BG$4:$CG$33,$BO429,$BR429),0)</f>
        <v>0</v>
      </c>
      <c r="CA429" s="759">
        <f>IFERROR(HLOOKUP($BR429,'Early Retirement'!$BH$4:$CH$5,2,FALSE),0)</f>
        <v>0</v>
      </c>
      <c r="CB429" s="598">
        <f t="shared" si="291"/>
        <v>0</v>
      </c>
      <c r="CC429" s="759" t="s">
        <v>567</v>
      </c>
      <c r="CD429" s="477" t="str">
        <f t="shared" si="323"/>
        <v>Yes</v>
      </c>
      <c r="CE429" s="479">
        <f t="shared" si="292"/>
        <v>0</v>
      </c>
      <c r="CF429" s="761">
        <f t="shared" si="293"/>
        <v>0</v>
      </c>
      <c r="CG429" s="759" t="s">
        <v>46</v>
      </c>
      <c r="CH429" s="598">
        <f t="shared" si="298"/>
        <v>0</v>
      </c>
      <c r="CI429" s="759" t="s">
        <v>567</v>
      </c>
      <c r="CJ429" s="480">
        <f t="shared" si="324"/>
        <v>0</v>
      </c>
      <c r="CK429" s="583">
        <f t="shared" si="294"/>
        <v>0</v>
      </c>
      <c r="CL429" s="596" t="s">
        <v>46</v>
      </c>
      <c r="CM429" s="581">
        <f t="shared" si="295"/>
        <v>0</v>
      </c>
      <c r="CN429" s="762" t="s">
        <v>567</v>
      </c>
      <c r="CW429" s="630"/>
      <c r="CX429" s="630"/>
      <c r="CY429" s="630"/>
      <c r="CZ429" s="630"/>
      <c r="DA429" s="630"/>
    </row>
    <row r="430" spans="2:105" s="78" customFormat="1" ht="15" customHeight="1" x14ac:dyDescent="0.25">
      <c r="B430" s="77"/>
      <c r="E430" s="77"/>
      <c r="H430" s="77"/>
      <c r="Y430" s="90">
        <v>177</v>
      </c>
      <c r="Z430" s="559" t="str">
        <f>IF(Inventory!$C186="","",VLOOKUP(Inventory!$C186,$B$7:$C$9,2,FALSE))</f>
        <v/>
      </c>
      <c r="AA430" s="559" t="str">
        <f>IF($Z430="","",IF(AND($Z430="b",Inventory!$G186=""),"",IF(AND($Z430="b",Inventory!$G186&lt;&gt;""),VLOOKUP(Inventory!$G186,$E$3:$F$10,2,FALSE),IF(AND($Z430="a",Inventory!$Z186=""),"",IF(AND($Z430="a",Inventory!$Z186&lt;&gt;""),VLOOKUP(Inventory!$Z186,$E$3:$F$10,2,FALSE),IF(AND($Z430="c",Inventory!$Z186=""),"",IF(AND($Z430="c",Inventory!$Z186&lt;&gt;""),VLOOKUP(Inventory!$Z186,$E$3:$F$10,2,FALSE),"")))))))</f>
        <v/>
      </c>
      <c r="AB430" s="559" t="str">
        <f>IF($Z430="","a",IF(AND($Z430="b",Inventory!$J186=""),"a",IF(AND($Z430="b",Inventory!$J186&lt;&gt;""),VLOOKUP(Inventory!$J186,$H$4:$I$6,2,FALSE),IF(AND($Z430="a",Inventory!$AA186=""),"a",IF(AND($Z430="a",Inventory!$AA186&lt;&gt;""),VLOOKUP(Inventory!$AA186,$H$4:$I$6,2,FALSE),IF(AND($Z430="c",Inventory!$AA186=""),"a",IF(AND($Z430="c",Inventory!$AA186&lt;&gt;""),VLOOKUP(Inventory!$AA186,$H$4:$I$6,2,FALSE),"a")))))))</f>
        <v>a</v>
      </c>
      <c r="AC430" s="559" t="str">
        <f t="shared" si="300"/>
        <v>a</v>
      </c>
      <c r="AD430" s="473" t="str">
        <f>IF($Z430="","a",IF(AND($Z430="b",Inventory!$L186=""),"a",IF(AND($Z430="b",Inventory!$L186&lt;&gt;""),VLOOKUP(Inventory!$L186,$N$4:$O$5,2,FALSE),IF(AND($Z430="a",Inventory!$AC186=""),"a",IF(AND($Z430="a",Inventory!$AC186&lt;&gt;""),VLOOKUP(Inventory!$AC186,$N$4:$O$5,2,FALSE),IF(AND($Z430="c",Inventory!$AC186=""),"a",IF(AND($Z430="c",Inventory!$AC186&lt;&gt;""),VLOOKUP(Inventory!$AC186,$N$4:$O$5,2,FALSE),"a")))))))</f>
        <v>a</v>
      </c>
      <c r="AE430" s="474">
        <f>IF(OR(Inventory!C186="New Construction",Inventory!C186="Replace-on-Burnout"),Inventory!AF186,IF(Inventory!C186="Early Retirement",MIN(Inventory!AE186,Inventory!AF186),0))</f>
        <v>0</v>
      </c>
      <c r="AF430" s="475" t="str">
        <f t="shared" si="301"/>
        <v/>
      </c>
      <c r="AG430" s="475" t="str">
        <f t="shared" si="302"/>
        <v/>
      </c>
      <c r="AH430" s="475" t="str">
        <f t="shared" si="303"/>
        <v/>
      </c>
      <c r="AI430" s="475" t="str">
        <f t="shared" si="304"/>
        <v/>
      </c>
      <c r="AJ430" s="475" t="str">
        <f t="shared" si="305"/>
        <v/>
      </c>
      <c r="AK430" s="475" t="str">
        <f t="shared" si="306"/>
        <v/>
      </c>
      <c r="AL430" s="475" t="str">
        <f t="shared" si="307"/>
        <v/>
      </c>
      <c r="AM430" s="475" t="str">
        <f t="shared" si="308"/>
        <v/>
      </c>
      <c r="AN430" s="475" t="str">
        <f t="shared" si="309"/>
        <v/>
      </c>
      <c r="AO430" s="475" t="str">
        <f t="shared" si="310"/>
        <v/>
      </c>
      <c r="AP430" s="475" t="str">
        <f t="shared" si="311"/>
        <v/>
      </c>
      <c r="AQ430" s="475" t="str">
        <f t="shared" si="312"/>
        <v/>
      </c>
      <c r="AR430" s="475" t="str">
        <f t="shared" si="313"/>
        <v/>
      </c>
      <c r="AS430" s="475" t="str">
        <f t="shared" si="296"/>
        <v/>
      </c>
      <c r="AT430" s="475" t="str">
        <f t="shared" si="314"/>
        <v/>
      </c>
      <c r="AU430" s="475" t="str">
        <f t="shared" si="315"/>
        <v/>
      </c>
      <c r="AV430" s="475" t="str">
        <f t="shared" si="316"/>
        <v/>
      </c>
      <c r="AW430" s="473">
        <f t="shared" si="317"/>
        <v>0</v>
      </c>
      <c r="AX430" s="473" t="str">
        <f>IF(AND($Z430="b",OR($AA430="a",$AA430="b"),Inventory!$I186="",$AE430&lt;(65000/12000)),"x",IF(AND($Z430="b",OR($AA430="a",$AA430="b"),Inventory!$I186&lt;&gt;"",$AE430&lt;(65000/12000)),VLOOKUP(Inventory!$I437,$V$4:$W$5,2,FALSE),"x"))</f>
        <v>x</v>
      </c>
      <c r="AY430" s="476" t="str">
        <f t="shared" si="318"/>
        <v>aaa0</v>
      </c>
      <c r="AZ430" s="477" t="str">
        <f t="shared" si="287"/>
        <v>No</v>
      </c>
      <c r="BA430" s="759" t="str">
        <f t="shared" si="288"/>
        <v>No</v>
      </c>
      <c r="BB430" s="477">
        <f>IF($Z430="c",Inventory!$AB186,Inventory!$K186)</f>
        <v>0</v>
      </c>
      <c r="BC430" s="478">
        <f>IF(AND($Z430="b",Inventory!$N186="Btu/hr"),Inventory!$M186,IF(AND($Z430="b",Inventory!$N186="Tons"),Inventory!$M186*12000,IF(AND($Z430&lt;&gt;"b",Inventory!$AK186="Btu/hr"),Inventory!$AD186,IF(AND($Z430&lt;&gt;"b",Inventory!$AK186="Tons"),Inventory!$AD186*12000,0))))</f>
        <v>0</v>
      </c>
      <c r="BD430" s="478">
        <f t="shared" si="285"/>
        <v>0</v>
      </c>
      <c r="BE430" s="479">
        <f t="shared" si="297"/>
        <v>0</v>
      </c>
      <c r="BF430" s="477" t="s">
        <v>50</v>
      </c>
      <c r="BG430" s="479">
        <f t="shared" si="319"/>
        <v>0</v>
      </c>
      <c r="BH430" s="477" t="s">
        <v>46</v>
      </c>
      <c r="BI430" s="760">
        <f>IF(AND($Z430="b",Inventory!$P186="Btu/hr"),Inventory!$O186,IF(AND($Z430="b",Inventory!$P186="Tons"),Inventory!$O186*12000,IF(AND($Z430&lt;&gt;"b",Inventory!$AM186="Btu/hr"),Inventory!$AL186,IF(AND($Z430&lt;&gt;"b",Inventory!$AM186="Tons"),Inventory!$AL186*12000,0))))</f>
        <v>0</v>
      </c>
      <c r="BJ430" s="760">
        <f t="shared" si="286"/>
        <v>0</v>
      </c>
      <c r="BK430" s="598">
        <f t="shared" si="289"/>
        <v>0</v>
      </c>
      <c r="BL430" s="759" t="s">
        <v>567</v>
      </c>
      <c r="BM430" s="477" t="str">
        <f t="shared" si="320"/>
        <v>No</v>
      </c>
      <c r="BN430" s="477" t="str">
        <f>IF(OR(Inventory!$H186="",$BM430="No"),"-",Inventory!$H186)</f>
        <v>-</v>
      </c>
      <c r="BO430" s="477" t="str">
        <f>IFERROR(VLOOKUP(BN430,'Early Retirement'!$B$6:$C$33,2,FALSE),"-")</f>
        <v>-</v>
      </c>
      <c r="BP430" s="477" t="str">
        <f>IF(Inventory!$J186="Centrifugal","Yes","No")</f>
        <v>No</v>
      </c>
      <c r="BQ430" s="477">
        <f t="shared" si="321"/>
        <v>0</v>
      </c>
      <c r="BR430" s="477" t="str">
        <f t="shared" si="299"/>
        <v>-</v>
      </c>
      <c r="BS430" s="479">
        <f>IFERROR(INDEX('Early Retirement'!$C$4:$AC$33,$BO430,$BR430),0)</f>
        <v>0</v>
      </c>
      <c r="BT430" s="477">
        <f>IFERROR(HLOOKUP($BR430,'Early Retirement'!$D$4:$AC$5,2,FALSE),0)</f>
        <v>0</v>
      </c>
      <c r="BU430" s="761">
        <f>IFERROR(INDEX('Early Retirement'!$AE$4:$BE$33,$BO430,$BR430),0)</f>
        <v>0</v>
      </c>
      <c r="BV430" s="759">
        <f>IFERROR(HLOOKUP($BR430,'Early Retirement'!$AF$4:$BE$5,2,FALSE),0)</f>
        <v>0</v>
      </c>
      <c r="BW430" s="479">
        <f t="shared" si="322"/>
        <v>0</v>
      </c>
      <c r="BX430" s="761">
        <f t="shared" si="290"/>
        <v>0</v>
      </c>
      <c r="BY430" s="477" t="s">
        <v>46</v>
      </c>
      <c r="BZ430" s="598">
        <f>IFERROR(INDEX('Early Retirement'!$BG$4:$CG$33,$BO430,$BR430),0)</f>
        <v>0</v>
      </c>
      <c r="CA430" s="759">
        <f>IFERROR(HLOOKUP($BR430,'Early Retirement'!$BH$4:$CH$5,2,FALSE),0)</f>
        <v>0</v>
      </c>
      <c r="CB430" s="598">
        <f t="shared" si="291"/>
        <v>0</v>
      </c>
      <c r="CC430" s="759" t="s">
        <v>567</v>
      </c>
      <c r="CD430" s="477" t="str">
        <f t="shared" si="323"/>
        <v>Yes</v>
      </c>
      <c r="CE430" s="479">
        <f t="shared" si="292"/>
        <v>0</v>
      </c>
      <c r="CF430" s="761">
        <f t="shared" si="293"/>
        <v>0</v>
      </c>
      <c r="CG430" s="759" t="s">
        <v>46</v>
      </c>
      <c r="CH430" s="598">
        <f t="shared" si="298"/>
        <v>0</v>
      </c>
      <c r="CI430" s="759" t="s">
        <v>567</v>
      </c>
      <c r="CJ430" s="480">
        <f t="shared" si="324"/>
        <v>0</v>
      </c>
      <c r="CK430" s="583">
        <f t="shared" si="294"/>
        <v>0</v>
      </c>
      <c r="CL430" s="596" t="s">
        <v>46</v>
      </c>
      <c r="CM430" s="581">
        <f t="shared" si="295"/>
        <v>0</v>
      </c>
      <c r="CN430" s="762" t="s">
        <v>567</v>
      </c>
      <c r="CW430" s="630"/>
      <c r="CX430" s="630"/>
      <c r="CY430" s="630"/>
      <c r="CZ430" s="630"/>
      <c r="DA430" s="630"/>
    </row>
    <row r="431" spans="2:105" s="78" customFormat="1" ht="15" customHeight="1" x14ac:dyDescent="0.25">
      <c r="B431" s="77"/>
      <c r="E431" s="77"/>
      <c r="H431" s="77"/>
      <c r="Y431" s="90">
        <v>178</v>
      </c>
      <c r="Z431" s="559" t="str">
        <f>IF(Inventory!$C187="","",VLOOKUP(Inventory!$C187,$B$7:$C$9,2,FALSE))</f>
        <v/>
      </c>
      <c r="AA431" s="559" t="str">
        <f>IF($Z431="","",IF(AND($Z431="b",Inventory!$G187=""),"",IF(AND($Z431="b",Inventory!$G187&lt;&gt;""),VLOOKUP(Inventory!$G187,$E$3:$F$10,2,FALSE),IF(AND($Z431="a",Inventory!$Z187=""),"",IF(AND($Z431="a",Inventory!$Z187&lt;&gt;""),VLOOKUP(Inventory!$Z187,$E$3:$F$10,2,FALSE),IF(AND($Z431="c",Inventory!$Z187=""),"",IF(AND($Z431="c",Inventory!$Z187&lt;&gt;""),VLOOKUP(Inventory!$Z187,$E$3:$F$10,2,FALSE),"")))))))</f>
        <v/>
      </c>
      <c r="AB431" s="559" t="str">
        <f>IF($Z431="","a",IF(AND($Z431="b",Inventory!$J187=""),"a",IF(AND($Z431="b",Inventory!$J187&lt;&gt;""),VLOOKUP(Inventory!$J187,$H$4:$I$6,2,FALSE),IF(AND($Z431="a",Inventory!$AA187=""),"a",IF(AND($Z431="a",Inventory!$AA187&lt;&gt;""),VLOOKUP(Inventory!$AA187,$H$4:$I$6,2,FALSE),IF(AND($Z431="c",Inventory!$AA187=""),"a",IF(AND($Z431="c",Inventory!$AA187&lt;&gt;""),VLOOKUP(Inventory!$AA187,$H$4:$I$6,2,FALSE),"a")))))))</f>
        <v>a</v>
      </c>
      <c r="AC431" s="559" t="str">
        <f t="shared" si="300"/>
        <v>a</v>
      </c>
      <c r="AD431" s="473" t="str">
        <f>IF($Z431="","a",IF(AND($Z431="b",Inventory!$L187=""),"a",IF(AND($Z431="b",Inventory!$L187&lt;&gt;""),VLOOKUP(Inventory!$L187,$N$4:$O$5,2,FALSE),IF(AND($Z431="a",Inventory!$AC187=""),"a",IF(AND($Z431="a",Inventory!$AC187&lt;&gt;""),VLOOKUP(Inventory!$AC187,$N$4:$O$5,2,FALSE),IF(AND($Z431="c",Inventory!$AC187=""),"a",IF(AND($Z431="c",Inventory!$AC187&lt;&gt;""),VLOOKUP(Inventory!$AC187,$N$4:$O$5,2,FALSE),"a")))))))</f>
        <v>a</v>
      </c>
      <c r="AE431" s="474">
        <f>IF(OR(Inventory!C187="New Construction",Inventory!C187="Replace-on-Burnout"),Inventory!AF187,IF(Inventory!C187="Early Retirement",MIN(Inventory!AE187,Inventory!AF187),0))</f>
        <v>0</v>
      </c>
      <c r="AF431" s="475" t="str">
        <f t="shared" si="301"/>
        <v/>
      </c>
      <c r="AG431" s="475" t="str">
        <f t="shared" si="302"/>
        <v/>
      </c>
      <c r="AH431" s="475" t="str">
        <f t="shared" si="303"/>
        <v/>
      </c>
      <c r="AI431" s="475" t="str">
        <f t="shared" si="304"/>
        <v/>
      </c>
      <c r="AJ431" s="475" t="str">
        <f t="shared" si="305"/>
        <v/>
      </c>
      <c r="AK431" s="475" t="str">
        <f t="shared" si="306"/>
        <v/>
      </c>
      <c r="AL431" s="475" t="str">
        <f t="shared" si="307"/>
        <v/>
      </c>
      <c r="AM431" s="475" t="str">
        <f t="shared" si="308"/>
        <v/>
      </c>
      <c r="AN431" s="475" t="str">
        <f t="shared" si="309"/>
        <v/>
      </c>
      <c r="AO431" s="475" t="str">
        <f t="shared" si="310"/>
        <v/>
      </c>
      <c r="AP431" s="475" t="str">
        <f t="shared" si="311"/>
        <v/>
      </c>
      <c r="AQ431" s="475" t="str">
        <f t="shared" si="312"/>
        <v/>
      </c>
      <c r="AR431" s="475" t="str">
        <f t="shared" si="313"/>
        <v/>
      </c>
      <c r="AS431" s="475" t="str">
        <f t="shared" si="296"/>
        <v/>
      </c>
      <c r="AT431" s="475" t="str">
        <f t="shared" si="314"/>
        <v/>
      </c>
      <c r="AU431" s="475" t="str">
        <f t="shared" si="315"/>
        <v/>
      </c>
      <c r="AV431" s="475" t="str">
        <f t="shared" si="316"/>
        <v/>
      </c>
      <c r="AW431" s="473">
        <f t="shared" si="317"/>
        <v>0</v>
      </c>
      <c r="AX431" s="473" t="str">
        <f>IF(AND($Z431="b",OR($AA431="a",$AA431="b"),Inventory!$I187="",$AE431&lt;(65000/12000)),"x",IF(AND($Z431="b",OR($AA431="a",$AA431="b"),Inventory!$I187&lt;&gt;"",$AE431&lt;(65000/12000)),VLOOKUP(Inventory!$I438,$V$4:$W$5,2,FALSE),"x"))</f>
        <v>x</v>
      </c>
      <c r="AY431" s="476" t="str">
        <f t="shared" si="318"/>
        <v>aaa0</v>
      </c>
      <c r="AZ431" s="477" t="str">
        <f t="shared" si="287"/>
        <v>No</v>
      </c>
      <c r="BA431" s="759" t="str">
        <f t="shared" si="288"/>
        <v>No</v>
      </c>
      <c r="BB431" s="477">
        <f>IF($Z431="c",Inventory!$AB187,Inventory!$K187)</f>
        <v>0</v>
      </c>
      <c r="BC431" s="478">
        <f>IF(AND($Z431="b",Inventory!$N187="Btu/hr"),Inventory!$M187,IF(AND($Z431="b",Inventory!$N187="Tons"),Inventory!$M187*12000,IF(AND($Z431&lt;&gt;"b",Inventory!$AK187="Btu/hr"),Inventory!$AD187,IF(AND($Z431&lt;&gt;"b",Inventory!$AK187="Tons"),Inventory!$AD187*12000,0))))</f>
        <v>0</v>
      </c>
      <c r="BD431" s="478">
        <f t="shared" ref="BD431:BD494" si="325">IF(BC431=0,0,IF($BC431&lt;7000,7000,IF($BC431&gt;15000,15000,$BC431)))</f>
        <v>0</v>
      </c>
      <c r="BE431" s="479">
        <f t="shared" si="297"/>
        <v>0</v>
      </c>
      <c r="BF431" s="477" t="s">
        <v>50</v>
      </c>
      <c r="BG431" s="479">
        <f t="shared" si="319"/>
        <v>0</v>
      </c>
      <c r="BH431" s="477" t="s">
        <v>46</v>
      </c>
      <c r="BI431" s="760">
        <f>IF(AND($Z431="b",Inventory!$P187="Btu/hr"),Inventory!$O187,IF(AND($Z431="b",Inventory!$P187="Tons"),Inventory!$O187*12000,IF(AND($Z431&lt;&gt;"b",Inventory!$AM187="Btu/hr"),Inventory!$AL187,IF(AND($Z431&lt;&gt;"b",Inventory!$AM187="Tons"),Inventory!$AL187*12000,0))))</f>
        <v>0</v>
      </c>
      <c r="BJ431" s="760">
        <f t="shared" ref="BJ431:BJ494" si="326">IF(BI431=0,0,IF($BI431&lt;7000,7000,IF($BI431&gt;15000,15000,$BI431)))</f>
        <v>0</v>
      </c>
      <c r="BK431" s="598">
        <f t="shared" si="289"/>
        <v>0</v>
      </c>
      <c r="BL431" s="759" t="s">
        <v>567</v>
      </c>
      <c r="BM431" s="477" t="str">
        <f t="shared" si="320"/>
        <v>No</v>
      </c>
      <c r="BN431" s="477" t="str">
        <f>IF(OR(Inventory!$H187="",$BM431="No"),"-",Inventory!$H187)</f>
        <v>-</v>
      </c>
      <c r="BO431" s="477" t="str">
        <f>IFERROR(VLOOKUP(BN431,'Early Retirement'!$B$6:$C$33,2,FALSE),"-")</f>
        <v>-</v>
      </c>
      <c r="BP431" s="477" t="str">
        <f>IF(Inventory!$J187="Centrifugal","Yes","No")</f>
        <v>No</v>
      </c>
      <c r="BQ431" s="477">
        <f t="shared" si="321"/>
        <v>0</v>
      </c>
      <c r="BR431" s="477" t="str">
        <f t="shared" si="299"/>
        <v>-</v>
      </c>
      <c r="BS431" s="479">
        <f>IFERROR(INDEX('Early Retirement'!$C$4:$AC$33,$BO431,$BR431),0)</f>
        <v>0</v>
      </c>
      <c r="BT431" s="477">
        <f>IFERROR(HLOOKUP($BR431,'Early Retirement'!$D$4:$AC$5,2,FALSE),0)</f>
        <v>0</v>
      </c>
      <c r="BU431" s="761">
        <f>IFERROR(INDEX('Early Retirement'!$AE$4:$BE$33,$BO431,$BR431),0)</f>
        <v>0</v>
      </c>
      <c r="BV431" s="759">
        <f>IFERROR(HLOOKUP($BR431,'Early Retirement'!$AF$4:$BE$5,2,FALSE),0)</f>
        <v>0</v>
      </c>
      <c r="BW431" s="479">
        <f t="shared" si="322"/>
        <v>0</v>
      </c>
      <c r="BX431" s="761">
        <f t="shared" si="290"/>
        <v>0</v>
      </c>
      <c r="BY431" s="477" t="s">
        <v>46</v>
      </c>
      <c r="BZ431" s="598">
        <f>IFERROR(INDEX('Early Retirement'!$BG$4:$CG$33,$BO431,$BR431),0)</f>
        <v>0</v>
      </c>
      <c r="CA431" s="759">
        <f>IFERROR(HLOOKUP($BR431,'Early Retirement'!$BH$4:$CH$5,2,FALSE),0)</f>
        <v>0</v>
      </c>
      <c r="CB431" s="598">
        <f t="shared" si="291"/>
        <v>0</v>
      </c>
      <c r="CC431" s="759" t="s">
        <v>567</v>
      </c>
      <c r="CD431" s="477" t="str">
        <f t="shared" si="323"/>
        <v>Yes</v>
      </c>
      <c r="CE431" s="479">
        <f t="shared" si="292"/>
        <v>0</v>
      </c>
      <c r="CF431" s="761">
        <f t="shared" si="293"/>
        <v>0</v>
      </c>
      <c r="CG431" s="759" t="s">
        <v>46</v>
      </c>
      <c r="CH431" s="598">
        <f t="shared" si="298"/>
        <v>0</v>
      </c>
      <c r="CI431" s="759" t="s">
        <v>567</v>
      </c>
      <c r="CJ431" s="480">
        <f t="shared" si="324"/>
        <v>0</v>
      </c>
      <c r="CK431" s="583">
        <f t="shared" si="294"/>
        <v>0</v>
      </c>
      <c r="CL431" s="596" t="s">
        <v>46</v>
      </c>
      <c r="CM431" s="581">
        <f t="shared" si="295"/>
        <v>0</v>
      </c>
      <c r="CN431" s="762" t="s">
        <v>567</v>
      </c>
      <c r="CW431" s="630"/>
      <c r="CX431" s="630"/>
      <c r="CY431" s="630"/>
      <c r="CZ431" s="630"/>
      <c r="DA431" s="630"/>
    </row>
    <row r="432" spans="2:105" s="78" customFormat="1" ht="15" customHeight="1" x14ac:dyDescent="0.25">
      <c r="B432" s="77"/>
      <c r="E432" s="77"/>
      <c r="H432" s="77"/>
      <c r="Y432" s="90">
        <v>179</v>
      </c>
      <c r="Z432" s="559" t="str">
        <f>IF(Inventory!$C188="","",VLOOKUP(Inventory!$C188,$B$7:$C$9,2,FALSE))</f>
        <v/>
      </c>
      <c r="AA432" s="559" t="str">
        <f>IF($Z432="","",IF(AND($Z432="b",Inventory!$G188=""),"",IF(AND($Z432="b",Inventory!$G188&lt;&gt;""),VLOOKUP(Inventory!$G188,$E$3:$F$10,2,FALSE),IF(AND($Z432="a",Inventory!$Z188=""),"",IF(AND($Z432="a",Inventory!$Z188&lt;&gt;""),VLOOKUP(Inventory!$Z188,$E$3:$F$10,2,FALSE),IF(AND($Z432="c",Inventory!$Z188=""),"",IF(AND($Z432="c",Inventory!$Z188&lt;&gt;""),VLOOKUP(Inventory!$Z188,$E$3:$F$10,2,FALSE),"")))))))</f>
        <v/>
      </c>
      <c r="AB432" s="559" t="str">
        <f>IF($Z432="","a",IF(AND($Z432="b",Inventory!$J188=""),"a",IF(AND($Z432="b",Inventory!$J188&lt;&gt;""),VLOOKUP(Inventory!$J188,$H$4:$I$6,2,FALSE),IF(AND($Z432="a",Inventory!$AA188=""),"a",IF(AND($Z432="a",Inventory!$AA188&lt;&gt;""),VLOOKUP(Inventory!$AA188,$H$4:$I$6,2,FALSE),IF(AND($Z432="c",Inventory!$AA188=""),"a",IF(AND($Z432="c",Inventory!$AA188&lt;&gt;""),VLOOKUP(Inventory!$AA188,$H$4:$I$6,2,FALSE),"a")))))))</f>
        <v>a</v>
      </c>
      <c r="AC432" s="559" t="str">
        <f t="shared" si="300"/>
        <v>a</v>
      </c>
      <c r="AD432" s="473" t="str">
        <f>IF($Z432="","a",IF(AND($Z432="b",Inventory!$L188=""),"a",IF(AND($Z432="b",Inventory!$L188&lt;&gt;""),VLOOKUP(Inventory!$L188,$N$4:$O$5,2,FALSE),IF(AND($Z432="a",Inventory!$AC188=""),"a",IF(AND($Z432="a",Inventory!$AC188&lt;&gt;""),VLOOKUP(Inventory!$AC188,$N$4:$O$5,2,FALSE),IF(AND($Z432="c",Inventory!$AC188=""),"a",IF(AND($Z432="c",Inventory!$AC188&lt;&gt;""),VLOOKUP(Inventory!$AC188,$N$4:$O$5,2,FALSE),"a")))))))</f>
        <v>a</v>
      </c>
      <c r="AE432" s="474">
        <f>IF(OR(Inventory!C188="New Construction",Inventory!C188="Replace-on-Burnout"),Inventory!AF188,IF(Inventory!C188="Early Retirement",MIN(Inventory!AE188,Inventory!AF188),0))</f>
        <v>0</v>
      </c>
      <c r="AF432" s="475" t="str">
        <f t="shared" si="301"/>
        <v/>
      </c>
      <c r="AG432" s="475" t="str">
        <f t="shared" si="302"/>
        <v/>
      </c>
      <c r="AH432" s="475" t="str">
        <f t="shared" si="303"/>
        <v/>
      </c>
      <c r="AI432" s="475" t="str">
        <f t="shared" si="304"/>
        <v/>
      </c>
      <c r="AJ432" s="475" t="str">
        <f t="shared" si="305"/>
        <v/>
      </c>
      <c r="AK432" s="475" t="str">
        <f t="shared" si="306"/>
        <v/>
      </c>
      <c r="AL432" s="475" t="str">
        <f t="shared" si="307"/>
        <v/>
      </c>
      <c r="AM432" s="475" t="str">
        <f t="shared" si="308"/>
        <v/>
      </c>
      <c r="AN432" s="475" t="str">
        <f t="shared" si="309"/>
        <v/>
      </c>
      <c r="AO432" s="475" t="str">
        <f t="shared" si="310"/>
        <v/>
      </c>
      <c r="AP432" s="475" t="str">
        <f t="shared" si="311"/>
        <v/>
      </c>
      <c r="AQ432" s="475" t="str">
        <f t="shared" si="312"/>
        <v/>
      </c>
      <c r="AR432" s="475" t="str">
        <f t="shared" si="313"/>
        <v/>
      </c>
      <c r="AS432" s="475" t="str">
        <f t="shared" si="296"/>
        <v/>
      </c>
      <c r="AT432" s="475" t="str">
        <f t="shared" si="314"/>
        <v/>
      </c>
      <c r="AU432" s="475" t="str">
        <f t="shared" si="315"/>
        <v/>
      </c>
      <c r="AV432" s="475" t="str">
        <f t="shared" si="316"/>
        <v/>
      </c>
      <c r="AW432" s="473">
        <f t="shared" si="317"/>
        <v>0</v>
      </c>
      <c r="AX432" s="473" t="str">
        <f>IF(AND($Z432="b",OR($AA432="a",$AA432="b"),Inventory!$I188="",$AE432&lt;(65000/12000)),"x",IF(AND($Z432="b",OR($AA432="a",$AA432="b"),Inventory!$I188&lt;&gt;"",$AE432&lt;(65000/12000)),VLOOKUP(Inventory!$I439,$V$4:$W$5,2,FALSE),"x"))</f>
        <v>x</v>
      </c>
      <c r="AY432" s="476" t="str">
        <f t="shared" si="318"/>
        <v>aaa0</v>
      </c>
      <c r="AZ432" s="477" t="str">
        <f t="shared" si="287"/>
        <v>No</v>
      </c>
      <c r="BA432" s="759" t="str">
        <f t="shared" si="288"/>
        <v>No</v>
      </c>
      <c r="BB432" s="477">
        <f>IF($Z432="c",Inventory!$AB188,Inventory!$K188)</f>
        <v>0</v>
      </c>
      <c r="BC432" s="478">
        <f>IF(AND($Z432="b",Inventory!$N188="Btu/hr"),Inventory!$M188,IF(AND($Z432="b",Inventory!$N188="Tons"),Inventory!$M188*12000,IF(AND($Z432&lt;&gt;"b",Inventory!$AK188="Btu/hr"),Inventory!$AD188,IF(AND($Z432&lt;&gt;"b",Inventory!$AK188="Tons"),Inventory!$AD188*12000,0))))</f>
        <v>0</v>
      </c>
      <c r="BD432" s="478">
        <f t="shared" si="325"/>
        <v>0</v>
      </c>
      <c r="BE432" s="479">
        <f t="shared" si="297"/>
        <v>0</v>
      </c>
      <c r="BF432" s="477" t="s">
        <v>50</v>
      </c>
      <c r="BG432" s="479">
        <f t="shared" si="319"/>
        <v>0</v>
      </c>
      <c r="BH432" s="477" t="s">
        <v>46</v>
      </c>
      <c r="BI432" s="760">
        <f>IF(AND($Z432="b",Inventory!$P188="Btu/hr"),Inventory!$O188,IF(AND($Z432="b",Inventory!$P188="Tons"),Inventory!$O188*12000,IF(AND($Z432&lt;&gt;"b",Inventory!$AM188="Btu/hr"),Inventory!$AL188,IF(AND($Z432&lt;&gt;"b",Inventory!$AM188="Tons"),Inventory!$AL188*12000,0))))</f>
        <v>0</v>
      </c>
      <c r="BJ432" s="760">
        <f t="shared" si="326"/>
        <v>0</v>
      </c>
      <c r="BK432" s="598">
        <f t="shared" si="289"/>
        <v>0</v>
      </c>
      <c r="BL432" s="759" t="s">
        <v>567</v>
      </c>
      <c r="BM432" s="477" t="str">
        <f t="shared" si="320"/>
        <v>No</v>
      </c>
      <c r="BN432" s="477" t="str">
        <f>IF(OR(Inventory!$H188="",$BM432="No"),"-",Inventory!$H188)</f>
        <v>-</v>
      </c>
      <c r="BO432" s="477" t="str">
        <f>IFERROR(VLOOKUP(BN432,'Early Retirement'!$B$6:$C$33,2,FALSE),"-")</f>
        <v>-</v>
      </c>
      <c r="BP432" s="477" t="str">
        <f>IF(Inventory!$J188="Centrifugal","Yes","No")</f>
        <v>No</v>
      </c>
      <c r="BQ432" s="477">
        <f t="shared" si="321"/>
        <v>0</v>
      </c>
      <c r="BR432" s="477" t="str">
        <f t="shared" si="299"/>
        <v>-</v>
      </c>
      <c r="BS432" s="479">
        <f>IFERROR(INDEX('Early Retirement'!$C$4:$AC$33,$BO432,$BR432),0)</f>
        <v>0</v>
      </c>
      <c r="BT432" s="477">
        <f>IFERROR(HLOOKUP($BR432,'Early Retirement'!$D$4:$AC$5,2,FALSE),0)</f>
        <v>0</v>
      </c>
      <c r="BU432" s="761">
        <f>IFERROR(INDEX('Early Retirement'!$AE$4:$BE$33,$BO432,$BR432),0)</f>
        <v>0</v>
      </c>
      <c r="BV432" s="759">
        <f>IFERROR(HLOOKUP($BR432,'Early Retirement'!$AF$4:$BE$5,2,FALSE),0)</f>
        <v>0</v>
      </c>
      <c r="BW432" s="479">
        <f t="shared" si="322"/>
        <v>0</v>
      </c>
      <c r="BX432" s="761">
        <f t="shared" si="290"/>
        <v>0</v>
      </c>
      <c r="BY432" s="477" t="s">
        <v>46</v>
      </c>
      <c r="BZ432" s="598">
        <f>IFERROR(INDEX('Early Retirement'!$BG$4:$CG$33,$BO432,$BR432),0)</f>
        <v>0</v>
      </c>
      <c r="CA432" s="759">
        <f>IFERROR(HLOOKUP($BR432,'Early Retirement'!$BH$4:$CH$5,2,FALSE),0)</f>
        <v>0</v>
      </c>
      <c r="CB432" s="598">
        <f t="shared" si="291"/>
        <v>0</v>
      </c>
      <c r="CC432" s="759" t="s">
        <v>567</v>
      </c>
      <c r="CD432" s="477" t="str">
        <f t="shared" si="323"/>
        <v>Yes</v>
      </c>
      <c r="CE432" s="479">
        <f t="shared" si="292"/>
        <v>0</v>
      </c>
      <c r="CF432" s="761">
        <f t="shared" si="293"/>
        <v>0</v>
      </c>
      <c r="CG432" s="759" t="s">
        <v>46</v>
      </c>
      <c r="CH432" s="598">
        <f t="shared" si="298"/>
        <v>0</v>
      </c>
      <c r="CI432" s="759" t="s">
        <v>567</v>
      </c>
      <c r="CJ432" s="480">
        <f t="shared" si="324"/>
        <v>0</v>
      </c>
      <c r="CK432" s="583">
        <f t="shared" si="294"/>
        <v>0</v>
      </c>
      <c r="CL432" s="596" t="s">
        <v>46</v>
      </c>
      <c r="CM432" s="581">
        <f t="shared" si="295"/>
        <v>0</v>
      </c>
      <c r="CN432" s="762" t="s">
        <v>567</v>
      </c>
      <c r="CW432" s="630"/>
      <c r="CX432" s="630"/>
      <c r="CY432" s="630"/>
      <c r="CZ432" s="630"/>
      <c r="DA432" s="630"/>
    </row>
    <row r="433" spans="2:105" s="78" customFormat="1" ht="15" customHeight="1" x14ac:dyDescent="0.25">
      <c r="B433" s="77"/>
      <c r="E433" s="77"/>
      <c r="H433" s="77"/>
      <c r="Y433" s="90">
        <v>180</v>
      </c>
      <c r="Z433" s="559" t="str">
        <f>IF(Inventory!$C189="","",VLOOKUP(Inventory!$C189,$B$7:$C$9,2,FALSE))</f>
        <v/>
      </c>
      <c r="AA433" s="559" t="str">
        <f>IF($Z433="","",IF(AND($Z433="b",Inventory!$G189=""),"",IF(AND($Z433="b",Inventory!$G189&lt;&gt;""),VLOOKUP(Inventory!$G189,$E$3:$F$10,2,FALSE),IF(AND($Z433="a",Inventory!$Z189=""),"",IF(AND($Z433="a",Inventory!$Z189&lt;&gt;""),VLOOKUP(Inventory!$Z189,$E$3:$F$10,2,FALSE),IF(AND($Z433="c",Inventory!$Z189=""),"",IF(AND($Z433="c",Inventory!$Z189&lt;&gt;""),VLOOKUP(Inventory!$Z189,$E$3:$F$10,2,FALSE),"")))))))</f>
        <v/>
      </c>
      <c r="AB433" s="559" t="str">
        <f>IF($Z433="","a",IF(AND($Z433="b",Inventory!$J189=""),"a",IF(AND($Z433="b",Inventory!$J189&lt;&gt;""),VLOOKUP(Inventory!$J189,$H$4:$I$6,2,FALSE),IF(AND($Z433="a",Inventory!$AA189=""),"a",IF(AND($Z433="a",Inventory!$AA189&lt;&gt;""),VLOOKUP(Inventory!$AA189,$H$4:$I$6,2,FALSE),IF(AND($Z433="c",Inventory!$AA189=""),"a",IF(AND($Z433="c",Inventory!$AA189&lt;&gt;""),VLOOKUP(Inventory!$AA189,$H$4:$I$6,2,FALSE),"a")))))))</f>
        <v>a</v>
      </c>
      <c r="AC433" s="559" t="str">
        <f t="shared" si="300"/>
        <v>a</v>
      </c>
      <c r="AD433" s="473" t="str">
        <f>IF($Z433="","a",IF(AND($Z433="b",Inventory!$L189=""),"a",IF(AND($Z433="b",Inventory!$L189&lt;&gt;""),VLOOKUP(Inventory!$L189,$N$4:$O$5,2,FALSE),IF(AND($Z433="a",Inventory!$AC189=""),"a",IF(AND($Z433="a",Inventory!$AC189&lt;&gt;""),VLOOKUP(Inventory!$AC189,$N$4:$O$5,2,FALSE),IF(AND($Z433="c",Inventory!$AC189=""),"a",IF(AND($Z433="c",Inventory!$AC189&lt;&gt;""),VLOOKUP(Inventory!$AC189,$N$4:$O$5,2,FALSE),"a")))))))</f>
        <v>a</v>
      </c>
      <c r="AE433" s="474">
        <f>IF(OR(Inventory!C189="New Construction",Inventory!C189="Replace-on-Burnout"),Inventory!AF189,IF(Inventory!C189="Early Retirement",MIN(Inventory!AE189,Inventory!AF189),0))</f>
        <v>0</v>
      </c>
      <c r="AF433" s="475" t="str">
        <f t="shared" si="301"/>
        <v/>
      </c>
      <c r="AG433" s="475" t="str">
        <f t="shared" si="302"/>
        <v/>
      </c>
      <c r="AH433" s="475" t="str">
        <f t="shared" si="303"/>
        <v/>
      </c>
      <c r="AI433" s="475" t="str">
        <f t="shared" si="304"/>
        <v/>
      </c>
      <c r="AJ433" s="475" t="str">
        <f t="shared" si="305"/>
        <v/>
      </c>
      <c r="AK433" s="475" t="str">
        <f t="shared" si="306"/>
        <v/>
      </c>
      <c r="AL433" s="475" t="str">
        <f t="shared" si="307"/>
        <v/>
      </c>
      <c r="AM433" s="475" t="str">
        <f t="shared" si="308"/>
        <v/>
      </c>
      <c r="AN433" s="475" t="str">
        <f t="shared" si="309"/>
        <v/>
      </c>
      <c r="AO433" s="475" t="str">
        <f t="shared" si="310"/>
        <v/>
      </c>
      <c r="AP433" s="475" t="str">
        <f t="shared" si="311"/>
        <v/>
      </c>
      <c r="AQ433" s="475" t="str">
        <f t="shared" si="312"/>
        <v/>
      </c>
      <c r="AR433" s="475" t="str">
        <f t="shared" si="313"/>
        <v/>
      </c>
      <c r="AS433" s="475" t="str">
        <f t="shared" si="296"/>
        <v/>
      </c>
      <c r="AT433" s="475" t="str">
        <f t="shared" si="314"/>
        <v/>
      </c>
      <c r="AU433" s="475" t="str">
        <f t="shared" si="315"/>
        <v/>
      </c>
      <c r="AV433" s="475" t="str">
        <f t="shared" si="316"/>
        <v/>
      </c>
      <c r="AW433" s="473">
        <f t="shared" si="317"/>
        <v>0</v>
      </c>
      <c r="AX433" s="473" t="str">
        <f>IF(AND($Z433="b",OR($AA433="a",$AA433="b"),Inventory!$I189="",$AE433&lt;(65000/12000)),"x",IF(AND($Z433="b",OR($AA433="a",$AA433="b"),Inventory!$I189&lt;&gt;"",$AE433&lt;(65000/12000)),VLOOKUP(Inventory!$I440,$V$4:$W$5,2,FALSE),"x"))</f>
        <v>x</v>
      </c>
      <c r="AY433" s="476" t="str">
        <f t="shared" si="318"/>
        <v>aaa0</v>
      </c>
      <c r="AZ433" s="477" t="str">
        <f t="shared" si="287"/>
        <v>No</v>
      </c>
      <c r="BA433" s="759" t="str">
        <f t="shared" si="288"/>
        <v>No</v>
      </c>
      <c r="BB433" s="477">
        <f>IF($Z433="c",Inventory!$AB189,Inventory!$K189)</f>
        <v>0</v>
      </c>
      <c r="BC433" s="478">
        <f>IF(AND($Z433="b",Inventory!$N189="Btu/hr"),Inventory!$M189,IF(AND($Z433="b",Inventory!$N189="Tons"),Inventory!$M189*12000,IF(AND($Z433&lt;&gt;"b",Inventory!$AK189="Btu/hr"),Inventory!$AD189,IF(AND($Z433&lt;&gt;"b",Inventory!$AK189="Tons"),Inventory!$AD189*12000,0))))</f>
        <v>0</v>
      </c>
      <c r="BD433" s="478">
        <f t="shared" si="325"/>
        <v>0</v>
      </c>
      <c r="BE433" s="479">
        <f t="shared" si="297"/>
        <v>0</v>
      </c>
      <c r="BF433" s="477" t="s">
        <v>50</v>
      </c>
      <c r="BG433" s="479">
        <f t="shared" si="319"/>
        <v>0</v>
      </c>
      <c r="BH433" s="477" t="s">
        <v>46</v>
      </c>
      <c r="BI433" s="760">
        <f>IF(AND($Z433="b",Inventory!$P189="Btu/hr"),Inventory!$O189,IF(AND($Z433="b",Inventory!$P189="Tons"),Inventory!$O189*12000,IF(AND($Z433&lt;&gt;"b",Inventory!$AM189="Btu/hr"),Inventory!$AL189,IF(AND($Z433&lt;&gt;"b",Inventory!$AM189="Tons"),Inventory!$AL189*12000,0))))</f>
        <v>0</v>
      </c>
      <c r="BJ433" s="760">
        <f t="shared" si="326"/>
        <v>0</v>
      </c>
      <c r="BK433" s="598">
        <f t="shared" si="289"/>
        <v>0</v>
      </c>
      <c r="BL433" s="759" t="s">
        <v>567</v>
      </c>
      <c r="BM433" s="477" t="str">
        <f t="shared" si="320"/>
        <v>No</v>
      </c>
      <c r="BN433" s="477" t="str">
        <f>IF(OR(Inventory!$H189="",$BM433="No"),"-",Inventory!$H189)</f>
        <v>-</v>
      </c>
      <c r="BO433" s="477" t="str">
        <f>IFERROR(VLOOKUP(BN433,'Early Retirement'!$B$6:$C$33,2,FALSE),"-")</f>
        <v>-</v>
      </c>
      <c r="BP433" s="477" t="str">
        <f>IF(Inventory!$J189="Centrifugal","Yes","No")</f>
        <v>No</v>
      </c>
      <c r="BQ433" s="477">
        <f t="shared" si="321"/>
        <v>0</v>
      </c>
      <c r="BR433" s="477" t="str">
        <f t="shared" si="299"/>
        <v>-</v>
      </c>
      <c r="BS433" s="479">
        <f>IFERROR(INDEX('Early Retirement'!$C$4:$AC$33,$BO433,$BR433),0)</f>
        <v>0</v>
      </c>
      <c r="BT433" s="477">
        <f>IFERROR(HLOOKUP($BR433,'Early Retirement'!$D$4:$AC$5,2,FALSE),0)</f>
        <v>0</v>
      </c>
      <c r="BU433" s="761">
        <f>IFERROR(INDEX('Early Retirement'!$AE$4:$BE$33,$BO433,$BR433),0)</f>
        <v>0</v>
      </c>
      <c r="BV433" s="759">
        <f>IFERROR(HLOOKUP($BR433,'Early Retirement'!$AF$4:$BE$5,2,FALSE),0)</f>
        <v>0</v>
      </c>
      <c r="BW433" s="479">
        <f t="shared" si="322"/>
        <v>0</v>
      </c>
      <c r="BX433" s="761">
        <f t="shared" si="290"/>
        <v>0</v>
      </c>
      <c r="BY433" s="477" t="s">
        <v>46</v>
      </c>
      <c r="BZ433" s="598">
        <f>IFERROR(INDEX('Early Retirement'!$BG$4:$CG$33,$BO433,$BR433),0)</f>
        <v>0</v>
      </c>
      <c r="CA433" s="759">
        <f>IFERROR(HLOOKUP($BR433,'Early Retirement'!$BH$4:$CH$5,2,FALSE),0)</f>
        <v>0</v>
      </c>
      <c r="CB433" s="598">
        <f t="shared" si="291"/>
        <v>0</v>
      </c>
      <c r="CC433" s="759" t="s">
        <v>567</v>
      </c>
      <c r="CD433" s="477" t="str">
        <f t="shared" si="323"/>
        <v>Yes</v>
      </c>
      <c r="CE433" s="479">
        <f t="shared" si="292"/>
        <v>0</v>
      </c>
      <c r="CF433" s="761">
        <f t="shared" si="293"/>
        <v>0</v>
      </c>
      <c r="CG433" s="759" t="s">
        <v>46</v>
      </c>
      <c r="CH433" s="598">
        <f t="shared" si="298"/>
        <v>0</v>
      </c>
      <c r="CI433" s="759" t="s">
        <v>567</v>
      </c>
      <c r="CJ433" s="480">
        <f t="shared" si="324"/>
        <v>0</v>
      </c>
      <c r="CK433" s="583">
        <f t="shared" si="294"/>
        <v>0</v>
      </c>
      <c r="CL433" s="596" t="s">
        <v>46</v>
      </c>
      <c r="CM433" s="581">
        <f t="shared" si="295"/>
        <v>0</v>
      </c>
      <c r="CN433" s="762" t="s">
        <v>567</v>
      </c>
      <c r="CW433" s="630"/>
      <c r="CX433" s="630"/>
      <c r="CY433" s="630"/>
      <c r="CZ433" s="630"/>
      <c r="DA433" s="630"/>
    </row>
    <row r="434" spans="2:105" s="78" customFormat="1" ht="15" customHeight="1" x14ac:dyDescent="0.25">
      <c r="B434" s="77"/>
      <c r="E434" s="77"/>
      <c r="H434" s="77"/>
      <c r="Y434" s="90">
        <v>181</v>
      </c>
      <c r="Z434" s="559" t="str">
        <f>IF(Inventory!$C190="","",VLOOKUP(Inventory!$C190,$B$7:$C$9,2,FALSE))</f>
        <v/>
      </c>
      <c r="AA434" s="559" t="str">
        <f>IF($Z434="","",IF(AND($Z434="b",Inventory!$G190=""),"",IF(AND($Z434="b",Inventory!$G190&lt;&gt;""),VLOOKUP(Inventory!$G190,$E$3:$F$10,2,FALSE),IF(AND($Z434="a",Inventory!$Z190=""),"",IF(AND($Z434="a",Inventory!$Z190&lt;&gt;""),VLOOKUP(Inventory!$Z190,$E$3:$F$10,2,FALSE),IF(AND($Z434="c",Inventory!$Z190=""),"",IF(AND($Z434="c",Inventory!$Z190&lt;&gt;""),VLOOKUP(Inventory!$Z190,$E$3:$F$10,2,FALSE),"")))))))</f>
        <v/>
      </c>
      <c r="AB434" s="559" t="str">
        <f>IF($Z434="","a",IF(AND($Z434="b",Inventory!$J190=""),"a",IF(AND($Z434="b",Inventory!$J190&lt;&gt;""),VLOOKUP(Inventory!$J190,$H$4:$I$6,2,FALSE),IF(AND($Z434="a",Inventory!$AA190=""),"a",IF(AND($Z434="a",Inventory!$AA190&lt;&gt;""),VLOOKUP(Inventory!$AA190,$H$4:$I$6,2,FALSE),IF(AND($Z434="c",Inventory!$AA190=""),"a",IF(AND($Z434="c",Inventory!$AA190&lt;&gt;""),VLOOKUP(Inventory!$AA190,$H$4:$I$6,2,FALSE),"a")))))))</f>
        <v>a</v>
      </c>
      <c r="AC434" s="559" t="str">
        <f t="shared" si="300"/>
        <v>a</v>
      </c>
      <c r="AD434" s="473" t="str">
        <f>IF($Z434="","a",IF(AND($Z434="b",Inventory!$L190=""),"a",IF(AND($Z434="b",Inventory!$L190&lt;&gt;""),VLOOKUP(Inventory!$L190,$N$4:$O$5,2,FALSE),IF(AND($Z434="a",Inventory!$AC190=""),"a",IF(AND($Z434="a",Inventory!$AC190&lt;&gt;""),VLOOKUP(Inventory!$AC190,$N$4:$O$5,2,FALSE),IF(AND($Z434="c",Inventory!$AC190=""),"a",IF(AND($Z434="c",Inventory!$AC190&lt;&gt;""),VLOOKUP(Inventory!$AC190,$N$4:$O$5,2,FALSE),"a")))))))</f>
        <v>a</v>
      </c>
      <c r="AE434" s="474">
        <f>IF(OR(Inventory!C190="New Construction",Inventory!C190="Replace-on-Burnout"),Inventory!AF190,IF(Inventory!C190="Early Retirement",MIN(Inventory!AE190,Inventory!AF190),0))</f>
        <v>0</v>
      </c>
      <c r="AF434" s="475" t="str">
        <f t="shared" si="301"/>
        <v/>
      </c>
      <c r="AG434" s="475" t="str">
        <f t="shared" si="302"/>
        <v/>
      </c>
      <c r="AH434" s="475" t="str">
        <f t="shared" si="303"/>
        <v/>
      </c>
      <c r="AI434" s="475" t="str">
        <f t="shared" si="304"/>
        <v/>
      </c>
      <c r="AJ434" s="475" t="str">
        <f t="shared" si="305"/>
        <v/>
      </c>
      <c r="AK434" s="475" t="str">
        <f t="shared" si="306"/>
        <v/>
      </c>
      <c r="AL434" s="475" t="str">
        <f t="shared" si="307"/>
        <v/>
      </c>
      <c r="AM434" s="475" t="str">
        <f t="shared" si="308"/>
        <v/>
      </c>
      <c r="AN434" s="475" t="str">
        <f t="shared" si="309"/>
        <v/>
      </c>
      <c r="AO434" s="475" t="str">
        <f t="shared" si="310"/>
        <v/>
      </c>
      <c r="AP434" s="475" t="str">
        <f t="shared" si="311"/>
        <v/>
      </c>
      <c r="AQ434" s="475" t="str">
        <f t="shared" si="312"/>
        <v/>
      </c>
      <c r="AR434" s="475" t="str">
        <f t="shared" si="313"/>
        <v/>
      </c>
      <c r="AS434" s="475" t="str">
        <f t="shared" si="296"/>
        <v/>
      </c>
      <c r="AT434" s="475" t="str">
        <f t="shared" si="314"/>
        <v/>
      </c>
      <c r="AU434" s="475" t="str">
        <f t="shared" si="315"/>
        <v/>
      </c>
      <c r="AV434" s="475" t="str">
        <f t="shared" si="316"/>
        <v/>
      </c>
      <c r="AW434" s="473">
        <f t="shared" si="317"/>
        <v>0</v>
      </c>
      <c r="AX434" s="473" t="str">
        <f>IF(AND($Z434="b",OR($AA434="a",$AA434="b"),Inventory!$I190="",$AE434&lt;(65000/12000)),"x",IF(AND($Z434="b",OR($AA434="a",$AA434="b"),Inventory!$I190&lt;&gt;"",$AE434&lt;(65000/12000)),VLOOKUP(Inventory!$I441,$V$4:$W$5,2,FALSE),"x"))</f>
        <v>x</v>
      </c>
      <c r="AY434" s="476" t="str">
        <f t="shared" si="318"/>
        <v>aaa0</v>
      </c>
      <c r="AZ434" s="477" t="str">
        <f t="shared" si="287"/>
        <v>No</v>
      </c>
      <c r="BA434" s="759" t="str">
        <f t="shared" si="288"/>
        <v>No</v>
      </c>
      <c r="BB434" s="477">
        <f>IF($Z434="c",Inventory!$AB190,Inventory!$K190)</f>
        <v>0</v>
      </c>
      <c r="BC434" s="478">
        <f>IF(AND($Z434="b",Inventory!$N190="Btu/hr"),Inventory!$M190,IF(AND($Z434="b",Inventory!$N190="Tons"),Inventory!$M190*12000,IF(AND($Z434&lt;&gt;"b",Inventory!$AK190="Btu/hr"),Inventory!$AD190,IF(AND($Z434&lt;&gt;"b",Inventory!$AK190="Tons"),Inventory!$AD190*12000,0))))</f>
        <v>0</v>
      </c>
      <c r="BD434" s="478">
        <f t="shared" si="325"/>
        <v>0</v>
      </c>
      <c r="BE434" s="479">
        <f t="shared" si="297"/>
        <v>0</v>
      </c>
      <c r="BF434" s="477" t="s">
        <v>50</v>
      </c>
      <c r="BG434" s="479">
        <f t="shared" si="319"/>
        <v>0</v>
      </c>
      <c r="BH434" s="477" t="s">
        <v>46</v>
      </c>
      <c r="BI434" s="760">
        <f>IF(AND($Z434="b",Inventory!$P190="Btu/hr"),Inventory!$O190,IF(AND($Z434="b",Inventory!$P190="Tons"),Inventory!$O190*12000,IF(AND($Z434&lt;&gt;"b",Inventory!$AM190="Btu/hr"),Inventory!$AL190,IF(AND($Z434&lt;&gt;"b",Inventory!$AM190="Tons"),Inventory!$AL190*12000,0))))</f>
        <v>0</v>
      </c>
      <c r="BJ434" s="760">
        <f t="shared" si="326"/>
        <v>0</v>
      </c>
      <c r="BK434" s="598">
        <f t="shared" si="289"/>
        <v>0</v>
      </c>
      <c r="BL434" s="759" t="s">
        <v>567</v>
      </c>
      <c r="BM434" s="477" t="str">
        <f t="shared" si="320"/>
        <v>No</v>
      </c>
      <c r="BN434" s="477" t="str">
        <f>IF(OR(Inventory!$H190="",$BM434="No"),"-",Inventory!$H190)</f>
        <v>-</v>
      </c>
      <c r="BO434" s="477" t="str">
        <f>IFERROR(VLOOKUP(BN434,'Early Retirement'!$B$6:$C$33,2,FALSE),"-")</f>
        <v>-</v>
      </c>
      <c r="BP434" s="477" t="str">
        <f>IF(Inventory!$J190="Centrifugal","Yes","No")</f>
        <v>No</v>
      </c>
      <c r="BQ434" s="477">
        <f t="shared" si="321"/>
        <v>0</v>
      </c>
      <c r="BR434" s="477" t="str">
        <f t="shared" si="299"/>
        <v>-</v>
      </c>
      <c r="BS434" s="479">
        <f>IFERROR(INDEX('Early Retirement'!$C$4:$AC$33,$BO434,$BR434),0)</f>
        <v>0</v>
      </c>
      <c r="BT434" s="477">
        <f>IFERROR(HLOOKUP($BR434,'Early Retirement'!$D$4:$AC$5,2,FALSE),0)</f>
        <v>0</v>
      </c>
      <c r="BU434" s="761">
        <f>IFERROR(INDEX('Early Retirement'!$AE$4:$BE$33,$BO434,$BR434),0)</f>
        <v>0</v>
      </c>
      <c r="BV434" s="759">
        <f>IFERROR(HLOOKUP($BR434,'Early Retirement'!$AF$4:$BE$5,2,FALSE),0)</f>
        <v>0</v>
      </c>
      <c r="BW434" s="479">
        <f t="shared" si="322"/>
        <v>0</v>
      </c>
      <c r="BX434" s="761">
        <f t="shared" si="290"/>
        <v>0</v>
      </c>
      <c r="BY434" s="477" t="s">
        <v>46</v>
      </c>
      <c r="BZ434" s="598">
        <f>IFERROR(INDEX('Early Retirement'!$BG$4:$CG$33,$BO434,$BR434),0)</f>
        <v>0</v>
      </c>
      <c r="CA434" s="759">
        <f>IFERROR(HLOOKUP($BR434,'Early Retirement'!$BH$4:$CH$5,2,FALSE),0)</f>
        <v>0</v>
      </c>
      <c r="CB434" s="598">
        <f t="shared" si="291"/>
        <v>0</v>
      </c>
      <c r="CC434" s="759" t="s">
        <v>567</v>
      </c>
      <c r="CD434" s="477" t="str">
        <f t="shared" si="323"/>
        <v>Yes</v>
      </c>
      <c r="CE434" s="479">
        <f t="shared" si="292"/>
        <v>0</v>
      </c>
      <c r="CF434" s="761">
        <f t="shared" si="293"/>
        <v>0</v>
      </c>
      <c r="CG434" s="759" t="s">
        <v>46</v>
      </c>
      <c r="CH434" s="598">
        <f t="shared" si="298"/>
        <v>0</v>
      </c>
      <c r="CI434" s="759" t="s">
        <v>567</v>
      </c>
      <c r="CJ434" s="480">
        <f t="shared" si="324"/>
        <v>0</v>
      </c>
      <c r="CK434" s="583">
        <f t="shared" si="294"/>
        <v>0</v>
      </c>
      <c r="CL434" s="596" t="s">
        <v>46</v>
      </c>
      <c r="CM434" s="581">
        <f t="shared" si="295"/>
        <v>0</v>
      </c>
      <c r="CN434" s="762" t="s">
        <v>567</v>
      </c>
      <c r="CW434" s="630"/>
      <c r="CX434" s="630"/>
      <c r="CY434" s="630"/>
      <c r="CZ434" s="630"/>
      <c r="DA434" s="630"/>
    </row>
    <row r="435" spans="2:105" s="78" customFormat="1" ht="15" customHeight="1" x14ac:dyDescent="0.25">
      <c r="B435" s="77"/>
      <c r="E435" s="77"/>
      <c r="H435" s="77"/>
      <c r="Y435" s="90">
        <v>182</v>
      </c>
      <c r="Z435" s="559" t="str">
        <f>IF(Inventory!$C191="","",VLOOKUP(Inventory!$C191,$B$7:$C$9,2,FALSE))</f>
        <v/>
      </c>
      <c r="AA435" s="559" t="str">
        <f>IF($Z435="","",IF(AND($Z435="b",Inventory!$G191=""),"",IF(AND($Z435="b",Inventory!$G191&lt;&gt;""),VLOOKUP(Inventory!$G191,$E$3:$F$10,2,FALSE),IF(AND($Z435="a",Inventory!$Z191=""),"",IF(AND($Z435="a",Inventory!$Z191&lt;&gt;""),VLOOKUP(Inventory!$Z191,$E$3:$F$10,2,FALSE),IF(AND($Z435="c",Inventory!$Z191=""),"",IF(AND($Z435="c",Inventory!$Z191&lt;&gt;""),VLOOKUP(Inventory!$Z191,$E$3:$F$10,2,FALSE),"")))))))</f>
        <v/>
      </c>
      <c r="AB435" s="559" t="str">
        <f>IF($Z435="","a",IF(AND($Z435="b",Inventory!$J191=""),"a",IF(AND($Z435="b",Inventory!$J191&lt;&gt;""),VLOOKUP(Inventory!$J191,$H$4:$I$6,2,FALSE),IF(AND($Z435="a",Inventory!$AA191=""),"a",IF(AND($Z435="a",Inventory!$AA191&lt;&gt;""),VLOOKUP(Inventory!$AA191,$H$4:$I$6,2,FALSE),IF(AND($Z435="c",Inventory!$AA191=""),"a",IF(AND($Z435="c",Inventory!$AA191&lt;&gt;""),VLOOKUP(Inventory!$AA191,$H$4:$I$6,2,FALSE),"a")))))))</f>
        <v>a</v>
      </c>
      <c r="AC435" s="559" t="str">
        <f t="shared" si="300"/>
        <v>a</v>
      </c>
      <c r="AD435" s="473" t="str">
        <f>IF($Z435="","a",IF(AND($Z435="b",Inventory!$L191=""),"a",IF(AND($Z435="b",Inventory!$L191&lt;&gt;""),VLOOKUP(Inventory!$L191,$N$4:$O$5,2,FALSE),IF(AND($Z435="a",Inventory!$AC191=""),"a",IF(AND($Z435="a",Inventory!$AC191&lt;&gt;""),VLOOKUP(Inventory!$AC191,$N$4:$O$5,2,FALSE),IF(AND($Z435="c",Inventory!$AC191=""),"a",IF(AND($Z435="c",Inventory!$AC191&lt;&gt;""),VLOOKUP(Inventory!$AC191,$N$4:$O$5,2,FALSE),"a")))))))</f>
        <v>a</v>
      </c>
      <c r="AE435" s="474">
        <f>IF(OR(Inventory!C191="New Construction",Inventory!C191="Replace-on-Burnout"),Inventory!AF191,IF(Inventory!C191="Early Retirement",MIN(Inventory!AE191,Inventory!AF191),0))</f>
        <v>0</v>
      </c>
      <c r="AF435" s="475" t="str">
        <f t="shared" si="301"/>
        <v/>
      </c>
      <c r="AG435" s="475" t="str">
        <f t="shared" si="302"/>
        <v/>
      </c>
      <c r="AH435" s="475" t="str">
        <f t="shared" si="303"/>
        <v/>
      </c>
      <c r="AI435" s="475" t="str">
        <f t="shared" si="304"/>
        <v/>
      </c>
      <c r="AJ435" s="475" t="str">
        <f t="shared" si="305"/>
        <v/>
      </c>
      <c r="AK435" s="475" t="str">
        <f t="shared" si="306"/>
        <v/>
      </c>
      <c r="AL435" s="475" t="str">
        <f t="shared" si="307"/>
        <v/>
      </c>
      <c r="AM435" s="475" t="str">
        <f t="shared" si="308"/>
        <v/>
      </c>
      <c r="AN435" s="475" t="str">
        <f t="shared" si="309"/>
        <v/>
      </c>
      <c r="AO435" s="475" t="str">
        <f t="shared" si="310"/>
        <v/>
      </c>
      <c r="AP435" s="475" t="str">
        <f t="shared" si="311"/>
        <v/>
      </c>
      <c r="AQ435" s="475" t="str">
        <f t="shared" si="312"/>
        <v/>
      </c>
      <c r="AR435" s="475" t="str">
        <f t="shared" si="313"/>
        <v/>
      </c>
      <c r="AS435" s="475" t="str">
        <f t="shared" si="296"/>
        <v/>
      </c>
      <c r="AT435" s="475" t="str">
        <f t="shared" si="314"/>
        <v/>
      </c>
      <c r="AU435" s="475" t="str">
        <f t="shared" si="315"/>
        <v/>
      </c>
      <c r="AV435" s="475" t="str">
        <f t="shared" si="316"/>
        <v/>
      </c>
      <c r="AW435" s="473">
        <f t="shared" si="317"/>
        <v>0</v>
      </c>
      <c r="AX435" s="473" t="str">
        <f>IF(AND($Z435="b",OR($AA435="a",$AA435="b"),Inventory!$I191="",$AE435&lt;(65000/12000)),"x",IF(AND($Z435="b",OR($AA435="a",$AA435="b"),Inventory!$I191&lt;&gt;"",$AE435&lt;(65000/12000)),VLOOKUP(Inventory!$I442,$V$4:$W$5,2,FALSE),"x"))</f>
        <v>x</v>
      </c>
      <c r="AY435" s="476" t="str">
        <f t="shared" si="318"/>
        <v>aaa0</v>
      </c>
      <c r="AZ435" s="477" t="str">
        <f t="shared" si="287"/>
        <v>No</v>
      </c>
      <c r="BA435" s="759" t="str">
        <f t="shared" si="288"/>
        <v>No</v>
      </c>
      <c r="BB435" s="477">
        <f>IF($Z435="c",Inventory!$AB191,Inventory!$K191)</f>
        <v>0</v>
      </c>
      <c r="BC435" s="478">
        <f>IF(AND($Z435="b",Inventory!$N191="Btu/hr"),Inventory!$M191,IF(AND($Z435="b",Inventory!$N191="Tons"),Inventory!$M191*12000,IF(AND($Z435&lt;&gt;"b",Inventory!$AK191="Btu/hr"),Inventory!$AD191,IF(AND($Z435&lt;&gt;"b",Inventory!$AK191="Tons"),Inventory!$AD191*12000,0))))</f>
        <v>0</v>
      </c>
      <c r="BD435" s="478">
        <f t="shared" si="325"/>
        <v>0</v>
      </c>
      <c r="BE435" s="479">
        <f t="shared" si="297"/>
        <v>0</v>
      </c>
      <c r="BF435" s="477" t="s">
        <v>50</v>
      </c>
      <c r="BG435" s="479">
        <f t="shared" si="319"/>
        <v>0</v>
      </c>
      <c r="BH435" s="477" t="s">
        <v>46</v>
      </c>
      <c r="BI435" s="760">
        <f>IF(AND($Z435="b",Inventory!$P191="Btu/hr"),Inventory!$O191,IF(AND($Z435="b",Inventory!$P191="Tons"),Inventory!$O191*12000,IF(AND($Z435&lt;&gt;"b",Inventory!$AM191="Btu/hr"),Inventory!$AL191,IF(AND($Z435&lt;&gt;"b",Inventory!$AM191="Tons"),Inventory!$AL191*12000,0))))</f>
        <v>0</v>
      </c>
      <c r="BJ435" s="760">
        <f t="shared" si="326"/>
        <v>0</v>
      </c>
      <c r="BK435" s="598">
        <f t="shared" si="289"/>
        <v>0</v>
      </c>
      <c r="BL435" s="759" t="s">
        <v>567</v>
      </c>
      <c r="BM435" s="477" t="str">
        <f t="shared" si="320"/>
        <v>No</v>
      </c>
      <c r="BN435" s="477" t="str">
        <f>IF(OR(Inventory!$H191="",$BM435="No"),"-",Inventory!$H191)</f>
        <v>-</v>
      </c>
      <c r="BO435" s="477" t="str">
        <f>IFERROR(VLOOKUP(BN435,'Early Retirement'!$B$6:$C$33,2,FALSE),"-")</f>
        <v>-</v>
      </c>
      <c r="BP435" s="477" t="str">
        <f>IF(Inventory!$J191="Centrifugal","Yes","No")</f>
        <v>No</v>
      </c>
      <c r="BQ435" s="477">
        <f t="shared" si="321"/>
        <v>0</v>
      </c>
      <c r="BR435" s="477" t="str">
        <f t="shared" si="299"/>
        <v>-</v>
      </c>
      <c r="BS435" s="479">
        <f>IFERROR(INDEX('Early Retirement'!$C$4:$AC$33,$BO435,$BR435),0)</f>
        <v>0</v>
      </c>
      <c r="BT435" s="477">
        <f>IFERROR(HLOOKUP($BR435,'Early Retirement'!$D$4:$AC$5,2,FALSE),0)</f>
        <v>0</v>
      </c>
      <c r="BU435" s="761">
        <f>IFERROR(INDEX('Early Retirement'!$AE$4:$BE$33,$BO435,$BR435),0)</f>
        <v>0</v>
      </c>
      <c r="BV435" s="759">
        <f>IFERROR(HLOOKUP($BR435,'Early Retirement'!$AF$4:$BE$5,2,FALSE),0)</f>
        <v>0</v>
      </c>
      <c r="BW435" s="479">
        <f t="shared" si="322"/>
        <v>0</v>
      </c>
      <c r="BX435" s="761">
        <f t="shared" si="290"/>
        <v>0</v>
      </c>
      <c r="BY435" s="477" t="s">
        <v>46</v>
      </c>
      <c r="BZ435" s="598">
        <f>IFERROR(INDEX('Early Retirement'!$BG$4:$CG$33,$BO435,$BR435),0)</f>
        <v>0</v>
      </c>
      <c r="CA435" s="759">
        <f>IFERROR(HLOOKUP($BR435,'Early Retirement'!$BH$4:$CH$5,2,FALSE),0)</f>
        <v>0</v>
      </c>
      <c r="CB435" s="598">
        <f t="shared" si="291"/>
        <v>0</v>
      </c>
      <c r="CC435" s="759" t="s">
        <v>567</v>
      </c>
      <c r="CD435" s="477" t="str">
        <f t="shared" si="323"/>
        <v>Yes</v>
      </c>
      <c r="CE435" s="479">
        <f t="shared" si="292"/>
        <v>0</v>
      </c>
      <c r="CF435" s="761">
        <f t="shared" si="293"/>
        <v>0</v>
      </c>
      <c r="CG435" s="759" t="s">
        <v>46</v>
      </c>
      <c r="CH435" s="598">
        <f t="shared" si="298"/>
        <v>0</v>
      </c>
      <c r="CI435" s="759" t="s">
        <v>567</v>
      </c>
      <c r="CJ435" s="480">
        <f t="shared" si="324"/>
        <v>0</v>
      </c>
      <c r="CK435" s="583">
        <f t="shared" si="294"/>
        <v>0</v>
      </c>
      <c r="CL435" s="596" t="s">
        <v>46</v>
      </c>
      <c r="CM435" s="581">
        <f t="shared" si="295"/>
        <v>0</v>
      </c>
      <c r="CN435" s="762" t="s">
        <v>567</v>
      </c>
      <c r="CW435" s="630"/>
      <c r="CX435" s="630"/>
      <c r="CY435" s="630"/>
      <c r="CZ435" s="630"/>
      <c r="DA435" s="630"/>
    </row>
    <row r="436" spans="2:105" s="78" customFormat="1" ht="15" customHeight="1" x14ac:dyDescent="0.25">
      <c r="B436" s="77"/>
      <c r="E436" s="77"/>
      <c r="H436" s="77"/>
      <c r="Y436" s="90">
        <v>183</v>
      </c>
      <c r="Z436" s="559" t="str">
        <f>IF(Inventory!$C192="","",VLOOKUP(Inventory!$C192,$B$7:$C$9,2,FALSE))</f>
        <v/>
      </c>
      <c r="AA436" s="559" t="str">
        <f>IF($Z436="","",IF(AND($Z436="b",Inventory!$G192=""),"",IF(AND($Z436="b",Inventory!$G192&lt;&gt;""),VLOOKUP(Inventory!$G192,$E$3:$F$10,2,FALSE),IF(AND($Z436="a",Inventory!$Z192=""),"",IF(AND($Z436="a",Inventory!$Z192&lt;&gt;""),VLOOKUP(Inventory!$Z192,$E$3:$F$10,2,FALSE),IF(AND($Z436="c",Inventory!$Z192=""),"",IF(AND($Z436="c",Inventory!$Z192&lt;&gt;""),VLOOKUP(Inventory!$Z192,$E$3:$F$10,2,FALSE),"")))))))</f>
        <v/>
      </c>
      <c r="AB436" s="559" t="str">
        <f>IF($Z436="","a",IF(AND($Z436="b",Inventory!$J192=""),"a",IF(AND($Z436="b",Inventory!$J192&lt;&gt;""),VLOOKUP(Inventory!$J192,$H$4:$I$6,2,FALSE),IF(AND($Z436="a",Inventory!$AA192=""),"a",IF(AND($Z436="a",Inventory!$AA192&lt;&gt;""),VLOOKUP(Inventory!$AA192,$H$4:$I$6,2,FALSE),IF(AND($Z436="c",Inventory!$AA192=""),"a",IF(AND($Z436="c",Inventory!$AA192&lt;&gt;""),VLOOKUP(Inventory!$AA192,$H$4:$I$6,2,FALSE),"a")))))))</f>
        <v>a</v>
      </c>
      <c r="AC436" s="559" t="str">
        <f t="shared" si="300"/>
        <v>a</v>
      </c>
      <c r="AD436" s="473" t="str">
        <f>IF($Z436="","a",IF(AND($Z436="b",Inventory!$L192=""),"a",IF(AND($Z436="b",Inventory!$L192&lt;&gt;""),VLOOKUP(Inventory!$L192,$N$4:$O$5,2,FALSE),IF(AND($Z436="a",Inventory!$AC192=""),"a",IF(AND($Z436="a",Inventory!$AC192&lt;&gt;""),VLOOKUP(Inventory!$AC192,$N$4:$O$5,2,FALSE),IF(AND($Z436="c",Inventory!$AC192=""),"a",IF(AND($Z436="c",Inventory!$AC192&lt;&gt;""),VLOOKUP(Inventory!$AC192,$N$4:$O$5,2,FALSE),"a")))))))</f>
        <v>a</v>
      </c>
      <c r="AE436" s="474">
        <f>IF(OR(Inventory!C192="New Construction",Inventory!C192="Replace-on-Burnout"),Inventory!AF192,IF(Inventory!C192="Early Retirement",MIN(Inventory!AE192,Inventory!AF192),0))</f>
        <v>0</v>
      </c>
      <c r="AF436" s="475" t="str">
        <f t="shared" si="301"/>
        <v/>
      </c>
      <c r="AG436" s="475" t="str">
        <f t="shared" si="302"/>
        <v/>
      </c>
      <c r="AH436" s="475" t="str">
        <f t="shared" si="303"/>
        <v/>
      </c>
      <c r="AI436" s="475" t="str">
        <f t="shared" si="304"/>
        <v/>
      </c>
      <c r="AJ436" s="475" t="str">
        <f t="shared" si="305"/>
        <v/>
      </c>
      <c r="AK436" s="475" t="str">
        <f t="shared" si="306"/>
        <v/>
      </c>
      <c r="AL436" s="475" t="str">
        <f t="shared" si="307"/>
        <v/>
      </c>
      <c r="AM436" s="475" t="str">
        <f t="shared" si="308"/>
        <v/>
      </c>
      <c r="AN436" s="475" t="str">
        <f t="shared" si="309"/>
        <v/>
      </c>
      <c r="AO436" s="475" t="str">
        <f t="shared" si="310"/>
        <v/>
      </c>
      <c r="AP436" s="475" t="str">
        <f t="shared" si="311"/>
        <v/>
      </c>
      <c r="AQ436" s="475" t="str">
        <f t="shared" si="312"/>
        <v/>
      </c>
      <c r="AR436" s="475" t="str">
        <f t="shared" si="313"/>
        <v/>
      </c>
      <c r="AS436" s="475" t="str">
        <f t="shared" si="296"/>
        <v/>
      </c>
      <c r="AT436" s="475" t="str">
        <f t="shared" si="314"/>
        <v/>
      </c>
      <c r="AU436" s="475" t="str">
        <f t="shared" si="315"/>
        <v/>
      </c>
      <c r="AV436" s="475" t="str">
        <f t="shared" si="316"/>
        <v/>
      </c>
      <c r="AW436" s="473">
        <f t="shared" si="317"/>
        <v>0</v>
      </c>
      <c r="AX436" s="473" t="str">
        <f>IF(AND($Z436="b",OR($AA436="a",$AA436="b"),Inventory!$I192="",$AE436&lt;(65000/12000)),"x",IF(AND($Z436="b",OR($AA436="a",$AA436="b"),Inventory!$I192&lt;&gt;"",$AE436&lt;(65000/12000)),VLOOKUP(Inventory!$I443,$V$4:$W$5,2,FALSE),"x"))</f>
        <v>x</v>
      </c>
      <c r="AY436" s="476" t="str">
        <f t="shared" si="318"/>
        <v>aaa0</v>
      </c>
      <c r="AZ436" s="477" t="str">
        <f t="shared" si="287"/>
        <v>No</v>
      </c>
      <c r="BA436" s="759" t="str">
        <f t="shared" si="288"/>
        <v>No</v>
      </c>
      <c r="BB436" s="477">
        <f>IF($Z436="c",Inventory!$AB192,Inventory!$K192)</f>
        <v>0</v>
      </c>
      <c r="BC436" s="478">
        <f>IF(AND($Z436="b",Inventory!$N192="Btu/hr"),Inventory!$M192,IF(AND($Z436="b",Inventory!$N192="Tons"),Inventory!$M192*12000,IF(AND($Z436&lt;&gt;"b",Inventory!$AK192="Btu/hr"),Inventory!$AD192,IF(AND($Z436&lt;&gt;"b",Inventory!$AK192="Tons"),Inventory!$AD192*12000,0))))</f>
        <v>0</v>
      </c>
      <c r="BD436" s="478">
        <f t="shared" si="325"/>
        <v>0</v>
      </c>
      <c r="BE436" s="479">
        <f t="shared" si="297"/>
        <v>0</v>
      </c>
      <c r="BF436" s="477" t="s">
        <v>50</v>
      </c>
      <c r="BG436" s="479">
        <f t="shared" si="319"/>
        <v>0</v>
      </c>
      <c r="BH436" s="477" t="s">
        <v>46</v>
      </c>
      <c r="BI436" s="760">
        <f>IF(AND($Z436="b",Inventory!$P192="Btu/hr"),Inventory!$O192,IF(AND($Z436="b",Inventory!$P192="Tons"),Inventory!$O192*12000,IF(AND($Z436&lt;&gt;"b",Inventory!$AM192="Btu/hr"),Inventory!$AL192,IF(AND($Z436&lt;&gt;"b",Inventory!$AM192="Tons"),Inventory!$AL192*12000,0))))</f>
        <v>0</v>
      </c>
      <c r="BJ436" s="760">
        <f t="shared" si="326"/>
        <v>0</v>
      </c>
      <c r="BK436" s="598">
        <f t="shared" si="289"/>
        <v>0</v>
      </c>
      <c r="BL436" s="759" t="s">
        <v>567</v>
      </c>
      <c r="BM436" s="477" t="str">
        <f t="shared" si="320"/>
        <v>No</v>
      </c>
      <c r="BN436" s="477" t="str">
        <f>IF(OR(Inventory!$H192="",$BM436="No"),"-",Inventory!$H192)</f>
        <v>-</v>
      </c>
      <c r="BO436" s="477" t="str">
        <f>IFERROR(VLOOKUP(BN436,'Early Retirement'!$B$6:$C$33,2,FALSE),"-")</f>
        <v>-</v>
      </c>
      <c r="BP436" s="477" t="str">
        <f>IF(Inventory!$J192="Centrifugal","Yes","No")</f>
        <v>No</v>
      </c>
      <c r="BQ436" s="477">
        <f t="shared" si="321"/>
        <v>0</v>
      </c>
      <c r="BR436" s="477" t="str">
        <f t="shared" si="299"/>
        <v>-</v>
      </c>
      <c r="BS436" s="479">
        <f>IFERROR(INDEX('Early Retirement'!$C$4:$AC$33,$BO436,$BR436),0)</f>
        <v>0</v>
      </c>
      <c r="BT436" s="477">
        <f>IFERROR(HLOOKUP($BR436,'Early Retirement'!$D$4:$AC$5,2,FALSE),0)</f>
        <v>0</v>
      </c>
      <c r="BU436" s="761">
        <f>IFERROR(INDEX('Early Retirement'!$AE$4:$BE$33,$BO436,$BR436),0)</f>
        <v>0</v>
      </c>
      <c r="BV436" s="759">
        <f>IFERROR(HLOOKUP($BR436,'Early Retirement'!$AF$4:$BE$5,2,FALSE),0)</f>
        <v>0</v>
      </c>
      <c r="BW436" s="479">
        <f t="shared" si="322"/>
        <v>0</v>
      </c>
      <c r="BX436" s="761">
        <f t="shared" si="290"/>
        <v>0</v>
      </c>
      <c r="BY436" s="477" t="s">
        <v>46</v>
      </c>
      <c r="BZ436" s="598">
        <f>IFERROR(INDEX('Early Retirement'!$BG$4:$CG$33,$BO436,$BR436),0)</f>
        <v>0</v>
      </c>
      <c r="CA436" s="759">
        <f>IFERROR(HLOOKUP($BR436,'Early Retirement'!$BH$4:$CH$5,2,FALSE),0)</f>
        <v>0</v>
      </c>
      <c r="CB436" s="598">
        <f t="shared" si="291"/>
        <v>0</v>
      </c>
      <c r="CC436" s="759" t="s">
        <v>567</v>
      </c>
      <c r="CD436" s="477" t="str">
        <f t="shared" si="323"/>
        <v>Yes</v>
      </c>
      <c r="CE436" s="479">
        <f t="shared" si="292"/>
        <v>0</v>
      </c>
      <c r="CF436" s="761">
        <f t="shared" si="293"/>
        <v>0</v>
      </c>
      <c r="CG436" s="759" t="s">
        <v>46</v>
      </c>
      <c r="CH436" s="598">
        <f t="shared" si="298"/>
        <v>0</v>
      </c>
      <c r="CI436" s="759" t="s">
        <v>567</v>
      </c>
      <c r="CJ436" s="480">
        <f t="shared" si="324"/>
        <v>0</v>
      </c>
      <c r="CK436" s="583">
        <f t="shared" si="294"/>
        <v>0</v>
      </c>
      <c r="CL436" s="596" t="s">
        <v>46</v>
      </c>
      <c r="CM436" s="581">
        <f t="shared" si="295"/>
        <v>0</v>
      </c>
      <c r="CN436" s="762" t="s">
        <v>567</v>
      </c>
      <c r="CW436" s="630"/>
      <c r="CX436" s="630"/>
      <c r="CY436" s="630"/>
      <c r="CZ436" s="630"/>
      <c r="DA436" s="630"/>
    </row>
    <row r="437" spans="2:105" s="78" customFormat="1" ht="15" customHeight="1" x14ac:dyDescent="0.25">
      <c r="B437" s="77"/>
      <c r="E437" s="77"/>
      <c r="H437" s="77"/>
      <c r="Y437" s="90">
        <v>184</v>
      </c>
      <c r="Z437" s="559" t="str">
        <f>IF(Inventory!$C193="","",VLOOKUP(Inventory!$C193,$B$7:$C$9,2,FALSE))</f>
        <v/>
      </c>
      <c r="AA437" s="559" t="str">
        <f>IF($Z437="","",IF(AND($Z437="b",Inventory!$G193=""),"",IF(AND($Z437="b",Inventory!$G193&lt;&gt;""),VLOOKUP(Inventory!$G193,$E$3:$F$10,2,FALSE),IF(AND($Z437="a",Inventory!$Z193=""),"",IF(AND($Z437="a",Inventory!$Z193&lt;&gt;""),VLOOKUP(Inventory!$Z193,$E$3:$F$10,2,FALSE),IF(AND($Z437="c",Inventory!$Z193=""),"",IF(AND($Z437="c",Inventory!$Z193&lt;&gt;""),VLOOKUP(Inventory!$Z193,$E$3:$F$10,2,FALSE),"")))))))</f>
        <v/>
      </c>
      <c r="AB437" s="559" t="str">
        <f>IF($Z437="","a",IF(AND($Z437="b",Inventory!$J193=""),"a",IF(AND($Z437="b",Inventory!$J193&lt;&gt;""),VLOOKUP(Inventory!$J193,$H$4:$I$6,2,FALSE),IF(AND($Z437="a",Inventory!$AA193=""),"a",IF(AND($Z437="a",Inventory!$AA193&lt;&gt;""),VLOOKUP(Inventory!$AA193,$H$4:$I$6,2,FALSE),IF(AND($Z437="c",Inventory!$AA193=""),"a",IF(AND($Z437="c",Inventory!$AA193&lt;&gt;""),VLOOKUP(Inventory!$AA193,$H$4:$I$6,2,FALSE),"a")))))))</f>
        <v>a</v>
      </c>
      <c r="AC437" s="559" t="str">
        <f t="shared" si="300"/>
        <v>a</v>
      </c>
      <c r="AD437" s="473" t="str">
        <f>IF($Z437="","a",IF(AND($Z437="b",Inventory!$L193=""),"a",IF(AND($Z437="b",Inventory!$L193&lt;&gt;""),VLOOKUP(Inventory!$L193,$N$4:$O$5,2,FALSE),IF(AND($Z437="a",Inventory!$AC193=""),"a",IF(AND($Z437="a",Inventory!$AC193&lt;&gt;""),VLOOKUP(Inventory!$AC193,$N$4:$O$5,2,FALSE),IF(AND($Z437="c",Inventory!$AC193=""),"a",IF(AND($Z437="c",Inventory!$AC193&lt;&gt;""),VLOOKUP(Inventory!$AC193,$N$4:$O$5,2,FALSE),"a")))))))</f>
        <v>a</v>
      </c>
      <c r="AE437" s="474">
        <f>IF(OR(Inventory!C193="New Construction",Inventory!C193="Replace-on-Burnout"),Inventory!AF193,IF(Inventory!C193="Early Retirement",MIN(Inventory!AE193,Inventory!AF193),0))</f>
        <v>0</v>
      </c>
      <c r="AF437" s="475" t="str">
        <f t="shared" si="301"/>
        <v/>
      </c>
      <c r="AG437" s="475" t="str">
        <f t="shared" si="302"/>
        <v/>
      </c>
      <c r="AH437" s="475" t="str">
        <f t="shared" si="303"/>
        <v/>
      </c>
      <c r="AI437" s="475" t="str">
        <f t="shared" si="304"/>
        <v/>
      </c>
      <c r="AJ437" s="475" t="str">
        <f t="shared" si="305"/>
        <v/>
      </c>
      <c r="AK437" s="475" t="str">
        <f t="shared" si="306"/>
        <v/>
      </c>
      <c r="AL437" s="475" t="str">
        <f t="shared" si="307"/>
        <v/>
      </c>
      <c r="AM437" s="475" t="str">
        <f t="shared" si="308"/>
        <v/>
      </c>
      <c r="AN437" s="475" t="str">
        <f t="shared" si="309"/>
        <v/>
      </c>
      <c r="AO437" s="475" t="str">
        <f t="shared" si="310"/>
        <v/>
      </c>
      <c r="AP437" s="475" t="str">
        <f t="shared" si="311"/>
        <v/>
      </c>
      <c r="AQ437" s="475" t="str">
        <f t="shared" si="312"/>
        <v/>
      </c>
      <c r="AR437" s="475" t="str">
        <f t="shared" si="313"/>
        <v/>
      </c>
      <c r="AS437" s="475" t="str">
        <f t="shared" si="296"/>
        <v/>
      </c>
      <c r="AT437" s="475" t="str">
        <f t="shared" si="314"/>
        <v/>
      </c>
      <c r="AU437" s="475" t="str">
        <f t="shared" si="315"/>
        <v/>
      </c>
      <c r="AV437" s="475" t="str">
        <f t="shared" si="316"/>
        <v/>
      </c>
      <c r="AW437" s="473">
        <f t="shared" si="317"/>
        <v>0</v>
      </c>
      <c r="AX437" s="473" t="str">
        <f>IF(AND($Z437="b",OR($AA437="a",$AA437="b"),Inventory!$I193="",$AE437&lt;(65000/12000)),"x",IF(AND($Z437="b",OR($AA437="a",$AA437="b"),Inventory!$I193&lt;&gt;"",$AE437&lt;(65000/12000)),VLOOKUP(Inventory!$I444,$V$4:$W$5,2,FALSE),"x"))</f>
        <v>x</v>
      </c>
      <c r="AY437" s="476" t="str">
        <f t="shared" si="318"/>
        <v>aaa0</v>
      </c>
      <c r="AZ437" s="477" t="str">
        <f t="shared" si="287"/>
        <v>No</v>
      </c>
      <c r="BA437" s="759" t="str">
        <f t="shared" si="288"/>
        <v>No</v>
      </c>
      <c r="BB437" s="477">
        <f>IF($Z437="c",Inventory!$AB193,Inventory!$K193)</f>
        <v>0</v>
      </c>
      <c r="BC437" s="478">
        <f>IF(AND($Z437="b",Inventory!$N193="Btu/hr"),Inventory!$M193,IF(AND($Z437="b",Inventory!$N193="Tons"),Inventory!$M193*12000,IF(AND($Z437&lt;&gt;"b",Inventory!$AK193="Btu/hr"),Inventory!$AD193,IF(AND($Z437&lt;&gt;"b",Inventory!$AK193="Tons"),Inventory!$AD193*12000,0))))</f>
        <v>0</v>
      </c>
      <c r="BD437" s="478">
        <f t="shared" si="325"/>
        <v>0</v>
      </c>
      <c r="BE437" s="479">
        <f t="shared" si="297"/>
        <v>0</v>
      </c>
      <c r="BF437" s="477" t="s">
        <v>50</v>
      </c>
      <c r="BG437" s="479">
        <f t="shared" si="319"/>
        <v>0</v>
      </c>
      <c r="BH437" s="477" t="s">
        <v>46</v>
      </c>
      <c r="BI437" s="760">
        <f>IF(AND($Z437="b",Inventory!$P193="Btu/hr"),Inventory!$O193,IF(AND($Z437="b",Inventory!$P193="Tons"),Inventory!$O193*12000,IF(AND($Z437&lt;&gt;"b",Inventory!$AM193="Btu/hr"),Inventory!$AL193,IF(AND($Z437&lt;&gt;"b",Inventory!$AM193="Tons"),Inventory!$AL193*12000,0))))</f>
        <v>0</v>
      </c>
      <c r="BJ437" s="760">
        <f t="shared" si="326"/>
        <v>0</v>
      </c>
      <c r="BK437" s="598">
        <f t="shared" si="289"/>
        <v>0</v>
      </c>
      <c r="BL437" s="759" t="s">
        <v>567</v>
      </c>
      <c r="BM437" s="477" t="str">
        <f t="shared" si="320"/>
        <v>No</v>
      </c>
      <c r="BN437" s="477" t="str">
        <f>IF(OR(Inventory!$H193="",$BM437="No"),"-",Inventory!$H193)</f>
        <v>-</v>
      </c>
      <c r="BO437" s="477" t="str">
        <f>IFERROR(VLOOKUP(BN437,'Early Retirement'!$B$6:$C$33,2,FALSE),"-")</f>
        <v>-</v>
      </c>
      <c r="BP437" s="477" t="str">
        <f>IF(Inventory!$J193="Centrifugal","Yes","No")</f>
        <v>No</v>
      </c>
      <c r="BQ437" s="477">
        <f t="shared" si="321"/>
        <v>0</v>
      </c>
      <c r="BR437" s="477" t="str">
        <f t="shared" si="299"/>
        <v>-</v>
      </c>
      <c r="BS437" s="479">
        <f>IFERROR(INDEX('Early Retirement'!$C$4:$AC$33,$BO437,$BR437),0)</f>
        <v>0</v>
      </c>
      <c r="BT437" s="477">
        <f>IFERROR(HLOOKUP($BR437,'Early Retirement'!$D$4:$AC$5,2,FALSE),0)</f>
        <v>0</v>
      </c>
      <c r="BU437" s="761">
        <f>IFERROR(INDEX('Early Retirement'!$AE$4:$BE$33,$BO437,$BR437),0)</f>
        <v>0</v>
      </c>
      <c r="BV437" s="759">
        <f>IFERROR(HLOOKUP($BR437,'Early Retirement'!$AF$4:$BE$5,2,FALSE),0)</f>
        <v>0</v>
      </c>
      <c r="BW437" s="479">
        <f t="shared" si="322"/>
        <v>0</v>
      </c>
      <c r="BX437" s="761">
        <f t="shared" si="290"/>
        <v>0</v>
      </c>
      <c r="BY437" s="477" t="s">
        <v>46</v>
      </c>
      <c r="BZ437" s="598">
        <f>IFERROR(INDEX('Early Retirement'!$BG$4:$CG$33,$BO437,$BR437),0)</f>
        <v>0</v>
      </c>
      <c r="CA437" s="759">
        <f>IFERROR(HLOOKUP($BR437,'Early Retirement'!$BH$4:$CH$5,2,FALSE),0)</f>
        <v>0</v>
      </c>
      <c r="CB437" s="598">
        <f t="shared" si="291"/>
        <v>0</v>
      </c>
      <c r="CC437" s="759" t="s">
        <v>567</v>
      </c>
      <c r="CD437" s="477" t="str">
        <f t="shared" si="323"/>
        <v>Yes</v>
      </c>
      <c r="CE437" s="479">
        <f t="shared" si="292"/>
        <v>0</v>
      </c>
      <c r="CF437" s="761">
        <f t="shared" si="293"/>
        <v>0</v>
      </c>
      <c r="CG437" s="759" t="s">
        <v>46</v>
      </c>
      <c r="CH437" s="598">
        <f t="shared" si="298"/>
        <v>0</v>
      </c>
      <c r="CI437" s="759" t="s">
        <v>567</v>
      </c>
      <c r="CJ437" s="480">
        <f t="shared" si="324"/>
        <v>0</v>
      </c>
      <c r="CK437" s="583">
        <f t="shared" si="294"/>
        <v>0</v>
      </c>
      <c r="CL437" s="596" t="s">
        <v>46</v>
      </c>
      <c r="CM437" s="581">
        <f t="shared" si="295"/>
        <v>0</v>
      </c>
      <c r="CN437" s="762" t="s">
        <v>567</v>
      </c>
      <c r="CW437" s="630"/>
      <c r="CX437" s="630"/>
      <c r="CY437" s="630"/>
      <c r="CZ437" s="630"/>
      <c r="DA437" s="630"/>
    </row>
    <row r="438" spans="2:105" s="78" customFormat="1" ht="15" customHeight="1" x14ac:dyDescent="0.25">
      <c r="B438" s="77"/>
      <c r="E438" s="77"/>
      <c r="H438" s="77"/>
      <c r="Y438" s="90">
        <v>185</v>
      </c>
      <c r="Z438" s="559" t="str">
        <f>IF(Inventory!$C194="","",VLOOKUP(Inventory!$C194,$B$7:$C$9,2,FALSE))</f>
        <v/>
      </c>
      <c r="AA438" s="559" t="str">
        <f>IF($Z438="","",IF(AND($Z438="b",Inventory!$G194=""),"",IF(AND($Z438="b",Inventory!$G194&lt;&gt;""),VLOOKUP(Inventory!$G194,$E$3:$F$10,2,FALSE),IF(AND($Z438="a",Inventory!$Z194=""),"",IF(AND($Z438="a",Inventory!$Z194&lt;&gt;""),VLOOKUP(Inventory!$Z194,$E$3:$F$10,2,FALSE),IF(AND($Z438="c",Inventory!$Z194=""),"",IF(AND($Z438="c",Inventory!$Z194&lt;&gt;""),VLOOKUP(Inventory!$Z194,$E$3:$F$10,2,FALSE),"")))))))</f>
        <v/>
      </c>
      <c r="AB438" s="559" t="str">
        <f>IF($Z438="","a",IF(AND($Z438="b",Inventory!$J194=""),"a",IF(AND($Z438="b",Inventory!$J194&lt;&gt;""),VLOOKUP(Inventory!$J194,$H$4:$I$6,2,FALSE),IF(AND($Z438="a",Inventory!$AA194=""),"a",IF(AND($Z438="a",Inventory!$AA194&lt;&gt;""),VLOOKUP(Inventory!$AA194,$H$4:$I$6,2,FALSE),IF(AND($Z438="c",Inventory!$AA194=""),"a",IF(AND($Z438="c",Inventory!$AA194&lt;&gt;""),VLOOKUP(Inventory!$AA194,$H$4:$I$6,2,FALSE),"a")))))))</f>
        <v>a</v>
      </c>
      <c r="AC438" s="559" t="str">
        <f t="shared" si="300"/>
        <v>a</v>
      </c>
      <c r="AD438" s="473" t="str">
        <f>IF($Z438="","a",IF(AND($Z438="b",Inventory!$L194=""),"a",IF(AND($Z438="b",Inventory!$L194&lt;&gt;""),VLOOKUP(Inventory!$L194,$N$4:$O$5,2,FALSE),IF(AND($Z438="a",Inventory!$AC194=""),"a",IF(AND($Z438="a",Inventory!$AC194&lt;&gt;""),VLOOKUP(Inventory!$AC194,$N$4:$O$5,2,FALSE),IF(AND($Z438="c",Inventory!$AC194=""),"a",IF(AND($Z438="c",Inventory!$AC194&lt;&gt;""),VLOOKUP(Inventory!$AC194,$N$4:$O$5,2,FALSE),"a")))))))</f>
        <v>a</v>
      </c>
      <c r="AE438" s="474">
        <f>IF(OR(Inventory!C194="New Construction",Inventory!C194="Replace-on-Burnout"),Inventory!AF194,IF(Inventory!C194="Early Retirement",MIN(Inventory!AE194,Inventory!AF194),0))</f>
        <v>0</v>
      </c>
      <c r="AF438" s="475" t="str">
        <f t="shared" si="301"/>
        <v/>
      </c>
      <c r="AG438" s="475" t="str">
        <f t="shared" si="302"/>
        <v/>
      </c>
      <c r="AH438" s="475" t="str">
        <f t="shared" si="303"/>
        <v/>
      </c>
      <c r="AI438" s="475" t="str">
        <f t="shared" si="304"/>
        <v/>
      </c>
      <c r="AJ438" s="475" t="str">
        <f t="shared" si="305"/>
        <v/>
      </c>
      <c r="AK438" s="475" t="str">
        <f t="shared" si="306"/>
        <v/>
      </c>
      <c r="AL438" s="475" t="str">
        <f t="shared" si="307"/>
        <v/>
      </c>
      <c r="AM438" s="475" t="str">
        <f t="shared" si="308"/>
        <v/>
      </c>
      <c r="AN438" s="475" t="str">
        <f t="shared" si="309"/>
        <v/>
      </c>
      <c r="AO438" s="475" t="str">
        <f t="shared" si="310"/>
        <v/>
      </c>
      <c r="AP438" s="475" t="str">
        <f t="shared" si="311"/>
        <v/>
      </c>
      <c r="AQ438" s="475" t="str">
        <f t="shared" si="312"/>
        <v/>
      </c>
      <c r="AR438" s="475" t="str">
        <f t="shared" si="313"/>
        <v/>
      </c>
      <c r="AS438" s="475" t="str">
        <f t="shared" si="296"/>
        <v/>
      </c>
      <c r="AT438" s="475" t="str">
        <f t="shared" si="314"/>
        <v/>
      </c>
      <c r="AU438" s="475" t="str">
        <f t="shared" si="315"/>
        <v/>
      </c>
      <c r="AV438" s="475" t="str">
        <f t="shared" si="316"/>
        <v/>
      </c>
      <c r="AW438" s="473">
        <f t="shared" si="317"/>
        <v>0</v>
      </c>
      <c r="AX438" s="473" t="str">
        <f>IF(AND($Z438="b",OR($AA438="a",$AA438="b"),Inventory!$I194="",$AE438&lt;(65000/12000)),"x",IF(AND($Z438="b",OR($AA438="a",$AA438="b"),Inventory!$I194&lt;&gt;"",$AE438&lt;(65000/12000)),VLOOKUP(Inventory!$I445,$V$4:$W$5,2,FALSE),"x"))</f>
        <v>x</v>
      </c>
      <c r="AY438" s="476" t="str">
        <f t="shared" si="318"/>
        <v>aaa0</v>
      </c>
      <c r="AZ438" s="477" t="str">
        <f t="shared" si="287"/>
        <v>No</v>
      </c>
      <c r="BA438" s="759" t="str">
        <f t="shared" si="288"/>
        <v>No</v>
      </c>
      <c r="BB438" s="477">
        <f>IF($Z438="c",Inventory!$AB194,Inventory!$K194)</f>
        <v>0</v>
      </c>
      <c r="BC438" s="478">
        <f>IF(AND($Z438="b",Inventory!$N194="Btu/hr"),Inventory!$M194,IF(AND($Z438="b",Inventory!$N194="Tons"),Inventory!$M194*12000,IF(AND($Z438&lt;&gt;"b",Inventory!$AK194="Btu/hr"),Inventory!$AD194,IF(AND($Z438&lt;&gt;"b",Inventory!$AK194="Tons"),Inventory!$AD194*12000,0))))</f>
        <v>0</v>
      </c>
      <c r="BD438" s="478">
        <f t="shared" si="325"/>
        <v>0</v>
      </c>
      <c r="BE438" s="479">
        <f t="shared" si="297"/>
        <v>0</v>
      </c>
      <c r="BF438" s="477" t="s">
        <v>50</v>
      </c>
      <c r="BG438" s="479">
        <f t="shared" si="319"/>
        <v>0</v>
      </c>
      <c r="BH438" s="477" t="s">
        <v>46</v>
      </c>
      <c r="BI438" s="760">
        <f>IF(AND($Z438="b",Inventory!$P194="Btu/hr"),Inventory!$O194,IF(AND($Z438="b",Inventory!$P194="Tons"),Inventory!$O194*12000,IF(AND($Z438&lt;&gt;"b",Inventory!$AM194="Btu/hr"),Inventory!$AL194,IF(AND($Z438&lt;&gt;"b",Inventory!$AM194="Tons"),Inventory!$AL194*12000,0))))</f>
        <v>0</v>
      </c>
      <c r="BJ438" s="760">
        <f t="shared" si="326"/>
        <v>0</v>
      </c>
      <c r="BK438" s="598">
        <f t="shared" si="289"/>
        <v>0</v>
      </c>
      <c r="BL438" s="759" t="s">
        <v>567</v>
      </c>
      <c r="BM438" s="477" t="str">
        <f t="shared" si="320"/>
        <v>No</v>
      </c>
      <c r="BN438" s="477" t="str">
        <f>IF(OR(Inventory!$H194="",$BM438="No"),"-",Inventory!$H194)</f>
        <v>-</v>
      </c>
      <c r="BO438" s="477" t="str">
        <f>IFERROR(VLOOKUP(BN438,'Early Retirement'!$B$6:$C$33,2,FALSE),"-")</f>
        <v>-</v>
      </c>
      <c r="BP438" s="477" t="str">
        <f>IF(Inventory!$J194="Centrifugal","Yes","No")</f>
        <v>No</v>
      </c>
      <c r="BQ438" s="477">
        <f t="shared" si="321"/>
        <v>0</v>
      </c>
      <c r="BR438" s="477" t="str">
        <f t="shared" si="299"/>
        <v>-</v>
      </c>
      <c r="BS438" s="479">
        <f>IFERROR(INDEX('Early Retirement'!$C$4:$AC$33,$BO438,$BR438),0)</f>
        <v>0</v>
      </c>
      <c r="BT438" s="477">
        <f>IFERROR(HLOOKUP($BR438,'Early Retirement'!$D$4:$AC$5,2,FALSE),0)</f>
        <v>0</v>
      </c>
      <c r="BU438" s="761">
        <f>IFERROR(INDEX('Early Retirement'!$AE$4:$BE$33,$BO438,$BR438),0)</f>
        <v>0</v>
      </c>
      <c r="BV438" s="759">
        <f>IFERROR(HLOOKUP($BR438,'Early Retirement'!$AF$4:$BE$5,2,FALSE),0)</f>
        <v>0</v>
      </c>
      <c r="BW438" s="479">
        <f t="shared" si="322"/>
        <v>0</v>
      </c>
      <c r="BX438" s="761">
        <f t="shared" si="290"/>
        <v>0</v>
      </c>
      <c r="BY438" s="477" t="s">
        <v>46</v>
      </c>
      <c r="BZ438" s="598">
        <f>IFERROR(INDEX('Early Retirement'!$BG$4:$CG$33,$BO438,$BR438),0)</f>
        <v>0</v>
      </c>
      <c r="CA438" s="759">
        <f>IFERROR(HLOOKUP($BR438,'Early Retirement'!$BH$4:$CH$5,2,FALSE),0)</f>
        <v>0</v>
      </c>
      <c r="CB438" s="598">
        <f t="shared" si="291"/>
        <v>0</v>
      </c>
      <c r="CC438" s="759" t="s">
        <v>567</v>
      </c>
      <c r="CD438" s="477" t="str">
        <f t="shared" si="323"/>
        <v>Yes</v>
      </c>
      <c r="CE438" s="479">
        <f t="shared" si="292"/>
        <v>0</v>
      </c>
      <c r="CF438" s="761">
        <f t="shared" si="293"/>
        <v>0</v>
      </c>
      <c r="CG438" s="759" t="s">
        <v>46</v>
      </c>
      <c r="CH438" s="598">
        <f t="shared" si="298"/>
        <v>0</v>
      </c>
      <c r="CI438" s="759" t="s">
        <v>567</v>
      </c>
      <c r="CJ438" s="480">
        <f t="shared" si="324"/>
        <v>0</v>
      </c>
      <c r="CK438" s="583">
        <f t="shared" si="294"/>
        <v>0</v>
      </c>
      <c r="CL438" s="596" t="s">
        <v>46</v>
      </c>
      <c r="CM438" s="581">
        <f t="shared" si="295"/>
        <v>0</v>
      </c>
      <c r="CN438" s="762" t="s">
        <v>567</v>
      </c>
      <c r="CW438" s="630"/>
      <c r="CX438" s="630"/>
      <c r="CY438" s="630"/>
      <c r="CZ438" s="630"/>
      <c r="DA438" s="630"/>
    </row>
    <row r="439" spans="2:105" s="78" customFormat="1" ht="15" customHeight="1" x14ac:dyDescent="0.25">
      <c r="B439" s="77"/>
      <c r="E439" s="77"/>
      <c r="H439" s="77"/>
      <c r="Y439" s="90">
        <v>186</v>
      </c>
      <c r="Z439" s="559" t="str">
        <f>IF(Inventory!$C195="","",VLOOKUP(Inventory!$C195,$B$7:$C$9,2,FALSE))</f>
        <v/>
      </c>
      <c r="AA439" s="559" t="str">
        <f>IF($Z439="","",IF(AND($Z439="b",Inventory!$G195=""),"",IF(AND($Z439="b",Inventory!$G195&lt;&gt;""),VLOOKUP(Inventory!$G195,$E$3:$F$10,2,FALSE),IF(AND($Z439="a",Inventory!$Z195=""),"",IF(AND($Z439="a",Inventory!$Z195&lt;&gt;""),VLOOKUP(Inventory!$Z195,$E$3:$F$10,2,FALSE),IF(AND($Z439="c",Inventory!$Z195=""),"",IF(AND($Z439="c",Inventory!$Z195&lt;&gt;""),VLOOKUP(Inventory!$Z195,$E$3:$F$10,2,FALSE),"")))))))</f>
        <v/>
      </c>
      <c r="AB439" s="559" t="str">
        <f>IF($Z439="","a",IF(AND($Z439="b",Inventory!$J195=""),"a",IF(AND($Z439="b",Inventory!$J195&lt;&gt;""),VLOOKUP(Inventory!$J195,$H$4:$I$6,2,FALSE),IF(AND($Z439="a",Inventory!$AA195=""),"a",IF(AND($Z439="a",Inventory!$AA195&lt;&gt;""),VLOOKUP(Inventory!$AA195,$H$4:$I$6,2,FALSE),IF(AND($Z439="c",Inventory!$AA195=""),"a",IF(AND($Z439="c",Inventory!$AA195&lt;&gt;""),VLOOKUP(Inventory!$AA195,$H$4:$I$6,2,FALSE),"a")))))))</f>
        <v>a</v>
      </c>
      <c r="AC439" s="559" t="str">
        <f t="shared" si="300"/>
        <v>a</v>
      </c>
      <c r="AD439" s="473" t="str">
        <f>IF($Z439="","a",IF(AND($Z439="b",Inventory!$L195=""),"a",IF(AND($Z439="b",Inventory!$L195&lt;&gt;""),VLOOKUP(Inventory!$L195,$N$4:$O$5,2,FALSE),IF(AND($Z439="a",Inventory!$AC195=""),"a",IF(AND($Z439="a",Inventory!$AC195&lt;&gt;""),VLOOKUP(Inventory!$AC195,$N$4:$O$5,2,FALSE),IF(AND($Z439="c",Inventory!$AC195=""),"a",IF(AND($Z439="c",Inventory!$AC195&lt;&gt;""),VLOOKUP(Inventory!$AC195,$N$4:$O$5,2,FALSE),"a")))))))</f>
        <v>a</v>
      </c>
      <c r="AE439" s="474">
        <f>IF(OR(Inventory!C195="New Construction",Inventory!C195="Replace-on-Burnout"),Inventory!AF195,IF(Inventory!C195="Early Retirement",MIN(Inventory!AE195,Inventory!AF195),0))</f>
        <v>0</v>
      </c>
      <c r="AF439" s="475" t="str">
        <f t="shared" si="301"/>
        <v/>
      </c>
      <c r="AG439" s="475" t="str">
        <f t="shared" si="302"/>
        <v/>
      </c>
      <c r="AH439" s="475" t="str">
        <f t="shared" si="303"/>
        <v/>
      </c>
      <c r="AI439" s="475" t="str">
        <f t="shared" si="304"/>
        <v/>
      </c>
      <c r="AJ439" s="475" t="str">
        <f t="shared" si="305"/>
        <v/>
      </c>
      <c r="AK439" s="475" t="str">
        <f t="shared" si="306"/>
        <v/>
      </c>
      <c r="AL439" s="475" t="str">
        <f t="shared" si="307"/>
        <v/>
      </c>
      <c r="AM439" s="475" t="str">
        <f t="shared" si="308"/>
        <v/>
      </c>
      <c r="AN439" s="475" t="str">
        <f t="shared" si="309"/>
        <v/>
      </c>
      <c r="AO439" s="475" t="str">
        <f t="shared" si="310"/>
        <v/>
      </c>
      <c r="AP439" s="475" t="str">
        <f t="shared" si="311"/>
        <v/>
      </c>
      <c r="AQ439" s="475" t="str">
        <f t="shared" si="312"/>
        <v/>
      </c>
      <c r="AR439" s="475" t="str">
        <f t="shared" si="313"/>
        <v/>
      </c>
      <c r="AS439" s="475" t="str">
        <f t="shared" si="296"/>
        <v/>
      </c>
      <c r="AT439" s="475" t="str">
        <f t="shared" si="314"/>
        <v/>
      </c>
      <c r="AU439" s="475" t="str">
        <f t="shared" si="315"/>
        <v/>
      </c>
      <c r="AV439" s="475" t="str">
        <f t="shared" si="316"/>
        <v/>
      </c>
      <c r="AW439" s="473">
        <f t="shared" si="317"/>
        <v>0</v>
      </c>
      <c r="AX439" s="473" t="str">
        <f>IF(AND($Z439="b",OR($AA439="a",$AA439="b"),Inventory!$I195="",$AE439&lt;(65000/12000)),"x",IF(AND($Z439="b",OR($AA439="a",$AA439="b"),Inventory!$I195&lt;&gt;"",$AE439&lt;(65000/12000)),VLOOKUP(Inventory!$I446,$V$4:$W$5,2,FALSE),"x"))</f>
        <v>x</v>
      </c>
      <c r="AY439" s="476" t="str">
        <f t="shared" si="318"/>
        <v>aaa0</v>
      </c>
      <c r="AZ439" s="477" t="str">
        <f t="shared" si="287"/>
        <v>No</v>
      </c>
      <c r="BA439" s="759" t="str">
        <f t="shared" si="288"/>
        <v>No</v>
      </c>
      <c r="BB439" s="477">
        <f>IF($Z439="c",Inventory!$AB195,Inventory!$K195)</f>
        <v>0</v>
      </c>
      <c r="BC439" s="478">
        <f>IF(AND($Z439="b",Inventory!$N195="Btu/hr"),Inventory!$M195,IF(AND($Z439="b",Inventory!$N195="Tons"),Inventory!$M195*12000,IF(AND($Z439&lt;&gt;"b",Inventory!$AK195="Btu/hr"),Inventory!$AD195,IF(AND($Z439&lt;&gt;"b",Inventory!$AK195="Tons"),Inventory!$AD195*12000,0))))</f>
        <v>0</v>
      </c>
      <c r="BD439" s="478">
        <f t="shared" si="325"/>
        <v>0</v>
      </c>
      <c r="BE439" s="479">
        <f t="shared" si="297"/>
        <v>0</v>
      </c>
      <c r="BF439" s="477" t="s">
        <v>50</v>
      </c>
      <c r="BG439" s="479">
        <f t="shared" si="319"/>
        <v>0</v>
      </c>
      <c r="BH439" s="477" t="s">
        <v>46</v>
      </c>
      <c r="BI439" s="760">
        <f>IF(AND($Z439="b",Inventory!$P195="Btu/hr"),Inventory!$O195,IF(AND($Z439="b",Inventory!$P195="Tons"),Inventory!$O195*12000,IF(AND($Z439&lt;&gt;"b",Inventory!$AM195="Btu/hr"),Inventory!$AL195,IF(AND($Z439&lt;&gt;"b",Inventory!$AM195="Tons"),Inventory!$AL195*12000,0))))</f>
        <v>0</v>
      </c>
      <c r="BJ439" s="760">
        <f t="shared" si="326"/>
        <v>0</v>
      </c>
      <c r="BK439" s="598">
        <f t="shared" si="289"/>
        <v>0</v>
      </c>
      <c r="BL439" s="759" t="s">
        <v>567</v>
      </c>
      <c r="BM439" s="477" t="str">
        <f t="shared" si="320"/>
        <v>No</v>
      </c>
      <c r="BN439" s="477" t="str">
        <f>IF(OR(Inventory!$H195="",$BM439="No"),"-",Inventory!$H195)</f>
        <v>-</v>
      </c>
      <c r="BO439" s="477" t="str">
        <f>IFERROR(VLOOKUP(BN439,'Early Retirement'!$B$6:$C$33,2,FALSE),"-")</f>
        <v>-</v>
      </c>
      <c r="BP439" s="477" t="str">
        <f>IF(Inventory!$J195="Centrifugal","Yes","No")</f>
        <v>No</v>
      </c>
      <c r="BQ439" s="477">
        <f t="shared" si="321"/>
        <v>0</v>
      </c>
      <c r="BR439" s="477" t="str">
        <f t="shared" si="299"/>
        <v>-</v>
      </c>
      <c r="BS439" s="479">
        <f>IFERROR(INDEX('Early Retirement'!$C$4:$AC$33,$BO439,$BR439),0)</f>
        <v>0</v>
      </c>
      <c r="BT439" s="477">
        <f>IFERROR(HLOOKUP($BR439,'Early Retirement'!$D$4:$AC$5,2,FALSE),0)</f>
        <v>0</v>
      </c>
      <c r="BU439" s="761">
        <f>IFERROR(INDEX('Early Retirement'!$AE$4:$BE$33,$BO439,$BR439),0)</f>
        <v>0</v>
      </c>
      <c r="BV439" s="759">
        <f>IFERROR(HLOOKUP($BR439,'Early Retirement'!$AF$4:$BE$5,2,FALSE),0)</f>
        <v>0</v>
      </c>
      <c r="BW439" s="479">
        <f t="shared" si="322"/>
        <v>0</v>
      </c>
      <c r="BX439" s="761">
        <f t="shared" si="290"/>
        <v>0</v>
      </c>
      <c r="BY439" s="477" t="s">
        <v>46</v>
      </c>
      <c r="BZ439" s="598">
        <f>IFERROR(INDEX('Early Retirement'!$BG$4:$CG$33,$BO439,$BR439),0)</f>
        <v>0</v>
      </c>
      <c r="CA439" s="759">
        <f>IFERROR(HLOOKUP($BR439,'Early Retirement'!$BH$4:$CH$5,2,FALSE),0)</f>
        <v>0</v>
      </c>
      <c r="CB439" s="598">
        <f t="shared" si="291"/>
        <v>0</v>
      </c>
      <c r="CC439" s="759" t="s">
        <v>567</v>
      </c>
      <c r="CD439" s="477" t="str">
        <f t="shared" si="323"/>
        <v>Yes</v>
      </c>
      <c r="CE439" s="479">
        <f t="shared" si="292"/>
        <v>0</v>
      </c>
      <c r="CF439" s="761">
        <f t="shared" si="293"/>
        <v>0</v>
      </c>
      <c r="CG439" s="759" t="s">
        <v>46</v>
      </c>
      <c r="CH439" s="598">
        <f t="shared" si="298"/>
        <v>0</v>
      </c>
      <c r="CI439" s="759" t="s">
        <v>567</v>
      </c>
      <c r="CJ439" s="480">
        <f t="shared" si="324"/>
        <v>0</v>
      </c>
      <c r="CK439" s="583">
        <f t="shared" si="294"/>
        <v>0</v>
      </c>
      <c r="CL439" s="596" t="s">
        <v>46</v>
      </c>
      <c r="CM439" s="581">
        <f t="shared" si="295"/>
        <v>0</v>
      </c>
      <c r="CN439" s="762" t="s">
        <v>567</v>
      </c>
      <c r="CW439" s="630"/>
      <c r="CX439" s="630"/>
      <c r="CY439" s="630"/>
      <c r="CZ439" s="630"/>
      <c r="DA439" s="630"/>
    </row>
    <row r="440" spans="2:105" s="78" customFormat="1" ht="15" customHeight="1" x14ac:dyDescent="0.25">
      <c r="B440" s="77"/>
      <c r="E440" s="77"/>
      <c r="H440" s="77"/>
      <c r="Y440" s="90">
        <v>187</v>
      </c>
      <c r="Z440" s="559" t="str">
        <f>IF(Inventory!$C196="","",VLOOKUP(Inventory!$C196,$B$7:$C$9,2,FALSE))</f>
        <v/>
      </c>
      <c r="AA440" s="559" t="str">
        <f>IF($Z440="","",IF(AND($Z440="b",Inventory!$G196=""),"",IF(AND($Z440="b",Inventory!$G196&lt;&gt;""),VLOOKUP(Inventory!$G196,$E$3:$F$10,2,FALSE),IF(AND($Z440="a",Inventory!$Z196=""),"",IF(AND($Z440="a",Inventory!$Z196&lt;&gt;""),VLOOKUP(Inventory!$Z196,$E$3:$F$10,2,FALSE),IF(AND($Z440="c",Inventory!$Z196=""),"",IF(AND($Z440="c",Inventory!$Z196&lt;&gt;""),VLOOKUP(Inventory!$Z196,$E$3:$F$10,2,FALSE),"")))))))</f>
        <v/>
      </c>
      <c r="AB440" s="559" t="str">
        <f>IF($Z440="","a",IF(AND($Z440="b",Inventory!$J196=""),"a",IF(AND($Z440="b",Inventory!$J196&lt;&gt;""),VLOOKUP(Inventory!$J196,$H$4:$I$6,2,FALSE),IF(AND($Z440="a",Inventory!$AA196=""),"a",IF(AND($Z440="a",Inventory!$AA196&lt;&gt;""),VLOOKUP(Inventory!$AA196,$H$4:$I$6,2,FALSE),IF(AND($Z440="c",Inventory!$AA196=""),"a",IF(AND($Z440="c",Inventory!$AA196&lt;&gt;""),VLOOKUP(Inventory!$AA196,$H$4:$I$6,2,FALSE),"a")))))))</f>
        <v>a</v>
      </c>
      <c r="AC440" s="559" t="str">
        <f t="shared" si="300"/>
        <v>a</v>
      </c>
      <c r="AD440" s="473" t="str">
        <f>IF($Z440="","a",IF(AND($Z440="b",Inventory!$L196=""),"a",IF(AND($Z440="b",Inventory!$L196&lt;&gt;""),VLOOKUP(Inventory!$L196,$N$4:$O$5,2,FALSE),IF(AND($Z440="a",Inventory!$AC196=""),"a",IF(AND($Z440="a",Inventory!$AC196&lt;&gt;""),VLOOKUP(Inventory!$AC196,$N$4:$O$5,2,FALSE),IF(AND($Z440="c",Inventory!$AC196=""),"a",IF(AND($Z440="c",Inventory!$AC196&lt;&gt;""),VLOOKUP(Inventory!$AC196,$N$4:$O$5,2,FALSE),"a")))))))</f>
        <v>a</v>
      </c>
      <c r="AE440" s="474">
        <f>IF(OR(Inventory!C196="New Construction",Inventory!C196="Replace-on-Burnout"),Inventory!AF196,IF(Inventory!C196="Early Retirement",MIN(Inventory!AE196,Inventory!AF196),0))</f>
        <v>0</v>
      </c>
      <c r="AF440" s="475" t="str">
        <f t="shared" si="301"/>
        <v/>
      </c>
      <c r="AG440" s="475" t="str">
        <f t="shared" si="302"/>
        <v/>
      </c>
      <c r="AH440" s="475" t="str">
        <f t="shared" si="303"/>
        <v/>
      </c>
      <c r="AI440" s="475" t="str">
        <f t="shared" si="304"/>
        <v/>
      </c>
      <c r="AJ440" s="475" t="str">
        <f t="shared" si="305"/>
        <v/>
      </c>
      <c r="AK440" s="475" t="str">
        <f t="shared" si="306"/>
        <v/>
      </c>
      <c r="AL440" s="475" t="str">
        <f t="shared" si="307"/>
        <v/>
      </c>
      <c r="AM440" s="475" t="str">
        <f t="shared" si="308"/>
        <v/>
      </c>
      <c r="AN440" s="475" t="str">
        <f t="shared" si="309"/>
        <v/>
      </c>
      <c r="AO440" s="475" t="str">
        <f t="shared" si="310"/>
        <v/>
      </c>
      <c r="AP440" s="475" t="str">
        <f t="shared" si="311"/>
        <v/>
      </c>
      <c r="AQ440" s="475" t="str">
        <f t="shared" si="312"/>
        <v/>
      </c>
      <c r="AR440" s="475" t="str">
        <f t="shared" si="313"/>
        <v/>
      </c>
      <c r="AS440" s="475" t="str">
        <f t="shared" si="296"/>
        <v/>
      </c>
      <c r="AT440" s="475" t="str">
        <f t="shared" si="314"/>
        <v/>
      </c>
      <c r="AU440" s="475" t="str">
        <f t="shared" si="315"/>
        <v/>
      </c>
      <c r="AV440" s="475" t="str">
        <f t="shared" si="316"/>
        <v/>
      </c>
      <c r="AW440" s="473">
        <f t="shared" si="317"/>
        <v>0</v>
      </c>
      <c r="AX440" s="473" t="str">
        <f>IF(AND($Z440="b",OR($AA440="a",$AA440="b"),Inventory!$I196="",$AE440&lt;(65000/12000)),"x",IF(AND($Z440="b",OR($AA440="a",$AA440="b"),Inventory!$I196&lt;&gt;"",$AE440&lt;(65000/12000)),VLOOKUP(Inventory!$I447,$V$4:$W$5,2,FALSE),"x"))</f>
        <v>x</v>
      </c>
      <c r="AY440" s="476" t="str">
        <f t="shared" si="318"/>
        <v>aaa0</v>
      </c>
      <c r="AZ440" s="477" t="str">
        <f t="shared" si="287"/>
        <v>No</v>
      </c>
      <c r="BA440" s="759" t="str">
        <f t="shared" si="288"/>
        <v>No</v>
      </c>
      <c r="BB440" s="477">
        <f>IF($Z440="c",Inventory!$AB196,Inventory!$K196)</f>
        <v>0</v>
      </c>
      <c r="BC440" s="478">
        <f>IF(AND($Z440="b",Inventory!$N196="Btu/hr"),Inventory!$M196,IF(AND($Z440="b",Inventory!$N196="Tons"),Inventory!$M196*12000,IF(AND($Z440&lt;&gt;"b",Inventory!$AK196="Btu/hr"),Inventory!$AD196,IF(AND($Z440&lt;&gt;"b",Inventory!$AK196="Tons"),Inventory!$AD196*12000,0))))</f>
        <v>0</v>
      </c>
      <c r="BD440" s="478">
        <f t="shared" si="325"/>
        <v>0</v>
      </c>
      <c r="BE440" s="479">
        <f t="shared" si="297"/>
        <v>0</v>
      </c>
      <c r="BF440" s="477" t="s">
        <v>50</v>
      </c>
      <c r="BG440" s="479">
        <f t="shared" si="319"/>
        <v>0</v>
      </c>
      <c r="BH440" s="477" t="s">
        <v>46</v>
      </c>
      <c r="BI440" s="760">
        <f>IF(AND($Z440="b",Inventory!$P196="Btu/hr"),Inventory!$O196,IF(AND($Z440="b",Inventory!$P196="Tons"),Inventory!$O196*12000,IF(AND($Z440&lt;&gt;"b",Inventory!$AM196="Btu/hr"),Inventory!$AL196,IF(AND($Z440&lt;&gt;"b",Inventory!$AM196="Tons"),Inventory!$AL196*12000,0))))</f>
        <v>0</v>
      </c>
      <c r="BJ440" s="760">
        <f t="shared" si="326"/>
        <v>0</v>
      </c>
      <c r="BK440" s="598">
        <f t="shared" si="289"/>
        <v>0</v>
      </c>
      <c r="BL440" s="759" t="s">
        <v>567</v>
      </c>
      <c r="BM440" s="477" t="str">
        <f t="shared" si="320"/>
        <v>No</v>
      </c>
      <c r="BN440" s="477" t="str">
        <f>IF(OR(Inventory!$H196="",$BM440="No"),"-",Inventory!$H196)</f>
        <v>-</v>
      </c>
      <c r="BO440" s="477" t="str">
        <f>IFERROR(VLOOKUP(BN440,'Early Retirement'!$B$6:$C$33,2,FALSE),"-")</f>
        <v>-</v>
      </c>
      <c r="BP440" s="477" t="str">
        <f>IF(Inventory!$J196="Centrifugal","Yes","No")</f>
        <v>No</v>
      </c>
      <c r="BQ440" s="477">
        <f t="shared" si="321"/>
        <v>0</v>
      </c>
      <c r="BR440" s="477" t="str">
        <f t="shared" si="299"/>
        <v>-</v>
      </c>
      <c r="BS440" s="479">
        <f>IFERROR(INDEX('Early Retirement'!$C$4:$AC$33,$BO440,$BR440),0)</f>
        <v>0</v>
      </c>
      <c r="BT440" s="477">
        <f>IFERROR(HLOOKUP($BR440,'Early Retirement'!$D$4:$AC$5,2,FALSE),0)</f>
        <v>0</v>
      </c>
      <c r="BU440" s="761">
        <f>IFERROR(INDEX('Early Retirement'!$AE$4:$BE$33,$BO440,$BR440),0)</f>
        <v>0</v>
      </c>
      <c r="BV440" s="759">
        <f>IFERROR(HLOOKUP($BR440,'Early Retirement'!$AF$4:$BE$5,2,FALSE),0)</f>
        <v>0</v>
      </c>
      <c r="BW440" s="479">
        <f t="shared" si="322"/>
        <v>0</v>
      </c>
      <c r="BX440" s="761">
        <f t="shared" si="290"/>
        <v>0</v>
      </c>
      <c r="BY440" s="477" t="s">
        <v>46</v>
      </c>
      <c r="BZ440" s="598">
        <f>IFERROR(INDEX('Early Retirement'!$BG$4:$CG$33,$BO440,$BR440),0)</f>
        <v>0</v>
      </c>
      <c r="CA440" s="759">
        <f>IFERROR(HLOOKUP($BR440,'Early Retirement'!$BH$4:$CH$5,2,FALSE),0)</f>
        <v>0</v>
      </c>
      <c r="CB440" s="598">
        <f t="shared" si="291"/>
        <v>0</v>
      </c>
      <c r="CC440" s="759" t="s">
        <v>567</v>
      </c>
      <c r="CD440" s="477" t="str">
        <f t="shared" si="323"/>
        <v>Yes</v>
      </c>
      <c r="CE440" s="479">
        <f t="shared" si="292"/>
        <v>0</v>
      </c>
      <c r="CF440" s="761">
        <f t="shared" si="293"/>
        <v>0</v>
      </c>
      <c r="CG440" s="759" t="s">
        <v>46</v>
      </c>
      <c r="CH440" s="598">
        <f t="shared" si="298"/>
        <v>0</v>
      </c>
      <c r="CI440" s="759" t="s">
        <v>567</v>
      </c>
      <c r="CJ440" s="480">
        <f t="shared" si="324"/>
        <v>0</v>
      </c>
      <c r="CK440" s="583">
        <f t="shared" si="294"/>
        <v>0</v>
      </c>
      <c r="CL440" s="596" t="s">
        <v>46</v>
      </c>
      <c r="CM440" s="581">
        <f t="shared" si="295"/>
        <v>0</v>
      </c>
      <c r="CN440" s="762" t="s">
        <v>567</v>
      </c>
      <c r="CW440" s="630"/>
      <c r="CX440" s="630"/>
      <c r="CY440" s="630"/>
      <c r="CZ440" s="630"/>
      <c r="DA440" s="630"/>
    </row>
    <row r="441" spans="2:105" s="78" customFormat="1" ht="15" customHeight="1" x14ac:dyDescent="0.25">
      <c r="B441" s="77"/>
      <c r="E441" s="77"/>
      <c r="H441" s="77"/>
      <c r="Y441" s="90">
        <v>188</v>
      </c>
      <c r="Z441" s="559" t="str">
        <f>IF(Inventory!$C197="","",VLOOKUP(Inventory!$C197,$B$7:$C$9,2,FALSE))</f>
        <v/>
      </c>
      <c r="AA441" s="559" t="str">
        <f>IF($Z441="","",IF(AND($Z441="b",Inventory!$G197=""),"",IF(AND($Z441="b",Inventory!$G197&lt;&gt;""),VLOOKUP(Inventory!$G197,$E$3:$F$10,2,FALSE),IF(AND($Z441="a",Inventory!$Z197=""),"",IF(AND($Z441="a",Inventory!$Z197&lt;&gt;""),VLOOKUP(Inventory!$Z197,$E$3:$F$10,2,FALSE),IF(AND($Z441="c",Inventory!$Z197=""),"",IF(AND($Z441="c",Inventory!$Z197&lt;&gt;""),VLOOKUP(Inventory!$Z197,$E$3:$F$10,2,FALSE),"")))))))</f>
        <v/>
      </c>
      <c r="AB441" s="559" t="str">
        <f>IF($Z441="","a",IF(AND($Z441="b",Inventory!$J197=""),"a",IF(AND($Z441="b",Inventory!$J197&lt;&gt;""),VLOOKUP(Inventory!$J197,$H$4:$I$6,2,FALSE),IF(AND($Z441="a",Inventory!$AA197=""),"a",IF(AND($Z441="a",Inventory!$AA197&lt;&gt;""),VLOOKUP(Inventory!$AA197,$H$4:$I$6,2,FALSE),IF(AND($Z441="c",Inventory!$AA197=""),"a",IF(AND($Z441="c",Inventory!$AA197&lt;&gt;""),VLOOKUP(Inventory!$AA197,$H$4:$I$6,2,FALSE),"a")))))))</f>
        <v>a</v>
      </c>
      <c r="AC441" s="559" t="str">
        <f t="shared" si="300"/>
        <v>a</v>
      </c>
      <c r="AD441" s="473" t="str">
        <f>IF($Z441="","a",IF(AND($Z441="b",Inventory!$L197=""),"a",IF(AND($Z441="b",Inventory!$L197&lt;&gt;""),VLOOKUP(Inventory!$L197,$N$4:$O$5,2,FALSE),IF(AND($Z441="a",Inventory!$AC197=""),"a",IF(AND($Z441="a",Inventory!$AC197&lt;&gt;""),VLOOKUP(Inventory!$AC197,$N$4:$O$5,2,FALSE),IF(AND($Z441="c",Inventory!$AC197=""),"a",IF(AND($Z441="c",Inventory!$AC197&lt;&gt;""),VLOOKUP(Inventory!$AC197,$N$4:$O$5,2,FALSE),"a")))))))</f>
        <v>a</v>
      </c>
      <c r="AE441" s="474">
        <f>IF(OR(Inventory!C197="New Construction",Inventory!C197="Replace-on-Burnout"),Inventory!AF197,IF(Inventory!C197="Early Retirement",MIN(Inventory!AE197,Inventory!AF197),0))</f>
        <v>0</v>
      </c>
      <c r="AF441" s="475" t="str">
        <f t="shared" si="301"/>
        <v/>
      </c>
      <c r="AG441" s="475" t="str">
        <f t="shared" si="302"/>
        <v/>
      </c>
      <c r="AH441" s="475" t="str">
        <f t="shared" si="303"/>
        <v/>
      </c>
      <c r="AI441" s="475" t="str">
        <f t="shared" si="304"/>
        <v/>
      </c>
      <c r="AJ441" s="475" t="str">
        <f t="shared" si="305"/>
        <v/>
      </c>
      <c r="AK441" s="475" t="str">
        <f t="shared" si="306"/>
        <v/>
      </c>
      <c r="AL441" s="475" t="str">
        <f t="shared" si="307"/>
        <v/>
      </c>
      <c r="AM441" s="475" t="str">
        <f t="shared" si="308"/>
        <v/>
      </c>
      <c r="AN441" s="475" t="str">
        <f t="shared" si="309"/>
        <v/>
      </c>
      <c r="AO441" s="475" t="str">
        <f t="shared" si="310"/>
        <v/>
      </c>
      <c r="AP441" s="475" t="str">
        <f t="shared" si="311"/>
        <v/>
      </c>
      <c r="AQ441" s="475" t="str">
        <f t="shared" si="312"/>
        <v/>
      </c>
      <c r="AR441" s="475" t="str">
        <f t="shared" si="313"/>
        <v/>
      </c>
      <c r="AS441" s="475" t="str">
        <f t="shared" si="296"/>
        <v/>
      </c>
      <c r="AT441" s="475" t="str">
        <f t="shared" si="314"/>
        <v/>
      </c>
      <c r="AU441" s="475" t="str">
        <f t="shared" si="315"/>
        <v/>
      </c>
      <c r="AV441" s="475" t="str">
        <f t="shared" si="316"/>
        <v/>
      </c>
      <c r="AW441" s="473">
        <f t="shared" si="317"/>
        <v>0</v>
      </c>
      <c r="AX441" s="473" t="str">
        <f>IF(AND($Z441="b",OR($AA441="a",$AA441="b"),Inventory!$I197="",$AE441&lt;(65000/12000)),"x",IF(AND($Z441="b",OR($AA441="a",$AA441="b"),Inventory!$I197&lt;&gt;"",$AE441&lt;(65000/12000)),VLOOKUP(Inventory!$I448,$V$4:$W$5,2,FALSE),"x"))</f>
        <v>x</v>
      </c>
      <c r="AY441" s="476" t="str">
        <f t="shared" si="318"/>
        <v>aaa0</v>
      </c>
      <c r="AZ441" s="477" t="str">
        <f t="shared" si="287"/>
        <v>No</v>
      </c>
      <c r="BA441" s="759" t="str">
        <f t="shared" si="288"/>
        <v>No</v>
      </c>
      <c r="BB441" s="477">
        <f>IF($Z441="c",Inventory!$AB197,Inventory!$K197)</f>
        <v>0</v>
      </c>
      <c r="BC441" s="478">
        <f>IF(AND($Z441="b",Inventory!$N197="Btu/hr"),Inventory!$M197,IF(AND($Z441="b",Inventory!$N197="Tons"),Inventory!$M197*12000,IF(AND($Z441&lt;&gt;"b",Inventory!$AK197="Btu/hr"),Inventory!$AD197,IF(AND($Z441&lt;&gt;"b",Inventory!$AK197="Tons"),Inventory!$AD197*12000,0))))</f>
        <v>0</v>
      </c>
      <c r="BD441" s="478">
        <f t="shared" si="325"/>
        <v>0</v>
      </c>
      <c r="BE441" s="479">
        <f t="shared" si="297"/>
        <v>0</v>
      </c>
      <c r="BF441" s="477" t="s">
        <v>50</v>
      </c>
      <c r="BG441" s="479">
        <f t="shared" si="319"/>
        <v>0</v>
      </c>
      <c r="BH441" s="477" t="s">
        <v>46</v>
      </c>
      <c r="BI441" s="760">
        <f>IF(AND($Z441="b",Inventory!$P197="Btu/hr"),Inventory!$O197,IF(AND($Z441="b",Inventory!$P197="Tons"),Inventory!$O197*12000,IF(AND($Z441&lt;&gt;"b",Inventory!$AM197="Btu/hr"),Inventory!$AL197,IF(AND($Z441&lt;&gt;"b",Inventory!$AM197="Tons"),Inventory!$AL197*12000,0))))</f>
        <v>0</v>
      </c>
      <c r="BJ441" s="760">
        <f t="shared" si="326"/>
        <v>0</v>
      </c>
      <c r="BK441" s="598">
        <f t="shared" si="289"/>
        <v>0</v>
      </c>
      <c r="BL441" s="759" t="s">
        <v>567</v>
      </c>
      <c r="BM441" s="477" t="str">
        <f t="shared" si="320"/>
        <v>No</v>
      </c>
      <c r="BN441" s="477" t="str">
        <f>IF(OR(Inventory!$H197="",$BM441="No"),"-",Inventory!$H197)</f>
        <v>-</v>
      </c>
      <c r="BO441" s="477" t="str">
        <f>IFERROR(VLOOKUP(BN441,'Early Retirement'!$B$6:$C$33,2,FALSE),"-")</f>
        <v>-</v>
      </c>
      <c r="BP441" s="477" t="str">
        <f>IF(Inventory!$J197="Centrifugal","Yes","No")</f>
        <v>No</v>
      </c>
      <c r="BQ441" s="477">
        <f t="shared" si="321"/>
        <v>0</v>
      </c>
      <c r="BR441" s="477" t="str">
        <f t="shared" si="299"/>
        <v>-</v>
      </c>
      <c r="BS441" s="479">
        <f>IFERROR(INDEX('Early Retirement'!$C$4:$AC$33,$BO441,$BR441),0)</f>
        <v>0</v>
      </c>
      <c r="BT441" s="477">
        <f>IFERROR(HLOOKUP($BR441,'Early Retirement'!$D$4:$AC$5,2,FALSE),0)</f>
        <v>0</v>
      </c>
      <c r="BU441" s="761">
        <f>IFERROR(INDEX('Early Retirement'!$AE$4:$BE$33,$BO441,$BR441),0)</f>
        <v>0</v>
      </c>
      <c r="BV441" s="759">
        <f>IFERROR(HLOOKUP($BR441,'Early Retirement'!$AF$4:$BE$5,2,FALSE),0)</f>
        <v>0</v>
      </c>
      <c r="BW441" s="479">
        <f t="shared" si="322"/>
        <v>0</v>
      </c>
      <c r="BX441" s="761">
        <f t="shared" si="290"/>
        <v>0</v>
      </c>
      <c r="BY441" s="477" t="s">
        <v>46</v>
      </c>
      <c r="BZ441" s="598">
        <f>IFERROR(INDEX('Early Retirement'!$BG$4:$CG$33,$BO441,$BR441),0)</f>
        <v>0</v>
      </c>
      <c r="CA441" s="759">
        <f>IFERROR(HLOOKUP($BR441,'Early Retirement'!$BH$4:$CH$5,2,FALSE),0)</f>
        <v>0</v>
      </c>
      <c r="CB441" s="598">
        <f t="shared" si="291"/>
        <v>0</v>
      </c>
      <c r="CC441" s="759" t="s">
        <v>567</v>
      </c>
      <c r="CD441" s="477" t="str">
        <f t="shared" si="323"/>
        <v>Yes</v>
      </c>
      <c r="CE441" s="479">
        <f t="shared" si="292"/>
        <v>0</v>
      </c>
      <c r="CF441" s="761">
        <f t="shared" si="293"/>
        <v>0</v>
      </c>
      <c r="CG441" s="759" t="s">
        <v>46</v>
      </c>
      <c r="CH441" s="598">
        <f t="shared" si="298"/>
        <v>0</v>
      </c>
      <c r="CI441" s="759" t="s">
        <v>567</v>
      </c>
      <c r="CJ441" s="480">
        <f t="shared" si="324"/>
        <v>0</v>
      </c>
      <c r="CK441" s="583">
        <f t="shared" si="294"/>
        <v>0</v>
      </c>
      <c r="CL441" s="596" t="s">
        <v>46</v>
      </c>
      <c r="CM441" s="581">
        <f t="shared" si="295"/>
        <v>0</v>
      </c>
      <c r="CN441" s="762" t="s">
        <v>567</v>
      </c>
      <c r="CW441" s="630"/>
      <c r="CX441" s="630"/>
      <c r="CY441" s="630"/>
      <c r="CZ441" s="630"/>
      <c r="DA441" s="630"/>
    </row>
    <row r="442" spans="2:105" s="78" customFormat="1" ht="15" customHeight="1" x14ac:dyDescent="0.25">
      <c r="B442" s="77"/>
      <c r="E442" s="77"/>
      <c r="H442" s="77"/>
      <c r="Y442" s="90">
        <v>189</v>
      </c>
      <c r="Z442" s="559" t="str">
        <f>IF(Inventory!$C198="","",VLOOKUP(Inventory!$C198,$B$7:$C$9,2,FALSE))</f>
        <v/>
      </c>
      <c r="AA442" s="559" t="str">
        <f>IF($Z442="","",IF(AND($Z442="b",Inventory!$G198=""),"",IF(AND($Z442="b",Inventory!$G198&lt;&gt;""),VLOOKUP(Inventory!$G198,$E$3:$F$10,2,FALSE),IF(AND($Z442="a",Inventory!$Z198=""),"",IF(AND($Z442="a",Inventory!$Z198&lt;&gt;""),VLOOKUP(Inventory!$Z198,$E$3:$F$10,2,FALSE),IF(AND($Z442="c",Inventory!$Z198=""),"",IF(AND($Z442="c",Inventory!$Z198&lt;&gt;""),VLOOKUP(Inventory!$Z198,$E$3:$F$10,2,FALSE),"")))))))</f>
        <v/>
      </c>
      <c r="AB442" s="559" t="str">
        <f>IF($Z442="","a",IF(AND($Z442="b",Inventory!$J198=""),"a",IF(AND($Z442="b",Inventory!$J198&lt;&gt;""),VLOOKUP(Inventory!$J198,$H$4:$I$6,2,FALSE),IF(AND($Z442="a",Inventory!$AA198=""),"a",IF(AND($Z442="a",Inventory!$AA198&lt;&gt;""),VLOOKUP(Inventory!$AA198,$H$4:$I$6,2,FALSE),IF(AND($Z442="c",Inventory!$AA198=""),"a",IF(AND($Z442="c",Inventory!$AA198&lt;&gt;""),VLOOKUP(Inventory!$AA198,$H$4:$I$6,2,FALSE),"a")))))))</f>
        <v>a</v>
      </c>
      <c r="AC442" s="559" t="str">
        <f t="shared" si="300"/>
        <v>a</v>
      </c>
      <c r="AD442" s="473" t="str">
        <f>IF($Z442="","a",IF(AND($Z442="b",Inventory!$L198=""),"a",IF(AND($Z442="b",Inventory!$L198&lt;&gt;""),VLOOKUP(Inventory!$L198,$N$4:$O$5,2,FALSE),IF(AND($Z442="a",Inventory!$AC198=""),"a",IF(AND($Z442="a",Inventory!$AC198&lt;&gt;""),VLOOKUP(Inventory!$AC198,$N$4:$O$5,2,FALSE),IF(AND($Z442="c",Inventory!$AC198=""),"a",IF(AND($Z442="c",Inventory!$AC198&lt;&gt;""),VLOOKUP(Inventory!$AC198,$N$4:$O$5,2,FALSE),"a")))))))</f>
        <v>a</v>
      </c>
      <c r="AE442" s="474">
        <f>IF(OR(Inventory!C198="New Construction",Inventory!C198="Replace-on-Burnout"),Inventory!AF198,IF(Inventory!C198="Early Retirement",MIN(Inventory!AE198,Inventory!AF198),0))</f>
        <v>0</v>
      </c>
      <c r="AF442" s="475" t="str">
        <f t="shared" si="301"/>
        <v/>
      </c>
      <c r="AG442" s="475" t="str">
        <f t="shared" si="302"/>
        <v/>
      </c>
      <c r="AH442" s="475" t="str">
        <f t="shared" si="303"/>
        <v/>
      </c>
      <c r="AI442" s="475" t="str">
        <f t="shared" si="304"/>
        <v/>
      </c>
      <c r="AJ442" s="475" t="str">
        <f t="shared" si="305"/>
        <v/>
      </c>
      <c r="AK442" s="475" t="str">
        <f t="shared" si="306"/>
        <v/>
      </c>
      <c r="AL442" s="475" t="str">
        <f t="shared" si="307"/>
        <v/>
      </c>
      <c r="AM442" s="475" t="str">
        <f t="shared" si="308"/>
        <v/>
      </c>
      <c r="AN442" s="475" t="str">
        <f t="shared" si="309"/>
        <v/>
      </c>
      <c r="AO442" s="475" t="str">
        <f t="shared" si="310"/>
        <v/>
      </c>
      <c r="AP442" s="475" t="str">
        <f t="shared" si="311"/>
        <v/>
      </c>
      <c r="AQ442" s="475" t="str">
        <f t="shared" si="312"/>
        <v/>
      </c>
      <c r="AR442" s="475" t="str">
        <f t="shared" si="313"/>
        <v/>
      </c>
      <c r="AS442" s="475" t="str">
        <f t="shared" si="296"/>
        <v/>
      </c>
      <c r="AT442" s="475" t="str">
        <f t="shared" si="314"/>
        <v/>
      </c>
      <c r="AU442" s="475" t="str">
        <f t="shared" si="315"/>
        <v/>
      </c>
      <c r="AV442" s="475" t="str">
        <f t="shared" si="316"/>
        <v/>
      </c>
      <c r="AW442" s="473">
        <f t="shared" si="317"/>
        <v>0</v>
      </c>
      <c r="AX442" s="473" t="str">
        <f>IF(AND($Z442="b",OR($AA442="a",$AA442="b"),Inventory!$I198="",$AE442&lt;(65000/12000)),"x",IF(AND($Z442="b",OR($AA442="a",$AA442="b"),Inventory!$I198&lt;&gt;"",$AE442&lt;(65000/12000)),VLOOKUP(Inventory!$I449,$V$4:$W$5,2,FALSE),"x"))</f>
        <v>x</v>
      </c>
      <c r="AY442" s="476" t="str">
        <f t="shared" si="318"/>
        <v>aaa0</v>
      </c>
      <c r="AZ442" s="477" t="str">
        <f t="shared" si="287"/>
        <v>No</v>
      </c>
      <c r="BA442" s="759" t="str">
        <f t="shared" si="288"/>
        <v>No</v>
      </c>
      <c r="BB442" s="477">
        <f>IF($Z442="c",Inventory!$AB198,Inventory!$K198)</f>
        <v>0</v>
      </c>
      <c r="BC442" s="478">
        <f>IF(AND($Z442="b",Inventory!$N198="Btu/hr"),Inventory!$M198,IF(AND($Z442="b",Inventory!$N198="Tons"),Inventory!$M198*12000,IF(AND($Z442&lt;&gt;"b",Inventory!$AK198="Btu/hr"),Inventory!$AD198,IF(AND($Z442&lt;&gt;"b",Inventory!$AK198="Tons"),Inventory!$AD198*12000,0))))</f>
        <v>0</v>
      </c>
      <c r="BD442" s="478">
        <f t="shared" si="325"/>
        <v>0</v>
      </c>
      <c r="BE442" s="479">
        <f t="shared" si="297"/>
        <v>0</v>
      </c>
      <c r="BF442" s="477" t="s">
        <v>50</v>
      </c>
      <c r="BG442" s="479">
        <f t="shared" si="319"/>
        <v>0</v>
      </c>
      <c r="BH442" s="477" t="s">
        <v>46</v>
      </c>
      <c r="BI442" s="760">
        <f>IF(AND($Z442="b",Inventory!$P198="Btu/hr"),Inventory!$O198,IF(AND($Z442="b",Inventory!$P198="Tons"),Inventory!$O198*12000,IF(AND($Z442&lt;&gt;"b",Inventory!$AM198="Btu/hr"),Inventory!$AL198,IF(AND($Z442&lt;&gt;"b",Inventory!$AM198="Tons"),Inventory!$AL198*12000,0))))</f>
        <v>0</v>
      </c>
      <c r="BJ442" s="760">
        <f t="shared" si="326"/>
        <v>0</v>
      </c>
      <c r="BK442" s="598">
        <f t="shared" si="289"/>
        <v>0</v>
      </c>
      <c r="BL442" s="759" t="s">
        <v>567</v>
      </c>
      <c r="BM442" s="477" t="str">
        <f t="shared" si="320"/>
        <v>No</v>
      </c>
      <c r="BN442" s="477" t="str">
        <f>IF(OR(Inventory!$H198="",$BM442="No"),"-",Inventory!$H198)</f>
        <v>-</v>
      </c>
      <c r="BO442" s="477" t="str">
        <f>IFERROR(VLOOKUP(BN442,'Early Retirement'!$B$6:$C$33,2,FALSE),"-")</f>
        <v>-</v>
      </c>
      <c r="BP442" s="477" t="str">
        <f>IF(Inventory!$J198="Centrifugal","Yes","No")</f>
        <v>No</v>
      </c>
      <c r="BQ442" s="477">
        <f t="shared" si="321"/>
        <v>0</v>
      </c>
      <c r="BR442" s="477" t="str">
        <f t="shared" si="299"/>
        <v>-</v>
      </c>
      <c r="BS442" s="479">
        <f>IFERROR(INDEX('Early Retirement'!$C$4:$AC$33,$BO442,$BR442),0)</f>
        <v>0</v>
      </c>
      <c r="BT442" s="477">
        <f>IFERROR(HLOOKUP($BR442,'Early Retirement'!$D$4:$AC$5,2,FALSE),0)</f>
        <v>0</v>
      </c>
      <c r="BU442" s="761">
        <f>IFERROR(INDEX('Early Retirement'!$AE$4:$BE$33,$BO442,$BR442),0)</f>
        <v>0</v>
      </c>
      <c r="BV442" s="759">
        <f>IFERROR(HLOOKUP($BR442,'Early Retirement'!$AF$4:$BE$5,2,FALSE),0)</f>
        <v>0</v>
      </c>
      <c r="BW442" s="479">
        <f t="shared" si="322"/>
        <v>0</v>
      </c>
      <c r="BX442" s="761">
        <f t="shared" si="290"/>
        <v>0</v>
      </c>
      <c r="BY442" s="477" t="s">
        <v>46</v>
      </c>
      <c r="BZ442" s="598">
        <f>IFERROR(INDEX('Early Retirement'!$BG$4:$CG$33,$BO442,$BR442),0)</f>
        <v>0</v>
      </c>
      <c r="CA442" s="759">
        <f>IFERROR(HLOOKUP($BR442,'Early Retirement'!$BH$4:$CH$5,2,FALSE),0)</f>
        <v>0</v>
      </c>
      <c r="CB442" s="598">
        <f t="shared" si="291"/>
        <v>0</v>
      </c>
      <c r="CC442" s="759" t="s">
        <v>567</v>
      </c>
      <c r="CD442" s="477" t="str">
        <f t="shared" si="323"/>
        <v>Yes</v>
      </c>
      <c r="CE442" s="479">
        <f t="shared" si="292"/>
        <v>0</v>
      </c>
      <c r="CF442" s="761">
        <f t="shared" si="293"/>
        <v>0</v>
      </c>
      <c r="CG442" s="759" t="s">
        <v>46</v>
      </c>
      <c r="CH442" s="598">
        <f t="shared" si="298"/>
        <v>0</v>
      </c>
      <c r="CI442" s="759" t="s">
        <v>567</v>
      </c>
      <c r="CJ442" s="480">
        <f t="shared" si="324"/>
        <v>0</v>
      </c>
      <c r="CK442" s="583">
        <f t="shared" si="294"/>
        <v>0</v>
      </c>
      <c r="CL442" s="596" t="s">
        <v>46</v>
      </c>
      <c r="CM442" s="581">
        <f t="shared" si="295"/>
        <v>0</v>
      </c>
      <c r="CN442" s="762" t="s">
        <v>567</v>
      </c>
      <c r="CW442" s="630"/>
      <c r="CX442" s="630"/>
      <c r="CY442" s="630"/>
      <c r="CZ442" s="630"/>
      <c r="DA442" s="630"/>
    </row>
    <row r="443" spans="2:105" s="78" customFormat="1" ht="15" customHeight="1" x14ac:dyDescent="0.25">
      <c r="B443" s="77"/>
      <c r="E443" s="77"/>
      <c r="H443" s="77"/>
      <c r="Y443" s="90">
        <v>190</v>
      </c>
      <c r="Z443" s="559" t="str">
        <f>IF(Inventory!$C199="","",VLOOKUP(Inventory!$C199,$B$7:$C$9,2,FALSE))</f>
        <v/>
      </c>
      <c r="AA443" s="559" t="str">
        <f>IF($Z443="","",IF(AND($Z443="b",Inventory!$G199=""),"",IF(AND($Z443="b",Inventory!$G199&lt;&gt;""),VLOOKUP(Inventory!$G199,$E$3:$F$10,2,FALSE),IF(AND($Z443="a",Inventory!$Z199=""),"",IF(AND($Z443="a",Inventory!$Z199&lt;&gt;""),VLOOKUP(Inventory!$Z199,$E$3:$F$10,2,FALSE),IF(AND($Z443="c",Inventory!$Z199=""),"",IF(AND($Z443="c",Inventory!$Z199&lt;&gt;""),VLOOKUP(Inventory!$Z199,$E$3:$F$10,2,FALSE),"")))))))</f>
        <v/>
      </c>
      <c r="AB443" s="559" t="str">
        <f>IF($Z443="","a",IF(AND($Z443="b",Inventory!$J199=""),"a",IF(AND($Z443="b",Inventory!$J199&lt;&gt;""),VLOOKUP(Inventory!$J199,$H$4:$I$6,2,FALSE),IF(AND($Z443="a",Inventory!$AA199=""),"a",IF(AND($Z443="a",Inventory!$AA199&lt;&gt;""),VLOOKUP(Inventory!$AA199,$H$4:$I$6,2,FALSE),IF(AND($Z443="c",Inventory!$AA199=""),"a",IF(AND($Z443="c",Inventory!$AA199&lt;&gt;""),VLOOKUP(Inventory!$AA199,$H$4:$I$6,2,FALSE),"a")))))))</f>
        <v>a</v>
      </c>
      <c r="AC443" s="559" t="str">
        <f t="shared" si="300"/>
        <v>a</v>
      </c>
      <c r="AD443" s="473" t="str">
        <f>IF($Z443="","a",IF(AND($Z443="b",Inventory!$L199=""),"a",IF(AND($Z443="b",Inventory!$L199&lt;&gt;""),VLOOKUP(Inventory!$L199,$N$4:$O$5,2,FALSE),IF(AND($Z443="a",Inventory!$AC199=""),"a",IF(AND($Z443="a",Inventory!$AC199&lt;&gt;""),VLOOKUP(Inventory!$AC199,$N$4:$O$5,2,FALSE),IF(AND($Z443="c",Inventory!$AC199=""),"a",IF(AND($Z443="c",Inventory!$AC199&lt;&gt;""),VLOOKUP(Inventory!$AC199,$N$4:$O$5,2,FALSE),"a")))))))</f>
        <v>a</v>
      </c>
      <c r="AE443" s="474">
        <f>IF(OR(Inventory!C199="New Construction",Inventory!C199="Replace-on-Burnout"),Inventory!AF199,IF(Inventory!C199="Early Retirement",MIN(Inventory!AE199,Inventory!AF199),0))</f>
        <v>0</v>
      </c>
      <c r="AF443" s="475" t="str">
        <f t="shared" si="301"/>
        <v/>
      </c>
      <c r="AG443" s="475" t="str">
        <f t="shared" si="302"/>
        <v/>
      </c>
      <c r="AH443" s="475" t="str">
        <f t="shared" si="303"/>
        <v/>
      </c>
      <c r="AI443" s="475" t="str">
        <f t="shared" si="304"/>
        <v/>
      </c>
      <c r="AJ443" s="475" t="str">
        <f t="shared" si="305"/>
        <v/>
      </c>
      <c r="AK443" s="475" t="str">
        <f t="shared" si="306"/>
        <v/>
      </c>
      <c r="AL443" s="475" t="str">
        <f t="shared" si="307"/>
        <v/>
      </c>
      <c r="AM443" s="475" t="str">
        <f t="shared" si="308"/>
        <v/>
      </c>
      <c r="AN443" s="475" t="str">
        <f t="shared" si="309"/>
        <v/>
      </c>
      <c r="AO443" s="475" t="str">
        <f t="shared" si="310"/>
        <v/>
      </c>
      <c r="AP443" s="475" t="str">
        <f t="shared" si="311"/>
        <v/>
      </c>
      <c r="AQ443" s="475" t="str">
        <f t="shared" si="312"/>
        <v/>
      </c>
      <c r="AR443" s="475" t="str">
        <f t="shared" si="313"/>
        <v/>
      </c>
      <c r="AS443" s="475" t="str">
        <f t="shared" si="296"/>
        <v/>
      </c>
      <c r="AT443" s="475" t="str">
        <f t="shared" si="314"/>
        <v/>
      </c>
      <c r="AU443" s="475" t="str">
        <f t="shared" si="315"/>
        <v/>
      </c>
      <c r="AV443" s="475" t="str">
        <f t="shared" si="316"/>
        <v/>
      </c>
      <c r="AW443" s="473">
        <f t="shared" si="317"/>
        <v>0</v>
      </c>
      <c r="AX443" s="473" t="str">
        <f>IF(AND($Z443="b",OR($AA443="a",$AA443="b"),Inventory!$I199="",$AE443&lt;(65000/12000)),"x",IF(AND($Z443="b",OR($AA443="a",$AA443="b"),Inventory!$I199&lt;&gt;"",$AE443&lt;(65000/12000)),VLOOKUP(Inventory!$I450,$V$4:$W$5,2,FALSE),"x"))</f>
        <v>x</v>
      </c>
      <c r="AY443" s="476" t="str">
        <f t="shared" si="318"/>
        <v>aaa0</v>
      </c>
      <c r="AZ443" s="477" t="str">
        <f t="shared" si="287"/>
        <v>No</v>
      </c>
      <c r="BA443" s="759" t="str">
        <f t="shared" si="288"/>
        <v>No</v>
      </c>
      <c r="BB443" s="477">
        <f>IF($Z443="c",Inventory!$AB199,Inventory!$K199)</f>
        <v>0</v>
      </c>
      <c r="BC443" s="478">
        <f>IF(AND($Z443="b",Inventory!$N199="Btu/hr"),Inventory!$M199,IF(AND($Z443="b",Inventory!$N199="Tons"),Inventory!$M199*12000,IF(AND($Z443&lt;&gt;"b",Inventory!$AK199="Btu/hr"),Inventory!$AD199,IF(AND($Z443&lt;&gt;"b",Inventory!$AK199="Tons"),Inventory!$AD199*12000,0))))</f>
        <v>0</v>
      </c>
      <c r="BD443" s="478">
        <f t="shared" si="325"/>
        <v>0</v>
      </c>
      <c r="BE443" s="479">
        <f t="shared" si="297"/>
        <v>0</v>
      </c>
      <c r="BF443" s="477" t="s">
        <v>50</v>
      </c>
      <c r="BG443" s="479">
        <f t="shared" si="319"/>
        <v>0</v>
      </c>
      <c r="BH443" s="477" t="s">
        <v>46</v>
      </c>
      <c r="BI443" s="760">
        <f>IF(AND($Z443="b",Inventory!$P199="Btu/hr"),Inventory!$O199,IF(AND($Z443="b",Inventory!$P199="Tons"),Inventory!$O199*12000,IF(AND($Z443&lt;&gt;"b",Inventory!$AM199="Btu/hr"),Inventory!$AL199,IF(AND($Z443&lt;&gt;"b",Inventory!$AM199="Tons"),Inventory!$AL199*12000,0))))</f>
        <v>0</v>
      </c>
      <c r="BJ443" s="760">
        <f t="shared" si="326"/>
        <v>0</v>
      </c>
      <c r="BK443" s="598">
        <f t="shared" si="289"/>
        <v>0</v>
      </c>
      <c r="BL443" s="759" t="s">
        <v>567</v>
      </c>
      <c r="BM443" s="477" t="str">
        <f t="shared" si="320"/>
        <v>No</v>
      </c>
      <c r="BN443" s="477" t="str">
        <f>IF(OR(Inventory!$H199="",$BM443="No"),"-",Inventory!$H199)</f>
        <v>-</v>
      </c>
      <c r="BO443" s="477" t="str">
        <f>IFERROR(VLOOKUP(BN443,'Early Retirement'!$B$6:$C$33,2,FALSE),"-")</f>
        <v>-</v>
      </c>
      <c r="BP443" s="477" t="str">
        <f>IF(Inventory!$J199="Centrifugal","Yes","No")</f>
        <v>No</v>
      </c>
      <c r="BQ443" s="477">
        <f t="shared" si="321"/>
        <v>0</v>
      </c>
      <c r="BR443" s="477" t="str">
        <f t="shared" si="299"/>
        <v>-</v>
      </c>
      <c r="BS443" s="479">
        <f>IFERROR(INDEX('Early Retirement'!$C$4:$AC$33,$BO443,$BR443),0)</f>
        <v>0</v>
      </c>
      <c r="BT443" s="477">
        <f>IFERROR(HLOOKUP($BR443,'Early Retirement'!$D$4:$AC$5,2,FALSE),0)</f>
        <v>0</v>
      </c>
      <c r="BU443" s="761">
        <f>IFERROR(INDEX('Early Retirement'!$AE$4:$BE$33,$BO443,$BR443),0)</f>
        <v>0</v>
      </c>
      <c r="BV443" s="759">
        <f>IFERROR(HLOOKUP($BR443,'Early Retirement'!$AF$4:$BE$5,2,FALSE),0)</f>
        <v>0</v>
      </c>
      <c r="BW443" s="479">
        <f t="shared" si="322"/>
        <v>0</v>
      </c>
      <c r="BX443" s="761">
        <f t="shared" si="290"/>
        <v>0</v>
      </c>
      <c r="BY443" s="477" t="s">
        <v>46</v>
      </c>
      <c r="BZ443" s="598">
        <f>IFERROR(INDEX('Early Retirement'!$BG$4:$CG$33,$BO443,$BR443),0)</f>
        <v>0</v>
      </c>
      <c r="CA443" s="759">
        <f>IFERROR(HLOOKUP($BR443,'Early Retirement'!$BH$4:$CH$5,2,FALSE),0)</f>
        <v>0</v>
      </c>
      <c r="CB443" s="598">
        <f t="shared" si="291"/>
        <v>0</v>
      </c>
      <c r="CC443" s="759" t="s">
        <v>567</v>
      </c>
      <c r="CD443" s="477" t="str">
        <f t="shared" si="323"/>
        <v>Yes</v>
      </c>
      <c r="CE443" s="479">
        <f t="shared" si="292"/>
        <v>0</v>
      </c>
      <c r="CF443" s="761">
        <f t="shared" si="293"/>
        <v>0</v>
      </c>
      <c r="CG443" s="759" t="s">
        <v>46</v>
      </c>
      <c r="CH443" s="598">
        <f t="shared" si="298"/>
        <v>0</v>
      </c>
      <c r="CI443" s="759" t="s">
        <v>567</v>
      </c>
      <c r="CJ443" s="480">
        <f t="shared" si="324"/>
        <v>0</v>
      </c>
      <c r="CK443" s="583">
        <f t="shared" si="294"/>
        <v>0</v>
      </c>
      <c r="CL443" s="596" t="s">
        <v>46</v>
      </c>
      <c r="CM443" s="581">
        <f t="shared" si="295"/>
        <v>0</v>
      </c>
      <c r="CN443" s="762" t="s">
        <v>567</v>
      </c>
      <c r="CW443" s="630"/>
      <c r="CX443" s="630"/>
      <c r="CY443" s="630"/>
      <c r="CZ443" s="630"/>
      <c r="DA443" s="630"/>
    </row>
    <row r="444" spans="2:105" s="78" customFormat="1" ht="15" customHeight="1" x14ac:dyDescent="0.25">
      <c r="B444" s="77"/>
      <c r="E444" s="77"/>
      <c r="H444" s="77"/>
      <c r="Y444" s="90">
        <v>191</v>
      </c>
      <c r="Z444" s="559" t="str">
        <f>IF(Inventory!$C200="","",VLOOKUP(Inventory!$C200,$B$7:$C$9,2,FALSE))</f>
        <v/>
      </c>
      <c r="AA444" s="559" t="str">
        <f>IF($Z444="","",IF(AND($Z444="b",Inventory!$G200=""),"",IF(AND($Z444="b",Inventory!$G200&lt;&gt;""),VLOOKUP(Inventory!$G200,$E$3:$F$10,2,FALSE),IF(AND($Z444="a",Inventory!$Z200=""),"",IF(AND($Z444="a",Inventory!$Z200&lt;&gt;""),VLOOKUP(Inventory!$Z200,$E$3:$F$10,2,FALSE),IF(AND($Z444="c",Inventory!$Z200=""),"",IF(AND($Z444="c",Inventory!$Z200&lt;&gt;""),VLOOKUP(Inventory!$Z200,$E$3:$F$10,2,FALSE),"")))))))</f>
        <v/>
      </c>
      <c r="AB444" s="559" t="str">
        <f>IF($Z444="","a",IF(AND($Z444="b",Inventory!$J200=""),"a",IF(AND($Z444="b",Inventory!$J200&lt;&gt;""),VLOOKUP(Inventory!$J200,$H$4:$I$6,2,FALSE),IF(AND($Z444="a",Inventory!$AA200=""),"a",IF(AND($Z444="a",Inventory!$AA200&lt;&gt;""),VLOOKUP(Inventory!$AA200,$H$4:$I$6,2,FALSE),IF(AND($Z444="c",Inventory!$AA200=""),"a",IF(AND($Z444="c",Inventory!$AA200&lt;&gt;""),VLOOKUP(Inventory!$AA200,$H$4:$I$6,2,FALSE),"a")))))))</f>
        <v>a</v>
      </c>
      <c r="AC444" s="559" t="str">
        <f t="shared" si="300"/>
        <v>a</v>
      </c>
      <c r="AD444" s="473" t="str">
        <f>IF($Z444="","a",IF(AND($Z444="b",Inventory!$L200=""),"a",IF(AND($Z444="b",Inventory!$L200&lt;&gt;""),VLOOKUP(Inventory!$L200,$N$4:$O$5,2,FALSE),IF(AND($Z444="a",Inventory!$AC200=""),"a",IF(AND($Z444="a",Inventory!$AC200&lt;&gt;""),VLOOKUP(Inventory!$AC200,$N$4:$O$5,2,FALSE),IF(AND($Z444="c",Inventory!$AC200=""),"a",IF(AND($Z444="c",Inventory!$AC200&lt;&gt;""),VLOOKUP(Inventory!$AC200,$N$4:$O$5,2,FALSE),"a")))))))</f>
        <v>a</v>
      </c>
      <c r="AE444" s="474">
        <f>IF(OR(Inventory!C200="New Construction",Inventory!C200="Replace-on-Burnout"),Inventory!AF200,IF(Inventory!C200="Early Retirement",MIN(Inventory!AE200,Inventory!AF200),0))</f>
        <v>0</v>
      </c>
      <c r="AF444" s="475" t="str">
        <f t="shared" si="301"/>
        <v/>
      </c>
      <c r="AG444" s="475" t="str">
        <f t="shared" si="302"/>
        <v/>
      </c>
      <c r="AH444" s="475" t="str">
        <f t="shared" si="303"/>
        <v/>
      </c>
      <c r="AI444" s="475" t="str">
        <f t="shared" si="304"/>
        <v/>
      </c>
      <c r="AJ444" s="475" t="str">
        <f t="shared" si="305"/>
        <v/>
      </c>
      <c r="AK444" s="475" t="str">
        <f t="shared" si="306"/>
        <v/>
      </c>
      <c r="AL444" s="475" t="str">
        <f t="shared" si="307"/>
        <v/>
      </c>
      <c r="AM444" s="475" t="str">
        <f t="shared" si="308"/>
        <v/>
      </c>
      <c r="AN444" s="475" t="str">
        <f t="shared" si="309"/>
        <v/>
      </c>
      <c r="AO444" s="475" t="str">
        <f t="shared" si="310"/>
        <v/>
      </c>
      <c r="AP444" s="475" t="str">
        <f t="shared" si="311"/>
        <v/>
      </c>
      <c r="AQ444" s="475" t="str">
        <f t="shared" si="312"/>
        <v/>
      </c>
      <c r="AR444" s="475" t="str">
        <f t="shared" si="313"/>
        <v/>
      </c>
      <c r="AS444" s="475" t="str">
        <f t="shared" si="296"/>
        <v/>
      </c>
      <c r="AT444" s="475" t="str">
        <f t="shared" si="314"/>
        <v/>
      </c>
      <c r="AU444" s="475" t="str">
        <f t="shared" si="315"/>
        <v/>
      </c>
      <c r="AV444" s="475" t="str">
        <f t="shared" si="316"/>
        <v/>
      </c>
      <c r="AW444" s="473">
        <f t="shared" si="317"/>
        <v>0</v>
      </c>
      <c r="AX444" s="473" t="str">
        <f>IF(AND($Z444="b",OR($AA444="a",$AA444="b"),Inventory!$I200="",$AE444&lt;(65000/12000)),"x",IF(AND($Z444="b",OR($AA444="a",$AA444="b"),Inventory!$I200&lt;&gt;"",$AE444&lt;(65000/12000)),VLOOKUP(Inventory!$I451,$V$4:$W$5,2,FALSE),"x"))</f>
        <v>x</v>
      </c>
      <c r="AY444" s="476" t="str">
        <f t="shared" si="318"/>
        <v>aaa0</v>
      </c>
      <c r="AZ444" s="477" t="str">
        <f t="shared" si="287"/>
        <v>No</v>
      </c>
      <c r="BA444" s="759" t="str">
        <f t="shared" si="288"/>
        <v>No</v>
      </c>
      <c r="BB444" s="477">
        <f>IF($Z444="c",Inventory!$AB200,Inventory!$K200)</f>
        <v>0</v>
      </c>
      <c r="BC444" s="478">
        <f>IF(AND($Z444="b",Inventory!$N200="Btu/hr"),Inventory!$M200,IF(AND($Z444="b",Inventory!$N200="Tons"),Inventory!$M200*12000,IF(AND($Z444&lt;&gt;"b",Inventory!$AK200="Btu/hr"),Inventory!$AD200,IF(AND($Z444&lt;&gt;"b",Inventory!$AK200="Tons"),Inventory!$AD200*12000,0))))</f>
        <v>0</v>
      </c>
      <c r="BD444" s="478">
        <f t="shared" si="325"/>
        <v>0</v>
      </c>
      <c r="BE444" s="479">
        <f t="shared" si="297"/>
        <v>0</v>
      </c>
      <c r="BF444" s="477" t="s">
        <v>50</v>
      </c>
      <c r="BG444" s="479">
        <f t="shared" si="319"/>
        <v>0</v>
      </c>
      <c r="BH444" s="477" t="s">
        <v>46</v>
      </c>
      <c r="BI444" s="760">
        <f>IF(AND($Z444="b",Inventory!$P200="Btu/hr"),Inventory!$O200,IF(AND($Z444="b",Inventory!$P200="Tons"),Inventory!$O200*12000,IF(AND($Z444&lt;&gt;"b",Inventory!$AM200="Btu/hr"),Inventory!$AL200,IF(AND($Z444&lt;&gt;"b",Inventory!$AM200="Tons"),Inventory!$AL200*12000,0))))</f>
        <v>0</v>
      </c>
      <c r="BJ444" s="760">
        <f t="shared" si="326"/>
        <v>0</v>
      </c>
      <c r="BK444" s="598">
        <f t="shared" si="289"/>
        <v>0</v>
      </c>
      <c r="BL444" s="759" t="s">
        <v>567</v>
      </c>
      <c r="BM444" s="477" t="str">
        <f t="shared" si="320"/>
        <v>No</v>
      </c>
      <c r="BN444" s="477" t="str">
        <f>IF(OR(Inventory!$H200="",$BM444="No"),"-",Inventory!$H200)</f>
        <v>-</v>
      </c>
      <c r="BO444" s="477" t="str">
        <f>IFERROR(VLOOKUP(BN444,'Early Retirement'!$B$6:$C$33,2,FALSE),"-")</f>
        <v>-</v>
      </c>
      <c r="BP444" s="477" t="str">
        <f>IF(Inventory!$J200="Centrifugal","Yes","No")</f>
        <v>No</v>
      </c>
      <c r="BQ444" s="477">
        <f t="shared" si="321"/>
        <v>0</v>
      </c>
      <c r="BR444" s="477" t="str">
        <f t="shared" si="299"/>
        <v>-</v>
      </c>
      <c r="BS444" s="479">
        <f>IFERROR(INDEX('Early Retirement'!$C$4:$AC$33,$BO444,$BR444),0)</f>
        <v>0</v>
      </c>
      <c r="BT444" s="477">
        <f>IFERROR(HLOOKUP($BR444,'Early Retirement'!$D$4:$AC$5,2,FALSE),0)</f>
        <v>0</v>
      </c>
      <c r="BU444" s="761">
        <f>IFERROR(INDEX('Early Retirement'!$AE$4:$BE$33,$BO444,$BR444),0)</f>
        <v>0</v>
      </c>
      <c r="BV444" s="759">
        <f>IFERROR(HLOOKUP($BR444,'Early Retirement'!$AF$4:$BE$5,2,FALSE),0)</f>
        <v>0</v>
      </c>
      <c r="BW444" s="479">
        <f t="shared" si="322"/>
        <v>0</v>
      </c>
      <c r="BX444" s="761">
        <f t="shared" si="290"/>
        <v>0</v>
      </c>
      <c r="BY444" s="477" t="s">
        <v>46</v>
      </c>
      <c r="BZ444" s="598">
        <f>IFERROR(INDEX('Early Retirement'!$BG$4:$CG$33,$BO444,$BR444),0)</f>
        <v>0</v>
      </c>
      <c r="CA444" s="759">
        <f>IFERROR(HLOOKUP($BR444,'Early Retirement'!$BH$4:$CH$5,2,FALSE),0)</f>
        <v>0</v>
      </c>
      <c r="CB444" s="598">
        <f t="shared" si="291"/>
        <v>0</v>
      </c>
      <c r="CC444" s="759" t="s">
        <v>567</v>
      </c>
      <c r="CD444" s="477" t="str">
        <f t="shared" si="323"/>
        <v>Yes</v>
      </c>
      <c r="CE444" s="479">
        <f t="shared" si="292"/>
        <v>0</v>
      </c>
      <c r="CF444" s="761">
        <f t="shared" si="293"/>
        <v>0</v>
      </c>
      <c r="CG444" s="759" t="s">
        <v>46</v>
      </c>
      <c r="CH444" s="598">
        <f t="shared" si="298"/>
        <v>0</v>
      </c>
      <c r="CI444" s="759" t="s">
        <v>567</v>
      </c>
      <c r="CJ444" s="480">
        <f t="shared" si="324"/>
        <v>0</v>
      </c>
      <c r="CK444" s="583">
        <f t="shared" si="294"/>
        <v>0</v>
      </c>
      <c r="CL444" s="596" t="s">
        <v>46</v>
      </c>
      <c r="CM444" s="581">
        <f t="shared" si="295"/>
        <v>0</v>
      </c>
      <c r="CN444" s="762" t="s">
        <v>567</v>
      </c>
      <c r="CW444" s="630"/>
      <c r="CX444" s="630"/>
      <c r="CY444" s="630"/>
      <c r="CZ444" s="630"/>
      <c r="DA444" s="630"/>
    </row>
    <row r="445" spans="2:105" s="78" customFormat="1" ht="15" customHeight="1" x14ac:dyDescent="0.25">
      <c r="B445" s="77"/>
      <c r="E445" s="77"/>
      <c r="H445" s="77"/>
      <c r="Y445" s="90">
        <v>192</v>
      </c>
      <c r="Z445" s="559" t="str">
        <f>IF(Inventory!$C201="","",VLOOKUP(Inventory!$C201,$B$7:$C$9,2,FALSE))</f>
        <v/>
      </c>
      <c r="AA445" s="559" t="str">
        <f>IF($Z445="","",IF(AND($Z445="b",Inventory!$G201=""),"",IF(AND($Z445="b",Inventory!$G201&lt;&gt;""),VLOOKUP(Inventory!$G201,$E$3:$F$10,2,FALSE),IF(AND($Z445="a",Inventory!$Z201=""),"",IF(AND($Z445="a",Inventory!$Z201&lt;&gt;""),VLOOKUP(Inventory!$Z201,$E$3:$F$10,2,FALSE),IF(AND($Z445="c",Inventory!$Z201=""),"",IF(AND($Z445="c",Inventory!$Z201&lt;&gt;""),VLOOKUP(Inventory!$Z201,$E$3:$F$10,2,FALSE),"")))))))</f>
        <v/>
      </c>
      <c r="AB445" s="559" t="str">
        <f>IF($Z445="","a",IF(AND($Z445="b",Inventory!$J201=""),"a",IF(AND($Z445="b",Inventory!$J201&lt;&gt;""),VLOOKUP(Inventory!$J201,$H$4:$I$6,2,FALSE),IF(AND($Z445="a",Inventory!$AA201=""),"a",IF(AND($Z445="a",Inventory!$AA201&lt;&gt;""),VLOOKUP(Inventory!$AA201,$H$4:$I$6,2,FALSE),IF(AND($Z445="c",Inventory!$AA201=""),"a",IF(AND($Z445="c",Inventory!$AA201&lt;&gt;""),VLOOKUP(Inventory!$AA201,$H$4:$I$6,2,FALSE),"a")))))))</f>
        <v>a</v>
      </c>
      <c r="AC445" s="559" t="str">
        <f t="shared" si="300"/>
        <v>a</v>
      </c>
      <c r="AD445" s="473" t="str">
        <f>IF($Z445="","a",IF(AND($Z445="b",Inventory!$L201=""),"a",IF(AND($Z445="b",Inventory!$L201&lt;&gt;""),VLOOKUP(Inventory!$L201,$N$4:$O$5,2,FALSE),IF(AND($Z445="a",Inventory!$AC201=""),"a",IF(AND($Z445="a",Inventory!$AC201&lt;&gt;""),VLOOKUP(Inventory!$AC201,$N$4:$O$5,2,FALSE),IF(AND($Z445="c",Inventory!$AC201=""),"a",IF(AND($Z445="c",Inventory!$AC201&lt;&gt;""),VLOOKUP(Inventory!$AC201,$N$4:$O$5,2,FALSE),"a")))))))</f>
        <v>a</v>
      </c>
      <c r="AE445" s="474">
        <f>IF(OR(Inventory!C201="New Construction",Inventory!C201="Replace-on-Burnout"),Inventory!AF201,IF(Inventory!C201="Early Retirement",MIN(Inventory!AE201,Inventory!AF201),0))</f>
        <v>0</v>
      </c>
      <c r="AF445" s="475" t="str">
        <f t="shared" si="301"/>
        <v/>
      </c>
      <c r="AG445" s="475" t="str">
        <f t="shared" si="302"/>
        <v/>
      </c>
      <c r="AH445" s="475" t="str">
        <f t="shared" si="303"/>
        <v/>
      </c>
      <c r="AI445" s="475" t="str">
        <f t="shared" si="304"/>
        <v/>
      </c>
      <c r="AJ445" s="475" t="str">
        <f t="shared" si="305"/>
        <v/>
      </c>
      <c r="AK445" s="475" t="str">
        <f t="shared" si="306"/>
        <v/>
      </c>
      <c r="AL445" s="475" t="str">
        <f t="shared" si="307"/>
        <v/>
      </c>
      <c r="AM445" s="475" t="str">
        <f t="shared" si="308"/>
        <v/>
      </c>
      <c r="AN445" s="475" t="str">
        <f t="shared" si="309"/>
        <v/>
      </c>
      <c r="AO445" s="475" t="str">
        <f t="shared" si="310"/>
        <v/>
      </c>
      <c r="AP445" s="475" t="str">
        <f t="shared" si="311"/>
        <v/>
      </c>
      <c r="AQ445" s="475" t="str">
        <f t="shared" si="312"/>
        <v/>
      </c>
      <c r="AR445" s="475" t="str">
        <f t="shared" si="313"/>
        <v/>
      </c>
      <c r="AS445" s="475" t="str">
        <f t="shared" si="296"/>
        <v/>
      </c>
      <c r="AT445" s="475" t="str">
        <f t="shared" si="314"/>
        <v/>
      </c>
      <c r="AU445" s="475" t="str">
        <f t="shared" si="315"/>
        <v/>
      </c>
      <c r="AV445" s="475" t="str">
        <f t="shared" si="316"/>
        <v/>
      </c>
      <c r="AW445" s="473">
        <f t="shared" si="317"/>
        <v>0</v>
      </c>
      <c r="AX445" s="473" t="str">
        <f>IF(AND($Z445="b",OR($AA445="a",$AA445="b"),Inventory!$I201="",$AE445&lt;(65000/12000)),"x",IF(AND($Z445="b",OR($AA445="a",$AA445="b"),Inventory!$I201&lt;&gt;"",$AE445&lt;(65000/12000)),VLOOKUP(Inventory!$I452,$V$4:$W$5,2,FALSE),"x"))</f>
        <v>x</v>
      </c>
      <c r="AY445" s="476" t="str">
        <f t="shared" si="318"/>
        <v>aaa0</v>
      </c>
      <c r="AZ445" s="477" t="str">
        <f t="shared" si="287"/>
        <v>No</v>
      </c>
      <c r="BA445" s="759" t="str">
        <f t="shared" si="288"/>
        <v>No</v>
      </c>
      <c r="BB445" s="477">
        <f>IF($Z445="c",Inventory!$AB201,Inventory!$K201)</f>
        <v>0</v>
      </c>
      <c r="BC445" s="478">
        <f>IF(AND($Z445="b",Inventory!$N201="Btu/hr"),Inventory!$M201,IF(AND($Z445="b",Inventory!$N201="Tons"),Inventory!$M201*12000,IF(AND($Z445&lt;&gt;"b",Inventory!$AK201="Btu/hr"),Inventory!$AD201,IF(AND($Z445&lt;&gt;"b",Inventory!$AK201="Tons"),Inventory!$AD201*12000,0))))</f>
        <v>0</v>
      </c>
      <c r="BD445" s="478">
        <f t="shared" si="325"/>
        <v>0</v>
      </c>
      <c r="BE445" s="479">
        <f t="shared" si="297"/>
        <v>0</v>
      </c>
      <c r="BF445" s="477" t="s">
        <v>50</v>
      </c>
      <c r="BG445" s="479">
        <f t="shared" si="319"/>
        <v>0</v>
      </c>
      <c r="BH445" s="477" t="s">
        <v>46</v>
      </c>
      <c r="BI445" s="760">
        <f>IF(AND($Z445="b",Inventory!$P201="Btu/hr"),Inventory!$O201,IF(AND($Z445="b",Inventory!$P201="Tons"),Inventory!$O201*12000,IF(AND($Z445&lt;&gt;"b",Inventory!$AM201="Btu/hr"),Inventory!$AL201,IF(AND($Z445&lt;&gt;"b",Inventory!$AM201="Tons"),Inventory!$AL201*12000,0))))</f>
        <v>0</v>
      </c>
      <c r="BJ445" s="760">
        <f t="shared" si="326"/>
        <v>0</v>
      </c>
      <c r="BK445" s="598">
        <f t="shared" si="289"/>
        <v>0</v>
      </c>
      <c r="BL445" s="759" t="s">
        <v>567</v>
      </c>
      <c r="BM445" s="477" t="str">
        <f t="shared" si="320"/>
        <v>No</v>
      </c>
      <c r="BN445" s="477" t="str">
        <f>IF(OR(Inventory!$H201="",$BM445="No"),"-",Inventory!$H201)</f>
        <v>-</v>
      </c>
      <c r="BO445" s="477" t="str">
        <f>IFERROR(VLOOKUP(BN445,'Early Retirement'!$B$6:$C$33,2,FALSE),"-")</f>
        <v>-</v>
      </c>
      <c r="BP445" s="477" t="str">
        <f>IF(Inventory!$J201="Centrifugal","Yes","No")</f>
        <v>No</v>
      </c>
      <c r="BQ445" s="477">
        <f t="shared" si="321"/>
        <v>0</v>
      </c>
      <c r="BR445" s="477" t="str">
        <f t="shared" si="299"/>
        <v>-</v>
      </c>
      <c r="BS445" s="479">
        <f>IFERROR(INDEX('Early Retirement'!$C$4:$AC$33,$BO445,$BR445),0)</f>
        <v>0</v>
      </c>
      <c r="BT445" s="477">
        <f>IFERROR(HLOOKUP($BR445,'Early Retirement'!$D$4:$AC$5,2,FALSE),0)</f>
        <v>0</v>
      </c>
      <c r="BU445" s="761">
        <f>IFERROR(INDEX('Early Retirement'!$AE$4:$BE$33,$BO445,$BR445),0)</f>
        <v>0</v>
      </c>
      <c r="BV445" s="759">
        <f>IFERROR(HLOOKUP($BR445,'Early Retirement'!$AF$4:$BE$5,2,FALSE),0)</f>
        <v>0</v>
      </c>
      <c r="BW445" s="479">
        <f t="shared" si="322"/>
        <v>0</v>
      </c>
      <c r="BX445" s="761">
        <f t="shared" si="290"/>
        <v>0</v>
      </c>
      <c r="BY445" s="477" t="s">
        <v>46</v>
      </c>
      <c r="BZ445" s="598">
        <f>IFERROR(INDEX('Early Retirement'!$BG$4:$CG$33,$BO445,$BR445),0)</f>
        <v>0</v>
      </c>
      <c r="CA445" s="759">
        <f>IFERROR(HLOOKUP($BR445,'Early Retirement'!$BH$4:$CH$5,2,FALSE),0)</f>
        <v>0</v>
      </c>
      <c r="CB445" s="598">
        <f t="shared" si="291"/>
        <v>0</v>
      </c>
      <c r="CC445" s="759" t="s">
        <v>567</v>
      </c>
      <c r="CD445" s="477" t="str">
        <f t="shared" si="323"/>
        <v>Yes</v>
      </c>
      <c r="CE445" s="479">
        <f t="shared" si="292"/>
        <v>0</v>
      </c>
      <c r="CF445" s="761">
        <f t="shared" si="293"/>
        <v>0</v>
      </c>
      <c r="CG445" s="759" t="s">
        <v>46</v>
      </c>
      <c r="CH445" s="598">
        <f t="shared" si="298"/>
        <v>0</v>
      </c>
      <c r="CI445" s="759" t="s">
        <v>567</v>
      </c>
      <c r="CJ445" s="480">
        <f t="shared" si="324"/>
        <v>0</v>
      </c>
      <c r="CK445" s="583">
        <f t="shared" si="294"/>
        <v>0</v>
      </c>
      <c r="CL445" s="596" t="s">
        <v>46</v>
      </c>
      <c r="CM445" s="581">
        <f t="shared" si="295"/>
        <v>0</v>
      </c>
      <c r="CN445" s="762" t="s">
        <v>567</v>
      </c>
      <c r="CW445" s="630"/>
      <c r="CX445" s="630"/>
      <c r="CY445" s="630"/>
      <c r="CZ445" s="630"/>
      <c r="DA445" s="630"/>
    </row>
    <row r="446" spans="2:105" s="78" customFormat="1" ht="15" customHeight="1" x14ac:dyDescent="0.25">
      <c r="B446" s="77"/>
      <c r="E446" s="77"/>
      <c r="H446" s="77"/>
      <c r="Y446" s="90">
        <v>193</v>
      </c>
      <c r="Z446" s="559" t="str">
        <f>IF(Inventory!$C202="","",VLOOKUP(Inventory!$C202,$B$7:$C$9,2,FALSE))</f>
        <v/>
      </c>
      <c r="AA446" s="559" t="str">
        <f>IF($Z446="","",IF(AND($Z446="b",Inventory!$G202=""),"",IF(AND($Z446="b",Inventory!$G202&lt;&gt;""),VLOOKUP(Inventory!$G202,$E$3:$F$10,2,FALSE),IF(AND($Z446="a",Inventory!$Z202=""),"",IF(AND($Z446="a",Inventory!$Z202&lt;&gt;""),VLOOKUP(Inventory!$Z202,$E$3:$F$10,2,FALSE),IF(AND($Z446="c",Inventory!$Z202=""),"",IF(AND($Z446="c",Inventory!$Z202&lt;&gt;""),VLOOKUP(Inventory!$Z202,$E$3:$F$10,2,FALSE),"")))))))</f>
        <v/>
      </c>
      <c r="AB446" s="559" t="str">
        <f>IF($Z446="","a",IF(AND($Z446="b",Inventory!$J202=""),"a",IF(AND($Z446="b",Inventory!$J202&lt;&gt;""),VLOOKUP(Inventory!$J202,$H$4:$I$6,2,FALSE),IF(AND($Z446="a",Inventory!$AA202=""),"a",IF(AND($Z446="a",Inventory!$AA202&lt;&gt;""),VLOOKUP(Inventory!$AA202,$H$4:$I$6,2,FALSE),IF(AND($Z446="c",Inventory!$AA202=""),"a",IF(AND($Z446="c",Inventory!$AA202&lt;&gt;""),VLOOKUP(Inventory!$AA202,$H$4:$I$6,2,FALSE),"a")))))))</f>
        <v>a</v>
      </c>
      <c r="AC446" s="559" t="str">
        <f t="shared" si="300"/>
        <v>a</v>
      </c>
      <c r="AD446" s="473" t="str">
        <f>IF($Z446="","a",IF(AND($Z446="b",Inventory!$L202=""),"a",IF(AND($Z446="b",Inventory!$L202&lt;&gt;""),VLOOKUP(Inventory!$L202,$N$4:$O$5,2,FALSE),IF(AND($Z446="a",Inventory!$AC202=""),"a",IF(AND($Z446="a",Inventory!$AC202&lt;&gt;""),VLOOKUP(Inventory!$AC202,$N$4:$O$5,2,FALSE),IF(AND($Z446="c",Inventory!$AC202=""),"a",IF(AND($Z446="c",Inventory!$AC202&lt;&gt;""),VLOOKUP(Inventory!$AC202,$N$4:$O$5,2,FALSE),"a")))))))</f>
        <v>a</v>
      </c>
      <c r="AE446" s="474">
        <f>IF(OR(Inventory!C202="New Construction",Inventory!C202="Replace-on-Burnout"),Inventory!AF202,IF(Inventory!C202="Early Retirement",MIN(Inventory!AE202,Inventory!AF202),0))</f>
        <v>0</v>
      </c>
      <c r="AF446" s="475" t="str">
        <f t="shared" si="301"/>
        <v/>
      </c>
      <c r="AG446" s="475" t="str">
        <f t="shared" si="302"/>
        <v/>
      </c>
      <c r="AH446" s="475" t="str">
        <f t="shared" si="303"/>
        <v/>
      </c>
      <c r="AI446" s="475" t="str">
        <f t="shared" si="304"/>
        <v/>
      </c>
      <c r="AJ446" s="475" t="str">
        <f t="shared" si="305"/>
        <v/>
      </c>
      <c r="AK446" s="475" t="str">
        <f t="shared" si="306"/>
        <v/>
      </c>
      <c r="AL446" s="475" t="str">
        <f t="shared" si="307"/>
        <v/>
      </c>
      <c r="AM446" s="475" t="str">
        <f t="shared" si="308"/>
        <v/>
      </c>
      <c r="AN446" s="475" t="str">
        <f t="shared" si="309"/>
        <v/>
      </c>
      <c r="AO446" s="475" t="str">
        <f t="shared" si="310"/>
        <v/>
      </c>
      <c r="AP446" s="475" t="str">
        <f t="shared" si="311"/>
        <v/>
      </c>
      <c r="AQ446" s="475" t="str">
        <f t="shared" si="312"/>
        <v/>
      </c>
      <c r="AR446" s="475" t="str">
        <f t="shared" si="313"/>
        <v/>
      </c>
      <c r="AS446" s="475" t="str">
        <f t="shared" si="296"/>
        <v/>
      </c>
      <c r="AT446" s="475" t="str">
        <f t="shared" si="314"/>
        <v/>
      </c>
      <c r="AU446" s="475" t="str">
        <f t="shared" si="315"/>
        <v/>
      </c>
      <c r="AV446" s="475" t="str">
        <f t="shared" si="316"/>
        <v/>
      </c>
      <c r="AW446" s="473">
        <f t="shared" si="317"/>
        <v>0</v>
      </c>
      <c r="AX446" s="473" t="str">
        <f>IF(AND($Z446="b",OR($AA446="a",$AA446="b"),Inventory!$I202="",$AE446&lt;(65000/12000)),"x",IF(AND($Z446="b",OR($AA446="a",$AA446="b"),Inventory!$I202&lt;&gt;"",$AE446&lt;(65000/12000)),VLOOKUP(Inventory!$I453,$V$4:$W$5,2,FALSE),"x"))</f>
        <v>x</v>
      </c>
      <c r="AY446" s="476" t="str">
        <f t="shared" si="318"/>
        <v>aaa0</v>
      </c>
      <c r="AZ446" s="477" t="str">
        <f t="shared" ref="AZ446:AZ503" si="327">IF($AA446="c","Yes","No")</f>
        <v>No</v>
      </c>
      <c r="BA446" s="759" t="str">
        <f t="shared" ref="BA446:BA503" si="328">IF($AA446="d","Yes","No")</f>
        <v>No</v>
      </c>
      <c r="BB446" s="477">
        <f>IF($Z446="c",Inventory!$AB202,Inventory!$K202)</f>
        <v>0</v>
      </c>
      <c r="BC446" s="478">
        <f>IF(AND($Z446="b",Inventory!$N202="Btu/hr"),Inventory!$M202,IF(AND($Z446="b",Inventory!$N202="Tons"),Inventory!$M202*12000,IF(AND($Z446&lt;&gt;"b",Inventory!$AK202="Btu/hr"),Inventory!$AD202,IF(AND($Z446&lt;&gt;"b",Inventory!$AK202="Tons"),Inventory!$AD202*12000,0))))</f>
        <v>0</v>
      </c>
      <c r="BD446" s="478">
        <f t="shared" si="325"/>
        <v>0</v>
      </c>
      <c r="BE446" s="479">
        <f t="shared" si="297"/>
        <v>0</v>
      </c>
      <c r="BF446" s="477" t="s">
        <v>50</v>
      </c>
      <c r="BG446" s="479">
        <f t="shared" si="319"/>
        <v>0</v>
      </c>
      <c r="BH446" s="477" t="s">
        <v>46</v>
      </c>
      <c r="BI446" s="760">
        <f>IF(AND($Z446="b",Inventory!$P202="Btu/hr"),Inventory!$O202,IF(AND($Z446="b",Inventory!$P202="Tons"),Inventory!$O202*12000,IF(AND($Z446&lt;&gt;"b",Inventory!$AM202="Btu/hr"),Inventory!$AL202,IF(AND($Z446&lt;&gt;"b",Inventory!$AM202="Tons"),Inventory!$AL202*12000,0))))</f>
        <v>0</v>
      </c>
      <c r="BJ446" s="760">
        <f t="shared" si="326"/>
        <v>0</v>
      </c>
      <c r="BK446" s="598">
        <f t="shared" ref="BK446:BK503" si="329">IF(OR($BA446="No",$BI446=0),0,IF(AND($Z446&lt;&gt;"b",$BA446="Yes",$BB446="Yes"),3.7-(0.052*$BJ446/1000),IF(AND($Z446&lt;&gt;"b",$BA446="Yes",$BB446="No"),2.9-(0.026*$BJ446/1000),IF(AND($Z446="b",$BA446="Yes"),3.2-(0.026*$BJ446/1000),0))))</f>
        <v>0</v>
      </c>
      <c r="BL446" s="759" t="s">
        <v>567</v>
      </c>
      <c r="BM446" s="477" t="str">
        <f t="shared" si="320"/>
        <v>No</v>
      </c>
      <c r="BN446" s="477" t="str">
        <f>IF(OR(Inventory!$H202="",$BM446="No"),"-",Inventory!$H202)</f>
        <v>-</v>
      </c>
      <c r="BO446" s="477" t="str">
        <f>IFERROR(VLOOKUP(BN446,'Early Retirement'!$B$6:$C$33,2,FALSE),"-")</f>
        <v>-</v>
      </c>
      <c r="BP446" s="477" t="str">
        <f>IF(Inventory!$J202="Centrifugal","Yes","No")</f>
        <v>No</v>
      </c>
      <c r="BQ446" s="477">
        <f t="shared" si="321"/>
        <v>0</v>
      </c>
      <c r="BR446" s="477" t="str">
        <f t="shared" si="299"/>
        <v>-</v>
      </c>
      <c r="BS446" s="479">
        <f>IFERROR(INDEX('Early Retirement'!$C$4:$AC$33,$BO446,$BR446),0)</f>
        <v>0</v>
      </c>
      <c r="BT446" s="477">
        <f>IFERROR(HLOOKUP($BR446,'Early Retirement'!$D$4:$AC$5,2,FALSE),0)</f>
        <v>0</v>
      </c>
      <c r="BU446" s="761">
        <f>IFERROR(INDEX('Early Retirement'!$AE$4:$BE$33,$BO446,$BR446),0)</f>
        <v>0</v>
      </c>
      <c r="BV446" s="759">
        <f>IFERROR(HLOOKUP($BR446,'Early Retirement'!$AF$4:$BE$5,2,FALSE),0)</f>
        <v>0</v>
      </c>
      <c r="BW446" s="479">
        <f t="shared" si="322"/>
        <v>0</v>
      </c>
      <c r="BX446" s="761">
        <f t="shared" ref="BX446:BX503" si="330">IF(OR($BV446="SEER",$BV446="IEER (EER)",$BV446="IPLV (EER)"),12/$BU446,IF($BV446="IPLV (kW/ton)",$BU446,0))</f>
        <v>0</v>
      </c>
      <c r="BY446" s="477" t="s">
        <v>46</v>
      </c>
      <c r="BZ446" s="598">
        <f>IFERROR(INDEX('Early Retirement'!$BG$4:$CG$33,$BO446,$BR446),0)</f>
        <v>0</v>
      </c>
      <c r="CA446" s="759">
        <f>IFERROR(HLOOKUP($BR446,'Early Retirement'!$BH$4:$CH$5,2,FALSE),0)</f>
        <v>0</v>
      </c>
      <c r="CB446" s="598">
        <f t="shared" ref="CB446:CB503" si="331">IF($CA446="HSPF",$BZ446/3.412,IF($CA446="COP",$BZ446,0))</f>
        <v>0</v>
      </c>
      <c r="CC446" s="759" t="s">
        <v>567</v>
      </c>
      <c r="CD446" s="477" t="str">
        <f t="shared" si="323"/>
        <v>Yes</v>
      </c>
      <c r="CE446" s="479">
        <f t="shared" ref="CE446:CE503" si="332">IF($CD446="Yes",IFERROR(VLOOKUP($AY446,$CP:$CW,6,FALSE),0),0)</f>
        <v>0</v>
      </c>
      <c r="CF446" s="761">
        <f t="shared" ref="CF446:CF503" si="333">IF($CD446="Yes",IFERROR(VLOOKUP($AY446,$CP:$CW,7,FALSE),0),0)</f>
        <v>0</v>
      </c>
      <c r="CG446" s="759" t="s">
        <v>46</v>
      </c>
      <c r="CH446" s="598">
        <f t="shared" si="298"/>
        <v>0</v>
      </c>
      <c r="CI446" s="759" t="s">
        <v>567</v>
      </c>
      <c r="CJ446" s="480">
        <f t="shared" si="324"/>
        <v>0</v>
      </c>
      <c r="CK446" s="583">
        <f t="shared" ref="CK446:CK503" si="334">MAX($BG446,$BX446,$CF446)</f>
        <v>0</v>
      </c>
      <c r="CL446" s="596" t="s">
        <v>46</v>
      </c>
      <c r="CM446" s="581">
        <f t="shared" ref="CM446:CM503" si="335">MAX($BK446,$CB446,$CH446)</f>
        <v>0</v>
      </c>
      <c r="CN446" s="762" t="s">
        <v>567</v>
      </c>
      <c r="CW446" s="630"/>
      <c r="CX446" s="630"/>
      <c r="CY446" s="630"/>
      <c r="CZ446" s="630"/>
      <c r="DA446" s="630"/>
    </row>
    <row r="447" spans="2:105" s="78" customFormat="1" ht="15" customHeight="1" x14ac:dyDescent="0.25">
      <c r="B447" s="77"/>
      <c r="E447" s="77"/>
      <c r="H447" s="77"/>
      <c r="Y447" s="90">
        <v>194</v>
      </c>
      <c r="Z447" s="559" t="str">
        <f>IF(Inventory!$C203="","",VLOOKUP(Inventory!$C203,$B$7:$C$9,2,FALSE))</f>
        <v/>
      </c>
      <c r="AA447" s="559" t="str">
        <f>IF($Z447="","",IF(AND($Z447="b",Inventory!$G203=""),"",IF(AND($Z447="b",Inventory!$G203&lt;&gt;""),VLOOKUP(Inventory!$G203,$E$3:$F$10,2,FALSE),IF(AND($Z447="a",Inventory!$Z203=""),"",IF(AND($Z447="a",Inventory!$Z203&lt;&gt;""),VLOOKUP(Inventory!$Z203,$E$3:$F$10,2,FALSE),IF(AND($Z447="c",Inventory!$Z203=""),"",IF(AND($Z447="c",Inventory!$Z203&lt;&gt;""),VLOOKUP(Inventory!$Z203,$E$3:$F$10,2,FALSE),"")))))))</f>
        <v/>
      </c>
      <c r="AB447" s="559" t="str">
        <f>IF($Z447="","a",IF(AND($Z447="b",Inventory!$J203=""),"a",IF(AND($Z447="b",Inventory!$J203&lt;&gt;""),VLOOKUP(Inventory!$J203,$H$4:$I$6,2,FALSE),IF(AND($Z447="a",Inventory!$AA203=""),"a",IF(AND($Z447="a",Inventory!$AA203&lt;&gt;""),VLOOKUP(Inventory!$AA203,$H$4:$I$6,2,FALSE),IF(AND($Z447="c",Inventory!$AA203=""),"a",IF(AND($Z447="c",Inventory!$AA203&lt;&gt;""),VLOOKUP(Inventory!$AA203,$H$4:$I$6,2,FALSE),"a")))))))</f>
        <v>a</v>
      </c>
      <c r="AC447" s="559" t="str">
        <f t="shared" si="300"/>
        <v>a</v>
      </c>
      <c r="AD447" s="473" t="str">
        <f>IF($Z447="","a",IF(AND($Z447="b",Inventory!$L203=""),"a",IF(AND($Z447="b",Inventory!$L203&lt;&gt;""),VLOOKUP(Inventory!$L203,$N$4:$O$5,2,FALSE),IF(AND($Z447="a",Inventory!$AC203=""),"a",IF(AND($Z447="a",Inventory!$AC203&lt;&gt;""),VLOOKUP(Inventory!$AC203,$N$4:$O$5,2,FALSE),IF(AND($Z447="c",Inventory!$AC203=""),"a",IF(AND($Z447="c",Inventory!$AC203&lt;&gt;""),VLOOKUP(Inventory!$AC203,$N$4:$O$5,2,FALSE),"a")))))))</f>
        <v>a</v>
      </c>
      <c r="AE447" s="474">
        <f>IF(OR(Inventory!C203="New Construction",Inventory!C203="Replace-on-Burnout"),Inventory!AF203,IF(Inventory!C203="Early Retirement",MIN(Inventory!AE203,Inventory!AF203),0))</f>
        <v>0</v>
      </c>
      <c r="AF447" s="475" t="str">
        <f t="shared" si="301"/>
        <v/>
      </c>
      <c r="AG447" s="475" t="str">
        <f t="shared" si="302"/>
        <v/>
      </c>
      <c r="AH447" s="475" t="str">
        <f t="shared" si="303"/>
        <v/>
      </c>
      <c r="AI447" s="475" t="str">
        <f t="shared" si="304"/>
        <v/>
      </c>
      <c r="AJ447" s="475" t="str">
        <f t="shared" si="305"/>
        <v/>
      </c>
      <c r="AK447" s="475" t="str">
        <f t="shared" si="306"/>
        <v/>
      </c>
      <c r="AL447" s="475" t="str">
        <f t="shared" si="307"/>
        <v/>
      </c>
      <c r="AM447" s="475" t="str">
        <f t="shared" si="308"/>
        <v/>
      </c>
      <c r="AN447" s="475" t="str">
        <f t="shared" si="309"/>
        <v/>
      </c>
      <c r="AO447" s="475" t="str">
        <f t="shared" si="310"/>
        <v/>
      </c>
      <c r="AP447" s="475" t="str">
        <f t="shared" si="311"/>
        <v/>
      </c>
      <c r="AQ447" s="475" t="str">
        <f t="shared" si="312"/>
        <v/>
      </c>
      <c r="AR447" s="475" t="str">
        <f t="shared" si="313"/>
        <v/>
      </c>
      <c r="AS447" s="475" t="str">
        <f t="shared" ref="AS447:AS503" si="336">IF(OR(AND($AA447&lt;&gt;"g",$AA447&lt;&gt;"h"),$AE447="",$AR447&lt;&gt;0),"",IF(AND($AE447&gt;=$AS$2,$AA447="g"),31,IF(AND($AE447&gt;=$AS$2,$AA447="h",$AB447="b"),36,IF(AND($AE447&gt;=$AS$2,$AA447="h",$AB447&lt;&gt;"b"),41,0))))</f>
        <v/>
      </c>
      <c r="AT447" s="475" t="str">
        <f t="shared" si="314"/>
        <v/>
      </c>
      <c r="AU447" s="475" t="str">
        <f t="shared" si="315"/>
        <v/>
      </c>
      <c r="AV447" s="475" t="str">
        <f t="shared" si="316"/>
        <v/>
      </c>
      <c r="AW447" s="473">
        <f t="shared" si="317"/>
        <v>0</v>
      </c>
      <c r="AX447" s="473" t="str">
        <f>IF(AND($Z447="b",OR($AA447="a",$AA447="b"),Inventory!$I203="",$AE447&lt;(65000/12000)),"x",IF(AND($Z447="b",OR($AA447="a",$AA447="b"),Inventory!$I203&lt;&gt;"",$AE447&lt;(65000/12000)),VLOOKUP(Inventory!$I454,$V$4:$W$5,2,FALSE),"x"))</f>
        <v>x</v>
      </c>
      <c r="AY447" s="476" t="str">
        <f t="shared" si="318"/>
        <v>aaa0</v>
      </c>
      <c r="AZ447" s="477" t="str">
        <f t="shared" si="327"/>
        <v>No</v>
      </c>
      <c r="BA447" s="759" t="str">
        <f t="shared" si="328"/>
        <v>No</v>
      </c>
      <c r="BB447" s="477">
        <f>IF($Z447="c",Inventory!$AB203,Inventory!$K203)</f>
        <v>0</v>
      </c>
      <c r="BC447" s="478">
        <f>IF(AND($Z447="b",Inventory!$N203="Btu/hr"),Inventory!$M203,IF(AND($Z447="b",Inventory!$N203="Tons"),Inventory!$M203*12000,IF(AND($Z447&lt;&gt;"b",Inventory!$AK203="Btu/hr"),Inventory!$AD203,IF(AND($Z447&lt;&gt;"b",Inventory!$AK203="Tons"),Inventory!$AD203*12000,0))))</f>
        <v>0</v>
      </c>
      <c r="BD447" s="478">
        <f t="shared" si="325"/>
        <v>0</v>
      </c>
      <c r="BE447" s="479">
        <f t="shared" ref="BE447:BE503" si="337">IF(OR(AND($AZ447="No",$BA447="No"),$BC447=0),0,IF(AND($Z447&lt;&gt;"b",$AZ447="Yes",$BB447="Yes"),13.8-(0.3*$BD447/1000),IF(AND($Z447&lt;&gt;"b",$AZ447="Yes",$BB447="No"),10.9-(0.213*$BD447/1000),IF(AND($Z447="b",$AZ447="Yes"),12.5-(0.213*$BD447/1000),IF(AND($Z447&lt;&gt;"b",$BA447="Yes",$BB447="Yes"),14-(0.3*$BD447/1000),IF(AND($Z447&lt;&gt;"b",$BA447="Yes",$BB447="No"),10.8-(0.213*$BD447/1000),IF(AND($Z447="b",$BA447="Yes"),12.3-(0.213*$BD447/1000),0)))))))</f>
        <v>0</v>
      </c>
      <c r="BF447" s="477" t="s">
        <v>50</v>
      </c>
      <c r="BG447" s="479">
        <f t="shared" si="319"/>
        <v>0</v>
      </c>
      <c r="BH447" s="477" t="s">
        <v>46</v>
      </c>
      <c r="BI447" s="760">
        <f>IF(AND($Z447="b",Inventory!$P203="Btu/hr"),Inventory!$O203,IF(AND($Z447="b",Inventory!$P203="Tons"),Inventory!$O203*12000,IF(AND($Z447&lt;&gt;"b",Inventory!$AM203="Btu/hr"),Inventory!$AL203,IF(AND($Z447&lt;&gt;"b",Inventory!$AM203="Tons"),Inventory!$AL203*12000,0))))</f>
        <v>0</v>
      </c>
      <c r="BJ447" s="760">
        <f t="shared" si="326"/>
        <v>0</v>
      </c>
      <c r="BK447" s="598">
        <f t="shared" si="329"/>
        <v>0</v>
      </c>
      <c r="BL447" s="759" t="s">
        <v>567</v>
      </c>
      <c r="BM447" s="477" t="str">
        <f t="shared" si="320"/>
        <v>No</v>
      </c>
      <c r="BN447" s="477" t="str">
        <f>IF(OR(Inventory!$H203="",$BM447="No"),"-",Inventory!$H203)</f>
        <v>-</v>
      </c>
      <c r="BO447" s="477" t="str">
        <f>IFERROR(VLOOKUP(BN447,'Early Retirement'!$B$6:$C$33,2,FALSE),"-")</f>
        <v>-</v>
      </c>
      <c r="BP447" s="477" t="str">
        <f>IF(Inventory!$J203="Centrifugal","Yes","No")</f>
        <v>No</v>
      </c>
      <c r="BQ447" s="477">
        <f t="shared" si="321"/>
        <v>0</v>
      </c>
      <c r="BR447" s="477" t="str">
        <f t="shared" si="299"/>
        <v>-</v>
      </c>
      <c r="BS447" s="479">
        <f>IFERROR(INDEX('Early Retirement'!$C$4:$AC$33,$BO447,$BR447),0)</f>
        <v>0</v>
      </c>
      <c r="BT447" s="477">
        <f>IFERROR(HLOOKUP($BR447,'Early Retirement'!$D$4:$AC$5,2,FALSE),0)</f>
        <v>0</v>
      </c>
      <c r="BU447" s="761">
        <f>IFERROR(INDEX('Early Retirement'!$AE$4:$BE$33,$BO447,$BR447),0)</f>
        <v>0</v>
      </c>
      <c r="BV447" s="759">
        <f>IFERROR(HLOOKUP($BR447,'Early Retirement'!$AF$4:$BE$5,2,FALSE),0)</f>
        <v>0</v>
      </c>
      <c r="BW447" s="479">
        <f t="shared" si="322"/>
        <v>0</v>
      </c>
      <c r="BX447" s="761">
        <f t="shared" si="330"/>
        <v>0</v>
      </c>
      <c r="BY447" s="477" t="s">
        <v>46</v>
      </c>
      <c r="BZ447" s="598">
        <f>IFERROR(INDEX('Early Retirement'!$BG$4:$CG$33,$BO447,$BR447),0)</f>
        <v>0</v>
      </c>
      <c r="CA447" s="759">
        <f>IFERROR(HLOOKUP($BR447,'Early Retirement'!$BH$4:$CH$5,2,FALSE),0)</f>
        <v>0</v>
      </c>
      <c r="CB447" s="598">
        <f t="shared" si="331"/>
        <v>0</v>
      </c>
      <c r="CC447" s="759" t="s">
        <v>567</v>
      </c>
      <c r="CD447" s="477" t="str">
        <f t="shared" si="323"/>
        <v>Yes</v>
      </c>
      <c r="CE447" s="479">
        <f t="shared" si="332"/>
        <v>0</v>
      </c>
      <c r="CF447" s="761">
        <f t="shared" si="333"/>
        <v>0</v>
      </c>
      <c r="CG447" s="759" t="s">
        <v>46</v>
      </c>
      <c r="CH447" s="598">
        <f t="shared" ref="CH447:CH503" si="338">IF($CD447="Yes",IFERROR(VLOOKUP($AY447,$CP:$DA,11,FALSE),0),0)</f>
        <v>0</v>
      </c>
      <c r="CI447" s="759" t="s">
        <v>567</v>
      </c>
      <c r="CJ447" s="480">
        <f t="shared" si="324"/>
        <v>0</v>
      </c>
      <c r="CK447" s="583">
        <f t="shared" si="334"/>
        <v>0</v>
      </c>
      <c r="CL447" s="596" t="s">
        <v>46</v>
      </c>
      <c r="CM447" s="581">
        <f t="shared" si="335"/>
        <v>0</v>
      </c>
      <c r="CN447" s="762" t="s">
        <v>567</v>
      </c>
      <c r="CW447" s="630"/>
      <c r="CX447" s="630"/>
      <c r="CY447" s="630"/>
      <c r="CZ447" s="630"/>
      <c r="DA447" s="630"/>
    </row>
    <row r="448" spans="2:105" s="78" customFormat="1" ht="15" customHeight="1" x14ac:dyDescent="0.25">
      <c r="B448" s="77"/>
      <c r="E448" s="77"/>
      <c r="H448" s="77"/>
      <c r="Y448" s="90">
        <v>195</v>
      </c>
      <c r="Z448" s="559" t="str">
        <f>IF(Inventory!$C204="","",VLOOKUP(Inventory!$C204,$B$7:$C$9,2,FALSE))</f>
        <v/>
      </c>
      <c r="AA448" s="559" t="str">
        <f>IF($Z448="","",IF(AND($Z448="b",Inventory!$G204=""),"",IF(AND($Z448="b",Inventory!$G204&lt;&gt;""),VLOOKUP(Inventory!$G204,$E$3:$F$10,2,FALSE),IF(AND($Z448="a",Inventory!$Z204=""),"",IF(AND($Z448="a",Inventory!$Z204&lt;&gt;""),VLOOKUP(Inventory!$Z204,$E$3:$F$10,2,FALSE),IF(AND($Z448="c",Inventory!$Z204=""),"",IF(AND($Z448="c",Inventory!$Z204&lt;&gt;""),VLOOKUP(Inventory!$Z204,$E$3:$F$10,2,FALSE),"")))))))</f>
        <v/>
      </c>
      <c r="AB448" s="559" t="str">
        <f>IF($Z448="","a",IF(AND($Z448="b",Inventory!$J204=""),"a",IF(AND($Z448="b",Inventory!$J204&lt;&gt;""),VLOOKUP(Inventory!$J204,$H$4:$I$6,2,FALSE),IF(AND($Z448="a",Inventory!$AA204=""),"a",IF(AND($Z448="a",Inventory!$AA204&lt;&gt;""),VLOOKUP(Inventory!$AA204,$H$4:$I$6,2,FALSE),IF(AND($Z448="c",Inventory!$AA204=""),"a",IF(AND($Z448="c",Inventory!$AA204&lt;&gt;""),VLOOKUP(Inventory!$AA204,$H$4:$I$6,2,FALSE),"a")))))))</f>
        <v>a</v>
      </c>
      <c r="AC448" s="559" t="str">
        <f t="shared" si="300"/>
        <v>a</v>
      </c>
      <c r="AD448" s="473" t="str">
        <f>IF($Z448="","a",IF(AND($Z448="b",Inventory!$L204=""),"a",IF(AND($Z448="b",Inventory!$L204&lt;&gt;""),VLOOKUP(Inventory!$L204,$N$4:$O$5,2,FALSE),IF(AND($Z448="a",Inventory!$AC204=""),"a",IF(AND($Z448="a",Inventory!$AC204&lt;&gt;""),VLOOKUP(Inventory!$AC204,$N$4:$O$5,2,FALSE),IF(AND($Z448="c",Inventory!$AC204=""),"a",IF(AND($Z448="c",Inventory!$AC204&lt;&gt;""),VLOOKUP(Inventory!$AC204,$N$4:$O$5,2,FALSE),"a")))))))</f>
        <v>a</v>
      </c>
      <c r="AE448" s="474">
        <f>IF(OR(Inventory!C204="New Construction",Inventory!C204="Replace-on-Burnout"),Inventory!AF204,IF(Inventory!C204="Early Retirement",MIN(Inventory!AE204,Inventory!AF204),0))</f>
        <v>0</v>
      </c>
      <c r="AF448" s="475" t="str">
        <f t="shared" si="301"/>
        <v/>
      </c>
      <c r="AG448" s="475" t="str">
        <f t="shared" si="302"/>
        <v/>
      </c>
      <c r="AH448" s="475" t="str">
        <f t="shared" si="303"/>
        <v/>
      </c>
      <c r="AI448" s="475" t="str">
        <f t="shared" si="304"/>
        <v/>
      </c>
      <c r="AJ448" s="475" t="str">
        <f t="shared" si="305"/>
        <v/>
      </c>
      <c r="AK448" s="475" t="str">
        <f t="shared" si="306"/>
        <v/>
      </c>
      <c r="AL448" s="475" t="str">
        <f t="shared" si="307"/>
        <v/>
      </c>
      <c r="AM448" s="475" t="str">
        <f t="shared" si="308"/>
        <v/>
      </c>
      <c r="AN448" s="475" t="str">
        <f t="shared" si="309"/>
        <v/>
      </c>
      <c r="AO448" s="475" t="str">
        <f t="shared" si="310"/>
        <v/>
      </c>
      <c r="AP448" s="475" t="str">
        <f t="shared" si="311"/>
        <v/>
      </c>
      <c r="AQ448" s="475" t="str">
        <f t="shared" si="312"/>
        <v/>
      </c>
      <c r="AR448" s="475" t="str">
        <f t="shared" si="313"/>
        <v/>
      </c>
      <c r="AS448" s="475" t="str">
        <f t="shared" si="336"/>
        <v/>
      </c>
      <c r="AT448" s="475" t="str">
        <f t="shared" si="314"/>
        <v/>
      </c>
      <c r="AU448" s="475" t="str">
        <f t="shared" si="315"/>
        <v/>
      </c>
      <c r="AV448" s="475" t="str">
        <f t="shared" si="316"/>
        <v/>
      </c>
      <c r="AW448" s="473">
        <f t="shared" si="317"/>
        <v>0</v>
      </c>
      <c r="AX448" s="473" t="str">
        <f>IF(AND($Z448="b",OR($AA448="a",$AA448="b"),Inventory!$I204="",$AE448&lt;(65000/12000)),"x",IF(AND($Z448="b",OR($AA448="a",$AA448="b"),Inventory!$I204&lt;&gt;"",$AE448&lt;(65000/12000)),VLOOKUP(Inventory!$I455,$V$4:$W$5,2,FALSE),"x"))</f>
        <v>x</v>
      </c>
      <c r="AY448" s="476" t="str">
        <f t="shared" si="318"/>
        <v>aaa0</v>
      </c>
      <c r="AZ448" s="477" t="str">
        <f t="shared" si="327"/>
        <v>No</v>
      </c>
      <c r="BA448" s="759" t="str">
        <f t="shared" si="328"/>
        <v>No</v>
      </c>
      <c r="BB448" s="477">
        <f>IF($Z448="c",Inventory!$AB204,Inventory!$K204)</f>
        <v>0</v>
      </c>
      <c r="BC448" s="478">
        <f>IF(AND($Z448="b",Inventory!$N204="Btu/hr"),Inventory!$M204,IF(AND($Z448="b",Inventory!$N204="Tons"),Inventory!$M204*12000,IF(AND($Z448&lt;&gt;"b",Inventory!$AK204="Btu/hr"),Inventory!$AD204,IF(AND($Z448&lt;&gt;"b",Inventory!$AK204="Tons"),Inventory!$AD204*12000,0))))</f>
        <v>0</v>
      </c>
      <c r="BD448" s="478">
        <f t="shared" si="325"/>
        <v>0</v>
      </c>
      <c r="BE448" s="479">
        <f t="shared" si="337"/>
        <v>0</v>
      </c>
      <c r="BF448" s="477" t="s">
        <v>50</v>
      </c>
      <c r="BG448" s="479">
        <f t="shared" si="319"/>
        <v>0</v>
      </c>
      <c r="BH448" s="477" t="s">
        <v>46</v>
      </c>
      <c r="BI448" s="760">
        <f>IF(AND($Z448="b",Inventory!$P204="Btu/hr"),Inventory!$O204,IF(AND($Z448="b",Inventory!$P204="Tons"),Inventory!$O204*12000,IF(AND($Z448&lt;&gt;"b",Inventory!$AM204="Btu/hr"),Inventory!$AL204,IF(AND($Z448&lt;&gt;"b",Inventory!$AM204="Tons"),Inventory!$AL204*12000,0))))</f>
        <v>0</v>
      </c>
      <c r="BJ448" s="760">
        <f t="shared" si="326"/>
        <v>0</v>
      </c>
      <c r="BK448" s="598">
        <f t="shared" si="329"/>
        <v>0</v>
      </c>
      <c r="BL448" s="759" t="s">
        <v>567</v>
      </c>
      <c r="BM448" s="477" t="str">
        <f t="shared" si="320"/>
        <v>No</v>
      </c>
      <c r="BN448" s="477" t="str">
        <f>IF(OR(Inventory!$H204="",$BM448="No"),"-",Inventory!$H204)</f>
        <v>-</v>
      </c>
      <c r="BO448" s="477" t="str">
        <f>IFERROR(VLOOKUP(BN448,'Early Retirement'!$B$6:$C$33,2,FALSE),"-")</f>
        <v>-</v>
      </c>
      <c r="BP448" s="477" t="str">
        <f>IF(Inventory!$J204="Centrifugal","Yes","No")</f>
        <v>No</v>
      </c>
      <c r="BQ448" s="477">
        <f t="shared" si="321"/>
        <v>0</v>
      </c>
      <c r="BR448" s="477" t="str">
        <f t="shared" si="299"/>
        <v>-</v>
      </c>
      <c r="BS448" s="479">
        <f>IFERROR(INDEX('Early Retirement'!$C$4:$AC$33,$BO448,$BR448),0)</f>
        <v>0</v>
      </c>
      <c r="BT448" s="477">
        <f>IFERROR(HLOOKUP($BR448,'Early Retirement'!$D$4:$AC$5,2,FALSE),0)</f>
        <v>0</v>
      </c>
      <c r="BU448" s="761">
        <f>IFERROR(INDEX('Early Retirement'!$AE$4:$BE$33,$BO448,$BR448),0)</f>
        <v>0</v>
      </c>
      <c r="BV448" s="759">
        <f>IFERROR(HLOOKUP($BR448,'Early Retirement'!$AF$4:$BE$5,2,FALSE),0)</f>
        <v>0</v>
      </c>
      <c r="BW448" s="479">
        <f t="shared" si="322"/>
        <v>0</v>
      </c>
      <c r="BX448" s="761">
        <f t="shared" si="330"/>
        <v>0</v>
      </c>
      <c r="BY448" s="477" t="s">
        <v>46</v>
      </c>
      <c r="BZ448" s="598">
        <f>IFERROR(INDEX('Early Retirement'!$BG$4:$CG$33,$BO448,$BR448),0)</f>
        <v>0</v>
      </c>
      <c r="CA448" s="759">
        <f>IFERROR(HLOOKUP($BR448,'Early Retirement'!$BH$4:$CH$5,2,FALSE),0)</f>
        <v>0</v>
      </c>
      <c r="CB448" s="598">
        <f t="shared" si="331"/>
        <v>0</v>
      </c>
      <c r="CC448" s="759" t="s">
        <v>567</v>
      </c>
      <c r="CD448" s="477" t="str">
        <f t="shared" si="323"/>
        <v>Yes</v>
      </c>
      <c r="CE448" s="479">
        <f t="shared" si="332"/>
        <v>0</v>
      </c>
      <c r="CF448" s="761">
        <f t="shared" si="333"/>
        <v>0</v>
      </c>
      <c r="CG448" s="759" t="s">
        <v>46</v>
      </c>
      <c r="CH448" s="598">
        <f t="shared" si="338"/>
        <v>0</v>
      </c>
      <c r="CI448" s="759" t="s">
        <v>567</v>
      </c>
      <c r="CJ448" s="480">
        <f t="shared" si="324"/>
        <v>0</v>
      </c>
      <c r="CK448" s="583">
        <f t="shared" si="334"/>
        <v>0</v>
      </c>
      <c r="CL448" s="596" t="s">
        <v>46</v>
      </c>
      <c r="CM448" s="581">
        <f t="shared" si="335"/>
        <v>0</v>
      </c>
      <c r="CN448" s="762" t="s">
        <v>567</v>
      </c>
      <c r="CW448" s="630"/>
      <c r="CX448" s="630"/>
      <c r="CY448" s="630"/>
      <c r="CZ448" s="630"/>
      <c r="DA448" s="630"/>
    </row>
    <row r="449" spans="2:127" s="78" customFormat="1" ht="15" customHeight="1" x14ac:dyDescent="0.25">
      <c r="B449" s="77"/>
      <c r="E449" s="77"/>
      <c r="H449" s="77"/>
      <c r="Y449" s="90">
        <v>196</v>
      </c>
      <c r="Z449" s="559" t="str">
        <f>IF(Inventory!$C205="","",VLOOKUP(Inventory!$C205,$B$7:$C$9,2,FALSE))</f>
        <v/>
      </c>
      <c r="AA449" s="559" t="str">
        <f>IF($Z449="","",IF(AND($Z449="b",Inventory!$G205=""),"",IF(AND($Z449="b",Inventory!$G205&lt;&gt;""),VLOOKUP(Inventory!$G205,$E$3:$F$10,2,FALSE),IF(AND($Z449="a",Inventory!$Z205=""),"",IF(AND($Z449="a",Inventory!$Z205&lt;&gt;""),VLOOKUP(Inventory!$Z205,$E$3:$F$10,2,FALSE),IF(AND($Z449="c",Inventory!$Z205=""),"",IF(AND($Z449="c",Inventory!$Z205&lt;&gt;""),VLOOKUP(Inventory!$Z205,$E$3:$F$10,2,FALSE),"")))))))</f>
        <v/>
      </c>
      <c r="AB449" s="559" t="str">
        <f>IF($Z449="","a",IF(AND($Z449="b",Inventory!$J205=""),"a",IF(AND($Z449="b",Inventory!$J205&lt;&gt;""),VLOOKUP(Inventory!$J205,$H$4:$I$6,2,FALSE),IF(AND($Z449="a",Inventory!$AA205=""),"a",IF(AND($Z449="a",Inventory!$AA205&lt;&gt;""),VLOOKUP(Inventory!$AA205,$H$4:$I$6,2,FALSE),IF(AND($Z449="c",Inventory!$AA205=""),"a",IF(AND($Z449="c",Inventory!$AA205&lt;&gt;""),VLOOKUP(Inventory!$AA205,$H$4:$I$6,2,FALSE),"a")))))))</f>
        <v>a</v>
      </c>
      <c r="AC449" s="559" t="str">
        <f t="shared" si="300"/>
        <v>a</v>
      </c>
      <c r="AD449" s="473" t="str">
        <f>IF($Z449="","a",IF(AND($Z449="b",Inventory!$L205=""),"a",IF(AND($Z449="b",Inventory!$L205&lt;&gt;""),VLOOKUP(Inventory!$L205,$N$4:$O$5,2,FALSE),IF(AND($Z449="a",Inventory!$AC205=""),"a",IF(AND($Z449="a",Inventory!$AC205&lt;&gt;""),VLOOKUP(Inventory!$AC205,$N$4:$O$5,2,FALSE),IF(AND($Z449="c",Inventory!$AC205=""),"a",IF(AND($Z449="c",Inventory!$AC205&lt;&gt;""),VLOOKUP(Inventory!$AC205,$N$4:$O$5,2,FALSE),"a")))))))</f>
        <v>a</v>
      </c>
      <c r="AE449" s="474">
        <f>IF(OR(Inventory!C205="New Construction",Inventory!C205="Replace-on-Burnout"),Inventory!AF205,IF(Inventory!C205="Early Retirement",MIN(Inventory!AE205,Inventory!AF205),0))</f>
        <v>0</v>
      </c>
      <c r="AF449" s="475" t="str">
        <f t="shared" si="301"/>
        <v/>
      </c>
      <c r="AG449" s="475" t="str">
        <f t="shared" si="302"/>
        <v/>
      </c>
      <c r="AH449" s="475" t="str">
        <f t="shared" si="303"/>
        <v/>
      </c>
      <c r="AI449" s="475" t="str">
        <f t="shared" si="304"/>
        <v/>
      </c>
      <c r="AJ449" s="475" t="str">
        <f t="shared" si="305"/>
        <v/>
      </c>
      <c r="AK449" s="475" t="str">
        <f t="shared" si="306"/>
        <v/>
      </c>
      <c r="AL449" s="475" t="str">
        <f t="shared" si="307"/>
        <v/>
      </c>
      <c r="AM449" s="475" t="str">
        <f t="shared" si="308"/>
        <v/>
      </c>
      <c r="AN449" s="475" t="str">
        <f t="shared" si="309"/>
        <v/>
      </c>
      <c r="AO449" s="475" t="str">
        <f t="shared" si="310"/>
        <v/>
      </c>
      <c r="AP449" s="475" t="str">
        <f t="shared" si="311"/>
        <v/>
      </c>
      <c r="AQ449" s="475" t="str">
        <f t="shared" si="312"/>
        <v/>
      </c>
      <c r="AR449" s="475" t="str">
        <f t="shared" si="313"/>
        <v/>
      </c>
      <c r="AS449" s="475" t="str">
        <f t="shared" si="336"/>
        <v/>
      </c>
      <c r="AT449" s="475" t="str">
        <f t="shared" si="314"/>
        <v/>
      </c>
      <c r="AU449" s="475" t="str">
        <f t="shared" si="315"/>
        <v/>
      </c>
      <c r="AV449" s="475" t="str">
        <f t="shared" si="316"/>
        <v/>
      </c>
      <c r="AW449" s="473">
        <f t="shared" si="317"/>
        <v>0</v>
      </c>
      <c r="AX449" s="473" t="str">
        <f>IF(AND($Z449="b",OR($AA449="a",$AA449="b"),Inventory!$I205="",$AE449&lt;(65000/12000)),"x",IF(AND($Z449="b",OR($AA449="a",$AA449="b"),Inventory!$I205&lt;&gt;"",$AE449&lt;(65000/12000)),VLOOKUP(Inventory!$I456,$V$4:$W$5,2,FALSE),"x"))</f>
        <v>x</v>
      </c>
      <c r="AY449" s="476" t="str">
        <f t="shared" si="318"/>
        <v>aaa0</v>
      </c>
      <c r="AZ449" s="477" t="str">
        <f t="shared" si="327"/>
        <v>No</v>
      </c>
      <c r="BA449" s="759" t="str">
        <f t="shared" si="328"/>
        <v>No</v>
      </c>
      <c r="BB449" s="477">
        <f>IF($Z449="c",Inventory!$AB205,Inventory!$K205)</f>
        <v>0</v>
      </c>
      <c r="BC449" s="478">
        <f>IF(AND($Z449="b",Inventory!$N205="Btu/hr"),Inventory!$M205,IF(AND($Z449="b",Inventory!$N205="Tons"),Inventory!$M205*12000,IF(AND($Z449&lt;&gt;"b",Inventory!$AK205="Btu/hr"),Inventory!$AD205,IF(AND($Z449&lt;&gt;"b",Inventory!$AK205="Tons"),Inventory!$AD205*12000,0))))</f>
        <v>0</v>
      </c>
      <c r="BD449" s="478">
        <f t="shared" si="325"/>
        <v>0</v>
      </c>
      <c r="BE449" s="479">
        <f t="shared" si="337"/>
        <v>0</v>
      </c>
      <c r="BF449" s="477" t="s">
        <v>50</v>
      </c>
      <c r="BG449" s="479">
        <f t="shared" si="319"/>
        <v>0</v>
      </c>
      <c r="BH449" s="477" t="s">
        <v>46</v>
      </c>
      <c r="BI449" s="760">
        <f>IF(AND($Z449="b",Inventory!$P205="Btu/hr"),Inventory!$O205,IF(AND($Z449="b",Inventory!$P205="Tons"),Inventory!$O205*12000,IF(AND($Z449&lt;&gt;"b",Inventory!$AM205="Btu/hr"),Inventory!$AL205,IF(AND($Z449&lt;&gt;"b",Inventory!$AM205="Tons"),Inventory!$AL205*12000,0))))</f>
        <v>0</v>
      </c>
      <c r="BJ449" s="760">
        <f t="shared" si="326"/>
        <v>0</v>
      </c>
      <c r="BK449" s="598">
        <f t="shared" si="329"/>
        <v>0</v>
      </c>
      <c r="BL449" s="759" t="s">
        <v>567</v>
      </c>
      <c r="BM449" s="477" t="str">
        <f t="shared" si="320"/>
        <v>No</v>
      </c>
      <c r="BN449" s="477" t="str">
        <f>IF(OR(Inventory!$H205="",$BM449="No"),"-",Inventory!$H205)</f>
        <v>-</v>
      </c>
      <c r="BO449" s="477" t="str">
        <f>IFERROR(VLOOKUP(BN449,'Early Retirement'!$B$6:$C$33,2,FALSE),"-")</f>
        <v>-</v>
      </c>
      <c r="BP449" s="477" t="str">
        <f>IF(Inventory!$J205="Centrifugal","Yes","No")</f>
        <v>No</v>
      </c>
      <c r="BQ449" s="477">
        <f t="shared" si="321"/>
        <v>0</v>
      </c>
      <c r="BR449" s="477" t="str">
        <f t="shared" si="299"/>
        <v>-</v>
      </c>
      <c r="BS449" s="479">
        <f>IFERROR(INDEX('Early Retirement'!$C$4:$AC$33,$BO449,$BR449),0)</f>
        <v>0</v>
      </c>
      <c r="BT449" s="477">
        <f>IFERROR(HLOOKUP($BR449,'Early Retirement'!$D$4:$AC$5,2,FALSE),0)</f>
        <v>0</v>
      </c>
      <c r="BU449" s="761">
        <f>IFERROR(INDEX('Early Retirement'!$AE$4:$BE$33,$BO449,$BR449),0)</f>
        <v>0</v>
      </c>
      <c r="BV449" s="759">
        <f>IFERROR(HLOOKUP($BR449,'Early Retirement'!$AF$4:$BE$5,2,FALSE),0)</f>
        <v>0</v>
      </c>
      <c r="BW449" s="479">
        <f t="shared" si="322"/>
        <v>0</v>
      </c>
      <c r="BX449" s="761">
        <f t="shared" si="330"/>
        <v>0</v>
      </c>
      <c r="BY449" s="477" t="s">
        <v>46</v>
      </c>
      <c r="BZ449" s="598">
        <f>IFERROR(INDEX('Early Retirement'!$BG$4:$CG$33,$BO449,$BR449),0)</f>
        <v>0</v>
      </c>
      <c r="CA449" s="759">
        <f>IFERROR(HLOOKUP($BR449,'Early Retirement'!$BH$4:$CH$5,2,FALSE),0)</f>
        <v>0</v>
      </c>
      <c r="CB449" s="598">
        <f t="shared" si="331"/>
        <v>0</v>
      </c>
      <c r="CC449" s="759" t="s">
        <v>567</v>
      </c>
      <c r="CD449" s="477" t="str">
        <f t="shared" si="323"/>
        <v>Yes</v>
      </c>
      <c r="CE449" s="479">
        <f t="shared" si="332"/>
        <v>0</v>
      </c>
      <c r="CF449" s="761">
        <f t="shared" si="333"/>
        <v>0</v>
      </c>
      <c r="CG449" s="759" t="s">
        <v>46</v>
      </c>
      <c r="CH449" s="598">
        <f t="shared" si="338"/>
        <v>0</v>
      </c>
      <c r="CI449" s="759" t="s">
        <v>567</v>
      </c>
      <c r="CJ449" s="480">
        <f t="shared" si="324"/>
        <v>0</v>
      </c>
      <c r="CK449" s="583">
        <f t="shared" si="334"/>
        <v>0</v>
      </c>
      <c r="CL449" s="596" t="s">
        <v>46</v>
      </c>
      <c r="CM449" s="581">
        <f t="shared" si="335"/>
        <v>0</v>
      </c>
      <c r="CN449" s="762" t="s">
        <v>567</v>
      </c>
      <c r="CW449" s="630"/>
      <c r="CX449" s="630"/>
      <c r="CY449" s="630"/>
      <c r="CZ449" s="630"/>
      <c r="DA449" s="630"/>
    </row>
    <row r="450" spans="2:127" s="78" customFormat="1" ht="15" customHeight="1" x14ac:dyDescent="0.25">
      <c r="B450" s="77"/>
      <c r="E450" s="77"/>
      <c r="H450" s="77"/>
      <c r="Y450" s="90">
        <v>197</v>
      </c>
      <c r="Z450" s="559" t="str">
        <f>IF(Inventory!$C206="","",VLOOKUP(Inventory!$C206,$B$7:$C$9,2,FALSE))</f>
        <v/>
      </c>
      <c r="AA450" s="559" t="str">
        <f>IF($Z450="","",IF(AND($Z450="b",Inventory!$G206=""),"",IF(AND($Z450="b",Inventory!$G206&lt;&gt;""),VLOOKUP(Inventory!$G206,$E$3:$F$10,2,FALSE),IF(AND($Z450="a",Inventory!$Z206=""),"",IF(AND($Z450="a",Inventory!$Z206&lt;&gt;""),VLOOKUP(Inventory!$Z206,$E$3:$F$10,2,FALSE),IF(AND($Z450="c",Inventory!$Z206=""),"",IF(AND($Z450="c",Inventory!$Z206&lt;&gt;""),VLOOKUP(Inventory!$Z206,$E$3:$F$10,2,FALSE),"")))))))</f>
        <v/>
      </c>
      <c r="AB450" s="559" t="str">
        <f>IF($Z450="","a",IF(AND($Z450="b",Inventory!$J206=""),"a",IF(AND($Z450="b",Inventory!$J206&lt;&gt;""),VLOOKUP(Inventory!$J206,$H$4:$I$6,2,FALSE),IF(AND($Z450="a",Inventory!$AA206=""),"a",IF(AND($Z450="a",Inventory!$AA206&lt;&gt;""),VLOOKUP(Inventory!$AA206,$H$4:$I$6,2,FALSE),IF(AND($Z450="c",Inventory!$AA206=""),"a",IF(AND($Z450="c",Inventory!$AA206&lt;&gt;""),VLOOKUP(Inventory!$AA206,$H$4:$I$6,2,FALSE),"a")))))))</f>
        <v>a</v>
      </c>
      <c r="AC450" s="559" t="str">
        <f t="shared" si="300"/>
        <v>a</v>
      </c>
      <c r="AD450" s="473" t="str">
        <f>IF($Z450="","a",IF(AND($Z450="b",Inventory!$L206=""),"a",IF(AND($Z450="b",Inventory!$L206&lt;&gt;""),VLOOKUP(Inventory!$L206,$N$4:$O$5,2,FALSE),IF(AND($Z450="a",Inventory!$AC206=""),"a",IF(AND($Z450="a",Inventory!$AC206&lt;&gt;""),VLOOKUP(Inventory!$AC206,$N$4:$O$5,2,FALSE),IF(AND($Z450="c",Inventory!$AC206=""),"a",IF(AND($Z450="c",Inventory!$AC206&lt;&gt;""),VLOOKUP(Inventory!$AC206,$N$4:$O$5,2,FALSE),"a")))))))</f>
        <v>a</v>
      </c>
      <c r="AE450" s="474">
        <f>IF(OR(Inventory!C206="New Construction",Inventory!C206="Replace-on-Burnout"),Inventory!AF206,IF(Inventory!C206="Early Retirement",MIN(Inventory!AE206,Inventory!AF206),0))</f>
        <v>0</v>
      </c>
      <c r="AF450" s="475" t="str">
        <f t="shared" si="301"/>
        <v/>
      </c>
      <c r="AG450" s="475" t="str">
        <f t="shared" si="302"/>
        <v/>
      </c>
      <c r="AH450" s="475" t="str">
        <f t="shared" si="303"/>
        <v/>
      </c>
      <c r="AI450" s="475" t="str">
        <f t="shared" si="304"/>
        <v/>
      </c>
      <c r="AJ450" s="475" t="str">
        <f t="shared" si="305"/>
        <v/>
      </c>
      <c r="AK450" s="475" t="str">
        <f t="shared" si="306"/>
        <v/>
      </c>
      <c r="AL450" s="475" t="str">
        <f t="shared" si="307"/>
        <v/>
      </c>
      <c r="AM450" s="475" t="str">
        <f t="shared" si="308"/>
        <v/>
      </c>
      <c r="AN450" s="475" t="str">
        <f t="shared" si="309"/>
        <v/>
      </c>
      <c r="AO450" s="475" t="str">
        <f t="shared" si="310"/>
        <v/>
      </c>
      <c r="AP450" s="475" t="str">
        <f t="shared" si="311"/>
        <v/>
      </c>
      <c r="AQ450" s="475" t="str">
        <f t="shared" si="312"/>
        <v/>
      </c>
      <c r="AR450" s="475" t="str">
        <f t="shared" si="313"/>
        <v/>
      </c>
      <c r="AS450" s="475" t="str">
        <f t="shared" si="336"/>
        <v/>
      </c>
      <c r="AT450" s="475" t="str">
        <f t="shared" si="314"/>
        <v/>
      </c>
      <c r="AU450" s="475" t="str">
        <f t="shared" si="315"/>
        <v/>
      </c>
      <c r="AV450" s="475" t="str">
        <f t="shared" si="316"/>
        <v/>
      </c>
      <c r="AW450" s="473">
        <f t="shared" si="317"/>
        <v>0</v>
      </c>
      <c r="AX450" s="473" t="str">
        <f>IF(AND($Z450="b",OR($AA450="a",$AA450="b"),Inventory!$I206="",$AE450&lt;(65000/12000)),"x",IF(AND($Z450="b",OR($AA450="a",$AA450="b"),Inventory!$I206&lt;&gt;"",$AE450&lt;(65000/12000)),VLOOKUP(Inventory!$I457,$V$4:$W$5,2,FALSE),"x"))</f>
        <v>x</v>
      </c>
      <c r="AY450" s="476" t="str">
        <f t="shared" si="318"/>
        <v>aaa0</v>
      </c>
      <c r="AZ450" s="477" t="str">
        <f t="shared" si="327"/>
        <v>No</v>
      </c>
      <c r="BA450" s="759" t="str">
        <f t="shared" si="328"/>
        <v>No</v>
      </c>
      <c r="BB450" s="477">
        <f>IF($Z450="c",Inventory!$AB206,Inventory!$K206)</f>
        <v>0</v>
      </c>
      <c r="BC450" s="478">
        <f>IF(AND($Z450="b",Inventory!$N206="Btu/hr"),Inventory!$M206,IF(AND($Z450="b",Inventory!$N206="Tons"),Inventory!$M206*12000,IF(AND($Z450&lt;&gt;"b",Inventory!$AK206="Btu/hr"),Inventory!$AD206,IF(AND($Z450&lt;&gt;"b",Inventory!$AK206="Tons"),Inventory!$AD206*12000,0))))</f>
        <v>0</v>
      </c>
      <c r="BD450" s="478">
        <f t="shared" si="325"/>
        <v>0</v>
      </c>
      <c r="BE450" s="479">
        <f t="shared" si="337"/>
        <v>0</v>
      </c>
      <c r="BF450" s="477" t="s">
        <v>50</v>
      </c>
      <c r="BG450" s="479">
        <f t="shared" si="319"/>
        <v>0</v>
      </c>
      <c r="BH450" s="477" t="s">
        <v>46</v>
      </c>
      <c r="BI450" s="760">
        <f>IF(AND($Z450="b",Inventory!$P206="Btu/hr"),Inventory!$O206,IF(AND($Z450="b",Inventory!$P206="Tons"),Inventory!$O206*12000,IF(AND($Z450&lt;&gt;"b",Inventory!$AM206="Btu/hr"),Inventory!$AL206,IF(AND($Z450&lt;&gt;"b",Inventory!$AM206="Tons"),Inventory!$AL206*12000,0))))</f>
        <v>0</v>
      </c>
      <c r="BJ450" s="760">
        <f t="shared" si="326"/>
        <v>0</v>
      </c>
      <c r="BK450" s="598">
        <f t="shared" si="329"/>
        <v>0</v>
      </c>
      <c r="BL450" s="759" t="s">
        <v>567</v>
      </c>
      <c r="BM450" s="477" t="str">
        <f t="shared" si="320"/>
        <v>No</v>
      </c>
      <c r="BN450" s="477" t="str">
        <f>IF(OR(Inventory!$H206="",$BM450="No"),"-",Inventory!$H206)</f>
        <v>-</v>
      </c>
      <c r="BO450" s="477" t="str">
        <f>IFERROR(VLOOKUP(BN450,'Early Retirement'!$B$6:$C$33,2,FALSE),"-")</f>
        <v>-</v>
      </c>
      <c r="BP450" s="477" t="str">
        <f>IF(Inventory!$J206="Centrifugal","Yes","No")</f>
        <v>No</v>
      </c>
      <c r="BQ450" s="477">
        <f t="shared" si="321"/>
        <v>0</v>
      </c>
      <c r="BR450" s="477" t="str">
        <f t="shared" si="299"/>
        <v>-</v>
      </c>
      <c r="BS450" s="479">
        <f>IFERROR(INDEX('Early Retirement'!$C$4:$AC$33,$BO450,$BR450),0)</f>
        <v>0</v>
      </c>
      <c r="BT450" s="477">
        <f>IFERROR(HLOOKUP($BR450,'Early Retirement'!$D$4:$AC$5,2,FALSE),0)</f>
        <v>0</v>
      </c>
      <c r="BU450" s="761">
        <f>IFERROR(INDEX('Early Retirement'!$AE$4:$BE$33,$BO450,$BR450),0)</f>
        <v>0</v>
      </c>
      <c r="BV450" s="759">
        <f>IFERROR(HLOOKUP($BR450,'Early Retirement'!$AF$4:$BE$5,2,FALSE),0)</f>
        <v>0</v>
      </c>
      <c r="BW450" s="479">
        <f t="shared" si="322"/>
        <v>0</v>
      </c>
      <c r="BX450" s="761">
        <f t="shared" si="330"/>
        <v>0</v>
      </c>
      <c r="BY450" s="477" t="s">
        <v>46</v>
      </c>
      <c r="BZ450" s="598">
        <f>IFERROR(INDEX('Early Retirement'!$BG$4:$CG$33,$BO450,$BR450),0)</f>
        <v>0</v>
      </c>
      <c r="CA450" s="759">
        <f>IFERROR(HLOOKUP($BR450,'Early Retirement'!$BH$4:$CH$5,2,FALSE),0)</f>
        <v>0</v>
      </c>
      <c r="CB450" s="598">
        <f t="shared" si="331"/>
        <v>0</v>
      </c>
      <c r="CC450" s="759" t="s">
        <v>567</v>
      </c>
      <c r="CD450" s="477" t="str">
        <f t="shared" si="323"/>
        <v>Yes</v>
      </c>
      <c r="CE450" s="479">
        <f t="shared" si="332"/>
        <v>0</v>
      </c>
      <c r="CF450" s="761">
        <f t="shared" si="333"/>
        <v>0</v>
      </c>
      <c r="CG450" s="759" t="s">
        <v>46</v>
      </c>
      <c r="CH450" s="598">
        <f t="shared" si="338"/>
        <v>0</v>
      </c>
      <c r="CI450" s="759" t="s">
        <v>567</v>
      </c>
      <c r="CJ450" s="480">
        <f t="shared" si="324"/>
        <v>0</v>
      </c>
      <c r="CK450" s="583">
        <f t="shared" si="334"/>
        <v>0</v>
      </c>
      <c r="CL450" s="596" t="s">
        <v>46</v>
      </c>
      <c r="CM450" s="581">
        <f t="shared" si="335"/>
        <v>0</v>
      </c>
      <c r="CN450" s="762" t="s">
        <v>567</v>
      </c>
      <c r="CW450" s="630"/>
      <c r="CX450" s="630"/>
      <c r="CY450" s="630"/>
      <c r="CZ450" s="630"/>
      <c r="DA450" s="630"/>
    </row>
    <row r="451" spans="2:127" s="78" customFormat="1" ht="15" customHeight="1" x14ac:dyDescent="0.25">
      <c r="B451" s="77"/>
      <c r="E451" s="77"/>
      <c r="H451" s="77"/>
      <c r="Y451" s="90">
        <v>198</v>
      </c>
      <c r="Z451" s="559" t="str">
        <f>IF(Inventory!$C207="","",VLOOKUP(Inventory!$C207,$B$7:$C$9,2,FALSE))</f>
        <v/>
      </c>
      <c r="AA451" s="559" t="str">
        <f>IF($Z451="","",IF(AND($Z451="b",Inventory!$G207=""),"",IF(AND($Z451="b",Inventory!$G207&lt;&gt;""),VLOOKUP(Inventory!$G207,$E$3:$F$10,2,FALSE),IF(AND($Z451="a",Inventory!$Z207=""),"",IF(AND($Z451="a",Inventory!$Z207&lt;&gt;""),VLOOKUP(Inventory!$Z207,$E$3:$F$10,2,FALSE),IF(AND($Z451="c",Inventory!$Z207=""),"",IF(AND($Z451="c",Inventory!$Z207&lt;&gt;""),VLOOKUP(Inventory!$Z207,$E$3:$F$10,2,FALSE),"")))))))</f>
        <v/>
      </c>
      <c r="AB451" s="559" t="str">
        <f>IF($Z451="","a",IF(AND($Z451="b",Inventory!$J207=""),"a",IF(AND($Z451="b",Inventory!$J207&lt;&gt;""),VLOOKUP(Inventory!$J207,$H$4:$I$6,2,FALSE),IF(AND($Z451="a",Inventory!$AA207=""),"a",IF(AND($Z451="a",Inventory!$AA207&lt;&gt;""),VLOOKUP(Inventory!$AA207,$H$4:$I$6,2,FALSE),IF(AND($Z451="c",Inventory!$AA207=""),"a",IF(AND($Z451="c",Inventory!$AA207&lt;&gt;""),VLOOKUP(Inventory!$AA207,$H$4:$I$6,2,FALSE),"a")))))))</f>
        <v>a</v>
      </c>
      <c r="AC451" s="559" t="str">
        <f t="shared" si="300"/>
        <v>a</v>
      </c>
      <c r="AD451" s="473" t="str">
        <f>IF($Z451="","a",IF(AND($Z451="b",Inventory!$L207=""),"a",IF(AND($Z451="b",Inventory!$L207&lt;&gt;""),VLOOKUP(Inventory!$L207,$N$4:$O$5,2,FALSE),IF(AND($Z451="a",Inventory!$AC207=""),"a",IF(AND($Z451="a",Inventory!$AC207&lt;&gt;""),VLOOKUP(Inventory!$AC207,$N$4:$O$5,2,FALSE),IF(AND($Z451="c",Inventory!$AC207=""),"a",IF(AND($Z451="c",Inventory!$AC207&lt;&gt;""),VLOOKUP(Inventory!$AC207,$N$4:$O$5,2,FALSE),"a")))))))</f>
        <v>a</v>
      </c>
      <c r="AE451" s="474">
        <f>IF(OR(Inventory!C207="New Construction",Inventory!C207="Replace-on-Burnout"),Inventory!AF207,IF(Inventory!C207="Early Retirement",MIN(Inventory!AE207,Inventory!AF207),0))</f>
        <v>0</v>
      </c>
      <c r="AF451" s="475" t="str">
        <f t="shared" si="301"/>
        <v/>
      </c>
      <c r="AG451" s="475" t="str">
        <f t="shared" si="302"/>
        <v/>
      </c>
      <c r="AH451" s="475" t="str">
        <f t="shared" si="303"/>
        <v/>
      </c>
      <c r="AI451" s="475" t="str">
        <f t="shared" si="304"/>
        <v/>
      </c>
      <c r="AJ451" s="475" t="str">
        <f t="shared" si="305"/>
        <v/>
      </c>
      <c r="AK451" s="475" t="str">
        <f t="shared" si="306"/>
        <v/>
      </c>
      <c r="AL451" s="475" t="str">
        <f t="shared" si="307"/>
        <v/>
      </c>
      <c r="AM451" s="475" t="str">
        <f t="shared" si="308"/>
        <v/>
      </c>
      <c r="AN451" s="475" t="str">
        <f t="shared" si="309"/>
        <v/>
      </c>
      <c r="AO451" s="475" t="str">
        <f t="shared" si="310"/>
        <v/>
      </c>
      <c r="AP451" s="475" t="str">
        <f t="shared" si="311"/>
        <v/>
      </c>
      <c r="AQ451" s="475" t="str">
        <f t="shared" si="312"/>
        <v/>
      </c>
      <c r="AR451" s="475" t="str">
        <f t="shared" si="313"/>
        <v/>
      </c>
      <c r="AS451" s="475" t="str">
        <f t="shared" si="336"/>
        <v/>
      </c>
      <c r="AT451" s="475" t="str">
        <f t="shared" si="314"/>
        <v/>
      </c>
      <c r="AU451" s="475" t="str">
        <f t="shared" si="315"/>
        <v/>
      </c>
      <c r="AV451" s="475" t="str">
        <f t="shared" si="316"/>
        <v/>
      </c>
      <c r="AW451" s="473">
        <f t="shared" si="317"/>
        <v>0</v>
      </c>
      <c r="AX451" s="473" t="str">
        <f>IF(AND($Z451="b",OR($AA451="a",$AA451="b"),Inventory!$I207="",$AE451&lt;(65000/12000)),"x",IF(AND($Z451="b",OR($AA451="a",$AA451="b"),Inventory!$I207&lt;&gt;"",$AE451&lt;(65000/12000)),VLOOKUP(Inventory!$I458,$V$4:$W$5,2,FALSE),"x"))</f>
        <v>x</v>
      </c>
      <c r="AY451" s="476" t="str">
        <f t="shared" si="318"/>
        <v>aaa0</v>
      </c>
      <c r="AZ451" s="477" t="str">
        <f t="shared" si="327"/>
        <v>No</v>
      </c>
      <c r="BA451" s="759" t="str">
        <f t="shared" si="328"/>
        <v>No</v>
      </c>
      <c r="BB451" s="477">
        <f>IF($Z451="c",Inventory!$AB207,Inventory!$K207)</f>
        <v>0</v>
      </c>
      <c r="BC451" s="478">
        <f>IF(AND($Z451="b",Inventory!$N207="Btu/hr"),Inventory!$M207,IF(AND($Z451="b",Inventory!$N207="Tons"),Inventory!$M207*12000,IF(AND($Z451&lt;&gt;"b",Inventory!$AK207="Btu/hr"),Inventory!$AD207,IF(AND($Z451&lt;&gt;"b",Inventory!$AK207="Tons"),Inventory!$AD207*12000,0))))</f>
        <v>0</v>
      </c>
      <c r="BD451" s="478">
        <f t="shared" si="325"/>
        <v>0</v>
      </c>
      <c r="BE451" s="479">
        <f t="shared" si="337"/>
        <v>0</v>
      </c>
      <c r="BF451" s="477" t="s">
        <v>50</v>
      </c>
      <c r="BG451" s="479">
        <f t="shared" si="319"/>
        <v>0</v>
      </c>
      <c r="BH451" s="477" t="s">
        <v>46</v>
      </c>
      <c r="BI451" s="760">
        <f>IF(AND($Z451="b",Inventory!$P207="Btu/hr"),Inventory!$O207,IF(AND($Z451="b",Inventory!$P207="Tons"),Inventory!$O207*12000,IF(AND($Z451&lt;&gt;"b",Inventory!$AM207="Btu/hr"),Inventory!$AL207,IF(AND($Z451&lt;&gt;"b",Inventory!$AM207="Tons"),Inventory!$AL207*12000,0))))</f>
        <v>0</v>
      </c>
      <c r="BJ451" s="760">
        <f t="shared" si="326"/>
        <v>0</v>
      </c>
      <c r="BK451" s="598">
        <f t="shared" si="329"/>
        <v>0</v>
      </c>
      <c r="BL451" s="759" t="s">
        <v>567</v>
      </c>
      <c r="BM451" s="477" t="str">
        <f t="shared" si="320"/>
        <v>No</v>
      </c>
      <c r="BN451" s="477" t="str">
        <f>IF(OR(Inventory!$H207="",$BM451="No"),"-",Inventory!$H207)</f>
        <v>-</v>
      </c>
      <c r="BO451" s="477" t="str">
        <f>IFERROR(VLOOKUP(BN451,'Early Retirement'!$B$6:$C$33,2,FALSE),"-")</f>
        <v>-</v>
      </c>
      <c r="BP451" s="477" t="str">
        <f>IF(Inventory!$J207="Centrifugal","Yes","No")</f>
        <v>No</v>
      </c>
      <c r="BQ451" s="477">
        <f t="shared" si="321"/>
        <v>0</v>
      </c>
      <c r="BR451" s="477" t="str">
        <f t="shared" si="299"/>
        <v>-</v>
      </c>
      <c r="BS451" s="479">
        <f>IFERROR(INDEX('Early Retirement'!$C$4:$AC$33,$BO451,$BR451),0)</f>
        <v>0</v>
      </c>
      <c r="BT451" s="477">
        <f>IFERROR(HLOOKUP($BR451,'Early Retirement'!$D$4:$AC$5,2,FALSE),0)</f>
        <v>0</v>
      </c>
      <c r="BU451" s="761">
        <f>IFERROR(INDEX('Early Retirement'!$AE$4:$BE$33,$BO451,$BR451),0)</f>
        <v>0</v>
      </c>
      <c r="BV451" s="759">
        <f>IFERROR(HLOOKUP($BR451,'Early Retirement'!$AF$4:$BE$5,2,FALSE),0)</f>
        <v>0</v>
      </c>
      <c r="BW451" s="479">
        <f t="shared" si="322"/>
        <v>0</v>
      </c>
      <c r="BX451" s="761">
        <f t="shared" si="330"/>
        <v>0</v>
      </c>
      <c r="BY451" s="477" t="s">
        <v>46</v>
      </c>
      <c r="BZ451" s="598">
        <f>IFERROR(INDEX('Early Retirement'!$BG$4:$CG$33,$BO451,$BR451),0)</f>
        <v>0</v>
      </c>
      <c r="CA451" s="759">
        <f>IFERROR(HLOOKUP($BR451,'Early Retirement'!$BH$4:$CH$5,2,FALSE),0)</f>
        <v>0</v>
      </c>
      <c r="CB451" s="598">
        <f t="shared" si="331"/>
        <v>0</v>
      </c>
      <c r="CC451" s="759" t="s">
        <v>567</v>
      </c>
      <c r="CD451" s="477" t="str">
        <f t="shared" si="323"/>
        <v>Yes</v>
      </c>
      <c r="CE451" s="479">
        <f t="shared" si="332"/>
        <v>0</v>
      </c>
      <c r="CF451" s="761">
        <f t="shared" si="333"/>
        <v>0</v>
      </c>
      <c r="CG451" s="759" t="s">
        <v>46</v>
      </c>
      <c r="CH451" s="598">
        <f t="shared" si="338"/>
        <v>0</v>
      </c>
      <c r="CI451" s="759" t="s">
        <v>567</v>
      </c>
      <c r="CJ451" s="480">
        <f t="shared" si="324"/>
        <v>0</v>
      </c>
      <c r="CK451" s="583">
        <f t="shared" si="334"/>
        <v>0</v>
      </c>
      <c r="CL451" s="596" t="s">
        <v>46</v>
      </c>
      <c r="CM451" s="581">
        <f t="shared" si="335"/>
        <v>0</v>
      </c>
      <c r="CN451" s="762" t="s">
        <v>567</v>
      </c>
      <c r="CR451" s="446"/>
      <c r="CS451" s="446"/>
      <c r="CT451" s="446"/>
      <c r="CU451" s="446"/>
      <c r="CV451" s="446"/>
      <c r="CW451" s="752"/>
      <c r="CX451" s="752"/>
      <c r="CY451" s="752"/>
      <c r="CZ451" s="752"/>
      <c r="DA451" s="752"/>
      <c r="DB451" s="446"/>
      <c r="DC451" s="446"/>
      <c r="DD451" s="446"/>
      <c r="DE451" s="446"/>
      <c r="DF451" s="446"/>
      <c r="DG451" s="446"/>
      <c r="DH451" s="446"/>
      <c r="DI451" s="446"/>
      <c r="DJ451" s="446"/>
      <c r="DK451" s="446"/>
      <c r="DL451" s="446"/>
      <c r="DM451" s="446"/>
      <c r="DN451" s="446"/>
      <c r="DO451" s="446"/>
      <c r="DP451" s="446"/>
      <c r="DQ451" s="446"/>
      <c r="DR451" s="446"/>
      <c r="DS451" s="446"/>
      <c r="DT451" s="446"/>
      <c r="DU451" s="446"/>
      <c r="DV451" s="446"/>
      <c r="DW451" s="446"/>
    </row>
    <row r="452" spans="2:127" s="78" customFormat="1" ht="15" customHeight="1" x14ac:dyDescent="0.25">
      <c r="B452" s="77"/>
      <c r="E452" s="77"/>
      <c r="H452" s="77"/>
      <c r="Y452" s="90">
        <v>199</v>
      </c>
      <c r="Z452" s="559" t="str">
        <f>IF(Inventory!$C208="","",VLOOKUP(Inventory!$C208,$B$7:$C$9,2,FALSE))</f>
        <v/>
      </c>
      <c r="AA452" s="559" t="str">
        <f>IF($Z452="","",IF(AND($Z452="b",Inventory!$G208=""),"",IF(AND($Z452="b",Inventory!$G208&lt;&gt;""),VLOOKUP(Inventory!$G208,$E$3:$F$10,2,FALSE),IF(AND($Z452="a",Inventory!$Z208=""),"",IF(AND($Z452="a",Inventory!$Z208&lt;&gt;""),VLOOKUP(Inventory!$Z208,$E$3:$F$10,2,FALSE),IF(AND($Z452="c",Inventory!$Z208=""),"",IF(AND($Z452="c",Inventory!$Z208&lt;&gt;""),VLOOKUP(Inventory!$Z208,$E$3:$F$10,2,FALSE),"")))))))</f>
        <v/>
      </c>
      <c r="AB452" s="559" t="str">
        <f>IF($Z452="","a",IF(AND($Z452="b",Inventory!$J208=""),"a",IF(AND($Z452="b",Inventory!$J208&lt;&gt;""),VLOOKUP(Inventory!$J208,$H$4:$I$6,2,FALSE),IF(AND($Z452="a",Inventory!$AA208=""),"a",IF(AND($Z452="a",Inventory!$AA208&lt;&gt;""),VLOOKUP(Inventory!$AA208,$H$4:$I$6,2,FALSE),IF(AND($Z452="c",Inventory!$AA208=""),"a",IF(AND($Z452="c",Inventory!$AA208&lt;&gt;""),VLOOKUP(Inventory!$AA208,$H$4:$I$6,2,FALSE),"a")))))))</f>
        <v>a</v>
      </c>
      <c r="AC452" s="559" t="str">
        <f t="shared" si="300"/>
        <v>a</v>
      </c>
      <c r="AD452" s="473" t="str">
        <f>IF($Z452="","a",IF(AND($Z452="b",Inventory!$L208=""),"a",IF(AND($Z452="b",Inventory!$L208&lt;&gt;""),VLOOKUP(Inventory!$L208,$N$4:$O$5,2,FALSE),IF(AND($Z452="a",Inventory!$AC208=""),"a",IF(AND($Z452="a",Inventory!$AC208&lt;&gt;""),VLOOKUP(Inventory!$AC208,$N$4:$O$5,2,FALSE),IF(AND($Z452="c",Inventory!$AC208=""),"a",IF(AND($Z452="c",Inventory!$AC208&lt;&gt;""),VLOOKUP(Inventory!$AC208,$N$4:$O$5,2,FALSE),"a")))))))</f>
        <v>a</v>
      </c>
      <c r="AE452" s="474">
        <f>IF(OR(Inventory!C208="New Construction",Inventory!C208="Replace-on-Burnout"),Inventory!AF208,IF(Inventory!C208="Early Retirement",MIN(Inventory!AE208,Inventory!AF208),0))</f>
        <v>0</v>
      </c>
      <c r="AF452" s="475" t="str">
        <f t="shared" si="301"/>
        <v/>
      </c>
      <c r="AG452" s="475" t="str">
        <f t="shared" si="302"/>
        <v/>
      </c>
      <c r="AH452" s="475" t="str">
        <f t="shared" si="303"/>
        <v/>
      </c>
      <c r="AI452" s="475" t="str">
        <f t="shared" si="304"/>
        <v/>
      </c>
      <c r="AJ452" s="475" t="str">
        <f t="shared" si="305"/>
        <v/>
      </c>
      <c r="AK452" s="475" t="str">
        <f t="shared" si="306"/>
        <v/>
      </c>
      <c r="AL452" s="475" t="str">
        <f t="shared" si="307"/>
        <v/>
      </c>
      <c r="AM452" s="475" t="str">
        <f t="shared" si="308"/>
        <v/>
      </c>
      <c r="AN452" s="475" t="str">
        <f t="shared" si="309"/>
        <v/>
      </c>
      <c r="AO452" s="475" t="str">
        <f t="shared" si="310"/>
        <v/>
      </c>
      <c r="AP452" s="475" t="str">
        <f t="shared" si="311"/>
        <v/>
      </c>
      <c r="AQ452" s="475" t="str">
        <f t="shared" si="312"/>
        <v/>
      </c>
      <c r="AR452" s="475" t="str">
        <f t="shared" si="313"/>
        <v/>
      </c>
      <c r="AS452" s="475" t="str">
        <f t="shared" si="336"/>
        <v/>
      </c>
      <c r="AT452" s="475" t="str">
        <f t="shared" si="314"/>
        <v/>
      </c>
      <c r="AU452" s="475" t="str">
        <f t="shared" si="315"/>
        <v/>
      </c>
      <c r="AV452" s="475" t="str">
        <f t="shared" si="316"/>
        <v/>
      </c>
      <c r="AW452" s="473">
        <f t="shared" si="317"/>
        <v>0</v>
      </c>
      <c r="AX452" s="473" t="str">
        <f>IF(AND($Z452="b",OR($AA452="a",$AA452="b"),Inventory!$I208="",$AE452&lt;(65000/12000)),"x",IF(AND($Z452="b",OR($AA452="a",$AA452="b"),Inventory!$I208&lt;&gt;"",$AE452&lt;(65000/12000)),VLOOKUP(Inventory!$I459,$V$4:$W$5,2,FALSE),"x"))</f>
        <v>x</v>
      </c>
      <c r="AY452" s="476" t="str">
        <f t="shared" si="318"/>
        <v>aaa0</v>
      </c>
      <c r="AZ452" s="477" t="str">
        <f t="shared" si="327"/>
        <v>No</v>
      </c>
      <c r="BA452" s="759" t="str">
        <f t="shared" si="328"/>
        <v>No</v>
      </c>
      <c r="BB452" s="477">
        <f>IF($Z452="c",Inventory!$AB208,Inventory!$K208)</f>
        <v>0</v>
      </c>
      <c r="BC452" s="478">
        <f>IF(AND($Z452="b",Inventory!$N208="Btu/hr"),Inventory!$M208,IF(AND($Z452="b",Inventory!$N208="Tons"),Inventory!$M208*12000,IF(AND($Z452&lt;&gt;"b",Inventory!$AK208="Btu/hr"),Inventory!$AD208,IF(AND($Z452&lt;&gt;"b",Inventory!$AK208="Tons"),Inventory!$AD208*12000,0))))</f>
        <v>0</v>
      </c>
      <c r="BD452" s="478">
        <f t="shared" si="325"/>
        <v>0</v>
      </c>
      <c r="BE452" s="479">
        <f t="shared" si="337"/>
        <v>0</v>
      </c>
      <c r="BF452" s="477" t="s">
        <v>50</v>
      </c>
      <c r="BG452" s="479">
        <f t="shared" si="319"/>
        <v>0</v>
      </c>
      <c r="BH452" s="477" t="s">
        <v>46</v>
      </c>
      <c r="BI452" s="760">
        <f>IF(AND($Z452="b",Inventory!$P208="Btu/hr"),Inventory!$O208,IF(AND($Z452="b",Inventory!$P208="Tons"),Inventory!$O208*12000,IF(AND($Z452&lt;&gt;"b",Inventory!$AM208="Btu/hr"),Inventory!$AL208,IF(AND($Z452&lt;&gt;"b",Inventory!$AM208="Tons"),Inventory!$AL208*12000,0))))</f>
        <v>0</v>
      </c>
      <c r="BJ452" s="760">
        <f t="shared" si="326"/>
        <v>0</v>
      </c>
      <c r="BK452" s="598">
        <f t="shared" si="329"/>
        <v>0</v>
      </c>
      <c r="BL452" s="759" t="s">
        <v>567</v>
      </c>
      <c r="BM452" s="477" t="str">
        <f t="shared" si="320"/>
        <v>No</v>
      </c>
      <c r="BN452" s="477" t="str">
        <f>IF(OR(Inventory!$H208="",$BM452="No"),"-",Inventory!$H208)</f>
        <v>-</v>
      </c>
      <c r="BO452" s="477" t="str">
        <f>IFERROR(VLOOKUP(BN452,'Early Retirement'!$B$6:$C$33,2,FALSE),"-")</f>
        <v>-</v>
      </c>
      <c r="BP452" s="477" t="str">
        <f>IF(Inventory!$J208="Centrifugal","Yes","No")</f>
        <v>No</v>
      </c>
      <c r="BQ452" s="477">
        <f t="shared" si="321"/>
        <v>0</v>
      </c>
      <c r="BR452" s="477" t="str">
        <f t="shared" ref="BR452:BR503" si="339">IFERROR(VLOOKUP($BQ452,$BQ$506:$BR$537,2,FALSE),"-")</f>
        <v>-</v>
      </c>
      <c r="BS452" s="479">
        <f>IFERROR(INDEX('Early Retirement'!$C$4:$AC$33,$BO452,$BR452),0)</f>
        <v>0</v>
      </c>
      <c r="BT452" s="477">
        <f>IFERROR(HLOOKUP($BR452,'Early Retirement'!$D$4:$AC$5,2,FALSE),0)</f>
        <v>0</v>
      </c>
      <c r="BU452" s="761">
        <f>IFERROR(INDEX('Early Retirement'!$AE$4:$BE$33,$BO452,$BR452),0)</f>
        <v>0</v>
      </c>
      <c r="BV452" s="759">
        <f>IFERROR(HLOOKUP($BR452,'Early Retirement'!$AF$4:$BE$5,2,FALSE),0)</f>
        <v>0</v>
      </c>
      <c r="BW452" s="479">
        <f t="shared" si="322"/>
        <v>0</v>
      </c>
      <c r="BX452" s="761">
        <f t="shared" si="330"/>
        <v>0</v>
      </c>
      <c r="BY452" s="477" t="s">
        <v>46</v>
      </c>
      <c r="BZ452" s="598">
        <f>IFERROR(INDEX('Early Retirement'!$BG$4:$CG$33,$BO452,$BR452),0)</f>
        <v>0</v>
      </c>
      <c r="CA452" s="759">
        <f>IFERROR(HLOOKUP($BR452,'Early Retirement'!$BH$4:$CH$5,2,FALSE),0)</f>
        <v>0</v>
      </c>
      <c r="CB452" s="598">
        <f t="shared" si="331"/>
        <v>0</v>
      </c>
      <c r="CC452" s="759" t="s">
        <v>567</v>
      </c>
      <c r="CD452" s="477" t="str">
        <f t="shared" si="323"/>
        <v>Yes</v>
      </c>
      <c r="CE452" s="479">
        <f t="shared" si="332"/>
        <v>0</v>
      </c>
      <c r="CF452" s="761">
        <f t="shared" si="333"/>
        <v>0</v>
      </c>
      <c r="CG452" s="759" t="s">
        <v>46</v>
      </c>
      <c r="CH452" s="598">
        <f t="shared" si="338"/>
        <v>0</v>
      </c>
      <c r="CI452" s="759" t="s">
        <v>567</v>
      </c>
      <c r="CJ452" s="480">
        <f t="shared" si="324"/>
        <v>0</v>
      </c>
      <c r="CK452" s="583">
        <f t="shared" si="334"/>
        <v>0</v>
      </c>
      <c r="CL452" s="596" t="s">
        <v>46</v>
      </c>
      <c r="CM452" s="581">
        <f t="shared" si="335"/>
        <v>0</v>
      </c>
      <c r="CN452" s="762" t="s">
        <v>567</v>
      </c>
      <c r="CR452" s="446"/>
      <c r="CS452" s="446"/>
      <c r="CT452" s="446"/>
      <c r="CU452" s="446"/>
      <c r="CV452" s="446"/>
      <c r="CW452" s="752"/>
      <c r="CX452" s="752"/>
      <c r="CY452" s="752"/>
      <c r="CZ452" s="752"/>
      <c r="DA452" s="752"/>
      <c r="DB452" s="446"/>
      <c r="DC452" s="446"/>
      <c r="DD452" s="446"/>
      <c r="DE452" s="446"/>
      <c r="DF452" s="446"/>
      <c r="DG452" s="446"/>
      <c r="DH452" s="446"/>
      <c r="DI452" s="446"/>
      <c r="DJ452" s="446"/>
      <c r="DK452" s="446"/>
      <c r="DL452" s="446"/>
      <c r="DM452" s="446"/>
      <c r="DN452" s="446"/>
      <c r="DO452" s="446"/>
      <c r="DP452" s="446"/>
      <c r="DQ452" s="446"/>
      <c r="DR452" s="446"/>
      <c r="DS452" s="446"/>
      <c r="DT452" s="446"/>
      <c r="DU452" s="446"/>
      <c r="DV452" s="446"/>
      <c r="DW452" s="446"/>
    </row>
    <row r="453" spans="2:127" s="78" customFormat="1" ht="15" customHeight="1" x14ac:dyDescent="0.25">
      <c r="B453" s="77"/>
      <c r="E453" s="77"/>
      <c r="H453" s="77"/>
      <c r="Y453" s="90">
        <v>200</v>
      </c>
      <c r="Z453" s="559" t="str">
        <f>IF(Inventory!$C209="","",VLOOKUP(Inventory!$C209,$B$7:$C$9,2,FALSE))</f>
        <v/>
      </c>
      <c r="AA453" s="559" t="str">
        <f>IF($Z453="","",IF(AND($Z453="b",Inventory!$G209=""),"",IF(AND($Z453="b",Inventory!$G209&lt;&gt;""),VLOOKUP(Inventory!$G209,$E$3:$F$10,2,FALSE),IF(AND($Z453="a",Inventory!$Z209=""),"",IF(AND($Z453="a",Inventory!$Z209&lt;&gt;""),VLOOKUP(Inventory!$Z209,$E$3:$F$10,2,FALSE),IF(AND($Z453="c",Inventory!$Z209=""),"",IF(AND($Z453="c",Inventory!$Z209&lt;&gt;""),VLOOKUP(Inventory!$Z209,$E$3:$F$10,2,FALSE),"")))))))</f>
        <v/>
      </c>
      <c r="AB453" s="559" t="str">
        <f>IF($Z453="","a",IF(AND($Z453="b",Inventory!$J209=""),"a",IF(AND($Z453="b",Inventory!$J209&lt;&gt;""),VLOOKUP(Inventory!$J209,$H$4:$I$6,2,FALSE),IF(AND($Z453="a",Inventory!$AA209=""),"a",IF(AND($Z453="a",Inventory!$AA209&lt;&gt;""),VLOOKUP(Inventory!$AA209,$H$4:$I$6,2,FALSE),IF(AND($Z453="c",Inventory!$AA209=""),"a",IF(AND($Z453="c",Inventory!$AA209&lt;&gt;""),VLOOKUP(Inventory!$AA209,$H$4:$I$6,2,FALSE),"a")))))))</f>
        <v>a</v>
      </c>
      <c r="AC453" s="559" t="str">
        <f t="shared" si="300"/>
        <v>a</v>
      </c>
      <c r="AD453" s="473" t="str">
        <f>IF($Z453="","a",IF(AND($Z453="b",Inventory!$L209=""),"a",IF(AND($Z453="b",Inventory!$L209&lt;&gt;""),VLOOKUP(Inventory!$L209,$N$4:$O$5,2,FALSE),IF(AND($Z453="a",Inventory!$AC209=""),"a",IF(AND($Z453="a",Inventory!$AC209&lt;&gt;""),VLOOKUP(Inventory!$AC209,$N$4:$O$5,2,FALSE),IF(AND($Z453="c",Inventory!$AC209=""),"a",IF(AND($Z453="c",Inventory!$AC209&lt;&gt;""),VLOOKUP(Inventory!$AC209,$N$4:$O$5,2,FALSE),"a")))))))</f>
        <v>a</v>
      </c>
      <c r="AE453" s="474">
        <f>IF(OR(Inventory!C209="New Construction",Inventory!C209="Replace-on-Burnout"),Inventory!AF209,IF(Inventory!C209="Early Retirement",MIN(Inventory!AE209,Inventory!AF209),0))</f>
        <v>0</v>
      </c>
      <c r="AF453" s="475" t="str">
        <f t="shared" si="301"/>
        <v/>
      </c>
      <c r="AG453" s="475" t="str">
        <f t="shared" si="302"/>
        <v/>
      </c>
      <c r="AH453" s="475" t="str">
        <f t="shared" si="303"/>
        <v/>
      </c>
      <c r="AI453" s="475" t="str">
        <f t="shared" si="304"/>
        <v/>
      </c>
      <c r="AJ453" s="475" t="str">
        <f t="shared" si="305"/>
        <v/>
      </c>
      <c r="AK453" s="475" t="str">
        <f t="shared" si="306"/>
        <v/>
      </c>
      <c r="AL453" s="475" t="str">
        <f t="shared" si="307"/>
        <v/>
      </c>
      <c r="AM453" s="475" t="str">
        <f t="shared" si="308"/>
        <v/>
      </c>
      <c r="AN453" s="475" t="str">
        <f t="shared" si="309"/>
        <v/>
      </c>
      <c r="AO453" s="475" t="str">
        <f t="shared" si="310"/>
        <v/>
      </c>
      <c r="AP453" s="475" t="str">
        <f t="shared" si="311"/>
        <v/>
      </c>
      <c r="AQ453" s="475" t="str">
        <f t="shared" si="312"/>
        <v/>
      </c>
      <c r="AR453" s="475" t="str">
        <f t="shared" si="313"/>
        <v/>
      </c>
      <c r="AS453" s="475" t="str">
        <f t="shared" si="336"/>
        <v/>
      </c>
      <c r="AT453" s="475" t="str">
        <f t="shared" si="314"/>
        <v/>
      </c>
      <c r="AU453" s="475" t="str">
        <f t="shared" si="315"/>
        <v/>
      </c>
      <c r="AV453" s="475" t="str">
        <f t="shared" si="316"/>
        <v/>
      </c>
      <c r="AW453" s="473">
        <f t="shared" si="317"/>
        <v>0</v>
      </c>
      <c r="AX453" s="473" t="str">
        <f>IF(AND($Z453="b",OR($AA453="a",$AA453="b"),Inventory!$I209="",$AE453&lt;(65000/12000)),"x",IF(AND($Z453="b",OR($AA453="a",$AA453="b"),Inventory!$I209&lt;&gt;"",$AE453&lt;(65000/12000)),VLOOKUP(Inventory!$I460,$V$4:$W$5,2,FALSE),"x"))</f>
        <v>x</v>
      </c>
      <c r="AY453" s="476" t="str">
        <f t="shared" si="318"/>
        <v>aaa0</v>
      </c>
      <c r="AZ453" s="477" t="str">
        <f t="shared" si="327"/>
        <v>No</v>
      </c>
      <c r="BA453" s="759" t="str">
        <f t="shared" si="328"/>
        <v>No</v>
      </c>
      <c r="BB453" s="477">
        <f>IF($Z453="c",Inventory!$AB209,Inventory!$K209)</f>
        <v>0</v>
      </c>
      <c r="BC453" s="478">
        <f>IF(AND($Z453="b",Inventory!$N209="Btu/hr"),Inventory!$M209,IF(AND($Z453="b",Inventory!$N209="Tons"),Inventory!$M209*12000,IF(AND($Z453&lt;&gt;"b",Inventory!$AK209="Btu/hr"),Inventory!$AD209,IF(AND($Z453&lt;&gt;"b",Inventory!$AK209="Tons"),Inventory!$AD209*12000,0))))</f>
        <v>0</v>
      </c>
      <c r="BD453" s="478">
        <f t="shared" si="325"/>
        <v>0</v>
      </c>
      <c r="BE453" s="479">
        <f t="shared" si="337"/>
        <v>0</v>
      </c>
      <c r="BF453" s="477" t="s">
        <v>50</v>
      </c>
      <c r="BG453" s="479">
        <f t="shared" si="319"/>
        <v>0</v>
      </c>
      <c r="BH453" s="477" t="s">
        <v>46</v>
      </c>
      <c r="BI453" s="760">
        <f>IF(AND($Z453="b",Inventory!$P209="Btu/hr"),Inventory!$O209,IF(AND($Z453="b",Inventory!$P209="Tons"),Inventory!$O209*12000,IF(AND($Z453&lt;&gt;"b",Inventory!$AM209="Btu/hr"),Inventory!$AL209,IF(AND($Z453&lt;&gt;"b",Inventory!$AM209="Tons"),Inventory!$AL209*12000,0))))</f>
        <v>0</v>
      </c>
      <c r="BJ453" s="760">
        <f t="shared" si="326"/>
        <v>0</v>
      </c>
      <c r="BK453" s="598">
        <f t="shared" si="329"/>
        <v>0</v>
      </c>
      <c r="BL453" s="759" t="s">
        <v>567</v>
      </c>
      <c r="BM453" s="477" t="str">
        <f t="shared" si="320"/>
        <v>No</v>
      </c>
      <c r="BN453" s="477" t="str">
        <f>IF(OR(Inventory!$H209="",$BM453="No"),"-",Inventory!$H209)</f>
        <v>-</v>
      </c>
      <c r="BO453" s="477" t="str">
        <f>IFERROR(VLOOKUP(BN453,'Early Retirement'!$B$6:$C$33,2,FALSE),"-")</f>
        <v>-</v>
      </c>
      <c r="BP453" s="477" t="str">
        <f>IF(Inventory!$J209="Centrifugal","Yes","No")</f>
        <v>No</v>
      </c>
      <c r="BQ453" s="477">
        <f t="shared" si="321"/>
        <v>0</v>
      </c>
      <c r="BR453" s="477" t="str">
        <f t="shared" si="339"/>
        <v>-</v>
      </c>
      <c r="BS453" s="479">
        <f>IFERROR(INDEX('Early Retirement'!$C$4:$AC$33,$BO453,$BR453),0)</f>
        <v>0</v>
      </c>
      <c r="BT453" s="477">
        <f>IFERROR(HLOOKUP($BR453,'Early Retirement'!$D$4:$AC$5,2,FALSE),0)</f>
        <v>0</v>
      </c>
      <c r="BU453" s="761">
        <f>IFERROR(INDEX('Early Retirement'!$AE$4:$BE$33,$BO453,$BR453),0)</f>
        <v>0</v>
      </c>
      <c r="BV453" s="759">
        <f>IFERROR(HLOOKUP($BR453,'Early Retirement'!$AF$4:$BE$5,2,FALSE),0)</f>
        <v>0</v>
      </c>
      <c r="BW453" s="479">
        <f t="shared" si="322"/>
        <v>0</v>
      </c>
      <c r="BX453" s="761">
        <f t="shared" si="330"/>
        <v>0</v>
      </c>
      <c r="BY453" s="477" t="s">
        <v>46</v>
      </c>
      <c r="BZ453" s="598">
        <f>IFERROR(INDEX('Early Retirement'!$BG$4:$CG$33,$BO453,$BR453),0)</f>
        <v>0</v>
      </c>
      <c r="CA453" s="759">
        <f>IFERROR(HLOOKUP($BR453,'Early Retirement'!$BH$4:$CH$5,2,FALSE),0)</f>
        <v>0</v>
      </c>
      <c r="CB453" s="598">
        <f t="shared" si="331"/>
        <v>0</v>
      </c>
      <c r="CC453" s="759" t="s">
        <v>567</v>
      </c>
      <c r="CD453" s="477" t="str">
        <f t="shared" si="323"/>
        <v>Yes</v>
      </c>
      <c r="CE453" s="479">
        <f t="shared" si="332"/>
        <v>0</v>
      </c>
      <c r="CF453" s="761">
        <f t="shared" si="333"/>
        <v>0</v>
      </c>
      <c r="CG453" s="759" t="s">
        <v>46</v>
      </c>
      <c r="CH453" s="598">
        <f t="shared" si="338"/>
        <v>0</v>
      </c>
      <c r="CI453" s="759" t="s">
        <v>567</v>
      </c>
      <c r="CJ453" s="480">
        <f t="shared" si="324"/>
        <v>0</v>
      </c>
      <c r="CK453" s="583">
        <f t="shared" si="334"/>
        <v>0</v>
      </c>
      <c r="CL453" s="596" t="s">
        <v>46</v>
      </c>
      <c r="CM453" s="581">
        <f t="shared" si="335"/>
        <v>0</v>
      </c>
      <c r="CN453" s="762" t="s">
        <v>567</v>
      </c>
      <c r="CR453" s="446"/>
      <c r="CS453" s="446"/>
      <c r="CT453" s="446"/>
      <c r="CU453" s="446"/>
      <c r="CV453" s="446"/>
      <c r="CW453" s="752"/>
      <c r="CX453" s="752"/>
      <c r="CY453" s="752"/>
      <c r="CZ453" s="752"/>
      <c r="DA453" s="752"/>
      <c r="DB453" s="446"/>
      <c r="DC453" s="446"/>
      <c r="DD453" s="446"/>
      <c r="DE453" s="446"/>
      <c r="DF453" s="446"/>
      <c r="DG453" s="446"/>
      <c r="DH453" s="446"/>
      <c r="DI453" s="446"/>
      <c r="DJ453" s="446"/>
      <c r="DK453" s="446"/>
      <c r="DL453" s="446"/>
      <c r="DM453" s="446"/>
      <c r="DN453" s="446"/>
      <c r="DO453" s="446"/>
      <c r="DP453" s="446"/>
      <c r="DQ453" s="446"/>
      <c r="DR453" s="446"/>
      <c r="DS453" s="446"/>
      <c r="DT453" s="446"/>
      <c r="DU453" s="446"/>
      <c r="DV453" s="446"/>
      <c r="DW453" s="446"/>
    </row>
    <row r="454" spans="2:127" s="78" customFormat="1" ht="15" customHeight="1" x14ac:dyDescent="0.25">
      <c r="B454" s="77"/>
      <c r="E454" s="77"/>
      <c r="H454" s="77"/>
      <c r="Y454" s="90">
        <v>201</v>
      </c>
      <c r="Z454" s="559" t="str">
        <f>IF(Inventory!$C210="","",VLOOKUP(Inventory!$C210,$B$7:$C$9,2,FALSE))</f>
        <v/>
      </c>
      <c r="AA454" s="559" t="str">
        <f>IF($Z454="","",IF(AND($Z454="b",Inventory!$G210=""),"",IF(AND($Z454="b",Inventory!$G210&lt;&gt;""),VLOOKUP(Inventory!$G210,$E$3:$F$10,2,FALSE),IF(AND($Z454="a",Inventory!$Z210=""),"",IF(AND($Z454="a",Inventory!$Z210&lt;&gt;""),VLOOKUP(Inventory!$Z210,$E$3:$F$10,2,FALSE),IF(AND($Z454="c",Inventory!$Z210=""),"",IF(AND($Z454="c",Inventory!$Z210&lt;&gt;""),VLOOKUP(Inventory!$Z210,$E$3:$F$10,2,FALSE),"")))))))</f>
        <v/>
      </c>
      <c r="AB454" s="559" t="str">
        <f>IF($Z454="","a",IF(AND($Z454="b",Inventory!$J210=""),"a",IF(AND($Z454="b",Inventory!$J210&lt;&gt;""),VLOOKUP(Inventory!$J210,$H$4:$I$6,2,FALSE),IF(AND($Z454="a",Inventory!$AA210=""),"a",IF(AND($Z454="a",Inventory!$AA210&lt;&gt;""),VLOOKUP(Inventory!$AA210,$H$4:$I$6,2,FALSE),IF(AND($Z454="c",Inventory!$AA210=""),"a",IF(AND($Z454="c",Inventory!$AA210&lt;&gt;""),VLOOKUP(Inventory!$AA210,$H$4:$I$6,2,FALSE),"a")))))))</f>
        <v>a</v>
      </c>
      <c r="AC454" s="559" t="str">
        <f t="shared" si="300"/>
        <v>a</v>
      </c>
      <c r="AD454" s="473" t="str">
        <f>IF($Z454="","a",IF(AND($Z454="b",Inventory!$L210=""),"a",IF(AND($Z454="b",Inventory!$L210&lt;&gt;""),VLOOKUP(Inventory!$L210,$N$4:$O$5,2,FALSE),IF(AND($Z454="a",Inventory!$AC210=""),"a",IF(AND($Z454="a",Inventory!$AC210&lt;&gt;""),VLOOKUP(Inventory!$AC210,$N$4:$O$5,2,FALSE),IF(AND($Z454="c",Inventory!$AC210=""),"a",IF(AND($Z454="c",Inventory!$AC210&lt;&gt;""),VLOOKUP(Inventory!$AC210,$N$4:$O$5,2,FALSE),"a")))))))</f>
        <v>a</v>
      </c>
      <c r="AE454" s="474">
        <f>IF(OR(Inventory!C210="New Construction",Inventory!C210="Replace-on-Burnout"),Inventory!AF210,IF(Inventory!C210="Early Retirement",MIN(Inventory!AE210,Inventory!AF210),0))</f>
        <v>0</v>
      </c>
      <c r="AF454" s="475" t="str">
        <f t="shared" si="301"/>
        <v/>
      </c>
      <c r="AG454" s="475" t="str">
        <f t="shared" si="302"/>
        <v/>
      </c>
      <c r="AH454" s="475" t="str">
        <f t="shared" si="303"/>
        <v/>
      </c>
      <c r="AI454" s="475" t="str">
        <f t="shared" si="304"/>
        <v/>
      </c>
      <c r="AJ454" s="475" t="str">
        <f t="shared" si="305"/>
        <v/>
      </c>
      <c r="AK454" s="475" t="str">
        <f t="shared" si="306"/>
        <v/>
      </c>
      <c r="AL454" s="475" t="str">
        <f t="shared" si="307"/>
        <v/>
      </c>
      <c r="AM454" s="475" t="str">
        <f t="shared" si="308"/>
        <v/>
      </c>
      <c r="AN454" s="475" t="str">
        <f t="shared" si="309"/>
        <v/>
      </c>
      <c r="AO454" s="475" t="str">
        <f t="shared" si="310"/>
        <v/>
      </c>
      <c r="AP454" s="475" t="str">
        <f t="shared" si="311"/>
        <v/>
      </c>
      <c r="AQ454" s="475" t="str">
        <f t="shared" si="312"/>
        <v/>
      </c>
      <c r="AR454" s="475" t="str">
        <f t="shared" si="313"/>
        <v/>
      </c>
      <c r="AS454" s="475" t="str">
        <f t="shared" si="336"/>
        <v/>
      </c>
      <c r="AT454" s="475" t="str">
        <f t="shared" si="314"/>
        <v/>
      </c>
      <c r="AU454" s="475" t="str">
        <f t="shared" si="315"/>
        <v/>
      </c>
      <c r="AV454" s="475" t="str">
        <f t="shared" si="316"/>
        <v/>
      </c>
      <c r="AW454" s="473">
        <f t="shared" si="317"/>
        <v>0</v>
      </c>
      <c r="AX454" s="473" t="str">
        <f>IF(AND($Z454="b",OR($AA454="a",$AA454="b"),Inventory!$I210="",$AE454&lt;(65000/12000)),"x",IF(AND($Z454="b",OR($AA454="a",$AA454="b"),Inventory!$I210&lt;&gt;"",$AE454&lt;(65000/12000)),VLOOKUP(Inventory!$I461,$V$4:$W$5,2,FALSE),"x"))</f>
        <v>x</v>
      </c>
      <c r="AY454" s="476" t="str">
        <f t="shared" si="318"/>
        <v>aaa0</v>
      </c>
      <c r="AZ454" s="477" t="str">
        <f t="shared" si="327"/>
        <v>No</v>
      </c>
      <c r="BA454" s="759" t="str">
        <f t="shared" si="328"/>
        <v>No</v>
      </c>
      <c r="BB454" s="477">
        <f>IF($Z454="c",Inventory!$AB210,Inventory!$K210)</f>
        <v>0</v>
      </c>
      <c r="BC454" s="478">
        <f>IF(AND($Z454="b",Inventory!$N210="Btu/hr"),Inventory!$M210,IF(AND($Z454="b",Inventory!$N210="Tons"),Inventory!$M210*12000,IF(AND($Z454&lt;&gt;"b",Inventory!$AK210="Btu/hr"),Inventory!$AD210,IF(AND($Z454&lt;&gt;"b",Inventory!$AK210="Tons"),Inventory!$AD210*12000,0))))</f>
        <v>0</v>
      </c>
      <c r="BD454" s="478">
        <f t="shared" si="325"/>
        <v>0</v>
      </c>
      <c r="BE454" s="479">
        <f t="shared" si="337"/>
        <v>0</v>
      </c>
      <c r="BF454" s="477" t="s">
        <v>50</v>
      </c>
      <c r="BG454" s="479">
        <f t="shared" si="319"/>
        <v>0</v>
      </c>
      <c r="BH454" s="477" t="s">
        <v>46</v>
      </c>
      <c r="BI454" s="760">
        <f>IF(AND($Z454="b",Inventory!$P210="Btu/hr"),Inventory!$O210,IF(AND($Z454="b",Inventory!$P210="Tons"),Inventory!$O210*12000,IF(AND($Z454&lt;&gt;"b",Inventory!$AM210="Btu/hr"),Inventory!$AL210,IF(AND($Z454&lt;&gt;"b",Inventory!$AM210="Tons"),Inventory!$AL210*12000,0))))</f>
        <v>0</v>
      </c>
      <c r="BJ454" s="760">
        <f t="shared" si="326"/>
        <v>0</v>
      </c>
      <c r="BK454" s="598">
        <f t="shared" si="329"/>
        <v>0</v>
      </c>
      <c r="BL454" s="759" t="s">
        <v>567</v>
      </c>
      <c r="BM454" s="477" t="str">
        <f t="shared" si="320"/>
        <v>No</v>
      </c>
      <c r="BN454" s="477" t="str">
        <f>IF(OR(Inventory!$H210="",$BM454="No"),"-",Inventory!$H210)</f>
        <v>-</v>
      </c>
      <c r="BO454" s="477" t="str">
        <f>IFERROR(VLOOKUP(BN454,'Early Retirement'!$B$6:$C$33,2,FALSE),"-")</f>
        <v>-</v>
      </c>
      <c r="BP454" s="477" t="str">
        <f>IF(Inventory!$J210="Centrifugal","Yes","No")</f>
        <v>No</v>
      </c>
      <c r="BQ454" s="477">
        <f t="shared" si="321"/>
        <v>0</v>
      </c>
      <c r="BR454" s="477" t="str">
        <f t="shared" si="339"/>
        <v>-</v>
      </c>
      <c r="BS454" s="479">
        <f>IFERROR(INDEX('Early Retirement'!$C$4:$AC$33,$BO454,$BR454),0)</f>
        <v>0</v>
      </c>
      <c r="BT454" s="477">
        <f>IFERROR(HLOOKUP($BR454,'Early Retirement'!$D$4:$AC$5,2,FALSE),0)</f>
        <v>0</v>
      </c>
      <c r="BU454" s="761">
        <f>IFERROR(INDEX('Early Retirement'!$AE$4:$BE$33,$BO454,$BR454),0)</f>
        <v>0</v>
      </c>
      <c r="BV454" s="759">
        <f>IFERROR(HLOOKUP($BR454,'Early Retirement'!$AF$4:$BE$5,2,FALSE),0)</f>
        <v>0</v>
      </c>
      <c r="BW454" s="479">
        <f t="shared" si="322"/>
        <v>0</v>
      </c>
      <c r="BX454" s="761">
        <f t="shared" si="330"/>
        <v>0</v>
      </c>
      <c r="BY454" s="477" t="s">
        <v>46</v>
      </c>
      <c r="BZ454" s="598">
        <f>IFERROR(INDEX('Early Retirement'!$BG$4:$CG$33,$BO454,$BR454),0)</f>
        <v>0</v>
      </c>
      <c r="CA454" s="759">
        <f>IFERROR(HLOOKUP($BR454,'Early Retirement'!$BH$4:$CH$5,2,FALSE),0)</f>
        <v>0</v>
      </c>
      <c r="CB454" s="598">
        <f t="shared" si="331"/>
        <v>0</v>
      </c>
      <c r="CC454" s="759" t="s">
        <v>567</v>
      </c>
      <c r="CD454" s="477" t="str">
        <f t="shared" si="323"/>
        <v>Yes</v>
      </c>
      <c r="CE454" s="479">
        <f t="shared" si="332"/>
        <v>0</v>
      </c>
      <c r="CF454" s="761">
        <f t="shared" si="333"/>
        <v>0</v>
      </c>
      <c r="CG454" s="759" t="s">
        <v>46</v>
      </c>
      <c r="CH454" s="598">
        <f t="shared" si="338"/>
        <v>0</v>
      </c>
      <c r="CI454" s="759" t="s">
        <v>567</v>
      </c>
      <c r="CJ454" s="480">
        <f t="shared" si="324"/>
        <v>0</v>
      </c>
      <c r="CK454" s="583">
        <f t="shared" si="334"/>
        <v>0</v>
      </c>
      <c r="CL454" s="596" t="s">
        <v>46</v>
      </c>
      <c r="CM454" s="581">
        <f t="shared" si="335"/>
        <v>0</v>
      </c>
      <c r="CN454" s="762" t="s">
        <v>567</v>
      </c>
      <c r="CR454" s="446"/>
      <c r="CS454" s="446"/>
      <c r="CT454" s="446"/>
      <c r="CU454" s="446"/>
      <c r="CV454" s="446"/>
      <c r="CW454" s="752"/>
      <c r="CX454" s="752"/>
      <c r="CY454" s="752"/>
      <c r="CZ454" s="752"/>
      <c r="DA454" s="752"/>
      <c r="DB454" s="446"/>
      <c r="DC454" s="446"/>
      <c r="DD454" s="446"/>
      <c r="DE454" s="446"/>
      <c r="DF454" s="446"/>
      <c r="DG454" s="446"/>
      <c r="DH454" s="446"/>
      <c r="DI454" s="446"/>
      <c r="DJ454" s="446"/>
      <c r="DK454" s="446"/>
      <c r="DL454" s="446"/>
      <c r="DM454" s="446"/>
      <c r="DN454" s="446"/>
      <c r="DO454" s="446"/>
      <c r="DP454" s="446"/>
      <c r="DQ454" s="446"/>
      <c r="DR454" s="446"/>
      <c r="DS454" s="446"/>
      <c r="DT454" s="446"/>
      <c r="DU454" s="446"/>
      <c r="DV454" s="446"/>
      <c r="DW454" s="446"/>
    </row>
    <row r="455" spans="2:127" s="78" customFormat="1" ht="15" customHeight="1" x14ac:dyDescent="0.25">
      <c r="B455" s="77"/>
      <c r="E455" s="77"/>
      <c r="H455" s="77"/>
      <c r="Y455" s="90">
        <v>202</v>
      </c>
      <c r="Z455" s="559" t="str">
        <f>IF(Inventory!$C211="","",VLOOKUP(Inventory!$C211,$B$7:$C$9,2,FALSE))</f>
        <v/>
      </c>
      <c r="AA455" s="559" t="str">
        <f>IF($Z455="","",IF(AND($Z455="b",Inventory!$G211=""),"",IF(AND($Z455="b",Inventory!$G211&lt;&gt;""),VLOOKUP(Inventory!$G211,$E$3:$F$10,2,FALSE),IF(AND($Z455="a",Inventory!$Z211=""),"",IF(AND($Z455="a",Inventory!$Z211&lt;&gt;""),VLOOKUP(Inventory!$Z211,$E$3:$F$10,2,FALSE),IF(AND($Z455="c",Inventory!$Z211=""),"",IF(AND($Z455="c",Inventory!$Z211&lt;&gt;""),VLOOKUP(Inventory!$Z211,$E$3:$F$10,2,FALSE),"")))))))</f>
        <v/>
      </c>
      <c r="AB455" s="559" t="str">
        <f>IF($Z455="","a",IF(AND($Z455="b",Inventory!$J211=""),"a",IF(AND($Z455="b",Inventory!$J211&lt;&gt;""),VLOOKUP(Inventory!$J211,$H$4:$I$6,2,FALSE),IF(AND($Z455="a",Inventory!$AA211=""),"a",IF(AND($Z455="a",Inventory!$AA211&lt;&gt;""),VLOOKUP(Inventory!$AA211,$H$4:$I$6,2,FALSE),IF(AND($Z455="c",Inventory!$AA211=""),"a",IF(AND($Z455="c",Inventory!$AA211&lt;&gt;""),VLOOKUP(Inventory!$AA211,$H$4:$I$6,2,FALSE),"a")))))))</f>
        <v>a</v>
      </c>
      <c r="AC455" s="559" t="str">
        <f t="shared" si="300"/>
        <v>a</v>
      </c>
      <c r="AD455" s="473" t="str">
        <f>IF($Z455="","a",IF(AND($Z455="b",Inventory!$L211=""),"a",IF(AND($Z455="b",Inventory!$L211&lt;&gt;""),VLOOKUP(Inventory!$L211,$N$4:$O$5,2,FALSE),IF(AND($Z455="a",Inventory!$AC211=""),"a",IF(AND($Z455="a",Inventory!$AC211&lt;&gt;""),VLOOKUP(Inventory!$AC211,$N$4:$O$5,2,FALSE),IF(AND($Z455="c",Inventory!$AC211=""),"a",IF(AND($Z455="c",Inventory!$AC211&lt;&gt;""),VLOOKUP(Inventory!$AC211,$N$4:$O$5,2,FALSE),"a")))))))</f>
        <v>a</v>
      </c>
      <c r="AE455" s="474">
        <f>IF(OR(Inventory!C211="New Construction",Inventory!C211="Replace-on-Burnout"),Inventory!AF211,IF(Inventory!C211="Early Retirement",MIN(Inventory!AE211,Inventory!AF211),0))</f>
        <v>0</v>
      </c>
      <c r="AF455" s="475" t="str">
        <f t="shared" si="301"/>
        <v/>
      </c>
      <c r="AG455" s="475" t="str">
        <f t="shared" si="302"/>
        <v/>
      </c>
      <c r="AH455" s="475" t="str">
        <f t="shared" si="303"/>
        <v/>
      </c>
      <c r="AI455" s="475" t="str">
        <f t="shared" si="304"/>
        <v/>
      </c>
      <c r="AJ455" s="475" t="str">
        <f t="shared" si="305"/>
        <v/>
      </c>
      <c r="AK455" s="475" t="str">
        <f t="shared" si="306"/>
        <v/>
      </c>
      <c r="AL455" s="475" t="str">
        <f t="shared" si="307"/>
        <v/>
      </c>
      <c r="AM455" s="475" t="str">
        <f t="shared" si="308"/>
        <v/>
      </c>
      <c r="AN455" s="475" t="str">
        <f t="shared" si="309"/>
        <v/>
      </c>
      <c r="AO455" s="475" t="str">
        <f t="shared" si="310"/>
        <v/>
      </c>
      <c r="AP455" s="475" t="str">
        <f t="shared" si="311"/>
        <v/>
      </c>
      <c r="AQ455" s="475" t="str">
        <f t="shared" si="312"/>
        <v/>
      </c>
      <c r="AR455" s="475" t="str">
        <f t="shared" si="313"/>
        <v/>
      </c>
      <c r="AS455" s="475" t="str">
        <f t="shared" si="336"/>
        <v/>
      </c>
      <c r="AT455" s="475" t="str">
        <f t="shared" si="314"/>
        <v/>
      </c>
      <c r="AU455" s="475" t="str">
        <f t="shared" si="315"/>
        <v/>
      </c>
      <c r="AV455" s="475" t="str">
        <f t="shared" si="316"/>
        <v/>
      </c>
      <c r="AW455" s="473">
        <f t="shared" si="317"/>
        <v>0</v>
      </c>
      <c r="AX455" s="473" t="str">
        <f>IF(AND($Z455="b",OR($AA455="a",$AA455="b"),Inventory!$I211="",$AE455&lt;(65000/12000)),"x",IF(AND($Z455="b",OR($AA455="a",$AA455="b"),Inventory!$I211&lt;&gt;"",$AE455&lt;(65000/12000)),VLOOKUP(Inventory!$I462,$V$4:$W$5,2,FALSE),"x"))</f>
        <v>x</v>
      </c>
      <c r="AY455" s="476" t="str">
        <f t="shared" si="318"/>
        <v>aaa0</v>
      </c>
      <c r="AZ455" s="477" t="str">
        <f t="shared" si="327"/>
        <v>No</v>
      </c>
      <c r="BA455" s="759" t="str">
        <f t="shared" si="328"/>
        <v>No</v>
      </c>
      <c r="BB455" s="477">
        <f>IF($Z455="c",Inventory!$AB211,Inventory!$K211)</f>
        <v>0</v>
      </c>
      <c r="BC455" s="478">
        <f>IF(AND($Z455="b",Inventory!$N211="Btu/hr"),Inventory!$M211,IF(AND($Z455="b",Inventory!$N211="Tons"),Inventory!$M211*12000,IF(AND($Z455&lt;&gt;"b",Inventory!$AK211="Btu/hr"),Inventory!$AD211,IF(AND($Z455&lt;&gt;"b",Inventory!$AK211="Tons"),Inventory!$AD211*12000,0))))</f>
        <v>0</v>
      </c>
      <c r="BD455" s="478">
        <f t="shared" si="325"/>
        <v>0</v>
      </c>
      <c r="BE455" s="479">
        <f t="shared" si="337"/>
        <v>0</v>
      </c>
      <c r="BF455" s="477" t="s">
        <v>50</v>
      </c>
      <c r="BG455" s="479">
        <f t="shared" si="319"/>
        <v>0</v>
      </c>
      <c r="BH455" s="477" t="s">
        <v>46</v>
      </c>
      <c r="BI455" s="760">
        <f>IF(AND($Z455="b",Inventory!$P211="Btu/hr"),Inventory!$O211,IF(AND($Z455="b",Inventory!$P211="Tons"),Inventory!$O211*12000,IF(AND($Z455&lt;&gt;"b",Inventory!$AM211="Btu/hr"),Inventory!$AL211,IF(AND($Z455&lt;&gt;"b",Inventory!$AM211="Tons"),Inventory!$AL211*12000,0))))</f>
        <v>0</v>
      </c>
      <c r="BJ455" s="760">
        <f t="shared" si="326"/>
        <v>0</v>
      </c>
      <c r="BK455" s="598">
        <f t="shared" si="329"/>
        <v>0</v>
      </c>
      <c r="BL455" s="759" t="s">
        <v>567</v>
      </c>
      <c r="BM455" s="477" t="str">
        <f t="shared" si="320"/>
        <v>No</v>
      </c>
      <c r="BN455" s="477" t="str">
        <f>IF(OR(Inventory!$H211="",$BM455="No"),"-",Inventory!$H211)</f>
        <v>-</v>
      </c>
      <c r="BO455" s="477" t="str">
        <f>IFERROR(VLOOKUP(BN455,'Early Retirement'!$B$6:$C$33,2,FALSE),"-")</f>
        <v>-</v>
      </c>
      <c r="BP455" s="477" t="str">
        <f>IF(Inventory!$J211="Centrifugal","Yes","No")</f>
        <v>No</v>
      </c>
      <c r="BQ455" s="477">
        <f t="shared" si="321"/>
        <v>0</v>
      </c>
      <c r="BR455" s="477" t="str">
        <f t="shared" si="339"/>
        <v>-</v>
      </c>
      <c r="BS455" s="479">
        <f>IFERROR(INDEX('Early Retirement'!$C$4:$AC$33,$BO455,$BR455),0)</f>
        <v>0</v>
      </c>
      <c r="BT455" s="477">
        <f>IFERROR(HLOOKUP($BR455,'Early Retirement'!$D$4:$AC$5,2,FALSE),0)</f>
        <v>0</v>
      </c>
      <c r="BU455" s="761">
        <f>IFERROR(INDEX('Early Retirement'!$AE$4:$BE$33,$BO455,$BR455),0)</f>
        <v>0</v>
      </c>
      <c r="BV455" s="759">
        <f>IFERROR(HLOOKUP($BR455,'Early Retirement'!$AF$4:$BE$5,2,FALSE),0)</f>
        <v>0</v>
      </c>
      <c r="BW455" s="479">
        <f t="shared" si="322"/>
        <v>0</v>
      </c>
      <c r="BX455" s="761">
        <f t="shared" si="330"/>
        <v>0</v>
      </c>
      <c r="BY455" s="477" t="s">
        <v>46</v>
      </c>
      <c r="BZ455" s="598">
        <f>IFERROR(INDEX('Early Retirement'!$BG$4:$CG$33,$BO455,$BR455),0)</f>
        <v>0</v>
      </c>
      <c r="CA455" s="759">
        <f>IFERROR(HLOOKUP($BR455,'Early Retirement'!$BH$4:$CH$5,2,FALSE),0)</f>
        <v>0</v>
      </c>
      <c r="CB455" s="598">
        <f t="shared" si="331"/>
        <v>0</v>
      </c>
      <c r="CC455" s="759" t="s">
        <v>567</v>
      </c>
      <c r="CD455" s="477" t="str">
        <f t="shared" si="323"/>
        <v>Yes</v>
      </c>
      <c r="CE455" s="479">
        <f t="shared" si="332"/>
        <v>0</v>
      </c>
      <c r="CF455" s="761">
        <f t="shared" si="333"/>
        <v>0</v>
      </c>
      <c r="CG455" s="759" t="s">
        <v>46</v>
      </c>
      <c r="CH455" s="598">
        <f t="shared" si="338"/>
        <v>0</v>
      </c>
      <c r="CI455" s="759" t="s">
        <v>567</v>
      </c>
      <c r="CJ455" s="480">
        <f t="shared" si="324"/>
        <v>0</v>
      </c>
      <c r="CK455" s="583">
        <f t="shared" si="334"/>
        <v>0</v>
      </c>
      <c r="CL455" s="596" t="s">
        <v>46</v>
      </c>
      <c r="CM455" s="581">
        <f t="shared" si="335"/>
        <v>0</v>
      </c>
      <c r="CN455" s="762" t="s">
        <v>567</v>
      </c>
      <c r="CR455" s="446"/>
      <c r="CS455" s="446"/>
      <c r="CT455" s="446"/>
      <c r="CU455" s="446"/>
      <c r="CV455" s="446"/>
      <c r="CW455" s="752"/>
      <c r="CX455" s="752"/>
      <c r="CY455" s="752"/>
      <c r="CZ455" s="752"/>
      <c r="DA455" s="752"/>
      <c r="DB455" s="446"/>
      <c r="DC455" s="446"/>
      <c r="DD455" s="446"/>
      <c r="DE455" s="446"/>
      <c r="DF455" s="446"/>
      <c r="DG455" s="446"/>
      <c r="DH455" s="446"/>
      <c r="DI455" s="446"/>
      <c r="DJ455" s="446"/>
      <c r="DK455" s="446"/>
      <c r="DL455" s="446"/>
      <c r="DM455" s="446"/>
      <c r="DN455" s="446"/>
      <c r="DO455" s="446"/>
      <c r="DP455" s="446"/>
      <c r="DQ455" s="446"/>
      <c r="DR455" s="446"/>
      <c r="DS455" s="446"/>
      <c r="DT455" s="446"/>
      <c r="DU455" s="446"/>
      <c r="DV455" s="446"/>
      <c r="DW455" s="446"/>
    </row>
    <row r="456" spans="2:127" s="78" customFormat="1" ht="15" customHeight="1" x14ac:dyDescent="0.25">
      <c r="B456" s="77"/>
      <c r="E456" s="77"/>
      <c r="H456" s="77"/>
      <c r="Y456" s="90">
        <v>203</v>
      </c>
      <c r="Z456" s="559" t="str">
        <f>IF(Inventory!$C212="","",VLOOKUP(Inventory!$C212,$B$7:$C$9,2,FALSE))</f>
        <v/>
      </c>
      <c r="AA456" s="559" t="str">
        <f>IF($Z456="","",IF(AND($Z456="b",Inventory!$G212=""),"",IF(AND($Z456="b",Inventory!$G212&lt;&gt;""),VLOOKUP(Inventory!$G212,$E$3:$F$10,2,FALSE),IF(AND($Z456="a",Inventory!$Z212=""),"",IF(AND($Z456="a",Inventory!$Z212&lt;&gt;""),VLOOKUP(Inventory!$Z212,$E$3:$F$10,2,FALSE),IF(AND($Z456="c",Inventory!$Z212=""),"",IF(AND($Z456="c",Inventory!$Z212&lt;&gt;""),VLOOKUP(Inventory!$Z212,$E$3:$F$10,2,FALSE),"")))))))</f>
        <v/>
      </c>
      <c r="AB456" s="559" t="str">
        <f>IF($Z456="","a",IF(AND($Z456="b",Inventory!$J212=""),"a",IF(AND($Z456="b",Inventory!$J212&lt;&gt;""),VLOOKUP(Inventory!$J212,$H$4:$I$6,2,FALSE),IF(AND($Z456="a",Inventory!$AA212=""),"a",IF(AND($Z456="a",Inventory!$AA212&lt;&gt;""),VLOOKUP(Inventory!$AA212,$H$4:$I$6,2,FALSE),IF(AND($Z456="c",Inventory!$AA212=""),"a",IF(AND($Z456="c",Inventory!$AA212&lt;&gt;""),VLOOKUP(Inventory!$AA212,$H$4:$I$6,2,FALSE),"a")))))))</f>
        <v>a</v>
      </c>
      <c r="AC456" s="559" t="str">
        <f t="shared" si="300"/>
        <v>a</v>
      </c>
      <c r="AD456" s="473" t="str">
        <f>IF($Z456="","a",IF(AND($Z456="b",Inventory!$L212=""),"a",IF(AND($Z456="b",Inventory!$L212&lt;&gt;""),VLOOKUP(Inventory!$L212,$N$4:$O$5,2,FALSE),IF(AND($Z456="a",Inventory!$AC212=""),"a",IF(AND($Z456="a",Inventory!$AC212&lt;&gt;""),VLOOKUP(Inventory!$AC212,$N$4:$O$5,2,FALSE),IF(AND($Z456="c",Inventory!$AC212=""),"a",IF(AND($Z456="c",Inventory!$AC212&lt;&gt;""),VLOOKUP(Inventory!$AC212,$N$4:$O$5,2,FALSE),"a")))))))</f>
        <v>a</v>
      </c>
      <c r="AE456" s="474">
        <f>IF(OR(Inventory!C212="New Construction",Inventory!C212="Replace-on-Burnout"),Inventory!AF212,IF(Inventory!C212="Early Retirement",MIN(Inventory!AE212,Inventory!AF212),0))</f>
        <v>0</v>
      </c>
      <c r="AF456" s="475" t="str">
        <f t="shared" si="301"/>
        <v/>
      </c>
      <c r="AG456" s="475" t="str">
        <f t="shared" si="302"/>
        <v/>
      </c>
      <c r="AH456" s="475" t="str">
        <f t="shared" si="303"/>
        <v/>
      </c>
      <c r="AI456" s="475" t="str">
        <f t="shared" si="304"/>
        <v/>
      </c>
      <c r="AJ456" s="475" t="str">
        <f t="shared" si="305"/>
        <v/>
      </c>
      <c r="AK456" s="475" t="str">
        <f t="shared" si="306"/>
        <v/>
      </c>
      <c r="AL456" s="475" t="str">
        <f t="shared" si="307"/>
        <v/>
      </c>
      <c r="AM456" s="475" t="str">
        <f t="shared" si="308"/>
        <v/>
      </c>
      <c r="AN456" s="475" t="str">
        <f t="shared" si="309"/>
        <v/>
      </c>
      <c r="AO456" s="475" t="str">
        <f t="shared" si="310"/>
        <v/>
      </c>
      <c r="AP456" s="475" t="str">
        <f t="shared" si="311"/>
        <v/>
      </c>
      <c r="AQ456" s="475" t="str">
        <f t="shared" si="312"/>
        <v/>
      </c>
      <c r="AR456" s="475" t="str">
        <f t="shared" si="313"/>
        <v/>
      </c>
      <c r="AS456" s="475" t="str">
        <f t="shared" si="336"/>
        <v/>
      </c>
      <c r="AT456" s="475" t="str">
        <f t="shared" si="314"/>
        <v/>
      </c>
      <c r="AU456" s="475" t="str">
        <f t="shared" si="315"/>
        <v/>
      </c>
      <c r="AV456" s="475" t="str">
        <f t="shared" si="316"/>
        <v/>
      </c>
      <c r="AW456" s="473">
        <f t="shared" si="317"/>
        <v>0</v>
      </c>
      <c r="AX456" s="473" t="str">
        <f>IF(AND($Z456="b",OR($AA456="a",$AA456="b"),Inventory!$I212="",$AE456&lt;(65000/12000)),"x",IF(AND($Z456="b",OR($AA456="a",$AA456="b"),Inventory!$I212&lt;&gt;"",$AE456&lt;(65000/12000)),VLOOKUP(Inventory!$I463,$V$4:$W$5,2,FALSE),"x"))</f>
        <v>x</v>
      </c>
      <c r="AY456" s="476" t="str">
        <f t="shared" si="318"/>
        <v>aaa0</v>
      </c>
      <c r="AZ456" s="477" t="str">
        <f t="shared" si="327"/>
        <v>No</v>
      </c>
      <c r="BA456" s="759" t="str">
        <f t="shared" si="328"/>
        <v>No</v>
      </c>
      <c r="BB456" s="477">
        <f>IF($Z456="c",Inventory!$AB212,Inventory!$K212)</f>
        <v>0</v>
      </c>
      <c r="BC456" s="478">
        <f>IF(AND($Z456="b",Inventory!$N212="Btu/hr"),Inventory!$M212,IF(AND($Z456="b",Inventory!$N212="Tons"),Inventory!$M212*12000,IF(AND($Z456&lt;&gt;"b",Inventory!$AK212="Btu/hr"),Inventory!$AD212,IF(AND($Z456&lt;&gt;"b",Inventory!$AK212="Tons"),Inventory!$AD212*12000,0))))</f>
        <v>0</v>
      </c>
      <c r="BD456" s="478">
        <f t="shared" si="325"/>
        <v>0</v>
      </c>
      <c r="BE456" s="479">
        <f t="shared" si="337"/>
        <v>0</v>
      </c>
      <c r="BF456" s="477" t="s">
        <v>50</v>
      </c>
      <c r="BG456" s="479">
        <f t="shared" si="319"/>
        <v>0</v>
      </c>
      <c r="BH456" s="477" t="s">
        <v>46</v>
      </c>
      <c r="BI456" s="760">
        <f>IF(AND($Z456="b",Inventory!$P212="Btu/hr"),Inventory!$O212,IF(AND($Z456="b",Inventory!$P212="Tons"),Inventory!$O212*12000,IF(AND($Z456&lt;&gt;"b",Inventory!$AM212="Btu/hr"),Inventory!$AL212,IF(AND($Z456&lt;&gt;"b",Inventory!$AM212="Tons"),Inventory!$AL212*12000,0))))</f>
        <v>0</v>
      </c>
      <c r="BJ456" s="760">
        <f t="shared" si="326"/>
        <v>0</v>
      </c>
      <c r="BK456" s="598">
        <f t="shared" si="329"/>
        <v>0</v>
      </c>
      <c r="BL456" s="759" t="s">
        <v>567</v>
      </c>
      <c r="BM456" s="477" t="str">
        <f t="shared" si="320"/>
        <v>No</v>
      </c>
      <c r="BN456" s="477" t="str">
        <f>IF(OR(Inventory!$H212="",$BM456="No"),"-",Inventory!$H212)</f>
        <v>-</v>
      </c>
      <c r="BO456" s="477" t="str">
        <f>IFERROR(VLOOKUP(BN456,'Early Retirement'!$B$6:$C$33,2,FALSE),"-")</f>
        <v>-</v>
      </c>
      <c r="BP456" s="477" t="str">
        <f>IF(Inventory!$J212="Centrifugal","Yes","No")</f>
        <v>No</v>
      </c>
      <c r="BQ456" s="477">
        <f t="shared" si="321"/>
        <v>0</v>
      </c>
      <c r="BR456" s="477" t="str">
        <f t="shared" si="339"/>
        <v>-</v>
      </c>
      <c r="BS456" s="479">
        <f>IFERROR(INDEX('Early Retirement'!$C$4:$AC$33,$BO456,$BR456),0)</f>
        <v>0</v>
      </c>
      <c r="BT456" s="477">
        <f>IFERROR(HLOOKUP($BR456,'Early Retirement'!$D$4:$AC$5,2,FALSE),0)</f>
        <v>0</v>
      </c>
      <c r="BU456" s="761">
        <f>IFERROR(INDEX('Early Retirement'!$AE$4:$BE$33,$BO456,$BR456),0)</f>
        <v>0</v>
      </c>
      <c r="BV456" s="759">
        <f>IFERROR(HLOOKUP($BR456,'Early Retirement'!$AF$4:$BE$5,2,FALSE),0)</f>
        <v>0</v>
      </c>
      <c r="BW456" s="479">
        <f t="shared" si="322"/>
        <v>0</v>
      </c>
      <c r="BX456" s="761">
        <f t="shared" si="330"/>
        <v>0</v>
      </c>
      <c r="BY456" s="477" t="s">
        <v>46</v>
      </c>
      <c r="BZ456" s="598">
        <f>IFERROR(INDEX('Early Retirement'!$BG$4:$CG$33,$BO456,$BR456),0)</f>
        <v>0</v>
      </c>
      <c r="CA456" s="759">
        <f>IFERROR(HLOOKUP($BR456,'Early Retirement'!$BH$4:$CH$5,2,FALSE),0)</f>
        <v>0</v>
      </c>
      <c r="CB456" s="598">
        <f t="shared" si="331"/>
        <v>0</v>
      </c>
      <c r="CC456" s="759" t="s">
        <v>567</v>
      </c>
      <c r="CD456" s="477" t="str">
        <f t="shared" si="323"/>
        <v>Yes</v>
      </c>
      <c r="CE456" s="479">
        <f t="shared" si="332"/>
        <v>0</v>
      </c>
      <c r="CF456" s="761">
        <f t="shared" si="333"/>
        <v>0</v>
      </c>
      <c r="CG456" s="759" t="s">
        <v>46</v>
      </c>
      <c r="CH456" s="598">
        <f t="shared" si="338"/>
        <v>0</v>
      </c>
      <c r="CI456" s="759" t="s">
        <v>567</v>
      </c>
      <c r="CJ456" s="480">
        <f t="shared" si="324"/>
        <v>0</v>
      </c>
      <c r="CK456" s="583">
        <f t="shared" si="334"/>
        <v>0</v>
      </c>
      <c r="CL456" s="596" t="s">
        <v>46</v>
      </c>
      <c r="CM456" s="581">
        <f t="shared" si="335"/>
        <v>0</v>
      </c>
      <c r="CN456" s="762" t="s">
        <v>567</v>
      </c>
      <c r="CR456" s="446"/>
      <c r="CS456" s="446"/>
      <c r="CT456" s="446"/>
      <c r="CU456" s="446"/>
      <c r="CV456" s="446"/>
      <c r="CW456" s="752"/>
      <c r="CX456" s="752"/>
      <c r="CY456" s="752"/>
      <c r="CZ456" s="752"/>
      <c r="DA456" s="752"/>
      <c r="DB456" s="446"/>
      <c r="DC456" s="446"/>
      <c r="DD456" s="446"/>
      <c r="DE456" s="446"/>
      <c r="DF456" s="446"/>
      <c r="DG456" s="446"/>
      <c r="DH456" s="446"/>
      <c r="DI456" s="446"/>
      <c r="DJ456" s="446"/>
      <c r="DK456" s="446"/>
      <c r="DL456" s="446"/>
      <c r="DM456" s="446"/>
      <c r="DN456" s="446"/>
      <c r="DO456" s="446"/>
      <c r="DP456" s="446"/>
      <c r="DQ456" s="446"/>
      <c r="DR456" s="446"/>
      <c r="DS456" s="446"/>
      <c r="DT456" s="446"/>
      <c r="DU456" s="446"/>
      <c r="DV456" s="446"/>
      <c r="DW456" s="446"/>
    </row>
    <row r="457" spans="2:127" s="78" customFormat="1" ht="15" customHeight="1" x14ac:dyDescent="0.25">
      <c r="B457" s="77"/>
      <c r="E457" s="77"/>
      <c r="H457" s="77"/>
      <c r="Y457" s="90">
        <v>204</v>
      </c>
      <c r="Z457" s="559" t="str">
        <f>IF(Inventory!$C213="","",VLOOKUP(Inventory!$C213,$B$7:$C$9,2,FALSE))</f>
        <v/>
      </c>
      <c r="AA457" s="559" t="str">
        <f>IF($Z457="","",IF(AND($Z457="b",Inventory!$G213=""),"",IF(AND($Z457="b",Inventory!$G213&lt;&gt;""),VLOOKUP(Inventory!$G213,$E$3:$F$10,2,FALSE),IF(AND($Z457="a",Inventory!$Z213=""),"",IF(AND($Z457="a",Inventory!$Z213&lt;&gt;""),VLOOKUP(Inventory!$Z213,$E$3:$F$10,2,FALSE),IF(AND($Z457="c",Inventory!$Z213=""),"",IF(AND($Z457="c",Inventory!$Z213&lt;&gt;""),VLOOKUP(Inventory!$Z213,$E$3:$F$10,2,FALSE),"")))))))</f>
        <v/>
      </c>
      <c r="AB457" s="559" t="str">
        <f>IF($Z457="","a",IF(AND($Z457="b",Inventory!$J213=""),"a",IF(AND($Z457="b",Inventory!$J213&lt;&gt;""),VLOOKUP(Inventory!$J213,$H$4:$I$6,2,FALSE),IF(AND($Z457="a",Inventory!$AA213=""),"a",IF(AND($Z457="a",Inventory!$AA213&lt;&gt;""),VLOOKUP(Inventory!$AA213,$H$4:$I$6,2,FALSE),IF(AND($Z457="c",Inventory!$AA213=""),"a",IF(AND($Z457="c",Inventory!$AA213&lt;&gt;""),VLOOKUP(Inventory!$AA213,$H$4:$I$6,2,FALSE),"a")))))))</f>
        <v>a</v>
      </c>
      <c r="AC457" s="559" t="str">
        <f t="shared" si="300"/>
        <v>a</v>
      </c>
      <c r="AD457" s="473" t="str">
        <f>IF($Z457="","a",IF(AND($Z457="b",Inventory!$L213=""),"a",IF(AND($Z457="b",Inventory!$L213&lt;&gt;""),VLOOKUP(Inventory!$L213,$N$4:$O$5,2,FALSE),IF(AND($Z457="a",Inventory!$AC213=""),"a",IF(AND($Z457="a",Inventory!$AC213&lt;&gt;""),VLOOKUP(Inventory!$AC213,$N$4:$O$5,2,FALSE),IF(AND($Z457="c",Inventory!$AC213=""),"a",IF(AND($Z457="c",Inventory!$AC213&lt;&gt;""),VLOOKUP(Inventory!$AC213,$N$4:$O$5,2,FALSE),"a")))))))</f>
        <v>a</v>
      </c>
      <c r="AE457" s="474">
        <f>IF(OR(Inventory!C213="New Construction",Inventory!C213="Replace-on-Burnout"),Inventory!AF213,IF(Inventory!C213="Early Retirement",MIN(Inventory!AE213,Inventory!AF213),0))</f>
        <v>0</v>
      </c>
      <c r="AF457" s="475" t="str">
        <f t="shared" si="301"/>
        <v/>
      </c>
      <c r="AG457" s="475" t="str">
        <f t="shared" si="302"/>
        <v/>
      </c>
      <c r="AH457" s="475" t="str">
        <f t="shared" si="303"/>
        <v/>
      </c>
      <c r="AI457" s="475" t="str">
        <f t="shared" si="304"/>
        <v/>
      </c>
      <c r="AJ457" s="475" t="str">
        <f t="shared" si="305"/>
        <v/>
      </c>
      <c r="AK457" s="475" t="str">
        <f t="shared" si="306"/>
        <v/>
      </c>
      <c r="AL457" s="475" t="str">
        <f t="shared" si="307"/>
        <v/>
      </c>
      <c r="AM457" s="475" t="str">
        <f t="shared" si="308"/>
        <v/>
      </c>
      <c r="AN457" s="475" t="str">
        <f t="shared" si="309"/>
        <v/>
      </c>
      <c r="AO457" s="475" t="str">
        <f t="shared" si="310"/>
        <v/>
      </c>
      <c r="AP457" s="475" t="str">
        <f t="shared" si="311"/>
        <v/>
      </c>
      <c r="AQ457" s="475" t="str">
        <f t="shared" si="312"/>
        <v/>
      </c>
      <c r="AR457" s="475" t="str">
        <f t="shared" si="313"/>
        <v/>
      </c>
      <c r="AS457" s="475" t="str">
        <f t="shared" si="336"/>
        <v/>
      </c>
      <c r="AT457" s="475" t="str">
        <f t="shared" si="314"/>
        <v/>
      </c>
      <c r="AU457" s="475" t="str">
        <f t="shared" si="315"/>
        <v/>
      </c>
      <c r="AV457" s="475" t="str">
        <f t="shared" si="316"/>
        <v/>
      </c>
      <c r="AW457" s="473">
        <f t="shared" si="317"/>
        <v>0</v>
      </c>
      <c r="AX457" s="473" t="str">
        <f>IF(AND($Z457="b",OR($AA457="a",$AA457="b"),Inventory!$I213="",$AE457&lt;(65000/12000)),"x",IF(AND($Z457="b",OR($AA457="a",$AA457="b"),Inventory!$I213&lt;&gt;"",$AE457&lt;(65000/12000)),VLOOKUP(Inventory!$I464,$V$4:$W$5,2,FALSE),"x"))</f>
        <v>x</v>
      </c>
      <c r="AY457" s="476" t="str">
        <f t="shared" si="318"/>
        <v>aaa0</v>
      </c>
      <c r="AZ457" s="477" t="str">
        <f t="shared" si="327"/>
        <v>No</v>
      </c>
      <c r="BA457" s="759" t="str">
        <f t="shared" si="328"/>
        <v>No</v>
      </c>
      <c r="BB457" s="477">
        <f>IF($Z457="c",Inventory!$AB213,Inventory!$K213)</f>
        <v>0</v>
      </c>
      <c r="BC457" s="478">
        <f>IF(AND($Z457="b",Inventory!$N213="Btu/hr"),Inventory!$M213,IF(AND($Z457="b",Inventory!$N213="Tons"),Inventory!$M213*12000,IF(AND($Z457&lt;&gt;"b",Inventory!$AK213="Btu/hr"),Inventory!$AD213,IF(AND($Z457&lt;&gt;"b",Inventory!$AK213="Tons"),Inventory!$AD213*12000,0))))</f>
        <v>0</v>
      </c>
      <c r="BD457" s="478">
        <f t="shared" si="325"/>
        <v>0</v>
      </c>
      <c r="BE457" s="479">
        <f t="shared" si="337"/>
        <v>0</v>
      </c>
      <c r="BF457" s="477" t="s">
        <v>50</v>
      </c>
      <c r="BG457" s="479">
        <f t="shared" si="319"/>
        <v>0</v>
      </c>
      <c r="BH457" s="477" t="s">
        <v>46</v>
      </c>
      <c r="BI457" s="760">
        <f>IF(AND($Z457="b",Inventory!$P213="Btu/hr"),Inventory!$O213,IF(AND($Z457="b",Inventory!$P213="Tons"),Inventory!$O213*12000,IF(AND($Z457&lt;&gt;"b",Inventory!$AM213="Btu/hr"),Inventory!$AL213,IF(AND($Z457&lt;&gt;"b",Inventory!$AM213="Tons"),Inventory!$AL213*12000,0))))</f>
        <v>0</v>
      </c>
      <c r="BJ457" s="760">
        <f t="shared" si="326"/>
        <v>0</v>
      </c>
      <c r="BK457" s="598">
        <f t="shared" si="329"/>
        <v>0</v>
      </c>
      <c r="BL457" s="759" t="s">
        <v>567</v>
      </c>
      <c r="BM457" s="477" t="str">
        <f t="shared" si="320"/>
        <v>No</v>
      </c>
      <c r="BN457" s="477" t="str">
        <f>IF(OR(Inventory!$H213="",$BM457="No"),"-",Inventory!$H213)</f>
        <v>-</v>
      </c>
      <c r="BO457" s="477" t="str">
        <f>IFERROR(VLOOKUP(BN457,'Early Retirement'!$B$6:$C$33,2,FALSE),"-")</f>
        <v>-</v>
      </c>
      <c r="BP457" s="477" t="str">
        <f>IF(Inventory!$J213="Centrifugal","Yes","No")</f>
        <v>No</v>
      </c>
      <c r="BQ457" s="477">
        <f t="shared" si="321"/>
        <v>0</v>
      </c>
      <c r="BR457" s="477" t="str">
        <f t="shared" si="339"/>
        <v>-</v>
      </c>
      <c r="BS457" s="479">
        <f>IFERROR(INDEX('Early Retirement'!$C$4:$AC$33,$BO457,$BR457),0)</f>
        <v>0</v>
      </c>
      <c r="BT457" s="477">
        <f>IFERROR(HLOOKUP($BR457,'Early Retirement'!$D$4:$AC$5,2,FALSE),0)</f>
        <v>0</v>
      </c>
      <c r="BU457" s="761">
        <f>IFERROR(INDEX('Early Retirement'!$AE$4:$BE$33,$BO457,$BR457),0)</f>
        <v>0</v>
      </c>
      <c r="BV457" s="759">
        <f>IFERROR(HLOOKUP($BR457,'Early Retirement'!$AF$4:$BE$5,2,FALSE),0)</f>
        <v>0</v>
      </c>
      <c r="BW457" s="479">
        <f t="shared" si="322"/>
        <v>0</v>
      </c>
      <c r="BX457" s="761">
        <f t="shared" si="330"/>
        <v>0</v>
      </c>
      <c r="BY457" s="477" t="s">
        <v>46</v>
      </c>
      <c r="BZ457" s="598">
        <f>IFERROR(INDEX('Early Retirement'!$BG$4:$CG$33,$BO457,$BR457),0)</f>
        <v>0</v>
      </c>
      <c r="CA457" s="759">
        <f>IFERROR(HLOOKUP($BR457,'Early Retirement'!$BH$4:$CH$5,2,FALSE),0)</f>
        <v>0</v>
      </c>
      <c r="CB457" s="598">
        <f t="shared" si="331"/>
        <v>0</v>
      </c>
      <c r="CC457" s="759" t="s">
        <v>567</v>
      </c>
      <c r="CD457" s="477" t="str">
        <f t="shared" si="323"/>
        <v>Yes</v>
      </c>
      <c r="CE457" s="479">
        <f t="shared" si="332"/>
        <v>0</v>
      </c>
      <c r="CF457" s="761">
        <f t="shared" si="333"/>
        <v>0</v>
      </c>
      <c r="CG457" s="759" t="s">
        <v>46</v>
      </c>
      <c r="CH457" s="598">
        <f t="shared" si="338"/>
        <v>0</v>
      </c>
      <c r="CI457" s="759" t="s">
        <v>567</v>
      </c>
      <c r="CJ457" s="480">
        <f t="shared" si="324"/>
        <v>0</v>
      </c>
      <c r="CK457" s="583">
        <f t="shared" si="334"/>
        <v>0</v>
      </c>
      <c r="CL457" s="596" t="s">
        <v>46</v>
      </c>
      <c r="CM457" s="581">
        <f t="shared" si="335"/>
        <v>0</v>
      </c>
      <c r="CN457" s="762" t="s">
        <v>567</v>
      </c>
      <c r="CR457" s="446"/>
      <c r="CS457" s="446"/>
      <c r="CT457" s="446"/>
      <c r="CU457" s="446"/>
      <c r="CV457" s="446"/>
      <c r="CW457" s="752"/>
      <c r="CX457" s="752"/>
      <c r="CY457" s="752"/>
      <c r="CZ457" s="752"/>
      <c r="DA457" s="752"/>
      <c r="DB457" s="446"/>
      <c r="DC457" s="446"/>
      <c r="DD457" s="446"/>
      <c r="DE457" s="446"/>
      <c r="DF457" s="446"/>
      <c r="DG457" s="446"/>
      <c r="DH457" s="446"/>
      <c r="DI457" s="446"/>
      <c r="DJ457" s="446"/>
      <c r="DK457" s="446"/>
      <c r="DL457" s="446"/>
      <c r="DM457" s="446"/>
      <c r="DN457" s="446"/>
      <c r="DO457" s="446"/>
      <c r="DP457" s="446"/>
      <c r="DQ457" s="446"/>
      <c r="DR457" s="446"/>
      <c r="DS457" s="446"/>
      <c r="DT457" s="446"/>
      <c r="DU457" s="446"/>
      <c r="DV457" s="446"/>
      <c r="DW457" s="446"/>
    </row>
    <row r="458" spans="2:127" s="78" customFormat="1" ht="15" customHeight="1" x14ac:dyDescent="0.25">
      <c r="B458" s="77"/>
      <c r="E458" s="77"/>
      <c r="H458" s="77"/>
      <c r="Y458" s="90">
        <v>205</v>
      </c>
      <c r="Z458" s="559" t="str">
        <f>IF(Inventory!$C214="","",VLOOKUP(Inventory!$C214,$B$7:$C$9,2,FALSE))</f>
        <v/>
      </c>
      <c r="AA458" s="559" t="str">
        <f>IF($Z458="","",IF(AND($Z458="b",Inventory!$G214=""),"",IF(AND($Z458="b",Inventory!$G214&lt;&gt;""),VLOOKUP(Inventory!$G214,$E$3:$F$10,2,FALSE),IF(AND($Z458="a",Inventory!$Z214=""),"",IF(AND($Z458="a",Inventory!$Z214&lt;&gt;""),VLOOKUP(Inventory!$Z214,$E$3:$F$10,2,FALSE),IF(AND($Z458="c",Inventory!$Z214=""),"",IF(AND($Z458="c",Inventory!$Z214&lt;&gt;""),VLOOKUP(Inventory!$Z214,$E$3:$F$10,2,FALSE),"")))))))</f>
        <v/>
      </c>
      <c r="AB458" s="559" t="str">
        <f>IF($Z458="","a",IF(AND($Z458="b",Inventory!$J214=""),"a",IF(AND($Z458="b",Inventory!$J214&lt;&gt;""),VLOOKUP(Inventory!$J214,$H$4:$I$6,2,FALSE),IF(AND($Z458="a",Inventory!$AA214=""),"a",IF(AND($Z458="a",Inventory!$AA214&lt;&gt;""),VLOOKUP(Inventory!$AA214,$H$4:$I$6,2,FALSE),IF(AND($Z458="c",Inventory!$AA214=""),"a",IF(AND($Z458="c",Inventory!$AA214&lt;&gt;""),VLOOKUP(Inventory!$AA214,$H$4:$I$6,2,FALSE),"a")))))))</f>
        <v>a</v>
      </c>
      <c r="AC458" s="559" t="str">
        <f t="shared" si="300"/>
        <v>a</v>
      </c>
      <c r="AD458" s="473" t="str">
        <f>IF($Z458="","a",IF(AND($Z458="b",Inventory!$L214=""),"a",IF(AND($Z458="b",Inventory!$L214&lt;&gt;""),VLOOKUP(Inventory!$L214,$N$4:$O$5,2,FALSE),IF(AND($Z458="a",Inventory!$AC214=""),"a",IF(AND($Z458="a",Inventory!$AC214&lt;&gt;""),VLOOKUP(Inventory!$AC214,$N$4:$O$5,2,FALSE),IF(AND($Z458="c",Inventory!$AC214=""),"a",IF(AND($Z458="c",Inventory!$AC214&lt;&gt;""),VLOOKUP(Inventory!$AC214,$N$4:$O$5,2,FALSE),"a")))))))</f>
        <v>a</v>
      </c>
      <c r="AE458" s="474">
        <f>IF(OR(Inventory!C214="New Construction",Inventory!C214="Replace-on-Burnout"),Inventory!AF214,IF(Inventory!C214="Early Retirement",MIN(Inventory!AE214,Inventory!AF214),0))</f>
        <v>0</v>
      </c>
      <c r="AF458" s="475" t="str">
        <f t="shared" si="301"/>
        <v/>
      </c>
      <c r="AG458" s="475" t="str">
        <f t="shared" si="302"/>
        <v/>
      </c>
      <c r="AH458" s="475" t="str">
        <f t="shared" si="303"/>
        <v/>
      </c>
      <c r="AI458" s="475" t="str">
        <f t="shared" si="304"/>
        <v/>
      </c>
      <c r="AJ458" s="475" t="str">
        <f t="shared" si="305"/>
        <v/>
      </c>
      <c r="AK458" s="475" t="str">
        <f t="shared" si="306"/>
        <v/>
      </c>
      <c r="AL458" s="475" t="str">
        <f t="shared" si="307"/>
        <v/>
      </c>
      <c r="AM458" s="475" t="str">
        <f t="shared" si="308"/>
        <v/>
      </c>
      <c r="AN458" s="475" t="str">
        <f t="shared" si="309"/>
        <v/>
      </c>
      <c r="AO458" s="475" t="str">
        <f t="shared" si="310"/>
        <v/>
      </c>
      <c r="AP458" s="475" t="str">
        <f t="shared" si="311"/>
        <v/>
      </c>
      <c r="AQ458" s="475" t="str">
        <f t="shared" si="312"/>
        <v/>
      </c>
      <c r="AR458" s="475" t="str">
        <f t="shared" si="313"/>
        <v/>
      </c>
      <c r="AS458" s="475" t="str">
        <f t="shared" si="336"/>
        <v/>
      </c>
      <c r="AT458" s="475" t="str">
        <f t="shared" si="314"/>
        <v/>
      </c>
      <c r="AU458" s="475" t="str">
        <f t="shared" si="315"/>
        <v/>
      </c>
      <c r="AV458" s="475" t="str">
        <f t="shared" si="316"/>
        <v/>
      </c>
      <c r="AW458" s="473">
        <f t="shared" si="317"/>
        <v>0</v>
      </c>
      <c r="AX458" s="473" t="str">
        <f>IF(AND($Z458="b",OR($AA458="a",$AA458="b"),Inventory!$I214="",$AE458&lt;(65000/12000)),"x",IF(AND($Z458="b",OR($AA458="a",$AA458="b"),Inventory!$I214&lt;&gt;"",$AE458&lt;(65000/12000)),VLOOKUP(Inventory!$I465,$V$4:$W$5,2,FALSE),"x"))</f>
        <v>x</v>
      </c>
      <c r="AY458" s="476" t="str">
        <f t="shared" si="318"/>
        <v>aaa0</v>
      </c>
      <c r="AZ458" s="477" t="str">
        <f t="shared" si="327"/>
        <v>No</v>
      </c>
      <c r="BA458" s="759" t="str">
        <f t="shared" si="328"/>
        <v>No</v>
      </c>
      <c r="BB458" s="477">
        <f>IF($Z458="c",Inventory!$AB214,Inventory!$K214)</f>
        <v>0</v>
      </c>
      <c r="BC458" s="478">
        <f>IF(AND($Z458="b",Inventory!$N214="Btu/hr"),Inventory!$M214,IF(AND($Z458="b",Inventory!$N214="Tons"),Inventory!$M214*12000,IF(AND($Z458&lt;&gt;"b",Inventory!$AK214="Btu/hr"),Inventory!$AD214,IF(AND($Z458&lt;&gt;"b",Inventory!$AK214="Tons"),Inventory!$AD214*12000,0))))</f>
        <v>0</v>
      </c>
      <c r="BD458" s="478">
        <f t="shared" si="325"/>
        <v>0</v>
      </c>
      <c r="BE458" s="479">
        <f t="shared" si="337"/>
        <v>0</v>
      </c>
      <c r="BF458" s="477" t="s">
        <v>50</v>
      </c>
      <c r="BG458" s="479">
        <f t="shared" si="319"/>
        <v>0</v>
      </c>
      <c r="BH458" s="477" t="s">
        <v>46</v>
      </c>
      <c r="BI458" s="760">
        <f>IF(AND($Z458="b",Inventory!$P214="Btu/hr"),Inventory!$O214,IF(AND($Z458="b",Inventory!$P214="Tons"),Inventory!$O214*12000,IF(AND($Z458&lt;&gt;"b",Inventory!$AM214="Btu/hr"),Inventory!$AL214,IF(AND($Z458&lt;&gt;"b",Inventory!$AM214="Tons"),Inventory!$AL214*12000,0))))</f>
        <v>0</v>
      </c>
      <c r="BJ458" s="760">
        <f t="shared" si="326"/>
        <v>0</v>
      </c>
      <c r="BK458" s="598">
        <f t="shared" si="329"/>
        <v>0</v>
      </c>
      <c r="BL458" s="759" t="s">
        <v>567</v>
      </c>
      <c r="BM458" s="477" t="str">
        <f t="shared" si="320"/>
        <v>No</v>
      </c>
      <c r="BN458" s="477" t="str">
        <f>IF(OR(Inventory!$H214="",$BM458="No"),"-",Inventory!$H214)</f>
        <v>-</v>
      </c>
      <c r="BO458" s="477" t="str">
        <f>IFERROR(VLOOKUP(BN458,'Early Retirement'!$B$6:$C$33,2,FALSE),"-")</f>
        <v>-</v>
      </c>
      <c r="BP458" s="477" t="str">
        <f>IF(Inventory!$J214="Centrifugal","Yes","No")</f>
        <v>No</v>
      </c>
      <c r="BQ458" s="477">
        <f t="shared" si="321"/>
        <v>0</v>
      </c>
      <c r="BR458" s="477" t="str">
        <f t="shared" si="339"/>
        <v>-</v>
      </c>
      <c r="BS458" s="479">
        <f>IFERROR(INDEX('Early Retirement'!$C$4:$AC$33,$BO458,$BR458),0)</f>
        <v>0</v>
      </c>
      <c r="BT458" s="477">
        <f>IFERROR(HLOOKUP($BR458,'Early Retirement'!$D$4:$AC$5,2,FALSE),0)</f>
        <v>0</v>
      </c>
      <c r="BU458" s="761">
        <f>IFERROR(INDEX('Early Retirement'!$AE$4:$BE$33,$BO458,$BR458),0)</f>
        <v>0</v>
      </c>
      <c r="BV458" s="759">
        <f>IFERROR(HLOOKUP($BR458,'Early Retirement'!$AF$4:$BE$5,2,FALSE),0)</f>
        <v>0</v>
      </c>
      <c r="BW458" s="479">
        <f t="shared" si="322"/>
        <v>0</v>
      </c>
      <c r="BX458" s="761">
        <f t="shared" si="330"/>
        <v>0</v>
      </c>
      <c r="BY458" s="477" t="s">
        <v>46</v>
      </c>
      <c r="BZ458" s="598">
        <f>IFERROR(INDEX('Early Retirement'!$BG$4:$CG$33,$BO458,$BR458),0)</f>
        <v>0</v>
      </c>
      <c r="CA458" s="759">
        <f>IFERROR(HLOOKUP($BR458,'Early Retirement'!$BH$4:$CH$5,2,FALSE),0)</f>
        <v>0</v>
      </c>
      <c r="CB458" s="598">
        <f t="shared" si="331"/>
        <v>0</v>
      </c>
      <c r="CC458" s="759" t="s">
        <v>567</v>
      </c>
      <c r="CD458" s="477" t="str">
        <f t="shared" si="323"/>
        <v>Yes</v>
      </c>
      <c r="CE458" s="479">
        <f t="shared" si="332"/>
        <v>0</v>
      </c>
      <c r="CF458" s="761">
        <f t="shared" si="333"/>
        <v>0</v>
      </c>
      <c r="CG458" s="759" t="s">
        <v>46</v>
      </c>
      <c r="CH458" s="598">
        <f t="shared" si="338"/>
        <v>0</v>
      </c>
      <c r="CI458" s="759" t="s">
        <v>567</v>
      </c>
      <c r="CJ458" s="480">
        <f t="shared" si="324"/>
        <v>0</v>
      </c>
      <c r="CK458" s="583">
        <f t="shared" si="334"/>
        <v>0</v>
      </c>
      <c r="CL458" s="596" t="s">
        <v>46</v>
      </c>
      <c r="CM458" s="581">
        <f t="shared" si="335"/>
        <v>0</v>
      </c>
      <c r="CN458" s="762" t="s">
        <v>567</v>
      </c>
      <c r="CR458" s="446"/>
      <c r="CS458" s="446"/>
      <c r="CT458" s="446"/>
      <c r="CU458" s="446"/>
      <c r="CV458" s="446"/>
      <c r="CW458" s="752"/>
      <c r="CX458" s="752"/>
      <c r="CY458" s="752"/>
      <c r="CZ458" s="752"/>
      <c r="DA458" s="752"/>
      <c r="DB458" s="446"/>
      <c r="DC458" s="446"/>
      <c r="DD458" s="446"/>
      <c r="DE458" s="446"/>
      <c r="DF458" s="446"/>
      <c r="DG458" s="446"/>
      <c r="DH458" s="446"/>
      <c r="DI458" s="446"/>
      <c r="DJ458" s="446"/>
      <c r="DK458" s="446"/>
      <c r="DL458" s="446"/>
      <c r="DM458" s="446"/>
      <c r="DN458" s="446"/>
      <c r="DO458" s="446"/>
      <c r="DP458" s="446"/>
      <c r="DQ458" s="446"/>
      <c r="DR458" s="446"/>
      <c r="DS458" s="446"/>
      <c r="DT458" s="446"/>
      <c r="DU458" s="446"/>
      <c r="DV458" s="446"/>
      <c r="DW458" s="446"/>
    </row>
    <row r="459" spans="2:127" s="78" customFormat="1" ht="15" customHeight="1" x14ac:dyDescent="0.25">
      <c r="B459" s="77"/>
      <c r="E459" s="77"/>
      <c r="H459" s="77"/>
      <c r="Y459" s="90">
        <v>206</v>
      </c>
      <c r="Z459" s="559" t="str">
        <f>IF(Inventory!$C215="","",VLOOKUP(Inventory!$C215,$B$7:$C$9,2,FALSE))</f>
        <v/>
      </c>
      <c r="AA459" s="559" t="str">
        <f>IF($Z459="","",IF(AND($Z459="b",Inventory!$G215=""),"",IF(AND($Z459="b",Inventory!$G215&lt;&gt;""),VLOOKUP(Inventory!$G215,$E$3:$F$10,2,FALSE),IF(AND($Z459="a",Inventory!$Z215=""),"",IF(AND($Z459="a",Inventory!$Z215&lt;&gt;""),VLOOKUP(Inventory!$Z215,$E$3:$F$10,2,FALSE),IF(AND($Z459="c",Inventory!$Z215=""),"",IF(AND($Z459="c",Inventory!$Z215&lt;&gt;""),VLOOKUP(Inventory!$Z215,$E$3:$F$10,2,FALSE),"")))))))</f>
        <v/>
      </c>
      <c r="AB459" s="559" t="str">
        <f>IF($Z459="","a",IF(AND($Z459="b",Inventory!$J215=""),"a",IF(AND($Z459="b",Inventory!$J215&lt;&gt;""),VLOOKUP(Inventory!$J215,$H$4:$I$6,2,FALSE),IF(AND($Z459="a",Inventory!$AA215=""),"a",IF(AND($Z459="a",Inventory!$AA215&lt;&gt;""),VLOOKUP(Inventory!$AA215,$H$4:$I$6,2,FALSE),IF(AND($Z459="c",Inventory!$AA215=""),"a",IF(AND($Z459="c",Inventory!$AA215&lt;&gt;""),VLOOKUP(Inventory!$AA215,$H$4:$I$6,2,FALSE),"a")))))))</f>
        <v>a</v>
      </c>
      <c r="AC459" s="559" t="str">
        <f t="shared" si="300"/>
        <v>a</v>
      </c>
      <c r="AD459" s="473" t="str">
        <f>IF($Z459="","a",IF(AND($Z459="b",Inventory!$L215=""),"a",IF(AND($Z459="b",Inventory!$L215&lt;&gt;""),VLOOKUP(Inventory!$L215,$N$4:$O$5,2,FALSE),IF(AND($Z459="a",Inventory!$AC215=""),"a",IF(AND($Z459="a",Inventory!$AC215&lt;&gt;""),VLOOKUP(Inventory!$AC215,$N$4:$O$5,2,FALSE),IF(AND($Z459="c",Inventory!$AC215=""),"a",IF(AND($Z459="c",Inventory!$AC215&lt;&gt;""),VLOOKUP(Inventory!$AC215,$N$4:$O$5,2,FALSE),"a")))))))</f>
        <v>a</v>
      </c>
      <c r="AE459" s="474">
        <f>IF(OR(Inventory!C215="New Construction",Inventory!C215="Replace-on-Burnout"),Inventory!AF215,IF(Inventory!C215="Early Retirement",MIN(Inventory!AE215,Inventory!AF215),0))</f>
        <v>0</v>
      </c>
      <c r="AF459" s="475" t="str">
        <f t="shared" si="301"/>
        <v/>
      </c>
      <c r="AG459" s="475" t="str">
        <f t="shared" si="302"/>
        <v/>
      </c>
      <c r="AH459" s="475" t="str">
        <f t="shared" si="303"/>
        <v/>
      </c>
      <c r="AI459" s="475" t="str">
        <f t="shared" si="304"/>
        <v/>
      </c>
      <c r="AJ459" s="475" t="str">
        <f t="shared" si="305"/>
        <v/>
      </c>
      <c r="AK459" s="475" t="str">
        <f t="shared" si="306"/>
        <v/>
      </c>
      <c r="AL459" s="475" t="str">
        <f t="shared" si="307"/>
        <v/>
      </c>
      <c r="AM459" s="475" t="str">
        <f t="shared" si="308"/>
        <v/>
      </c>
      <c r="AN459" s="475" t="str">
        <f t="shared" si="309"/>
        <v/>
      </c>
      <c r="AO459" s="475" t="str">
        <f t="shared" si="310"/>
        <v/>
      </c>
      <c r="AP459" s="475" t="str">
        <f t="shared" si="311"/>
        <v/>
      </c>
      <c r="AQ459" s="475" t="str">
        <f t="shared" si="312"/>
        <v/>
      </c>
      <c r="AR459" s="475" t="str">
        <f t="shared" si="313"/>
        <v/>
      </c>
      <c r="AS459" s="475" t="str">
        <f t="shared" si="336"/>
        <v/>
      </c>
      <c r="AT459" s="475" t="str">
        <f t="shared" si="314"/>
        <v/>
      </c>
      <c r="AU459" s="475" t="str">
        <f t="shared" si="315"/>
        <v/>
      </c>
      <c r="AV459" s="475" t="str">
        <f t="shared" si="316"/>
        <v/>
      </c>
      <c r="AW459" s="473">
        <f t="shared" si="317"/>
        <v>0</v>
      </c>
      <c r="AX459" s="473" t="str">
        <f>IF(AND($Z459="b",OR($AA459="a",$AA459="b"),Inventory!$I215="",$AE459&lt;(65000/12000)),"x",IF(AND($Z459="b",OR($AA459="a",$AA459="b"),Inventory!$I215&lt;&gt;"",$AE459&lt;(65000/12000)),VLOOKUP(Inventory!$I466,$V$4:$W$5,2,FALSE),"x"))</f>
        <v>x</v>
      </c>
      <c r="AY459" s="476" t="str">
        <f t="shared" si="318"/>
        <v>aaa0</v>
      </c>
      <c r="AZ459" s="477" t="str">
        <f t="shared" si="327"/>
        <v>No</v>
      </c>
      <c r="BA459" s="759" t="str">
        <f t="shared" si="328"/>
        <v>No</v>
      </c>
      <c r="BB459" s="477">
        <f>IF($Z459="c",Inventory!$AB215,Inventory!$K215)</f>
        <v>0</v>
      </c>
      <c r="BC459" s="478">
        <f>IF(AND($Z459="b",Inventory!$N215="Btu/hr"),Inventory!$M215,IF(AND($Z459="b",Inventory!$N215="Tons"),Inventory!$M215*12000,IF(AND($Z459&lt;&gt;"b",Inventory!$AK215="Btu/hr"),Inventory!$AD215,IF(AND($Z459&lt;&gt;"b",Inventory!$AK215="Tons"),Inventory!$AD215*12000,0))))</f>
        <v>0</v>
      </c>
      <c r="BD459" s="478">
        <f t="shared" si="325"/>
        <v>0</v>
      </c>
      <c r="BE459" s="479">
        <f t="shared" si="337"/>
        <v>0</v>
      </c>
      <c r="BF459" s="477" t="s">
        <v>50</v>
      </c>
      <c r="BG459" s="479">
        <f t="shared" si="319"/>
        <v>0</v>
      </c>
      <c r="BH459" s="477" t="s">
        <v>46</v>
      </c>
      <c r="BI459" s="760">
        <f>IF(AND($Z459="b",Inventory!$P215="Btu/hr"),Inventory!$O215,IF(AND($Z459="b",Inventory!$P215="Tons"),Inventory!$O215*12000,IF(AND($Z459&lt;&gt;"b",Inventory!$AM215="Btu/hr"),Inventory!$AL215,IF(AND($Z459&lt;&gt;"b",Inventory!$AM215="Tons"),Inventory!$AL215*12000,0))))</f>
        <v>0</v>
      </c>
      <c r="BJ459" s="760">
        <f t="shared" si="326"/>
        <v>0</v>
      </c>
      <c r="BK459" s="598">
        <f t="shared" si="329"/>
        <v>0</v>
      </c>
      <c r="BL459" s="759" t="s">
        <v>567</v>
      </c>
      <c r="BM459" s="477" t="str">
        <f t="shared" si="320"/>
        <v>No</v>
      </c>
      <c r="BN459" s="477" t="str">
        <f>IF(OR(Inventory!$H215="",$BM459="No"),"-",Inventory!$H215)</f>
        <v>-</v>
      </c>
      <c r="BO459" s="477" t="str">
        <f>IFERROR(VLOOKUP(BN459,'Early Retirement'!$B$6:$C$33,2,FALSE),"-")</f>
        <v>-</v>
      </c>
      <c r="BP459" s="477" t="str">
        <f>IF(Inventory!$J215="Centrifugal","Yes","No")</f>
        <v>No</v>
      </c>
      <c r="BQ459" s="477">
        <f t="shared" si="321"/>
        <v>0</v>
      </c>
      <c r="BR459" s="477" t="str">
        <f t="shared" si="339"/>
        <v>-</v>
      </c>
      <c r="BS459" s="479">
        <f>IFERROR(INDEX('Early Retirement'!$C$4:$AC$33,$BO459,$BR459),0)</f>
        <v>0</v>
      </c>
      <c r="BT459" s="477">
        <f>IFERROR(HLOOKUP($BR459,'Early Retirement'!$D$4:$AC$5,2,FALSE),0)</f>
        <v>0</v>
      </c>
      <c r="BU459" s="761">
        <f>IFERROR(INDEX('Early Retirement'!$AE$4:$BE$33,$BO459,$BR459),0)</f>
        <v>0</v>
      </c>
      <c r="BV459" s="759">
        <f>IFERROR(HLOOKUP($BR459,'Early Retirement'!$AF$4:$BE$5,2,FALSE),0)</f>
        <v>0</v>
      </c>
      <c r="BW459" s="479">
        <f t="shared" si="322"/>
        <v>0</v>
      </c>
      <c r="BX459" s="761">
        <f t="shared" si="330"/>
        <v>0</v>
      </c>
      <c r="BY459" s="477" t="s">
        <v>46</v>
      </c>
      <c r="BZ459" s="598">
        <f>IFERROR(INDEX('Early Retirement'!$BG$4:$CG$33,$BO459,$BR459),0)</f>
        <v>0</v>
      </c>
      <c r="CA459" s="759">
        <f>IFERROR(HLOOKUP($BR459,'Early Retirement'!$BH$4:$CH$5,2,FALSE),0)</f>
        <v>0</v>
      </c>
      <c r="CB459" s="598">
        <f t="shared" si="331"/>
        <v>0</v>
      </c>
      <c r="CC459" s="759" t="s">
        <v>567</v>
      </c>
      <c r="CD459" s="477" t="str">
        <f t="shared" si="323"/>
        <v>Yes</v>
      </c>
      <c r="CE459" s="479">
        <f t="shared" si="332"/>
        <v>0</v>
      </c>
      <c r="CF459" s="761">
        <f t="shared" si="333"/>
        <v>0</v>
      </c>
      <c r="CG459" s="759" t="s">
        <v>46</v>
      </c>
      <c r="CH459" s="598">
        <f t="shared" si="338"/>
        <v>0</v>
      </c>
      <c r="CI459" s="759" t="s">
        <v>567</v>
      </c>
      <c r="CJ459" s="480">
        <f t="shared" si="324"/>
        <v>0</v>
      </c>
      <c r="CK459" s="583">
        <f t="shared" si="334"/>
        <v>0</v>
      </c>
      <c r="CL459" s="596" t="s">
        <v>46</v>
      </c>
      <c r="CM459" s="581">
        <f t="shared" si="335"/>
        <v>0</v>
      </c>
      <c r="CN459" s="762" t="s">
        <v>567</v>
      </c>
      <c r="CR459" s="446"/>
      <c r="CS459" s="446"/>
      <c r="CT459" s="446"/>
      <c r="CU459" s="446"/>
      <c r="CV459" s="446"/>
      <c r="CW459" s="752"/>
      <c r="CX459" s="752"/>
      <c r="CY459" s="752"/>
      <c r="CZ459" s="752"/>
      <c r="DA459" s="752"/>
      <c r="DB459" s="446"/>
      <c r="DC459" s="446"/>
      <c r="DD459" s="446"/>
      <c r="DE459" s="446"/>
      <c r="DF459" s="446"/>
      <c r="DG459" s="446"/>
      <c r="DH459" s="446"/>
      <c r="DI459" s="446"/>
      <c r="DJ459" s="446"/>
      <c r="DK459" s="446"/>
      <c r="DL459" s="446"/>
      <c r="DM459" s="446"/>
      <c r="DN459" s="446"/>
      <c r="DO459" s="446"/>
      <c r="DP459" s="446"/>
      <c r="DQ459" s="446"/>
      <c r="DR459" s="446"/>
      <c r="DS459" s="446"/>
      <c r="DT459" s="446"/>
      <c r="DU459" s="446"/>
      <c r="DV459" s="446"/>
      <c r="DW459" s="446"/>
    </row>
    <row r="460" spans="2:127" s="78" customFormat="1" ht="15" customHeight="1" x14ac:dyDescent="0.25">
      <c r="B460" s="77"/>
      <c r="E460" s="77"/>
      <c r="H460" s="77"/>
      <c r="Y460" s="90">
        <v>207</v>
      </c>
      <c r="Z460" s="559" t="str">
        <f>IF(Inventory!$C216="","",VLOOKUP(Inventory!$C216,$B$7:$C$9,2,FALSE))</f>
        <v/>
      </c>
      <c r="AA460" s="559" t="str">
        <f>IF($Z460="","",IF(AND($Z460="b",Inventory!$G216=""),"",IF(AND($Z460="b",Inventory!$G216&lt;&gt;""),VLOOKUP(Inventory!$G216,$E$3:$F$10,2,FALSE),IF(AND($Z460="a",Inventory!$Z216=""),"",IF(AND($Z460="a",Inventory!$Z216&lt;&gt;""),VLOOKUP(Inventory!$Z216,$E$3:$F$10,2,FALSE),IF(AND($Z460="c",Inventory!$Z216=""),"",IF(AND($Z460="c",Inventory!$Z216&lt;&gt;""),VLOOKUP(Inventory!$Z216,$E$3:$F$10,2,FALSE),"")))))))</f>
        <v/>
      </c>
      <c r="AB460" s="559" t="str">
        <f>IF($Z460="","a",IF(AND($Z460="b",Inventory!$J216=""),"a",IF(AND($Z460="b",Inventory!$J216&lt;&gt;""),VLOOKUP(Inventory!$J216,$H$4:$I$6,2,FALSE),IF(AND($Z460="a",Inventory!$AA216=""),"a",IF(AND($Z460="a",Inventory!$AA216&lt;&gt;""),VLOOKUP(Inventory!$AA216,$H$4:$I$6,2,FALSE),IF(AND($Z460="c",Inventory!$AA216=""),"a",IF(AND($Z460="c",Inventory!$AA216&lt;&gt;""),VLOOKUP(Inventory!$AA216,$H$4:$I$6,2,FALSE),"a")))))))</f>
        <v>a</v>
      </c>
      <c r="AC460" s="559" t="str">
        <f t="shared" si="300"/>
        <v>a</v>
      </c>
      <c r="AD460" s="473" t="str">
        <f>IF($Z460="","a",IF(AND($Z460="b",Inventory!$L216=""),"a",IF(AND($Z460="b",Inventory!$L216&lt;&gt;""),VLOOKUP(Inventory!$L216,$N$4:$O$5,2,FALSE),IF(AND($Z460="a",Inventory!$AC216=""),"a",IF(AND($Z460="a",Inventory!$AC216&lt;&gt;""),VLOOKUP(Inventory!$AC216,$N$4:$O$5,2,FALSE),IF(AND($Z460="c",Inventory!$AC216=""),"a",IF(AND($Z460="c",Inventory!$AC216&lt;&gt;""),VLOOKUP(Inventory!$AC216,$N$4:$O$5,2,FALSE),"a")))))))</f>
        <v>a</v>
      </c>
      <c r="AE460" s="474">
        <f>IF(OR(Inventory!C216="New Construction",Inventory!C216="Replace-on-Burnout"),Inventory!AF216,IF(Inventory!C216="Early Retirement",MIN(Inventory!AE216,Inventory!AF216),0))</f>
        <v>0</v>
      </c>
      <c r="AF460" s="475" t="str">
        <f t="shared" si="301"/>
        <v/>
      </c>
      <c r="AG460" s="475" t="str">
        <f t="shared" si="302"/>
        <v/>
      </c>
      <c r="AH460" s="475" t="str">
        <f t="shared" si="303"/>
        <v/>
      </c>
      <c r="AI460" s="475" t="str">
        <f t="shared" si="304"/>
        <v/>
      </c>
      <c r="AJ460" s="475" t="str">
        <f t="shared" si="305"/>
        <v/>
      </c>
      <c r="AK460" s="475" t="str">
        <f t="shared" si="306"/>
        <v/>
      </c>
      <c r="AL460" s="475" t="str">
        <f t="shared" si="307"/>
        <v/>
      </c>
      <c r="AM460" s="475" t="str">
        <f t="shared" si="308"/>
        <v/>
      </c>
      <c r="AN460" s="475" t="str">
        <f t="shared" si="309"/>
        <v/>
      </c>
      <c r="AO460" s="475" t="str">
        <f t="shared" si="310"/>
        <v/>
      </c>
      <c r="AP460" s="475" t="str">
        <f t="shared" si="311"/>
        <v/>
      </c>
      <c r="AQ460" s="475" t="str">
        <f t="shared" si="312"/>
        <v/>
      </c>
      <c r="AR460" s="475" t="str">
        <f t="shared" si="313"/>
        <v/>
      </c>
      <c r="AS460" s="475" t="str">
        <f t="shared" si="336"/>
        <v/>
      </c>
      <c r="AT460" s="475" t="str">
        <f t="shared" si="314"/>
        <v/>
      </c>
      <c r="AU460" s="475" t="str">
        <f t="shared" si="315"/>
        <v/>
      </c>
      <c r="AV460" s="475" t="str">
        <f t="shared" si="316"/>
        <v/>
      </c>
      <c r="AW460" s="473">
        <f t="shared" si="317"/>
        <v>0</v>
      </c>
      <c r="AX460" s="473" t="str">
        <f>IF(AND($Z460="b",OR($AA460="a",$AA460="b"),Inventory!$I216="",$AE460&lt;(65000/12000)),"x",IF(AND($Z460="b",OR($AA460="a",$AA460="b"),Inventory!$I216&lt;&gt;"",$AE460&lt;(65000/12000)),VLOOKUP(Inventory!$I467,$V$4:$W$5,2,FALSE),"x"))</f>
        <v>x</v>
      </c>
      <c r="AY460" s="476" t="str">
        <f t="shared" si="318"/>
        <v>aaa0</v>
      </c>
      <c r="AZ460" s="477" t="str">
        <f t="shared" si="327"/>
        <v>No</v>
      </c>
      <c r="BA460" s="759" t="str">
        <f t="shared" si="328"/>
        <v>No</v>
      </c>
      <c r="BB460" s="477">
        <f>IF($Z460="c",Inventory!$AB216,Inventory!$K216)</f>
        <v>0</v>
      </c>
      <c r="BC460" s="478">
        <f>IF(AND($Z460="b",Inventory!$N216="Btu/hr"),Inventory!$M216,IF(AND($Z460="b",Inventory!$N216="Tons"),Inventory!$M216*12000,IF(AND($Z460&lt;&gt;"b",Inventory!$AK216="Btu/hr"),Inventory!$AD216,IF(AND($Z460&lt;&gt;"b",Inventory!$AK216="Tons"),Inventory!$AD216*12000,0))))</f>
        <v>0</v>
      </c>
      <c r="BD460" s="478">
        <f t="shared" si="325"/>
        <v>0</v>
      </c>
      <c r="BE460" s="479">
        <f t="shared" si="337"/>
        <v>0</v>
      </c>
      <c r="BF460" s="477" t="s">
        <v>50</v>
      </c>
      <c r="BG460" s="479">
        <f t="shared" si="319"/>
        <v>0</v>
      </c>
      <c r="BH460" s="477" t="s">
        <v>46</v>
      </c>
      <c r="BI460" s="760">
        <f>IF(AND($Z460="b",Inventory!$P216="Btu/hr"),Inventory!$O216,IF(AND($Z460="b",Inventory!$P216="Tons"),Inventory!$O216*12000,IF(AND($Z460&lt;&gt;"b",Inventory!$AM216="Btu/hr"),Inventory!$AL216,IF(AND($Z460&lt;&gt;"b",Inventory!$AM216="Tons"),Inventory!$AL216*12000,0))))</f>
        <v>0</v>
      </c>
      <c r="BJ460" s="760">
        <f t="shared" si="326"/>
        <v>0</v>
      </c>
      <c r="BK460" s="598">
        <f t="shared" si="329"/>
        <v>0</v>
      </c>
      <c r="BL460" s="759" t="s">
        <v>567</v>
      </c>
      <c r="BM460" s="477" t="str">
        <f t="shared" si="320"/>
        <v>No</v>
      </c>
      <c r="BN460" s="477" t="str">
        <f>IF(OR(Inventory!$H216="",$BM460="No"),"-",Inventory!$H216)</f>
        <v>-</v>
      </c>
      <c r="BO460" s="477" t="str">
        <f>IFERROR(VLOOKUP(BN460,'Early Retirement'!$B$6:$C$33,2,FALSE),"-")</f>
        <v>-</v>
      </c>
      <c r="BP460" s="477" t="str">
        <f>IF(Inventory!$J216="Centrifugal","Yes","No")</f>
        <v>No</v>
      </c>
      <c r="BQ460" s="477">
        <f t="shared" si="321"/>
        <v>0</v>
      </c>
      <c r="BR460" s="477" t="str">
        <f t="shared" si="339"/>
        <v>-</v>
      </c>
      <c r="BS460" s="479">
        <f>IFERROR(INDEX('Early Retirement'!$C$4:$AC$33,$BO460,$BR460),0)</f>
        <v>0</v>
      </c>
      <c r="BT460" s="477">
        <f>IFERROR(HLOOKUP($BR460,'Early Retirement'!$D$4:$AC$5,2,FALSE),0)</f>
        <v>0</v>
      </c>
      <c r="BU460" s="761">
        <f>IFERROR(INDEX('Early Retirement'!$AE$4:$BE$33,$BO460,$BR460),0)</f>
        <v>0</v>
      </c>
      <c r="BV460" s="759">
        <f>IFERROR(HLOOKUP($BR460,'Early Retirement'!$AF$4:$BE$5,2,FALSE),0)</f>
        <v>0</v>
      </c>
      <c r="BW460" s="479">
        <f t="shared" si="322"/>
        <v>0</v>
      </c>
      <c r="BX460" s="761">
        <f t="shared" si="330"/>
        <v>0</v>
      </c>
      <c r="BY460" s="477" t="s">
        <v>46</v>
      </c>
      <c r="BZ460" s="598">
        <f>IFERROR(INDEX('Early Retirement'!$BG$4:$CG$33,$BO460,$BR460),0)</f>
        <v>0</v>
      </c>
      <c r="CA460" s="759">
        <f>IFERROR(HLOOKUP($BR460,'Early Retirement'!$BH$4:$CH$5,2,FALSE),0)</f>
        <v>0</v>
      </c>
      <c r="CB460" s="598">
        <f t="shared" si="331"/>
        <v>0</v>
      </c>
      <c r="CC460" s="759" t="s">
        <v>567</v>
      </c>
      <c r="CD460" s="477" t="str">
        <f t="shared" si="323"/>
        <v>Yes</v>
      </c>
      <c r="CE460" s="479">
        <f t="shared" si="332"/>
        <v>0</v>
      </c>
      <c r="CF460" s="761">
        <f t="shared" si="333"/>
        <v>0</v>
      </c>
      <c r="CG460" s="759" t="s">
        <v>46</v>
      </c>
      <c r="CH460" s="598">
        <f t="shared" si="338"/>
        <v>0</v>
      </c>
      <c r="CI460" s="759" t="s">
        <v>567</v>
      </c>
      <c r="CJ460" s="480">
        <f t="shared" si="324"/>
        <v>0</v>
      </c>
      <c r="CK460" s="583">
        <f t="shared" si="334"/>
        <v>0</v>
      </c>
      <c r="CL460" s="596" t="s">
        <v>46</v>
      </c>
      <c r="CM460" s="581">
        <f t="shared" si="335"/>
        <v>0</v>
      </c>
      <c r="CN460" s="762" t="s">
        <v>567</v>
      </c>
      <c r="CR460" s="446"/>
      <c r="CS460" s="446"/>
      <c r="CT460" s="446"/>
      <c r="CU460" s="446"/>
      <c r="CV460" s="446"/>
      <c r="CW460" s="752"/>
      <c r="CX460" s="752"/>
      <c r="CY460" s="752"/>
      <c r="CZ460" s="752"/>
      <c r="DA460" s="752"/>
      <c r="DB460" s="446"/>
      <c r="DC460" s="446"/>
      <c r="DD460" s="446"/>
      <c r="DE460" s="446"/>
      <c r="DF460" s="446"/>
      <c r="DG460" s="446"/>
      <c r="DH460" s="446"/>
      <c r="DI460" s="446"/>
      <c r="DJ460" s="446"/>
      <c r="DK460" s="446"/>
      <c r="DL460" s="446"/>
      <c r="DM460" s="446"/>
      <c r="DN460" s="446"/>
      <c r="DO460" s="446"/>
      <c r="DP460" s="446"/>
      <c r="DQ460" s="446"/>
      <c r="DR460" s="446"/>
      <c r="DS460" s="446"/>
      <c r="DT460" s="446"/>
      <c r="DU460" s="446"/>
      <c r="DV460" s="446"/>
      <c r="DW460" s="446"/>
    </row>
    <row r="461" spans="2:127" s="78" customFormat="1" ht="15" customHeight="1" x14ac:dyDescent="0.25">
      <c r="B461" s="77"/>
      <c r="E461" s="77"/>
      <c r="H461" s="77"/>
      <c r="Y461" s="90">
        <v>208</v>
      </c>
      <c r="Z461" s="559" t="str">
        <f>IF(Inventory!$C217="","",VLOOKUP(Inventory!$C217,$B$7:$C$9,2,FALSE))</f>
        <v/>
      </c>
      <c r="AA461" s="559" t="str">
        <f>IF($Z461="","",IF(AND($Z461="b",Inventory!$G217=""),"",IF(AND($Z461="b",Inventory!$G217&lt;&gt;""),VLOOKUP(Inventory!$G217,$E$3:$F$10,2,FALSE),IF(AND($Z461="a",Inventory!$Z217=""),"",IF(AND($Z461="a",Inventory!$Z217&lt;&gt;""),VLOOKUP(Inventory!$Z217,$E$3:$F$10,2,FALSE),IF(AND($Z461="c",Inventory!$Z217=""),"",IF(AND($Z461="c",Inventory!$Z217&lt;&gt;""),VLOOKUP(Inventory!$Z217,$E$3:$F$10,2,FALSE),"")))))))</f>
        <v/>
      </c>
      <c r="AB461" s="559" t="str">
        <f>IF($Z461="","a",IF(AND($Z461="b",Inventory!$J217=""),"a",IF(AND($Z461="b",Inventory!$J217&lt;&gt;""),VLOOKUP(Inventory!$J217,$H$4:$I$6,2,FALSE),IF(AND($Z461="a",Inventory!$AA217=""),"a",IF(AND($Z461="a",Inventory!$AA217&lt;&gt;""),VLOOKUP(Inventory!$AA217,$H$4:$I$6,2,FALSE),IF(AND($Z461="c",Inventory!$AA217=""),"a",IF(AND($Z461="c",Inventory!$AA217&lt;&gt;""),VLOOKUP(Inventory!$AA217,$H$4:$I$6,2,FALSE),"a")))))))</f>
        <v>a</v>
      </c>
      <c r="AC461" s="559" t="str">
        <f t="shared" si="300"/>
        <v>a</v>
      </c>
      <c r="AD461" s="473" t="str">
        <f>IF($Z461="","a",IF(AND($Z461="b",Inventory!$L217=""),"a",IF(AND($Z461="b",Inventory!$L217&lt;&gt;""),VLOOKUP(Inventory!$L217,$N$4:$O$5,2,FALSE),IF(AND($Z461="a",Inventory!$AC217=""),"a",IF(AND($Z461="a",Inventory!$AC217&lt;&gt;""),VLOOKUP(Inventory!$AC217,$N$4:$O$5,2,FALSE),IF(AND($Z461="c",Inventory!$AC217=""),"a",IF(AND($Z461="c",Inventory!$AC217&lt;&gt;""),VLOOKUP(Inventory!$AC217,$N$4:$O$5,2,FALSE),"a")))))))</f>
        <v>a</v>
      </c>
      <c r="AE461" s="474">
        <f>IF(OR(Inventory!C217="New Construction",Inventory!C217="Replace-on-Burnout"),Inventory!AF217,IF(Inventory!C217="Early Retirement",MIN(Inventory!AE217,Inventory!AF217),0))</f>
        <v>0</v>
      </c>
      <c r="AF461" s="475" t="str">
        <f t="shared" si="301"/>
        <v/>
      </c>
      <c r="AG461" s="475" t="str">
        <f t="shared" si="302"/>
        <v/>
      </c>
      <c r="AH461" s="475" t="str">
        <f t="shared" si="303"/>
        <v/>
      </c>
      <c r="AI461" s="475" t="str">
        <f t="shared" si="304"/>
        <v/>
      </c>
      <c r="AJ461" s="475" t="str">
        <f t="shared" si="305"/>
        <v/>
      </c>
      <c r="AK461" s="475" t="str">
        <f t="shared" si="306"/>
        <v/>
      </c>
      <c r="AL461" s="475" t="str">
        <f t="shared" si="307"/>
        <v/>
      </c>
      <c r="AM461" s="475" t="str">
        <f t="shared" si="308"/>
        <v/>
      </c>
      <c r="AN461" s="475" t="str">
        <f t="shared" si="309"/>
        <v/>
      </c>
      <c r="AO461" s="475" t="str">
        <f t="shared" si="310"/>
        <v/>
      </c>
      <c r="AP461" s="475" t="str">
        <f t="shared" si="311"/>
        <v/>
      </c>
      <c r="AQ461" s="475" t="str">
        <f t="shared" si="312"/>
        <v/>
      </c>
      <c r="AR461" s="475" t="str">
        <f t="shared" si="313"/>
        <v/>
      </c>
      <c r="AS461" s="475" t="str">
        <f t="shared" si="336"/>
        <v/>
      </c>
      <c r="AT461" s="475" t="str">
        <f t="shared" si="314"/>
        <v/>
      </c>
      <c r="AU461" s="475" t="str">
        <f t="shared" si="315"/>
        <v/>
      </c>
      <c r="AV461" s="475" t="str">
        <f t="shared" si="316"/>
        <v/>
      </c>
      <c r="AW461" s="473">
        <f t="shared" si="317"/>
        <v>0</v>
      </c>
      <c r="AX461" s="473" t="str">
        <f>IF(AND($Z461="b",OR($AA461="a",$AA461="b"),Inventory!$I217="",$AE461&lt;(65000/12000)),"x",IF(AND($Z461="b",OR($AA461="a",$AA461="b"),Inventory!$I217&lt;&gt;"",$AE461&lt;(65000/12000)),VLOOKUP(Inventory!$I468,$V$4:$W$5,2,FALSE),"x"))</f>
        <v>x</v>
      </c>
      <c r="AY461" s="476" t="str">
        <f t="shared" si="318"/>
        <v>aaa0</v>
      </c>
      <c r="AZ461" s="477" t="str">
        <f t="shared" si="327"/>
        <v>No</v>
      </c>
      <c r="BA461" s="759" t="str">
        <f t="shared" si="328"/>
        <v>No</v>
      </c>
      <c r="BB461" s="477">
        <f>IF($Z461="c",Inventory!$AB217,Inventory!$K217)</f>
        <v>0</v>
      </c>
      <c r="BC461" s="478">
        <f>IF(AND($Z461="b",Inventory!$N217="Btu/hr"),Inventory!$M217,IF(AND($Z461="b",Inventory!$N217="Tons"),Inventory!$M217*12000,IF(AND($Z461&lt;&gt;"b",Inventory!$AK217="Btu/hr"),Inventory!$AD217,IF(AND($Z461&lt;&gt;"b",Inventory!$AK217="Tons"),Inventory!$AD217*12000,0))))</f>
        <v>0</v>
      </c>
      <c r="BD461" s="478">
        <f t="shared" si="325"/>
        <v>0</v>
      </c>
      <c r="BE461" s="479">
        <f t="shared" si="337"/>
        <v>0</v>
      </c>
      <c r="BF461" s="477" t="s">
        <v>50</v>
      </c>
      <c r="BG461" s="479">
        <f t="shared" si="319"/>
        <v>0</v>
      </c>
      <c r="BH461" s="477" t="s">
        <v>46</v>
      </c>
      <c r="BI461" s="760">
        <f>IF(AND($Z461="b",Inventory!$P217="Btu/hr"),Inventory!$O217,IF(AND($Z461="b",Inventory!$P217="Tons"),Inventory!$O217*12000,IF(AND($Z461&lt;&gt;"b",Inventory!$AM217="Btu/hr"),Inventory!$AL217,IF(AND($Z461&lt;&gt;"b",Inventory!$AM217="Tons"),Inventory!$AL217*12000,0))))</f>
        <v>0</v>
      </c>
      <c r="BJ461" s="760">
        <f t="shared" si="326"/>
        <v>0</v>
      </c>
      <c r="BK461" s="598">
        <f t="shared" si="329"/>
        <v>0</v>
      </c>
      <c r="BL461" s="759" t="s">
        <v>567</v>
      </c>
      <c r="BM461" s="477" t="str">
        <f t="shared" si="320"/>
        <v>No</v>
      </c>
      <c r="BN461" s="477" t="str">
        <f>IF(OR(Inventory!$H217="",$BM461="No"),"-",Inventory!$H217)</f>
        <v>-</v>
      </c>
      <c r="BO461" s="477" t="str">
        <f>IFERROR(VLOOKUP(BN461,'Early Retirement'!$B$6:$C$33,2,FALSE),"-")</f>
        <v>-</v>
      </c>
      <c r="BP461" s="477" t="str">
        <f>IF(Inventory!$J217="Centrifugal","Yes","No")</f>
        <v>No</v>
      </c>
      <c r="BQ461" s="477">
        <f t="shared" si="321"/>
        <v>0</v>
      </c>
      <c r="BR461" s="477" t="str">
        <f t="shared" si="339"/>
        <v>-</v>
      </c>
      <c r="BS461" s="479">
        <f>IFERROR(INDEX('Early Retirement'!$C$4:$AC$33,$BO461,$BR461),0)</f>
        <v>0</v>
      </c>
      <c r="BT461" s="477">
        <f>IFERROR(HLOOKUP($BR461,'Early Retirement'!$D$4:$AC$5,2,FALSE),0)</f>
        <v>0</v>
      </c>
      <c r="BU461" s="761">
        <f>IFERROR(INDEX('Early Retirement'!$AE$4:$BE$33,$BO461,$BR461),0)</f>
        <v>0</v>
      </c>
      <c r="BV461" s="759">
        <f>IFERROR(HLOOKUP($BR461,'Early Retirement'!$AF$4:$BE$5,2,FALSE),0)</f>
        <v>0</v>
      </c>
      <c r="BW461" s="479">
        <f t="shared" si="322"/>
        <v>0</v>
      </c>
      <c r="BX461" s="761">
        <f t="shared" si="330"/>
        <v>0</v>
      </c>
      <c r="BY461" s="477" t="s">
        <v>46</v>
      </c>
      <c r="BZ461" s="598">
        <f>IFERROR(INDEX('Early Retirement'!$BG$4:$CG$33,$BO461,$BR461),0)</f>
        <v>0</v>
      </c>
      <c r="CA461" s="759">
        <f>IFERROR(HLOOKUP($BR461,'Early Retirement'!$BH$4:$CH$5,2,FALSE),0)</f>
        <v>0</v>
      </c>
      <c r="CB461" s="598">
        <f t="shared" si="331"/>
        <v>0</v>
      </c>
      <c r="CC461" s="759" t="s">
        <v>567</v>
      </c>
      <c r="CD461" s="477" t="str">
        <f t="shared" si="323"/>
        <v>Yes</v>
      </c>
      <c r="CE461" s="479">
        <f t="shared" si="332"/>
        <v>0</v>
      </c>
      <c r="CF461" s="761">
        <f t="shared" si="333"/>
        <v>0</v>
      </c>
      <c r="CG461" s="759" t="s">
        <v>46</v>
      </c>
      <c r="CH461" s="598">
        <f t="shared" si="338"/>
        <v>0</v>
      </c>
      <c r="CI461" s="759" t="s">
        <v>567</v>
      </c>
      <c r="CJ461" s="480">
        <f t="shared" si="324"/>
        <v>0</v>
      </c>
      <c r="CK461" s="583">
        <f t="shared" si="334"/>
        <v>0</v>
      </c>
      <c r="CL461" s="596" t="s">
        <v>46</v>
      </c>
      <c r="CM461" s="581">
        <f t="shared" si="335"/>
        <v>0</v>
      </c>
      <c r="CN461" s="762" t="s">
        <v>567</v>
      </c>
      <c r="CR461" s="446"/>
      <c r="CS461" s="446"/>
      <c r="CT461" s="446"/>
      <c r="CU461" s="446"/>
      <c r="CV461" s="446"/>
      <c r="CW461" s="752"/>
      <c r="CX461" s="752"/>
      <c r="CY461" s="752"/>
      <c r="CZ461" s="752"/>
      <c r="DA461" s="752"/>
      <c r="DB461" s="446"/>
      <c r="DC461" s="446"/>
      <c r="DD461" s="446"/>
      <c r="DE461" s="446"/>
      <c r="DF461" s="446"/>
      <c r="DG461" s="446"/>
      <c r="DH461" s="446"/>
      <c r="DI461" s="446"/>
      <c r="DJ461" s="446"/>
      <c r="DK461" s="446"/>
      <c r="DL461" s="446"/>
      <c r="DM461" s="446"/>
      <c r="DN461" s="446"/>
      <c r="DO461" s="446"/>
      <c r="DP461" s="446"/>
      <c r="DQ461" s="446"/>
      <c r="DR461" s="446"/>
      <c r="DS461" s="446"/>
      <c r="DT461" s="446"/>
      <c r="DU461" s="446"/>
      <c r="DV461" s="446"/>
      <c r="DW461" s="446"/>
    </row>
    <row r="462" spans="2:127" s="78" customFormat="1" ht="15" customHeight="1" x14ac:dyDescent="0.25">
      <c r="B462" s="77"/>
      <c r="E462" s="77"/>
      <c r="H462" s="77"/>
      <c r="Y462" s="90">
        <v>209</v>
      </c>
      <c r="Z462" s="559" t="str">
        <f>IF(Inventory!$C218="","",VLOOKUP(Inventory!$C218,$B$7:$C$9,2,FALSE))</f>
        <v/>
      </c>
      <c r="AA462" s="559" t="str">
        <f>IF($Z462="","",IF(AND($Z462="b",Inventory!$G218=""),"",IF(AND($Z462="b",Inventory!$G218&lt;&gt;""),VLOOKUP(Inventory!$G218,$E$3:$F$10,2,FALSE),IF(AND($Z462="a",Inventory!$Z218=""),"",IF(AND($Z462="a",Inventory!$Z218&lt;&gt;""),VLOOKUP(Inventory!$Z218,$E$3:$F$10,2,FALSE),IF(AND($Z462="c",Inventory!$Z218=""),"",IF(AND($Z462="c",Inventory!$Z218&lt;&gt;""),VLOOKUP(Inventory!$Z218,$E$3:$F$10,2,FALSE),"")))))))</f>
        <v/>
      </c>
      <c r="AB462" s="559" t="str">
        <f>IF($Z462="","a",IF(AND($Z462="b",Inventory!$J218=""),"a",IF(AND($Z462="b",Inventory!$J218&lt;&gt;""),VLOOKUP(Inventory!$J218,$H$4:$I$6,2,FALSE),IF(AND($Z462="a",Inventory!$AA218=""),"a",IF(AND($Z462="a",Inventory!$AA218&lt;&gt;""),VLOOKUP(Inventory!$AA218,$H$4:$I$6,2,FALSE),IF(AND($Z462="c",Inventory!$AA218=""),"a",IF(AND($Z462="c",Inventory!$AA218&lt;&gt;""),VLOOKUP(Inventory!$AA218,$H$4:$I$6,2,FALSE),"a")))))))</f>
        <v>a</v>
      </c>
      <c r="AC462" s="559" t="str">
        <f t="shared" si="300"/>
        <v>a</v>
      </c>
      <c r="AD462" s="473" t="str">
        <f>IF($Z462="","a",IF(AND($Z462="b",Inventory!$L218=""),"a",IF(AND($Z462="b",Inventory!$L218&lt;&gt;""),VLOOKUP(Inventory!$L218,$N$4:$O$5,2,FALSE),IF(AND($Z462="a",Inventory!$AC218=""),"a",IF(AND($Z462="a",Inventory!$AC218&lt;&gt;""),VLOOKUP(Inventory!$AC218,$N$4:$O$5,2,FALSE),IF(AND($Z462="c",Inventory!$AC218=""),"a",IF(AND($Z462="c",Inventory!$AC218&lt;&gt;""),VLOOKUP(Inventory!$AC218,$N$4:$O$5,2,FALSE),"a")))))))</f>
        <v>a</v>
      </c>
      <c r="AE462" s="474">
        <f>IF(OR(Inventory!C218="New Construction",Inventory!C218="Replace-on-Burnout"),Inventory!AF218,IF(Inventory!C218="Early Retirement",MIN(Inventory!AE218,Inventory!AF218),0))</f>
        <v>0</v>
      </c>
      <c r="AF462" s="475" t="str">
        <f t="shared" si="301"/>
        <v/>
      </c>
      <c r="AG462" s="475" t="str">
        <f t="shared" si="302"/>
        <v/>
      </c>
      <c r="AH462" s="475" t="str">
        <f t="shared" si="303"/>
        <v/>
      </c>
      <c r="AI462" s="475" t="str">
        <f t="shared" si="304"/>
        <v/>
      </c>
      <c r="AJ462" s="475" t="str">
        <f t="shared" si="305"/>
        <v/>
      </c>
      <c r="AK462" s="475" t="str">
        <f t="shared" si="306"/>
        <v/>
      </c>
      <c r="AL462" s="475" t="str">
        <f t="shared" si="307"/>
        <v/>
      </c>
      <c r="AM462" s="475" t="str">
        <f t="shared" si="308"/>
        <v/>
      </c>
      <c r="AN462" s="475" t="str">
        <f t="shared" si="309"/>
        <v/>
      </c>
      <c r="AO462" s="475" t="str">
        <f t="shared" si="310"/>
        <v/>
      </c>
      <c r="AP462" s="475" t="str">
        <f t="shared" si="311"/>
        <v/>
      </c>
      <c r="AQ462" s="475" t="str">
        <f t="shared" si="312"/>
        <v/>
      </c>
      <c r="AR462" s="475" t="str">
        <f t="shared" si="313"/>
        <v/>
      </c>
      <c r="AS462" s="475" t="str">
        <f t="shared" si="336"/>
        <v/>
      </c>
      <c r="AT462" s="475" t="str">
        <f t="shared" si="314"/>
        <v/>
      </c>
      <c r="AU462" s="475" t="str">
        <f t="shared" si="315"/>
        <v/>
      </c>
      <c r="AV462" s="475" t="str">
        <f t="shared" si="316"/>
        <v/>
      </c>
      <c r="AW462" s="473">
        <f t="shared" si="317"/>
        <v>0</v>
      </c>
      <c r="AX462" s="473" t="str">
        <f>IF(AND($Z462="b",OR($AA462="a",$AA462="b"),Inventory!$I218="",$AE462&lt;(65000/12000)),"x",IF(AND($Z462="b",OR($AA462="a",$AA462="b"),Inventory!$I218&lt;&gt;"",$AE462&lt;(65000/12000)),VLOOKUP(Inventory!$I469,$V$4:$W$5,2,FALSE),"x"))</f>
        <v>x</v>
      </c>
      <c r="AY462" s="476" t="str">
        <f t="shared" si="318"/>
        <v>aaa0</v>
      </c>
      <c r="AZ462" s="477" t="str">
        <f t="shared" si="327"/>
        <v>No</v>
      </c>
      <c r="BA462" s="759" t="str">
        <f t="shared" si="328"/>
        <v>No</v>
      </c>
      <c r="BB462" s="477">
        <f>IF($Z462="c",Inventory!$AB218,Inventory!$K218)</f>
        <v>0</v>
      </c>
      <c r="BC462" s="478">
        <f>IF(AND($Z462="b",Inventory!$N218="Btu/hr"),Inventory!$M218,IF(AND($Z462="b",Inventory!$N218="Tons"),Inventory!$M218*12000,IF(AND($Z462&lt;&gt;"b",Inventory!$AK218="Btu/hr"),Inventory!$AD218,IF(AND($Z462&lt;&gt;"b",Inventory!$AK218="Tons"),Inventory!$AD218*12000,0))))</f>
        <v>0</v>
      </c>
      <c r="BD462" s="478">
        <f t="shared" si="325"/>
        <v>0</v>
      </c>
      <c r="BE462" s="479">
        <f t="shared" si="337"/>
        <v>0</v>
      </c>
      <c r="BF462" s="477" t="s">
        <v>50</v>
      </c>
      <c r="BG462" s="479">
        <f t="shared" si="319"/>
        <v>0</v>
      </c>
      <c r="BH462" s="477" t="s">
        <v>46</v>
      </c>
      <c r="BI462" s="760">
        <f>IF(AND($Z462="b",Inventory!$P218="Btu/hr"),Inventory!$O218,IF(AND($Z462="b",Inventory!$P218="Tons"),Inventory!$O218*12000,IF(AND($Z462&lt;&gt;"b",Inventory!$AM218="Btu/hr"),Inventory!$AL218,IF(AND($Z462&lt;&gt;"b",Inventory!$AM218="Tons"),Inventory!$AL218*12000,0))))</f>
        <v>0</v>
      </c>
      <c r="BJ462" s="760">
        <f t="shared" si="326"/>
        <v>0</v>
      </c>
      <c r="BK462" s="598">
        <f t="shared" si="329"/>
        <v>0</v>
      </c>
      <c r="BL462" s="759" t="s">
        <v>567</v>
      </c>
      <c r="BM462" s="477" t="str">
        <f t="shared" si="320"/>
        <v>No</v>
      </c>
      <c r="BN462" s="477" t="str">
        <f>IF(OR(Inventory!$H218="",$BM462="No"),"-",Inventory!$H218)</f>
        <v>-</v>
      </c>
      <c r="BO462" s="477" t="str">
        <f>IFERROR(VLOOKUP(BN462,'Early Retirement'!$B$6:$C$33,2,FALSE),"-")</f>
        <v>-</v>
      </c>
      <c r="BP462" s="477" t="str">
        <f>IF(Inventory!$J218="Centrifugal","Yes","No")</f>
        <v>No</v>
      </c>
      <c r="BQ462" s="477">
        <f t="shared" si="321"/>
        <v>0</v>
      </c>
      <c r="BR462" s="477" t="str">
        <f t="shared" si="339"/>
        <v>-</v>
      </c>
      <c r="BS462" s="479">
        <f>IFERROR(INDEX('Early Retirement'!$C$4:$AC$33,$BO462,$BR462),0)</f>
        <v>0</v>
      </c>
      <c r="BT462" s="477">
        <f>IFERROR(HLOOKUP($BR462,'Early Retirement'!$D$4:$AC$5,2,FALSE),0)</f>
        <v>0</v>
      </c>
      <c r="BU462" s="761">
        <f>IFERROR(INDEX('Early Retirement'!$AE$4:$BE$33,$BO462,$BR462),0)</f>
        <v>0</v>
      </c>
      <c r="BV462" s="759">
        <f>IFERROR(HLOOKUP($BR462,'Early Retirement'!$AF$4:$BE$5,2,FALSE),0)</f>
        <v>0</v>
      </c>
      <c r="BW462" s="479">
        <f t="shared" si="322"/>
        <v>0</v>
      </c>
      <c r="BX462" s="761">
        <f t="shared" si="330"/>
        <v>0</v>
      </c>
      <c r="BY462" s="477" t="s">
        <v>46</v>
      </c>
      <c r="BZ462" s="598">
        <f>IFERROR(INDEX('Early Retirement'!$BG$4:$CG$33,$BO462,$BR462),0)</f>
        <v>0</v>
      </c>
      <c r="CA462" s="759">
        <f>IFERROR(HLOOKUP($BR462,'Early Retirement'!$BH$4:$CH$5,2,FALSE),0)</f>
        <v>0</v>
      </c>
      <c r="CB462" s="598">
        <f t="shared" si="331"/>
        <v>0</v>
      </c>
      <c r="CC462" s="759" t="s">
        <v>567</v>
      </c>
      <c r="CD462" s="477" t="str">
        <f t="shared" si="323"/>
        <v>Yes</v>
      </c>
      <c r="CE462" s="479">
        <f t="shared" si="332"/>
        <v>0</v>
      </c>
      <c r="CF462" s="761">
        <f t="shared" si="333"/>
        <v>0</v>
      </c>
      <c r="CG462" s="759" t="s">
        <v>46</v>
      </c>
      <c r="CH462" s="598">
        <f t="shared" si="338"/>
        <v>0</v>
      </c>
      <c r="CI462" s="759" t="s">
        <v>567</v>
      </c>
      <c r="CJ462" s="480">
        <f t="shared" si="324"/>
        <v>0</v>
      </c>
      <c r="CK462" s="583">
        <f t="shared" si="334"/>
        <v>0</v>
      </c>
      <c r="CL462" s="596" t="s">
        <v>46</v>
      </c>
      <c r="CM462" s="581">
        <f t="shared" si="335"/>
        <v>0</v>
      </c>
      <c r="CN462" s="762" t="s">
        <v>567</v>
      </c>
      <c r="CR462" s="446"/>
      <c r="CS462" s="446"/>
      <c r="CT462" s="446"/>
      <c r="CU462" s="446"/>
      <c r="CV462" s="446"/>
      <c r="CW462" s="752"/>
      <c r="CX462" s="752"/>
      <c r="CY462" s="752"/>
      <c r="CZ462" s="752"/>
      <c r="DA462" s="752"/>
      <c r="DB462" s="446"/>
      <c r="DC462" s="446"/>
      <c r="DD462" s="446"/>
      <c r="DE462" s="446"/>
      <c r="DF462" s="446"/>
      <c r="DG462" s="446"/>
      <c r="DH462" s="446"/>
      <c r="DI462" s="446"/>
      <c r="DJ462" s="446"/>
      <c r="DK462" s="446"/>
      <c r="DL462" s="446"/>
      <c r="DM462" s="446"/>
      <c r="DN462" s="446"/>
      <c r="DO462" s="446"/>
      <c r="DP462" s="446"/>
      <c r="DQ462" s="446"/>
      <c r="DR462" s="446"/>
      <c r="DS462" s="446"/>
      <c r="DT462" s="446"/>
      <c r="DU462" s="446"/>
      <c r="DV462" s="446"/>
      <c r="DW462" s="446"/>
    </row>
    <row r="463" spans="2:127" s="78" customFormat="1" ht="15" customHeight="1" x14ac:dyDescent="0.25">
      <c r="B463" s="77"/>
      <c r="E463" s="77"/>
      <c r="H463" s="77"/>
      <c r="Y463" s="90">
        <v>210</v>
      </c>
      <c r="Z463" s="559" t="str">
        <f>IF(Inventory!$C219="","",VLOOKUP(Inventory!$C219,$B$7:$C$9,2,FALSE))</f>
        <v/>
      </c>
      <c r="AA463" s="559" t="str">
        <f>IF($Z463="","",IF(AND($Z463="b",Inventory!$G219=""),"",IF(AND($Z463="b",Inventory!$G219&lt;&gt;""),VLOOKUP(Inventory!$G219,$E$3:$F$10,2,FALSE),IF(AND($Z463="a",Inventory!$Z219=""),"",IF(AND($Z463="a",Inventory!$Z219&lt;&gt;""),VLOOKUP(Inventory!$Z219,$E$3:$F$10,2,FALSE),IF(AND($Z463="c",Inventory!$Z219=""),"",IF(AND($Z463="c",Inventory!$Z219&lt;&gt;""),VLOOKUP(Inventory!$Z219,$E$3:$F$10,2,FALSE),"")))))))</f>
        <v/>
      </c>
      <c r="AB463" s="559" t="str">
        <f>IF($Z463="","a",IF(AND($Z463="b",Inventory!$J219=""),"a",IF(AND($Z463="b",Inventory!$J219&lt;&gt;""),VLOOKUP(Inventory!$J219,$H$4:$I$6,2,FALSE),IF(AND($Z463="a",Inventory!$AA219=""),"a",IF(AND($Z463="a",Inventory!$AA219&lt;&gt;""),VLOOKUP(Inventory!$AA219,$H$4:$I$6,2,FALSE),IF(AND($Z463="c",Inventory!$AA219=""),"a",IF(AND($Z463="c",Inventory!$AA219&lt;&gt;""),VLOOKUP(Inventory!$AA219,$H$4:$I$6,2,FALSE),"a")))))))</f>
        <v>a</v>
      </c>
      <c r="AC463" s="559" t="str">
        <f t="shared" si="300"/>
        <v>a</v>
      </c>
      <c r="AD463" s="473" t="str">
        <f>IF($Z463="","a",IF(AND($Z463="b",Inventory!$L219=""),"a",IF(AND($Z463="b",Inventory!$L219&lt;&gt;""),VLOOKUP(Inventory!$L219,$N$4:$O$5,2,FALSE),IF(AND($Z463="a",Inventory!$AC219=""),"a",IF(AND($Z463="a",Inventory!$AC219&lt;&gt;""),VLOOKUP(Inventory!$AC219,$N$4:$O$5,2,FALSE),IF(AND($Z463="c",Inventory!$AC219=""),"a",IF(AND($Z463="c",Inventory!$AC219&lt;&gt;""),VLOOKUP(Inventory!$AC219,$N$4:$O$5,2,FALSE),"a")))))))</f>
        <v>a</v>
      </c>
      <c r="AE463" s="474">
        <f>IF(OR(Inventory!C219="New Construction",Inventory!C219="Replace-on-Burnout"),Inventory!AF219,IF(Inventory!C219="Early Retirement",MIN(Inventory!AE219,Inventory!AF219),0))</f>
        <v>0</v>
      </c>
      <c r="AF463" s="475" t="str">
        <f t="shared" si="301"/>
        <v/>
      </c>
      <c r="AG463" s="475" t="str">
        <f t="shared" si="302"/>
        <v/>
      </c>
      <c r="AH463" s="475" t="str">
        <f t="shared" si="303"/>
        <v/>
      </c>
      <c r="AI463" s="475" t="str">
        <f t="shared" si="304"/>
        <v/>
      </c>
      <c r="AJ463" s="475" t="str">
        <f t="shared" si="305"/>
        <v/>
      </c>
      <c r="AK463" s="475" t="str">
        <f t="shared" si="306"/>
        <v/>
      </c>
      <c r="AL463" s="475" t="str">
        <f t="shared" si="307"/>
        <v/>
      </c>
      <c r="AM463" s="475" t="str">
        <f t="shared" si="308"/>
        <v/>
      </c>
      <c r="AN463" s="475" t="str">
        <f t="shared" si="309"/>
        <v/>
      </c>
      <c r="AO463" s="475" t="str">
        <f t="shared" si="310"/>
        <v/>
      </c>
      <c r="AP463" s="475" t="str">
        <f t="shared" si="311"/>
        <v/>
      </c>
      <c r="AQ463" s="475" t="str">
        <f t="shared" si="312"/>
        <v/>
      </c>
      <c r="AR463" s="475" t="str">
        <f t="shared" si="313"/>
        <v/>
      </c>
      <c r="AS463" s="475" t="str">
        <f t="shared" si="336"/>
        <v/>
      </c>
      <c r="AT463" s="475" t="str">
        <f t="shared" si="314"/>
        <v/>
      </c>
      <c r="AU463" s="475" t="str">
        <f t="shared" si="315"/>
        <v/>
      </c>
      <c r="AV463" s="475" t="str">
        <f t="shared" si="316"/>
        <v/>
      </c>
      <c r="AW463" s="473">
        <f t="shared" si="317"/>
        <v>0</v>
      </c>
      <c r="AX463" s="473" t="str">
        <f>IF(AND($Z463="b",OR($AA463="a",$AA463="b"),Inventory!$I219="",$AE463&lt;(65000/12000)),"x",IF(AND($Z463="b",OR($AA463="a",$AA463="b"),Inventory!$I219&lt;&gt;"",$AE463&lt;(65000/12000)),VLOOKUP(Inventory!$I470,$V$4:$W$5,2,FALSE),"x"))</f>
        <v>x</v>
      </c>
      <c r="AY463" s="476" t="str">
        <f t="shared" si="318"/>
        <v>aaa0</v>
      </c>
      <c r="AZ463" s="477" t="str">
        <f t="shared" si="327"/>
        <v>No</v>
      </c>
      <c r="BA463" s="759" t="str">
        <f t="shared" si="328"/>
        <v>No</v>
      </c>
      <c r="BB463" s="477">
        <f>IF($Z463="c",Inventory!$AB219,Inventory!$K219)</f>
        <v>0</v>
      </c>
      <c r="BC463" s="478">
        <f>IF(AND($Z463="b",Inventory!$N219="Btu/hr"),Inventory!$M219,IF(AND($Z463="b",Inventory!$N219="Tons"),Inventory!$M219*12000,IF(AND($Z463&lt;&gt;"b",Inventory!$AK219="Btu/hr"),Inventory!$AD219,IF(AND($Z463&lt;&gt;"b",Inventory!$AK219="Tons"),Inventory!$AD219*12000,0))))</f>
        <v>0</v>
      </c>
      <c r="BD463" s="478">
        <f t="shared" si="325"/>
        <v>0</v>
      </c>
      <c r="BE463" s="479">
        <f t="shared" si="337"/>
        <v>0</v>
      </c>
      <c r="BF463" s="477" t="s">
        <v>50</v>
      </c>
      <c r="BG463" s="479">
        <f t="shared" si="319"/>
        <v>0</v>
      </c>
      <c r="BH463" s="477" t="s">
        <v>46</v>
      </c>
      <c r="BI463" s="760">
        <f>IF(AND($Z463="b",Inventory!$P219="Btu/hr"),Inventory!$O219,IF(AND($Z463="b",Inventory!$P219="Tons"),Inventory!$O219*12000,IF(AND($Z463&lt;&gt;"b",Inventory!$AM219="Btu/hr"),Inventory!$AL219,IF(AND($Z463&lt;&gt;"b",Inventory!$AM219="Tons"),Inventory!$AL219*12000,0))))</f>
        <v>0</v>
      </c>
      <c r="BJ463" s="760">
        <f t="shared" si="326"/>
        <v>0</v>
      </c>
      <c r="BK463" s="598">
        <f t="shared" si="329"/>
        <v>0</v>
      </c>
      <c r="BL463" s="759" t="s">
        <v>567</v>
      </c>
      <c r="BM463" s="477" t="str">
        <f t="shared" si="320"/>
        <v>No</v>
      </c>
      <c r="BN463" s="477" t="str">
        <f>IF(OR(Inventory!$H219="",$BM463="No"),"-",Inventory!$H219)</f>
        <v>-</v>
      </c>
      <c r="BO463" s="477" t="str">
        <f>IFERROR(VLOOKUP(BN463,'Early Retirement'!$B$6:$C$33,2,FALSE),"-")</f>
        <v>-</v>
      </c>
      <c r="BP463" s="477" t="str">
        <f>IF(Inventory!$J219="Centrifugal","Yes","No")</f>
        <v>No</v>
      </c>
      <c r="BQ463" s="477">
        <f t="shared" si="321"/>
        <v>0</v>
      </c>
      <c r="BR463" s="477" t="str">
        <f t="shared" si="339"/>
        <v>-</v>
      </c>
      <c r="BS463" s="479">
        <f>IFERROR(INDEX('Early Retirement'!$C$4:$AC$33,$BO463,$BR463),0)</f>
        <v>0</v>
      </c>
      <c r="BT463" s="477">
        <f>IFERROR(HLOOKUP($BR463,'Early Retirement'!$D$4:$AC$5,2,FALSE),0)</f>
        <v>0</v>
      </c>
      <c r="BU463" s="761">
        <f>IFERROR(INDEX('Early Retirement'!$AE$4:$BE$33,$BO463,$BR463),0)</f>
        <v>0</v>
      </c>
      <c r="BV463" s="759">
        <f>IFERROR(HLOOKUP($BR463,'Early Retirement'!$AF$4:$BE$5,2,FALSE),0)</f>
        <v>0</v>
      </c>
      <c r="BW463" s="479">
        <f t="shared" si="322"/>
        <v>0</v>
      </c>
      <c r="BX463" s="761">
        <f t="shared" si="330"/>
        <v>0</v>
      </c>
      <c r="BY463" s="477" t="s">
        <v>46</v>
      </c>
      <c r="BZ463" s="598">
        <f>IFERROR(INDEX('Early Retirement'!$BG$4:$CG$33,$BO463,$BR463),0)</f>
        <v>0</v>
      </c>
      <c r="CA463" s="759">
        <f>IFERROR(HLOOKUP($BR463,'Early Retirement'!$BH$4:$CH$5,2,FALSE),0)</f>
        <v>0</v>
      </c>
      <c r="CB463" s="598">
        <f t="shared" si="331"/>
        <v>0</v>
      </c>
      <c r="CC463" s="759" t="s">
        <v>567</v>
      </c>
      <c r="CD463" s="477" t="str">
        <f t="shared" si="323"/>
        <v>Yes</v>
      </c>
      <c r="CE463" s="479">
        <f t="shared" si="332"/>
        <v>0</v>
      </c>
      <c r="CF463" s="761">
        <f t="shared" si="333"/>
        <v>0</v>
      </c>
      <c r="CG463" s="759" t="s">
        <v>46</v>
      </c>
      <c r="CH463" s="598">
        <f t="shared" si="338"/>
        <v>0</v>
      </c>
      <c r="CI463" s="759" t="s">
        <v>567</v>
      </c>
      <c r="CJ463" s="480">
        <f t="shared" si="324"/>
        <v>0</v>
      </c>
      <c r="CK463" s="583">
        <f t="shared" si="334"/>
        <v>0</v>
      </c>
      <c r="CL463" s="596" t="s">
        <v>46</v>
      </c>
      <c r="CM463" s="581">
        <f t="shared" si="335"/>
        <v>0</v>
      </c>
      <c r="CN463" s="762" t="s">
        <v>567</v>
      </c>
      <c r="CR463" s="446"/>
      <c r="CS463" s="446"/>
      <c r="CT463" s="446"/>
      <c r="CU463" s="446"/>
      <c r="CV463" s="446"/>
      <c r="CW463" s="752"/>
      <c r="CX463" s="752"/>
      <c r="CY463" s="752"/>
      <c r="CZ463" s="752"/>
      <c r="DA463" s="752"/>
      <c r="DB463" s="446"/>
      <c r="DC463" s="446"/>
      <c r="DD463" s="446"/>
      <c r="DE463" s="446"/>
      <c r="DF463" s="446"/>
      <c r="DG463" s="446"/>
      <c r="DH463" s="446"/>
      <c r="DI463" s="446"/>
      <c r="DJ463" s="446"/>
      <c r="DK463" s="446"/>
      <c r="DL463" s="446"/>
      <c r="DM463" s="446"/>
      <c r="DN463" s="446"/>
      <c r="DO463" s="446"/>
      <c r="DP463" s="446"/>
      <c r="DQ463" s="446"/>
      <c r="DR463" s="446"/>
      <c r="DS463" s="446"/>
      <c r="DT463" s="446"/>
      <c r="DU463" s="446"/>
      <c r="DV463" s="446"/>
      <c r="DW463" s="446"/>
    </row>
    <row r="464" spans="2:127" s="78" customFormat="1" ht="15" customHeight="1" x14ac:dyDescent="0.25">
      <c r="B464" s="77"/>
      <c r="E464" s="77"/>
      <c r="H464" s="77"/>
      <c r="Y464" s="90">
        <v>211</v>
      </c>
      <c r="Z464" s="559" t="str">
        <f>IF(Inventory!$C220="","",VLOOKUP(Inventory!$C220,$B$7:$C$9,2,FALSE))</f>
        <v/>
      </c>
      <c r="AA464" s="559" t="str">
        <f>IF($Z464="","",IF(AND($Z464="b",Inventory!$G220=""),"",IF(AND($Z464="b",Inventory!$G220&lt;&gt;""),VLOOKUP(Inventory!$G220,$E$3:$F$10,2,FALSE),IF(AND($Z464="a",Inventory!$Z220=""),"",IF(AND($Z464="a",Inventory!$Z220&lt;&gt;""),VLOOKUP(Inventory!$Z220,$E$3:$F$10,2,FALSE),IF(AND($Z464="c",Inventory!$Z220=""),"",IF(AND($Z464="c",Inventory!$Z220&lt;&gt;""),VLOOKUP(Inventory!$Z220,$E$3:$F$10,2,FALSE),"")))))))</f>
        <v/>
      </c>
      <c r="AB464" s="559" t="str">
        <f>IF($Z464="","a",IF(AND($Z464="b",Inventory!$J220=""),"a",IF(AND($Z464="b",Inventory!$J220&lt;&gt;""),VLOOKUP(Inventory!$J220,$H$4:$I$6,2,FALSE),IF(AND($Z464="a",Inventory!$AA220=""),"a",IF(AND($Z464="a",Inventory!$AA220&lt;&gt;""),VLOOKUP(Inventory!$AA220,$H$4:$I$6,2,FALSE),IF(AND($Z464="c",Inventory!$AA220=""),"a",IF(AND($Z464="c",Inventory!$AA220&lt;&gt;""),VLOOKUP(Inventory!$AA220,$H$4:$I$6,2,FALSE),"a")))))))</f>
        <v>a</v>
      </c>
      <c r="AC464" s="559" t="str">
        <f t="shared" si="300"/>
        <v>a</v>
      </c>
      <c r="AD464" s="473" t="str">
        <f>IF($Z464="","a",IF(AND($Z464="b",Inventory!$L220=""),"a",IF(AND($Z464="b",Inventory!$L220&lt;&gt;""),VLOOKUP(Inventory!$L220,$N$4:$O$5,2,FALSE),IF(AND($Z464="a",Inventory!$AC220=""),"a",IF(AND($Z464="a",Inventory!$AC220&lt;&gt;""),VLOOKUP(Inventory!$AC220,$N$4:$O$5,2,FALSE),IF(AND($Z464="c",Inventory!$AC220=""),"a",IF(AND($Z464="c",Inventory!$AC220&lt;&gt;""),VLOOKUP(Inventory!$AC220,$N$4:$O$5,2,FALSE),"a")))))))</f>
        <v>a</v>
      </c>
      <c r="AE464" s="474">
        <f>IF(OR(Inventory!C220="New Construction",Inventory!C220="Replace-on-Burnout"),Inventory!AF220,IF(Inventory!C220="Early Retirement",MIN(Inventory!AE220,Inventory!AF220),0))</f>
        <v>0</v>
      </c>
      <c r="AF464" s="475" t="str">
        <f t="shared" si="301"/>
        <v/>
      </c>
      <c r="AG464" s="475" t="str">
        <f t="shared" si="302"/>
        <v/>
      </c>
      <c r="AH464" s="475" t="str">
        <f t="shared" si="303"/>
        <v/>
      </c>
      <c r="AI464" s="475" t="str">
        <f t="shared" si="304"/>
        <v/>
      </c>
      <c r="AJ464" s="475" t="str">
        <f t="shared" si="305"/>
        <v/>
      </c>
      <c r="AK464" s="475" t="str">
        <f t="shared" si="306"/>
        <v/>
      </c>
      <c r="AL464" s="475" t="str">
        <f t="shared" si="307"/>
        <v/>
      </c>
      <c r="AM464" s="475" t="str">
        <f t="shared" si="308"/>
        <v/>
      </c>
      <c r="AN464" s="475" t="str">
        <f t="shared" si="309"/>
        <v/>
      </c>
      <c r="AO464" s="475" t="str">
        <f t="shared" si="310"/>
        <v/>
      </c>
      <c r="AP464" s="475" t="str">
        <f t="shared" si="311"/>
        <v/>
      </c>
      <c r="AQ464" s="475" t="str">
        <f t="shared" si="312"/>
        <v/>
      </c>
      <c r="AR464" s="475" t="str">
        <f t="shared" si="313"/>
        <v/>
      </c>
      <c r="AS464" s="475" t="str">
        <f t="shared" si="336"/>
        <v/>
      </c>
      <c r="AT464" s="475" t="str">
        <f t="shared" si="314"/>
        <v/>
      </c>
      <c r="AU464" s="475" t="str">
        <f t="shared" si="315"/>
        <v/>
      </c>
      <c r="AV464" s="475" t="str">
        <f t="shared" si="316"/>
        <v/>
      </c>
      <c r="AW464" s="473">
        <f t="shared" si="317"/>
        <v>0</v>
      </c>
      <c r="AX464" s="473" t="str">
        <f>IF(AND($Z464="b",OR($AA464="a",$AA464="b"),Inventory!$I220="",$AE464&lt;(65000/12000)),"x",IF(AND($Z464="b",OR($AA464="a",$AA464="b"),Inventory!$I220&lt;&gt;"",$AE464&lt;(65000/12000)),VLOOKUP(Inventory!$I471,$V$4:$W$5,2,FALSE),"x"))</f>
        <v>x</v>
      </c>
      <c r="AY464" s="476" t="str">
        <f t="shared" si="318"/>
        <v>aaa0</v>
      </c>
      <c r="AZ464" s="477" t="str">
        <f t="shared" si="327"/>
        <v>No</v>
      </c>
      <c r="BA464" s="759" t="str">
        <f t="shared" si="328"/>
        <v>No</v>
      </c>
      <c r="BB464" s="477">
        <f>IF($Z464="c",Inventory!$AB220,Inventory!$K220)</f>
        <v>0</v>
      </c>
      <c r="BC464" s="478">
        <f>IF(AND($Z464="b",Inventory!$N220="Btu/hr"),Inventory!$M220,IF(AND($Z464="b",Inventory!$N220="Tons"),Inventory!$M220*12000,IF(AND($Z464&lt;&gt;"b",Inventory!$AK220="Btu/hr"),Inventory!$AD220,IF(AND($Z464&lt;&gt;"b",Inventory!$AK220="Tons"),Inventory!$AD220*12000,0))))</f>
        <v>0</v>
      </c>
      <c r="BD464" s="478">
        <f t="shared" si="325"/>
        <v>0</v>
      </c>
      <c r="BE464" s="479">
        <f t="shared" si="337"/>
        <v>0</v>
      </c>
      <c r="BF464" s="477" t="s">
        <v>50</v>
      </c>
      <c r="BG464" s="479">
        <f t="shared" si="319"/>
        <v>0</v>
      </c>
      <c r="BH464" s="477" t="s">
        <v>46</v>
      </c>
      <c r="BI464" s="760">
        <f>IF(AND($Z464="b",Inventory!$P220="Btu/hr"),Inventory!$O220,IF(AND($Z464="b",Inventory!$P220="Tons"),Inventory!$O220*12000,IF(AND($Z464&lt;&gt;"b",Inventory!$AM220="Btu/hr"),Inventory!$AL220,IF(AND($Z464&lt;&gt;"b",Inventory!$AM220="Tons"),Inventory!$AL220*12000,0))))</f>
        <v>0</v>
      </c>
      <c r="BJ464" s="760">
        <f t="shared" si="326"/>
        <v>0</v>
      </c>
      <c r="BK464" s="598">
        <f t="shared" si="329"/>
        <v>0</v>
      </c>
      <c r="BL464" s="759" t="s">
        <v>567</v>
      </c>
      <c r="BM464" s="477" t="str">
        <f t="shared" si="320"/>
        <v>No</v>
      </c>
      <c r="BN464" s="477" t="str">
        <f>IF(OR(Inventory!$H220="",$BM464="No"),"-",Inventory!$H220)</f>
        <v>-</v>
      </c>
      <c r="BO464" s="477" t="str">
        <f>IFERROR(VLOOKUP(BN464,'Early Retirement'!$B$6:$C$33,2,FALSE),"-")</f>
        <v>-</v>
      </c>
      <c r="BP464" s="477" t="str">
        <f>IF(Inventory!$J220="Centrifugal","Yes","No")</f>
        <v>No</v>
      </c>
      <c r="BQ464" s="477">
        <f t="shared" si="321"/>
        <v>0</v>
      </c>
      <c r="BR464" s="477" t="str">
        <f t="shared" si="339"/>
        <v>-</v>
      </c>
      <c r="BS464" s="479">
        <f>IFERROR(INDEX('Early Retirement'!$C$4:$AC$33,$BO464,$BR464),0)</f>
        <v>0</v>
      </c>
      <c r="BT464" s="477">
        <f>IFERROR(HLOOKUP($BR464,'Early Retirement'!$D$4:$AC$5,2,FALSE),0)</f>
        <v>0</v>
      </c>
      <c r="BU464" s="761">
        <f>IFERROR(INDEX('Early Retirement'!$AE$4:$BE$33,$BO464,$BR464),0)</f>
        <v>0</v>
      </c>
      <c r="BV464" s="759">
        <f>IFERROR(HLOOKUP($BR464,'Early Retirement'!$AF$4:$BE$5,2,FALSE),0)</f>
        <v>0</v>
      </c>
      <c r="BW464" s="479">
        <f t="shared" si="322"/>
        <v>0</v>
      </c>
      <c r="BX464" s="761">
        <f t="shared" si="330"/>
        <v>0</v>
      </c>
      <c r="BY464" s="477" t="s">
        <v>46</v>
      </c>
      <c r="BZ464" s="598">
        <f>IFERROR(INDEX('Early Retirement'!$BG$4:$CG$33,$BO464,$BR464),0)</f>
        <v>0</v>
      </c>
      <c r="CA464" s="759">
        <f>IFERROR(HLOOKUP($BR464,'Early Retirement'!$BH$4:$CH$5,2,FALSE),0)</f>
        <v>0</v>
      </c>
      <c r="CB464" s="598">
        <f t="shared" si="331"/>
        <v>0</v>
      </c>
      <c r="CC464" s="759" t="s">
        <v>567</v>
      </c>
      <c r="CD464" s="477" t="str">
        <f t="shared" si="323"/>
        <v>Yes</v>
      </c>
      <c r="CE464" s="479">
        <f t="shared" si="332"/>
        <v>0</v>
      </c>
      <c r="CF464" s="761">
        <f t="shared" si="333"/>
        <v>0</v>
      </c>
      <c r="CG464" s="759" t="s">
        <v>46</v>
      </c>
      <c r="CH464" s="598">
        <f t="shared" si="338"/>
        <v>0</v>
      </c>
      <c r="CI464" s="759" t="s">
        <v>567</v>
      </c>
      <c r="CJ464" s="480">
        <f t="shared" si="324"/>
        <v>0</v>
      </c>
      <c r="CK464" s="583">
        <f t="shared" si="334"/>
        <v>0</v>
      </c>
      <c r="CL464" s="596" t="s">
        <v>46</v>
      </c>
      <c r="CM464" s="581">
        <f t="shared" si="335"/>
        <v>0</v>
      </c>
      <c r="CN464" s="762" t="s">
        <v>567</v>
      </c>
      <c r="CR464" s="446"/>
      <c r="CS464" s="446"/>
      <c r="CT464" s="446"/>
      <c r="CU464" s="446"/>
      <c r="CV464" s="446"/>
      <c r="CW464" s="752"/>
      <c r="CX464" s="752"/>
      <c r="CY464" s="752"/>
      <c r="CZ464" s="752"/>
      <c r="DA464" s="752"/>
      <c r="DB464" s="446"/>
      <c r="DC464" s="446"/>
      <c r="DD464" s="446"/>
      <c r="DE464" s="446"/>
      <c r="DF464" s="446"/>
      <c r="DG464" s="446"/>
      <c r="DH464" s="446"/>
      <c r="DI464" s="446"/>
      <c r="DJ464" s="446"/>
      <c r="DK464" s="446"/>
      <c r="DL464" s="446"/>
      <c r="DM464" s="446"/>
      <c r="DN464" s="446"/>
      <c r="DO464" s="446"/>
      <c r="DP464" s="446"/>
      <c r="DQ464" s="446"/>
      <c r="DR464" s="446"/>
      <c r="DS464" s="446"/>
      <c r="DT464" s="446"/>
      <c r="DU464" s="446"/>
      <c r="DV464" s="446"/>
      <c r="DW464" s="446"/>
    </row>
    <row r="465" spans="2:127" s="78" customFormat="1" ht="15" customHeight="1" x14ac:dyDescent="0.25">
      <c r="B465" s="77"/>
      <c r="E465" s="77"/>
      <c r="H465" s="77"/>
      <c r="Y465" s="90">
        <v>212</v>
      </c>
      <c r="Z465" s="559" t="str">
        <f>IF(Inventory!$C221="","",VLOOKUP(Inventory!$C221,$B$7:$C$9,2,FALSE))</f>
        <v/>
      </c>
      <c r="AA465" s="559" t="str">
        <f>IF($Z465="","",IF(AND($Z465="b",Inventory!$G221=""),"",IF(AND($Z465="b",Inventory!$G221&lt;&gt;""),VLOOKUP(Inventory!$G221,$E$3:$F$10,2,FALSE),IF(AND($Z465="a",Inventory!$Z221=""),"",IF(AND($Z465="a",Inventory!$Z221&lt;&gt;""),VLOOKUP(Inventory!$Z221,$E$3:$F$10,2,FALSE),IF(AND($Z465="c",Inventory!$Z221=""),"",IF(AND($Z465="c",Inventory!$Z221&lt;&gt;""),VLOOKUP(Inventory!$Z221,$E$3:$F$10,2,FALSE),"")))))))</f>
        <v/>
      </c>
      <c r="AB465" s="559" t="str">
        <f>IF($Z465="","a",IF(AND($Z465="b",Inventory!$J221=""),"a",IF(AND($Z465="b",Inventory!$J221&lt;&gt;""),VLOOKUP(Inventory!$J221,$H$4:$I$6,2,FALSE),IF(AND($Z465="a",Inventory!$AA221=""),"a",IF(AND($Z465="a",Inventory!$AA221&lt;&gt;""),VLOOKUP(Inventory!$AA221,$H$4:$I$6,2,FALSE),IF(AND($Z465="c",Inventory!$AA221=""),"a",IF(AND($Z465="c",Inventory!$AA221&lt;&gt;""),VLOOKUP(Inventory!$AA221,$H$4:$I$6,2,FALSE),"a")))))))</f>
        <v>a</v>
      </c>
      <c r="AC465" s="559" t="str">
        <f t="shared" si="300"/>
        <v>a</v>
      </c>
      <c r="AD465" s="473" t="str">
        <f>IF($Z465="","a",IF(AND($Z465="b",Inventory!$L221=""),"a",IF(AND($Z465="b",Inventory!$L221&lt;&gt;""),VLOOKUP(Inventory!$L221,$N$4:$O$5,2,FALSE),IF(AND($Z465="a",Inventory!$AC221=""),"a",IF(AND($Z465="a",Inventory!$AC221&lt;&gt;""),VLOOKUP(Inventory!$AC221,$N$4:$O$5,2,FALSE),IF(AND($Z465="c",Inventory!$AC221=""),"a",IF(AND($Z465="c",Inventory!$AC221&lt;&gt;""),VLOOKUP(Inventory!$AC221,$N$4:$O$5,2,FALSE),"a")))))))</f>
        <v>a</v>
      </c>
      <c r="AE465" s="474">
        <f>IF(OR(Inventory!C221="New Construction",Inventory!C221="Replace-on-Burnout"),Inventory!AF221,IF(Inventory!C221="Early Retirement",MIN(Inventory!AE221,Inventory!AF221),0))</f>
        <v>0</v>
      </c>
      <c r="AF465" s="475" t="str">
        <f t="shared" si="301"/>
        <v/>
      </c>
      <c r="AG465" s="475" t="str">
        <f t="shared" si="302"/>
        <v/>
      </c>
      <c r="AH465" s="475" t="str">
        <f t="shared" si="303"/>
        <v/>
      </c>
      <c r="AI465" s="475" t="str">
        <f t="shared" si="304"/>
        <v/>
      </c>
      <c r="AJ465" s="475" t="str">
        <f t="shared" si="305"/>
        <v/>
      </c>
      <c r="AK465" s="475" t="str">
        <f t="shared" si="306"/>
        <v/>
      </c>
      <c r="AL465" s="475" t="str">
        <f t="shared" si="307"/>
        <v/>
      </c>
      <c r="AM465" s="475" t="str">
        <f t="shared" si="308"/>
        <v/>
      </c>
      <c r="AN465" s="475" t="str">
        <f t="shared" si="309"/>
        <v/>
      </c>
      <c r="AO465" s="475" t="str">
        <f t="shared" si="310"/>
        <v/>
      </c>
      <c r="AP465" s="475" t="str">
        <f t="shared" si="311"/>
        <v/>
      </c>
      <c r="AQ465" s="475" t="str">
        <f t="shared" si="312"/>
        <v/>
      </c>
      <c r="AR465" s="475" t="str">
        <f t="shared" si="313"/>
        <v/>
      </c>
      <c r="AS465" s="475" t="str">
        <f t="shared" si="336"/>
        <v/>
      </c>
      <c r="AT465" s="475" t="str">
        <f t="shared" si="314"/>
        <v/>
      </c>
      <c r="AU465" s="475" t="str">
        <f t="shared" si="315"/>
        <v/>
      </c>
      <c r="AV465" s="475" t="str">
        <f t="shared" si="316"/>
        <v/>
      </c>
      <c r="AW465" s="473">
        <f t="shared" si="317"/>
        <v>0</v>
      </c>
      <c r="AX465" s="473" t="str">
        <f>IF(AND($Z465="b",OR($AA465="a",$AA465="b"),Inventory!$I221="",$AE465&lt;(65000/12000)),"x",IF(AND($Z465="b",OR($AA465="a",$AA465="b"),Inventory!$I221&lt;&gt;"",$AE465&lt;(65000/12000)),VLOOKUP(Inventory!$I472,$V$4:$W$5,2,FALSE),"x"))</f>
        <v>x</v>
      </c>
      <c r="AY465" s="476" t="str">
        <f t="shared" si="318"/>
        <v>aaa0</v>
      </c>
      <c r="AZ465" s="477" t="str">
        <f t="shared" si="327"/>
        <v>No</v>
      </c>
      <c r="BA465" s="759" t="str">
        <f t="shared" si="328"/>
        <v>No</v>
      </c>
      <c r="BB465" s="477">
        <f>IF($Z465="c",Inventory!$AB221,Inventory!$K221)</f>
        <v>0</v>
      </c>
      <c r="BC465" s="478">
        <f>IF(AND($Z465="b",Inventory!$N221="Btu/hr"),Inventory!$M221,IF(AND($Z465="b",Inventory!$N221="Tons"),Inventory!$M221*12000,IF(AND($Z465&lt;&gt;"b",Inventory!$AK221="Btu/hr"),Inventory!$AD221,IF(AND($Z465&lt;&gt;"b",Inventory!$AK221="Tons"),Inventory!$AD221*12000,0))))</f>
        <v>0</v>
      </c>
      <c r="BD465" s="478">
        <f t="shared" si="325"/>
        <v>0</v>
      </c>
      <c r="BE465" s="479">
        <f t="shared" si="337"/>
        <v>0</v>
      </c>
      <c r="BF465" s="477" t="s">
        <v>50</v>
      </c>
      <c r="BG465" s="479">
        <f t="shared" si="319"/>
        <v>0</v>
      </c>
      <c r="BH465" s="477" t="s">
        <v>46</v>
      </c>
      <c r="BI465" s="760">
        <f>IF(AND($Z465="b",Inventory!$P221="Btu/hr"),Inventory!$O221,IF(AND($Z465="b",Inventory!$P221="Tons"),Inventory!$O221*12000,IF(AND($Z465&lt;&gt;"b",Inventory!$AM221="Btu/hr"),Inventory!$AL221,IF(AND($Z465&lt;&gt;"b",Inventory!$AM221="Tons"),Inventory!$AL221*12000,0))))</f>
        <v>0</v>
      </c>
      <c r="BJ465" s="760">
        <f t="shared" si="326"/>
        <v>0</v>
      </c>
      <c r="BK465" s="598">
        <f t="shared" si="329"/>
        <v>0</v>
      </c>
      <c r="BL465" s="759" t="s">
        <v>567</v>
      </c>
      <c r="BM465" s="477" t="str">
        <f t="shared" si="320"/>
        <v>No</v>
      </c>
      <c r="BN465" s="477" t="str">
        <f>IF(OR(Inventory!$H221="",$BM465="No"),"-",Inventory!$H221)</f>
        <v>-</v>
      </c>
      <c r="BO465" s="477" t="str">
        <f>IFERROR(VLOOKUP(BN465,'Early Retirement'!$B$6:$C$33,2,FALSE),"-")</f>
        <v>-</v>
      </c>
      <c r="BP465" s="477" t="str">
        <f>IF(Inventory!$J221="Centrifugal","Yes","No")</f>
        <v>No</v>
      </c>
      <c r="BQ465" s="477">
        <f t="shared" si="321"/>
        <v>0</v>
      </c>
      <c r="BR465" s="477" t="str">
        <f t="shared" si="339"/>
        <v>-</v>
      </c>
      <c r="BS465" s="479">
        <f>IFERROR(INDEX('Early Retirement'!$C$4:$AC$33,$BO465,$BR465),0)</f>
        <v>0</v>
      </c>
      <c r="BT465" s="477">
        <f>IFERROR(HLOOKUP($BR465,'Early Retirement'!$D$4:$AC$5,2,FALSE),0)</f>
        <v>0</v>
      </c>
      <c r="BU465" s="761">
        <f>IFERROR(INDEX('Early Retirement'!$AE$4:$BE$33,$BO465,$BR465),0)</f>
        <v>0</v>
      </c>
      <c r="BV465" s="759">
        <f>IFERROR(HLOOKUP($BR465,'Early Retirement'!$AF$4:$BE$5,2,FALSE),0)</f>
        <v>0</v>
      </c>
      <c r="BW465" s="479">
        <f t="shared" si="322"/>
        <v>0</v>
      </c>
      <c r="BX465" s="761">
        <f t="shared" si="330"/>
        <v>0</v>
      </c>
      <c r="BY465" s="477" t="s">
        <v>46</v>
      </c>
      <c r="BZ465" s="598">
        <f>IFERROR(INDEX('Early Retirement'!$BG$4:$CG$33,$BO465,$BR465),0)</f>
        <v>0</v>
      </c>
      <c r="CA465" s="759">
        <f>IFERROR(HLOOKUP($BR465,'Early Retirement'!$BH$4:$CH$5,2,FALSE),0)</f>
        <v>0</v>
      </c>
      <c r="CB465" s="598">
        <f t="shared" si="331"/>
        <v>0</v>
      </c>
      <c r="CC465" s="759" t="s">
        <v>567</v>
      </c>
      <c r="CD465" s="477" t="str">
        <f t="shared" si="323"/>
        <v>Yes</v>
      </c>
      <c r="CE465" s="479">
        <f t="shared" si="332"/>
        <v>0</v>
      </c>
      <c r="CF465" s="761">
        <f t="shared" si="333"/>
        <v>0</v>
      </c>
      <c r="CG465" s="759" t="s">
        <v>46</v>
      </c>
      <c r="CH465" s="598">
        <f t="shared" si="338"/>
        <v>0</v>
      </c>
      <c r="CI465" s="759" t="s">
        <v>567</v>
      </c>
      <c r="CJ465" s="480">
        <f t="shared" si="324"/>
        <v>0</v>
      </c>
      <c r="CK465" s="583">
        <f t="shared" si="334"/>
        <v>0</v>
      </c>
      <c r="CL465" s="596" t="s">
        <v>46</v>
      </c>
      <c r="CM465" s="581">
        <f t="shared" si="335"/>
        <v>0</v>
      </c>
      <c r="CN465" s="762" t="s">
        <v>567</v>
      </c>
      <c r="CR465" s="446"/>
      <c r="CS465" s="446"/>
      <c r="CT465" s="446"/>
      <c r="CU465" s="446"/>
      <c r="CV465" s="446"/>
      <c r="CW465" s="752"/>
      <c r="CX465" s="752"/>
      <c r="CY465" s="752"/>
      <c r="CZ465" s="752"/>
      <c r="DA465" s="752"/>
      <c r="DB465" s="446"/>
      <c r="DC465" s="446"/>
      <c r="DD465" s="446"/>
      <c r="DE465" s="446"/>
      <c r="DF465" s="446"/>
      <c r="DG465" s="446"/>
      <c r="DH465" s="446"/>
      <c r="DI465" s="446"/>
      <c r="DJ465" s="446"/>
      <c r="DK465" s="446"/>
      <c r="DL465" s="446"/>
      <c r="DM465" s="446"/>
      <c r="DN465" s="446"/>
      <c r="DO465" s="446"/>
      <c r="DP465" s="446"/>
      <c r="DQ465" s="446"/>
      <c r="DR465" s="446"/>
      <c r="DS465" s="446"/>
      <c r="DT465" s="446"/>
      <c r="DU465" s="446"/>
      <c r="DV465" s="446"/>
      <c r="DW465" s="446"/>
    </row>
    <row r="466" spans="2:127" s="78" customFormat="1" ht="15" customHeight="1" x14ac:dyDescent="0.25">
      <c r="B466" s="77"/>
      <c r="E466" s="77"/>
      <c r="H466" s="77"/>
      <c r="Y466" s="90">
        <v>213</v>
      </c>
      <c r="Z466" s="559" t="str">
        <f>IF(Inventory!$C222="","",VLOOKUP(Inventory!$C222,$B$7:$C$9,2,FALSE))</f>
        <v/>
      </c>
      <c r="AA466" s="559" t="str">
        <f>IF($Z466="","",IF(AND($Z466="b",Inventory!$G222=""),"",IF(AND($Z466="b",Inventory!$G222&lt;&gt;""),VLOOKUP(Inventory!$G222,$E$3:$F$10,2,FALSE),IF(AND($Z466="a",Inventory!$Z222=""),"",IF(AND($Z466="a",Inventory!$Z222&lt;&gt;""),VLOOKUP(Inventory!$Z222,$E$3:$F$10,2,FALSE),IF(AND($Z466="c",Inventory!$Z222=""),"",IF(AND($Z466="c",Inventory!$Z222&lt;&gt;""),VLOOKUP(Inventory!$Z222,$E$3:$F$10,2,FALSE),"")))))))</f>
        <v/>
      </c>
      <c r="AB466" s="559" t="str">
        <f>IF($Z466="","a",IF(AND($Z466="b",Inventory!$J222=""),"a",IF(AND($Z466="b",Inventory!$J222&lt;&gt;""),VLOOKUP(Inventory!$J222,$H$4:$I$6,2,FALSE),IF(AND($Z466="a",Inventory!$AA222=""),"a",IF(AND($Z466="a",Inventory!$AA222&lt;&gt;""),VLOOKUP(Inventory!$AA222,$H$4:$I$6,2,FALSE),IF(AND($Z466="c",Inventory!$AA222=""),"a",IF(AND($Z466="c",Inventory!$AA222&lt;&gt;""),VLOOKUP(Inventory!$AA222,$H$4:$I$6,2,FALSE),"a")))))))</f>
        <v>a</v>
      </c>
      <c r="AC466" s="559" t="str">
        <f t="shared" si="300"/>
        <v>a</v>
      </c>
      <c r="AD466" s="473" t="str">
        <f>IF($Z466="","a",IF(AND($Z466="b",Inventory!$L222=""),"a",IF(AND($Z466="b",Inventory!$L222&lt;&gt;""),VLOOKUP(Inventory!$L222,$N$4:$O$5,2,FALSE),IF(AND($Z466="a",Inventory!$AC222=""),"a",IF(AND($Z466="a",Inventory!$AC222&lt;&gt;""),VLOOKUP(Inventory!$AC222,$N$4:$O$5,2,FALSE),IF(AND($Z466="c",Inventory!$AC222=""),"a",IF(AND($Z466="c",Inventory!$AC222&lt;&gt;""),VLOOKUP(Inventory!$AC222,$N$4:$O$5,2,FALSE),"a")))))))</f>
        <v>a</v>
      </c>
      <c r="AE466" s="474">
        <f>IF(OR(Inventory!C222="New Construction",Inventory!C222="Replace-on-Burnout"),Inventory!AF222,IF(Inventory!C222="Early Retirement",MIN(Inventory!AE222,Inventory!AF222),0))</f>
        <v>0</v>
      </c>
      <c r="AF466" s="475" t="str">
        <f t="shared" si="301"/>
        <v/>
      </c>
      <c r="AG466" s="475" t="str">
        <f t="shared" si="302"/>
        <v/>
      </c>
      <c r="AH466" s="475" t="str">
        <f t="shared" si="303"/>
        <v/>
      </c>
      <c r="AI466" s="475" t="str">
        <f t="shared" si="304"/>
        <v/>
      </c>
      <c r="AJ466" s="475" t="str">
        <f t="shared" si="305"/>
        <v/>
      </c>
      <c r="AK466" s="475" t="str">
        <f t="shared" si="306"/>
        <v/>
      </c>
      <c r="AL466" s="475" t="str">
        <f t="shared" si="307"/>
        <v/>
      </c>
      <c r="AM466" s="475" t="str">
        <f t="shared" si="308"/>
        <v/>
      </c>
      <c r="AN466" s="475" t="str">
        <f t="shared" si="309"/>
        <v/>
      </c>
      <c r="AO466" s="475" t="str">
        <f t="shared" si="310"/>
        <v/>
      </c>
      <c r="AP466" s="475" t="str">
        <f t="shared" si="311"/>
        <v/>
      </c>
      <c r="AQ466" s="475" t="str">
        <f t="shared" si="312"/>
        <v/>
      </c>
      <c r="AR466" s="475" t="str">
        <f t="shared" si="313"/>
        <v/>
      </c>
      <c r="AS466" s="475" t="str">
        <f t="shared" si="336"/>
        <v/>
      </c>
      <c r="AT466" s="475" t="str">
        <f t="shared" si="314"/>
        <v/>
      </c>
      <c r="AU466" s="475" t="str">
        <f t="shared" si="315"/>
        <v/>
      </c>
      <c r="AV466" s="475" t="str">
        <f t="shared" si="316"/>
        <v/>
      </c>
      <c r="AW466" s="473">
        <f t="shared" si="317"/>
        <v>0</v>
      </c>
      <c r="AX466" s="473" t="str">
        <f>IF(AND($Z466="b",OR($AA466="a",$AA466="b"),Inventory!$I222="",$AE466&lt;(65000/12000)),"x",IF(AND($Z466="b",OR($AA466="a",$AA466="b"),Inventory!$I222&lt;&gt;"",$AE466&lt;(65000/12000)),VLOOKUP(Inventory!$I473,$V$4:$W$5,2,FALSE),"x"))</f>
        <v>x</v>
      </c>
      <c r="AY466" s="476" t="str">
        <f t="shared" si="318"/>
        <v>aaa0</v>
      </c>
      <c r="AZ466" s="477" t="str">
        <f t="shared" si="327"/>
        <v>No</v>
      </c>
      <c r="BA466" s="759" t="str">
        <f t="shared" si="328"/>
        <v>No</v>
      </c>
      <c r="BB466" s="477">
        <f>IF($Z466="c",Inventory!$AB222,Inventory!$K222)</f>
        <v>0</v>
      </c>
      <c r="BC466" s="478">
        <f>IF(AND($Z466="b",Inventory!$N222="Btu/hr"),Inventory!$M222,IF(AND($Z466="b",Inventory!$N222="Tons"),Inventory!$M222*12000,IF(AND($Z466&lt;&gt;"b",Inventory!$AK222="Btu/hr"),Inventory!$AD222,IF(AND($Z466&lt;&gt;"b",Inventory!$AK222="Tons"),Inventory!$AD222*12000,0))))</f>
        <v>0</v>
      </c>
      <c r="BD466" s="478">
        <f t="shared" si="325"/>
        <v>0</v>
      </c>
      <c r="BE466" s="479">
        <f t="shared" si="337"/>
        <v>0</v>
      </c>
      <c r="BF466" s="477" t="s">
        <v>50</v>
      </c>
      <c r="BG466" s="479">
        <f t="shared" si="319"/>
        <v>0</v>
      </c>
      <c r="BH466" s="477" t="s">
        <v>46</v>
      </c>
      <c r="BI466" s="760">
        <f>IF(AND($Z466="b",Inventory!$P222="Btu/hr"),Inventory!$O222,IF(AND($Z466="b",Inventory!$P222="Tons"),Inventory!$O222*12000,IF(AND($Z466&lt;&gt;"b",Inventory!$AM222="Btu/hr"),Inventory!$AL222,IF(AND($Z466&lt;&gt;"b",Inventory!$AM222="Tons"),Inventory!$AL222*12000,0))))</f>
        <v>0</v>
      </c>
      <c r="BJ466" s="760">
        <f t="shared" si="326"/>
        <v>0</v>
      </c>
      <c r="BK466" s="598">
        <f t="shared" si="329"/>
        <v>0</v>
      </c>
      <c r="BL466" s="759" t="s">
        <v>567</v>
      </c>
      <c r="BM466" s="477" t="str">
        <f t="shared" si="320"/>
        <v>No</v>
      </c>
      <c r="BN466" s="477" t="str">
        <f>IF(OR(Inventory!$H222="",$BM466="No"),"-",Inventory!$H222)</f>
        <v>-</v>
      </c>
      <c r="BO466" s="477" t="str">
        <f>IFERROR(VLOOKUP(BN466,'Early Retirement'!$B$6:$C$33,2,FALSE),"-")</f>
        <v>-</v>
      </c>
      <c r="BP466" s="477" t="str">
        <f>IF(Inventory!$J222="Centrifugal","Yes","No")</f>
        <v>No</v>
      </c>
      <c r="BQ466" s="477">
        <f t="shared" si="321"/>
        <v>0</v>
      </c>
      <c r="BR466" s="477" t="str">
        <f t="shared" si="339"/>
        <v>-</v>
      </c>
      <c r="BS466" s="479">
        <f>IFERROR(INDEX('Early Retirement'!$C$4:$AC$33,$BO466,$BR466),0)</f>
        <v>0</v>
      </c>
      <c r="BT466" s="477">
        <f>IFERROR(HLOOKUP($BR466,'Early Retirement'!$D$4:$AC$5,2,FALSE),0)</f>
        <v>0</v>
      </c>
      <c r="BU466" s="761">
        <f>IFERROR(INDEX('Early Retirement'!$AE$4:$BE$33,$BO466,$BR466),0)</f>
        <v>0</v>
      </c>
      <c r="BV466" s="759">
        <f>IFERROR(HLOOKUP($BR466,'Early Retirement'!$AF$4:$BE$5,2,FALSE),0)</f>
        <v>0</v>
      </c>
      <c r="BW466" s="479">
        <f t="shared" si="322"/>
        <v>0</v>
      </c>
      <c r="BX466" s="761">
        <f t="shared" si="330"/>
        <v>0</v>
      </c>
      <c r="BY466" s="477" t="s">
        <v>46</v>
      </c>
      <c r="BZ466" s="598">
        <f>IFERROR(INDEX('Early Retirement'!$BG$4:$CG$33,$BO466,$BR466),0)</f>
        <v>0</v>
      </c>
      <c r="CA466" s="759">
        <f>IFERROR(HLOOKUP($BR466,'Early Retirement'!$BH$4:$CH$5,2,FALSE),0)</f>
        <v>0</v>
      </c>
      <c r="CB466" s="598">
        <f t="shared" si="331"/>
        <v>0</v>
      </c>
      <c r="CC466" s="759" t="s">
        <v>567</v>
      </c>
      <c r="CD466" s="477" t="str">
        <f t="shared" si="323"/>
        <v>Yes</v>
      </c>
      <c r="CE466" s="479">
        <f t="shared" si="332"/>
        <v>0</v>
      </c>
      <c r="CF466" s="761">
        <f t="shared" si="333"/>
        <v>0</v>
      </c>
      <c r="CG466" s="759" t="s">
        <v>46</v>
      </c>
      <c r="CH466" s="598">
        <f t="shared" si="338"/>
        <v>0</v>
      </c>
      <c r="CI466" s="759" t="s">
        <v>567</v>
      </c>
      <c r="CJ466" s="480">
        <f t="shared" si="324"/>
        <v>0</v>
      </c>
      <c r="CK466" s="583">
        <f t="shared" si="334"/>
        <v>0</v>
      </c>
      <c r="CL466" s="596" t="s">
        <v>46</v>
      </c>
      <c r="CM466" s="581">
        <f t="shared" si="335"/>
        <v>0</v>
      </c>
      <c r="CN466" s="762" t="s">
        <v>567</v>
      </c>
      <c r="CR466" s="446"/>
      <c r="CS466" s="446"/>
      <c r="CT466" s="446"/>
      <c r="CU466" s="446"/>
      <c r="CV466" s="446"/>
      <c r="CW466" s="752"/>
      <c r="CX466" s="752"/>
      <c r="CY466" s="752"/>
      <c r="CZ466" s="752"/>
      <c r="DA466" s="752"/>
      <c r="DB466" s="446"/>
      <c r="DC466" s="446"/>
      <c r="DD466" s="446"/>
      <c r="DE466" s="446"/>
      <c r="DF466" s="446"/>
      <c r="DG466" s="446"/>
      <c r="DH466" s="446"/>
      <c r="DI466" s="446"/>
      <c r="DJ466" s="446"/>
      <c r="DK466" s="446"/>
      <c r="DL466" s="446"/>
      <c r="DM466" s="446"/>
      <c r="DN466" s="446"/>
      <c r="DO466" s="446"/>
      <c r="DP466" s="446"/>
      <c r="DQ466" s="446"/>
      <c r="DR466" s="446"/>
      <c r="DS466" s="446"/>
      <c r="DT466" s="446"/>
      <c r="DU466" s="446"/>
      <c r="DV466" s="446"/>
      <c r="DW466" s="446"/>
    </row>
    <row r="467" spans="2:127" s="78" customFormat="1" ht="15" customHeight="1" x14ac:dyDescent="0.25">
      <c r="B467" s="77"/>
      <c r="E467" s="77"/>
      <c r="H467" s="77"/>
      <c r="Y467" s="90">
        <v>214</v>
      </c>
      <c r="Z467" s="559" t="str">
        <f>IF(Inventory!$C223="","",VLOOKUP(Inventory!$C223,$B$7:$C$9,2,FALSE))</f>
        <v/>
      </c>
      <c r="AA467" s="559" t="str">
        <f>IF($Z467="","",IF(AND($Z467="b",Inventory!$G223=""),"",IF(AND($Z467="b",Inventory!$G223&lt;&gt;""),VLOOKUP(Inventory!$G223,$E$3:$F$10,2,FALSE),IF(AND($Z467="a",Inventory!$Z223=""),"",IF(AND($Z467="a",Inventory!$Z223&lt;&gt;""),VLOOKUP(Inventory!$Z223,$E$3:$F$10,2,FALSE),IF(AND($Z467="c",Inventory!$Z223=""),"",IF(AND($Z467="c",Inventory!$Z223&lt;&gt;""),VLOOKUP(Inventory!$Z223,$E$3:$F$10,2,FALSE),"")))))))</f>
        <v/>
      </c>
      <c r="AB467" s="559" t="str">
        <f>IF($Z467="","a",IF(AND($Z467="b",Inventory!$J223=""),"a",IF(AND($Z467="b",Inventory!$J223&lt;&gt;""),VLOOKUP(Inventory!$J223,$H$4:$I$6,2,FALSE),IF(AND($Z467="a",Inventory!$AA223=""),"a",IF(AND($Z467="a",Inventory!$AA223&lt;&gt;""),VLOOKUP(Inventory!$AA223,$H$4:$I$6,2,FALSE),IF(AND($Z467="c",Inventory!$AA223=""),"a",IF(AND($Z467="c",Inventory!$AA223&lt;&gt;""),VLOOKUP(Inventory!$AA223,$H$4:$I$6,2,FALSE),"a")))))))</f>
        <v>a</v>
      </c>
      <c r="AC467" s="559" t="str">
        <f t="shared" si="300"/>
        <v>a</v>
      </c>
      <c r="AD467" s="473" t="str">
        <f>IF($Z467="","a",IF(AND($Z467="b",Inventory!$L223=""),"a",IF(AND($Z467="b",Inventory!$L223&lt;&gt;""),VLOOKUP(Inventory!$L223,$N$4:$O$5,2,FALSE),IF(AND($Z467="a",Inventory!$AC223=""),"a",IF(AND($Z467="a",Inventory!$AC223&lt;&gt;""),VLOOKUP(Inventory!$AC223,$N$4:$O$5,2,FALSE),IF(AND($Z467="c",Inventory!$AC223=""),"a",IF(AND($Z467="c",Inventory!$AC223&lt;&gt;""),VLOOKUP(Inventory!$AC223,$N$4:$O$5,2,FALSE),"a")))))))</f>
        <v>a</v>
      </c>
      <c r="AE467" s="474">
        <f>IF(OR(Inventory!C223="New Construction",Inventory!C223="Replace-on-Burnout"),Inventory!AF223,IF(Inventory!C223="Early Retirement",MIN(Inventory!AE223,Inventory!AF223),0))</f>
        <v>0</v>
      </c>
      <c r="AF467" s="475" t="str">
        <f t="shared" si="301"/>
        <v/>
      </c>
      <c r="AG467" s="475" t="str">
        <f t="shared" si="302"/>
        <v/>
      </c>
      <c r="AH467" s="475" t="str">
        <f t="shared" si="303"/>
        <v/>
      </c>
      <c r="AI467" s="475" t="str">
        <f t="shared" si="304"/>
        <v/>
      </c>
      <c r="AJ467" s="475" t="str">
        <f t="shared" si="305"/>
        <v/>
      </c>
      <c r="AK467" s="475" t="str">
        <f t="shared" si="306"/>
        <v/>
      </c>
      <c r="AL467" s="475" t="str">
        <f t="shared" si="307"/>
        <v/>
      </c>
      <c r="AM467" s="475" t="str">
        <f t="shared" si="308"/>
        <v/>
      </c>
      <c r="AN467" s="475" t="str">
        <f t="shared" si="309"/>
        <v/>
      </c>
      <c r="AO467" s="475" t="str">
        <f t="shared" si="310"/>
        <v/>
      </c>
      <c r="AP467" s="475" t="str">
        <f t="shared" si="311"/>
        <v/>
      </c>
      <c r="AQ467" s="475" t="str">
        <f t="shared" si="312"/>
        <v/>
      </c>
      <c r="AR467" s="475" t="str">
        <f t="shared" si="313"/>
        <v/>
      </c>
      <c r="AS467" s="475" t="str">
        <f t="shared" si="336"/>
        <v/>
      </c>
      <c r="AT467" s="475" t="str">
        <f t="shared" si="314"/>
        <v/>
      </c>
      <c r="AU467" s="475" t="str">
        <f t="shared" si="315"/>
        <v/>
      </c>
      <c r="AV467" s="475" t="str">
        <f t="shared" si="316"/>
        <v/>
      </c>
      <c r="AW467" s="473">
        <f t="shared" si="317"/>
        <v>0</v>
      </c>
      <c r="AX467" s="473" t="str">
        <f>IF(AND($Z467="b",OR($AA467="a",$AA467="b"),Inventory!$I223="",$AE467&lt;(65000/12000)),"x",IF(AND($Z467="b",OR($AA467="a",$AA467="b"),Inventory!$I223&lt;&gt;"",$AE467&lt;(65000/12000)),VLOOKUP(Inventory!$I474,$V$4:$W$5,2,FALSE),"x"))</f>
        <v>x</v>
      </c>
      <c r="AY467" s="476" t="str">
        <f t="shared" si="318"/>
        <v>aaa0</v>
      </c>
      <c r="AZ467" s="477" t="str">
        <f t="shared" si="327"/>
        <v>No</v>
      </c>
      <c r="BA467" s="759" t="str">
        <f t="shared" si="328"/>
        <v>No</v>
      </c>
      <c r="BB467" s="477">
        <f>IF($Z467="c",Inventory!$AB223,Inventory!$K223)</f>
        <v>0</v>
      </c>
      <c r="BC467" s="478">
        <f>IF(AND($Z467="b",Inventory!$N223="Btu/hr"),Inventory!$M223,IF(AND($Z467="b",Inventory!$N223="Tons"),Inventory!$M223*12000,IF(AND($Z467&lt;&gt;"b",Inventory!$AK223="Btu/hr"),Inventory!$AD223,IF(AND($Z467&lt;&gt;"b",Inventory!$AK223="Tons"),Inventory!$AD223*12000,0))))</f>
        <v>0</v>
      </c>
      <c r="BD467" s="478">
        <f t="shared" si="325"/>
        <v>0</v>
      </c>
      <c r="BE467" s="479">
        <f t="shared" si="337"/>
        <v>0</v>
      </c>
      <c r="BF467" s="477" t="s">
        <v>50</v>
      </c>
      <c r="BG467" s="479">
        <f t="shared" si="319"/>
        <v>0</v>
      </c>
      <c r="BH467" s="477" t="s">
        <v>46</v>
      </c>
      <c r="BI467" s="760">
        <f>IF(AND($Z467="b",Inventory!$P223="Btu/hr"),Inventory!$O223,IF(AND($Z467="b",Inventory!$P223="Tons"),Inventory!$O223*12000,IF(AND($Z467&lt;&gt;"b",Inventory!$AM223="Btu/hr"),Inventory!$AL223,IF(AND($Z467&lt;&gt;"b",Inventory!$AM223="Tons"),Inventory!$AL223*12000,0))))</f>
        <v>0</v>
      </c>
      <c r="BJ467" s="760">
        <f t="shared" si="326"/>
        <v>0</v>
      </c>
      <c r="BK467" s="598">
        <f t="shared" si="329"/>
        <v>0</v>
      </c>
      <c r="BL467" s="759" t="s">
        <v>567</v>
      </c>
      <c r="BM467" s="477" t="str">
        <f t="shared" si="320"/>
        <v>No</v>
      </c>
      <c r="BN467" s="477" t="str">
        <f>IF(OR(Inventory!$H223="",$BM467="No"),"-",Inventory!$H223)</f>
        <v>-</v>
      </c>
      <c r="BO467" s="477" t="str">
        <f>IFERROR(VLOOKUP(BN467,'Early Retirement'!$B$6:$C$33,2,FALSE),"-")</f>
        <v>-</v>
      </c>
      <c r="BP467" s="477" t="str">
        <f>IF(Inventory!$J223="Centrifugal","Yes","No")</f>
        <v>No</v>
      </c>
      <c r="BQ467" s="477">
        <f t="shared" si="321"/>
        <v>0</v>
      </c>
      <c r="BR467" s="477" t="str">
        <f t="shared" si="339"/>
        <v>-</v>
      </c>
      <c r="BS467" s="479">
        <f>IFERROR(INDEX('Early Retirement'!$C$4:$AC$33,$BO467,$BR467),0)</f>
        <v>0</v>
      </c>
      <c r="BT467" s="477">
        <f>IFERROR(HLOOKUP($BR467,'Early Retirement'!$D$4:$AC$5,2,FALSE),0)</f>
        <v>0</v>
      </c>
      <c r="BU467" s="761">
        <f>IFERROR(INDEX('Early Retirement'!$AE$4:$BE$33,$BO467,$BR467),0)</f>
        <v>0</v>
      </c>
      <c r="BV467" s="759">
        <f>IFERROR(HLOOKUP($BR467,'Early Retirement'!$AF$4:$BE$5,2,FALSE),0)</f>
        <v>0</v>
      </c>
      <c r="BW467" s="479">
        <f t="shared" si="322"/>
        <v>0</v>
      </c>
      <c r="BX467" s="761">
        <f t="shared" si="330"/>
        <v>0</v>
      </c>
      <c r="BY467" s="477" t="s">
        <v>46</v>
      </c>
      <c r="BZ467" s="598">
        <f>IFERROR(INDEX('Early Retirement'!$BG$4:$CG$33,$BO467,$BR467),0)</f>
        <v>0</v>
      </c>
      <c r="CA467" s="759">
        <f>IFERROR(HLOOKUP($BR467,'Early Retirement'!$BH$4:$CH$5,2,FALSE),0)</f>
        <v>0</v>
      </c>
      <c r="CB467" s="598">
        <f t="shared" si="331"/>
        <v>0</v>
      </c>
      <c r="CC467" s="759" t="s">
        <v>567</v>
      </c>
      <c r="CD467" s="477" t="str">
        <f t="shared" si="323"/>
        <v>Yes</v>
      </c>
      <c r="CE467" s="479">
        <f t="shared" si="332"/>
        <v>0</v>
      </c>
      <c r="CF467" s="761">
        <f t="shared" si="333"/>
        <v>0</v>
      </c>
      <c r="CG467" s="759" t="s">
        <v>46</v>
      </c>
      <c r="CH467" s="598">
        <f t="shared" si="338"/>
        <v>0</v>
      </c>
      <c r="CI467" s="759" t="s">
        <v>567</v>
      </c>
      <c r="CJ467" s="480">
        <f t="shared" si="324"/>
        <v>0</v>
      </c>
      <c r="CK467" s="583">
        <f t="shared" si="334"/>
        <v>0</v>
      </c>
      <c r="CL467" s="596" t="s">
        <v>46</v>
      </c>
      <c r="CM467" s="581">
        <f t="shared" si="335"/>
        <v>0</v>
      </c>
      <c r="CN467" s="762" t="s">
        <v>567</v>
      </c>
      <c r="CR467" s="446"/>
      <c r="CS467" s="446"/>
      <c r="CT467" s="446"/>
      <c r="CU467" s="446"/>
      <c r="CV467" s="446"/>
      <c r="CW467" s="752"/>
      <c r="CX467" s="752"/>
      <c r="CY467" s="752"/>
      <c r="CZ467" s="752"/>
      <c r="DA467" s="752"/>
      <c r="DB467" s="446"/>
      <c r="DC467" s="446"/>
      <c r="DD467" s="446"/>
      <c r="DE467" s="446"/>
      <c r="DF467" s="446"/>
      <c r="DG467" s="446"/>
      <c r="DH467" s="446"/>
      <c r="DI467" s="446"/>
      <c r="DJ467" s="446"/>
      <c r="DK467" s="446"/>
      <c r="DL467" s="446"/>
      <c r="DM467" s="446"/>
      <c r="DN467" s="446"/>
      <c r="DO467" s="446"/>
      <c r="DP467" s="446"/>
      <c r="DQ467" s="446"/>
      <c r="DR467" s="446"/>
      <c r="DS467" s="446"/>
      <c r="DT467" s="446"/>
      <c r="DU467" s="446"/>
      <c r="DV467" s="446"/>
      <c r="DW467" s="446"/>
    </row>
    <row r="468" spans="2:127" s="78" customFormat="1" ht="15" customHeight="1" x14ac:dyDescent="0.25">
      <c r="B468" s="77"/>
      <c r="E468" s="77"/>
      <c r="H468" s="77"/>
      <c r="Y468" s="90">
        <v>215</v>
      </c>
      <c r="Z468" s="559" t="str">
        <f>IF(Inventory!$C224="","",VLOOKUP(Inventory!$C224,$B$7:$C$9,2,FALSE))</f>
        <v/>
      </c>
      <c r="AA468" s="559" t="str">
        <f>IF($Z468="","",IF(AND($Z468="b",Inventory!$G224=""),"",IF(AND($Z468="b",Inventory!$G224&lt;&gt;""),VLOOKUP(Inventory!$G224,$E$3:$F$10,2,FALSE),IF(AND($Z468="a",Inventory!$Z224=""),"",IF(AND($Z468="a",Inventory!$Z224&lt;&gt;""),VLOOKUP(Inventory!$Z224,$E$3:$F$10,2,FALSE),IF(AND($Z468="c",Inventory!$Z224=""),"",IF(AND($Z468="c",Inventory!$Z224&lt;&gt;""),VLOOKUP(Inventory!$Z224,$E$3:$F$10,2,FALSE),"")))))))</f>
        <v/>
      </c>
      <c r="AB468" s="559" t="str">
        <f>IF($Z468="","a",IF(AND($Z468="b",Inventory!$J224=""),"a",IF(AND($Z468="b",Inventory!$J224&lt;&gt;""),VLOOKUP(Inventory!$J224,$H$4:$I$6,2,FALSE),IF(AND($Z468="a",Inventory!$AA224=""),"a",IF(AND($Z468="a",Inventory!$AA224&lt;&gt;""),VLOOKUP(Inventory!$AA224,$H$4:$I$6,2,FALSE),IF(AND($Z468="c",Inventory!$AA224=""),"a",IF(AND($Z468="c",Inventory!$AA224&lt;&gt;""),VLOOKUP(Inventory!$AA224,$H$4:$I$6,2,FALSE),"a")))))))</f>
        <v>a</v>
      </c>
      <c r="AC468" s="559" t="str">
        <f t="shared" si="300"/>
        <v>a</v>
      </c>
      <c r="AD468" s="473" t="str">
        <f>IF($Z468="","a",IF(AND($Z468="b",Inventory!$L224=""),"a",IF(AND($Z468="b",Inventory!$L224&lt;&gt;""),VLOOKUP(Inventory!$L224,$N$4:$O$5,2,FALSE),IF(AND($Z468="a",Inventory!$AC224=""),"a",IF(AND($Z468="a",Inventory!$AC224&lt;&gt;""),VLOOKUP(Inventory!$AC224,$N$4:$O$5,2,FALSE),IF(AND($Z468="c",Inventory!$AC224=""),"a",IF(AND($Z468="c",Inventory!$AC224&lt;&gt;""),VLOOKUP(Inventory!$AC224,$N$4:$O$5,2,FALSE),"a")))))))</f>
        <v>a</v>
      </c>
      <c r="AE468" s="474">
        <f>IF(OR(Inventory!C224="New Construction",Inventory!C224="Replace-on-Burnout"),Inventory!AF224,IF(Inventory!C224="Early Retirement",MIN(Inventory!AE224,Inventory!AF224),0))</f>
        <v>0</v>
      </c>
      <c r="AF468" s="475" t="str">
        <f t="shared" si="301"/>
        <v/>
      </c>
      <c r="AG468" s="475" t="str">
        <f t="shared" si="302"/>
        <v/>
      </c>
      <c r="AH468" s="475" t="str">
        <f t="shared" si="303"/>
        <v/>
      </c>
      <c r="AI468" s="475" t="str">
        <f t="shared" si="304"/>
        <v/>
      </c>
      <c r="AJ468" s="475" t="str">
        <f t="shared" si="305"/>
        <v/>
      </c>
      <c r="AK468" s="475" t="str">
        <f t="shared" si="306"/>
        <v/>
      </c>
      <c r="AL468" s="475" t="str">
        <f t="shared" si="307"/>
        <v/>
      </c>
      <c r="AM468" s="475" t="str">
        <f t="shared" si="308"/>
        <v/>
      </c>
      <c r="AN468" s="475" t="str">
        <f t="shared" si="309"/>
        <v/>
      </c>
      <c r="AO468" s="475" t="str">
        <f t="shared" si="310"/>
        <v/>
      </c>
      <c r="AP468" s="475" t="str">
        <f t="shared" si="311"/>
        <v/>
      </c>
      <c r="AQ468" s="475" t="str">
        <f t="shared" si="312"/>
        <v/>
      </c>
      <c r="AR468" s="475" t="str">
        <f t="shared" si="313"/>
        <v/>
      </c>
      <c r="AS468" s="475" t="str">
        <f t="shared" si="336"/>
        <v/>
      </c>
      <c r="AT468" s="475" t="str">
        <f t="shared" si="314"/>
        <v/>
      </c>
      <c r="AU468" s="475" t="str">
        <f t="shared" si="315"/>
        <v/>
      </c>
      <c r="AV468" s="475" t="str">
        <f t="shared" si="316"/>
        <v/>
      </c>
      <c r="AW468" s="473">
        <f t="shared" si="317"/>
        <v>0</v>
      </c>
      <c r="AX468" s="473" t="str">
        <f>IF(AND($Z468="b",OR($AA468="a",$AA468="b"),Inventory!$I224="",$AE468&lt;(65000/12000)),"x",IF(AND($Z468="b",OR($AA468="a",$AA468="b"),Inventory!$I224&lt;&gt;"",$AE468&lt;(65000/12000)),VLOOKUP(Inventory!$I475,$V$4:$W$5,2,FALSE),"x"))</f>
        <v>x</v>
      </c>
      <c r="AY468" s="476" t="str">
        <f t="shared" si="318"/>
        <v>aaa0</v>
      </c>
      <c r="AZ468" s="477" t="str">
        <f t="shared" si="327"/>
        <v>No</v>
      </c>
      <c r="BA468" s="759" t="str">
        <f t="shared" si="328"/>
        <v>No</v>
      </c>
      <c r="BB468" s="477">
        <f>IF($Z468="c",Inventory!$AB224,Inventory!$K224)</f>
        <v>0</v>
      </c>
      <c r="BC468" s="478">
        <f>IF(AND($Z468="b",Inventory!$N224="Btu/hr"),Inventory!$M224,IF(AND($Z468="b",Inventory!$N224="Tons"),Inventory!$M224*12000,IF(AND($Z468&lt;&gt;"b",Inventory!$AK224="Btu/hr"),Inventory!$AD224,IF(AND($Z468&lt;&gt;"b",Inventory!$AK224="Tons"),Inventory!$AD224*12000,0))))</f>
        <v>0</v>
      </c>
      <c r="BD468" s="478">
        <f t="shared" si="325"/>
        <v>0</v>
      </c>
      <c r="BE468" s="479">
        <f t="shared" si="337"/>
        <v>0</v>
      </c>
      <c r="BF468" s="477" t="s">
        <v>50</v>
      </c>
      <c r="BG468" s="479">
        <f t="shared" si="319"/>
        <v>0</v>
      </c>
      <c r="BH468" s="477" t="s">
        <v>46</v>
      </c>
      <c r="BI468" s="760">
        <f>IF(AND($Z468="b",Inventory!$P224="Btu/hr"),Inventory!$O224,IF(AND($Z468="b",Inventory!$P224="Tons"),Inventory!$O224*12000,IF(AND($Z468&lt;&gt;"b",Inventory!$AM224="Btu/hr"),Inventory!$AL224,IF(AND($Z468&lt;&gt;"b",Inventory!$AM224="Tons"),Inventory!$AL224*12000,0))))</f>
        <v>0</v>
      </c>
      <c r="BJ468" s="760">
        <f t="shared" si="326"/>
        <v>0</v>
      </c>
      <c r="BK468" s="598">
        <f t="shared" si="329"/>
        <v>0</v>
      </c>
      <c r="BL468" s="759" t="s">
        <v>567</v>
      </c>
      <c r="BM468" s="477" t="str">
        <f t="shared" si="320"/>
        <v>No</v>
      </c>
      <c r="BN468" s="477" t="str">
        <f>IF(OR(Inventory!$H224="",$BM468="No"),"-",Inventory!$H224)</f>
        <v>-</v>
      </c>
      <c r="BO468" s="477" t="str">
        <f>IFERROR(VLOOKUP(BN468,'Early Retirement'!$B$6:$C$33,2,FALSE),"-")</f>
        <v>-</v>
      </c>
      <c r="BP468" s="477" t="str">
        <f>IF(Inventory!$J224="Centrifugal","Yes","No")</f>
        <v>No</v>
      </c>
      <c r="BQ468" s="477">
        <f t="shared" si="321"/>
        <v>0</v>
      </c>
      <c r="BR468" s="477" t="str">
        <f t="shared" si="339"/>
        <v>-</v>
      </c>
      <c r="BS468" s="479">
        <f>IFERROR(INDEX('Early Retirement'!$C$4:$AC$33,$BO468,$BR468),0)</f>
        <v>0</v>
      </c>
      <c r="BT468" s="477">
        <f>IFERROR(HLOOKUP($BR468,'Early Retirement'!$D$4:$AC$5,2,FALSE),0)</f>
        <v>0</v>
      </c>
      <c r="BU468" s="761">
        <f>IFERROR(INDEX('Early Retirement'!$AE$4:$BE$33,$BO468,$BR468),0)</f>
        <v>0</v>
      </c>
      <c r="BV468" s="759">
        <f>IFERROR(HLOOKUP($BR468,'Early Retirement'!$AF$4:$BE$5,2,FALSE),0)</f>
        <v>0</v>
      </c>
      <c r="BW468" s="479">
        <f t="shared" si="322"/>
        <v>0</v>
      </c>
      <c r="BX468" s="761">
        <f t="shared" si="330"/>
        <v>0</v>
      </c>
      <c r="BY468" s="477" t="s">
        <v>46</v>
      </c>
      <c r="BZ468" s="598">
        <f>IFERROR(INDEX('Early Retirement'!$BG$4:$CG$33,$BO468,$BR468),0)</f>
        <v>0</v>
      </c>
      <c r="CA468" s="759">
        <f>IFERROR(HLOOKUP($BR468,'Early Retirement'!$BH$4:$CH$5,2,FALSE),0)</f>
        <v>0</v>
      </c>
      <c r="CB468" s="598">
        <f t="shared" si="331"/>
        <v>0</v>
      </c>
      <c r="CC468" s="759" t="s">
        <v>567</v>
      </c>
      <c r="CD468" s="477" t="str">
        <f t="shared" si="323"/>
        <v>Yes</v>
      </c>
      <c r="CE468" s="479">
        <f t="shared" si="332"/>
        <v>0</v>
      </c>
      <c r="CF468" s="761">
        <f t="shared" si="333"/>
        <v>0</v>
      </c>
      <c r="CG468" s="759" t="s">
        <v>46</v>
      </c>
      <c r="CH468" s="598">
        <f t="shared" si="338"/>
        <v>0</v>
      </c>
      <c r="CI468" s="759" t="s">
        <v>567</v>
      </c>
      <c r="CJ468" s="480">
        <f t="shared" si="324"/>
        <v>0</v>
      </c>
      <c r="CK468" s="583">
        <f t="shared" si="334"/>
        <v>0</v>
      </c>
      <c r="CL468" s="596" t="s">
        <v>46</v>
      </c>
      <c r="CM468" s="581">
        <f t="shared" si="335"/>
        <v>0</v>
      </c>
      <c r="CN468" s="762" t="s">
        <v>567</v>
      </c>
      <c r="CR468" s="446"/>
      <c r="CS468" s="446"/>
      <c r="CT468" s="446"/>
      <c r="CU468" s="446"/>
      <c r="CV468" s="446"/>
      <c r="CW468" s="752"/>
      <c r="CX468" s="752"/>
      <c r="CY468" s="752"/>
      <c r="CZ468" s="752"/>
      <c r="DA468" s="752"/>
      <c r="DB468" s="446"/>
      <c r="DC468" s="446"/>
      <c r="DD468" s="446"/>
      <c r="DE468" s="446"/>
      <c r="DF468" s="446"/>
      <c r="DG468" s="446"/>
      <c r="DH468" s="446"/>
      <c r="DI468" s="446"/>
      <c r="DJ468" s="446"/>
      <c r="DK468" s="446"/>
      <c r="DL468" s="446"/>
      <c r="DM468" s="446"/>
      <c r="DN468" s="446"/>
      <c r="DO468" s="446"/>
      <c r="DP468" s="446"/>
      <c r="DQ468" s="446"/>
      <c r="DR468" s="446"/>
      <c r="DS468" s="446"/>
      <c r="DT468" s="446"/>
      <c r="DU468" s="446"/>
      <c r="DV468" s="446"/>
      <c r="DW468" s="446"/>
    </row>
    <row r="469" spans="2:127" s="78" customFormat="1" ht="15" customHeight="1" x14ac:dyDescent="0.25">
      <c r="B469" s="77"/>
      <c r="E469" s="77"/>
      <c r="H469" s="77"/>
      <c r="Y469" s="90">
        <v>216</v>
      </c>
      <c r="Z469" s="559" t="str">
        <f>IF(Inventory!$C225="","",VLOOKUP(Inventory!$C225,$B$7:$C$9,2,FALSE))</f>
        <v/>
      </c>
      <c r="AA469" s="559" t="str">
        <f>IF($Z469="","",IF(AND($Z469="b",Inventory!$G225=""),"",IF(AND($Z469="b",Inventory!$G225&lt;&gt;""),VLOOKUP(Inventory!$G225,$E$3:$F$10,2,FALSE),IF(AND($Z469="a",Inventory!$Z225=""),"",IF(AND($Z469="a",Inventory!$Z225&lt;&gt;""),VLOOKUP(Inventory!$Z225,$E$3:$F$10,2,FALSE),IF(AND($Z469="c",Inventory!$Z225=""),"",IF(AND($Z469="c",Inventory!$Z225&lt;&gt;""),VLOOKUP(Inventory!$Z225,$E$3:$F$10,2,FALSE),"")))))))</f>
        <v/>
      </c>
      <c r="AB469" s="559" t="str">
        <f>IF($Z469="","a",IF(AND($Z469="b",Inventory!$J225=""),"a",IF(AND($Z469="b",Inventory!$J225&lt;&gt;""),VLOOKUP(Inventory!$J225,$H$4:$I$6,2,FALSE),IF(AND($Z469="a",Inventory!$AA225=""),"a",IF(AND($Z469="a",Inventory!$AA225&lt;&gt;""),VLOOKUP(Inventory!$AA225,$H$4:$I$6,2,FALSE),IF(AND($Z469="c",Inventory!$AA225=""),"a",IF(AND($Z469="c",Inventory!$AA225&lt;&gt;""),VLOOKUP(Inventory!$AA225,$H$4:$I$6,2,FALSE),"a")))))))</f>
        <v>a</v>
      </c>
      <c r="AC469" s="559" t="str">
        <f t="shared" si="300"/>
        <v>a</v>
      </c>
      <c r="AD469" s="473" t="str">
        <f>IF($Z469="","a",IF(AND($Z469="b",Inventory!$L225=""),"a",IF(AND($Z469="b",Inventory!$L225&lt;&gt;""),VLOOKUP(Inventory!$L225,$N$4:$O$5,2,FALSE),IF(AND($Z469="a",Inventory!$AC225=""),"a",IF(AND($Z469="a",Inventory!$AC225&lt;&gt;""),VLOOKUP(Inventory!$AC225,$N$4:$O$5,2,FALSE),IF(AND($Z469="c",Inventory!$AC225=""),"a",IF(AND($Z469="c",Inventory!$AC225&lt;&gt;""),VLOOKUP(Inventory!$AC225,$N$4:$O$5,2,FALSE),"a")))))))</f>
        <v>a</v>
      </c>
      <c r="AE469" s="474">
        <f>IF(OR(Inventory!C225="New Construction",Inventory!C225="Replace-on-Burnout"),Inventory!AF225,IF(Inventory!C225="Early Retirement",MIN(Inventory!AE225,Inventory!AF225),0))</f>
        <v>0</v>
      </c>
      <c r="AF469" s="475" t="str">
        <f t="shared" si="301"/>
        <v/>
      </c>
      <c r="AG469" s="475" t="str">
        <f t="shared" si="302"/>
        <v/>
      </c>
      <c r="AH469" s="475" t="str">
        <f t="shared" si="303"/>
        <v/>
      </c>
      <c r="AI469" s="475" t="str">
        <f t="shared" si="304"/>
        <v/>
      </c>
      <c r="AJ469" s="475" t="str">
        <f t="shared" si="305"/>
        <v/>
      </c>
      <c r="AK469" s="475" t="str">
        <f t="shared" si="306"/>
        <v/>
      </c>
      <c r="AL469" s="475" t="str">
        <f t="shared" si="307"/>
        <v/>
      </c>
      <c r="AM469" s="475" t="str">
        <f t="shared" si="308"/>
        <v/>
      </c>
      <c r="AN469" s="475" t="str">
        <f t="shared" si="309"/>
        <v/>
      </c>
      <c r="AO469" s="475" t="str">
        <f t="shared" si="310"/>
        <v/>
      </c>
      <c r="AP469" s="475" t="str">
        <f t="shared" si="311"/>
        <v/>
      </c>
      <c r="AQ469" s="475" t="str">
        <f t="shared" si="312"/>
        <v/>
      </c>
      <c r="AR469" s="475" t="str">
        <f t="shared" si="313"/>
        <v/>
      </c>
      <c r="AS469" s="475" t="str">
        <f t="shared" si="336"/>
        <v/>
      </c>
      <c r="AT469" s="475" t="str">
        <f t="shared" si="314"/>
        <v/>
      </c>
      <c r="AU469" s="475" t="str">
        <f t="shared" si="315"/>
        <v/>
      </c>
      <c r="AV469" s="475" t="str">
        <f t="shared" si="316"/>
        <v/>
      </c>
      <c r="AW469" s="473">
        <f t="shared" si="317"/>
        <v>0</v>
      </c>
      <c r="AX469" s="473" t="str">
        <f>IF(AND($Z469="b",OR($AA469="a",$AA469="b"),Inventory!$I225="",$AE469&lt;(65000/12000)),"x",IF(AND($Z469="b",OR($AA469="a",$AA469="b"),Inventory!$I225&lt;&gt;"",$AE469&lt;(65000/12000)),VLOOKUP(Inventory!$I476,$V$4:$W$5,2,FALSE),"x"))</f>
        <v>x</v>
      </c>
      <c r="AY469" s="476" t="str">
        <f t="shared" si="318"/>
        <v>aaa0</v>
      </c>
      <c r="AZ469" s="477" t="str">
        <f t="shared" si="327"/>
        <v>No</v>
      </c>
      <c r="BA469" s="759" t="str">
        <f t="shared" si="328"/>
        <v>No</v>
      </c>
      <c r="BB469" s="477">
        <f>IF($Z469="c",Inventory!$AB225,Inventory!$K225)</f>
        <v>0</v>
      </c>
      <c r="BC469" s="478">
        <f>IF(AND($Z469="b",Inventory!$N225="Btu/hr"),Inventory!$M225,IF(AND($Z469="b",Inventory!$N225="Tons"),Inventory!$M225*12000,IF(AND($Z469&lt;&gt;"b",Inventory!$AK225="Btu/hr"),Inventory!$AD225,IF(AND($Z469&lt;&gt;"b",Inventory!$AK225="Tons"),Inventory!$AD225*12000,0))))</f>
        <v>0</v>
      </c>
      <c r="BD469" s="478">
        <f t="shared" si="325"/>
        <v>0</v>
      </c>
      <c r="BE469" s="479">
        <f t="shared" si="337"/>
        <v>0</v>
      </c>
      <c r="BF469" s="477" t="s">
        <v>50</v>
      </c>
      <c r="BG469" s="479">
        <f t="shared" si="319"/>
        <v>0</v>
      </c>
      <c r="BH469" s="477" t="s">
        <v>46</v>
      </c>
      <c r="BI469" s="760">
        <f>IF(AND($Z469="b",Inventory!$P225="Btu/hr"),Inventory!$O225,IF(AND($Z469="b",Inventory!$P225="Tons"),Inventory!$O225*12000,IF(AND($Z469&lt;&gt;"b",Inventory!$AM225="Btu/hr"),Inventory!$AL225,IF(AND($Z469&lt;&gt;"b",Inventory!$AM225="Tons"),Inventory!$AL225*12000,0))))</f>
        <v>0</v>
      </c>
      <c r="BJ469" s="760">
        <f t="shared" si="326"/>
        <v>0</v>
      </c>
      <c r="BK469" s="598">
        <f t="shared" si="329"/>
        <v>0</v>
      </c>
      <c r="BL469" s="759" t="s">
        <v>567</v>
      </c>
      <c r="BM469" s="477" t="str">
        <f t="shared" si="320"/>
        <v>No</v>
      </c>
      <c r="BN469" s="477" t="str">
        <f>IF(OR(Inventory!$H225="",$BM469="No"),"-",Inventory!$H225)</f>
        <v>-</v>
      </c>
      <c r="BO469" s="477" t="str">
        <f>IFERROR(VLOOKUP(BN469,'Early Retirement'!$B$6:$C$33,2,FALSE),"-")</f>
        <v>-</v>
      </c>
      <c r="BP469" s="477" t="str">
        <f>IF(Inventory!$J225="Centrifugal","Yes","No")</f>
        <v>No</v>
      </c>
      <c r="BQ469" s="477">
        <f t="shared" si="321"/>
        <v>0</v>
      </c>
      <c r="BR469" s="477" t="str">
        <f t="shared" si="339"/>
        <v>-</v>
      </c>
      <c r="BS469" s="479">
        <f>IFERROR(INDEX('Early Retirement'!$C$4:$AC$33,$BO469,$BR469),0)</f>
        <v>0</v>
      </c>
      <c r="BT469" s="477">
        <f>IFERROR(HLOOKUP($BR469,'Early Retirement'!$D$4:$AC$5,2,FALSE),0)</f>
        <v>0</v>
      </c>
      <c r="BU469" s="761">
        <f>IFERROR(INDEX('Early Retirement'!$AE$4:$BE$33,$BO469,$BR469),0)</f>
        <v>0</v>
      </c>
      <c r="BV469" s="759">
        <f>IFERROR(HLOOKUP($BR469,'Early Retirement'!$AF$4:$BE$5,2,FALSE),0)</f>
        <v>0</v>
      </c>
      <c r="BW469" s="479">
        <f t="shared" si="322"/>
        <v>0</v>
      </c>
      <c r="BX469" s="761">
        <f t="shared" si="330"/>
        <v>0</v>
      </c>
      <c r="BY469" s="477" t="s">
        <v>46</v>
      </c>
      <c r="BZ469" s="598">
        <f>IFERROR(INDEX('Early Retirement'!$BG$4:$CG$33,$BO469,$BR469),0)</f>
        <v>0</v>
      </c>
      <c r="CA469" s="759">
        <f>IFERROR(HLOOKUP($BR469,'Early Retirement'!$BH$4:$CH$5,2,FALSE),0)</f>
        <v>0</v>
      </c>
      <c r="CB469" s="598">
        <f t="shared" si="331"/>
        <v>0</v>
      </c>
      <c r="CC469" s="759" t="s">
        <v>567</v>
      </c>
      <c r="CD469" s="477" t="str">
        <f t="shared" si="323"/>
        <v>Yes</v>
      </c>
      <c r="CE469" s="479">
        <f t="shared" si="332"/>
        <v>0</v>
      </c>
      <c r="CF469" s="761">
        <f t="shared" si="333"/>
        <v>0</v>
      </c>
      <c r="CG469" s="759" t="s">
        <v>46</v>
      </c>
      <c r="CH469" s="598">
        <f t="shared" si="338"/>
        <v>0</v>
      </c>
      <c r="CI469" s="759" t="s">
        <v>567</v>
      </c>
      <c r="CJ469" s="480">
        <f t="shared" si="324"/>
        <v>0</v>
      </c>
      <c r="CK469" s="583">
        <f t="shared" si="334"/>
        <v>0</v>
      </c>
      <c r="CL469" s="596" t="s">
        <v>46</v>
      </c>
      <c r="CM469" s="581">
        <f t="shared" si="335"/>
        <v>0</v>
      </c>
      <c r="CN469" s="762" t="s">
        <v>567</v>
      </c>
      <c r="CR469" s="446"/>
      <c r="CS469" s="446"/>
      <c r="CT469" s="446"/>
      <c r="CU469" s="446"/>
      <c r="CV469" s="446"/>
      <c r="CW469" s="752"/>
      <c r="CX469" s="752"/>
      <c r="CY469" s="752"/>
      <c r="CZ469" s="752"/>
      <c r="DA469" s="752"/>
      <c r="DB469" s="446"/>
      <c r="DC469" s="446"/>
      <c r="DD469" s="446"/>
      <c r="DE469" s="446"/>
      <c r="DF469" s="446"/>
      <c r="DG469" s="446"/>
      <c r="DH469" s="446"/>
      <c r="DI469" s="446"/>
      <c r="DJ469" s="446"/>
      <c r="DK469" s="446"/>
      <c r="DL469" s="446"/>
      <c r="DM469" s="446"/>
      <c r="DN469" s="446"/>
      <c r="DO469" s="446"/>
      <c r="DP469" s="446"/>
      <c r="DQ469" s="446"/>
      <c r="DR469" s="446"/>
      <c r="DS469" s="446"/>
      <c r="DT469" s="446"/>
      <c r="DU469" s="446"/>
      <c r="DV469" s="446"/>
      <c r="DW469" s="446"/>
    </row>
    <row r="470" spans="2:127" s="78" customFormat="1" ht="15" customHeight="1" x14ac:dyDescent="0.25">
      <c r="B470" s="77"/>
      <c r="E470" s="77"/>
      <c r="H470" s="77"/>
      <c r="Y470" s="90">
        <v>217</v>
      </c>
      <c r="Z470" s="559" t="str">
        <f>IF(Inventory!$C226="","",VLOOKUP(Inventory!$C226,$B$7:$C$9,2,FALSE))</f>
        <v/>
      </c>
      <c r="AA470" s="559" t="str">
        <f>IF($Z470="","",IF(AND($Z470="b",Inventory!$G226=""),"",IF(AND($Z470="b",Inventory!$G226&lt;&gt;""),VLOOKUP(Inventory!$G226,$E$3:$F$10,2,FALSE),IF(AND($Z470="a",Inventory!$Z226=""),"",IF(AND($Z470="a",Inventory!$Z226&lt;&gt;""),VLOOKUP(Inventory!$Z226,$E$3:$F$10,2,FALSE),IF(AND($Z470="c",Inventory!$Z226=""),"",IF(AND($Z470="c",Inventory!$Z226&lt;&gt;""),VLOOKUP(Inventory!$Z226,$E$3:$F$10,2,FALSE),"")))))))</f>
        <v/>
      </c>
      <c r="AB470" s="559" t="str">
        <f>IF($Z470="","a",IF(AND($Z470="b",Inventory!$J226=""),"a",IF(AND($Z470="b",Inventory!$J226&lt;&gt;""),VLOOKUP(Inventory!$J226,$H$4:$I$6,2,FALSE),IF(AND($Z470="a",Inventory!$AA226=""),"a",IF(AND($Z470="a",Inventory!$AA226&lt;&gt;""),VLOOKUP(Inventory!$AA226,$H$4:$I$6,2,FALSE),IF(AND($Z470="c",Inventory!$AA226=""),"a",IF(AND($Z470="c",Inventory!$AA226&lt;&gt;""),VLOOKUP(Inventory!$AA226,$H$4:$I$6,2,FALSE),"a")))))))</f>
        <v>a</v>
      </c>
      <c r="AC470" s="559" t="str">
        <f t="shared" si="300"/>
        <v>a</v>
      </c>
      <c r="AD470" s="473" t="str">
        <f>IF($Z470="","a",IF(AND($Z470="b",Inventory!$L226=""),"a",IF(AND($Z470="b",Inventory!$L226&lt;&gt;""),VLOOKUP(Inventory!$L226,$N$4:$O$5,2,FALSE),IF(AND($Z470="a",Inventory!$AC226=""),"a",IF(AND($Z470="a",Inventory!$AC226&lt;&gt;""),VLOOKUP(Inventory!$AC226,$N$4:$O$5,2,FALSE),IF(AND($Z470="c",Inventory!$AC226=""),"a",IF(AND($Z470="c",Inventory!$AC226&lt;&gt;""),VLOOKUP(Inventory!$AC226,$N$4:$O$5,2,FALSE),"a")))))))</f>
        <v>a</v>
      </c>
      <c r="AE470" s="474">
        <f>IF(OR(Inventory!C226="New Construction",Inventory!C226="Replace-on-Burnout"),Inventory!AF226,IF(Inventory!C226="Early Retirement",MIN(Inventory!AE226,Inventory!AF226),0))</f>
        <v>0</v>
      </c>
      <c r="AF470" s="475" t="str">
        <f t="shared" si="301"/>
        <v/>
      </c>
      <c r="AG470" s="475" t="str">
        <f t="shared" si="302"/>
        <v/>
      </c>
      <c r="AH470" s="475" t="str">
        <f t="shared" si="303"/>
        <v/>
      </c>
      <c r="AI470" s="475" t="str">
        <f t="shared" si="304"/>
        <v/>
      </c>
      <c r="AJ470" s="475" t="str">
        <f t="shared" si="305"/>
        <v/>
      </c>
      <c r="AK470" s="475" t="str">
        <f t="shared" si="306"/>
        <v/>
      </c>
      <c r="AL470" s="475" t="str">
        <f t="shared" si="307"/>
        <v/>
      </c>
      <c r="AM470" s="475" t="str">
        <f t="shared" si="308"/>
        <v/>
      </c>
      <c r="AN470" s="475" t="str">
        <f t="shared" si="309"/>
        <v/>
      </c>
      <c r="AO470" s="475" t="str">
        <f t="shared" si="310"/>
        <v/>
      </c>
      <c r="AP470" s="475" t="str">
        <f t="shared" si="311"/>
        <v/>
      </c>
      <c r="AQ470" s="475" t="str">
        <f t="shared" si="312"/>
        <v/>
      </c>
      <c r="AR470" s="475" t="str">
        <f t="shared" si="313"/>
        <v/>
      </c>
      <c r="AS470" s="475" t="str">
        <f t="shared" si="336"/>
        <v/>
      </c>
      <c r="AT470" s="475" t="str">
        <f t="shared" si="314"/>
        <v/>
      </c>
      <c r="AU470" s="475" t="str">
        <f t="shared" si="315"/>
        <v/>
      </c>
      <c r="AV470" s="475" t="str">
        <f t="shared" si="316"/>
        <v/>
      </c>
      <c r="AW470" s="473">
        <f t="shared" si="317"/>
        <v>0</v>
      </c>
      <c r="AX470" s="473" t="str">
        <f>IF(AND($Z470="b",OR($AA470="a",$AA470="b"),Inventory!$I226="",$AE470&lt;(65000/12000)),"x",IF(AND($Z470="b",OR($AA470="a",$AA470="b"),Inventory!$I226&lt;&gt;"",$AE470&lt;(65000/12000)),VLOOKUP(Inventory!$I477,$V$4:$W$5,2,FALSE),"x"))</f>
        <v>x</v>
      </c>
      <c r="AY470" s="476" t="str">
        <f t="shared" si="318"/>
        <v>aaa0</v>
      </c>
      <c r="AZ470" s="477" t="str">
        <f t="shared" si="327"/>
        <v>No</v>
      </c>
      <c r="BA470" s="759" t="str">
        <f t="shared" si="328"/>
        <v>No</v>
      </c>
      <c r="BB470" s="477">
        <f>IF($Z470="c",Inventory!$AB226,Inventory!$K226)</f>
        <v>0</v>
      </c>
      <c r="BC470" s="478">
        <f>IF(AND($Z470="b",Inventory!$N226="Btu/hr"),Inventory!$M226,IF(AND($Z470="b",Inventory!$N226="Tons"),Inventory!$M226*12000,IF(AND($Z470&lt;&gt;"b",Inventory!$AK226="Btu/hr"),Inventory!$AD226,IF(AND($Z470&lt;&gt;"b",Inventory!$AK226="Tons"),Inventory!$AD226*12000,0))))</f>
        <v>0</v>
      </c>
      <c r="BD470" s="478">
        <f t="shared" si="325"/>
        <v>0</v>
      </c>
      <c r="BE470" s="479">
        <f t="shared" si="337"/>
        <v>0</v>
      </c>
      <c r="BF470" s="477" t="s">
        <v>50</v>
      </c>
      <c r="BG470" s="479">
        <f t="shared" si="319"/>
        <v>0</v>
      </c>
      <c r="BH470" s="477" t="s">
        <v>46</v>
      </c>
      <c r="BI470" s="760">
        <f>IF(AND($Z470="b",Inventory!$P226="Btu/hr"),Inventory!$O226,IF(AND($Z470="b",Inventory!$P226="Tons"),Inventory!$O226*12000,IF(AND($Z470&lt;&gt;"b",Inventory!$AM226="Btu/hr"),Inventory!$AL226,IF(AND($Z470&lt;&gt;"b",Inventory!$AM226="Tons"),Inventory!$AL226*12000,0))))</f>
        <v>0</v>
      </c>
      <c r="BJ470" s="760">
        <f t="shared" si="326"/>
        <v>0</v>
      </c>
      <c r="BK470" s="598">
        <f t="shared" si="329"/>
        <v>0</v>
      </c>
      <c r="BL470" s="759" t="s">
        <v>567</v>
      </c>
      <c r="BM470" s="477" t="str">
        <f t="shared" si="320"/>
        <v>No</v>
      </c>
      <c r="BN470" s="477" t="str">
        <f>IF(OR(Inventory!$H226="",$BM470="No"),"-",Inventory!$H226)</f>
        <v>-</v>
      </c>
      <c r="BO470" s="477" t="str">
        <f>IFERROR(VLOOKUP(BN470,'Early Retirement'!$B$6:$C$33,2,FALSE),"-")</f>
        <v>-</v>
      </c>
      <c r="BP470" s="477" t="str">
        <f>IF(Inventory!$J226="Centrifugal","Yes","No")</f>
        <v>No</v>
      </c>
      <c r="BQ470" s="477">
        <f t="shared" si="321"/>
        <v>0</v>
      </c>
      <c r="BR470" s="477" t="str">
        <f t="shared" si="339"/>
        <v>-</v>
      </c>
      <c r="BS470" s="479">
        <f>IFERROR(INDEX('Early Retirement'!$C$4:$AC$33,$BO470,$BR470),0)</f>
        <v>0</v>
      </c>
      <c r="BT470" s="477">
        <f>IFERROR(HLOOKUP($BR470,'Early Retirement'!$D$4:$AC$5,2,FALSE),0)</f>
        <v>0</v>
      </c>
      <c r="BU470" s="761">
        <f>IFERROR(INDEX('Early Retirement'!$AE$4:$BE$33,$BO470,$BR470),0)</f>
        <v>0</v>
      </c>
      <c r="BV470" s="759">
        <f>IFERROR(HLOOKUP($BR470,'Early Retirement'!$AF$4:$BE$5,2,FALSE),0)</f>
        <v>0</v>
      </c>
      <c r="BW470" s="479">
        <f t="shared" si="322"/>
        <v>0</v>
      </c>
      <c r="BX470" s="761">
        <f t="shared" si="330"/>
        <v>0</v>
      </c>
      <c r="BY470" s="477" t="s">
        <v>46</v>
      </c>
      <c r="BZ470" s="598">
        <f>IFERROR(INDEX('Early Retirement'!$BG$4:$CG$33,$BO470,$BR470),0)</f>
        <v>0</v>
      </c>
      <c r="CA470" s="759">
        <f>IFERROR(HLOOKUP($BR470,'Early Retirement'!$BH$4:$CH$5,2,FALSE),0)</f>
        <v>0</v>
      </c>
      <c r="CB470" s="598">
        <f t="shared" si="331"/>
        <v>0</v>
      </c>
      <c r="CC470" s="759" t="s">
        <v>567</v>
      </c>
      <c r="CD470" s="477" t="str">
        <f t="shared" si="323"/>
        <v>Yes</v>
      </c>
      <c r="CE470" s="479">
        <f t="shared" si="332"/>
        <v>0</v>
      </c>
      <c r="CF470" s="761">
        <f t="shared" si="333"/>
        <v>0</v>
      </c>
      <c r="CG470" s="759" t="s">
        <v>46</v>
      </c>
      <c r="CH470" s="598">
        <f t="shared" si="338"/>
        <v>0</v>
      </c>
      <c r="CI470" s="759" t="s">
        <v>567</v>
      </c>
      <c r="CJ470" s="480">
        <f t="shared" si="324"/>
        <v>0</v>
      </c>
      <c r="CK470" s="583">
        <f t="shared" si="334"/>
        <v>0</v>
      </c>
      <c r="CL470" s="596" t="s">
        <v>46</v>
      </c>
      <c r="CM470" s="581">
        <f t="shared" si="335"/>
        <v>0</v>
      </c>
      <c r="CN470" s="762" t="s">
        <v>567</v>
      </c>
      <c r="CR470" s="446"/>
      <c r="CS470" s="446"/>
      <c r="CT470" s="446"/>
      <c r="CU470" s="446"/>
      <c r="CV470" s="446"/>
      <c r="CW470" s="752"/>
      <c r="CX470" s="752"/>
      <c r="CY470" s="752"/>
      <c r="CZ470" s="752"/>
      <c r="DA470" s="752"/>
      <c r="DB470" s="446"/>
      <c r="DC470" s="446"/>
      <c r="DD470" s="446"/>
      <c r="DE470" s="446"/>
      <c r="DF470" s="446"/>
      <c r="DG470" s="446"/>
      <c r="DH470" s="446"/>
      <c r="DI470" s="446"/>
      <c r="DJ470" s="446"/>
      <c r="DK470" s="446"/>
      <c r="DL470" s="446"/>
      <c r="DM470" s="446"/>
      <c r="DN470" s="446"/>
      <c r="DO470" s="446"/>
      <c r="DP470" s="446"/>
      <c r="DQ470" s="446"/>
      <c r="DR470" s="446"/>
      <c r="DS470" s="446"/>
      <c r="DT470" s="446"/>
      <c r="DU470" s="446"/>
      <c r="DV470" s="446"/>
      <c r="DW470" s="446"/>
    </row>
    <row r="471" spans="2:127" s="78" customFormat="1" ht="15" customHeight="1" x14ac:dyDescent="0.25">
      <c r="B471" s="77"/>
      <c r="E471" s="77"/>
      <c r="H471" s="77"/>
      <c r="Y471" s="90">
        <v>218</v>
      </c>
      <c r="Z471" s="559" t="str">
        <f>IF(Inventory!$C227="","",VLOOKUP(Inventory!$C227,$B$7:$C$9,2,FALSE))</f>
        <v/>
      </c>
      <c r="AA471" s="559" t="str">
        <f>IF($Z471="","",IF(AND($Z471="b",Inventory!$G227=""),"",IF(AND($Z471="b",Inventory!$G227&lt;&gt;""),VLOOKUP(Inventory!$G227,$E$3:$F$10,2,FALSE),IF(AND($Z471="a",Inventory!$Z227=""),"",IF(AND($Z471="a",Inventory!$Z227&lt;&gt;""),VLOOKUP(Inventory!$Z227,$E$3:$F$10,2,FALSE),IF(AND($Z471="c",Inventory!$Z227=""),"",IF(AND($Z471="c",Inventory!$Z227&lt;&gt;""),VLOOKUP(Inventory!$Z227,$E$3:$F$10,2,FALSE),"")))))))</f>
        <v/>
      </c>
      <c r="AB471" s="559" t="str">
        <f>IF($Z471="","a",IF(AND($Z471="b",Inventory!$J227=""),"a",IF(AND($Z471="b",Inventory!$J227&lt;&gt;""),VLOOKUP(Inventory!$J227,$H$4:$I$6,2,FALSE),IF(AND($Z471="a",Inventory!$AA227=""),"a",IF(AND($Z471="a",Inventory!$AA227&lt;&gt;""),VLOOKUP(Inventory!$AA227,$H$4:$I$6,2,FALSE),IF(AND($Z471="c",Inventory!$AA227=""),"a",IF(AND($Z471="c",Inventory!$AA227&lt;&gt;""),VLOOKUP(Inventory!$AA227,$H$4:$I$6,2,FALSE),"a")))))))</f>
        <v>a</v>
      </c>
      <c r="AC471" s="559" t="str">
        <f t="shared" si="300"/>
        <v>a</v>
      </c>
      <c r="AD471" s="473" t="str">
        <f>IF($Z471="","a",IF(AND($Z471="b",Inventory!$L227=""),"a",IF(AND($Z471="b",Inventory!$L227&lt;&gt;""),VLOOKUP(Inventory!$L227,$N$4:$O$5,2,FALSE),IF(AND($Z471="a",Inventory!$AC227=""),"a",IF(AND($Z471="a",Inventory!$AC227&lt;&gt;""),VLOOKUP(Inventory!$AC227,$N$4:$O$5,2,FALSE),IF(AND($Z471="c",Inventory!$AC227=""),"a",IF(AND($Z471="c",Inventory!$AC227&lt;&gt;""),VLOOKUP(Inventory!$AC227,$N$4:$O$5,2,FALSE),"a")))))))</f>
        <v>a</v>
      </c>
      <c r="AE471" s="474">
        <f>IF(OR(Inventory!C227="New Construction",Inventory!C227="Replace-on-Burnout"),Inventory!AF227,IF(Inventory!C227="Early Retirement",MIN(Inventory!AE227,Inventory!AF227),0))</f>
        <v>0</v>
      </c>
      <c r="AF471" s="475" t="str">
        <f t="shared" si="301"/>
        <v/>
      </c>
      <c r="AG471" s="475" t="str">
        <f t="shared" si="302"/>
        <v/>
      </c>
      <c r="AH471" s="475" t="str">
        <f t="shared" si="303"/>
        <v/>
      </c>
      <c r="AI471" s="475" t="str">
        <f t="shared" si="304"/>
        <v/>
      </c>
      <c r="AJ471" s="475" t="str">
        <f t="shared" si="305"/>
        <v/>
      </c>
      <c r="AK471" s="475" t="str">
        <f t="shared" si="306"/>
        <v/>
      </c>
      <c r="AL471" s="475" t="str">
        <f t="shared" si="307"/>
        <v/>
      </c>
      <c r="AM471" s="475" t="str">
        <f t="shared" si="308"/>
        <v/>
      </c>
      <c r="AN471" s="475" t="str">
        <f t="shared" si="309"/>
        <v/>
      </c>
      <c r="AO471" s="475" t="str">
        <f t="shared" si="310"/>
        <v/>
      </c>
      <c r="AP471" s="475" t="str">
        <f t="shared" si="311"/>
        <v/>
      </c>
      <c r="AQ471" s="475" t="str">
        <f t="shared" si="312"/>
        <v/>
      </c>
      <c r="AR471" s="475" t="str">
        <f t="shared" si="313"/>
        <v/>
      </c>
      <c r="AS471" s="475" t="str">
        <f t="shared" si="336"/>
        <v/>
      </c>
      <c r="AT471" s="475" t="str">
        <f t="shared" si="314"/>
        <v/>
      </c>
      <c r="AU471" s="475" t="str">
        <f t="shared" si="315"/>
        <v/>
      </c>
      <c r="AV471" s="475" t="str">
        <f t="shared" si="316"/>
        <v/>
      </c>
      <c r="AW471" s="473">
        <f t="shared" si="317"/>
        <v>0</v>
      </c>
      <c r="AX471" s="473" t="str">
        <f>IF(AND($Z471="b",OR($AA471="a",$AA471="b"),Inventory!$I227="",$AE471&lt;(65000/12000)),"x",IF(AND($Z471="b",OR($AA471="a",$AA471="b"),Inventory!$I227&lt;&gt;"",$AE471&lt;(65000/12000)),VLOOKUP(Inventory!$I478,$V$4:$W$5,2,FALSE),"x"))</f>
        <v>x</v>
      </c>
      <c r="AY471" s="476" t="str">
        <f t="shared" si="318"/>
        <v>aaa0</v>
      </c>
      <c r="AZ471" s="477" t="str">
        <f t="shared" si="327"/>
        <v>No</v>
      </c>
      <c r="BA471" s="759" t="str">
        <f t="shared" si="328"/>
        <v>No</v>
      </c>
      <c r="BB471" s="477">
        <f>IF($Z471="c",Inventory!$AB227,Inventory!$K227)</f>
        <v>0</v>
      </c>
      <c r="BC471" s="478">
        <f>IF(AND($Z471="b",Inventory!$N227="Btu/hr"),Inventory!$M227,IF(AND($Z471="b",Inventory!$N227="Tons"),Inventory!$M227*12000,IF(AND($Z471&lt;&gt;"b",Inventory!$AK227="Btu/hr"),Inventory!$AD227,IF(AND($Z471&lt;&gt;"b",Inventory!$AK227="Tons"),Inventory!$AD227*12000,0))))</f>
        <v>0</v>
      </c>
      <c r="BD471" s="478">
        <f t="shared" si="325"/>
        <v>0</v>
      </c>
      <c r="BE471" s="479">
        <f t="shared" si="337"/>
        <v>0</v>
      </c>
      <c r="BF471" s="477" t="s">
        <v>50</v>
      </c>
      <c r="BG471" s="479">
        <f t="shared" si="319"/>
        <v>0</v>
      </c>
      <c r="BH471" s="477" t="s">
        <v>46</v>
      </c>
      <c r="BI471" s="760">
        <f>IF(AND($Z471="b",Inventory!$P227="Btu/hr"),Inventory!$O227,IF(AND($Z471="b",Inventory!$P227="Tons"),Inventory!$O227*12000,IF(AND($Z471&lt;&gt;"b",Inventory!$AM227="Btu/hr"),Inventory!$AL227,IF(AND($Z471&lt;&gt;"b",Inventory!$AM227="Tons"),Inventory!$AL227*12000,0))))</f>
        <v>0</v>
      </c>
      <c r="BJ471" s="760">
        <f t="shared" si="326"/>
        <v>0</v>
      </c>
      <c r="BK471" s="598">
        <f t="shared" si="329"/>
        <v>0</v>
      </c>
      <c r="BL471" s="759" t="s">
        <v>567</v>
      </c>
      <c r="BM471" s="477" t="str">
        <f t="shared" si="320"/>
        <v>No</v>
      </c>
      <c r="BN471" s="477" t="str">
        <f>IF(OR(Inventory!$H227="",$BM471="No"),"-",Inventory!$H227)</f>
        <v>-</v>
      </c>
      <c r="BO471" s="477" t="str">
        <f>IFERROR(VLOOKUP(BN471,'Early Retirement'!$B$6:$C$33,2,FALSE),"-")</f>
        <v>-</v>
      </c>
      <c r="BP471" s="477" t="str">
        <f>IF(Inventory!$J227="Centrifugal","Yes","No")</f>
        <v>No</v>
      </c>
      <c r="BQ471" s="477">
        <f t="shared" si="321"/>
        <v>0</v>
      </c>
      <c r="BR471" s="477" t="str">
        <f t="shared" si="339"/>
        <v>-</v>
      </c>
      <c r="BS471" s="479">
        <f>IFERROR(INDEX('Early Retirement'!$C$4:$AC$33,$BO471,$BR471),0)</f>
        <v>0</v>
      </c>
      <c r="BT471" s="477">
        <f>IFERROR(HLOOKUP($BR471,'Early Retirement'!$D$4:$AC$5,2,FALSE),0)</f>
        <v>0</v>
      </c>
      <c r="BU471" s="761">
        <f>IFERROR(INDEX('Early Retirement'!$AE$4:$BE$33,$BO471,$BR471),0)</f>
        <v>0</v>
      </c>
      <c r="BV471" s="759">
        <f>IFERROR(HLOOKUP($BR471,'Early Retirement'!$AF$4:$BE$5,2,FALSE),0)</f>
        <v>0</v>
      </c>
      <c r="BW471" s="479">
        <f t="shared" si="322"/>
        <v>0</v>
      </c>
      <c r="BX471" s="761">
        <f t="shared" si="330"/>
        <v>0</v>
      </c>
      <c r="BY471" s="477" t="s">
        <v>46</v>
      </c>
      <c r="BZ471" s="598">
        <f>IFERROR(INDEX('Early Retirement'!$BG$4:$CG$33,$BO471,$BR471),0)</f>
        <v>0</v>
      </c>
      <c r="CA471" s="759">
        <f>IFERROR(HLOOKUP($BR471,'Early Retirement'!$BH$4:$CH$5,2,FALSE),0)</f>
        <v>0</v>
      </c>
      <c r="CB471" s="598">
        <f t="shared" si="331"/>
        <v>0</v>
      </c>
      <c r="CC471" s="759" t="s">
        <v>567</v>
      </c>
      <c r="CD471" s="477" t="str">
        <f t="shared" si="323"/>
        <v>Yes</v>
      </c>
      <c r="CE471" s="479">
        <f t="shared" si="332"/>
        <v>0</v>
      </c>
      <c r="CF471" s="761">
        <f t="shared" si="333"/>
        <v>0</v>
      </c>
      <c r="CG471" s="759" t="s">
        <v>46</v>
      </c>
      <c r="CH471" s="598">
        <f t="shared" si="338"/>
        <v>0</v>
      </c>
      <c r="CI471" s="759" t="s">
        <v>567</v>
      </c>
      <c r="CJ471" s="480">
        <f t="shared" si="324"/>
        <v>0</v>
      </c>
      <c r="CK471" s="583">
        <f t="shared" si="334"/>
        <v>0</v>
      </c>
      <c r="CL471" s="596" t="s">
        <v>46</v>
      </c>
      <c r="CM471" s="581">
        <f t="shared" si="335"/>
        <v>0</v>
      </c>
      <c r="CN471" s="762" t="s">
        <v>567</v>
      </c>
      <c r="CR471" s="446"/>
      <c r="CS471" s="446"/>
      <c r="CT471" s="446"/>
      <c r="CU471" s="446"/>
      <c r="CV471" s="446"/>
      <c r="CW471" s="752"/>
      <c r="CX471" s="752"/>
      <c r="CY471" s="752"/>
      <c r="CZ471" s="752"/>
      <c r="DA471" s="752"/>
      <c r="DB471" s="446"/>
      <c r="DC471" s="446"/>
      <c r="DD471" s="446"/>
      <c r="DE471" s="446"/>
      <c r="DF471" s="446"/>
      <c r="DG471" s="446"/>
      <c r="DH471" s="446"/>
      <c r="DI471" s="446"/>
      <c r="DJ471" s="446"/>
      <c r="DK471" s="446"/>
      <c r="DL471" s="446"/>
      <c r="DM471" s="446"/>
      <c r="DN471" s="446"/>
      <c r="DO471" s="446"/>
      <c r="DP471" s="446"/>
      <c r="DQ471" s="446"/>
      <c r="DR471" s="446"/>
      <c r="DS471" s="446"/>
      <c r="DT471" s="446"/>
      <c r="DU471" s="446"/>
      <c r="DV471" s="446"/>
      <c r="DW471" s="446"/>
    </row>
    <row r="472" spans="2:127" s="78" customFormat="1" ht="15" customHeight="1" x14ac:dyDescent="0.25">
      <c r="B472" s="77"/>
      <c r="E472" s="77"/>
      <c r="H472" s="77"/>
      <c r="Y472" s="90">
        <v>219</v>
      </c>
      <c r="Z472" s="559" t="str">
        <f>IF(Inventory!$C228="","",VLOOKUP(Inventory!$C228,$B$7:$C$9,2,FALSE))</f>
        <v/>
      </c>
      <c r="AA472" s="559" t="str">
        <f>IF($Z472="","",IF(AND($Z472="b",Inventory!$G228=""),"",IF(AND($Z472="b",Inventory!$G228&lt;&gt;""),VLOOKUP(Inventory!$G228,$E$3:$F$10,2,FALSE),IF(AND($Z472="a",Inventory!$Z228=""),"",IF(AND($Z472="a",Inventory!$Z228&lt;&gt;""),VLOOKUP(Inventory!$Z228,$E$3:$F$10,2,FALSE),IF(AND($Z472="c",Inventory!$Z228=""),"",IF(AND($Z472="c",Inventory!$Z228&lt;&gt;""),VLOOKUP(Inventory!$Z228,$E$3:$F$10,2,FALSE),"")))))))</f>
        <v/>
      </c>
      <c r="AB472" s="559" t="str">
        <f>IF($Z472="","a",IF(AND($Z472="b",Inventory!$J228=""),"a",IF(AND($Z472="b",Inventory!$J228&lt;&gt;""),VLOOKUP(Inventory!$J228,$H$4:$I$6,2,FALSE),IF(AND($Z472="a",Inventory!$AA228=""),"a",IF(AND($Z472="a",Inventory!$AA228&lt;&gt;""),VLOOKUP(Inventory!$AA228,$H$4:$I$6,2,FALSE),IF(AND($Z472="c",Inventory!$AA228=""),"a",IF(AND($Z472="c",Inventory!$AA228&lt;&gt;""),VLOOKUP(Inventory!$AA228,$H$4:$I$6,2,FALSE),"a")))))))</f>
        <v>a</v>
      </c>
      <c r="AC472" s="559" t="str">
        <f t="shared" si="300"/>
        <v>a</v>
      </c>
      <c r="AD472" s="473" t="str">
        <f>IF($Z472="","a",IF(AND($Z472="b",Inventory!$L228=""),"a",IF(AND($Z472="b",Inventory!$L228&lt;&gt;""),VLOOKUP(Inventory!$L228,$N$4:$O$5,2,FALSE),IF(AND($Z472="a",Inventory!$AC228=""),"a",IF(AND($Z472="a",Inventory!$AC228&lt;&gt;""),VLOOKUP(Inventory!$AC228,$N$4:$O$5,2,FALSE),IF(AND($Z472="c",Inventory!$AC228=""),"a",IF(AND($Z472="c",Inventory!$AC228&lt;&gt;""),VLOOKUP(Inventory!$AC228,$N$4:$O$5,2,FALSE),"a")))))))</f>
        <v>a</v>
      </c>
      <c r="AE472" s="474">
        <f>IF(OR(Inventory!C228="New Construction",Inventory!C228="Replace-on-Burnout"),Inventory!AF228,IF(Inventory!C228="Early Retirement",MIN(Inventory!AE228,Inventory!AF228),0))</f>
        <v>0</v>
      </c>
      <c r="AF472" s="475" t="str">
        <f t="shared" si="301"/>
        <v/>
      </c>
      <c r="AG472" s="475" t="str">
        <f t="shared" si="302"/>
        <v/>
      </c>
      <c r="AH472" s="475" t="str">
        <f t="shared" si="303"/>
        <v/>
      </c>
      <c r="AI472" s="475" t="str">
        <f t="shared" si="304"/>
        <v/>
      </c>
      <c r="AJ472" s="475" t="str">
        <f t="shared" si="305"/>
        <v/>
      </c>
      <c r="AK472" s="475" t="str">
        <f t="shared" si="306"/>
        <v/>
      </c>
      <c r="AL472" s="475" t="str">
        <f t="shared" si="307"/>
        <v/>
      </c>
      <c r="AM472" s="475" t="str">
        <f t="shared" si="308"/>
        <v/>
      </c>
      <c r="AN472" s="475" t="str">
        <f t="shared" si="309"/>
        <v/>
      </c>
      <c r="AO472" s="475" t="str">
        <f t="shared" si="310"/>
        <v/>
      </c>
      <c r="AP472" s="475" t="str">
        <f t="shared" si="311"/>
        <v/>
      </c>
      <c r="AQ472" s="475" t="str">
        <f t="shared" si="312"/>
        <v/>
      </c>
      <c r="AR472" s="475" t="str">
        <f t="shared" si="313"/>
        <v/>
      </c>
      <c r="AS472" s="475" t="str">
        <f t="shared" si="336"/>
        <v/>
      </c>
      <c r="AT472" s="475" t="str">
        <f t="shared" si="314"/>
        <v/>
      </c>
      <c r="AU472" s="475" t="str">
        <f t="shared" si="315"/>
        <v/>
      </c>
      <c r="AV472" s="475" t="str">
        <f t="shared" si="316"/>
        <v/>
      </c>
      <c r="AW472" s="473">
        <f t="shared" si="317"/>
        <v>0</v>
      </c>
      <c r="AX472" s="473" t="str">
        <f>IF(AND($Z472="b",OR($AA472="a",$AA472="b"),Inventory!$I228="",$AE472&lt;(65000/12000)),"x",IF(AND($Z472="b",OR($AA472="a",$AA472="b"),Inventory!$I228&lt;&gt;"",$AE472&lt;(65000/12000)),VLOOKUP(Inventory!$I479,$V$4:$W$5,2,FALSE),"x"))</f>
        <v>x</v>
      </c>
      <c r="AY472" s="476" t="str">
        <f t="shared" si="318"/>
        <v>aaa0</v>
      </c>
      <c r="AZ472" s="477" t="str">
        <f t="shared" si="327"/>
        <v>No</v>
      </c>
      <c r="BA472" s="759" t="str">
        <f t="shared" si="328"/>
        <v>No</v>
      </c>
      <c r="BB472" s="477">
        <f>IF($Z472="c",Inventory!$AB228,Inventory!$K228)</f>
        <v>0</v>
      </c>
      <c r="BC472" s="478">
        <f>IF(AND($Z472="b",Inventory!$N228="Btu/hr"),Inventory!$M228,IF(AND($Z472="b",Inventory!$N228="Tons"),Inventory!$M228*12000,IF(AND($Z472&lt;&gt;"b",Inventory!$AK228="Btu/hr"),Inventory!$AD228,IF(AND($Z472&lt;&gt;"b",Inventory!$AK228="Tons"),Inventory!$AD228*12000,0))))</f>
        <v>0</v>
      </c>
      <c r="BD472" s="478">
        <f t="shared" si="325"/>
        <v>0</v>
      </c>
      <c r="BE472" s="479">
        <f t="shared" si="337"/>
        <v>0</v>
      </c>
      <c r="BF472" s="477" t="s">
        <v>50</v>
      </c>
      <c r="BG472" s="479">
        <f t="shared" si="319"/>
        <v>0</v>
      </c>
      <c r="BH472" s="477" t="s">
        <v>46</v>
      </c>
      <c r="BI472" s="760">
        <f>IF(AND($Z472="b",Inventory!$P228="Btu/hr"),Inventory!$O228,IF(AND($Z472="b",Inventory!$P228="Tons"),Inventory!$O228*12000,IF(AND($Z472&lt;&gt;"b",Inventory!$AM228="Btu/hr"),Inventory!$AL228,IF(AND($Z472&lt;&gt;"b",Inventory!$AM228="Tons"),Inventory!$AL228*12000,0))))</f>
        <v>0</v>
      </c>
      <c r="BJ472" s="760">
        <f t="shared" si="326"/>
        <v>0</v>
      </c>
      <c r="BK472" s="598">
        <f t="shared" si="329"/>
        <v>0</v>
      </c>
      <c r="BL472" s="759" t="s">
        <v>567</v>
      </c>
      <c r="BM472" s="477" t="str">
        <f t="shared" si="320"/>
        <v>No</v>
      </c>
      <c r="BN472" s="477" t="str">
        <f>IF(OR(Inventory!$H228="",$BM472="No"),"-",Inventory!$H228)</f>
        <v>-</v>
      </c>
      <c r="BO472" s="477" t="str">
        <f>IFERROR(VLOOKUP(BN472,'Early Retirement'!$B$6:$C$33,2,FALSE),"-")</f>
        <v>-</v>
      </c>
      <c r="BP472" s="477" t="str">
        <f>IF(Inventory!$J228="Centrifugal","Yes","No")</f>
        <v>No</v>
      </c>
      <c r="BQ472" s="477">
        <f t="shared" si="321"/>
        <v>0</v>
      </c>
      <c r="BR472" s="477" t="str">
        <f t="shared" si="339"/>
        <v>-</v>
      </c>
      <c r="BS472" s="479">
        <f>IFERROR(INDEX('Early Retirement'!$C$4:$AC$33,$BO472,$BR472),0)</f>
        <v>0</v>
      </c>
      <c r="BT472" s="477">
        <f>IFERROR(HLOOKUP($BR472,'Early Retirement'!$D$4:$AC$5,2,FALSE),0)</f>
        <v>0</v>
      </c>
      <c r="BU472" s="761">
        <f>IFERROR(INDEX('Early Retirement'!$AE$4:$BE$33,$BO472,$BR472),0)</f>
        <v>0</v>
      </c>
      <c r="BV472" s="759">
        <f>IFERROR(HLOOKUP($BR472,'Early Retirement'!$AF$4:$BE$5,2,FALSE),0)</f>
        <v>0</v>
      </c>
      <c r="BW472" s="479">
        <f t="shared" si="322"/>
        <v>0</v>
      </c>
      <c r="BX472" s="761">
        <f t="shared" si="330"/>
        <v>0</v>
      </c>
      <c r="BY472" s="477" t="s">
        <v>46</v>
      </c>
      <c r="BZ472" s="598">
        <f>IFERROR(INDEX('Early Retirement'!$BG$4:$CG$33,$BO472,$BR472),0)</f>
        <v>0</v>
      </c>
      <c r="CA472" s="759">
        <f>IFERROR(HLOOKUP($BR472,'Early Retirement'!$BH$4:$CH$5,2,FALSE),0)</f>
        <v>0</v>
      </c>
      <c r="CB472" s="598">
        <f t="shared" si="331"/>
        <v>0</v>
      </c>
      <c r="CC472" s="759" t="s">
        <v>567</v>
      </c>
      <c r="CD472" s="477" t="str">
        <f t="shared" si="323"/>
        <v>Yes</v>
      </c>
      <c r="CE472" s="479">
        <f t="shared" si="332"/>
        <v>0</v>
      </c>
      <c r="CF472" s="761">
        <f t="shared" si="333"/>
        <v>0</v>
      </c>
      <c r="CG472" s="759" t="s">
        <v>46</v>
      </c>
      <c r="CH472" s="598">
        <f t="shared" si="338"/>
        <v>0</v>
      </c>
      <c r="CI472" s="759" t="s">
        <v>567</v>
      </c>
      <c r="CJ472" s="480">
        <f t="shared" si="324"/>
        <v>0</v>
      </c>
      <c r="CK472" s="583">
        <f t="shared" si="334"/>
        <v>0</v>
      </c>
      <c r="CL472" s="596" t="s">
        <v>46</v>
      </c>
      <c r="CM472" s="581">
        <f t="shared" si="335"/>
        <v>0</v>
      </c>
      <c r="CN472" s="762" t="s">
        <v>567</v>
      </c>
      <c r="CR472" s="446"/>
      <c r="CS472" s="446"/>
      <c r="CT472" s="446"/>
      <c r="CU472" s="446"/>
      <c r="CV472" s="446"/>
      <c r="CW472" s="752"/>
      <c r="CX472" s="752"/>
      <c r="CY472" s="752"/>
      <c r="CZ472" s="752"/>
      <c r="DA472" s="752"/>
      <c r="DB472" s="446"/>
      <c r="DC472" s="446"/>
      <c r="DD472" s="446"/>
      <c r="DE472" s="446"/>
      <c r="DF472" s="446"/>
      <c r="DG472" s="446"/>
      <c r="DH472" s="446"/>
      <c r="DI472" s="446"/>
      <c r="DJ472" s="446"/>
      <c r="DK472" s="446"/>
      <c r="DL472" s="446"/>
      <c r="DM472" s="446"/>
      <c r="DN472" s="446"/>
      <c r="DO472" s="446"/>
      <c r="DP472" s="446"/>
      <c r="DQ472" s="446"/>
      <c r="DR472" s="446"/>
      <c r="DS472" s="446"/>
      <c r="DT472" s="446"/>
      <c r="DU472" s="446"/>
      <c r="DV472" s="446"/>
      <c r="DW472" s="446"/>
    </row>
    <row r="473" spans="2:127" s="78" customFormat="1" ht="15" customHeight="1" x14ac:dyDescent="0.25">
      <c r="B473" s="77"/>
      <c r="E473" s="77"/>
      <c r="H473" s="77"/>
      <c r="Y473" s="90">
        <v>220</v>
      </c>
      <c r="Z473" s="559" t="str">
        <f>IF(Inventory!$C229="","",VLOOKUP(Inventory!$C229,$B$7:$C$9,2,FALSE))</f>
        <v/>
      </c>
      <c r="AA473" s="559" t="str">
        <f>IF($Z473="","",IF(AND($Z473="b",Inventory!$G229=""),"",IF(AND($Z473="b",Inventory!$G229&lt;&gt;""),VLOOKUP(Inventory!$G229,$E$3:$F$10,2,FALSE),IF(AND($Z473="a",Inventory!$Z229=""),"",IF(AND($Z473="a",Inventory!$Z229&lt;&gt;""),VLOOKUP(Inventory!$Z229,$E$3:$F$10,2,FALSE),IF(AND($Z473="c",Inventory!$Z229=""),"",IF(AND($Z473="c",Inventory!$Z229&lt;&gt;""),VLOOKUP(Inventory!$Z229,$E$3:$F$10,2,FALSE),"")))))))</f>
        <v/>
      </c>
      <c r="AB473" s="559" t="str">
        <f>IF($Z473="","a",IF(AND($Z473="b",Inventory!$J229=""),"a",IF(AND($Z473="b",Inventory!$J229&lt;&gt;""),VLOOKUP(Inventory!$J229,$H$4:$I$6,2,FALSE),IF(AND($Z473="a",Inventory!$AA229=""),"a",IF(AND($Z473="a",Inventory!$AA229&lt;&gt;""),VLOOKUP(Inventory!$AA229,$H$4:$I$6,2,FALSE),IF(AND($Z473="c",Inventory!$AA229=""),"a",IF(AND($Z473="c",Inventory!$AA229&lt;&gt;""),VLOOKUP(Inventory!$AA229,$H$4:$I$6,2,FALSE),"a")))))))</f>
        <v>a</v>
      </c>
      <c r="AC473" s="559" t="str">
        <f t="shared" si="300"/>
        <v>a</v>
      </c>
      <c r="AD473" s="473" t="str">
        <f>IF($Z473="","a",IF(AND($Z473="b",Inventory!$L229=""),"a",IF(AND($Z473="b",Inventory!$L229&lt;&gt;""),VLOOKUP(Inventory!$L229,$N$4:$O$5,2,FALSE),IF(AND($Z473="a",Inventory!$AC229=""),"a",IF(AND($Z473="a",Inventory!$AC229&lt;&gt;""),VLOOKUP(Inventory!$AC229,$N$4:$O$5,2,FALSE),IF(AND($Z473="c",Inventory!$AC229=""),"a",IF(AND($Z473="c",Inventory!$AC229&lt;&gt;""),VLOOKUP(Inventory!$AC229,$N$4:$O$5,2,FALSE),"a")))))))</f>
        <v>a</v>
      </c>
      <c r="AE473" s="474">
        <f>IF(OR(Inventory!C229="New Construction",Inventory!C229="Replace-on-Burnout"),Inventory!AF229,IF(Inventory!C229="Early Retirement",MIN(Inventory!AE229,Inventory!AF229),0))</f>
        <v>0</v>
      </c>
      <c r="AF473" s="475" t="str">
        <f t="shared" si="301"/>
        <v/>
      </c>
      <c r="AG473" s="475" t="str">
        <f t="shared" si="302"/>
        <v/>
      </c>
      <c r="AH473" s="475" t="str">
        <f t="shared" si="303"/>
        <v/>
      </c>
      <c r="AI473" s="475" t="str">
        <f t="shared" si="304"/>
        <v/>
      </c>
      <c r="AJ473" s="475" t="str">
        <f t="shared" si="305"/>
        <v/>
      </c>
      <c r="AK473" s="475" t="str">
        <f t="shared" si="306"/>
        <v/>
      </c>
      <c r="AL473" s="475" t="str">
        <f t="shared" si="307"/>
        <v/>
      </c>
      <c r="AM473" s="475" t="str">
        <f t="shared" si="308"/>
        <v/>
      </c>
      <c r="AN473" s="475" t="str">
        <f t="shared" si="309"/>
        <v/>
      </c>
      <c r="AO473" s="475" t="str">
        <f t="shared" si="310"/>
        <v/>
      </c>
      <c r="AP473" s="475" t="str">
        <f t="shared" si="311"/>
        <v/>
      </c>
      <c r="AQ473" s="475" t="str">
        <f t="shared" si="312"/>
        <v/>
      </c>
      <c r="AR473" s="475" t="str">
        <f t="shared" si="313"/>
        <v/>
      </c>
      <c r="AS473" s="475" t="str">
        <f t="shared" si="336"/>
        <v/>
      </c>
      <c r="AT473" s="475" t="str">
        <f t="shared" si="314"/>
        <v/>
      </c>
      <c r="AU473" s="475" t="str">
        <f t="shared" si="315"/>
        <v/>
      </c>
      <c r="AV473" s="475" t="str">
        <f t="shared" si="316"/>
        <v/>
      </c>
      <c r="AW473" s="473">
        <f t="shared" si="317"/>
        <v>0</v>
      </c>
      <c r="AX473" s="473" t="str">
        <f>IF(AND($Z473="b",OR($AA473="a",$AA473="b"),Inventory!$I229="",$AE473&lt;(65000/12000)),"x",IF(AND($Z473="b",OR($AA473="a",$AA473="b"),Inventory!$I229&lt;&gt;"",$AE473&lt;(65000/12000)),VLOOKUP(Inventory!$I480,$V$4:$W$5,2,FALSE),"x"))</f>
        <v>x</v>
      </c>
      <c r="AY473" s="476" t="str">
        <f t="shared" si="318"/>
        <v>aaa0</v>
      </c>
      <c r="AZ473" s="477" t="str">
        <f t="shared" si="327"/>
        <v>No</v>
      </c>
      <c r="BA473" s="759" t="str">
        <f t="shared" si="328"/>
        <v>No</v>
      </c>
      <c r="BB473" s="477">
        <f>IF($Z473="c",Inventory!$AB229,Inventory!$K229)</f>
        <v>0</v>
      </c>
      <c r="BC473" s="478">
        <f>IF(AND($Z473="b",Inventory!$N229="Btu/hr"),Inventory!$M229,IF(AND($Z473="b",Inventory!$N229="Tons"),Inventory!$M229*12000,IF(AND($Z473&lt;&gt;"b",Inventory!$AK229="Btu/hr"),Inventory!$AD229,IF(AND($Z473&lt;&gt;"b",Inventory!$AK229="Tons"),Inventory!$AD229*12000,0))))</f>
        <v>0</v>
      </c>
      <c r="BD473" s="478">
        <f t="shared" si="325"/>
        <v>0</v>
      </c>
      <c r="BE473" s="479">
        <f t="shared" si="337"/>
        <v>0</v>
      </c>
      <c r="BF473" s="477" t="s">
        <v>50</v>
      </c>
      <c r="BG473" s="479">
        <f t="shared" si="319"/>
        <v>0</v>
      </c>
      <c r="BH473" s="477" t="s">
        <v>46</v>
      </c>
      <c r="BI473" s="760">
        <f>IF(AND($Z473="b",Inventory!$P229="Btu/hr"),Inventory!$O229,IF(AND($Z473="b",Inventory!$P229="Tons"),Inventory!$O229*12000,IF(AND($Z473&lt;&gt;"b",Inventory!$AM229="Btu/hr"),Inventory!$AL229,IF(AND($Z473&lt;&gt;"b",Inventory!$AM229="Tons"),Inventory!$AL229*12000,0))))</f>
        <v>0</v>
      </c>
      <c r="BJ473" s="760">
        <f t="shared" si="326"/>
        <v>0</v>
      </c>
      <c r="BK473" s="598">
        <f t="shared" si="329"/>
        <v>0</v>
      </c>
      <c r="BL473" s="759" t="s">
        <v>567</v>
      </c>
      <c r="BM473" s="477" t="str">
        <f t="shared" si="320"/>
        <v>No</v>
      </c>
      <c r="BN473" s="477" t="str">
        <f>IF(OR(Inventory!$H229="",$BM473="No"),"-",Inventory!$H229)</f>
        <v>-</v>
      </c>
      <c r="BO473" s="477" t="str">
        <f>IFERROR(VLOOKUP(BN473,'Early Retirement'!$B$6:$C$33,2,FALSE),"-")</f>
        <v>-</v>
      </c>
      <c r="BP473" s="477" t="str">
        <f>IF(Inventory!$J229="Centrifugal","Yes","No")</f>
        <v>No</v>
      </c>
      <c r="BQ473" s="477">
        <f t="shared" si="321"/>
        <v>0</v>
      </c>
      <c r="BR473" s="477" t="str">
        <f t="shared" si="339"/>
        <v>-</v>
      </c>
      <c r="BS473" s="479">
        <f>IFERROR(INDEX('Early Retirement'!$C$4:$AC$33,$BO473,$BR473),0)</f>
        <v>0</v>
      </c>
      <c r="BT473" s="477">
        <f>IFERROR(HLOOKUP($BR473,'Early Retirement'!$D$4:$AC$5,2,FALSE),0)</f>
        <v>0</v>
      </c>
      <c r="BU473" s="761">
        <f>IFERROR(INDEX('Early Retirement'!$AE$4:$BE$33,$BO473,$BR473),0)</f>
        <v>0</v>
      </c>
      <c r="BV473" s="759">
        <f>IFERROR(HLOOKUP($BR473,'Early Retirement'!$AF$4:$BE$5,2,FALSE),0)</f>
        <v>0</v>
      </c>
      <c r="BW473" s="479">
        <f t="shared" si="322"/>
        <v>0</v>
      </c>
      <c r="BX473" s="761">
        <f t="shared" si="330"/>
        <v>0</v>
      </c>
      <c r="BY473" s="477" t="s">
        <v>46</v>
      </c>
      <c r="BZ473" s="598">
        <f>IFERROR(INDEX('Early Retirement'!$BG$4:$CG$33,$BO473,$BR473),0)</f>
        <v>0</v>
      </c>
      <c r="CA473" s="759">
        <f>IFERROR(HLOOKUP($BR473,'Early Retirement'!$BH$4:$CH$5,2,FALSE),0)</f>
        <v>0</v>
      </c>
      <c r="CB473" s="598">
        <f t="shared" si="331"/>
        <v>0</v>
      </c>
      <c r="CC473" s="759" t="s">
        <v>567</v>
      </c>
      <c r="CD473" s="477" t="str">
        <f t="shared" si="323"/>
        <v>Yes</v>
      </c>
      <c r="CE473" s="479">
        <f t="shared" si="332"/>
        <v>0</v>
      </c>
      <c r="CF473" s="761">
        <f t="shared" si="333"/>
        <v>0</v>
      </c>
      <c r="CG473" s="759" t="s">
        <v>46</v>
      </c>
      <c r="CH473" s="598">
        <f t="shared" si="338"/>
        <v>0</v>
      </c>
      <c r="CI473" s="759" t="s">
        <v>567</v>
      </c>
      <c r="CJ473" s="480">
        <f t="shared" si="324"/>
        <v>0</v>
      </c>
      <c r="CK473" s="583">
        <f t="shared" si="334"/>
        <v>0</v>
      </c>
      <c r="CL473" s="596" t="s">
        <v>46</v>
      </c>
      <c r="CM473" s="581">
        <f t="shared" si="335"/>
        <v>0</v>
      </c>
      <c r="CN473" s="762" t="s">
        <v>567</v>
      </c>
      <c r="CR473" s="446"/>
      <c r="CS473" s="446"/>
      <c r="CT473" s="446"/>
      <c r="CU473" s="446"/>
      <c r="CV473" s="446"/>
      <c r="CW473" s="752"/>
      <c r="CX473" s="752"/>
      <c r="CY473" s="752"/>
      <c r="CZ473" s="752"/>
      <c r="DA473" s="752"/>
      <c r="DB473" s="446"/>
      <c r="DC473" s="446"/>
      <c r="DD473" s="446"/>
      <c r="DE473" s="446"/>
      <c r="DF473" s="446"/>
      <c r="DG473" s="446"/>
      <c r="DH473" s="446"/>
      <c r="DI473" s="446"/>
      <c r="DJ473" s="446"/>
      <c r="DK473" s="446"/>
      <c r="DL473" s="446"/>
      <c r="DM473" s="446"/>
      <c r="DN473" s="446"/>
      <c r="DO473" s="446"/>
      <c r="DP473" s="446"/>
      <c r="DQ473" s="446"/>
      <c r="DR473" s="446"/>
      <c r="DS473" s="446"/>
      <c r="DT473" s="446"/>
      <c r="DU473" s="446"/>
      <c r="DV473" s="446"/>
      <c r="DW473" s="446"/>
    </row>
    <row r="474" spans="2:127" s="78" customFormat="1" ht="15" customHeight="1" x14ac:dyDescent="0.25">
      <c r="B474" s="77"/>
      <c r="E474" s="77"/>
      <c r="H474" s="77"/>
      <c r="Y474" s="90">
        <v>221</v>
      </c>
      <c r="Z474" s="559" t="str">
        <f>IF(Inventory!$C230="","",VLOOKUP(Inventory!$C230,$B$7:$C$9,2,FALSE))</f>
        <v/>
      </c>
      <c r="AA474" s="559" t="str">
        <f>IF($Z474="","",IF(AND($Z474="b",Inventory!$G230=""),"",IF(AND($Z474="b",Inventory!$G230&lt;&gt;""),VLOOKUP(Inventory!$G230,$E$3:$F$10,2,FALSE),IF(AND($Z474="a",Inventory!$Z230=""),"",IF(AND($Z474="a",Inventory!$Z230&lt;&gt;""),VLOOKUP(Inventory!$Z230,$E$3:$F$10,2,FALSE),IF(AND($Z474="c",Inventory!$Z230=""),"",IF(AND($Z474="c",Inventory!$Z230&lt;&gt;""),VLOOKUP(Inventory!$Z230,$E$3:$F$10,2,FALSE),"")))))))</f>
        <v/>
      </c>
      <c r="AB474" s="559" t="str">
        <f>IF($Z474="","a",IF(AND($Z474="b",Inventory!$J230=""),"a",IF(AND($Z474="b",Inventory!$J230&lt;&gt;""),VLOOKUP(Inventory!$J230,$H$4:$I$6,2,FALSE),IF(AND($Z474="a",Inventory!$AA230=""),"a",IF(AND($Z474="a",Inventory!$AA230&lt;&gt;""),VLOOKUP(Inventory!$AA230,$H$4:$I$6,2,FALSE),IF(AND($Z474="c",Inventory!$AA230=""),"a",IF(AND($Z474="c",Inventory!$AA230&lt;&gt;""),VLOOKUP(Inventory!$AA230,$H$4:$I$6,2,FALSE),"a")))))))</f>
        <v>a</v>
      </c>
      <c r="AC474" s="559" t="str">
        <f t="shared" si="300"/>
        <v>a</v>
      </c>
      <c r="AD474" s="473" t="str">
        <f>IF($Z474="","a",IF(AND($Z474="b",Inventory!$L230=""),"a",IF(AND($Z474="b",Inventory!$L230&lt;&gt;""),VLOOKUP(Inventory!$L230,$N$4:$O$5,2,FALSE),IF(AND($Z474="a",Inventory!$AC230=""),"a",IF(AND($Z474="a",Inventory!$AC230&lt;&gt;""),VLOOKUP(Inventory!$AC230,$N$4:$O$5,2,FALSE),IF(AND($Z474="c",Inventory!$AC230=""),"a",IF(AND($Z474="c",Inventory!$AC230&lt;&gt;""),VLOOKUP(Inventory!$AC230,$N$4:$O$5,2,FALSE),"a")))))))</f>
        <v>a</v>
      </c>
      <c r="AE474" s="474">
        <f>IF(OR(Inventory!C230="New Construction",Inventory!C230="Replace-on-Burnout"),Inventory!AF230,IF(Inventory!C230="Early Retirement",MIN(Inventory!AE230,Inventory!AF230),0))</f>
        <v>0</v>
      </c>
      <c r="AF474" s="475" t="str">
        <f t="shared" si="301"/>
        <v/>
      </c>
      <c r="AG474" s="475" t="str">
        <f t="shared" si="302"/>
        <v/>
      </c>
      <c r="AH474" s="475" t="str">
        <f t="shared" si="303"/>
        <v/>
      </c>
      <c r="AI474" s="475" t="str">
        <f t="shared" si="304"/>
        <v/>
      </c>
      <c r="AJ474" s="475" t="str">
        <f t="shared" si="305"/>
        <v/>
      </c>
      <c r="AK474" s="475" t="str">
        <f t="shared" si="306"/>
        <v/>
      </c>
      <c r="AL474" s="475" t="str">
        <f t="shared" si="307"/>
        <v/>
      </c>
      <c r="AM474" s="475" t="str">
        <f t="shared" si="308"/>
        <v/>
      </c>
      <c r="AN474" s="475" t="str">
        <f t="shared" si="309"/>
        <v/>
      </c>
      <c r="AO474" s="475" t="str">
        <f t="shared" si="310"/>
        <v/>
      </c>
      <c r="AP474" s="475" t="str">
        <f t="shared" si="311"/>
        <v/>
      </c>
      <c r="AQ474" s="475" t="str">
        <f t="shared" si="312"/>
        <v/>
      </c>
      <c r="AR474" s="475" t="str">
        <f t="shared" si="313"/>
        <v/>
      </c>
      <c r="AS474" s="475" t="str">
        <f t="shared" si="336"/>
        <v/>
      </c>
      <c r="AT474" s="475" t="str">
        <f t="shared" si="314"/>
        <v/>
      </c>
      <c r="AU474" s="475" t="str">
        <f t="shared" si="315"/>
        <v/>
      </c>
      <c r="AV474" s="475" t="str">
        <f t="shared" si="316"/>
        <v/>
      </c>
      <c r="AW474" s="473">
        <f t="shared" si="317"/>
        <v>0</v>
      </c>
      <c r="AX474" s="473" t="str">
        <f>IF(AND($Z474="b",OR($AA474="a",$AA474="b"),Inventory!$I230="",$AE474&lt;(65000/12000)),"x",IF(AND($Z474="b",OR($AA474="a",$AA474="b"),Inventory!$I230&lt;&gt;"",$AE474&lt;(65000/12000)),VLOOKUP(Inventory!$I481,$V$4:$W$5,2,FALSE),"x"))</f>
        <v>x</v>
      </c>
      <c r="AY474" s="476" t="str">
        <f t="shared" si="318"/>
        <v>aaa0</v>
      </c>
      <c r="AZ474" s="477" t="str">
        <f t="shared" si="327"/>
        <v>No</v>
      </c>
      <c r="BA474" s="759" t="str">
        <f t="shared" si="328"/>
        <v>No</v>
      </c>
      <c r="BB474" s="477">
        <f>IF($Z474="c",Inventory!$AB230,Inventory!$K230)</f>
        <v>0</v>
      </c>
      <c r="BC474" s="478">
        <f>IF(AND($Z474="b",Inventory!$N230="Btu/hr"),Inventory!$M230,IF(AND($Z474="b",Inventory!$N230="Tons"),Inventory!$M230*12000,IF(AND($Z474&lt;&gt;"b",Inventory!$AK230="Btu/hr"),Inventory!$AD230,IF(AND($Z474&lt;&gt;"b",Inventory!$AK230="Tons"),Inventory!$AD230*12000,0))))</f>
        <v>0</v>
      </c>
      <c r="BD474" s="478">
        <f t="shared" si="325"/>
        <v>0</v>
      </c>
      <c r="BE474" s="479">
        <f t="shared" si="337"/>
        <v>0</v>
      </c>
      <c r="BF474" s="477" t="s">
        <v>50</v>
      </c>
      <c r="BG474" s="479">
        <f t="shared" si="319"/>
        <v>0</v>
      </c>
      <c r="BH474" s="477" t="s">
        <v>46</v>
      </c>
      <c r="BI474" s="760">
        <f>IF(AND($Z474="b",Inventory!$P230="Btu/hr"),Inventory!$O230,IF(AND($Z474="b",Inventory!$P230="Tons"),Inventory!$O230*12000,IF(AND($Z474&lt;&gt;"b",Inventory!$AM230="Btu/hr"),Inventory!$AL230,IF(AND($Z474&lt;&gt;"b",Inventory!$AM230="Tons"),Inventory!$AL230*12000,0))))</f>
        <v>0</v>
      </c>
      <c r="BJ474" s="760">
        <f t="shared" si="326"/>
        <v>0</v>
      </c>
      <c r="BK474" s="598">
        <f t="shared" si="329"/>
        <v>0</v>
      </c>
      <c r="BL474" s="759" t="s">
        <v>567</v>
      </c>
      <c r="BM474" s="477" t="str">
        <f t="shared" si="320"/>
        <v>No</v>
      </c>
      <c r="BN474" s="477" t="str">
        <f>IF(OR(Inventory!$H230="",$BM474="No"),"-",Inventory!$H230)</f>
        <v>-</v>
      </c>
      <c r="BO474" s="477" t="str">
        <f>IFERROR(VLOOKUP(BN474,'Early Retirement'!$B$6:$C$33,2,FALSE),"-")</f>
        <v>-</v>
      </c>
      <c r="BP474" s="477" t="str">
        <f>IF(Inventory!$J230="Centrifugal","Yes","No")</f>
        <v>No</v>
      </c>
      <c r="BQ474" s="477">
        <f t="shared" si="321"/>
        <v>0</v>
      </c>
      <c r="BR474" s="477" t="str">
        <f t="shared" si="339"/>
        <v>-</v>
      </c>
      <c r="BS474" s="479">
        <f>IFERROR(INDEX('Early Retirement'!$C$4:$AC$33,$BO474,$BR474),0)</f>
        <v>0</v>
      </c>
      <c r="BT474" s="477">
        <f>IFERROR(HLOOKUP($BR474,'Early Retirement'!$D$4:$AC$5,2,FALSE),0)</f>
        <v>0</v>
      </c>
      <c r="BU474" s="761">
        <f>IFERROR(INDEX('Early Retirement'!$AE$4:$BE$33,$BO474,$BR474),0)</f>
        <v>0</v>
      </c>
      <c r="BV474" s="759">
        <f>IFERROR(HLOOKUP($BR474,'Early Retirement'!$AF$4:$BE$5,2,FALSE),0)</f>
        <v>0</v>
      </c>
      <c r="BW474" s="479">
        <f t="shared" si="322"/>
        <v>0</v>
      </c>
      <c r="BX474" s="761">
        <f t="shared" si="330"/>
        <v>0</v>
      </c>
      <c r="BY474" s="477" t="s">
        <v>46</v>
      </c>
      <c r="BZ474" s="598">
        <f>IFERROR(INDEX('Early Retirement'!$BG$4:$CG$33,$BO474,$BR474),0)</f>
        <v>0</v>
      </c>
      <c r="CA474" s="759">
        <f>IFERROR(HLOOKUP($BR474,'Early Retirement'!$BH$4:$CH$5,2,FALSE),0)</f>
        <v>0</v>
      </c>
      <c r="CB474" s="598">
        <f t="shared" si="331"/>
        <v>0</v>
      </c>
      <c r="CC474" s="759" t="s">
        <v>567</v>
      </c>
      <c r="CD474" s="477" t="str">
        <f t="shared" si="323"/>
        <v>Yes</v>
      </c>
      <c r="CE474" s="479">
        <f t="shared" si="332"/>
        <v>0</v>
      </c>
      <c r="CF474" s="761">
        <f t="shared" si="333"/>
        <v>0</v>
      </c>
      <c r="CG474" s="759" t="s">
        <v>46</v>
      </c>
      <c r="CH474" s="598">
        <f t="shared" si="338"/>
        <v>0</v>
      </c>
      <c r="CI474" s="759" t="s">
        <v>567</v>
      </c>
      <c r="CJ474" s="480">
        <f t="shared" si="324"/>
        <v>0</v>
      </c>
      <c r="CK474" s="583">
        <f t="shared" si="334"/>
        <v>0</v>
      </c>
      <c r="CL474" s="596" t="s">
        <v>46</v>
      </c>
      <c r="CM474" s="581">
        <f t="shared" si="335"/>
        <v>0</v>
      </c>
      <c r="CN474" s="762" t="s">
        <v>567</v>
      </c>
      <c r="CR474" s="446"/>
      <c r="CS474" s="446"/>
      <c r="CT474" s="446"/>
      <c r="CU474" s="446"/>
      <c r="CV474" s="446"/>
      <c r="CW474" s="752"/>
      <c r="CX474" s="752"/>
      <c r="CY474" s="752"/>
      <c r="CZ474" s="752"/>
      <c r="DA474" s="752"/>
      <c r="DB474" s="446"/>
      <c r="DC474" s="446"/>
      <c r="DD474" s="446"/>
      <c r="DE474" s="446"/>
      <c r="DF474" s="446"/>
      <c r="DG474" s="446"/>
      <c r="DH474" s="446"/>
      <c r="DI474" s="446"/>
      <c r="DJ474" s="446"/>
      <c r="DK474" s="446"/>
      <c r="DL474" s="446"/>
      <c r="DM474" s="446"/>
      <c r="DN474" s="446"/>
      <c r="DO474" s="446"/>
      <c r="DP474" s="446"/>
      <c r="DQ474" s="446"/>
      <c r="DR474" s="446"/>
      <c r="DS474" s="446"/>
      <c r="DT474" s="446"/>
      <c r="DU474" s="446"/>
      <c r="DV474" s="446"/>
      <c r="DW474" s="446"/>
    </row>
    <row r="475" spans="2:127" s="78" customFormat="1" ht="15" customHeight="1" x14ac:dyDescent="0.25">
      <c r="B475" s="77"/>
      <c r="E475" s="77"/>
      <c r="H475" s="77"/>
      <c r="Y475" s="90">
        <v>222</v>
      </c>
      <c r="Z475" s="559" t="str">
        <f>IF(Inventory!$C231="","",VLOOKUP(Inventory!$C231,$B$7:$C$9,2,FALSE))</f>
        <v/>
      </c>
      <c r="AA475" s="559" t="str">
        <f>IF($Z475="","",IF(AND($Z475="b",Inventory!$G231=""),"",IF(AND($Z475="b",Inventory!$G231&lt;&gt;""),VLOOKUP(Inventory!$G231,$E$3:$F$10,2,FALSE),IF(AND($Z475="a",Inventory!$Z231=""),"",IF(AND($Z475="a",Inventory!$Z231&lt;&gt;""),VLOOKUP(Inventory!$Z231,$E$3:$F$10,2,FALSE),IF(AND($Z475="c",Inventory!$Z231=""),"",IF(AND($Z475="c",Inventory!$Z231&lt;&gt;""),VLOOKUP(Inventory!$Z231,$E$3:$F$10,2,FALSE),"")))))))</f>
        <v/>
      </c>
      <c r="AB475" s="559" t="str">
        <f>IF($Z475="","a",IF(AND($Z475="b",Inventory!$J231=""),"a",IF(AND($Z475="b",Inventory!$J231&lt;&gt;""),VLOOKUP(Inventory!$J231,$H$4:$I$6,2,FALSE),IF(AND($Z475="a",Inventory!$AA231=""),"a",IF(AND($Z475="a",Inventory!$AA231&lt;&gt;""),VLOOKUP(Inventory!$AA231,$H$4:$I$6,2,FALSE),IF(AND($Z475="c",Inventory!$AA231=""),"a",IF(AND($Z475="c",Inventory!$AA231&lt;&gt;""),VLOOKUP(Inventory!$AA231,$H$4:$I$6,2,FALSE),"a")))))))</f>
        <v>a</v>
      </c>
      <c r="AC475" s="559" t="str">
        <f t="shared" si="300"/>
        <v>a</v>
      </c>
      <c r="AD475" s="473" t="str">
        <f>IF($Z475="","a",IF(AND($Z475="b",Inventory!$L231=""),"a",IF(AND($Z475="b",Inventory!$L231&lt;&gt;""),VLOOKUP(Inventory!$L231,$N$4:$O$5,2,FALSE),IF(AND($Z475="a",Inventory!$AC231=""),"a",IF(AND($Z475="a",Inventory!$AC231&lt;&gt;""),VLOOKUP(Inventory!$AC231,$N$4:$O$5,2,FALSE),IF(AND($Z475="c",Inventory!$AC231=""),"a",IF(AND($Z475="c",Inventory!$AC231&lt;&gt;""),VLOOKUP(Inventory!$AC231,$N$4:$O$5,2,FALSE),"a")))))))</f>
        <v>a</v>
      </c>
      <c r="AE475" s="474">
        <f>IF(OR(Inventory!C231="New Construction",Inventory!C231="Replace-on-Burnout"),Inventory!AF231,IF(Inventory!C231="Early Retirement",MIN(Inventory!AE231,Inventory!AF231),0))</f>
        <v>0</v>
      </c>
      <c r="AF475" s="475" t="str">
        <f t="shared" si="301"/>
        <v/>
      </c>
      <c r="AG475" s="475" t="str">
        <f t="shared" si="302"/>
        <v/>
      </c>
      <c r="AH475" s="475" t="str">
        <f t="shared" si="303"/>
        <v/>
      </c>
      <c r="AI475" s="475" t="str">
        <f t="shared" si="304"/>
        <v/>
      </c>
      <c r="AJ475" s="475" t="str">
        <f t="shared" si="305"/>
        <v/>
      </c>
      <c r="AK475" s="475" t="str">
        <f t="shared" si="306"/>
        <v/>
      </c>
      <c r="AL475" s="475" t="str">
        <f t="shared" si="307"/>
        <v/>
      </c>
      <c r="AM475" s="475" t="str">
        <f t="shared" si="308"/>
        <v/>
      </c>
      <c r="AN475" s="475" t="str">
        <f t="shared" si="309"/>
        <v/>
      </c>
      <c r="AO475" s="475" t="str">
        <f t="shared" si="310"/>
        <v/>
      </c>
      <c r="AP475" s="475" t="str">
        <f t="shared" si="311"/>
        <v/>
      </c>
      <c r="AQ475" s="475" t="str">
        <f t="shared" si="312"/>
        <v/>
      </c>
      <c r="AR475" s="475" t="str">
        <f t="shared" si="313"/>
        <v/>
      </c>
      <c r="AS475" s="475" t="str">
        <f t="shared" si="336"/>
        <v/>
      </c>
      <c r="AT475" s="475" t="str">
        <f t="shared" si="314"/>
        <v/>
      </c>
      <c r="AU475" s="475" t="str">
        <f t="shared" si="315"/>
        <v/>
      </c>
      <c r="AV475" s="475" t="str">
        <f t="shared" si="316"/>
        <v/>
      </c>
      <c r="AW475" s="473">
        <f t="shared" si="317"/>
        <v>0</v>
      </c>
      <c r="AX475" s="473" t="str">
        <f>IF(AND($Z475="b",OR($AA475="a",$AA475="b"),Inventory!$I231="",$AE475&lt;(65000/12000)),"x",IF(AND($Z475="b",OR($AA475="a",$AA475="b"),Inventory!$I231&lt;&gt;"",$AE475&lt;(65000/12000)),VLOOKUP(Inventory!$I482,$V$4:$W$5,2,FALSE),"x"))</f>
        <v>x</v>
      </c>
      <c r="AY475" s="476" t="str">
        <f t="shared" si="318"/>
        <v>aaa0</v>
      </c>
      <c r="AZ475" s="477" t="str">
        <f t="shared" si="327"/>
        <v>No</v>
      </c>
      <c r="BA475" s="759" t="str">
        <f t="shared" si="328"/>
        <v>No</v>
      </c>
      <c r="BB475" s="477">
        <f>IF($Z475="c",Inventory!$AB231,Inventory!$K231)</f>
        <v>0</v>
      </c>
      <c r="BC475" s="478">
        <f>IF(AND($Z475="b",Inventory!$N231="Btu/hr"),Inventory!$M231,IF(AND($Z475="b",Inventory!$N231="Tons"),Inventory!$M231*12000,IF(AND($Z475&lt;&gt;"b",Inventory!$AK231="Btu/hr"),Inventory!$AD231,IF(AND($Z475&lt;&gt;"b",Inventory!$AK231="Tons"),Inventory!$AD231*12000,0))))</f>
        <v>0</v>
      </c>
      <c r="BD475" s="478">
        <f t="shared" si="325"/>
        <v>0</v>
      </c>
      <c r="BE475" s="479">
        <f t="shared" si="337"/>
        <v>0</v>
      </c>
      <c r="BF475" s="477" t="s">
        <v>50</v>
      </c>
      <c r="BG475" s="479">
        <f t="shared" si="319"/>
        <v>0</v>
      </c>
      <c r="BH475" s="477" t="s">
        <v>46</v>
      </c>
      <c r="BI475" s="760">
        <f>IF(AND($Z475="b",Inventory!$P231="Btu/hr"),Inventory!$O231,IF(AND($Z475="b",Inventory!$P231="Tons"),Inventory!$O231*12000,IF(AND($Z475&lt;&gt;"b",Inventory!$AM231="Btu/hr"),Inventory!$AL231,IF(AND($Z475&lt;&gt;"b",Inventory!$AM231="Tons"),Inventory!$AL231*12000,0))))</f>
        <v>0</v>
      </c>
      <c r="BJ475" s="760">
        <f t="shared" si="326"/>
        <v>0</v>
      </c>
      <c r="BK475" s="598">
        <f t="shared" si="329"/>
        <v>0</v>
      </c>
      <c r="BL475" s="759" t="s">
        <v>567</v>
      </c>
      <c r="BM475" s="477" t="str">
        <f t="shared" si="320"/>
        <v>No</v>
      </c>
      <c r="BN475" s="477" t="str">
        <f>IF(OR(Inventory!$H231="",$BM475="No"),"-",Inventory!$H231)</f>
        <v>-</v>
      </c>
      <c r="BO475" s="477" t="str">
        <f>IFERROR(VLOOKUP(BN475,'Early Retirement'!$B$6:$C$33,2,FALSE),"-")</f>
        <v>-</v>
      </c>
      <c r="BP475" s="477" t="str">
        <f>IF(Inventory!$J231="Centrifugal","Yes","No")</f>
        <v>No</v>
      </c>
      <c r="BQ475" s="477">
        <f t="shared" si="321"/>
        <v>0</v>
      </c>
      <c r="BR475" s="477" t="str">
        <f t="shared" si="339"/>
        <v>-</v>
      </c>
      <c r="BS475" s="479">
        <f>IFERROR(INDEX('Early Retirement'!$C$4:$AC$33,$BO475,$BR475),0)</f>
        <v>0</v>
      </c>
      <c r="BT475" s="477">
        <f>IFERROR(HLOOKUP($BR475,'Early Retirement'!$D$4:$AC$5,2,FALSE),0)</f>
        <v>0</v>
      </c>
      <c r="BU475" s="761">
        <f>IFERROR(INDEX('Early Retirement'!$AE$4:$BE$33,$BO475,$BR475),0)</f>
        <v>0</v>
      </c>
      <c r="BV475" s="759">
        <f>IFERROR(HLOOKUP($BR475,'Early Retirement'!$AF$4:$BE$5,2,FALSE),0)</f>
        <v>0</v>
      </c>
      <c r="BW475" s="479">
        <f t="shared" si="322"/>
        <v>0</v>
      </c>
      <c r="BX475" s="761">
        <f t="shared" si="330"/>
        <v>0</v>
      </c>
      <c r="BY475" s="477" t="s">
        <v>46</v>
      </c>
      <c r="BZ475" s="598">
        <f>IFERROR(INDEX('Early Retirement'!$BG$4:$CG$33,$BO475,$BR475),0)</f>
        <v>0</v>
      </c>
      <c r="CA475" s="759">
        <f>IFERROR(HLOOKUP($BR475,'Early Retirement'!$BH$4:$CH$5,2,FALSE),0)</f>
        <v>0</v>
      </c>
      <c r="CB475" s="598">
        <f t="shared" si="331"/>
        <v>0</v>
      </c>
      <c r="CC475" s="759" t="s">
        <v>567</v>
      </c>
      <c r="CD475" s="477" t="str">
        <f t="shared" si="323"/>
        <v>Yes</v>
      </c>
      <c r="CE475" s="479">
        <f t="shared" si="332"/>
        <v>0</v>
      </c>
      <c r="CF475" s="761">
        <f t="shared" si="333"/>
        <v>0</v>
      </c>
      <c r="CG475" s="759" t="s">
        <v>46</v>
      </c>
      <c r="CH475" s="598">
        <f t="shared" si="338"/>
        <v>0</v>
      </c>
      <c r="CI475" s="759" t="s">
        <v>567</v>
      </c>
      <c r="CJ475" s="480">
        <f t="shared" si="324"/>
        <v>0</v>
      </c>
      <c r="CK475" s="583">
        <f t="shared" si="334"/>
        <v>0</v>
      </c>
      <c r="CL475" s="596" t="s">
        <v>46</v>
      </c>
      <c r="CM475" s="581">
        <f t="shared" si="335"/>
        <v>0</v>
      </c>
      <c r="CN475" s="762" t="s">
        <v>567</v>
      </c>
      <c r="CR475" s="446"/>
      <c r="CS475" s="446"/>
      <c r="CT475" s="446"/>
      <c r="CU475" s="446"/>
      <c r="CV475" s="446"/>
      <c r="CW475" s="752"/>
      <c r="CX475" s="752"/>
      <c r="CY475" s="752"/>
      <c r="CZ475" s="752"/>
      <c r="DA475" s="752"/>
      <c r="DB475" s="446"/>
      <c r="DC475" s="446"/>
      <c r="DD475" s="446"/>
      <c r="DE475" s="446"/>
      <c r="DF475" s="446"/>
      <c r="DG475" s="446"/>
      <c r="DH475" s="446"/>
      <c r="DI475" s="446"/>
      <c r="DJ475" s="446"/>
      <c r="DK475" s="446"/>
      <c r="DL475" s="446"/>
      <c r="DM475" s="446"/>
      <c r="DN475" s="446"/>
      <c r="DO475" s="446"/>
      <c r="DP475" s="446"/>
      <c r="DQ475" s="446"/>
      <c r="DR475" s="446"/>
      <c r="DS475" s="446"/>
      <c r="DT475" s="446"/>
      <c r="DU475" s="446"/>
      <c r="DV475" s="446"/>
      <c r="DW475" s="446"/>
    </row>
    <row r="476" spans="2:127" s="78" customFormat="1" ht="15" customHeight="1" x14ac:dyDescent="0.25">
      <c r="B476" s="77"/>
      <c r="E476" s="77"/>
      <c r="H476" s="77"/>
      <c r="Y476" s="90">
        <v>223</v>
      </c>
      <c r="Z476" s="559" t="str">
        <f>IF(Inventory!$C232="","",VLOOKUP(Inventory!$C232,$B$7:$C$9,2,FALSE))</f>
        <v/>
      </c>
      <c r="AA476" s="559" t="str">
        <f>IF($Z476="","",IF(AND($Z476="b",Inventory!$G232=""),"",IF(AND($Z476="b",Inventory!$G232&lt;&gt;""),VLOOKUP(Inventory!$G232,$E$3:$F$10,2,FALSE),IF(AND($Z476="a",Inventory!$Z232=""),"",IF(AND($Z476="a",Inventory!$Z232&lt;&gt;""),VLOOKUP(Inventory!$Z232,$E$3:$F$10,2,FALSE),IF(AND($Z476="c",Inventory!$Z232=""),"",IF(AND($Z476="c",Inventory!$Z232&lt;&gt;""),VLOOKUP(Inventory!$Z232,$E$3:$F$10,2,FALSE),"")))))))</f>
        <v/>
      </c>
      <c r="AB476" s="559" t="str">
        <f>IF($Z476="","a",IF(AND($Z476="b",Inventory!$J232=""),"a",IF(AND($Z476="b",Inventory!$J232&lt;&gt;""),VLOOKUP(Inventory!$J232,$H$4:$I$6,2,FALSE),IF(AND($Z476="a",Inventory!$AA232=""),"a",IF(AND($Z476="a",Inventory!$AA232&lt;&gt;""),VLOOKUP(Inventory!$AA232,$H$4:$I$6,2,FALSE),IF(AND($Z476="c",Inventory!$AA232=""),"a",IF(AND($Z476="c",Inventory!$AA232&lt;&gt;""),VLOOKUP(Inventory!$AA232,$H$4:$I$6,2,FALSE),"a")))))))</f>
        <v>a</v>
      </c>
      <c r="AC476" s="559" t="str">
        <f t="shared" si="300"/>
        <v>a</v>
      </c>
      <c r="AD476" s="473" t="str">
        <f>IF($Z476="","a",IF(AND($Z476="b",Inventory!$L232=""),"a",IF(AND($Z476="b",Inventory!$L232&lt;&gt;""),VLOOKUP(Inventory!$L232,$N$4:$O$5,2,FALSE),IF(AND($Z476="a",Inventory!$AC232=""),"a",IF(AND($Z476="a",Inventory!$AC232&lt;&gt;""),VLOOKUP(Inventory!$AC232,$N$4:$O$5,2,FALSE),IF(AND($Z476="c",Inventory!$AC232=""),"a",IF(AND($Z476="c",Inventory!$AC232&lt;&gt;""),VLOOKUP(Inventory!$AC232,$N$4:$O$5,2,FALSE),"a")))))))</f>
        <v>a</v>
      </c>
      <c r="AE476" s="474">
        <f>IF(OR(Inventory!C232="New Construction",Inventory!C232="Replace-on-Burnout"),Inventory!AF232,IF(Inventory!C232="Early Retirement",MIN(Inventory!AE232,Inventory!AF232),0))</f>
        <v>0</v>
      </c>
      <c r="AF476" s="475" t="str">
        <f t="shared" si="301"/>
        <v/>
      </c>
      <c r="AG476" s="475" t="str">
        <f t="shared" si="302"/>
        <v/>
      </c>
      <c r="AH476" s="475" t="str">
        <f t="shared" si="303"/>
        <v/>
      </c>
      <c r="AI476" s="475" t="str">
        <f t="shared" si="304"/>
        <v/>
      </c>
      <c r="AJ476" s="475" t="str">
        <f t="shared" si="305"/>
        <v/>
      </c>
      <c r="AK476" s="475" t="str">
        <f t="shared" si="306"/>
        <v/>
      </c>
      <c r="AL476" s="475" t="str">
        <f t="shared" si="307"/>
        <v/>
      </c>
      <c r="AM476" s="475" t="str">
        <f t="shared" si="308"/>
        <v/>
      </c>
      <c r="AN476" s="475" t="str">
        <f t="shared" si="309"/>
        <v/>
      </c>
      <c r="AO476" s="475" t="str">
        <f t="shared" si="310"/>
        <v/>
      </c>
      <c r="AP476" s="475" t="str">
        <f t="shared" si="311"/>
        <v/>
      </c>
      <c r="AQ476" s="475" t="str">
        <f t="shared" si="312"/>
        <v/>
      </c>
      <c r="AR476" s="475" t="str">
        <f t="shared" si="313"/>
        <v/>
      </c>
      <c r="AS476" s="475" t="str">
        <f t="shared" si="336"/>
        <v/>
      </c>
      <c r="AT476" s="475" t="str">
        <f t="shared" si="314"/>
        <v/>
      </c>
      <c r="AU476" s="475" t="str">
        <f t="shared" si="315"/>
        <v/>
      </c>
      <c r="AV476" s="475" t="str">
        <f t="shared" si="316"/>
        <v/>
      </c>
      <c r="AW476" s="473">
        <f t="shared" si="317"/>
        <v>0</v>
      </c>
      <c r="AX476" s="473" t="str">
        <f>IF(AND($Z476="b",OR($AA476="a",$AA476="b"),Inventory!$I232="",$AE476&lt;(65000/12000)),"x",IF(AND($Z476="b",OR($AA476="a",$AA476="b"),Inventory!$I232&lt;&gt;"",$AE476&lt;(65000/12000)),VLOOKUP(Inventory!$I483,$V$4:$W$5,2,FALSE),"x"))</f>
        <v>x</v>
      </c>
      <c r="AY476" s="476" t="str">
        <f t="shared" si="318"/>
        <v>aaa0</v>
      </c>
      <c r="AZ476" s="477" t="str">
        <f t="shared" si="327"/>
        <v>No</v>
      </c>
      <c r="BA476" s="759" t="str">
        <f t="shared" si="328"/>
        <v>No</v>
      </c>
      <c r="BB476" s="477">
        <f>IF($Z476="c",Inventory!$AB232,Inventory!$K232)</f>
        <v>0</v>
      </c>
      <c r="BC476" s="478">
        <f>IF(AND($Z476="b",Inventory!$N232="Btu/hr"),Inventory!$M232,IF(AND($Z476="b",Inventory!$N232="Tons"),Inventory!$M232*12000,IF(AND($Z476&lt;&gt;"b",Inventory!$AK232="Btu/hr"),Inventory!$AD232,IF(AND($Z476&lt;&gt;"b",Inventory!$AK232="Tons"),Inventory!$AD232*12000,0))))</f>
        <v>0</v>
      </c>
      <c r="BD476" s="478">
        <f t="shared" si="325"/>
        <v>0</v>
      </c>
      <c r="BE476" s="479">
        <f t="shared" si="337"/>
        <v>0</v>
      </c>
      <c r="BF476" s="477" t="s">
        <v>50</v>
      </c>
      <c r="BG476" s="479">
        <f t="shared" si="319"/>
        <v>0</v>
      </c>
      <c r="BH476" s="477" t="s">
        <v>46</v>
      </c>
      <c r="BI476" s="760">
        <f>IF(AND($Z476="b",Inventory!$P232="Btu/hr"),Inventory!$O232,IF(AND($Z476="b",Inventory!$P232="Tons"),Inventory!$O232*12000,IF(AND($Z476&lt;&gt;"b",Inventory!$AM232="Btu/hr"),Inventory!$AL232,IF(AND($Z476&lt;&gt;"b",Inventory!$AM232="Tons"),Inventory!$AL232*12000,0))))</f>
        <v>0</v>
      </c>
      <c r="BJ476" s="760">
        <f t="shared" si="326"/>
        <v>0</v>
      </c>
      <c r="BK476" s="598">
        <f t="shared" si="329"/>
        <v>0</v>
      </c>
      <c r="BL476" s="759" t="s">
        <v>567</v>
      </c>
      <c r="BM476" s="477" t="str">
        <f t="shared" si="320"/>
        <v>No</v>
      </c>
      <c r="BN476" s="477" t="str">
        <f>IF(OR(Inventory!$H232="",$BM476="No"),"-",Inventory!$H232)</f>
        <v>-</v>
      </c>
      <c r="BO476" s="477" t="str">
        <f>IFERROR(VLOOKUP(BN476,'Early Retirement'!$B$6:$C$33,2,FALSE),"-")</f>
        <v>-</v>
      </c>
      <c r="BP476" s="477" t="str">
        <f>IF(Inventory!$J232="Centrifugal","Yes","No")</f>
        <v>No</v>
      </c>
      <c r="BQ476" s="477">
        <f t="shared" si="321"/>
        <v>0</v>
      </c>
      <c r="BR476" s="477" t="str">
        <f t="shared" si="339"/>
        <v>-</v>
      </c>
      <c r="BS476" s="479">
        <f>IFERROR(INDEX('Early Retirement'!$C$4:$AC$33,$BO476,$BR476),0)</f>
        <v>0</v>
      </c>
      <c r="BT476" s="477">
        <f>IFERROR(HLOOKUP($BR476,'Early Retirement'!$D$4:$AC$5,2,FALSE),0)</f>
        <v>0</v>
      </c>
      <c r="BU476" s="761">
        <f>IFERROR(INDEX('Early Retirement'!$AE$4:$BE$33,$BO476,$BR476),0)</f>
        <v>0</v>
      </c>
      <c r="BV476" s="759">
        <f>IFERROR(HLOOKUP($BR476,'Early Retirement'!$AF$4:$BE$5,2,FALSE),0)</f>
        <v>0</v>
      </c>
      <c r="BW476" s="479">
        <f t="shared" si="322"/>
        <v>0</v>
      </c>
      <c r="BX476" s="761">
        <f t="shared" si="330"/>
        <v>0</v>
      </c>
      <c r="BY476" s="477" t="s">
        <v>46</v>
      </c>
      <c r="BZ476" s="598">
        <f>IFERROR(INDEX('Early Retirement'!$BG$4:$CG$33,$BO476,$BR476),0)</f>
        <v>0</v>
      </c>
      <c r="CA476" s="759">
        <f>IFERROR(HLOOKUP($BR476,'Early Retirement'!$BH$4:$CH$5,2,FALSE),0)</f>
        <v>0</v>
      </c>
      <c r="CB476" s="598">
        <f t="shared" si="331"/>
        <v>0</v>
      </c>
      <c r="CC476" s="759" t="s">
        <v>567</v>
      </c>
      <c r="CD476" s="477" t="str">
        <f t="shared" si="323"/>
        <v>Yes</v>
      </c>
      <c r="CE476" s="479">
        <f t="shared" si="332"/>
        <v>0</v>
      </c>
      <c r="CF476" s="761">
        <f t="shared" si="333"/>
        <v>0</v>
      </c>
      <c r="CG476" s="759" t="s">
        <v>46</v>
      </c>
      <c r="CH476" s="598">
        <f t="shared" si="338"/>
        <v>0</v>
      </c>
      <c r="CI476" s="759" t="s">
        <v>567</v>
      </c>
      <c r="CJ476" s="480">
        <f t="shared" si="324"/>
        <v>0</v>
      </c>
      <c r="CK476" s="583">
        <f t="shared" si="334"/>
        <v>0</v>
      </c>
      <c r="CL476" s="596" t="s">
        <v>46</v>
      </c>
      <c r="CM476" s="581">
        <f t="shared" si="335"/>
        <v>0</v>
      </c>
      <c r="CN476" s="762" t="s">
        <v>567</v>
      </c>
      <c r="CR476" s="446"/>
      <c r="CS476" s="446"/>
      <c r="CT476" s="446"/>
      <c r="CU476" s="446"/>
      <c r="CV476" s="446"/>
      <c r="CW476" s="752"/>
      <c r="CX476" s="752"/>
      <c r="CY476" s="752"/>
      <c r="CZ476" s="752"/>
      <c r="DA476" s="752"/>
      <c r="DB476" s="446"/>
      <c r="DC476" s="446"/>
      <c r="DD476" s="446"/>
      <c r="DE476" s="446"/>
      <c r="DF476" s="446"/>
      <c r="DG476" s="446"/>
      <c r="DH476" s="446"/>
      <c r="DI476" s="446"/>
      <c r="DJ476" s="446"/>
      <c r="DK476" s="446"/>
      <c r="DL476" s="446"/>
      <c r="DM476" s="446"/>
      <c r="DN476" s="446"/>
      <c r="DO476" s="446"/>
      <c r="DP476" s="446"/>
      <c r="DQ476" s="446"/>
      <c r="DR476" s="446"/>
      <c r="DS476" s="446"/>
      <c r="DT476" s="446"/>
      <c r="DU476" s="446"/>
      <c r="DV476" s="446"/>
      <c r="DW476" s="446"/>
    </row>
    <row r="477" spans="2:127" s="78" customFormat="1" ht="15" customHeight="1" x14ac:dyDescent="0.25">
      <c r="B477" s="77"/>
      <c r="E477" s="77"/>
      <c r="H477" s="77"/>
      <c r="Y477" s="90">
        <v>224</v>
      </c>
      <c r="Z477" s="559" t="str">
        <f>IF(Inventory!$C233="","",VLOOKUP(Inventory!$C233,$B$7:$C$9,2,FALSE))</f>
        <v/>
      </c>
      <c r="AA477" s="559" t="str">
        <f>IF($Z477="","",IF(AND($Z477="b",Inventory!$G233=""),"",IF(AND($Z477="b",Inventory!$G233&lt;&gt;""),VLOOKUP(Inventory!$G233,$E$3:$F$10,2,FALSE),IF(AND($Z477="a",Inventory!$Z233=""),"",IF(AND($Z477="a",Inventory!$Z233&lt;&gt;""),VLOOKUP(Inventory!$Z233,$E$3:$F$10,2,FALSE),IF(AND($Z477="c",Inventory!$Z233=""),"",IF(AND($Z477="c",Inventory!$Z233&lt;&gt;""),VLOOKUP(Inventory!$Z233,$E$3:$F$10,2,FALSE),"")))))))</f>
        <v/>
      </c>
      <c r="AB477" s="559" t="str">
        <f>IF($Z477="","a",IF(AND($Z477="b",Inventory!$J233=""),"a",IF(AND($Z477="b",Inventory!$J233&lt;&gt;""),VLOOKUP(Inventory!$J233,$H$4:$I$6,2,FALSE),IF(AND($Z477="a",Inventory!$AA233=""),"a",IF(AND($Z477="a",Inventory!$AA233&lt;&gt;""),VLOOKUP(Inventory!$AA233,$H$4:$I$6,2,FALSE),IF(AND($Z477="c",Inventory!$AA233=""),"a",IF(AND($Z477="c",Inventory!$AA233&lt;&gt;""),VLOOKUP(Inventory!$AA233,$H$4:$I$6,2,FALSE),"a")))))))</f>
        <v>a</v>
      </c>
      <c r="AC477" s="559" t="str">
        <f t="shared" si="300"/>
        <v>a</v>
      </c>
      <c r="AD477" s="473" t="str">
        <f>IF($Z477="","a",IF(AND($Z477="b",Inventory!$L233=""),"a",IF(AND($Z477="b",Inventory!$L233&lt;&gt;""),VLOOKUP(Inventory!$L233,$N$4:$O$5,2,FALSE),IF(AND($Z477="a",Inventory!$AC233=""),"a",IF(AND($Z477="a",Inventory!$AC233&lt;&gt;""),VLOOKUP(Inventory!$AC233,$N$4:$O$5,2,FALSE),IF(AND($Z477="c",Inventory!$AC233=""),"a",IF(AND($Z477="c",Inventory!$AC233&lt;&gt;""),VLOOKUP(Inventory!$AC233,$N$4:$O$5,2,FALSE),"a")))))))</f>
        <v>a</v>
      </c>
      <c r="AE477" s="474">
        <f>IF(OR(Inventory!C233="New Construction",Inventory!C233="Replace-on-Burnout"),Inventory!AF233,IF(Inventory!C233="Early Retirement",MIN(Inventory!AE233,Inventory!AF233),0))</f>
        <v>0</v>
      </c>
      <c r="AF477" s="475" t="str">
        <f t="shared" si="301"/>
        <v/>
      </c>
      <c r="AG477" s="475" t="str">
        <f t="shared" si="302"/>
        <v/>
      </c>
      <c r="AH477" s="475" t="str">
        <f t="shared" si="303"/>
        <v/>
      </c>
      <c r="AI477" s="475" t="str">
        <f t="shared" si="304"/>
        <v/>
      </c>
      <c r="AJ477" s="475" t="str">
        <f t="shared" si="305"/>
        <v/>
      </c>
      <c r="AK477" s="475" t="str">
        <f t="shared" si="306"/>
        <v/>
      </c>
      <c r="AL477" s="475" t="str">
        <f t="shared" si="307"/>
        <v/>
      </c>
      <c r="AM477" s="475" t="str">
        <f t="shared" si="308"/>
        <v/>
      </c>
      <c r="AN477" s="475" t="str">
        <f t="shared" si="309"/>
        <v/>
      </c>
      <c r="AO477" s="475" t="str">
        <f t="shared" si="310"/>
        <v/>
      </c>
      <c r="AP477" s="475" t="str">
        <f t="shared" si="311"/>
        <v/>
      </c>
      <c r="AQ477" s="475" t="str">
        <f t="shared" si="312"/>
        <v/>
      </c>
      <c r="AR477" s="475" t="str">
        <f t="shared" si="313"/>
        <v/>
      </c>
      <c r="AS477" s="475" t="str">
        <f t="shared" si="336"/>
        <v/>
      </c>
      <c r="AT477" s="475" t="str">
        <f t="shared" si="314"/>
        <v/>
      </c>
      <c r="AU477" s="475" t="str">
        <f t="shared" si="315"/>
        <v/>
      </c>
      <c r="AV477" s="475" t="str">
        <f t="shared" si="316"/>
        <v/>
      </c>
      <c r="AW477" s="473">
        <f t="shared" si="317"/>
        <v>0</v>
      </c>
      <c r="AX477" s="473" t="str">
        <f>IF(AND($Z477="b",OR($AA477="a",$AA477="b"),Inventory!$I233="",$AE477&lt;(65000/12000)),"x",IF(AND($Z477="b",OR($AA477="a",$AA477="b"),Inventory!$I233&lt;&gt;"",$AE477&lt;(65000/12000)),VLOOKUP(Inventory!$I484,$V$4:$W$5,2,FALSE),"x"))</f>
        <v>x</v>
      </c>
      <c r="AY477" s="476" t="str">
        <f t="shared" si="318"/>
        <v>aaa0</v>
      </c>
      <c r="AZ477" s="477" t="str">
        <f t="shared" si="327"/>
        <v>No</v>
      </c>
      <c r="BA477" s="759" t="str">
        <f t="shared" si="328"/>
        <v>No</v>
      </c>
      <c r="BB477" s="477">
        <f>IF($Z477="c",Inventory!$AB233,Inventory!$K233)</f>
        <v>0</v>
      </c>
      <c r="BC477" s="478">
        <f>IF(AND($Z477="b",Inventory!$N233="Btu/hr"),Inventory!$M233,IF(AND($Z477="b",Inventory!$N233="Tons"),Inventory!$M233*12000,IF(AND($Z477&lt;&gt;"b",Inventory!$AK233="Btu/hr"),Inventory!$AD233,IF(AND($Z477&lt;&gt;"b",Inventory!$AK233="Tons"),Inventory!$AD233*12000,0))))</f>
        <v>0</v>
      </c>
      <c r="BD477" s="478">
        <f t="shared" si="325"/>
        <v>0</v>
      </c>
      <c r="BE477" s="479">
        <f t="shared" si="337"/>
        <v>0</v>
      </c>
      <c r="BF477" s="477" t="s">
        <v>50</v>
      </c>
      <c r="BG477" s="479">
        <f t="shared" si="319"/>
        <v>0</v>
      </c>
      <c r="BH477" s="477" t="s">
        <v>46</v>
      </c>
      <c r="BI477" s="760">
        <f>IF(AND($Z477="b",Inventory!$P233="Btu/hr"),Inventory!$O233,IF(AND($Z477="b",Inventory!$P233="Tons"),Inventory!$O233*12000,IF(AND($Z477&lt;&gt;"b",Inventory!$AM233="Btu/hr"),Inventory!$AL233,IF(AND($Z477&lt;&gt;"b",Inventory!$AM233="Tons"),Inventory!$AL233*12000,0))))</f>
        <v>0</v>
      </c>
      <c r="BJ477" s="760">
        <f t="shared" si="326"/>
        <v>0</v>
      </c>
      <c r="BK477" s="598">
        <f t="shared" si="329"/>
        <v>0</v>
      </c>
      <c r="BL477" s="759" t="s">
        <v>567</v>
      </c>
      <c r="BM477" s="477" t="str">
        <f t="shared" si="320"/>
        <v>No</v>
      </c>
      <c r="BN477" s="477" t="str">
        <f>IF(OR(Inventory!$H233="",$BM477="No"),"-",Inventory!$H233)</f>
        <v>-</v>
      </c>
      <c r="BO477" s="477" t="str">
        <f>IFERROR(VLOOKUP(BN477,'Early Retirement'!$B$6:$C$33,2,FALSE),"-")</f>
        <v>-</v>
      </c>
      <c r="BP477" s="477" t="str">
        <f>IF(Inventory!$J233="Centrifugal","Yes","No")</f>
        <v>No</v>
      </c>
      <c r="BQ477" s="477">
        <f t="shared" si="321"/>
        <v>0</v>
      </c>
      <c r="BR477" s="477" t="str">
        <f t="shared" si="339"/>
        <v>-</v>
      </c>
      <c r="BS477" s="479">
        <f>IFERROR(INDEX('Early Retirement'!$C$4:$AC$33,$BO477,$BR477),0)</f>
        <v>0</v>
      </c>
      <c r="BT477" s="477">
        <f>IFERROR(HLOOKUP($BR477,'Early Retirement'!$D$4:$AC$5,2,FALSE),0)</f>
        <v>0</v>
      </c>
      <c r="BU477" s="761">
        <f>IFERROR(INDEX('Early Retirement'!$AE$4:$BE$33,$BO477,$BR477),0)</f>
        <v>0</v>
      </c>
      <c r="BV477" s="759">
        <f>IFERROR(HLOOKUP($BR477,'Early Retirement'!$AF$4:$BE$5,2,FALSE),0)</f>
        <v>0</v>
      </c>
      <c r="BW477" s="479">
        <f t="shared" si="322"/>
        <v>0</v>
      </c>
      <c r="BX477" s="761">
        <f t="shared" si="330"/>
        <v>0</v>
      </c>
      <c r="BY477" s="477" t="s">
        <v>46</v>
      </c>
      <c r="BZ477" s="598">
        <f>IFERROR(INDEX('Early Retirement'!$BG$4:$CG$33,$BO477,$BR477),0)</f>
        <v>0</v>
      </c>
      <c r="CA477" s="759">
        <f>IFERROR(HLOOKUP($BR477,'Early Retirement'!$BH$4:$CH$5,2,FALSE),0)</f>
        <v>0</v>
      </c>
      <c r="CB477" s="598">
        <f t="shared" si="331"/>
        <v>0</v>
      </c>
      <c r="CC477" s="759" t="s">
        <v>567</v>
      </c>
      <c r="CD477" s="477" t="str">
        <f t="shared" si="323"/>
        <v>Yes</v>
      </c>
      <c r="CE477" s="479">
        <f t="shared" si="332"/>
        <v>0</v>
      </c>
      <c r="CF477" s="761">
        <f t="shared" si="333"/>
        <v>0</v>
      </c>
      <c r="CG477" s="759" t="s">
        <v>46</v>
      </c>
      <c r="CH477" s="598">
        <f t="shared" si="338"/>
        <v>0</v>
      </c>
      <c r="CI477" s="759" t="s">
        <v>567</v>
      </c>
      <c r="CJ477" s="480">
        <f t="shared" si="324"/>
        <v>0</v>
      </c>
      <c r="CK477" s="583">
        <f t="shared" si="334"/>
        <v>0</v>
      </c>
      <c r="CL477" s="596" t="s">
        <v>46</v>
      </c>
      <c r="CM477" s="581">
        <f t="shared" si="335"/>
        <v>0</v>
      </c>
      <c r="CN477" s="762" t="s">
        <v>567</v>
      </c>
      <c r="CR477" s="446"/>
      <c r="CS477" s="446"/>
      <c r="CT477" s="446"/>
      <c r="CU477" s="446"/>
      <c r="CV477" s="446"/>
      <c r="CW477" s="752"/>
      <c r="CX477" s="752"/>
      <c r="CY477" s="752"/>
      <c r="CZ477" s="752"/>
      <c r="DA477" s="752"/>
      <c r="DB477" s="446"/>
      <c r="DC477" s="446"/>
      <c r="DD477" s="446"/>
      <c r="DE477" s="446"/>
      <c r="DF477" s="446"/>
      <c r="DG477" s="446"/>
      <c r="DH477" s="446"/>
      <c r="DI477" s="446"/>
      <c r="DJ477" s="446"/>
      <c r="DK477" s="446"/>
      <c r="DL477" s="446"/>
      <c r="DM477" s="446"/>
      <c r="DN477" s="446"/>
      <c r="DO477" s="446"/>
      <c r="DP477" s="446"/>
      <c r="DQ477" s="446"/>
      <c r="DR477" s="446"/>
      <c r="DS477" s="446"/>
      <c r="DT477" s="446"/>
      <c r="DU477" s="446"/>
      <c r="DV477" s="446"/>
      <c r="DW477" s="446"/>
    </row>
    <row r="478" spans="2:127" s="78" customFormat="1" ht="15" customHeight="1" x14ac:dyDescent="0.25">
      <c r="B478" s="77"/>
      <c r="E478" s="77"/>
      <c r="H478" s="77"/>
      <c r="Y478" s="90">
        <v>225</v>
      </c>
      <c r="Z478" s="559" t="str">
        <f>IF(Inventory!$C234="","",VLOOKUP(Inventory!$C234,$B$7:$C$9,2,FALSE))</f>
        <v/>
      </c>
      <c r="AA478" s="559" t="str">
        <f>IF($Z478="","",IF(AND($Z478="b",Inventory!$G234=""),"",IF(AND($Z478="b",Inventory!$G234&lt;&gt;""),VLOOKUP(Inventory!$G234,$E$3:$F$10,2,FALSE),IF(AND($Z478="a",Inventory!$Z234=""),"",IF(AND($Z478="a",Inventory!$Z234&lt;&gt;""),VLOOKUP(Inventory!$Z234,$E$3:$F$10,2,FALSE),IF(AND($Z478="c",Inventory!$Z234=""),"",IF(AND($Z478="c",Inventory!$Z234&lt;&gt;""),VLOOKUP(Inventory!$Z234,$E$3:$F$10,2,FALSE),"")))))))</f>
        <v/>
      </c>
      <c r="AB478" s="559" t="str">
        <f>IF($Z478="","a",IF(AND($Z478="b",Inventory!$J234=""),"a",IF(AND($Z478="b",Inventory!$J234&lt;&gt;""),VLOOKUP(Inventory!$J234,$H$4:$I$6,2,FALSE),IF(AND($Z478="a",Inventory!$AA234=""),"a",IF(AND($Z478="a",Inventory!$AA234&lt;&gt;""),VLOOKUP(Inventory!$AA234,$H$4:$I$6,2,FALSE),IF(AND($Z478="c",Inventory!$AA234=""),"a",IF(AND($Z478="c",Inventory!$AA234&lt;&gt;""),VLOOKUP(Inventory!$AA234,$H$4:$I$6,2,FALSE),"a")))))))</f>
        <v>a</v>
      </c>
      <c r="AC478" s="559" t="str">
        <f t="shared" ref="AC478:AC503" si="340">IF($AA478="f","b",IF($AA478="e","c","a"))</f>
        <v>a</v>
      </c>
      <c r="AD478" s="473" t="str">
        <f>IF($Z478="","a",IF(AND($Z478="b",Inventory!$L234=""),"a",IF(AND($Z478="b",Inventory!$L234&lt;&gt;""),VLOOKUP(Inventory!$L234,$N$4:$O$5,2,FALSE),IF(AND($Z478="a",Inventory!$AC234=""),"a",IF(AND($Z478="a",Inventory!$AC234&lt;&gt;""),VLOOKUP(Inventory!$AC234,$N$4:$O$5,2,FALSE),IF(AND($Z478="c",Inventory!$AC234=""),"a",IF(AND($Z478="c",Inventory!$AC234&lt;&gt;""),VLOOKUP(Inventory!$AC234,$N$4:$O$5,2,FALSE),"a")))))))</f>
        <v>a</v>
      </c>
      <c r="AE478" s="474">
        <f>IF(OR(Inventory!C234="New Construction",Inventory!C234="Replace-on-Burnout"),Inventory!AF234,IF(Inventory!C234="Early Retirement",MIN(Inventory!AE234,Inventory!AF234),0))</f>
        <v>0</v>
      </c>
      <c r="AF478" s="475" t="str">
        <f t="shared" ref="AF478:AF503" si="341">IF(OR(AND($AA478&lt;&gt;"a",$AA478&lt;&gt;"b"),$AE478=""),"",IF(AND($AE478&gt;=$AF$2,$AA478="a"),5,IF(AND($AE478&gt;=$AF$2,$AA478="b"),10,0)))</f>
        <v/>
      </c>
      <c r="AG478" s="475" t="str">
        <f t="shared" ref="AG478:AG503" si="342">IF(OR(AND($AA478&lt;&gt;"a",$AA478&lt;&gt;"b"),$AE478="",$AF478&lt;&gt;0),"",IF(AND($AE478&gt;=$AG$2,$AA478="a"),4,IF(AND($AE478&gt;=$AG$2,$AA478="b"),9,0)))</f>
        <v/>
      </c>
      <c r="AH478" s="475" t="str">
        <f t="shared" ref="AH478:AH503" si="343">IF(OR(AND($AA478&lt;&gt;"a",$AA478&lt;&gt;"b"),$AE478="",$AG478&lt;&gt;0),"",IF(AND($AE478&gt;=$AH$2,$AA478="a"),3,IF(AND($AE478&gt;=$AH$2,$AA478="b"),8,0)))</f>
        <v/>
      </c>
      <c r="AI478" s="475" t="str">
        <f t="shared" ref="AI478:AI503" si="344">IF(OR(AND($AA478&lt;&gt;"a",$AA478&lt;&gt;"b"),$AE478="",$AH478&lt;&gt;0),"",IF(AND($AE478&gt;=$AI$2,$AA478="a"),2,IF(AND($AE478&gt;=$AI$2,$AA478="b"),7,0)))</f>
        <v/>
      </c>
      <c r="AJ478" s="475" t="str">
        <f t="shared" ref="AJ478:AJ503" si="345">IF(OR(AND($AA478&lt;&gt;"a",$AA478&lt;&gt;"b"),$AE478="",$AI478&lt;&gt;0),"",IF(AND($AE478&gt;=$AJ$2,$AA478="a"),1,IF(AND($AE478&gt;=$AJ$2,$AA478="b"),6,0)))</f>
        <v/>
      </c>
      <c r="AK478" s="475" t="str">
        <f t="shared" ref="AK478:AK503" si="346">IF(OR(AND($AA478&lt;&gt;"e",$AA478&lt;&gt;"f"),$AE478=""),"",IF(AND($AE478&gt;=$AK$2,OR($AA478="e",$AA478="f"),$AC478="b",$AD478="b"),26,IF(AND($AE478&gt;$AK$2,OR($AA478="e",$AA478="f"),$AC478="b",$AD478="c"),28,IF(AND($AE478&gt;$AK$2,OR($AA478="e",$AA478="f"),$AC478="c",$AD478="b"),19,IF(AND($AE478&gt;$AK$2,OR($AA478="e",$AA478="f"),$AC478="c",$AD478="c"),24,0)))))</f>
        <v/>
      </c>
      <c r="AL478" s="475" t="str">
        <f t="shared" ref="AL478:AL503" si="347">IF(OR(AND($AA478&lt;&gt;"e",$AA478&lt;&gt;"f"),$AE478="",$AK478&lt;&gt;0),"",IF(AND($AE478&gt;=$AL$2,OR($AA478="e",$AA478="f"),$AC478="b",$AD478="b"),26,IF(AND($AE478&gt;$AL$2,OR($AA478="e",$AA478="f"),$AC478="b",$AD478="c"),28,IF(AND($AE478&gt;$AL$2,OR($AA478="e",$AA478="f"),$AC478="c",$AD478="b"),18,IF(AND($AE478&gt;$AL$2,OR($AA478="e",$AA478="f"),$AC478="c",$AD478="c"),24,0)))))</f>
        <v/>
      </c>
      <c r="AM478" s="475" t="str">
        <f t="shared" ref="AM478:AM503" si="348">IF(OR(AND($AA478&lt;&gt;"e",$AA478&lt;&gt;"f"),$AE478="",$AL478&lt;&gt;0),"",IF(AND($AE478&gt;=$AM$2,OR($AA478="e",$AA478="f"),$AC478="b",$AD478="b"),25,IF(AND($AE478&gt;$AM$2,OR($AA478="e",$AA478="f"),$AC478="b",$AD478="c"),28,IF(AND($AE478&gt;$AM$2,OR($AA478="e",$AA478="f"),$AC478="c",$AD478="b"),17,IF(AND($AE478&gt;$AM$2,OR($AA478="e",$AA478="f"),$AC478="c",$AD478="c"),23,0)))))</f>
        <v/>
      </c>
      <c r="AN478" s="475" t="str">
        <f t="shared" ref="AN478:AN503" si="349">IF(OR(AND($AA478&lt;&gt;"e",$AA478&lt;&gt;"f"),$AE478="",$AM478&lt;&gt;0),"",IF(AND($AE478&gt;=$AN$2,OR($AA478="e",$AA478="f"),$AC478="b",$AD478="b"),25,IF(AND($AE478&gt;$AN$2,OR($AA478="e",$AA478="f"),$AC478="b",$AD478="c"),27,IF(AND($AE478&gt;$AN$2,OR($AA478="e",$AA478="f"),$AC478="c",$AD478="b"),16,IF(AND($AE478&gt;$AN$2,OR($AA478="e",$AA478="f"),$AC478="c",$AD478="c"),22,0)))))</f>
        <v/>
      </c>
      <c r="AO478" s="475" t="str">
        <f t="shared" ref="AO478:AO503" si="350">IF(OR(AND($AA478&lt;&gt;"e",$AA478&lt;&gt;"f"),$AE478="",$AN478&lt;&gt;0),"",IF(AND($AE478&gt;=$AO$2,OR($AA478="e",$AA478="f"),$AC478="b",$AD478="b"),25,IF(AND($AE478&gt;$AO$2,OR($AA478="e",$AA478="f"),$AC478="b",$AD478="c"),27,IF(AND($AE478&gt;$AO$2,OR($AA478="e",$AA478="f"),$AC478="c",$AD478="b"),16,IF(AND($AE478&gt;$AO$2,OR($AA478="e",$AA478="f"),$AC478="c",$AD478="c"),21,0)))))</f>
        <v/>
      </c>
      <c r="AP478" s="475" t="str">
        <f t="shared" ref="AP478:AP503" si="351">IF(OR(AND($AA478&lt;&gt;"e",$AA478&lt;&gt;"f"),$AE478="",$AO478&lt;&gt;0),"",IF(AND($AE478&gt;=$AP$2,OR($AA478="e",$AA478="f"),$AC478="b",$AD478="b"),25,IF(AND($AE478&gt;$AP$2,OR($AA478="e",$AA478="f"),$AC478="b",$AD478="c"),27,IF(AND($AE478&gt;$AP$2,OR($AA478="e",$AA478="f"),$AC478="c",$AD478="b"),15,IF(AND($AE478&gt;$AP$2,OR($AA478="e",$AA478="f"),$AC478="c",$AD478="c"),20,0)))))</f>
        <v/>
      </c>
      <c r="AQ478" s="475" t="str">
        <f t="shared" ref="AQ478:AQ503" si="352">IF(OR(AND($AA478&lt;&gt;"g",$AA478&lt;&gt;"h"),$AE478=""),"",IF(AND($AE478&gt;=$AQ$2,$AA478="g"),33,IF(AND($AE478&gt;=$AQ$2,$AA478="h",$AB478="b"),38,IF(AND($AE478&gt;=$AQ$2,$AA478="h",$AB478&lt;&gt;"b"),43,0))))</f>
        <v/>
      </c>
      <c r="AR478" s="475" t="str">
        <f t="shared" ref="AR478:AR503" si="353">IF(OR(AND($AA478&lt;&gt;"g",$AA478&lt;&gt;"h"),$AE478="",$AQ478&lt;&gt;0),"",IF(AND($AE478&gt;=$AR$2,$AA478="g"),32,IF(AND($AE478&gt;=$AR$2,$AA478="h",$AB478="b"),37,IF(AND($AE478&gt;=$AR$2,$AA478="h",$AB478&lt;&gt;"b"),42,0))))</f>
        <v/>
      </c>
      <c r="AS478" s="475" t="str">
        <f t="shared" si="336"/>
        <v/>
      </c>
      <c r="AT478" s="475" t="str">
        <f t="shared" ref="AT478:AT503" si="354">IF(OR(AND($AA478&lt;&gt;"g",$AA478&lt;&gt;"h"),$AE478="",$AS478&lt;&gt;0),"",IF(AND($AE478&gt;=$AT$2,$AA478="g"),30,IF(AND($AE478&gt;=$AT$2,$AA478="h",$AB478="b"),35,IF(AND($AE478&gt;=$AT$2,$AA478="h",$AB478&lt;&gt;"b"),40,0))))</f>
        <v/>
      </c>
      <c r="AU478" s="475" t="str">
        <f t="shared" ref="AU478:AU503" si="355">IF(OR(AND($AA478&lt;&gt;"g",$AA478&lt;&gt;"h"),$AE478="",$AT478&lt;&gt;0),"",IF(AND($AE478&gt;=$AU$2,$AA478="g"),29,IF(AND($AE478&gt;=$AU$2,$AA478="h",$AB478="b"),34,IF(AND($AE478&gt;=$AU$2,$AA478="h",$AB478&lt;&gt;"b"),39,0))))</f>
        <v/>
      </c>
      <c r="AV478" s="475" t="str">
        <f t="shared" ref="AV478:AV503" si="356">IF($AE478="","",IF(AND($Z478="c",$AA478="c"),10,IF(AND($Z478="a",$AA478="c"),11,IF(AND($Z478="c",$AA478="d"),12,IF(AND($Z478="a",$AA478="d"),13,"")))))</f>
        <v/>
      </c>
      <c r="AW478" s="473">
        <f t="shared" ref="AW478:AW503" si="357">SUM($AF478:$AV478)</f>
        <v>0</v>
      </c>
      <c r="AX478" s="473" t="str">
        <f>IF(AND($Z478="b",OR($AA478="a",$AA478="b"),Inventory!$I234="",$AE478&lt;(65000/12000)),"x",IF(AND($Z478="b",OR($AA478="a",$AA478="b"),Inventory!$I234&lt;&gt;"",$AE478&lt;(65000/12000)),VLOOKUP(Inventory!$I485,$V$4:$W$5,2,FALSE),"x"))</f>
        <v>x</v>
      </c>
      <c r="AY478" s="476" t="str">
        <f t="shared" ref="AY478:AY503" si="358">CONCATENATE($Z478,$AA478,$AB478,$AC478,$AD478,$AW478)</f>
        <v>aaa0</v>
      </c>
      <c r="AZ478" s="477" t="str">
        <f t="shared" si="327"/>
        <v>No</v>
      </c>
      <c r="BA478" s="759" t="str">
        <f t="shared" si="328"/>
        <v>No</v>
      </c>
      <c r="BB478" s="477">
        <f>IF($Z478="c",Inventory!$AB234,Inventory!$K234)</f>
        <v>0</v>
      </c>
      <c r="BC478" s="478">
        <f>IF(AND($Z478="b",Inventory!$N234="Btu/hr"),Inventory!$M234,IF(AND($Z478="b",Inventory!$N234="Tons"),Inventory!$M234*12000,IF(AND($Z478&lt;&gt;"b",Inventory!$AK234="Btu/hr"),Inventory!$AD234,IF(AND($Z478&lt;&gt;"b",Inventory!$AK234="Tons"),Inventory!$AD234*12000,0))))</f>
        <v>0</v>
      </c>
      <c r="BD478" s="478">
        <f t="shared" si="325"/>
        <v>0</v>
      </c>
      <c r="BE478" s="479">
        <f t="shared" si="337"/>
        <v>0</v>
      </c>
      <c r="BF478" s="477" t="s">
        <v>50</v>
      </c>
      <c r="BG478" s="479">
        <f t="shared" ref="BG478:BG503" si="359">IFERROR(12/$BE478,0)</f>
        <v>0</v>
      </c>
      <c r="BH478" s="477" t="s">
        <v>46</v>
      </c>
      <c r="BI478" s="760">
        <f>IF(AND($Z478="b",Inventory!$P234="Btu/hr"),Inventory!$O234,IF(AND($Z478="b",Inventory!$P234="Tons"),Inventory!$O234*12000,IF(AND($Z478&lt;&gt;"b",Inventory!$AM234="Btu/hr"),Inventory!$AL234,IF(AND($Z478&lt;&gt;"b",Inventory!$AM234="Tons"),Inventory!$AL234*12000,0))))</f>
        <v>0</v>
      </c>
      <c r="BJ478" s="760">
        <f t="shared" si="326"/>
        <v>0</v>
      </c>
      <c r="BK478" s="598">
        <f t="shared" si="329"/>
        <v>0</v>
      </c>
      <c r="BL478" s="759" t="s">
        <v>567</v>
      </c>
      <c r="BM478" s="477" t="str">
        <f t="shared" ref="BM478:BM503" si="360">IF($Z478="b","Yes","No")</f>
        <v>No</v>
      </c>
      <c r="BN478" s="477" t="str">
        <f>IF(OR(Inventory!$H234="",$BM478="No"),"-",Inventory!$H234)</f>
        <v>-</v>
      </c>
      <c r="BO478" s="477" t="str">
        <f>IFERROR(VLOOKUP(BN478,'Early Retirement'!$B$6:$C$33,2,FALSE),"-")</f>
        <v>-</v>
      </c>
      <c r="BP478" s="477" t="str">
        <f>IF(Inventory!$J234="Centrifugal","Yes","No")</f>
        <v>No</v>
      </c>
      <c r="BQ478" s="477">
        <f t="shared" ref="BQ478:BQ503" si="361">IF($BM478="No",0,IF($BP478="Yes",CONCATENATE($AW478,$AX478,"c"),CONCATENATE($AW478,$AX478)))</f>
        <v>0</v>
      </c>
      <c r="BR478" s="477" t="str">
        <f t="shared" si="339"/>
        <v>-</v>
      </c>
      <c r="BS478" s="479">
        <f>IFERROR(INDEX('Early Retirement'!$C$4:$AC$33,$BO478,$BR478),0)</f>
        <v>0</v>
      </c>
      <c r="BT478" s="477">
        <f>IFERROR(HLOOKUP($BR478,'Early Retirement'!$D$4:$AC$5,2,FALSE),0)</f>
        <v>0</v>
      </c>
      <c r="BU478" s="761">
        <f>IFERROR(INDEX('Early Retirement'!$AE$4:$BE$33,$BO478,$BR478),0)</f>
        <v>0</v>
      </c>
      <c r="BV478" s="759">
        <f>IFERROR(HLOOKUP($BR478,'Early Retirement'!$AF$4:$BE$5,2,FALSE),0)</f>
        <v>0</v>
      </c>
      <c r="BW478" s="479">
        <f t="shared" ref="BW478:BW503" si="362">IF($BT478="SEER",12/($BS478*0.697+2.0394),IF($BT478="EER",12/$BS478,IF($BT478="kW/ton",$BS478,0)))</f>
        <v>0</v>
      </c>
      <c r="BX478" s="761">
        <f t="shared" si="330"/>
        <v>0</v>
      </c>
      <c r="BY478" s="477" t="s">
        <v>46</v>
      </c>
      <c r="BZ478" s="598">
        <f>IFERROR(INDEX('Early Retirement'!$BG$4:$CG$33,$BO478,$BR478),0)</f>
        <v>0</v>
      </c>
      <c r="CA478" s="759">
        <f>IFERROR(HLOOKUP($BR478,'Early Retirement'!$BH$4:$CH$5,2,FALSE),0)</f>
        <v>0</v>
      </c>
      <c r="CB478" s="598">
        <f t="shared" si="331"/>
        <v>0</v>
      </c>
      <c r="CC478" s="759" t="s">
        <v>567</v>
      </c>
      <c r="CD478" s="477" t="str">
        <f t="shared" ref="CD478:CD503" si="363">IF(AND($AZ478="No",$BM478="No"),"Yes","No")</f>
        <v>Yes</v>
      </c>
      <c r="CE478" s="479">
        <f t="shared" si="332"/>
        <v>0</v>
      </c>
      <c r="CF478" s="761">
        <f t="shared" si="333"/>
        <v>0</v>
      </c>
      <c r="CG478" s="759" t="s">
        <v>46</v>
      </c>
      <c r="CH478" s="598">
        <f t="shared" si="338"/>
        <v>0</v>
      </c>
      <c r="CI478" s="759" t="s">
        <v>567</v>
      </c>
      <c r="CJ478" s="480">
        <f t="shared" ref="CJ478:CJ503" si="364">MAX($BG478,$BW478,$CE478)</f>
        <v>0</v>
      </c>
      <c r="CK478" s="583">
        <f t="shared" si="334"/>
        <v>0</v>
      </c>
      <c r="CL478" s="596" t="s">
        <v>46</v>
      </c>
      <c r="CM478" s="581">
        <f t="shared" si="335"/>
        <v>0</v>
      </c>
      <c r="CN478" s="762" t="s">
        <v>567</v>
      </c>
      <c r="CR478" s="446"/>
      <c r="CS478" s="446"/>
      <c r="CT478" s="446"/>
      <c r="CU478" s="446"/>
      <c r="CV478" s="446"/>
      <c r="CW478" s="752"/>
      <c r="CX478" s="752"/>
      <c r="CY478" s="752"/>
      <c r="CZ478" s="752"/>
      <c r="DA478" s="752"/>
      <c r="DB478" s="446"/>
      <c r="DC478" s="446"/>
      <c r="DD478" s="446"/>
      <c r="DE478" s="446"/>
      <c r="DF478" s="446"/>
      <c r="DG478" s="446"/>
      <c r="DH478" s="446"/>
      <c r="DI478" s="446"/>
      <c r="DJ478" s="446"/>
      <c r="DK478" s="446"/>
      <c r="DL478" s="446"/>
      <c r="DM478" s="446"/>
      <c r="DN478" s="446"/>
      <c r="DO478" s="446"/>
      <c r="DP478" s="446"/>
      <c r="DQ478" s="446"/>
      <c r="DR478" s="446"/>
      <c r="DS478" s="446"/>
      <c r="DT478" s="446"/>
      <c r="DU478" s="446"/>
      <c r="DV478" s="446"/>
      <c r="DW478" s="446"/>
    </row>
    <row r="479" spans="2:127" s="78" customFormat="1" ht="15" customHeight="1" x14ac:dyDescent="0.25">
      <c r="B479" s="77"/>
      <c r="E479" s="77"/>
      <c r="H479" s="77"/>
      <c r="Y479" s="90">
        <v>226</v>
      </c>
      <c r="Z479" s="559" t="str">
        <f>IF(Inventory!$C235="","",VLOOKUP(Inventory!$C235,$B$7:$C$9,2,FALSE))</f>
        <v/>
      </c>
      <c r="AA479" s="559" t="str">
        <f>IF($Z479="","",IF(AND($Z479="b",Inventory!$G235=""),"",IF(AND($Z479="b",Inventory!$G235&lt;&gt;""),VLOOKUP(Inventory!$G235,$E$3:$F$10,2,FALSE),IF(AND($Z479="a",Inventory!$Z235=""),"",IF(AND($Z479="a",Inventory!$Z235&lt;&gt;""),VLOOKUP(Inventory!$Z235,$E$3:$F$10,2,FALSE),IF(AND($Z479="c",Inventory!$Z235=""),"",IF(AND($Z479="c",Inventory!$Z235&lt;&gt;""),VLOOKUP(Inventory!$Z235,$E$3:$F$10,2,FALSE),"")))))))</f>
        <v/>
      </c>
      <c r="AB479" s="559" t="str">
        <f>IF($Z479="","a",IF(AND($Z479="b",Inventory!$J235=""),"a",IF(AND($Z479="b",Inventory!$J235&lt;&gt;""),VLOOKUP(Inventory!$J235,$H$4:$I$6,2,FALSE),IF(AND($Z479="a",Inventory!$AA235=""),"a",IF(AND($Z479="a",Inventory!$AA235&lt;&gt;""),VLOOKUP(Inventory!$AA235,$H$4:$I$6,2,FALSE),IF(AND($Z479="c",Inventory!$AA235=""),"a",IF(AND($Z479="c",Inventory!$AA235&lt;&gt;""),VLOOKUP(Inventory!$AA235,$H$4:$I$6,2,FALSE),"a")))))))</f>
        <v>a</v>
      </c>
      <c r="AC479" s="559" t="str">
        <f t="shared" si="340"/>
        <v>a</v>
      </c>
      <c r="AD479" s="473" t="str">
        <f>IF($Z479="","a",IF(AND($Z479="b",Inventory!$L235=""),"a",IF(AND($Z479="b",Inventory!$L235&lt;&gt;""),VLOOKUP(Inventory!$L235,$N$4:$O$5,2,FALSE),IF(AND($Z479="a",Inventory!$AC235=""),"a",IF(AND($Z479="a",Inventory!$AC235&lt;&gt;""),VLOOKUP(Inventory!$AC235,$N$4:$O$5,2,FALSE),IF(AND($Z479="c",Inventory!$AC235=""),"a",IF(AND($Z479="c",Inventory!$AC235&lt;&gt;""),VLOOKUP(Inventory!$AC235,$N$4:$O$5,2,FALSE),"a")))))))</f>
        <v>a</v>
      </c>
      <c r="AE479" s="474">
        <f>IF(OR(Inventory!C235="New Construction",Inventory!C235="Replace-on-Burnout"),Inventory!AF235,IF(Inventory!C235="Early Retirement",MIN(Inventory!AE235,Inventory!AF235),0))</f>
        <v>0</v>
      </c>
      <c r="AF479" s="475" t="str">
        <f t="shared" si="341"/>
        <v/>
      </c>
      <c r="AG479" s="475" t="str">
        <f t="shared" si="342"/>
        <v/>
      </c>
      <c r="AH479" s="475" t="str">
        <f t="shared" si="343"/>
        <v/>
      </c>
      <c r="AI479" s="475" t="str">
        <f t="shared" si="344"/>
        <v/>
      </c>
      <c r="AJ479" s="475" t="str">
        <f t="shared" si="345"/>
        <v/>
      </c>
      <c r="AK479" s="475" t="str">
        <f t="shared" si="346"/>
        <v/>
      </c>
      <c r="AL479" s="475" t="str">
        <f t="shared" si="347"/>
        <v/>
      </c>
      <c r="AM479" s="475" t="str">
        <f t="shared" si="348"/>
        <v/>
      </c>
      <c r="AN479" s="475" t="str">
        <f t="shared" si="349"/>
        <v/>
      </c>
      <c r="AO479" s="475" t="str">
        <f t="shared" si="350"/>
        <v/>
      </c>
      <c r="AP479" s="475" t="str">
        <f t="shared" si="351"/>
        <v/>
      </c>
      <c r="AQ479" s="475" t="str">
        <f t="shared" si="352"/>
        <v/>
      </c>
      <c r="AR479" s="475" t="str">
        <f t="shared" si="353"/>
        <v/>
      </c>
      <c r="AS479" s="475" t="str">
        <f t="shared" si="336"/>
        <v/>
      </c>
      <c r="AT479" s="475" t="str">
        <f t="shared" si="354"/>
        <v/>
      </c>
      <c r="AU479" s="475" t="str">
        <f t="shared" si="355"/>
        <v/>
      </c>
      <c r="AV479" s="475" t="str">
        <f t="shared" si="356"/>
        <v/>
      </c>
      <c r="AW479" s="473">
        <f t="shared" si="357"/>
        <v>0</v>
      </c>
      <c r="AX479" s="473" t="str">
        <f>IF(AND($Z479="b",OR($AA479="a",$AA479="b"),Inventory!$I235="",$AE479&lt;(65000/12000)),"x",IF(AND($Z479="b",OR($AA479="a",$AA479="b"),Inventory!$I235&lt;&gt;"",$AE479&lt;(65000/12000)),VLOOKUP(Inventory!$I486,$V$4:$W$5,2,FALSE),"x"))</f>
        <v>x</v>
      </c>
      <c r="AY479" s="476" t="str">
        <f t="shared" si="358"/>
        <v>aaa0</v>
      </c>
      <c r="AZ479" s="477" t="str">
        <f t="shared" si="327"/>
        <v>No</v>
      </c>
      <c r="BA479" s="759" t="str">
        <f t="shared" si="328"/>
        <v>No</v>
      </c>
      <c r="BB479" s="477">
        <f>IF($Z479="c",Inventory!$AB235,Inventory!$K235)</f>
        <v>0</v>
      </c>
      <c r="BC479" s="478">
        <f>IF(AND($Z479="b",Inventory!$N235="Btu/hr"),Inventory!$M235,IF(AND($Z479="b",Inventory!$N235="Tons"),Inventory!$M235*12000,IF(AND($Z479&lt;&gt;"b",Inventory!$AK235="Btu/hr"),Inventory!$AD235,IF(AND($Z479&lt;&gt;"b",Inventory!$AK235="Tons"),Inventory!$AD235*12000,0))))</f>
        <v>0</v>
      </c>
      <c r="BD479" s="478">
        <f t="shared" si="325"/>
        <v>0</v>
      </c>
      <c r="BE479" s="479">
        <f t="shared" si="337"/>
        <v>0</v>
      </c>
      <c r="BF479" s="477" t="s">
        <v>50</v>
      </c>
      <c r="BG479" s="479">
        <f t="shared" si="359"/>
        <v>0</v>
      </c>
      <c r="BH479" s="477" t="s">
        <v>46</v>
      </c>
      <c r="BI479" s="760">
        <f>IF(AND($Z479="b",Inventory!$P235="Btu/hr"),Inventory!$O235,IF(AND($Z479="b",Inventory!$P235="Tons"),Inventory!$O235*12000,IF(AND($Z479&lt;&gt;"b",Inventory!$AM235="Btu/hr"),Inventory!$AL235,IF(AND($Z479&lt;&gt;"b",Inventory!$AM235="Tons"),Inventory!$AL235*12000,0))))</f>
        <v>0</v>
      </c>
      <c r="BJ479" s="760">
        <f t="shared" si="326"/>
        <v>0</v>
      </c>
      <c r="BK479" s="598">
        <f t="shared" si="329"/>
        <v>0</v>
      </c>
      <c r="BL479" s="759" t="s">
        <v>567</v>
      </c>
      <c r="BM479" s="477" t="str">
        <f t="shared" si="360"/>
        <v>No</v>
      </c>
      <c r="BN479" s="477" t="str">
        <f>IF(OR(Inventory!$H235="",$BM479="No"),"-",Inventory!$H235)</f>
        <v>-</v>
      </c>
      <c r="BO479" s="477" t="str">
        <f>IFERROR(VLOOKUP(BN479,'Early Retirement'!$B$6:$C$33,2,FALSE),"-")</f>
        <v>-</v>
      </c>
      <c r="BP479" s="477" t="str">
        <f>IF(Inventory!$J235="Centrifugal","Yes","No")</f>
        <v>No</v>
      </c>
      <c r="BQ479" s="477">
        <f t="shared" si="361"/>
        <v>0</v>
      </c>
      <c r="BR479" s="477" t="str">
        <f t="shared" si="339"/>
        <v>-</v>
      </c>
      <c r="BS479" s="479">
        <f>IFERROR(INDEX('Early Retirement'!$C$4:$AC$33,$BO479,$BR479),0)</f>
        <v>0</v>
      </c>
      <c r="BT479" s="477">
        <f>IFERROR(HLOOKUP($BR479,'Early Retirement'!$D$4:$AC$5,2,FALSE),0)</f>
        <v>0</v>
      </c>
      <c r="BU479" s="761">
        <f>IFERROR(INDEX('Early Retirement'!$AE$4:$BE$33,$BO479,$BR479),0)</f>
        <v>0</v>
      </c>
      <c r="BV479" s="759">
        <f>IFERROR(HLOOKUP($BR479,'Early Retirement'!$AF$4:$BE$5,2,FALSE),0)</f>
        <v>0</v>
      </c>
      <c r="BW479" s="479">
        <f t="shared" si="362"/>
        <v>0</v>
      </c>
      <c r="BX479" s="761">
        <f t="shared" si="330"/>
        <v>0</v>
      </c>
      <c r="BY479" s="477" t="s">
        <v>46</v>
      </c>
      <c r="BZ479" s="598">
        <f>IFERROR(INDEX('Early Retirement'!$BG$4:$CG$33,$BO479,$BR479),0)</f>
        <v>0</v>
      </c>
      <c r="CA479" s="759">
        <f>IFERROR(HLOOKUP($BR479,'Early Retirement'!$BH$4:$CH$5,2,FALSE),0)</f>
        <v>0</v>
      </c>
      <c r="CB479" s="598">
        <f t="shared" si="331"/>
        <v>0</v>
      </c>
      <c r="CC479" s="759" t="s">
        <v>567</v>
      </c>
      <c r="CD479" s="477" t="str">
        <f t="shared" si="363"/>
        <v>Yes</v>
      </c>
      <c r="CE479" s="479">
        <f t="shared" si="332"/>
        <v>0</v>
      </c>
      <c r="CF479" s="761">
        <f t="shared" si="333"/>
        <v>0</v>
      </c>
      <c r="CG479" s="759" t="s">
        <v>46</v>
      </c>
      <c r="CH479" s="598">
        <f t="shared" si="338"/>
        <v>0</v>
      </c>
      <c r="CI479" s="759" t="s">
        <v>567</v>
      </c>
      <c r="CJ479" s="480">
        <f t="shared" si="364"/>
        <v>0</v>
      </c>
      <c r="CK479" s="583">
        <f t="shared" si="334"/>
        <v>0</v>
      </c>
      <c r="CL479" s="596" t="s">
        <v>46</v>
      </c>
      <c r="CM479" s="581">
        <f t="shared" si="335"/>
        <v>0</v>
      </c>
      <c r="CN479" s="762" t="s">
        <v>567</v>
      </c>
      <c r="CR479" s="446"/>
      <c r="CS479" s="446"/>
      <c r="CT479" s="446"/>
      <c r="CU479" s="446"/>
      <c r="CV479" s="446"/>
      <c r="CW479" s="752"/>
      <c r="CX479" s="752"/>
      <c r="CY479" s="752"/>
      <c r="CZ479" s="752"/>
      <c r="DA479" s="752"/>
      <c r="DB479" s="446"/>
      <c r="DC479" s="446"/>
      <c r="DD479" s="446"/>
      <c r="DE479" s="446"/>
      <c r="DF479" s="446"/>
      <c r="DG479" s="446"/>
      <c r="DH479" s="446"/>
      <c r="DI479" s="446"/>
      <c r="DJ479" s="446"/>
      <c r="DK479" s="446"/>
      <c r="DL479" s="446"/>
      <c r="DM479" s="446"/>
      <c r="DN479" s="446"/>
      <c r="DO479" s="446"/>
      <c r="DP479" s="446"/>
      <c r="DQ479" s="446"/>
      <c r="DR479" s="446"/>
      <c r="DS479" s="446"/>
      <c r="DT479" s="446"/>
      <c r="DU479" s="446"/>
      <c r="DV479" s="446"/>
      <c r="DW479" s="446"/>
    </row>
    <row r="480" spans="2:127" s="78" customFormat="1" ht="15" customHeight="1" x14ac:dyDescent="0.25">
      <c r="B480" s="77"/>
      <c r="E480" s="77"/>
      <c r="H480" s="77"/>
      <c r="Y480" s="90">
        <v>227</v>
      </c>
      <c r="Z480" s="559" t="str">
        <f>IF(Inventory!$C236="","",VLOOKUP(Inventory!$C236,$B$7:$C$9,2,FALSE))</f>
        <v/>
      </c>
      <c r="AA480" s="559" t="str">
        <f>IF($Z480="","",IF(AND($Z480="b",Inventory!$G236=""),"",IF(AND($Z480="b",Inventory!$G236&lt;&gt;""),VLOOKUP(Inventory!$G236,$E$3:$F$10,2,FALSE),IF(AND($Z480="a",Inventory!$Z236=""),"",IF(AND($Z480="a",Inventory!$Z236&lt;&gt;""),VLOOKUP(Inventory!$Z236,$E$3:$F$10,2,FALSE),IF(AND($Z480="c",Inventory!$Z236=""),"",IF(AND($Z480="c",Inventory!$Z236&lt;&gt;""),VLOOKUP(Inventory!$Z236,$E$3:$F$10,2,FALSE),"")))))))</f>
        <v/>
      </c>
      <c r="AB480" s="559" t="str">
        <f>IF($Z480="","a",IF(AND($Z480="b",Inventory!$J236=""),"a",IF(AND($Z480="b",Inventory!$J236&lt;&gt;""),VLOOKUP(Inventory!$J236,$H$4:$I$6,2,FALSE),IF(AND($Z480="a",Inventory!$AA236=""),"a",IF(AND($Z480="a",Inventory!$AA236&lt;&gt;""),VLOOKUP(Inventory!$AA236,$H$4:$I$6,2,FALSE),IF(AND($Z480="c",Inventory!$AA236=""),"a",IF(AND($Z480="c",Inventory!$AA236&lt;&gt;""),VLOOKUP(Inventory!$AA236,$H$4:$I$6,2,FALSE),"a")))))))</f>
        <v>a</v>
      </c>
      <c r="AC480" s="559" t="str">
        <f t="shared" si="340"/>
        <v>a</v>
      </c>
      <c r="AD480" s="473" t="str">
        <f>IF($Z480="","a",IF(AND($Z480="b",Inventory!$L236=""),"a",IF(AND($Z480="b",Inventory!$L236&lt;&gt;""),VLOOKUP(Inventory!$L236,$N$4:$O$5,2,FALSE),IF(AND($Z480="a",Inventory!$AC236=""),"a",IF(AND($Z480="a",Inventory!$AC236&lt;&gt;""),VLOOKUP(Inventory!$AC236,$N$4:$O$5,2,FALSE),IF(AND($Z480="c",Inventory!$AC236=""),"a",IF(AND($Z480="c",Inventory!$AC236&lt;&gt;""),VLOOKUP(Inventory!$AC236,$N$4:$O$5,2,FALSE),"a")))))))</f>
        <v>a</v>
      </c>
      <c r="AE480" s="474">
        <f>IF(OR(Inventory!C236="New Construction",Inventory!C236="Replace-on-Burnout"),Inventory!AF236,IF(Inventory!C236="Early Retirement",MIN(Inventory!AE236,Inventory!AF236),0))</f>
        <v>0</v>
      </c>
      <c r="AF480" s="475" t="str">
        <f t="shared" si="341"/>
        <v/>
      </c>
      <c r="AG480" s="475" t="str">
        <f t="shared" si="342"/>
        <v/>
      </c>
      <c r="AH480" s="475" t="str">
        <f t="shared" si="343"/>
        <v/>
      </c>
      <c r="AI480" s="475" t="str">
        <f t="shared" si="344"/>
        <v/>
      </c>
      <c r="AJ480" s="475" t="str">
        <f t="shared" si="345"/>
        <v/>
      </c>
      <c r="AK480" s="475" t="str">
        <f t="shared" si="346"/>
        <v/>
      </c>
      <c r="AL480" s="475" t="str">
        <f t="shared" si="347"/>
        <v/>
      </c>
      <c r="AM480" s="475" t="str">
        <f t="shared" si="348"/>
        <v/>
      </c>
      <c r="AN480" s="475" t="str">
        <f t="shared" si="349"/>
        <v/>
      </c>
      <c r="AO480" s="475" t="str">
        <f t="shared" si="350"/>
        <v/>
      </c>
      <c r="AP480" s="475" t="str">
        <f t="shared" si="351"/>
        <v/>
      </c>
      <c r="AQ480" s="475" t="str">
        <f t="shared" si="352"/>
        <v/>
      </c>
      <c r="AR480" s="475" t="str">
        <f t="shared" si="353"/>
        <v/>
      </c>
      <c r="AS480" s="475" t="str">
        <f t="shared" si="336"/>
        <v/>
      </c>
      <c r="AT480" s="475" t="str">
        <f t="shared" si="354"/>
        <v/>
      </c>
      <c r="AU480" s="475" t="str">
        <f t="shared" si="355"/>
        <v/>
      </c>
      <c r="AV480" s="475" t="str">
        <f t="shared" si="356"/>
        <v/>
      </c>
      <c r="AW480" s="473">
        <f t="shared" si="357"/>
        <v>0</v>
      </c>
      <c r="AX480" s="473" t="str">
        <f>IF(AND($Z480="b",OR($AA480="a",$AA480="b"),Inventory!$I236="",$AE480&lt;(65000/12000)),"x",IF(AND($Z480="b",OR($AA480="a",$AA480="b"),Inventory!$I236&lt;&gt;"",$AE480&lt;(65000/12000)),VLOOKUP(Inventory!$I487,$V$4:$W$5,2,FALSE),"x"))</f>
        <v>x</v>
      </c>
      <c r="AY480" s="476" t="str">
        <f t="shared" si="358"/>
        <v>aaa0</v>
      </c>
      <c r="AZ480" s="477" t="str">
        <f t="shared" si="327"/>
        <v>No</v>
      </c>
      <c r="BA480" s="759" t="str">
        <f t="shared" si="328"/>
        <v>No</v>
      </c>
      <c r="BB480" s="477">
        <f>IF($Z480="c",Inventory!$AB236,Inventory!$K236)</f>
        <v>0</v>
      </c>
      <c r="BC480" s="478">
        <f>IF(AND($Z480="b",Inventory!$N236="Btu/hr"),Inventory!$M236,IF(AND($Z480="b",Inventory!$N236="Tons"),Inventory!$M236*12000,IF(AND($Z480&lt;&gt;"b",Inventory!$AK236="Btu/hr"),Inventory!$AD236,IF(AND($Z480&lt;&gt;"b",Inventory!$AK236="Tons"),Inventory!$AD236*12000,0))))</f>
        <v>0</v>
      </c>
      <c r="BD480" s="478">
        <f t="shared" si="325"/>
        <v>0</v>
      </c>
      <c r="BE480" s="479">
        <f t="shared" si="337"/>
        <v>0</v>
      </c>
      <c r="BF480" s="477" t="s">
        <v>50</v>
      </c>
      <c r="BG480" s="479">
        <f t="shared" si="359"/>
        <v>0</v>
      </c>
      <c r="BH480" s="477" t="s">
        <v>46</v>
      </c>
      <c r="BI480" s="760">
        <f>IF(AND($Z480="b",Inventory!$P236="Btu/hr"),Inventory!$O236,IF(AND($Z480="b",Inventory!$P236="Tons"),Inventory!$O236*12000,IF(AND($Z480&lt;&gt;"b",Inventory!$AM236="Btu/hr"),Inventory!$AL236,IF(AND($Z480&lt;&gt;"b",Inventory!$AM236="Tons"),Inventory!$AL236*12000,0))))</f>
        <v>0</v>
      </c>
      <c r="BJ480" s="760">
        <f t="shared" si="326"/>
        <v>0</v>
      </c>
      <c r="BK480" s="598">
        <f t="shared" si="329"/>
        <v>0</v>
      </c>
      <c r="BL480" s="759" t="s">
        <v>567</v>
      </c>
      <c r="BM480" s="477" t="str">
        <f t="shared" si="360"/>
        <v>No</v>
      </c>
      <c r="BN480" s="477" t="str">
        <f>IF(OR(Inventory!$H236="",$BM480="No"),"-",Inventory!$H236)</f>
        <v>-</v>
      </c>
      <c r="BO480" s="477" t="str">
        <f>IFERROR(VLOOKUP(BN480,'Early Retirement'!$B$6:$C$33,2,FALSE),"-")</f>
        <v>-</v>
      </c>
      <c r="BP480" s="477" t="str">
        <f>IF(Inventory!$J236="Centrifugal","Yes","No")</f>
        <v>No</v>
      </c>
      <c r="BQ480" s="477">
        <f t="shared" si="361"/>
        <v>0</v>
      </c>
      <c r="BR480" s="477" t="str">
        <f t="shared" si="339"/>
        <v>-</v>
      </c>
      <c r="BS480" s="479">
        <f>IFERROR(INDEX('Early Retirement'!$C$4:$AC$33,$BO480,$BR480),0)</f>
        <v>0</v>
      </c>
      <c r="BT480" s="477">
        <f>IFERROR(HLOOKUP($BR480,'Early Retirement'!$D$4:$AC$5,2,FALSE),0)</f>
        <v>0</v>
      </c>
      <c r="BU480" s="761">
        <f>IFERROR(INDEX('Early Retirement'!$AE$4:$BE$33,$BO480,$BR480),0)</f>
        <v>0</v>
      </c>
      <c r="BV480" s="759">
        <f>IFERROR(HLOOKUP($BR480,'Early Retirement'!$AF$4:$BE$5,2,FALSE),0)</f>
        <v>0</v>
      </c>
      <c r="BW480" s="479">
        <f t="shared" si="362"/>
        <v>0</v>
      </c>
      <c r="BX480" s="761">
        <f t="shared" si="330"/>
        <v>0</v>
      </c>
      <c r="BY480" s="477" t="s">
        <v>46</v>
      </c>
      <c r="BZ480" s="598">
        <f>IFERROR(INDEX('Early Retirement'!$BG$4:$CG$33,$BO480,$BR480),0)</f>
        <v>0</v>
      </c>
      <c r="CA480" s="759">
        <f>IFERROR(HLOOKUP($BR480,'Early Retirement'!$BH$4:$CH$5,2,FALSE),0)</f>
        <v>0</v>
      </c>
      <c r="CB480" s="598">
        <f t="shared" si="331"/>
        <v>0</v>
      </c>
      <c r="CC480" s="759" t="s">
        <v>567</v>
      </c>
      <c r="CD480" s="477" t="str">
        <f t="shared" si="363"/>
        <v>Yes</v>
      </c>
      <c r="CE480" s="479">
        <f t="shared" si="332"/>
        <v>0</v>
      </c>
      <c r="CF480" s="761">
        <f t="shared" si="333"/>
        <v>0</v>
      </c>
      <c r="CG480" s="759" t="s">
        <v>46</v>
      </c>
      <c r="CH480" s="598">
        <f t="shared" si="338"/>
        <v>0</v>
      </c>
      <c r="CI480" s="759" t="s">
        <v>567</v>
      </c>
      <c r="CJ480" s="480">
        <f t="shared" si="364"/>
        <v>0</v>
      </c>
      <c r="CK480" s="583">
        <f t="shared" si="334"/>
        <v>0</v>
      </c>
      <c r="CL480" s="596" t="s">
        <v>46</v>
      </c>
      <c r="CM480" s="581">
        <f t="shared" si="335"/>
        <v>0</v>
      </c>
      <c r="CN480" s="762" t="s">
        <v>567</v>
      </c>
      <c r="CR480" s="446"/>
      <c r="CS480" s="446"/>
      <c r="CT480" s="446"/>
      <c r="CU480" s="446"/>
      <c r="CV480" s="446"/>
      <c r="CW480" s="752"/>
      <c r="CX480" s="752"/>
      <c r="CY480" s="752"/>
      <c r="CZ480" s="752"/>
      <c r="DA480" s="752"/>
      <c r="DB480" s="446"/>
      <c r="DC480" s="446"/>
      <c r="DD480" s="446"/>
      <c r="DE480" s="446"/>
      <c r="DF480" s="446"/>
      <c r="DG480" s="446"/>
      <c r="DH480" s="446"/>
      <c r="DI480" s="446"/>
      <c r="DJ480" s="446"/>
      <c r="DK480" s="446"/>
      <c r="DL480" s="446"/>
      <c r="DM480" s="446"/>
      <c r="DN480" s="446"/>
      <c r="DO480" s="446"/>
      <c r="DP480" s="446"/>
      <c r="DQ480" s="446"/>
      <c r="DR480" s="446"/>
      <c r="DS480" s="446"/>
      <c r="DT480" s="446"/>
      <c r="DU480" s="446"/>
      <c r="DV480" s="446"/>
      <c r="DW480" s="446"/>
    </row>
    <row r="481" spans="2:127" s="78" customFormat="1" ht="15" customHeight="1" x14ac:dyDescent="0.25">
      <c r="B481" s="77"/>
      <c r="E481" s="77"/>
      <c r="H481" s="77"/>
      <c r="Y481" s="90">
        <v>228</v>
      </c>
      <c r="Z481" s="559" t="str">
        <f>IF(Inventory!$C237="","",VLOOKUP(Inventory!$C237,$B$7:$C$9,2,FALSE))</f>
        <v/>
      </c>
      <c r="AA481" s="559" t="str">
        <f>IF($Z481="","",IF(AND($Z481="b",Inventory!$G237=""),"",IF(AND($Z481="b",Inventory!$G237&lt;&gt;""),VLOOKUP(Inventory!$G237,$E$3:$F$10,2,FALSE),IF(AND($Z481="a",Inventory!$Z237=""),"",IF(AND($Z481="a",Inventory!$Z237&lt;&gt;""),VLOOKUP(Inventory!$Z237,$E$3:$F$10,2,FALSE),IF(AND($Z481="c",Inventory!$Z237=""),"",IF(AND($Z481="c",Inventory!$Z237&lt;&gt;""),VLOOKUP(Inventory!$Z237,$E$3:$F$10,2,FALSE),"")))))))</f>
        <v/>
      </c>
      <c r="AB481" s="559" t="str">
        <f>IF($Z481="","a",IF(AND($Z481="b",Inventory!$J237=""),"a",IF(AND($Z481="b",Inventory!$J237&lt;&gt;""),VLOOKUP(Inventory!$J237,$H$4:$I$6,2,FALSE),IF(AND($Z481="a",Inventory!$AA237=""),"a",IF(AND($Z481="a",Inventory!$AA237&lt;&gt;""),VLOOKUP(Inventory!$AA237,$H$4:$I$6,2,FALSE),IF(AND($Z481="c",Inventory!$AA237=""),"a",IF(AND($Z481="c",Inventory!$AA237&lt;&gt;""),VLOOKUP(Inventory!$AA237,$H$4:$I$6,2,FALSE),"a")))))))</f>
        <v>a</v>
      </c>
      <c r="AC481" s="559" t="str">
        <f t="shared" si="340"/>
        <v>a</v>
      </c>
      <c r="AD481" s="473" t="str">
        <f>IF($Z481="","a",IF(AND($Z481="b",Inventory!$L237=""),"a",IF(AND($Z481="b",Inventory!$L237&lt;&gt;""),VLOOKUP(Inventory!$L237,$N$4:$O$5,2,FALSE),IF(AND($Z481="a",Inventory!$AC237=""),"a",IF(AND($Z481="a",Inventory!$AC237&lt;&gt;""),VLOOKUP(Inventory!$AC237,$N$4:$O$5,2,FALSE),IF(AND($Z481="c",Inventory!$AC237=""),"a",IF(AND($Z481="c",Inventory!$AC237&lt;&gt;""),VLOOKUP(Inventory!$AC237,$N$4:$O$5,2,FALSE),"a")))))))</f>
        <v>a</v>
      </c>
      <c r="AE481" s="474">
        <f>IF(OR(Inventory!C237="New Construction",Inventory!C237="Replace-on-Burnout"),Inventory!AF237,IF(Inventory!C237="Early Retirement",MIN(Inventory!AE237,Inventory!AF237),0))</f>
        <v>0</v>
      </c>
      <c r="AF481" s="475" t="str">
        <f t="shared" si="341"/>
        <v/>
      </c>
      <c r="AG481" s="475" t="str">
        <f t="shared" si="342"/>
        <v/>
      </c>
      <c r="AH481" s="475" t="str">
        <f t="shared" si="343"/>
        <v/>
      </c>
      <c r="AI481" s="475" t="str">
        <f t="shared" si="344"/>
        <v/>
      </c>
      <c r="AJ481" s="475" t="str">
        <f t="shared" si="345"/>
        <v/>
      </c>
      <c r="AK481" s="475" t="str">
        <f t="shared" si="346"/>
        <v/>
      </c>
      <c r="AL481" s="475" t="str">
        <f t="shared" si="347"/>
        <v/>
      </c>
      <c r="AM481" s="475" t="str">
        <f t="shared" si="348"/>
        <v/>
      </c>
      <c r="AN481" s="475" t="str">
        <f t="shared" si="349"/>
        <v/>
      </c>
      <c r="AO481" s="475" t="str">
        <f t="shared" si="350"/>
        <v/>
      </c>
      <c r="AP481" s="475" t="str">
        <f t="shared" si="351"/>
        <v/>
      </c>
      <c r="AQ481" s="475" t="str">
        <f t="shared" si="352"/>
        <v/>
      </c>
      <c r="AR481" s="475" t="str">
        <f t="shared" si="353"/>
        <v/>
      </c>
      <c r="AS481" s="475" t="str">
        <f t="shared" si="336"/>
        <v/>
      </c>
      <c r="AT481" s="475" t="str">
        <f t="shared" si="354"/>
        <v/>
      </c>
      <c r="AU481" s="475" t="str">
        <f t="shared" si="355"/>
        <v/>
      </c>
      <c r="AV481" s="475" t="str">
        <f t="shared" si="356"/>
        <v/>
      </c>
      <c r="AW481" s="473">
        <f t="shared" si="357"/>
        <v>0</v>
      </c>
      <c r="AX481" s="473" t="str">
        <f>IF(AND($Z481="b",OR($AA481="a",$AA481="b"),Inventory!$I237="",$AE481&lt;(65000/12000)),"x",IF(AND($Z481="b",OR($AA481="a",$AA481="b"),Inventory!$I237&lt;&gt;"",$AE481&lt;(65000/12000)),VLOOKUP(Inventory!$I488,$V$4:$W$5,2,FALSE),"x"))</f>
        <v>x</v>
      </c>
      <c r="AY481" s="476" t="str">
        <f t="shared" si="358"/>
        <v>aaa0</v>
      </c>
      <c r="AZ481" s="477" t="str">
        <f t="shared" si="327"/>
        <v>No</v>
      </c>
      <c r="BA481" s="759" t="str">
        <f t="shared" si="328"/>
        <v>No</v>
      </c>
      <c r="BB481" s="477">
        <f>IF($Z481="c",Inventory!$AB237,Inventory!$K237)</f>
        <v>0</v>
      </c>
      <c r="BC481" s="478">
        <f>IF(AND($Z481="b",Inventory!$N237="Btu/hr"),Inventory!$M237,IF(AND($Z481="b",Inventory!$N237="Tons"),Inventory!$M237*12000,IF(AND($Z481&lt;&gt;"b",Inventory!$AK237="Btu/hr"),Inventory!$AD237,IF(AND($Z481&lt;&gt;"b",Inventory!$AK237="Tons"),Inventory!$AD237*12000,0))))</f>
        <v>0</v>
      </c>
      <c r="BD481" s="478">
        <f t="shared" si="325"/>
        <v>0</v>
      </c>
      <c r="BE481" s="479">
        <f t="shared" si="337"/>
        <v>0</v>
      </c>
      <c r="BF481" s="477" t="s">
        <v>50</v>
      </c>
      <c r="BG481" s="479">
        <f t="shared" si="359"/>
        <v>0</v>
      </c>
      <c r="BH481" s="477" t="s">
        <v>46</v>
      </c>
      <c r="BI481" s="760">
        <f>IF(AND($Z481="b",Inventory!$P237="Btu/hr"),Inventory!$O237,IF(AND($Z481="b",Inventory!$P237="Tons"),Inventory!$O237*12000,IF(AND($Z481&lt;&gt;"b",Inventory!$AM237="Btu/hr"),Inventory!$AL237,IF(AND($Z481&lt;&gt;"b",Inventory!$AM237="Tons"),Inventory!$AL237*12000,0))))</f>
        <v>0</v>
      </c>
      <c r="BJ481" s="760">
        <f t="shared" si="326"/>
        <v>0</v>
      </c>
      <c r="BK481" s="598">
        <f t="shared" si="329"/>
        <v>0</v>
      </c>
      <c r="BL481" s="759" t="s">
        <v>567</v>
      </c>
      <c r="BM481" s="477" t="str">
        <f t="shared" si="360"/>
        <v>No</v>
      </c>
      <c r="BN481" s="477" t="str">
        <f>IF(OR(Inventory!$H237="",$BM481="No"),"-",Inventory!$H237)</f>
        <v>-</v>
      </c>
      <c r="BO481" s="477" t="str">
        <f>IFERROR(VLOOKUP(BN481,'Early Retirement'!$B$6:$C$33,2,FALSE),"-")</f>
        <v>-</v>
      </c>
      <c r="BP481" s="477" t="str">
        <f>IF(Inventory!$J237="Centrifugal","Yes","No")</f>
        <v>No</v>
      </c>
      <c r="BQ481" s="477">
        <f t="shared" si="361"/>
        <v>0</v>
      </c>
      <c r="BR481" s="477" t="str">
        <f t="shared" si="339"/>
        <v>-</v>
      </c>
      <c r="BS481" s="479">
        <f>IFERROR(INDEX('Early Retirement'!$C$4:$AC$33,$BO481,$BR481),0)</f>
        <v>0</v>
      </c>
      <c r="BT481" s="477">
        <f>IFERROR(HLOOKUP($BR481,'Early Retirement'!$D$4:$AC$5,2,FALSE),0)</f>
        <v>0</v>
      </c>
      <c r="BU481" s="761">
        <f>IFERROR(INDEX('Early Retirement'!$AE$4:$BE$33,$BO481,$BR481),0)</f>
        <v>0</v>
      </c>
      <c r="BV481" s="759">
        <f>IFERROR(HLOOKUP($BR481,'Early Retirement'!$AF$4:$BE$5,2,FALSE),0)</f>
        <v>0</v>
      </c>
      <c r="BW481" s="479">
        <f t="shared" si="362"/>
        <v>0</v>
      </c>
      <c r="BX481" s="761">
        <f t="shared" si="330"/>
        <v>0</v>
      </c>
      <c r="BY481" s="477" t="s">
        <v>46</v>
      </c>
      <c r="BZ481" s="598">
        <f>IFERROR(INDEX('Early Retirement'!$BG$4:$CG$33,$BO481,$BR481),0)</f>
        <v>0</v>
      </c>
      <c r="CA481" s="759">
        <f>IFERROR(HLOOKUP($BR481,'Early Retirement'!$BH$4:$CH$5,2,FALSE),0)</f>
        <v>0</v>
      </c>
      <c r="CB481" s="598">
        <f t="shared" si="331"/>
        <v>0</v>
      </c>
      <c r="CC481" s="759" t="s">
        <v>567</v>
      </c>
      <c r="CD481" s="477" t="str">
        <f t="shared" si="363"/>
        <v>Yes</v>
      </c>
      <c r="CE481" s="479">
        <f t="shared" si="332"/>
        <v>0</v>
      </c>
      <c r="CF481" s="761">
        <f t="shared" si="333"/>
        <v>0</v>
      </c>
      <c r="CG481" s="759" t="s">
        <v>46</v>
      </c>
      <c r="CH481" s="598">
        <f t="shared" si="338"/>
        <v>0</v>
      </c>
      <c r="CI481" s="759" t="s">
        <v>567</v>
      </c>
      <c r="CJ481" s="480">
        <f t="shared" si="364"/>
        <v>0</v>
      </c>
      <c r="CK481" s="583">
        <f t="shared" si="334"/>
        <v>0</v>
      </c>
      <c r="CL481" s="596" t="s">
        <v>46</v>
      </c>
      <c r="CM481" s="581">
        <f t="shared" si="335"/>
        <v>0</v>
      </c>
      <c r="CN481" s="762" t="s">
        <v>567</v>
      </c>
      <c r="CR481" s="446"/>
      <c r="CS481" s="446"/>
      <c r="CT481" s="446"/>
      <c r="CU481" s="446"/>
      <c r="CV481" s="446"/>
      <c r="CW481" s="752"/>
      <c r="CX481" s="752"/>
      <c r="CY481" s="752"/>
      <c r="CZ481" s="752"/>
      <c r="DA481" s="752"/>
      <c r="DB481" s="446"/>
      <c r="DC481" s="446"/>
      <c r="DD481" s="446"/>
      <c r="DE481" s="446"/>
      <c r="DF481" s="446"/>
      <c r="DG481" s="446"/>
      <c r="DH481" s="446"/>
      <c r="DI481" s="446"/>
      <c r="DJ481" s="446"/>
      <c r="DK481" s="446"/>
      <c r="DL481" s="446"/>
      <c r="DM481" s="446"/>
      <c r="DN481" s="446"/>
      <c r="DO481" s="446"/>
      <c r="DP481" s="446"/>
      <c r="DQ481" s="446"/>
      <c r="DR481" s="446"/>
      <c r="DS481" s="446"/>
      <c r="DT481" s="446"/>
      <c r="DU481" s="446"/>
      <c r="DV481" s="446"/>
      <c r="DW481" s="446"/>
    </row>
    <row r="482" spans="2:127" s="78" customFormat="1" ht="15" customHeight="1" x14ac:dyDescent="0.25">
      <c r="B482" s="77"/>
      <c r="E482" s="77"/>
      <c r="H482" s="77"/>
      <c r="Y482" s="90">
        <v>229</v>
      </c>
      <c r="Z482" s="559" t="str">
        <f>IF(Inventory!$C238="","",VLOOKUP(Inventory!$C238,$B$7:$C$9,2,FALSE))</f>
        <v/>
      </c>
      <c r="AA482" s="559" t="str">
        <f>IF($Z482="","",IF(AND($Z482="b",Inventory!$G238=""),"",IF(AND($Z482="b",Inventory!$G238&lt;&gt;""),VLOOKUP(Inventory!$G238,$E$3:$F$10,2,FALSE),IF(AND($Z482="a",Inventory!$Z238=""),"",IF(AND($Z482="a",Inventory!$Z238&lt;&gt;""),VLOOKUP(Inventory!$Z238,$E$3:$F$10,2,FALSE),IF(AND($Z482="c",Inventory!$Z238=""),"",IF(AND($Z482="c",Inventory!$Z238&lt;&gt;""),VLOOKUP(Inventory!$Z238,$E$3:$F$10,2,FALSE),"")))))))</f>
        <v/>
      </c>
      <c r="AB482" s="559" t="str">
        <f>IF($Z482="","a",IF(AND($Z482="b",Inventory!$J238=""),"a",IF(AND($Z482="b",Inventory!$J238&lt;&gt;""),VLOOKUP(Inventory!$J238,$H$4:$I$6,2,FALSE),IF(AND($Z482="a",Inventory!$AA238=""),"a",IF(AND($Z482="a",Inventory!$AA238&lt;&gt;""),VLOOKUP(Inventory!$AA238,$H$4:$I$6,2,FALSE),IF(AND($Z482="c",Inventory!$AA238=""),"a",IF(AND($Z482="c",Inventory!$AA238&lt;&gt;""),VLOOKUP(Inventory!$AA238,$H$4:$I$6,2,FALSE),"a")))))))</f>
        <v>a</v>
      </c>
      <c r="AC482" s="559" t="str">
        <f t="shared" si="340"/>
        <v>a</v>
      </c>
      <c r="AD482" s="473" t="str">
        <f>IF($Z482="","a",IF(AND($Z482="b",Inventory!$L238=""),"a",IF(AND($Z482="b",Inventory!$L238&lt;&gt;""),VLOOKUP(Inventory!$L238,$N$4:$O$5,2,FALSE),IF(AND($Z482="a",Inventory!$AC238=""),"a",IF(AND($Z482="a",Inventory!$AC238&lt;&gt;""),VLOOKUP(Inventory!$AC238,$N$4:$O$5,2,FALSE),IF(AND($Z482="c",Inventory!$AC238=""),"a",IF(AND($Z482="c",Inventory!$AC238&lt;&gt;""),VLOOKUP(Inventory!$AC238,$N$4:$O$5,2,FALSE),"a")))))))</f>
        <v>a</v>
      </c>
      <c r="AE482" s="474">
        <f>IF(OR(Inventory!C238="New Construction",Inventory!C238="Replace-on-Burnout"),Inventory!AF238,IF(Inventory!C238="Early Retirement",MIN(Inventory!AE238,Inventory!AF238),0))</f>
        <v>0</v>
      </c>
      <c r="AF482" s="475" t="str">
        <f t="shared" si="341"/>
        <v/>
      </c>
      <c r="AG482" s="475" t="str">
        <f t="shared" si="342"/>
        <v/>
      </c>
      <c r="AH482" s="475" t="str">
        <f t="shared" si="343"/>
        <v/>
      </c>
      <c r="AI482" s="475" t="str">
        <f t="shared" si="344"/>
        <v/>
      </c>
      <c r="AJ482" s="475" t="str">
        <f t="shared" si="345"/>
        <v/>
      </c>
      <c r="AK482" s="475" t="str">
        <f t="shared" si="346"/>
        <v/>
      </c>
      <c r="AL482" s="475" t="str">
        <f t="shared" si="347"/>
        <v/>
      </c>
      <c r="AM482" s="475" t="str">
        <f t="shared" si="348"/>
        <v/>
      </c>
      <c r="AN482" s="475" t="str">
        <f t="shared" si="349"/>
        <v/>
      </c>
      <c r="AO482" s="475" t="str">
        <f t="shared" si="350"/>
        <v/>
      </c>
      <c r="AP482" s="475" t="str">
        <f t="shared" si="351"/>
        <v/>
      </c>
      <c r="AQ482" s="475" t="str">
        <f t="shared" si="352"/>
        <v/>
      </c>
      <c r="AR482" s="475" t="str">
        <f t="shared" si="353"/>
        <v/>
      </c>
      <c r="AS482" s="475" t="str">
        <f t="shared" si="336"/>
        <v/>
      </c>
      <c r="AT482" s="475" t="str">
        <f t="shared" si="354"/>
        <v/>
      </c>
      <c r="AU482" s="475" t="str">
        <f t="shared" si="355"/>
        <v/>
      </c>
      <c r="AV482" s="475" t="str">
        <f t="shared" si="356"/>
        <v/>
      </c>
      <c r="AW482" s="473">
        <f t="shared" si="357"/>
        <v>0</v>
      </c>
      <c r="AX482" s="473" t="str">
        <f>IF(AND($Z482="b",OR($AA482="a",$AA482="b"),Inventory!$I238="",$AE482&lt;(65000/12000)),"x",IF(AND($Z482="b",OR($AA482="a",$AA482="b"),Inventory!$I238&lt;&gt;"",$AE482&lt;(65000/12000)),VLOOKUP(Inventory!$I489,$V$4:$W$5,2,FALSE),"x"))</f>
        <v>x</v>
      </c>
      <c r="AY482" s="476" t="str">
        <f t="shared" si="358"/>
        <v>aaa0</v>
      </c>
      <c r="AZ482" s="477" t="str">
        <f t="shared" si="327"/>
        <v>No</v>
      </c>
      <c r="BA482" s="759" t="str">
        <f t="shared" si="328"/>
        <v>No</v>
      </c>
      <c r="BB482" s="477">
        <f>IF($Z482="c",Inventory!$AB238,Inventory!$K238)</f>
        <v>0</v>
      </c>
      <c r="BC482" s="478">
        <f>IF(AND($Z482="b",Inventory!$N238="Btu/hr"),Inventory!$M238,IF(AND($Z482="b",Inventory!$N238="Tons"),Inventory!$M238*12000,IF(AND($Z482&lt;&gt;"b",Inventory!$AK238="Btu/hr"),Inventory!$AD238,IF(AND($Z482&lt;&gt;"b",Inventory!$AK238="Tons"),Inventory!$AD238*12000,0))))</f>
        <v>0</v>
      </c>
      <c r="BD482" s="478">
        <f t="shared" si="325"/>
        <v>0</v>
      </c>
      <c r="BE482" s="479">
        <f t="shared" si="337"/>
        <v>0</v>
      </c>
      <c r="BF482" s="477" t="s">
        <v>50</v>
      </c>
      <c r="BG482" s="479">
        <f t="shared" si="359"/>
        <v>0</v>
      </c>
      <c r="BH482" s="477" t="s">
        <v>46</v>
      </c>
      <c r="BI482" s="760">
        <f>IF(AND($Z482="b",Inventory!$P238="Btu/hr"),Inventory!$O238,IF(AND($Z482="b",Inventory!$P238="Tons"),Inventory!$O238*12000,IF(AND($Z482&lt;&gt;"b",Inventory!$AM238="Btu/hr"),Inventory!$AL238,IF(AND($Z482&lt;&gt;"b",Inventory!$AM238="Tons"),Inventory!$AL238*12000,0))))</f>
        <v>0</v>
      </c>
      <c r="BJ482" s="760">
        <f t="shared" si="326"/>
        <v>0</v>
      </c>
      <c r="BK482" s="598">
        <f t="shared" si="329"/>
        <v>0</v>
      </c>
      <c r="BL482" s="759" t="s">
        <v>567</v>
      </c>
      <c r="BM482" s="477" t="str">
        <f t="shared" si="360"/>
        <v>No</v>
      </c>
      <c r="BN482" s="477" t="str">
        <f>IF(OR(Inventory!$H238="",$BM482="No"),"-",Inventory!$H238)</f>
        <v>-</v>
      </c>
      <c r="BO482" s="477" t="str">
        <f>IFERROR(VLOOKUP(BN482,'Early Retirement'!$B$6:$C$33,2,FALSE),"-")</f>
        <v>-</v>
      </c>
      <c r="BP482" s="477" t="str">
        <f>IF(Inventory!$J238="Centrifugal","Yes","No")</f>
        <v>No</v>
      </c>
      <c r="BQ482" s="477">
        <f t="shared" si="361"/>
        <v>0</v>
      </c>
      <c r="BR482" s="477" t="str">
        <f t="shared" si="339"/>
        <v>-</v>
      </c>
      <c r="BS482" s="479">
        <f>IFERROR(INDEX('Early Retirement'!$C$4:$AC$33,$BO482,$BR482),0)</f>
        <v>0</v>
      </c>
      <c r="BT482" s="477">
        <f>IFERROR(HLOOKUP($BR482,'Early Retirement'!$D$4:$AC$5,2,FALSE),0)</f>
        <v>0</v>
      </c>
      <c r="BU482" s="761">
        <f>IFERROR(INDEX('Early Retirement'!$AE$4:$BE$33,$BO482,$BR482),0)</f>
        <v>0</v>
      </c>
      <c r="BV482" s="759">
        <f>IFERROR(HLOOKUP($BR482,'Early Retirement'!$AF$4:$BE$5,2,FALSE),0)</f>
        <v>0</v>
      </c>
      <c r="BW482" s="479">
        <f t="shared" si="362"/>
        <v>0</v>
      </c>
      <c r="BX482" s="761">
        <f t="shared" si="330"/>
        <v>0</v>
      </c>
      <c r="BY482" s="477" t="s">
        <v>46</v>
      </c>
      <c r="BZ482" s="598">
        <f>IFERROR(INDEX('Early Retirement'!$BG$4:$CG$33,$BO482,$BR482),0)</f>
        <v>0</v>
      </c>
      <c r="CA482" s="759">
        <f>IFERROR(HLOOKUP($BR482,'Early Retirement'!$BH$4:$CH$5,2,FALSE),0)</f>
        <v>0</v>
      </c>
      <c r="CB482" s="598">
        <f t="shared" si="331"/>
        <v>0</v>
      </c>
      <c r="CC482" s="759" t="s">
        <v>567</v>
      </c>
      <c r="CD482" s="477" t="str">
        <f t="shared" si="363"/>
        <v>Yes</v>
      </c>
      <c r="CE482" s="479">
        <f t="shared" si="332"/>
        <v>0</v>
      </c>
      <c r="CF482" s="761">
        <f t="shared" si="333"/>
        <v>0</v>
      </c>
      <c r="CG482" s="759" t="s">
        <v>46</v>
      </c>
      <c r="CH482" s="598">
        <f t="shared" si="338"/>
        <v>0</v>
      </c>
      <c r="CI482" s="759" t="s">
        <v>567</v>
      </c>
      <c r="CJ482" s="480">
        <f t="shared" si="364"/>
        <v>0</v>
      </c>
      <c r="CK482" s="583">
        <f t="shared" si="334"/>
        <v>0</v>
      </c>
      <c r="CL482" s="596" t="s">
        <v>46</v>
      </c>
      <c r="CM482" s="581">
        <f t="shared" si="335"/>
        <v>0</v>
      </c>
      <c r="CN482" s="762" t="s">
        <v>567</v>
      </c>
      <c r="CR482" s="446"/>
      <c r="CS482" s="446"/>
      <c r="CT482" s="446"/>
      <c r="CU482" s="446"/>
      <c r="CV482" s="446"/>
      <c r="CW482" s="752"/>
      <c r="CX482" s="752"/>
      <c r="CY482" s="752"/>
      <c r="CZ482" s="752"/>
      <c r="DA482" s="752"/>
      <c r="DB482" s="446"/>
      <c r="DC482" s="446"/>
      <c r="DD482" s="446"/>
      <c r="DE482" s="446"/>
      <c r="DF482" s="446"/>
      <c r="DG482" s="446"/>
      <c r="DH482" s="446"/>
      <c r="DI482" s="446"/>
      <c r="DJ482" s="446"/>
      <c r="DK482" s="446"/>
      <c r="DL482" s="446"/>
      <c r="DM482" s="446"/>
      <c r="DN482" s="446"/>
      <c r="DO482" s="446"/>
      <c r="DP482" s="446"/>
      <c r="DQ482" s="446"/>
      <c r="DR482" s="446"/>
      <c r="DS482" s="446"/>
      <c r="DT482" s="446"/>
      <c r="DU482" s="446"/>
      <c r="DV482" s="446"/>
      <c r="DW482" s="446"/>
    </row>
    <row r="483" spans="2:127" s="78" customFormat="1" ht="15" customHeight="1" x14ac:dyDescent="0.25">
      <c r="B483" s="77"/>
      <c r="E483" s="77"/>
      <c r="H483" s="77"/>
      <c r="Y483" s="90">
        <v>230</v>
      </c>
      <c r="Z483" s="559" t="str">
        <f>IF(Inventory!$C239="","",VLOOKUP(Inventory!$C239,$B$7:$C$9,2,FALSE))</f>
        <v/>
      </c>
      <c r="AA483" s="559" t="str">
        <f>IF($Z483="","",IF(AND($Z483="b",Inventory!$G239=""),"",IF(AND($Z483="b",Inventory!$G239&lt;&gt;""),VLOOKUP(Inventory!$G239,$E$3:$F$10,2,FALSE),IF(AND($Z483="a",Inventory!$Z239=""),"",IF(AND($Z483="a",Inventory!$Z239&lt;&gt;""),VLOOKUP(Inventory!$Z239,$E$3:$F$10,2,FALSE),IF(AND($Z483="c",Inventory!$Z239=""),"",IF(AND($Z483="c",Inventory!$Z239&lt;&gt;""),VLOOKUP(Inventory!$Z239,$E$3:$F$10,2,FALSE),"")))))))</f>
        <v/>
      </c>
      <c r="AB483" s="559" t="str">
        <f>IF($Z483="","a",IF(AND($Z483="b",Inventory!$J239=""),"a",IF(AND($Z483="b",Inventory!$J239&lt;&gt;""),VLOOKUP(Inventory!$J239,$H$4:$I$6,2,FALSE),IF(AND($Z483="a",Inventory!$AA239=""),"a",IF(AND($Z483="a",Inventory!$AA239&lt;&gt;""),VLOOKUP(Inventory!$AA239,$H$4:$I$6,2,FALSE),IF(AND($Z483="c",Inventory!$AA239=""),"a",IF(AND($Z483="c",Inventory!$AA239&lt;&gt;""),VLOOKUP(Inventory!$AA239,$H$4:$I$6,2,FALSE),"a")))))))</f>
        <v>a</v>
      </c>
      <c r="AC483" s="559" t="str">
        <f t="shared" si="340"/>
        <v>a</v>
      </c>
      <c r="AD483" s="473" t="str">
        <f>IF($Z483="","a",IF(AND($Z483="b",Inventory!$L239=""),"a",IF(AND($Z483="b",Inventory!$L239&lt;&gt;""),VLOOKUP(Inventory!$L239,$N$4:$O$5,2,FALSE),IF(AND($Z483="a",Inventory!$AC239=""),"a",IF(AND($Z483="a",Inventory!$AC239&lt;&gt;""),VLOOKUP(Inventory!$AC239,$N$4:$O$5,2,FALSE),IF(AND($Z483="c",Inventory!$AC239=""),"a",IF(AND($Z483="c",Inventory!$AC239&lt;&gt;""),VLOOKUP(Inventory!$AC239,$N$4:$O$5,2,FALSE),"a")))))))</f>
        <v>a</v>
      </c>
      <c r="AE483" s="474">
        <f>IF(OR(Inventory!C239="New Construction",Inventory!C239="Replace-on-Burnout"),Inventory!AF239,IF(Inventory!C239="Early Retirement",MIN(Inventory!AE239,Inventory!AF239),0))</f>
        <v>0</v>
      </c>
      <c r="AF483" s="475" t="str">
        <f t="shared" si="341"/>
        <v/>
      </c>
      <c r="AG483" s="475" t="str">
        <f t="shared" si="342"/>
        <v/>
      </c>
      <c r="AH483" s="475" t="str">
        <f t="shared" si="343"/>
        <v/>
      </c>
      <c r="AI483" s="475" t="str">
        <f t="shared" si="344"/>
        <v/>
      </c>
      <c r="AJ483" s="475" t="str">
        <f t="shared" si="345"/>
        <v/>
      </c>
      <c r="AK483" s="475" t="str">
        <f t="shared" si="346"/>
        <v/>
      </c>
      <c r="AL483" s="475" t="str">
        <f t="shared" si="347"/>
        <v/>
      </c>
      <c r="AM483" s="475" t="str">
        <f t="shared" si="348"/>
        <v/>
      </c>
      <c r="AN483" s="475" t="str">
        <f t="shared" si="349"/>
        <v/>
      </c>
      <c r="AO483" s="475" t="str">
        <f t="shared" si="350"/>
        <v/>
      </c>
      <c r="AP483" s="475" t="str">
        <f t="shared" si="351"/>
        <v/>
      </c>
      <c r="AQ483" s="475" t="str">
        <f t="shared" si="352"/>
        <v/>
      </c>
      <c r="AR483" s="475" t="str">
        <f t="shared" si="353"/>
        <v/>
      </c>
      <c r="AS483" s="475" t="str">
        <f t="shared" si="336"/>
        <v/>
      </c>
      <c r="AT483" s="475" t="str">
        <f t="shared" si="354"/>
        <v/>
      </c>
      <c r="AU483" s="475" t="str">
        <f t="shared" si="355"/>
        <v/>
      </c>
      <c r="AV483" s="475" t="str">
        <f t="shared" si="356"/>
        <v/>
      </c>
      <c r="AW483" s="473">
        <f t="shared" si="357"/>
        <v>0</v>
      </c>
      <c r="AX483" s="473" t="str">
        <f>IF(AND($Z483="b",OR($AA483="a",$AA483="b"),Inventory!$I239="",$AE483&lt;(65000/12000)),"x",IF(AND($Z483="b",OR($AA483="a",$AA483="b"),Inventory!$I239&lt;&gt;"",$AE483&lt;(65000/12000)),VLOOKUP(Inventory!$I490,$V$4:$W$5,2,FALSE),"x"))</f>
        <v>x</v>
      </c>
      <c r="AY483" s="476" t="str">
        <f t="shared" si="358"/>
        <v>aaa0</v>
      </c>
      <c r="AZ483" s="477" t="str">
        <f t="shared" si="327"/>
        <v>No</v>
      </c>
      <c r="BA483" s="759" t="str">
        <f t="shared" si="328"/>
        <v>No</v>
      </c>
      <c r="BB483" s="477">
        <f>IF($Z483="c",Inventory!$AB239,Inventory!$K239)</f>
        <v>0</v>
      </c>
      <c r="BC483" s="478">
        <f>IF(AND($Z483="b",Inventory!$N239="Btu/hr"),Inventory!$M239,IF(AND($Z483="b",Inventory!$N239="Tons"),Inventory!$M239*12000,IF(AND($Z483&lt;&gt;"b",Inventory!$AK239="Btu/hr"),Inventory!$AD239,IF(AND($Z483&lt;&gt;"b",Inventory!$AK239="Tons"),Inventory!$AD239*12000,0))))</f>
        <v>0</v>
      </c>
      <c r="BD483" s="478">
        <f t="shared" si="325"/>
        <v>0</v>
      </c>
      <c r="BE483" s="479">
        <f t="shared" si="337"/>
        <v>0</v>
      </c>
      <c r="BF483" s="477" t="s">
        <v>50</v>
      </c>
      <c r="BG483" s="479">
        <f t="shared" si="359"/>
        <v>0</v>
      </c>
      <c r="BH483" s="477" t="s">
        <v>46</v>
      </c>
      <c r="BI483" s="760">
        <f>IF(AND($Z483="b",Inventory!$P239="Btu/hr"),Inventory!$O239,IF(AND($Z483="b",Inventory!$P239="Tons"),Inventory!$O239*12000,IF(AND($Z483&lt;&gt;"b",Inventory!$AM239="Btu/hr"),Inventory!$AL239,IF(AND($Z483&lt;&gt;"b",Inventory!$AM239="Tons"),Inventory!$AL239*12000,0))))</f>
        <v>0</v>
      </c>
      <c r="BJ483" s="760">
        <f t="shared" si="326"/>
        <v>0</v>
      </c>
      <c r="BK483" s="598">
        <f t="shared" si="329"/>
        <v>0</v>
      </c>
      <c r="BL483" s="759" t="s">
        <v>567</v>
      </c>
      <c r="BM483" s="477" t="str">
        <f t="shared" si="360"/>
        <v>No</v>
      </c>
      <c r="BN483" s="477" t="str">
        <f>IF(OR(Inventory!$H239="",$BM483="No"),"-",Inventory!$H239)</f>
        <v>-</v>
      </c>
      <c r="BO483" s="477" t="str">
        <f>IFERROR(VLOOKUP(BN483,'Early Retirement'!$B$6:$C$33,2,FALSE),"-")</f>
        <v>-</v>
      </c>
      <c r="BP483" s="477" t="str">
        <f>IF(Inventory!$J239="Centrifugal","Yes","No")</f>
        <v>No</v>
      </c>
      <c r="BQ483" s="477">
        <f t="shared" si="361"/>
        <v>0</v>
      </c>
      <c r="BR483" s="477" t="str">
        <f t="shared" si="339"/>
        <v>-</v>
      </c>
      <c r="BS483" s="479">
        <f>IFERROR(INDEX('Early Retirement'!$C$4:$AC$33,$BO483,$BR483),0)</f>
        <v>0</v>
      </c>
      <c r="BT483" s="477">
        <f>IFERROR(HLOOKUP($BR483,'Early Retirement'!$D$4:$AC$5,2,FALSE),0)</f>
        <v>0</v>
      </c>
      <c r="BU483" s="761">
        <f>IFERROR(INDEX('Early Retirement'!$AE$4:$BE$33,$BO483,$BR483),0)</f>
        <v>0</v>
      </c>
      <c r="BV483" s="759">
        <f>IFERROR(HLOOKUP($BR483,'Early Retirement'!$AF$4:$BE$5,2,FALSE),0)</f>
        <v>0</v>
      </c>
      <c r="BW483" s="479">
        <f t="shared" si="362"/>
        <v>0</v>
      </c>
      <c r="BX483" s="761">
        <f t="shared" si="330"/>
        <v>0</v>
      </c>
      <c r="BY483" s="477" t="s">
        <v>46</v>
      </c>
      <c r="BZ483" s="598">
        <f>IFERROR(INDEX('Early Retirement'!$BG$4:$CG$33,$BO483,$BR483),0)</f>
        <v>0</v>
      </c>
      <c r="CA483" s="759">
        <f>IFERROR(HLOOKUP($BR483,'Early Retirement'!$BH$4:$CH$5,2,FALSE),0)</f>
        <v>0</v>
      </c>
      <c r="CB483" s="598">
        <f t="shared" si="331"/>
        <v>0</v>
      </c>
      <c r="CC483" s="759" t="s">
        <v>567</v>
      </c>
      <c r="CD483" s="477" t="str">
        <f t="shared" si="363"/>
        <v>Yes</v>
      </c>
      <c r="CE483" s="479">
        <f t="shared" si="332"/>
        <v>0</v>
      </c>
      <c r="CF483" s="761">
        <f t="shared" si="333"/>
        <v>0</v>
      </c>
      <c r="CG483" s="759" t="s">
        <v>46</v>
      </c>
      <c r="CH483" s="598">
        <f t="shared" si="338"/>
        <v>0</v>
      </c>
      <c r="CI483" s="759" t="s">
        <v>567</v>
      </c>
      <c r="CJ483" s="480">
        <f t="shared" si="364"/>
        <v>0</v>
      </c>
      <c r="CK483" s="583">
        <f t="shared" si="334"/>
        <v>0</v>
      </c>
      <c r="CL483" s="596" t="s">
        <v>46</v>
      </c>
      <c r="CM483" s="581">
        <f t="shared" si="335"/>
        <v>0</v>
      </c>
      <c r="CN483" s="762" t="s">
        <v>567</v>
      </c>
      <c r="CR483" s="446"/>
      <c r="CS483" s="446"/>
      <c r="CT483" s="446"/>
      <c r="CU483" s="446"/>
      <c r="CV483" s="446"/>
      <c r="CW483" s="752"/>
      <c r="CX483" s="752"/>
      <c r="CY483" s="752"/>
      <c r="CZ483" s="752"/>
      <c r="DA483" s="752"/>
      <c r="DB483" s="446"/>
      <c r="DC483" s="446"/>
      <c r="DD483" s="446"/>
      <c r="DE483" s="446"/>
      <c r="DF483" s="446"/>
      <c r="DG483" s="446"/>
      <c r="DH483" s="446"/>
      <c r="DI483" s="446"/>
      <c r="DJ483" s="446"/>
      <c r="DK483" s="446"/>
      <c r="DL483" s="446"/>
      <c r="DM483" s="446"/>
      <c r="DN483" s="446"/>
      <c r="DO483" s="446"/>
      <c r="DP483" s="446"/>
      <c r="DQ483" s="446"/>
      <c r="DR483" s="446"/>
      <c r="DS483" s="446"/>
      <c r="DT483" s="446"/>
      <c r="DU483" s="446"/>
      <c r="DV483" s="446"/>
      <c r="DW483" s="446"/>
    </row>
    <row r="484" spans="2:127" s="78" customFormat="1" ht="15" customHeight="1" x14ac:dyDescent="0.25">
      <c r="B484" s="77"/>
      <c r="E484" s="77"/>
      <c r="H484" s="77"/>
      <c r="Y484" s="90">
        <v>231</v>
      </c>
      <c r="Z484" s="559" t="str">
        <f>IF(Inventory!$C240="","",VLOOKUP(Inventory!$C240,$B$7:$C$9,2,FALSE))</f>
        <v/>
      </c>
      <c r="AA484" s="559" t="str">
        <f>IF($Z484="","",IF(AND($Z484="b",Inventory!$G240=""),"",IF(AND($Z484="b",Inventory!$G240&lt;&gt;""),VLOOKUP(Inventory!$G240,$E$3:$F$10,2,FALSE),IF(AND($Z484="a",Inventory!$Z240=""),"",IF(AND($Z484="a",Inventory!$Z240&lt;&gt;""),VLOOKUP(Inventory!$Z240,$E$3:$F$10,2,FALSE),IF(AND($Z484="c",Inventory!$Z240=""),"",IF(AND($Z484="c",Inventory!$Z240&lt;&gt;""),VLOOKUP(Inventory!$Z240,$E$3:$F$10,2,FALSE),"")))))))</f>
        <v/>
      </c>
      <c r="AB484" s="559" t="str">
        <f>IF($Z484="","a",IF(AND($Z484="b",Inventory!$J240=""),"a",IF(AND($Z484="b",Inventory!$J240&lt;&gt;""),VLOOKUP(Inventory!$J240,$H$4:$I$6,2,FALSE),IF(AND($Z484="a",Inventory!$AA240=""),"a",IF(AND($Z484="a",Inventory!$AA240&lt;&gt;""),VLOOKUP(Inventory!$AA240,$H$4:$I$6,2,FALSE),IF(AND($Z484="c",Inventory!$AA240=""),"a",IF(AND($Z484="c",Inventory!$AA240&lt;&gt;""),VLOOKUP(Inventory!$AA240,$H$4:$I$6,2,FALSE),"a")))))))</f>
        <v>a</v>
      </c>
      <c r="AC484" s="559" t="str">
        <f t="shared" si="340"/>
        <v>a</v>
      </c>
      <c r="AD484" s="473" t="str">
        <f>IF($Z484="","a",IF(AND($Z484="b",Inventory!$L240=""),"a",IF(AND($Z484="b",Inventory!$L240&lt;&gt;""),VLOOKUP(Inventory!$L240,$N$4:$O$5,2,FALSE),IF(AND($Z484="a",Inventory!$AC240=""),"a",IF(AND($Z484="a",Inventory!$AC240&lt;&gt;""),VLOOKUP(Inventory!$AC240,$N$4:$O$5,2,FALSE),IF(AND($Z484="c",Inventory!$AC240=""),"a",IF(AND($Z484="c",Inventory!$AC240&lt;&gt;""),VLOOKUP(Inventory!$AC240,$N$4:$O$5,2,FALSE),"a")))))))</f>
        <v>a</v>
      </c>
      <c r="AE484" s="474">
        <f>IF(OR(Inventory!C240="New Construction",Inventory!C240="Replace-on-Burnout"),Inventory!AF240,IF(Inventory!C240="Early Retirement",MIN(Inventory!AE240,Inventory!AF240),0))</f>
        <v>0</v>
      </c>
      <c r="AF484" s="475" t="str">
        <f t="shared" si="341"/>
        <v/>
      </c>
      <c r="AG484" s="475" t="str">
        <f t="shared" si="342"/>
        <v/>
      </c>
      <c r="AH484" s="475" t="str">
        <f t="shared" si="343"/>
        <v/>
      </c>
      <c r="AI484" s="475" t="str">
        <f t="shared" si="344"/>
        <v/>
      </c>
      <c r="AJ484" s="475" t="str">
        <f t="shared" si="345"/>
        <v/>
      </c>
      <c r="AK484" s="475" t="str">
        <f t="shared" si="346"/>
        <v/>
      </c>
      <c r="AL484" s="475" t="str">
        <f t="shared" si="347"/>
        <v/>
      </c>
      <c r="AM484" s="475" t="str">
        <f t="shared" si="348"/>
        <v/>
      </c>
      <c r="AN484" s="475" t="str">
        <f t="shared" si="349"/>
        <v/>
      </c>
      <c r="AO484" s="475" t="str">
        <f t="shared" si="350"/>
        <v/>
      </c>
      <c r="AP484" s="475" t="str">
        <f t="shared" si="351"/>
        <v/>
      </c>
      <c r="AQ484" s="475" t="str">
        <f t="shared" si="352"/>
        <v/>
      </c>
      <c r="AR484" s="475" t="str">
        <f t="shared" si="353"/>
        <v/>
      </c>
      <c r="AS484" s="475" t="str">
        <f t="shared" si="336"/>
        <v/>
      </c>
      <c r="AT484" s="475" t="str">
        <f t="shared" si="354"/>
        <v/>
      </c>
      <c r="AU484" s="475" t="str">
        <f t="shared" si="355"/>
        <v/>
      </c>
      <c r="AV484" s="475" t="str">
        <f t="shared" si="356"/>
        <v/>
      </c>
      <c r="AW484" s="473">
        <f t="shared" si="357"/>
        <v>0</v>
      </c>
      <c r="AX484" s="473" t="str">
        <f>IF(AND($Z484="b",OR($AA484="a",$AA484="b"),Inventory!$I240="",$AE484&lt;(65000/12000)),"x",IF(AND($Z484="b",OR($AA484="a",$AA484="b"),Inventory!$I240&lt;&gt;"",$AE484&lt;(65000/12000)),VLOOKUP(Inventory!$I491,$V$4:$W$5,2,FALSE),"x"))</f>
        <v>x</v>
      </c>
      <c r="AY484" s="476" t="str">
        <f t="shared" si="358"/>
        <v>aaa0</v>
      </c>
      <c r="AZ484" s="477" t="str">
        <f t="shared" si="327"/>
        <v>No</v>
      </c>
      <c r="BA484" s="759" t="str">
        <f t="shared" si="328"/>
        <v>No</v>
      </c>
      <c r="BB484" s="477">
        <f>IF($Z484="c",Inventory!$AB240,Inventory!$K240)</f>
        <v>0</v>
      </c>
      <c r="BC484" s="478">
        <f>IF(AND($Z484="b",Inventory!$N240="Btu/hr"),Inventory!$M240,IF(AND($Z484="b",Inventory!$N240="Tons"),Inventory!$M240*12000,IF(AND($Z484&lt;&gt;"b",Inventory!$AK240="Btu/hr"),Inventory!$AD240,IF(AND($Z484&lt;&gt;"b",Inventory!$AK240="Tons"),Inventory!$AD240*12000,0))))</f>
        <v>0</v>
      </c>
      <c r="BD484" s="478">
        <f t="shared" si="325"/>
        <v>0</v>
      </c>
      <c r="BE484" s="479">
        <f t="shared" si="337"/>
        <v>0</v>
      </c>
      <c r="BF484" s="477" t="s">
        <v>50</v>
      </c>
      <c r="BG484" s="479">
        <f t="shared" si="359"/>
        <v>0</v>
      </c>
      <c r="BH484" s="477" t="s">
        <v>46</v>
      </c>
      <c r="BI484" s="760">
        <f>IF(AND($Z484="b",Inventory!$P240="Btu/hr"),Inventory!$O240,IF(AND($Z484="b",Inventory!$P240="Tons"),Inventory!$O240*12000,IF(AND($Z484&lt;&gt;"b",Inventory!$AM240="Btu/hr"),Inventory!$AL240,IF(AND($Z484&lt;&gt;"b",Inventory!$AM240="Tons"),Inventory!$AL240*12000,0))))</f>
        <v>0</v>
      </c>
      <c r="BJ484" s="760">
        <f t="shared" si="326"/>
        <v>0</v>
      </c>
      <c r="BK484" s="598">
        <f t="shared" si="329"/>
        <v>0</v>
      </c>
      <c r="BL484" s="759" t="s">
        <v>567</v>
      </c>
      <c r="BM484" s="477" t="str">
        <f t="shared" si="360"/>
        <v>No</v>
      </c>
      <c r="BN484" s="477" t="str">
        <f>IF(OR(Inventory!$H240="",$BM484="No"),"-",Inventory!$H240)</f>
        <v>-</v>
      </c>
      <c r="BO484" s="477" t="str">
        <f>IFERROR(VLOOKUP(BN484,'Early Retirement'!$B$6:$C$33,2,FALSE),"-")</f>
        <v>-</v>
      </c>
      <c r="BP484" s="477" t="str">
        <f>IF(Inventory!$J240="Centrifugal","Yes","No")</f>
        <v>No</v>
      </c>
      <c r="BQ484" s="477">
        <f t="shared" si="361"/>
        <v>0</v>
      </c>
      <c r="BR484" s="477" t="str">
        <f t="shared" si="339"/>
        <v>-</v>
      </c>
      <c r="BS484" s="479">
        <f>IFERROR(INDEX('Early Retirement'!$C$4:$AC$33,$BO484,$BR484),0)</f>
        <v>0</v>
      </c>
      <c r="BT484" s="477">
        <f>IFERROR(HLOOKUP($BR484,'Early Retirement'!$D$4:$AC$5,2,FALSE),0)</f>
        <v>0</v>
      </c>
      <c r="BU484" s="761">
        <f>IFERROR(INDEX('Early Retirement'!$AE$4:$BE$33,$BO484,$BR484),0)</f>
        <v>0</v>
      </c>
      <c r="BV484" s="759">
        <f>IFERROR(HLOOKUP($BR484,'Early Retirement'!$AF$4:$BE$5,2,FALSE),0)</f>
        <v>0</v>
      </c>
      <c r="BW484" s="479">
        <f t="shared" si="362"/>
        <v>0</v>
      </c>
      <c r="BX484" s="761">
        <f t="shared" si="330"/>
        <v>0</v>
      </c>
      <c r="BY484" s="477" t="s">
        <v>46</v>
      </c>
      <c r="BZ484" s="598">
        <f>IFERROR(INDEX('Early Retirement'!$BG$4:$CG$33,$BO484,$BR484),0)</f>
        <v>0</v>
      </c>
      <c r="CA484" s="759">
        <f>IFERROR(HLOOKUP($BR484,'Early Retirement'!$BH$4:$CH$5,2,FALSE),0)</f>
        <v>0</v>
      </c>
      <c r="CB484" s="598">
        <f t="shared" si="331"/>
        <v>0</v>
      </c>
      <c r="CC484" s="759" t="s">
        <v>567</v>
      </c>
      <c r="CD484" s="477" t="str">
        <f t="shared" si="363"/>
        <v>Yes</v>
      </c>
      <c r="CE484" s="479">
        <f t="shared" si="332"/>
        <v>0</v>
      </c>
      <c r="CF484" s="761">
        <f t="shared" si="333"/>
        <v>0</v>
      </c>
      <c r="CG484" s="759" t="s">
        <v>46</v>
      </c>
      <c r="CH484" s="598">
        <f t="shared" si="338"/>
        <v>0</v>
      </c>
      <c r="CI484" s="759" t="s">
        <v>567</v>
      </c>
      <c r="CJ484" s="480">
        <f t="shared" si="364"/>
        <v>0</v>
      </c>
      <c r="CK484" s="583">
        <f t="shared" si="334"/>
        <v>0</v>
      </c>
      <c r="CL484" s="596" t="s">
        <v>46</v>
      </c>
      <c r="CM484" s="581">
        <f t="shared" si="335"/>
        <v>0</v>
      </c>
      <c r="CN484" s="762" t="s">
        <v>567</v>
      </c>
      <c r="CR484" s="446"/>
      <c r="CS484" s="446"/>
      <c r="CT484" s="446"/>
      <c r="CU484" s="446"/>
      <c r="CV484" s="446"/>
      <c r="CW484" s="752"/>
      <c r="CX484" s="752"/>
      <c r="CY484" s="752"/>
      <c r="CZ484" s="752"/>
      <c r="DA484" s="752"/>
      <c r="DB484" s="446"/>
      <c r="DC484" s="446"/>
      <c r="DD484" s="446"/>
      <c r="DE484" s="446"/>
      <c r="DF484" s="446"/>
      <c r="DG484" s="446"/>
      <c r="DH484" s="446"/>
      <c r="DI484" s="446"/>
      <c r="DJ484" s="446"/>
      <c r="DK484" s="446"/>
      <c r="DL484" s="446"/>
      <c r="DM484" s="446"/>
      <c r="DN484" s="446"/>
      <c r="DO484" s="446"/>
      <c r="DP484" s="446"/>
      <c r="DQ484" s="446"/>
      <c r="DR484" s="446"/>
      <c r="DS484" s="446"/>
      <c r="DT484" s="446"/>
      <c r="DU484" s="446"/>
      <c r="DV484" s="446"/>
      <c r="DW484" s="446"/>
    </row>
    <row r="485" spans="2:127" s="78" customFormat="1" ht="15" customHeight="1" x14ac:dyDescent="0.25">
      <c r="B485" s="77"/>
      <c r="E485" s="77"/>
      <c r="H485" s="77"/>
      <c r="Y485" s="90">
        <v>232</v>
      </c>
      <c r="Z485" s="559" t="str">
        <f>IF(Inventory!$C241="","",VLOOKUP(Inventory!$C241,$B$7:$C$9,2,FALSE))</f>
        <v/>
      </c>
      <c r="AA485" s="559" t="str">
        <f>IF($Z485="","",IF(AND($Z485="b",Inventory!$G241=""),"",IF(AND($Z485="b",Inventory!$G241&lt;&gt;""),VLOOKUP(Inventory!$G241,$E$3:$F$10,2,FALSE),IF(AND($Z485="a",Inventory!$Z241=""),"",IF(AND($Z485="a",Inventory!$Z241&lt;&gt;""),VLOOKUP(Inventory!$Z241,$E$3:$F$10,2,FALSE),IF(AND($Z485="c",Inventory!$Z241=""),"",IF(AND($Z485="c",Inventory!$Z241&lt;&gt;""),VLOOKUP(Inventory!$Z241,$E$3:$F$10,2,FALSE),"")))))))</f>
        <v/>
      </c>
      <c r="AB485" s="559" t="str">
        <f>IF($Z485="","a",IF(AND($Z485="b",Inventory!$J241=""),"a",IF(AND($Z485="b",Inventory!$J241&lt;&gt;""),VLOOKUP(Inventory!$J241,$H$4:$I$6,2,FALSE),IF(AND($Z485="a",Inventory!$AA241=""),"a",IF(AND($Z485="a",Inventory!$AA241&lt;&gt;""),VLOOKUP(Inventory!$AA241,$H$4:$I$6,2,FALSE),IF(AND($Z485="c",Inventory!$AA241=""),"a",IF(AND($Z485="c",Inventory!$AA241&lt;&gt;""),VLOOKUP(Inventory!$AA241,$H$4:$I$6,2,FALSE),"a")))))))</f>
        <v>a</v>
      </c>
      <c r="AC485" s="559" t="str">
        <f t="shared" si="340"/>
        <v>a</v>
      </c>
      <c r="AD485" s="473" t="str">
        <f>IF($Z485="","a",IF(AND($Z485="b",Inventory!$L241=""),"a",IF(AND($Z485="b",Inventory!$L241&lt;&gt;""),VLOOKUP(Inventory!$L241,$N$4:$O$5,2,FALSE),IF(AND($Z485="a",Inventory!$AC241=""),"a",IF(AND($Z485="a",Inventory!$AC241&lt;&gt;""),VLOOKUP(Inventory!$AC241,$N$4:$O$5,2,FALSE),IF(AND($Z485="c",Inventory!$AC241=""),"a",IF(AND($Z485="c",Inventory!$AC241&lt;&gt;""),VLOOKUP(Inventory!$AC241,$N$4:$O$5,2,FALSE),"a")))))))</f>
        <v>a</v>
      </c>
      <c r="AE485" s="474">
        <f>IF(OR(Inventory!C241="New Construction",Inventory!C241="Replace-on-Burnout"),Inventory!AF241,IF(Inventory!C241="Early Retirement",MIN(Inventory!AE241,Inventory!AF241),0))</f>
        <v>0</v>
      </c>
      <c r="AF485" s="475" t="str">
        <f t="shared" si="341"/>
        <v/>
      </c>
      <c r="AG485" s="475" t="str">
        <f t="shared" si="342"/>
        <v/>
      </c>
      <c r="AH485" s="475" t="str">
        <f t="shared" si="343"/>
        <v/>
      </c>
      <c r="AI485" s="475" t="str">
        <f t="shared" si="344"/>
        <v/>
      </c>
      <c r="AJ485" s="475" t="str">
        <f t="shared" si="345"/>
        <v/>
      </c>
      <c r="AK485" s="475" t="str">
        <f t="shared" si="346"/>
        <v/>
      </c>
      <c r="AL485" s="475" t="str">
        <f t="shared" si="347"/>
        <v/>
      </c>
      <c r="AM485" s="475" t="str">
        <f t="shared" si="348"/>
        <v/>
      </c>
      <c r="AN485" s="475" t="str">
        <f t="shared" si="349"/>
        <v/>
      </c>
      <c r="AO485" s="475" t="str">
        <f t="shared" si="350"/>
        <v/>
      </c>
      <c r="AP485" s="475" t="str">
        <f t="shared" si="351"/>
        <v/>
      </c>
      <c r="AQ485" s="475" t="str">
        <f t="shared" si="352"/>
        <v/>
      </c>
      <c r="AR485" s="475" t="str">
        <f t="shared" si="353"/>
        <v/>
      </c>
      <c r="AS485" s="475" t="str">
        <f t="shared" si="336"/>
        <v/>
      </c>
      <c r="AT485" s="475" t="str">
        <f t="shared" si="354"/>
        <v/>
      </c>
      <c r="AU485" s="475" t="str">
        <f t="shared" si="355"/>
        <v/>
      </c>
      <c r="AV485" s="475" t="str">
        <f t="shared" si="356"/>
        <v/>
      </c>
      <c r="AW485" s="473">
        <f t="shared" si="357"/>
        <v>0</v>
      </c>
      <c r="AX485" s="473" t="str">
        <f>IF(AND($Z485="b",OR($AA485="a",$AA485="b"),Inventory!$I241="",$AE485&lt;(65000/12000)),"x",IF(AND($Z485="b",OR($AA485="a",$AA485="b"),Inventory!$I241&lt;&gt;"",$AE485&lt;(65000/12000)),VLOOKUP(Inventory!$I492,$V$4:$W$5,2,FALSE),"x"))</f>
        <v>x</v>
      </c>
      <c r="AY485" s="476" t="str">
        <f t="shared" si="358"/>
        <v>aaa0</v>
      </c>
      <c r="AZ485" s="477" t="str">
        <f t="shared" si="327"/>
        <v>No</v>
      </c>
      <c r="BA485" s="759" t="str">
        <f t="shared" si="328"/>
        <v>No</v>
      </c>
      <c r="BB485" s="477">
        <f>IF($Z485="c",Inventory!$AB241,Inventory!$K241)</f>
        <v>0</v>
      </c>
      <c r="BC485" s="478">
        <f>IF(AND($Z485="b",Inventory!$N241="Btu/hr"),Inventory!$M241,IF(AND($Z485="b",Inventory!$N241="Tons"),Inventory!$M241*12000,IF(AND($Z485&lt;&gt;"b",Inventory!$AK241="Btu/hr"),Inventory!$AD241,IF(AND($Z485&lt;&gt;"b",Inventory!$AK241="Tons"),Inventory!$AD241*12000,0))))</f>
        <v>0</v>
      </c>
      <c r="BD485" s="478">
        <f t="shared" si="325"/>
        <v>0</v>
      </c>
      <c r="BE485" s="479">
        <f t="shared" si="337"/>
        <v>0</v>
      </c>
      <c r="BF485" s="477" t="s">
        <v>50</v>
      </c>
      <c r="BG485" s="479">
        <f t="shared" si="359"/>
        <v>0</v>
      </c>
      <c r="BH485" s="477" t="s">
        <v>46</v>
      </c>
      <c r="BI485" s="760">
        <f>IF(AND($Z485="b",Inventory!$P241="Btu/hr"),Inventory!$O241,IF(AND($Z485="b",Inventory!$P241="Tons"),Inventory!$O241*12000,IF(AND($Z485&lt;&gt;"b",Inventory!$AM241="Btu/hr"),Inventory!$AL241,IF(AND($Z485&lt;&gt;"b",Inventory!$AM241="Tons"),Inventory!$AL241*12000,0))))</f>
        <v>0</v>
      </c>
      <c r="BJ485" s="760">
        <f t="shared" si="326"/>
        <v>0</v>
      </c>
      <c r="BK485" s="598">
        <f t="shared" si="329"/>
        <v>0</v>
      </c>
      <c r="BL485" s="759" t="s">
        <v>567</v>
      </c>
      <c r="BM485" s="477" t="str">
        <f t="shared" si="360"/>
        <v>No</v>
      </c>
      <c r="BN485" s="477" t="str">
        <f>IF(OR(Inventory!$H241="",$BM485="No"),"-",Inventory!$H241)</f>
        <v>-</v>
      </c>
      <c r="BO485" s="477" t="str">
        <f>IFERROR(VLOOKUP(BN485,'Early Retirement'!$B$6:$C$33,2,FALSE),"-")</f>
        <v>-</v>
      </c>
      <c r="BP485" s="477" t="str">
        <f>IF(Inventory!$J241="Centrifugal","Yes","No")</f>
        <v>No</v>
      </c>
      <c r="BQ485" s="477">
        <f t="shared" si="361"/>
        <v>0</v>
      </c>
      <c r="BR485" s="477" t="str">
        <f t="shared" si="339"/>
        <v>-</v>
      </c>
      <c r="BS485" s="479">
        <f>IFERROR(INDEX('Early Retirement'!$C$4:$AC$33,$BO485,$BR485),0)</f>
        <v>0</v>
      </c>
      <c r="BT485" s="477">
        <f>IFERROR(HLOOKUP($BR485,'Early Retirement'!$D$4:$AC$5,2,FALSE),0)</f>
        <v>0</v>
      </c>
      <c r="BU485" s="761">
        <f>IFERROR(INDEX('Early Retirement'!$AE$4:$BE$33,$BO485,$BR485),0)</f>
        <v>0</v>
      </c>
      <c r="BV485" s="759">
        <f>IFERROR(HLOOKUP($BR485,'Early Retirement'!$AF$4:$BE$5,2,FALSE),0)</f>
        <v>0</v>
      </c>
      <c r="BW485" s="479">
        <f t="shared" si="362"/>
        <v>0</v>
      </c>
      <c r="BX485" s="761">
        <f t="shared" si="330"/>
        <v>0</v>
      </c>
      <c r="BY485" s="477" t="s">
        <v>46</v>
      </c>
      <c r="BZ485" s="598">
        <f>IFERROR(INDEX('Early Retirement'!$BG$4:$CG$33,$BO485,$BR485),0)</f>
        <v>0</v>
      </c>
      <c r="CA485" s="759">
        <f>IFERROR(HLOOKUP($BR485,'Early Retirement'!$BH$4:$CH$5,2,FALSE),0)</f>
        <v>0</v>
      </c>
      <c r="CB485" s="598">
        <f t="shared" si="331"/>
        <v>0</v>
      </c>
      <c r="CC485" s="759" t="s">
        <v>567</v>
      </c>
      <c r="CD485" s="477" t="str">
        <f t="shared" si="363"/>
        <v>Yes</v>
      </c>
      <c r="CE485" s="479">
        <f t="shared" si="332"/>
        <v>0</v>
      </c>
      <c r="CF485" s="761">
        <f t="shared" si="333"/>
        <v>0</v>
      </c>
      <c r="CG485" s="759" t="s">
        <v>46</v>
      </c>
      <c r="CH485" s="598">
        <f t="shared" si="338"/>
        <v>0</v>
      </c>
      <c r="CI485" s="759" t="s">
        <v>567</v>
      </c>
      <c r="CJ485" s="480">
        <f t="shared" si="364"/>
        <v>0</v>
      </c>
      <c r="CK485" s="583">
        <f t="shared" si="334"/>
        <v>0</v>
      </c>
      <c r="CL485" s="596" t="s">
        <v>46</v>
      </c>
      <c r="CM485" s="581">
        <f t="shared" si="335"/>
        <v>0</v>
      </c>
      <c r="CN485" s="762" t="s">
        <v>567</v>
      </c>
      <c r="CR485" s="446"/>
      <c r="CS485" s="446"/>
      <c r="CT485" s="446"/>
      <c r="CU485" s="446"/>
      <c r="CV485" s="446"/>
      <c r="CW485" s="752"/>
      <c r="CX485" s="752"/>
      <c r="CY485" s="752"/>
      <c r="CZ485" s="752"/>
      <c r="DA485" s="752"/>
      <c r="DB485" s="446"/>
      <c r="DC485" s="446"/>
      <c r="DD485" s="446"/>
      <c r="DE485" s="446"/>
      <c r="DF485" s="446"/>
      <c r="DG485" s="446"/>
      <c r="DH485" s="446"/>
      <c r="DI485" s="446"/>
      <c r="DJ485" s="446"/>
      <c r="DK485" s="446"/>
      <c r="DL485" s="446"/>
      <c r="DM485" s="446"/>
      <c r="DN485" s="446"/>
      <c r="DO485" s="446"/>
      <c r="DP485" s="446"/>
      <c r="DQ485" s="446"/>
      <c r="DR485" s="446"/>
      <c r="DS485" s="446"/>
      <c r="DT485" s="446"/>
      <c r="DU485" s="446"/>
      <c r="DV485" s="446"/>
      <c r="DW485" s="446"/>
    </row>
    <row r="486" spans="2:127" s="78" customFormat="1" ht="15" customHeight="1" x14ac:dyDescent="0.25">
      <c r="B486" s="77"/>
      <c r="E486" s="77"/>
      <c r="H486" s="77"/>
      <c r="Y486" s="90">
        <v>233</v>
      </c>
      <c r="Z486" s="559" t="str">
        <f>IF(Inventory!$C242="","",VLOOKUP(Inventory!$C242,$B$7:$C$9,2,FALSE))</f>
        <v/>
      </c>
      <c r="AA486" s="559" t="str">
        <f>IF($Z486="","",IF(AND($Z486="b",Inventory!$G242=""),"",IF(AND($Z486="b",Inventory!$G242&lt;&gt;""),VLOOKUP(Inventory!$G242,$E$3:$F$10,2,FALSE),IF(AND($Z486="a",Inventory!$Z242=""),"",IF(AND($Z486="a",Inventory!$Z242&lt;&gt;""),VLOOKUP(Inventory!$Z242,$E$3:$F$10,2,FALSE),IF(AND($Z486="c",Inventory!$Z242=""),"",IF(AND($Z486="c",Inventory!$Z242&lt;&gt;""),VLOOKUP(Inventory!$Z242,$E$3:$F$10,2,FALSE),"")))))))</f>
        <v/>
      </c>
      <c r="AB486" s="559" t="str">
        <f>IF($Z486="","a",IF(AND($Z486="b",Inventory!$J242=""),"a",IF(AND($Z486="b",Inventory!$J242&lt;&gt;""),VLOOKUP(Inventory!$J242,$H$4:$I$6,2,FALSE),IF(AND($Z486="a",Inventory!$AA242=""),"a",IF(AND($Z486="a",Inventory!$AA242&lt;&gt;""),VLOOKUP(Inventory!$AA242,$H$4:$I$6,2,FALSE),IF(AND($Z486="c",Inventory!$AA242=""),"a",IF(AND($Z486="c",Inventory!$AA242&lt;&gt;""),VLOOKUP(Inventory!$AA242,$H$4:$I$6,2,FALSE),"a")))))))</f>
        <v>a</v>
      </c>
      <c r="AC486" s="559" t="str">
        <f t="shared" si="340"/>
        <v>a</v>
      </c>
      <c r="AD486" s="473" t="str">
        <f>IF($Z486="","a",IF(AND($Z486="b",Inventory!$L242=""),"a",IF(AND($Z486="b",Inventory!$L242&lt;&gt;""),VLOOKUP(Inventory!$L242,$N$4:$O$5,2,FALSE),IF(AND($Z486="a",Inventory!$AC242=""),"a",IF(AND($Z486="a",Inventory!$AC242&lt;&gt;""),VLOOKUP(Inventory!$AC242,$N$4:$O$5,2,FALSE),IF(AND($Z486="c",Inventory!$AC242=""),"a",IF(AND($Z486="c",Inventory!$AC242&lt;&gt;""),VLOOKUP(Inventory!$AC242,$N$4:$O$5,2,FALSE),"a")))))))</f>
        <v>a</v>
      </c>
      <c r="AE486" s="474">
        <f>IF(OR(Inventory!C242="New Construction",Inventory!C242="Replace-on-Burnout"),Inventory!AF242,IF(Inventory!C242="Early Retirement",MIN(Inventory!AE242,Inventory!AF242),0))</f>
        <v>0</v>
      </c>
      <c r="AF486" s="475" t="str">
        <f t="shared" si="341"/>
        <v/>
      </c>
      <c r="AG486" s="475" t="str">
        <f t="shared" si="342"/>
        <v/>
      </c>
      <c r="AH486" s="475" t="str">
        <f t="shared" si="343"/>
        <v/>
      </c>
      <c r="AI486" s="475" t="str">
        <f t="shared" si="344"/>
        <v/>
      </c>
      <c r="AJ486" s="475" t="str">
        <f t="shared" si="345"/>
        <v/>
      </c>
      <c r="AK486" s="475" t="str">
        <f t="shared" si="346"/>
        <v/>
      </c>
      <c r="AL486" s="475" t="str">
        <f t="shared" si="347"/>
        <v/>
      </c>
      <c r="AM486" s="475" t="str">
        <f t="shared" si="348"/>
        <v/>
      </c>
      <c r="AN486" s="475" t="str">
        <f t="shared" si="349"/>
        <v/>
      </c>
      <c r="AO486" s="475" t="str">
        <f t="shared" si="350"/>
        <v/>
      </c>
      <c r="AP486" s="475" t="str">
        <f t="shared" si="351"/>
        <v/>
      </c>
      <c r="AQ486" s="475" t="str">
        <f t="shared" si="352"/>
        <v/>
      </c>
      <c r="AR486" s="475" t="str">
        <f t="shared" si="353"/>
        <v/>
      </c>
      <c r="AS486" s="475" t="str">
        <f t="shared" si="336"/>
        <v/>
      </c>
      <c r="AT486" s="475" t="str">
        <f t="shared" si="354"/>
        <v/>
      </c>
      <c r="AU486" s="475" t="str">
        <f t="shared" si="355"/>
        <v/>
      </c>
      <c r="AV486" s="475" t="str">
        <f t="shared" si="356"/>
        <v/>
      </c>
      <c r="AW486" s="473">
        <f t="shared" si="357"/>
        <v>0</v>
      </c>
      <c r="AX486" s="473" t="str">
        <f>IF(AND($Z486="b",OR($AA486="a",$AA486="b"),Inventory!$I242="",$AE486&lt;(65000/12000)),"x",IF(AND($Z486="b",OR($AA486="a",$AA486="b"),Inventory!$I242&lt;&gt;"",$AE486&lt;(65000/12000)),VLOOKUP(Inventory!$I493,$V$4:$W$5,2,FALSE),"x"))</f>
        <v>x</v>
      </c>
      <c r="AY486" s="476" t="str">
        <f t="shared" si="358"/>
        <v>aaa0</v>
      </c>
      <c r="AZ486" s="477" t="str">
        <f t="shared" si="327"/>
        <v>No</v>
      </c>
      <c r="BA486" s="759" t="str">
        <f t="shared" si="328"/>
        <v>No</v>
      </c>
      <c r="BB486" s="477">
        <f>IF($Z486="c",Inventory!$AB242,Inventory!$K242)</f>
        <v>0</v>
      </c>
      <c r="BC486" s="478">
        <f>IF(AND($Z486="b",Inventory!$N242="Btu/hr"),Inventory!$M242,IF(AND($Z486="b",Inventory!$N242="Tons"),Inventory!$M242*12000,IF(AND($Z486&lt;&gt;"b",Inventory!$AK242="Btu/hr"),Inventory!$AD242,IF(AND($Z486&lt;&gt;"b",Inventory!$AK242="Tons"),Inventory!$AD242*12000,0))))</f>
        <v>0</v>
      </c>
      <c r="BD486" s="478">
        <f t="shared" si="325"/>
        <v>0</v>
      </c>
      <c r="BE486" s="479">
        <f t="shared" si="337"/>
        <v>0</v>
      </c>
      <c r="BF486" s="477" t="s">
        <v>50</v>
      </c>
      <c r="BG486" s="479">
        <f t="shared" si="359"/>
        <v>0</v>
      </c>
      <c r="BH486" s="477" t="s">
        <v>46</v>
      </c>
      <c r="BI486" s="760">
        <f>IF(AND($Z486="b",Inventory!$P242="Btu/hr"),Inventory!$O242,IF(AND($Z486="b",Inventory!$P242="Tons"),Inventory!$O242*12000,IF(AND($Z486&lt;&gt;"b",Inventory!$AM242="Btu/hr"),Inventory!$AL242,IF(AND($Z486&lt;&gt;"b",Inventory!$AM242="Tons"),Inventory!$AL242*12000,0))))</f>
        <v>0</v>
      </c>
      <c r="BJ486" s="760">
        <f t="shared" si="326"/>
        <v>0</v>
      </c>
      <c r="BK486" s="598">
        <f t="shared" si="329"/>
        <v>0</v>
      </c>
      <c r="BL486" s="759" t="s">
        <v>567</v>
      </c>
      <c r="BM486" s="477" t="str">
        <f t="shared" si="360"/>
        <v>No</v>
      </c>
      <c r="BN486" s="477" t="str">
        <f>IF(OR(Inventory!$H242="",$BM486="No"),"-",Inventory!$H242)</f>
        <v>-</v>
      </c>
      <c r="BO486" s="477" t="str">
        <f>IFERROR(VLOOKUP(BN486,'Early Retirement'!$B$6:$C$33,2,FALSE),"-")</f>
        <v>-</v>
      </c>
      <c r="BP486" s="477" t="str">
        <f>IF(Inventory!$J242="Centrifugal","Yes","No")</f>
        <v>No</v>
      </c>
      <c r="BQ486" s="477">
        <f t="shared" si="361"/>
        <v>0</v>
      </c>
      <c r="BR486" s="477" t="str">
        <f t="shared" si="339"/>
        <v>-</v>
      </c>
      <c r="BS486" s="479">
        <f>IFERROR(INDEX('Early Retirement'!$C$4:$AC$33,$BO486,$BR486),0)</f>
        <v>0</v>
      </c>
      <c r="BT486" s="477">
        <f>IFERROR(HLOOKUP($BR486,'Early Retirement'!$D$4:$AC$5,2,FALSE),0)</f>
        <v>0</v>
      </c>
      <c r="BU486" s="761">
        <f>IFERROR(INDEX('Early Retirement'!$AE$4:$BE$33,$BO486,$BR486),0)</f>
        <v>0</v>
      </c>
      <c r="BV486" s="759">
        <f>IFERROR(HLOOKUP($BR486,'Early Retirement'!$AF$4:$BE$5,2,FALSE),0)</f>
        <v>0</v>
      </c>
      <c r="BW486" s="479">
        <f t="shared" si="362"/>
        <v>0</v>
      </c>
      <c r="BX486" s="761">
        <f t="shared" si="330"/>
        <v>0</v>
      </c>
      <c r="BY486" s="477" t="s">
        <v>46</v>
      </c>
      <c r="BZ486" s="598">
        <f>IFERROR(INDEX('Early Retirement'!$BG$4:$CG$33,$BO486,$BR486),0)</f>
        <v>0</v>
      </c>
      <c r="CA486" s="759">
        <f>IFERROR(HLOOKUP($BR486,'Early Retirement'!$BH$4:$CH$5,2,FALSE),0)</f>
        <v>0</v>
      </c>
      <c r="CB486" s="598">
        <f t="shared" si="331"/>
        <v>0</v>
      </c>
      <c r="CC486" s="759" t="s">
        <v>567</v>
      </c>
      <c r="CD486" s="477" t="str">
        <f t="shared" si="363"/>
        <v>Yes</v>
      </c>
      <c r="CE486" s="479">
        <f t="shared" si="332"/>
        <v>0</v>
      </c>
      <c r="CF486" s="761">
        <f t="shared" si="333"/>
        <v>0</v>
      </c>
      <c r="CG486" s="759" t="s">
        <v>46</v>
      </c>
      <c r="CH486" s="598">
        <f t="shared" si="338"/>
        <v>0</v>
      </c>
      <c r="CI486" s="759" t="s">
        <v>567</v>
      </c>
      <c r="CJ486" s="480">
        <f t="shared" si="364"/>
        <v>0</v>
      </c>
      <c r="CK486" s="583">
        <f t="shared" si="334"/>
        <v>0</v>
      </c>
      <c r="CL486" s="596" t="s">
        <v>46</v>
      </c>
      <c r="CM486" s="581">
        <f t="shared" si="335"/>
        <v>0</v>
      </c>
      <c r="CN486" s="762" t="s">
        <v>567</v>
      </c>
      <c r="CR486" s="446"/>
      <c r="CS486" s="446"/>
      <c r="CT486" s="446"/>
      <c r="CU486" s="446"/>
      <c r="CV486" s="446"/>
      <c r="CW486" s="752"/>
      <c r="CX486" s="752"/>
      <c r="CY486" s="752"/>
      <c r="CZ486" s="752"/>
      <c r="DA486" s="752"/>
      <c r="DB486" s="446"/>
      <c r="DC486" s="446"/>
      <c r="DD486" s="446"/>
      <c r="DE486" s="446"/>
      <c r="DF486" s="446"/>
      <c r="DG486" s="446"/>
      <c r="DH486" s="446"/>
      <c r="DI486" s="446"/>
      <c r="DJ486" s="446"/>
      <c r="DK486" s="446"/>
      <c r="DL486" s="446"/>
      <c r="DM486" s="446"/>
      <c r="DN486" s="446"/>
      <c r="DO486" s="446"/>
      <c r="DP486" s="446"/>
      <c r="DQ486" s="446"/>
      <c r="DR486" s="446"/>
      <c r="DS486" s="446"/>
      <c r="DT486" s="446"/>
      <c r="DU486" s="446"/>
      <c r="DV486" s="446"/>
      <c r="DW486" s="446"/>
    </row>
    <row r="487" spans="2:127" s="78" customFormat="1" ht="15" customHeight="1" x14ac:dyDescent="0.25">
      <c r="B487" s="77"/>
      <c r="E487" s="77"/>
      <c r="H487" s="77"/>
      <c r="Y487" s="90">
        <v>234</v>
      </c>
      <c r="Z487" s="559" t="str">
        <f>IF(Inventory!$C243="","",VLOOKUP(Inventory!$C243,$B$7:$C$9,2,FALSE))</f>
        <v/>
      </c>
      <c r="AA487" s="559" t="str">
        <f>IF($Z487="","",IF(AND($Z487="b",Inventory!$G243=""),"",IF(AND($Z487="b",Inventory!$G243&lt;&gt;""),VLOOKUP(Inventory!$G243,$E$3:$F$10,2,FALSE),IF(AND($Z487="a",Inventory!$Z243=""),"",IF(AND($Z487="a",Inventory!$Z243&lt;&gt;""),VLOOKUP(Inventory!$Z243,$E$3:$F$10,2,FALSE),IF(AND($Z487="c",Inventory!$Z243=""),"",IF(AND($Z487="c",Inventory!$Z243&lt;&gt;""),VLOOKUP(Inventory!$Z243,$E$3:$F$10,2,FALSE),"")))))))</f>
        <v/>
      </c>
      <c r="AB487" s="559" t="str">
        <f>IF($Z487="","a",IF(AND($Z487="b",Inventory!$J243=""),"a",IF(AND($Z487="b",Inventory!$J243&lt;&gt;""),VLOOKUP(Inventory!$J243,$H$4:$I$6,2,FALSE),IF(AND($Z487="a",Inventory!$AA243=""),"a",IF(AND($Z487="a",Inventory!$AA243&lt;&gt;""),VLOOKUP(Inventory!$AA243,$H$4:$I$6,2,FALSE),IF(AND($Z487="c",Inventory!$AA243=""),"a",IF(AND($Z487="c",Inventory!$AA243&lt;&gt;""),VLOOKUP(Inventory!$AA243,$H$4:$I$6,2,FALSE),"a")))))))</f>
        <v>a</v>
      </c>
      <c r="AC487" s="559" t="str">
        <f t="shared" si="340"/>
        <v>a</v>
      </c>
      <c r="AD487" s="473" t="str">
        <f>IF($Z487="","a",IF(AND($Z487="b",Inventory!$L243=""),"a",IF(AND($Z487="b",Inventory!$L243&lt;&gt;""),VLOOKUP(Inventory!$L243,$N$4:$O$5,2,FALSE),IF(AND($Z487="a",Inventory!$AC243=""),"a",IF(AND($Z487="a",Inventory!$AC243&lt;&gt;""),VLOOKUP(Inventory!$AC243,$N$4:$O$5,2,FALSE),IF(AND($Z487="c",Inventory!$AC243=""),"a",IF(AND($Z487="c",Inventory!$AC243&lt;&gt;""),VLOOKUP(Inventory!$AC243,$N$4:$O$5,2,FALSE),"a")))))))</f>
        <v>a</v>
      </c>
      <c r="AE487" s="474">
        <f>IF(OR(Inventory!C243="New Construction",Inventory!C243="Replace-on-Burnout"),Inventory!AF243,IF(Inventory!C243="Early Retirement",MIN(Inventory!AE243,Inventory!AF243),0))</f>
        <v>0</v>
      </c>
      <c r="AF487" s="475" t="str">
        <f t="shared" si="341"/>
        <v/>
      </c>
      <c r="AG487" s="475" t="str">
        <f t="shared" si="342"/>
        <v/>
      </c>
      <c r="AH487" s="475" t="str">
        <f t="shared" si="343"/>
        <v/>
      </c>
      <c r="AI487" s="475" t="str">
        <f t="shared" si="344"/>
        <v/>
      </c>
      <c r="AJ487" s="475" t="str">
        <f t="shared" si="345"/>
        <v/>
      </c>
      <c r="AK487" s="475" t="str">
        <f t="shared" si="346"/>
        <v/>
      </c>
      <c r="AL487" s="475" t="str">
        <f t="shared" si="347"/>
        <v/>
      </c>
      <c r="AM487" s="475" t="str">
        <f t="shared" si="348"/>
        <v/>
      </c>
      <c r="AN487" s="475" t="str">
        <f t="shared" si="349"/>
        <v/>
      </c>
      <c r="AO487" s="475" t="str">
        <f t="shared" si="350"/>
        <v/>
      </c>
      <c r="AP487" s="475" t="str">
        <f t="shared" si="351"/>
        <v/>
      </c>
      <c r="AQ487" s="475" t="str">
        <f t="shared" si="352"/>
        <v/>
      </c>
      <c r="AR487" s="475" t="str">
        <f t="shared" si="353"/>
        <v/>
      </c>
      <c r="AS487" s="475" t="str">
        <f t="shared" si="336"/>
        <v/>
      </c>
      <c r="AT487" s="475" t="str">
        <f t="shared" si="354"/>
        <v/>
      </c>
      <c r="AU487" s="475" t="str">
        <f t="shared" si="355"/>
        <v/>
      </c>
      <c r="AV487" s="475" t="str">
        <f t="shared" si="356"/>
        <v/>
      </c>
      <c r="AW487" s="473">
        <f t="shared" si="357"/>
        <v>0</v>
      </c>
      <c r="AX487" s="473" t="str">
        <f>IF(AND($Z487="b",OR($AA487="a",$AA487="b"),Inventory!$I243="",$AE487&lt;(65000/12000)),"x",IF(AND($Z487="b",OR($AA487="a",$AA487="b"),Inventory!$I243&lt;&gt;"",$AE487&lt;(65000/12000)),VLOOKUP(Inventory!$I494,$V$4:$W$5,2,FALSE),"x"))</f>
        <v>x</v>
      </c>
      <c r="AY487" s="476" t="str">
        <f t="shared" si="358"/>
        <v>aaa0</v>
      </c>
      <c r="AZ487" s="477" t="str">
        <f t="shared" si="327"/>
        <v>No</v>
      </c>
      <c r="BA487" s="759" t="str">
        <f t="shared" si="328"/>
        <v>No</v>
      </c>
      <c r="BB487" s="477">
        <f>IF($Z487="c",Inventory!$AB243,Inventory!$K243)</f>
        <v>0</v>
      </c>
      <c r="BC487" s="478">
        <f>IF(AND($Z487="b",Inventory!$N243="Btu/hr"),Inventory!$M243,IF(AND($Z487="b",Inventory!$N243="Tons"),Inventory!$M243*12000,IF(AND($Z487&lt;&gt;"b",Inventory!$AK243="Btu/hr"),Inventory!$AD243,IF(AND($Z487&lt;&gt;"b",Inventory!$AK243="Tons"),Inventory!$AD243*12000,0))))</f>
        <v>0</v>
      </c>
      <c r="BD487" s="478">
        <f t="shared" si="325"/>
        <v>0</v>
      </c>
      <c r="BE487" s="479">
        <f t="shared" si="337"/>
        <v>0</v>
      </c>
      <c r="BF487" s="477" t="s">
        <v>50</v>
      </c>
      <c r="BG487" s="479">
        <f t="shared" si="359"/>
        <v>0</v>
      </c>
      <c r="BH487" s="477" t="s">
        <v>46</v>
      </c>
      <c r="BI487" s="760">
        <f>IF(AND($Z487="b",Inventory!$P243="Btu/hr"),Inventory!$O243,IF(AND($Z487="b",Inventory!$P243="Tons"),Inventory!$O243*12000,IF(AND($Z487&lt;&gt;"b",Inventory!$AM243="Btu/hr"),Inventory!$AL243,IF(AND($Z487&lt;&gt;"b",Inventory!$AM243="Tons"),Inventory!$AL243*12000,0))))</f>
        <v>0</v>
      </c>
      <c r="BJ487" s="760">
        <f t="shared" si="326"/>
        <v>0</v>
      </c>
      <c r="BK487" s="598">
        <f t="shared" si="329"/>
        <v>0</v>
      </c>
      <c r="BL487" s="759" t="s">
        <v>567</v>
      </c>
      <c r="BM487" s="477" t="str">
        <f t="shared" si="360"/>
        <v>No</v>
      </c>
      <c r="BN487" s="477" t="str">
        <f>IF(OR(Inventory!$H243="",$BM487="No"),"-",Inventory!$H243)</f>
        <v>-</v>
      </c>
      <c r="BO487" s="477" t="str">
        <f>IFERROR(VLOOKUP(BN487,'Early Retirement'!$B$6:$C$33,2,FALSE),"-")</f>
        <v>-</v>
      </c>
      <c r="BP487" s="477" t="str">
        <f>IF(Inventory!$J243="Centrifugal","Yes","No")</f>
        <v>No</v>
      </c>
      <c r="BQ487" s="477">
        <f t="shared" si="361"/>
        <v>0</v>
      </c>
      <c r="BR487" s="477" t="str">
        <f t="shared" si="339"/>
        <v>-</v>
      </c>
      <c r="BS487" s="479">
        <f>IFERROR(INDEX('Early Retirement'!$C$4:$AC$33,$BO487,$BR487),0)</f>
        <v>0</v>
      </c>
      <c r="BT487" s="477">
        <f>IFERROR(HLOOKUP($BR487,'Early Retirement'!$D$4:$AC$5,2,FALSE),0)</f>
        <v>0</v>
      </c>
      <c r="BU487" s="761">
        <f>IFERROR(INDEX('Early Retirement'!$AE$4:$BE$33,$BO487,$BR487),0)</f>
        <v>0</v>
      </c>
      <c r="BV487" s="759">
        <f>IFERROR(HLOOKUP($BR487,'Early Retirement'!$AF$4:$BE$5,2,FALSE),0)</f>
        <v>0</v>
      </c>
      <c r="BW487" s="479">
        <f t="shared" si="362"/>
        <v>0</v>
      </c>
      <c r="BX487" s="761">
        <f t="shared" si="330"/>
        <v>0</v>
      </c>
      <c r="BY487" s="477" t="s">
        <v>46</v>
      </c>
      <c r="BZ487" s="598">
        <f>IFERROR(INDEX('Early Retirement'!$BG$4:$CG$33,$BO487,$BR487),0)</f>
        <v>0</v>
      </c>
      <c r="CA487" s="759">
        <f>IFERROR(HLOOKUP($BR487,'Early Retirement'!$BH$4:$CH$5,2,FALSE),0)</f>
        <v>0</v>
      </c>
      <c r="CB487" s="598">
        <f t="shared" si="331"/>
        <v>0</v>
      </c>
      <c r="CC487" s="759" t="s">
        <v>567</v>
      </c>
      <c r="CD487" s="477" t="str">
        <f t="shared" si="363"/>
        <v>Yes</v>
      </c>
      <c r="CE487" s="479">
        <f t="shared" si="332"/>
        <v>0</v>
      </c>
      <c r="CF487" s="761">
        <f t="shared" si="333"/>
        <v>0</v>
      </c>
      <c r="CG487" s="759" t="s">
        <v>46</v>
      </c>
      <c r="CH487" s="598">
        <f t="shared" si="338"/>
        <v>0</v>
      </c>
      <c r="CI487" s="759" t="s">
        <v>567</v>
      </c>
      <c r="CJ487" s="480">
        <f t="shared" si="364"/>
        <v>0</v>
      </c>
      <c r="CK487" s="583">
        <f t="shared" si="334"/>
        <v>0</v>
      </c>
      <c r="CL487" s="596" t="s">
        <v>46</v>
      </c>
      <c r="CM487" s="581">
        <f t="shared" si="335"/>
        <v>0</v>
      </c>
      <c r="CN487" s="762" t="s">
        <v>567</v>
      </c>
      <c r="CR487" s="446"/>
      <c r="CS487" s="446"/>
      <c r="CT487" s="446"/>
      <c r="CU487" s="446"/>
      <c r="CV487" s="446"/>
      <c r="CW487" s="752"/>
      <c r="CX487" s="752"/>
      <c r="CY487" s="752"/>
      <c r="CZ487" s="752"/>
      <c r="DA487" s="752"/>
      <c r="DB487" s="446"/>
      <c r="DC487" s="446"/>
      <c r="DD487" s="446"/>
      <c r="DE487" s="446"/>
      <c r="DF487" s="446"/>
      <c r="DG487" s="446"/>
      <c r="DH487" s="446"/>
      <c r="DI487" s="446"/>
      <c r="DJ487" s="446"/>
      <c r="DK487" s="446"/>
      <c r="DL487" s="446"/>
      <c r="DM487" s="446"/>
      <c r="DN487" s="446"/>
      <c r="DO487" s="446"/>
      <c r="DP487" s="446"/>
      <c r="DQ487" s="446"/>
      <c r="DR487" s="446"/>
      <c r="DS487" s="446"/>
      <c r="DT487" s="446"/>
      <c r="DU487" s="446"/>
      <c r="DV487" s="446"/>
      <c r="DW487" s="446"/>
    </row>
    <row r="488" spans="2:127" s="78" customFormat="1" ht="15" customHeight="1" x14ac:dyDescent="0.25">
      <c r="B488" s="77"/>
      <c r="E488" s="77"/>
      <c r="H488" s="77"/>
      <c r="Y488" s="90">
        <v>235</v>
      </c>
      <c r="Z488" s="559" t="str">
        <f>IF(Inventory!$C244="","",VLOOKUP(Inventory!$C244,$B$7:$C$9,2,FALSE))</f>
        <v/>
      </c>
      <c r="AA488" s="559" t="str">
        <f>IF($Z488="","",IF(AND($Z488="b",Inventory!$G244=""),"",IF(AND($Z488="b",Inventory!$G244&lt;&gt;""),VLOOKUP(Inventory!$G244,$E$3:$F$10,2,FALSE),IF(AND($Z488="a",Inventory!$Z244=""),"",IF(AND($Z488="a",Inventory!$Z244&lt;&gt;""),VLOOKUP(Inventory!$Z244,$E$3:$F$10,2,FALSE),IF(AND($Z488="c",Inventory!$Z244=""),"",IF(AND($Z488="c",Inventory!$Z244&lt;&gt;""),VLOOKUP(Inventory!$Z244,$E$3:$F$10,2,FALSE),"")))))))</f>
        <v/>
      </c>
      <c r="AB488" s="559" t="str">
        <f>IF($Z488="","a",IF(AND($Z488="b",Inventory!$J244=""),"a",IF(AND($Z488="b",Inventory!$J244&lt;&gt;""),VLOOKUP(Inventory!$J244,$H$4:$I$6,2,FALSE),IF(AND($Z488="a",Inventory!$AA244=""),"a",IF(AND($Z488="a",Inventory!$AA244&lt;&gt;""),VLOOKUP(Inventory!$AA244,$H$4:$I$6,2,FALSE),IF(AND($Z488="c",Inventory!$AA244=""),"a",IF(AND($Z488="c",Inventory!$AA244&lt;&gt;""),VLOOKUP(Inventory!$AA244,$H$4:$I$6,2,FALSE),"a")))))))</f>
        <v>a</v>
      </c>
      <c r="AC488" s="559" t="str">
        <f t="shared" si="340"/>
        <v>a</v>
      </c>
      <c r="AD488" s="473" t="str">
        <f>IF($Z488="","a",IF(AND($Z488="b",Inventory!$L244=""),"a",IF(AND($Z488="b",Inventory!$L244&lt;&gt;""),VLOOKUP(Inventory!$L244,$N$4:$O$5,2,FALSE),IF(AND($Z488="a",Inventory!$AC244=""),"a",IF(AND($Z488="a",Inventory!$AC244&lt;&gt;""),VLOOKUP(Inventory!$AC244,$N$4:$O$5,2,FALSE),IF(AND($Z488="c",Inventory!$AC244=""),"a",IF(AND($Z488="c",Inventory!$AC244&lt;&gt;""),VLOOKUP(Inventory!$AC244,$N$4:$O$5,2,FALSE),"a")))))))</f>
        <v>a</v>
      </c>
      <c r="AE488" s="474">
        <f>IF(OR(Inventory!C244="New Construction",Inventory!C244="Replace-on-Burnout"),Inventory!AF244,IF(Inventory!C244="Early Retirement",MIN(Inventory!AE244,Inventory!AF244),0))</f>
        <v>0</v>
      </c>
      <c r="AF488" s="475" t="str">
        <f t="shared" si="341"/>
        <v/>
      </c>
      <c r="AG488" s="475" t="str">
        <f t="shared" si="342"/>
        <v/>
      </c>
      <c r="AH488" s="475" t="str">
        <f t="shared" si="343"/>
        <v/>
      </c>
      <c r="AI488" s="475" t="str">
        <f t="shared" si="344"/>
        <v/>
      </c>
      <c r="AJ488" s="475" t="str">
        <f t="shared" si="345"/>
        <v/>
      </c>
      <c r="AK488" s="475" t="str">
        <f t="shared" si="346"/>
        <v/>
      </c>
      <c r="AL488" s="475" t="str">
        <f t="shared" si="347"/>
        <v/>
      </c>
      <c r="AM488" s="475" t="str">
        <f t="shared" si="348"/>
        <v/>
      </c>
      <c r="AN488" s="475" t="str">
        <f t="shared" si="349"/>
        <v/>
      </c>
      <c r="AO488" s="475" t="str">
        <f t="shared" si="350"/>
        <v/>
      </c>
      <c r="AP488" s="475" t="str">
        <f t="shared" si="351"/>
        <v/>
      </c>
      <c r="AQ488" s="475" t="str">
        <f t="shared" si="352"/>
        <v/>
      </c>
      <c r="AR488" s="475" t="str">
        <f t="shared" si="353"/>
        <v/>
      </c>
      <c r="AS488" s="475" t="str">
        <f t="shared" si="336"/>
        <v/>
      </c>
      <c r="AT488" s="475" t="str">
        <f t="shared" si="354"/>
        <v/>
      </c>
      <c r="AU488" s="475" t="str">
        <f t="shared" si="355"/>
        <v/>
      </c>
      <c r="AV488" s="475" t="str">
        <f t="shared" si="356"/>
        <v/>
      </c>
      <c r="AW488" s="473">
        <f t="shared" si="357"/>
        <v>0</v>
      </c>
      <c r="AX488" s="473" t="str">
        <f>IF(AND($Z488="b",OR($AA488="a",$AA488="b"),Inventory!$I244="",$AE488&lt;(65000/12000)),"x",IF(AND($Z488="b",OR($AA488="a",$AA488="b"),Inventory!$I244&lt;&gt;"",$AE488&lt;(65000/12000)),VLOOKUP(Inventory!$I495,$V$4:$W$5,2,FALSE),"x"))</f>
        <v>x</v>
      </c>
      <c r="AY488" s="476" t="str">
        <f t="shared" si="358"/>
        <v>aaa0</v>
      </c>
      <c r="AZ488" s="477" t="str">
        <f t="shared" si="327"/>
        <v>No</v>
      </c>
      <c r="BA488" s="759" t="str">
        <f t="shared" si="328"/>
        <v>No</v>
      </c>
      <c r="BB488" s="477">
        <f>IF($Z488="c",Inventory!$AB244,Inventory!$K244)</f>
        <v>0</v>
      </c>
      <c r="BC488" s="478">
        <f>IF(AND($Z488="b",Inventory!$N244="Btu/hr"),Inventory!$M244,IF(AND($Z488="b",Inventory!$N244="Tons"),Inventory!$M244*12000,IF(AND($Z488&lt;&gt;"b",Inventory!$AK244="Btu/hr"),Inventory!$AD244,IF(AND($Z488&lt;&gt;"b",Inventory!$AK244="Tons"),Inventory!$AD244*12000,0))))</f>
        <v>0</v>
      </c>
      <c r="BD488" s="478">
        <f t="shared" si="325"/>
        <v>0</v>
      </c>
      <c r="BE488" s="479">
        <f t="shared" si="337"/>
        <v>0</v>
      </c>
      <c r="BF488" s="477" t="s">
        <v>50</v>
      </c>
      <c r="BG488" s="479">
        <f t="shared" si="359"/>
        <v>0</v>
      </c>
      <c r="BH488" s="477" t="s">
        <v>46</v>
      </c>
      <c r="BI488" s="760">
        <f>IF(AND($Z488="b",Inventory!$P244="Btu/hr"),Inventory!$O244,IF(AND($Z488="b",Inventory!$P244="Tons"),Inventory!$O244*12000,IF(AND($Z488&lt;&gt;"b",Inventory!$AM244="Btu/hr"),Inventory!$AL244,IF(AND($Z488&lt;&gt;"b",Inventory!$AM244="Tons"),Inventory!$AL244*12000,0))))</f>
        <v>0</v>
      </c>
      <c r="BJ488" s="760">
        <f t="shared" si="326"/>
        <v>0</v>
      </c>
      <c r="BK488" s="598">
        <f t="shared" si="329"/>
        <v>0</v>
      </c>
      <c r="BL488" s="759" t="s">
        <v>567</v>
      </c>
      <c r="BM488" s="477" t="str">
        <f t="shared" si="360"/>
        <v>No</v>
      </c>
      <c r="BN488" s="477" t="str">
        <f>IF(OR(Inventory!$H244="",$BM488="No"),"-",Inventory!$H244)</f>
        <v>-</v>
      </c>
      <c r="BO488" s="477" t="str">
        <f>IFERROR(VLOOKUP(BN488,'Early Retirement'!$B$6:$C$33,2,FALSE),"-")</f>
        <v>-</v>
      </c>
      <c r="BP488" s="477" t="str">
        <f>IF(Inventory!$J244="Centrifugal","Yes","No")</f>
        <v>No</v>
      </c>
      <c r="BQ488" s="477">
        <f t="shared" si="361"/>
        <v>0</v>
      </c>
      <c r="BR488" s="477" t="str">
        <f t="shared" si="339"/>
        <v>-</v>
      </c>
      <c r="BS488" s="479">
        <f>IFERROR(INDEX('Early Retirement'!$C$4:$AC$33,$BO488,$BR488),0)</f>
        <v>0</v>
      </c>
      <c r="BT488" s="477">
        <f>IFERROR(HLOOKUP($BR488,'Early Retirement'!$D$4:$AC$5,2,FALSE),0)</f>
        <v>0</v>
      </c>
      <c r="BU488" s="761">
        <f>IFERROR(INDEX('Early Retirement'!$AE$4:$BE$33,$BO488,$BR488),0)</f>
        <v>0</v>
      </c>
      <c r="BV488" s="759">
        <f>IFERROR(HLOOKUP($BR488,'Early Retirement'!$AF$4:$BE$5,2,FALSE),0)</f>
        <v>0</v>
      </c>
      <c r="BW488" s="479">
        <f t="shared" si="362"/>
        <v>0</v>
      </c>
      <c r="BX488" s="761">
        <f t="shared" si="330"/>
        <v>0</v>
      </c>
      <c r="BY488" s="477" t="s">
        <v>46</v>
      </c>
      <c r="BZ488" s="598">
        <f>IFERROR(INDEX('Early Retirement'!$BG$4:$CG$33,$BO488,$BR488),0)</f>
        <v>0</v>
      </c>
      <c r="CA488" s="759">
        <f>IFERROR(HLOOKUP($BR488,'Early Retirement'!$BH$4:$CH$5,2,FALSE),0)</f>
        <v>0</v>
      </c>
      <c r="CB488" s="598">
        <f t="shared" si="331"/>
        <v>0</v>
      </c>
      <c r="CC488" s="759" t="s">
        <v>567</v>
      </c>
      <c r="CD488" s="477" t="str">
        <f t="shared" si="363"/>
        <v>Yes</v>
      </c>
      <c r="CE488" s="479">
        <f t="shared" si="332"/>
        <v>0</v>
      </c>
      <c r="CF488" s="761">
        <f t="shared" si="333"/>
        <v>0</v>
      </c>
      <c r="CG488" s="759" t="s">
        <v>46</v>
      </c>
      <c r="CH488" s="598">
        <f t="shared" si="338"/>
        <v>0</v>
      </c>
      <c r="CI488" s="759" t="s">
        <v>567</v>
      </c>
      <c r="CJ488" s="480">
        <f t="shared" si="364"/>
        <v>0</v>
      </c>
      <c r="CK488" s="583">
        <f t="shared" si="334"/>
        <v>0</v>
      </c>
      <c r="CL488" s="596" t="s">
        <v>46</v>
      </c>
      <c r="CM488" s="581">
        <f t="shared" si="335"/>
        <v>0</v>
      </c>
      <c r="CN488" s="762" t="s">
        <v>567</v>
      </c>
      <c r="CR488" s="446"/>
      <c r="CS488" s="446"/>
      <c r="CT488" s="446"/>
      <c r="CU488" s="446"/>
      <c r="CV488" s="446"/>
      <c r="CW488" s="752"/>
      <c r="CX488" s="752"/>
      <c r="CY488" s="752"/>
      <c r="CZ488" s="752"/>
      <c r="DA488" s="752"/>
      <c r="DB488" s="446"/>
      <c r="DC488" s="446"/>
      <c r="DD488" s="446"/>
      <c r="DE488" s="446"/>
      <c r="DF488" s="446"/>
      <c r="DG488" s="446"/>
      <c r="DH488" s="446"/>
      <c r="DI488" s="446"/>
      <c r="DJ488" s="446"/>
      <c r="DK488" s="446"/>
      <c r="DL488" s="446"/>
      <c r="DM488" s="446"/>
      <c r="DN488" s="446"/>
      <c r="DO488" s="446"/>
      <c r="DP488" s="446"/>
      <c r="DQ488" s="446"/>
      <c r="DR488" s="446"/>
      <c r="DS488" s="446"/>
      <c r="DT488" s="446"/>
      <c r="DU488" s="446"/>
      <c r="DV488" s="446"/>
      <c r="DW488" s="446"/>
    </row>
    <row r="489" spans="2:127" s="78" customFormat="1" ht="15" customHeight="1" x14ac:dyDescent="0.25">
      <c r="B489" s="77"/>
      <c r="E489" s="77"/>
      <c r="H489" s="77"/>
      <c r="Y489" s="90">
        <v>236</v>
      </c>
      <c r="Z489" s="559" t="str">
        <f>IF(Inventory!$C245="","",VLOOKUP(Inventory!$C245,$B$7:$C$9,2,FALSE))</f>
        <v/>
      </c>
      <c r="AA489" s="559" t="str">
        <f>IF($Z489="","",IF(AND($Z489="b",Inventory!$G245=""),"",IF(AND($Z489="b",Inventory!$G245&lt;&gt;""),VLOOKUP(Inventory!$G245,$E$3:$F$10,2,FALSE),IF(AND($Z489="a",Inventory!$Z245=""),"",IF(AND($Z489="a",Inventory!$Z245&lt;&gt;""),VLOOKUP(Inventory!$Z245,$E$3:$F$10,2,FALSE),IF(AND($Z489="c",Inventory!$Z245=""),"",IF(AND($Z489="c",Inventory!$Z245&lt;&gt;""),VLOOKUP(Inventory!$Z245,$E$3:$F$10,2,FALSE),"")))))))</f>
        <v/>
      </c>
      <c r="AB489" s="559" t="str">
        <f>IF($Z489="","a",IF(AND($Z489="b",Inventory!$J245=""),"a",IF(AND($Z489="b",Inventory!$J245&lt;&gt;""),VLOOKUP(Inventory!$J245,$H$4:$I$6,2,FALSE),IF(AND($Z489="a",Inventory!$AA245=""),"a",IF(AND($Z489="a",Inventory!$AA245&lt;&gt;""),VLOOKUP(Inventory!$AA245,$H$4:$I$6,2,FALSE),IF(AND($Z489="c",Inventory!$AA245=""),"a",IF(AND($Z489="c",Inventory!$AA245&lt;&gt;""),VLOOKUP(Inventory!$AA245,$H$4:$I$6,2,FALSE),"a")))))))</f>
        <v>a</v>
      </c>
      <c r="AC489" s="559" t="str">
        <f t="shared" si="340"/>
        <v>a</v>
      </c>
      <c r="AD489" s="473" t="str">
        <f>IF($Z489="","a",IF(AND($Z489="b",Inventory!$L245=""),"a",IF(AND($Z489="b",Inventory!$L245&lt;&gt;""),VLOOKUP(Inventory!$L245,$N$4:$O$5,2,FALSE),IF(AND($Z489="a",Inventory!$AC245=""),"a",IF(AND($Z489="a",Inventory!$AC245&lt;&gt;""),VLOOKUP(Inventory!$AC245,$N$4:$O$5,2,FALSE),IF(AND($Z489="c",Inventory!$AC245=""),"a",IF(AND($Z489="c",Inventory!$AC245&lt;&gt;""),VLOOKUP(Inventory!$AC245,$N$4:$O$5,2,FALSE),"a")))))))</f>
        <v>a</v>
      </c>
      <c r="AE489" s="474">
        <f>IF(OR(Inventory!C245="New Construction",Inventory!C245="Replace-on-Burnout"),Inventory!AF245,IF(Inventory!C245="Early Retirement",MIN(Inventory!AE245,Inventory!AF245),0))</f>
        <v>0</v>
      </c>
      <c r="AF489" s="475" t="str">
        <f t="shared" si="341"/>
        <v/>
      </c>
      <c r="AG489" s="475" t="str">
        <f t="shared" si="342"/>
        <v/>
      </c>
      <c r="AH489" s="475" t="str">
        <f t="shared" si="343"/>
        <v/>
      </c>
      <c r="AI489" s="475" t="str">
        <f t="shared" si="344"/>
        <v/>
      </c>
      <c r="AJ489" s="475" t="str">
        <f t="shared" si="345"/>
        <v/>
      </c>
      <c r="AK489" s="475" t="str">
        <f t="shared" si="346"/>
        <v/>
      </c>
      <c r="AL489" s="475" t="str">
        <f t="shared" si="347"/>
        <v/>
      </c>
      <c r="AM489" s="475" t="str">
        <f t="shared" si="348"/>
        <v/>
      </c>
      <c r="AN489" s="475" t="str">
        <f t="shared" si="349"/>
        <v/>
      </c>
      <c r="AO489" s="475" t="str">
        <f t="shared" si="350"/>
        <v/>
      </c>
      <c r="AP489" s="475" t="str">
        <f t="shared" si="351"/>
        <v/>
      </c>
      <c r="AQ489" s="475" t="str">
        <f t="shared" si="352"/>
        <v/>
      </c>
      <c r="AR489" s="475" t="str">
        <f t="shared" si="353"/>
        <v/>
      </c>
      <c r="AS489" s="475" t="str">
        <f t="shared" si="336"/>
        <v/>
      </c>
      <c r="AT489" s="475" t="str">
        <f t="shared" si="354"/>
        <v/>
      </c>
      <c r="AU489" s="475" t="str">
        <f t="shared" si="355"/>
        <v/>
      </c>
      <c r="AV489" s="475" t="str">
        <f t="shared" si="356"/>
        <v/>
      </c>
      <c r="AW489" s="473">
        <f t="shared" si="357"/>
        <v>0</v>
      </c>
      <c r="AX489" s="473" t="str">
        <f>IF(AND($Z489="b",OR($AA489="a",$AA489="b"),Inventory!$I245="",$AE489&lt;(65000/12000)),"x",IF(AND($Z489="b",OR($AA489="a",$AA489="b"),Inventory!$I245&lt;&gt;"",$AE489&lt;(65000/12000)),VLOOKUP(Inventory!$I496,$V$4:$W$5,2,FALSE),"x"))</f>
        <v>x</v>
      </c>
      <c r="AY489" s="476" t="str">
        <f t="shared" si="358"/>
        <v>aaa0</v>
      </c>
      <c r="AZ489" s="477" t="str">
        <f t="shared" si="327"/>
        <v>No</v>
      </c>
      <c r="BA489" s="759" t="str">
        <f t="shared" si="328"/>
        <v>No</v>
      </c>
      <c r="BB489" s="477">
        <f>IF($Z489="c",Inventory!$AB245,Inventory!$K245)</f>
        <v>0</v>
      </c>
      <c r="BC489" s="478">
        <f>IF(AND($Z489="b",Inventory!$N245="Btu/hr"),Inventory!$M245,IF(AND($Z489="b",Inventory!$N245="Tons"),Inventory!$M245*12000,IF(AND($Z489&lt;&gt;"b",Inventory!$AK245="Btu/hr"),Inventory!$AD245,IF(AND($Z489&lt;&gt;"b",Inventory!$AK245="Tons"),Inventory!$AD245*12000,0))))</f>
        <v>0</v>
      </c>
      <c r="BD489" s="478">
        <f t="shared" si="325"/>
        <v>0</v>
      </c>
      <c r="BE489" s="479">
        <f t="shared" si="337"/>
        <v>0</v>
      </c>
      <c r="BF489" s="477" t="s">
        <v>50</v>
      </c>
      <c r="BG489" s="479">
        <f t="shared" si="359"/>
        <v>0</v>
      </c>
      <c r="BH489" s="477" t="s">
        <v>46</v>
      </c>
      <c r="BI489" s="760">
        <f>IF(AND($Z489="b",Inventory!$P245="Btu/hr"),Inventory!$O245,IF(AND($Z489="b",Inventory!$P245="Tons"),Inventory!$O245*12000,IF(AND($Z489&lt;&gt;"b",Inventory!$AM245="Btu/hr"),Inventory!$AL245,IF(AND($Z489&lt;&gt;"b",Inventory!$AM245="Tons"),Inventory!$AL245*12000,0))))</f>
        <v>0</v>
      </c>
      <c r="BJ489" s="760">
        <f t="shared" si="326"/>
        <v>0</v>
      </c>
      <c r="BK489" s="598">
        <f t="shared" si="329"/>
        <v>0</v>
      </c>
      <c r="BL489" s="759" t="s">
        <v>567</v>
      </c>
      <c r="BM489" s="477" t="str">
        <f t="shared" si="360"/>
        <v>No</v>
      </c>
      <c r="BN489" s="477" t="str">
        <f>IF(OR(Inventory!$H245="",$BM489="No"),"-",Inventory!$H245)</f>
        <v>-</v>
      </c>
      <c r="BO489" s="477" t="str">
        <f>IFERROR(VLOOKUP(BN489,'Early Retirement'!$B$6:$C$33,2,FALSE),"-")</f>
        <v>-</v>
      </c>
      <c r="BP489" s="477" t="str">
        <f>IF(Inventory!$J245="Centrifugal","Yes","No")</f>
        <v>No</v>
      </c>
      <c r="BQ489" s="477">
        <f t="shared" si="361"/>
        <v>0</v>
      </c>
      <c r="BR489" s="477" t="str">
        <f t="shared" si="339"/>
        <v>-</v>
      </c>
      <c r="BS489" s="479">
        <f>IFERROR(INDEX('Early Retirement'!$C$4:$AC$33,$BO489,$BR489),0)</f>
        <v>0</v>
      </c>
      <c r="BT489" s="477">
        <f>IFERROR(HLOOKUP($BR489,'Early Retirement'!$D$4:$AC$5,2,FALSE),0)</f>
        <v>0</v>
      </c>
      <c r="BU489" s="761">
        <f>IFERROR(INDEX('Early Retirement'!$AE$4:$BE$33,$BO489,$BR489),0)</f>
        <v>0</v>
      </c>
      <c r="BV489" s="759">
        <f>IFERROR(HLOOKUP($BR489,'Early Retirement'!$AF$4:$BE$5,2,FALSE),0)</f>
        <v>0</v>
      </c>
      <c r="BW489" s="479">
        <f t="shared" si="362"/>
        <v>0</v>
      </c>
      <c r="BX489" s="761">
        <f t="shared" si="330"/>
        <v>0</v>
      </c>
      <c r="BY489" s="477" t="s">
        <v>46</v>
      </c>
      <c r="BZ489" s="598">
        <f>IFERROR(INDEX('Early Retirement'!$BG$4:$CG$33,$BO489,$BR489),0)</f>
        <v>0</v>
      </c>
      <c r="CA489" s="759">
        <f>IFERROR(HLOOKUP($BR489,'Early Retirement'!$BH$4:$CH$5,2,FALSE),0)</f>
        <v>0</v>
      </c>
      <c r="CB489" s="598">
        <f t="shared" si="331"/>
        <v>0</v>
      </c>
      <c r="CC489" s="759" t="s">
        <v>567</v>
      </c>
      <c r="CD489" s="477" t="str">
        <f t="shared" si="363"/>
        <v>Yes</v>
      </c>
      <c r="CE489" s="479">
        <f t="shared" si="332"/>
        <v>0</v>
      </c>
      <c r="CF489" s="761">
        <f t="shared" si="333"/>
        <v>0</v>
      </c>
      <c r="CG489" s="759" t="s">
        <v>46</v>
      </c>
      <c r="CH489" s="598">
        <f t="shared" si="338"/>
        <v>0</v>
      </c>
      <c r="CI489" s="759" t="s">
        <v>567</v>
      </c>
      <c r="CJ489" s="480">
        <f t="shared" si="364"/>
        <v>0</v>
      </c>
      <c r="CK489" s="583">
        <f t="shared" si="334"/>
        <v>0</v>
      </c>
      <c r="CL489" s="596" t="s">
        <v>46</v>
      </c>
      <c r="CM489" s="581">
        <f t="shared" si="335"/>
        <v>0</v>
      </c>
      <c r="CN489" s="762" t="s">
        <v>567</v>
      </c>
      <c r="CR489" s="446"/>
      <c r="CS489" s="446"/>
      <c r="CT489" s="446"/>
      <c r="CU489" s="446"/>
      <c r="CV489" s="446"/>
      <c r="CW489" s="752"/>
      <c r="CX489" s="752"/>
      <c r="CY489" s="752"/>
      <c r="CZ489" s="752"/>
      <c r="DA489" s="752"/>
      <c r="DB489" s="446"/>
      <c r="DC489" s="446"/>
      <c r="DD489" s="446"/>
      <c r="DE489" s="446"/>
      <c r="DF489" s="446"/>
      <c r="DG489" s="446"/>
      <c r="DH489" s="446"/>
      <c r="DI489" s="446"/>
      <c r="DJ489" s="446"/>
      <c r="DK489" s="446"/>
      <c r="DL489" s="446"/>
      <c r="DM489" s="446"/>
      <c r="DN489" s="446"/>
      <c r="DO489" s="446"/>
      <c r="DP489" s="446"/>
      <c r="DQ489" s="446"/>
      <c r="DR489" s="446"/>
      <c r="DS489" s="446"/>
      <c r="DT489" s="446"/>
      <c r="DU489" s="446"/>
      <c r="DV489" s="446"/>
      <c r="DW489" s="446"/>
    </row>
    <row r="490" spans="2:127" s="78" customFormat="1" ht="15" customHeight="1" x14ac:dyDescent="0.25">
      <c r="B490" s="77"/>
      <c r="E490" s="77"/>
      <c r="H490" s="77"/>
      <c r="Y490" s="90">
        <v>237</v>
      </c>
      <c r="Z490" s="559" t="str">
        <f>IF(Inventory!$C246="","",VLOOKUP(Inventory!$C246,$B$7:$C$9,2,FALSE))</f>
        <v/>
      </c>
      <c r="AA490" s="559" t="str">
        <f>IF($Z490="","",IF(AND($Z490="b",Inventory!$G246=""),"",IF(AND($Z490="b",Inventory!$G246&lt;&gt;""),VLOOKUP(Inventory!$G246,$E$3:$F$10,2,FALSE),IF(AND($Z490="a",Inventory!$Z246=""),"",IF(AND($Z490="a",Inventory!$Z246&lt;&gt;""),VLOOKUP(Inventory!$Z246,$E$3:$F$10,2,FALSE),IF(AND($Z490="c",Inventory!$Z246=""),"",IF(AND($Z490="c",Inventory!$Z246&lt;&gt;""),VLOOKUP(Inventory!$Z246,$E$3:$F$10,2,FALSE),"")))))))</f>
        <v/>
      </c>
      <c r="AB490" s="559" t="str">
        <f>IF($Z490="","a",IF(AND($Z490="b",Inventory!$J246=""),"a",IF(AND($Z490="b",Inventory!$J246&lt;&gt;""),VLOOKUP(Inventory!$J246,$H$4:$I$6,2,FALSE),IF(AND($Z490="a",Inventory!$AA246=""),"a",IF(AND($Z490="a",Inventory!$AA246&lt;&gt;""),VLOOKUP(Inventory!$AA246,$H$4:$I$6,2,FALSE),IF(AND($Z490="c",Inventory!$AA246=""),"a",IF(AND($Z490="c",Inventory!$AA246&lt;&gt;""),VLOOKUP(Inventory!$AA246,$H$4:$I$6,2,FALSE),"a")))))))</f>
        <v>a</v>
      </c>
      <c r="AC490" s="559" t="str">
        <f t="shared" si="340"/>
        <v>a</v>
      </c>
      <c r="AD490" s="473" t="str">
        <f>IF($Z490="","a",IF(AND($Z490="b",Inventory!$L246=""),"a",IF(AND($Z490="b",Inventory!$L246&lt;&gt;""),VLOOKUP(Inventory!$L246,$N$4:$O$5,2,FALSE),IF(AND($Z490="a",Inventory!$AC246=""),"a",IF(AND($Z490="a",Inventory!$AC246&lt;&gt;""),VLOOKUP(Inventory!$AC246,$N$4:$O$5,2,FALSE),IF(AND($Z490="c",Inventory!$AC246=""),"a",IF(AND($Z490="c",Inventory!$AC246&lt;&gt;""),VLOOKUP(Inventory!$AC246,$N$4:$O$5,2,FALSE),"a")))))))</f>
        <v>a</v>
      </c>
      <c r="AE490" s="474">
        <f>IF(OR(Inventory!C246="New Construction",Inventory!C246="Replace-on-Burnout"),Inventory!AF246,IF(Inventory!C246="Early Retirement",MIN(Inventory!AE246,Inventory!AF246),0))</f>
        <v>0</v>
      </c>
      <c r="AF490" s="475" t="str">
        <f t="shared" si="341"/>
        <v/>
      </c>
      <c r="AG490" s="475" t="str">
        <f t="shared" si="342"/>
        <v/>
      </c>
      <c r="AH490" s="475" t="str">
        <f t="shared" si="343"/>
        <v/>
      </c>
      <c r="AI490" s="475" t="str">
        <f t="shared" si="344"/>
        <v/>
      </c>
      <c r="AJ490" s="475" t="str">
        <f t="shared" si="345"/>
        <v/>
      </c>
      <c r="AK490" s="475" t="str">
        <f t="shared" si="346"/>
        <v/>
      </c>
      <c r="AL490" s="475" t="str">
        <f t="shared" si="347"/>
        <v/>
      </c>
      <c r="AM490" s="475" t="str">
        <f t="shared" si="348"/>
        <v/>
      </c>
      <c r="AN490" s="475" t="str">
        <f t="shared" si="349"/>
        <v/>
      </c>
      <c r="AO490" s="475" t="str">
        <f t="shared" si="350"/>
        <v/>
      </c>
      <c r="AP490" s="475" t="str">
        <f t="shared" si="351"/>
        <v/>
      </c>
      <c r="AQ490" s="475" t="str">
        <f t="shared" si="352"/>
        <v/>
      </c>
      <c r="AR490" s="475" t="str">
        <f t="shared" si="353"/>
        <v/>
      </c>
      <c r="AS490" s="475" t="str">
        <f t="shared" si="336"/>
        <v/>
      </c>
      <c r="AT490" s="475" t="str">
        <f t="shared" si="354"/>
        <v/>
      </c>
      <c r="AU490" s="475" t="str">
        <f t="shared" si="355"/>
        <v/>
      </c>
      <c r="AV490" s="475" t="str">
        <f t="shared" si="356"/>
        <v/>
      </c>
      <c r="AW490" s="473">
        <f t="shared" si="357"/>
        <v>0</v>
      </c>
      <c r="AX490" s="473" t="str">
        <f>IF(AND($Z490="b",OR($AA490="a",$AA490="b"),Inventory!$I246="",$AE490&lt;(65000/12000)),"x",IF(AND($Z490="b",OR($AA490="a",$AA490="b"),Inventory!$I246&lt;&gt;"",$AE490&lt;(65000/12000)),VLOOKUP(Inventory!$I497,$V$4:$W$5,2,FALSE),"x"))</f>
        <v>x</v>
      </c>
      <c r="AY490" s="476" t="str">
        <f t="shared" si="358"/>
        <v>aaa0</v>
      </c>
      <c r="AZ490" s="477" t="str">
        <f t="shared" si="327"/>
        <v>No</v>
      </c>
      <c r="BA490" s="759" t="str">
        <f t="shared" si="328"/>
        <v>No</v>
      </c>
      <c r="BB490" s="477">
        <f>IF($Z490="c",Inventory!$AB246,Inventory!$K246)</f>
        <v>0</v>
      </c>
      <c r="BC490" s="478">
        <f>IF(AND($Z490="b",Inventory!$N246="Btu/hr"),Inventory!$M246,IF(AND($Z490="b",Inventory!$N246="Tons"),Inventory!$M246*12000,IF(AND($Z490&lt;&gt;"b",Inventory!$AK246="Btu/hr"),Inventory!$AD246,IF(AND($Z490&lt;&gt;"b",Inventory!$AK246="Tons"),Inventory!$AD246*12000,0))))</f>
        <v>0</v>
      </c>
      <c r="BD490" s="478">
        <f t="shared" si="325"/>
        <v>0</v>
      </c>
      <c r="BE490" s="479">
        <f t="shared" si="337"/>
        <v>0</v>
      </c>
      <c r="BF490" s="477" t="s">
        <v>50</v>
      </c>
      <c r="BG490" s="479">
        <f t="shared" si="359"/>
        <v>0</v>
      </c>
      <c r="BH490" s="477" t="s">
        <v>46</v>
      </c>
      <c r="BI490" s="760">
        <f>IF(AND($Z490="b",Inventory!$P246="Btu/hr"),Inventory!$O246,IF(AND($Z490="b",Inventory!$P246="Tons"),Inventory!$O246*12000,IF(AND($Z490&lt;&gt;"b",Inventory!$AM246="Btu/hr"),Inventory!$AL246,IF(AND($Z490&lt;&gt;"b",Inventory!$AM246="Tons"),Inventory!$AL246*12000,0))))</f>
        <v>0</v>
      </c>
      <c r="BJ490" s="760">
        <f t="shared" si="326"/>
        <v>0</v>
      </c>
      <c r="BK490" s="598">
        <f t="shared" si="329"/>
        <v>0</v>
      </c>
      <c r="BL490" s="759" t="s">
        <v>567</v>
      </c>
      <c r="BM490" s="477" t="str">
        <f t="shared" si="360"/>
        <v>No</v>
      </c>
      <c r="BN490" s="477" t="str">
        <f>IF(OR(Inventory!$H246="",$BM490="No"),"-",Inventory!$H246)</f>
        <v>-</v>
      </c>
      <c r="BO490" s="477" t="str">
        <f>IFERROR(VLOOKUP(BN490,'Early Retirement'!$B$6:$C$33,2,FALSE),"-")</f>
        <v>-</v>
      </c>
      <c r="BP490" s="477" t="str">
        <f>IF(Inventory!$J246="Centrifugal","Yes","No")</f>
        <v>No</v>
      </c>
      <c r="BQ490" s="477">
        <f t="shared" si="361"/>
        <v>0</v>
      </c>
      <c r="BR490" s="477" t="str">
        <f t="shared" si="339"/>
        <v>-</v>
      </c>
      <c r="BS490" s="479">
        <f>IFERROR(INDEX('Early Retirement'!$C$4:$AC$33,$BO490,$BR490),0)</f>
        <v>0</v>
      </c>
      <c r="BT490" s="477">
        <f>IFERROR(HLOOKUP($BR490,'Early Retirement'!$D$4:$AC$5,2,FALSE),0)</f>
        <v>0</v>
      </c>
      <c r="BU490" s="761">
        <f>IFERROR(INDEX('Early Retirement'!$AE$4:$BE$33,$BO490,$BR490),0)</f>
        <v>0</v>
      </c>
      <c r="BV490" s="759">
        <f>IFERROR(HLOOKUP($BR490,'Early Retirement'!$AF$4:$BE$5,2,FALSE),0)</f>
        <v>0</v>
      </c>
      <c r="BW490" s="479">
        <f t="shared" si="362"/>
        <v>0</v>
      </c>
      <c r="BX490" s="761">
        <f t="shared" si="330"/>
        <v>0</v>
      </c>
      <c r="BY490" s="477" t="s">
        <v>46</v>
      </c>
      <c r="BZ490" s="598">
        <f>IFERROR(INDEX('Early Retirement'!$BG$4:$CG$33,$BO490,$BR490),0)</f>
        <v>0</v>
      </c>
      <c r="CA490" s="759">
        <f>IFERROR(HLOOKUP($BR490,'Early Retirement'!$BH$4:$CH$5,2,FALSE),0)</f>
        <v>0</v>
      </c>
      <c r="CB490" s="598">
        <f t="shared" si="331"/>
        <v>0</v>
      </c>
      <c r="CC490" s="759" t="s">
        <v>567</v>
      </c>
      <c r="CD490" s="477" t="str">
        <f t="shared" si="363"/>
        <v>Yes</v>
      </c>
      <c r="CE490" s="479">
        <f t="shared" si="332"/>
        <v>0</v>
      </c>
      <c r="CF490" s="761">
        <f t="shared" si="333"/>
        <v>0</v>
      </c>
      <c r="CG490" s="759" t="s">
        <v>46</v>
      </c>
      <c r="CH490" s="598">
        <f t="shared" si="338"/>
        <v>0</v>
      </c>
      <c r="CI490" s="759" t="s">
        <v>567</v>
      </c>
      <c r="CJ490" s="480">
        <f t="shared" si="364"/>
        <v>0</v>
      </c>
      <c r="CK490" s="583">
        <f t="shared" si="334"/>
        <v>0</v>
      </c>
      <c r="CL490" s="596" t="s">
        <v>46</v>
      </c>
      <c r="CM490" s="581">
        <f t="shared" si="335"/>
        <v>0</v>
      </c>
      <c r="CN490" s="762" t="s">
        <v>567</v>
      </c>
      <c r="CR490" s="446"/>
      <c r="CS490" s="446"/>
      <c r="CT490" s="446"/>
      <c r="CU490" s="446"/>
      <c r="CV490" s="446"/>
      <c r="CW490" s="752"/>
      <c r="CX490" s="752"/>
      <c r="CY490" s="752"/>
      <c r="CZ490" s="752"/>
      <c r="DA490" s="752"/>
      <c r="DB490" s="446"/>
      <c r="DC490" s="446"/>
      <c r="DD490" s="446"/>
      <c r="DE490" s="446"/>
      <c r="DF490" s="446"/>
      <c r="DG490" s="446"/>
      <c r="DH490" s="446"/>
      <c r="DI490" s="446"/>
      <c r="DJ490" s="446"/>
      <c r="DK490" s="446"/>
      <c r="DL490" s="446"/>
      <c r="DM490" s="446"/>
      <c r="DN490" s="446"/>
      <c r="DO490" s="446"/>
      <c r="DP490" s="446"/>
      <c r="DQ490" s="446"/>
      <c r="DR490" s="446"/>
      <c r="DS490" s="446"/>
      <c r="DT490" s="446"/>
      <c r="DU490" s="446"/>
      <c r="DV490" s="446"/>
      <c r="DW490" s="446"/>
    </row>
    <row r="491" spans="2:127" s="78" customFormat="1" ht="15" customHeight="1" x14ac:dyDescent="0.25">
      <c r="B491" s="77"/>
      <c r="E491" s="77"/>
      <c r="H491" s="77"/>
      <c r="Y491" s="90">
        <v>238</v>
      </c>
      <c r="Z491" s="559" t="str">
        <f>IF(Inventory!$C247="","",VLOOKUP(Inventory!$C247,$B$7:$C$9,2,FALSE))</f>
        <v/>
      </c>
      <c r="AA491" s="559" t="str">
        <f>IF($Z491="","",IF(AND($Z491="b",Inventory!$G247=""),"",IF(AND($Z491="b",Inventory!$G247&lt;&gt;""),VLOOKUP(Inventory!$G247,$E$3:$F$10,2,FALSE),IF(AND($Z491="a",Inventory!$Z247=""),"",IF(AND($Z491="a",Inventory!$Z247&lt;&gt;""),VLOOKUP(Inventory!$Z247,$E$3:$F$10,2,FALSE),IF(AND($Z491="c",Inventory!$Z247=""),"",IF(AND($Z491="c",Inventory!$Z247&lt;&gt;""),VLOOKUP(Inventory!$Z247,$E$3:$F$10,2,FALSE),"")))))))</f>
        <v/>
      </c>
      <c r="AB491" s="559" t="str">
        <f>IF($Z491="","a",IF(AND($Z491="b",Inventory!$J247=""),"a",IF(AND($Z491="b",Inventory!$J247&lt;&gt;""),VLOOKUP(Inventory!$J247,$H$4:$I$6,2,FALSE),IF(AND($Z491="a",Inventory!$AA247=""),"a",IF(AND($Z491="a",Inventory!$AA247&lt;&gt;""),VLOOKUP(Inventory!$AA247,$H$4:$I$6,2,FALSE),IF(AND($Z491="c",Inventory!$AA247=""),"a",IF(AND($Z491="c",Inventory!$AA247&lt;&gt;""),VLOOKUP(Inventory!$AA247,$H$4:$I$6,2,FALSE),"a")))))))</f>
        <v>a</v>
      </c>
      <c r="AC491" s="559" t="str">
        <f t="shared" si="340"/>
        <v>a</v>
      </c>
      <c r="AD491" s="473" t="str">
        <f>IF($Z491="","a",IF(AND($Z491="b",Inventory!$L247=""),"a",IF(AND($Z491="b",Inventory!$L247&lt;&gt;""),VLOOKUP(Inventory!$L247,$N$4:$O$5,2,FALSE),IF(AND($Z491="a",Inventory!$AC247=""),"a",IF(AND($Z491="a",Inventory!$AC247&lt;&gt;""),VLOOKUP(Inventory!$AC247,$N$4:$O$5,2,FALSE),IF(AND($Z491="c",Inventory!$AC247=""),"a",IF(AND($Z491="c",Inventory!$AC247&lt;&gt;""),VLOOKUP(Inventory!$AC247,$N$4:$O$5,2,FALSE),"a")))))))</f>
        <v>a</v>
      </c>
      <c r="AE491" s="474">
        <f>IF(OR(Inventory!C247="New Construction",Inventory!C247="Replace-on-Burnout"),Inventory!AF247,IF(Inventory!C247="Early Retirement",MIN(Inventory!AE247,Inventory!AF247),0))</f>
        <v>0</v>
      </c>
      <c r="AF491" s="475" t="str">
        <f t="shared" si="341"/>
        <v/>
      </c>
      <c r="AG491" s="475" t="str">
        <f t="shared" si="342"/>
        <v/>
      </c>
      <c r="AH491" s="475" t="str">
        <f t="shared" si="343"/>
        <v/>
      </c>
      <c r="AI491" s="475" t="str">
        <f t="shared" si="344"/>
        <v/>
      </c>
      <c r="AJ491" s="475" t="str">
        <f t="shared" si="345"/>
        <v/>
      </c>
      <c r="AK491" s="475" t="str">
        <f t="shared" si="346"/>
        <v/>
      </c>
      <c r="AL491" s="475" t="str">
        <f t="shared" si="347"/>
        <v/>
      </c>
      <c r="AM491" s="475" t="str">
        <f t="shared" si="348"/>
        <v/>
      </c>
      <c r="AN491" s="475" t="str">
        <f t="shared" si="349"/>
        <v/>
      </c>
      <c r="AO491" s="475" t="str">
        <f t="shared" si="350"/>
        <v/>
      </c>
      <c r="AP491" s="475" t="str">
        <f t="shared" si="351"/>
        <v/>
      </c>
      <c r="AQ491" s="475" t="str">
        <f t="shared" si="352"/>
        <v/>
      </c>
      <c r="AR491" s="475" t="str">
        <f t="shared" si="353"/>
        <v/>
      </c>
      <c r="AS491" s="475" t="str">
        <f t="shared" si="336"/>
        <v/>
      </c>
      <c r="AT491" s="475" t="str">
        <f t="shared" si="354"/>
        <v/>
      </c>
      <c r="AU491" s="475" t="str">
        <f t="shared" si="355"/>
        <v/>
      </c>
      <c r="AV491" s="475" t="str">
        <f t="shared" si="356"/>
        <v/>
      </c>
      <c r="AW491" s="473">
        <f t="shared" si="357"/>
        <v>0</v>
      </c>
      <c r="AX491" s="473" t="str">
        <f>IF(AND($Z491="b",OR($AA491="a",$AA491="b"),Inventory!$I247="",$AE491&lt;(65000/12000)),"x",IF(AND($Z491="b",OR($AA491="a",$AA491="b"),Inventory!$I247&lt;&gt;"",$AE491&lt;(65000/12000)),VLOOKUP(Inventory!$I498,$V$4:$W$5,2,FALSE),"x"))</f>
        <v>x</v>
      </c>
      <c r="AY491" s="476" t="str">
        <f t="shared" si="358"/>
        <v>aaa0</v>
      </c>
      <c r="AZ491" s="477" t="str">
        <f t="shared" si="327"/>
        <v>No</v>
      </c>
      <c r="BA491" s="759" t="str">
        <f t="shared" si="328"/>
        <v>No</v>
      </c>
      <c r="BB491" s="477">
        <f>IF($Z491="c",Inventory!$AB247,Inventory!$K247)</f>
        <v>0</v>
      </c>
      <c r="BC491" s="478">
        <f>IF(AND($Z491="b",Inventory!$N247="Btu/hr"),Inventory!$M247,IF(AND($Z491="b",Inventory!$N247="Tons"),Inventory!$M247*12000,IF(AND($Z491&lt;&gt;"b",Inventory!$AK247="Btu/hr"),Inventory!$AD247,IF(AND($Z491&lt;&gt;"b",Inventory!$AK247="Tons"),Inventory!$AD247*12000,0))))</f>
        <v>0</v>
      </c>
      <c r="BD491" s="478">
        <f t="shared" si="325"/>
        <v>0</v>
      </c>
      <c r="BE491" s="479">
        <f t="shared" si="337"/>
        <v>0</v>
      </c>
      <c r="BF491" s="477" t="s">
        <v>50</v>
      </c>
      <c r="BG491" s="479">
        <f t="shared" si="359"/>
        <v>0</v>
      </c>
      <c r="BH491" s="477" t="s">
        <v>46</v>
      </c>
      <c r="BI491" s="760">
        <f>IF(AND($Z491="b",Inventory!$P247="Btu/hr"),Inventory!$O247,IF(AND($Z491="b",Inventory!$P247="Tons"),Inventory!$O247*12000,IF(AND($Z491&lt;&gt;"b",Inventory!$AM247="Btu/hr"),Inventory!$AL247,IF(AND($Z491&lt;&gt;"b",Inventory!$AM247="Tons"),Inventory!$AL247*12000,0))))</f>
        <v>0</v>
      </c>
      <c r="BJ491" s="760">
        <f t="shared" si="326"/>
        <v>0</v>
      </c>
      <c r="BK491" s="598">
        <f t="shared" si="329"/>
        <v>0</v>
      </c>
      <c r="BL491" s="759" t="s">
        <v>567</v>
      </c>
      <c r="BM491" s="477" t="str">
        <f t="shared" si="360"/>
        <v>No</v>
      </c>
      <c r="BN491" s="477" t="str">
        <f>IF(OR(Inventory!$H247="",$BM491="No"),"-",Inventory!$H247)</f>
        <v>-</v>
      </c>
      <c r="BO491" s="477" t="str">
        <f>IFERROR(VLOOKUP(BN491,'Early Retirement'!$B$6:$C$33,2,FALSE),"-")</f>
        <v>-</v>
      </c>
      <c r="BP491" s="477" t="str">
        <f>IF(Inventory!$J247="Centrifugal","Yes","No")</f>
        <v>No</v>
      </c>
      <c r="BQ491" s="477">
        <f t="shared" si="361"/>
        <v>0</v>
      </c>
      <c r="BR491" s="477" t="str">
        <f t="shared" si="339"/>
        <v>-</v>
      </c>
      <c r="BS491" s="479">
        <f>IFERROR(INDEX('Early Retirement'!$C$4:$AC$33,$BO491,$BR491),0)</f>
        <v>0</v>
      </c>
      <c r="BT491" s="477">
        <f>IFERROR(HLOOKUP($BR491,'Early Retirement'!$D$4:$AC$5,2,FALSE),0)</f>
        <v>0</v>
      </c>
      <c r="BU491" s="761">
        <f>IFERROR(INDEX('Early Retirement'!$AE$4:$BE$33,$BO491,$BR491),0)</f>
        <v>0</v>
      </c>
      <c r="BV491" s="759">
        <f>IFERROR(HLOOKUP($BR491,'Early Retirement'!$AF$4:$BE$5,2,FALSE),0)</f>
        <v>0</v>
      </c>
      <c r="BW491" s="479">
        <f t="shared" si="362"/>
        <v>0</v>
      </c>
      <c r="BX491" s="761">
        <f t="shared" si="330"/>
        <v>0</v>
      </c>
      <c r="BY491" s="477" t="s">
        <v>46</v>
      </c>
      <c r="BZ491" s="598">
        <f>IFERROR(INDEX('Early Retirement'!$BG$4:$CG$33,$BO491,$BR491),0)</f>
        <v>0</v>
      </c>
      <c r="CA491" s="759">
        <f>IFERROR(HLOOKUP($BR491,'Early Retirement'!$BH$4:$CH$5,2,FALSE),0)</f>
        <v>0</v>
      </c>
      <c r="CB491" s="598">
        <f t="shared" si="331"/>
        <v>0</v>
      </c>
      <c r="CC491" s="759" t="s">
        <v>567</v>
      </c>
      <c r="CD491" s="477" t="str">
        <f t="shared" si="363"/>
        <v>Yes</v>
      </c>
      <c r="CE491" s="479">
        <f t="shared" si="332"/>
        <v>0</v>
      </c>
      <c r="CF491" s="761">
        <f t="shared" si="333"/>
        <v>0</v>
      </c>
      <c r="CG491" s="759" t="s">
        <v>46</v>
      </c>
      <c r="CH491" s="598">
        <f t="shared" si="338"/>
        <v>0</v>
      </c>
      <c r="CI491" s="759" t="s">
        <v>567</v>
      </c>
      <c r="CJ491" s="480">
        <f t="shared" si="364"/>
        <v>0</v>
      </c>
      <c r="CK491" s="583">
        <f t="shared" si="334"/>
        <v>0</v>
      </c>
      <c r="CL491" s="596" t="s">
        <v>46</v>
      </c>
      <c r="CM491" s="581">
        <f t="shared" si="335"/>
        <v>0</v>
      </c>
      <c r="CN491" s="762" t="s">
        <v>567</v>
      </c>
      <c r="CR491" s="446"/>
      <c r="CS491" s="446"/>
      <c r="CT491" s="446"/>
      <c r="CU491" s="446"/>
      <c r="CV491" s="446"/>
      <c r="CW491" s="752"/>
      <c r="CX491" s="752"/>
      <c r="CY491" s="752"/>
      <c r="CZ491" s="752"/>
      <c r="DA491" s="752"/>
      <c r="DB491" s="446"/>
      <c r="DC491" s="446"/>
      <c r="DD491" s="446"/>
      <c r="DE491" s="446"/>
      <c r="DF491" s="446"/>
      <c r="DG491" s="446"/>
      <c r="DH491" s="446"/>
      <c r="DI491" s="446"/>
      <c r="DJ491" s="446"/>
      <c r="DK491" s="446"/>
      <c r="DL491" s="446"/>
      <c r="DM491" s="446"/>
      <c r="DN491" s="446"/>
      <c r="DO491" s="446"/>
      <c r="DP491" s="446"/>
      <c r="DQ491" s="446"/>
      <c r="DR491" s="446"/>
      <c r="DS491" s="446"/>
      <c r="DT491" s="446"/>
      <c r="DU491" s="446"/>
      <c r="DV491" s="446"/>
      <c r="DW491" s="446"/>
    </row>
    <row r="492" spans="2:127" s="78" customFormat="1" ht="15" customHeight="1" x14ac:dyDescent="0.25">
      <c r="B492" s="77"/>
      <c r="E492" s="77"/>
      <c r="H492" s="77"/>
      <c r="Y492" s="90">
        <v>239</v>
      </c>
      <c r="Z492" s="559" t="str">
        <f>IF(Inventory!$C248="","",VLOOKUP(Inventory!$C248,$B$7:$C$9,2,FALSE))</f>
        <v/>
      </c>
      <c r="AA492" s="559" t="str">
        <f>IF($Z492="","",IF(AND($Z492="b",Inventory!$G248=""),"",IF(AND($Z492="b",Inventory!$G248&lt;&gt;""),VLOOKUP(Inventory!$G248,$E$3:$F$10,2,FALSE),IF(AND($Z492="a",Inventory!$Z248=""),"",IF(AND($Z492="a",Inventory!$Z248&lt;&gt;""),VLOOKUP(Inventory!$Z248,$E$3:$F$10,2,FALSE),IF(AND($Z492="c",Inventory!$Z248=""),"",IF(AND($Z492="c",Inventory!$Z248&lt;&gt;""),VLOOKUP(Inventory!$Z248,$E$3:$F$10,2,FALSE),"")))))))</f>
        <v/>
      </c>
      <c r="AB492" s="559" t="str">
        <f>IF($Z492="","a",IF(AND($Z492="b",Inventory!$J248=""),"a",IF(AND($Z492="b",Inventory!$J248&lt;&gt;""),VLOOKUP(Inventory!$J248,$H$4:$I$6,2,FALSE),IF(AND($Z492="a",Inventory!$AA248=""),"a",IF(AND($Z492="a",Inventory!$AA248&lt;&gt;""),VLOOKUP(Inventory!$AA248,$H$4:$I$6,2,FALSE),IF(AND($Z492="c",Inventory!$AA248=""),"a",IF(AND($Z492="c",Inventory!$AA248&lt;&gt;""),VLOOKUP(Inventory!$AA248,$H$4:$I$6,2,FALSE),"a")))))))</f>
        <v>a</v>
      </c>
      <c r="AC492" s="559" t="str">
        <f t="shared" si="340"/>
        <v>a</v>
      </c>
      <c r="AD492" s="473" t="str">
        <f>IF($Z492="","a",IF(AND($Z492="b",Inventory!$L248=""),"a",IF(AND($Z492="b",Inventory!$L248&lt;&gt;""),VLOOKUP(Inventory!$L248,$N$4:$O$5,2,FALSE),IF(AND($Z492="a",Inventory!$AC248=""),"a",IF(AND($Z492="a",Inventory!$AC248&lt;&gt;""),VLOOKUP(Inventory!$AC248,$N$4:$O$5,2,FALSE),IF(AND($Z492="c",Inventory!$AC248=""),"a",IF(AND($Z492="c",Inventory!$AC248&lt;&gt;""),VLOOKUP(Inventory!$AC248,$N$4:$O$5,2,FALSE),"a")))))))</f>
        <v>a</v>
      </c>
      <c r="AE492" s="474">
        <f>IF(OR(Inventory!C248="New Construction",Inventory!C248="Replace-on-Burnout"),Inventory!AF248,IF(Inventory!C248="Early Retirement",MIN(Inventory!AE248,Inventory!AF248),0))</f>
        <v>0</v>
      </c>
      <c r="AF492" s="475" t="str">
        <f t="shared" si="341"/>
        <v/>
      </c>
      <c r="AG492" s="475" t="str">
        <f t="shared" si="342"/>
        <v/>
      </c>
      <c r="AH492" s="475" t="str">
        <f t="shared" si="343"/>
        <v/>
      </c>
      <c r="AI492" s="475" t="str">
        <f t="shared" si="344"/>
        <v/>
      </c>
      <c r="AJ492" s="475" t="str">
        <f t="shared" si="345"/>
        <v/>
      </c>
      <c r="AK492" s="475" t="str">
        <f t="shared" si="346"/>
        <v/>
      </c>
      <c r="AL492" s="475" t="str">
        <f t="shared" si="347"/>
        <v/>
      </c>
      <c r="AM492" s="475" t="str">
        <f t="shared" si="348"/>
        <v/>
      </c>
      <c r="AN492" s="475" t="str">
        <f t="shared" si="349"/>
        <v/>
      </c>
      <c r="AO492" s="475" t="str">
        <f t="shared" si="350"/>
        <v/>
      </c>
      <c r="AP492" s="475" t="str">
        <f t="shared" si="351"/>
        <v/>
      </c>
      <c r="AQ492" s="475" t="str">
        <f t="shared" si="352"/>
        <v/>
      </c>
      <c r="AR492" s="475" t="str">
        <f t="shared" si="353"/>
        <v/>
      </c>
      <c r="AS492" s="475" t="str">
        <f t="shared" si="336"/>
        <v/>
      </c>
      <c r="AT492" s="475" t="str">
        <f t="shared" si="354"/>
        <v/>
      </c>
      <c r="AU492" s="475" t="str">
        <f t="shared" si="355"/>
        <v/>
      </c>
      <c r="AV492" s="475" t="str">
        <f t="shared" si="356"/>
        <v/>
      </c>
      <c r="AW492" s="473">
        <f t="shared" si="357"/>
        <v>0</v>
      </c>
      <c r="AX492" s="473" t="str">
        <f>IF(AND($Z492="b",OR($AA492="a",$AA492="b"),Inventory!$I248="",$AE492&lt;(65000/12000)),"x",IF(AND($Z492="b",OR($AA492="a",$AA492="b"),Inventory!$I248&lt;&gt;"",$AE492&lt;(65000/12000)),VLOOKUP(Inventory!$I499,$V$4:$W$5,2,FALSE),"x"))</f>
        <v>x</v>
      </c>
      <c r="AY492" s="476" t="str">
        <f t="shared" si="358"/>
        <v>aaa0</v>
      </c>
      <c r="AZ492" s="477" t="str">
        <f t="shared" si="327"/>
        <v>No</v>
      </c>
      <c r="BA492" s="759" t="str">
        <f t="shared" si="328"/>
        <v>No</v>
      </c>
      <c r="BB492" s="477">
        <f>IF($Z492="c",Inventory!$AB248,Inventory!$K248)</f>
        <v>0</v>
      </c>
      <c r="BC492" s="478">
        <f>IF(AND($Z492="b",Inventory!$N248="Btu/hr"),Inventory!$M248,IF(AND($Z492="b",Inventory!$N248="Tons"),Inventory!$M248*12000,IF(AND($Z492&lt;&gt;"b",Inventory!$AK248="Btu/hr"),Inventory!$AD248,IF(AND($Z492&lt;&gt;"b",Inventory!$AK248="Tons"),Inventory!$AD248*12000,0))))</f>
        <v>0</v>
      </c>
      <c r="BD492" s="478">
        <f t="shared" si="325"/>
        <v>0</v>
      </c>
      <c r="BE492" s="479">
        <f t="shared" si="337"/>
        <v>0</v>
      </c>
      <c r="BF492" s="477" t="s">
        <v>50</v>
      </c>
      <c r="BG492" s="479">
        <f t="shared" si="359"/>
        <v>0</v>
      </c>
      <c r="BH492" s="477" t="s">
        <v>46</v>
      </c>
      <c r="BI492" s="760">
        <f>IF(AND($Z492="b",Inventory!$P248="Btu/hr"),Inventory!$O248,IF(AND($Z492="b",Inventory!$P248="Tons"),Inventory!$O248*12000,IF(AND($Z492&lt;&gt;"b",Inventory!$AM248="Btu/hr"),Inventory!$AL248,IF(AND($Z492&lt;&gt;"b",Inventory!$AM248="Tons"),Inventory!$AL248*12000,0))))</f>
        <v>0</v>
      </c>
      <c r="BJ492" s="760">
        <f t="shared" si="326"/>
        <v>0</v>
      </c>
      <c r="BK492" s="598">
        <f t="shared" si="329"/>
        <v>0</v>
      </c>
      <c r="BL492" s="759" t="s">
        <v>567</v>
      </c>
      <c r="BM492" s="477" t="str">
        <f t="shared" si="360"/>
        <v>No</v>
      </c>
      <c r="BN492" s="477" t="str">
        <f>IF(OR(Inventory!$H248="",$BM492="No"),"-",Inventory!$H248)</f>
        <v>-</v>
      </c>
      <c r="BO492" s="477" t="str">
        <f>IFERROR(VLOOKUP(BN492,'Early Retirement'!$B$6:$C$33,2,FALSE),"-")</f>
        <v>-</v>
      </c>
      <c r="BP492" s="477" t="str">
        <f>IF(Inventory!$J248="Centrifugal","Yes","No")</f>
        <v>No</v>
      </c>
      <c r="BQ492" s="477">
        <f t="shared" si="361"/>
        <v>0</v>
      </c>
      <c r="BR492" s="477" t="str">
        <f t="shared" si="339"/>
        <v>-</v>
      </c>
      <c r="BS492" s="479">
        <f>IFERROR(INDEX('Early Retirement'!$C$4:$AC$33,$BO492,$BR492),0)</f>
        <v>0</v>
      </c>
      <c r="BT492" s="477">
        <f>IFERROR(HLOOKUP($BR492,'Early Retirement'!$D$4:$AC$5,2,FALSE),0)</f>
        <v>0</v>
      </c>
      <c r="BU492" s="761">
        <f>IFERROR(INDEX('Early Retirement'!$AE$4:$BE$33,$BO492,$BR492),0)</f>
        <v>0</v>
      </c>
      <c r="BV492" s="759">
        <f>IFERROR(HLOOKUP($BR492,'Early Retirement'!$AF$4:$BE$5,2,FALSE),0)</f>
        <v>0</v>
      </c>
      <c r="BW492" s="479">
        <f t="shared" si="362"/>
        <v>0</v>
      </c>
      <c r="BX492" s="761">
        <f t="shared" si="330"/>
        <v>0</v>
      </c>
      <c r="BY492" s="477" t="s">
        <v>46</v>
      </c>
      <c r="BZ492" s="598">
        <f>IFERROR(INDEX('Early Retirement'!$BG$4:$CG$33,$BO492,$BR492),0)</f>
        <v>0</v>
      </c>
      <c r="CA492" s="759">
        <f>IFERROR(HLOOKUP($BR492,'Early Retirement'!$BH$4:$CH$5,2,FALSE),0)</f>
        <v>0</v>
      </c>
      <c r="CB492" s="598">
        <f t="shared" si="331"/>
        <v>0</v>
      </c>
      <c r="CC492" s="759" t="s">
        <v>567</v>
      </c>
      <c r="CD492" s="477" t="str">
        <f t="shared" si="363"/>
        <v>Yes</v>
      </c>
      <c r="CE492" s="479">
        <f t="shared" si="332"/>
        <v>0</v>
      </c>
      <c r="CF492" s="761">
        <f t="shared" si="333"/>
        <v>0</v>
      </c>
      <c r="CG492" s="759" t="s">
        <v>46</v>
      </c>
      <c r="CH492" s="598">
        <f t="shared" si="338"/>
        <v>0</v>
      </c>
      <c r="CI492" s="759" t="s">
        <v>567</v>
      </c>
      <c r="CJ492" s="480">
        <f t="shared" si="364"/>
        <v>0</v>
      </c>
      <c r="CK492" s="583">
        <f t="shared" si="334"/>
        <v>0</v>
      </c>
      <c r="CL492" s="596" t="s">
        <v>46</v>
      </c>
      <c r="CM492" s="581">
        <f t="shared" si="335"/>
        <v>0</v>
      </c>
      <c r="CN492" s="762" t="s">
        <v>567</v>
      </c>
      <c r="CR492" s="446"/>
      <c r="CS492" s="446"/>
      <c r="CT492" s="446"/>
      <c r="CU492" s="446"/>
      <c r="CV492" s="446"/>
      <c r="CW492" s="752"/>
      <c r="CX492" s="752"/>
      <c r="CY492" s="752"/>
      <c r="CZ492" s="752"/>
      <c r="DA492" s="752"/>
      <c r="DB492" s="446"/>
      <c r="DC492" s="446"/>
      <c r="DD492" s="446"/>
      <c r="DE492" s="446"/>
      <c r="DF492" s="446"/>
      <c r="DG492" s="446"/>
      <c r="DH492" s="446"/>
      <c r="DI492" s="446"/>
      <c r="DJ492" s="446"/>
      <c r="DK492" s="446"/>
      <c r="DL492" s="446"/>
      <c r="DM492" s="446"/>
      <c r="DN492" s="446"/>
      <c r="DO492" s="446"/>
      <c r="DP492" s="446"/>
      <c r="DQ492" s="446"/>
      <c r="DR492" s="446"/>
      <c r="DS492" s="446"/>
      <c r="DT492" s="446"/>
      <c r="DU492" s="446"/>
      <c r="DV492" s="446"/>
      <c r="DW492" s="446"/>
    </row>
    <row r="493" spans="2:127" s="78" customFormat="1" ht="15" customHeight="1" x14ac:dyDescent="0.25">
      <c r="B493" s="77"/>
      <c r="E493" s="77"/>
      <c r="H493" s="77"/>
      <c r="Y493" s="90">
        <v>240</v>
      </c>
      <c r="Z493" s="559" t="str">
        <f>IF(Inventory!$C249="","",VLOOKUP(Inventory!$C249,$B$7:$C$9,2,FALSE))</f>
        <v/>
      </c>
      <c r="AA493" s="559" t="str">
        <f>IF($Z493="","",IF(AND($Z493="b",Inventory!$G249=""),"",IF(AND($Z493="b",Inventory!$G249&lt;&gt;""),VLOOKUP(Inventory!$G249,$E$3:$F$10,2,FALSE),IF(AND($Z493="a",Inventory!$Z249=""),"",IF(AND($Z493="a",Inventory!$Z249&lt;&gt;""),VLOOKUP(Inventory!$Z249,$E$3:$F$10,2,FALSE),IF(AND($Z493="c",Inventory!$Z249=""),"",IF(AND($Z493="c",Inventory!$Z249&lt;&gt;""),VLOOKUP(Inventory!$Z249,$E$3:$F$10,2,FALSE),"")))))))</f>
        <v/>
      </c>
      <c r="AB493" s="559" t="str">
        <f>IF($Z493="","a",IF(AND($Z493="b",Inventory!$J249=""),"a",IF(AND($Z493="b",Inventory!$J249&lt;&gt;""),VLOOKUP(Inventory!$J249,$H$4:$I$6,2,FALSE),IF(AND($Z493="a",Inventory!$AA249=""),"a",IF(AND($Z493="a",Inventory!$AA249&lt;&gt;""),VLOOKUP(Inventory!$AA249,$H$4:$I$6,2,FALSE),IF(AND($Z493="c",Inventory!$AA249=""),"a",IF(AND($Z493="c",Inventory!$AA249&lt;&gt;""),VLOOKUP(Inventory!$AA249,$H$4:$I$6,2,FALSE),"a")))))))</f>
        <v>a</v>
      </c>
      <c r="AC493" s="559" t="str">
        <f t="shared" si="340"/>
        <v>a</v>
      </c>
      <c r="AD493" s="473" t="str">
        <f>IF($Z493="","a",IF(AND($Z493="b",Inventory!$L249=""),"a",IF(AND($Z493="b",Inventory!$L249&lt;&gt;""),VLOOKUP(Inventory!$L249,$N$4:$O$5,2,FALSE),IF(AND($Z493="a",Inventory!$AC249=""),"a",IF(AND($Z493="a",Inventory!$AC249&lt;&gt;""),VLOOKUP(Inventory!$AC249,$N$4:$O$5,2,FALSE),IF(AND($Z493="c",Inventory!$AC249=""),"a",IF(AND($Z493="c",Inventory!$AC249&lt;&gt;""),VLOOKUP(Inventory!$AC249,$N$4:$O$5,2,FALSE),"a")))))))</f>
        <v>a</v>
      </c>
      <c r="AE493" s="474">
        <f>IF(OR(Inventory!C249="New Construction",Inventory!C249="Replace-on-Burnout"),Inventory!AF249,IF(Inventory!C249="Early Retirement",MIN(Inventory!AE249,Inventory!AF249),0))</f>
        <v>0</v>
      </c>
      <c r="AF493" s="475" t="str">
        <f t="shared" si="341"/>
        <v/>
      </c>
      <c r="AG493" s="475" t="str">
        <f t="shared" si="342"/>
        <v/>
      </c>
      <c r="AH493" s="475" t="str">
        <f t="shared" si="343"/>
        <v/>
      </c>
      <c r="AI493" s="475" t="str">
        <f t="shared" si="344"/>
        <v/>
      </c>
      <c r="AJ493" s="475" t="str">
        <f t="shared" si="345"/>
        <v/>
      </c>
      <c r="AK493" s="475" t="str">
        <f t="shared" si="346"/>
        <v/>
      </c>
      <c r="AL493" s="475" t="str">
        <f t="shared" si="347"/>
        <v/>
      </c>
      <c r="AM493" s="475" t="str">
        <f t="shared" si="348"/>
        <v/>
      </c>
      <c r="AN493" s="475" t="str">
        <f t="shared" si="349"/>
        <v/>
      </c>
      <c r="AO493" s="475" t="str">
        <f t="shared" si="350"/>
        <v/>
      </c>
      <c r="AP493" s="475" t="str">
        <f t="shared" si="351"/>
        <v/>
      </c>
      <c r="AQ493" s="475" t="str">
        <f t="shared" si="352"/>
        <v/>
      </c>
      <c r="AR493" s="475" t="str">
        <f t="shared" si="353"/>
        <v/>
      </c>
      <c r="AS493" s="475" t="str">
        <f t="shared" si="336"/>
        <v/>
      </c>
      <c r="AT493" s="475" t="str">
        <f t="shared" si="354"/>
        <v/>
      </c>
      <c r="AU493" s="475" t="str">
        <f t="shared" si="355"/>
        <v/>
      </c>
      <c r="AV493" s="475" t="str">
        <f t="shared" si="356"/>
        <v/>
      </c>
      <c r="AW493" s="473">
        <f t="shared" si="357"/>
        <v>0</v>
      </c>
      <c r="AX493" s="473" t="str">
        <f>IF(AND($Z493="b",OR($AA493="a",$AA493="b"),Inventory!$I249="",$AE493&lt;(65000/12000)),"x",IF(AND($Z493="b",OR($AA493="a",$AA493="b"),Inventory!$I249&lt;&gt;"",$AE493&lt;(65000/12000)),VLOOKUP(Inventory!$I500,$V$4:$W$5,2,FALSE),"x"))</f>
        <v>x</v>
      </c>
      <c r="AY493" s="476" t="str">
        <f t="shared" si="358"/>
        <v>aaa0</v>
      </c>
      <c r="AZ493" s="477" t="str">
        <f t="shared" si="327"/>
        <v>No</v>
      </c>
      <c r="BA493" s="759" t="str">
        <f t="shared" si="328"/>
        <v>No</v>
      </c>
      <c r="BB493" s="477">
        <f>IF($Z493="c",Inventory!$AB249,Inventory!$K249)</f>
        <v>0</v>
      </c>
      <c r="BC493" s="478">
        <f>IF(AND($Z493="b",Inventory!$N249="Btu/hr"),Inventory!$M249,IF(AND($Z493="b",Inventory!$N249="Tons"),Inventory!$M249*12000,IF(AND($Z493&lt;&gt;"b",Inventory!$AK249="Btu/hr"),Inventory!$AD249,IF(AND($Z493&lt;&gt;"b",Inventory!$AK249="Tons"),Inventory!$AD249*12000,0))))</f>
        <v>0</v>
      </c>
      <c r="BD493" s="478">
        <f t="shared" si="325"/>
        <v>0</v>
      </c>
      <c r="BE493" s="479">
        <f t="shared" si="337"/>
        <v>0</v>
      </c>
      <c r="BF493" s="477" t="s">
        <v>50</v>
      </c>
      <c r="BG493" s="479">
        <f t="shared" si="359"/>
        <v>0</v>
      </c>
      <c r="BH493" s="477" t="s">
        <v>46</v>
      </c>
      <c r="BI493" s="760">
        <f>IF(AND($Z493="b",Inventory!$P249="Btu/hr"),Inventory!$O249,IF(AND($Z493="b",Inventory!$P249="Tons"),Inventory!$O249*12000,IF(AND($Z493&lt;&gt;"b",Inventory!$AM249="Btu/hr"),Inventory!$AL249,IF(AND($Z493&lt;&gt;"b",Inventory!$AM249="Tons"),Inventory!$AL249*12000,0))))</f>
        <v>0</v>
      </c>
      <c r="BJ493" s="760">
        <f t="shared" si="326"/>
        <v>0</v>
      </c>
      <c r="BK493" s="598">
        <f t="shared" si="329"/>
        <v>0</v>
      </c>
      <c r="BL493" s="759" t="s">
        <v>567</v>
      </c>
      <c r="BM493" s="477" t="str">
        <f t="shared" si="360"/>
        <v>No</v>
      </c>
      <c r="BN493" s="477" t="str">
        <f>IF(OR(Inventory!$H249="",$BM493="No"),"-",Inventory!$H249)</f>
        <v>-</v>
      </c>
      <c r="BO493" s="477" t="str">
        <f>IFERROR(VLOOKUP(BN493,'Early Retirement'!$B$6:$C$33,2,FALSE),"-")</f>
        <v>-</v>
      </c>
      <c r="BP493" s="477" t="str">
        <f>IF(Inventory!$J249="Centrifugal","Yes","No")</f>
        <v>No</v>
      </c>
      <c r="BQ493" s="477">
        <f t="shared" si="361"/>
        <v>0</v>
      </c>
      <c r="BR493" s="477" t="str">
        <f t="shared" si="339"/>
        <v>-</v>
      </c>
      <c r="BS493" s="479">
        <f>IFERROR(INDEX('Early Retirement'!$C$4:$AC$33,$BO493,$BR493),0)</f>
        <v>0</v>
      </c>
      <c r="BT493" s="477">
        <f>IFERROR(HLOOKUP($BR493,'Early Retirement'!$D$4:$AC$5,2,FALSE),0)</f>
        <v>0</v>
      </c>
      <c r="BU493" s="761">
        <f>IFERROR(INDEX('Early Retirement'!$AE$4:$BE$33,$BO493,$BR493),0)</f>
        <v>0</v>
      </c>
      <c r="BV493" s="759">
        <f>IFERROR(HLOOKUP($BR493,'Early Retirement'!$AF$4:$BE$5,2,FALSE),0)</f>
        <v>0</v>
      </c>
      <c r="BW493" s="479">
        <f t="shared" si="362"/>
        <v>0</v>
      </c>
      <c r="BX493" s="761">
        <f t="shared" si="330"/>
        <v>0</v>
      </c>
      <c r="BY493" s="477" t="s">
        <v>46</v>
      </c>
      <c r="BZ493" s="598">
        <f>IFERROR(INDEX('Early Retirement'!$BG$4:$CG$33,$BO493,$BR493),0)</f>
        <v>0</v>
      </c>
      <c r="CA493" s="759">
        <f>IFERROR(HLOOKUP($BR493,'Early Retirement'!$BH$4:$CH$5,2,FALSE),0)</f>
        <v>0</v>
      </c>
      <c r="CB493" s="598">
        <f t="shared" si="331"/>
        <v>0</v>
      </c>
      <c r="CC493" s="759" t="s">
        <v>567</v>
      </c>
      <c r="CD493" s="477" t="str">
        <f t="shared" si="363"/>
        <v>Yes</v>
      </c>
      <c r="CE493" s="479">
        <f t="shared" si="332"/>
        <v>0</v>
      </c>
      <c r="CF493" s="761">
        <f t="shared" si="333"/>
        <v>0</v>
      </c>
      <c r="CG493" s="759" t="s">
        <v>46</v>
      </c>
      <c r="CH493" s="598">
        <f t="shared" si="338"/>
        <v>0</v>
      </c>
      <c r="CI493" s="759" t="s">
        <v>567</v>
      </c>
      <c r="CJ493" s="480">
        <f t="shared" si="364"/>
        <v>0</v>
      </c>
      <c r="CK493" s="583">
        <f t="shared" si="334"/>
        <v>0</v>
      </c>
      <c r="CL493" s="596" t="s">
        <v>46</v>
      </c>
      <c r="CM493" s="581">
        <f t="shared" si="335"/>
        <v>0</v>
      </c>
      <c r="CN493" s="762" t="s">
        <v>567</v>
      </c>
      <c r="CR493" s="446"/>
      <c r="CS493" s="446"/>
      <c r="CT493" s="446"/>
      <c r="CU493" s="446"/>
      <c r="CV493" s="446"/>
      <c r="CW493" s="752"/>
      <c r="CX493" s="752"/>
      <c r="CY493" s="752"/>
      <c r="CZ493" s="752"/>
      <c r="DA493" s="752"/>
      <c r="DB493" s="446"/>
      <c r="DC493" s="446"/>
      <c r="DD493" s="446"/>
      <c r="DE493" s="446"/>
      <c r="DF493" s="446"/>
      <c r="DG493" s="446"/>
      <c r="DH493" s="446"/>
      <c r="DI493" s="446"/>
      <c r="DJ493" s="446"/>
      <c r="DK493" s="446"/>
      <c r="DL493" s="446"/>
      <c r="DM493" s="446"/>
      <c r="DN493" s="446"/>
      <c r="DO493" s="446"/>
      <c r="DP493" s="446"/>
      <c r="DQ493" s="446"/>
      <c r="DR493" s="446"/>
      <c r="DS493" s="446"/>
      <c r="DT493" s="446"/>
      <c r="DU493" s="446"/>
      <c r="DV493" s="446"/>
      <c r="DW493" s="446"/>
    </row>
    <row r="494" spans="2:127" s="78" customFormat="1" ht="15" customHeight="1" x14ac:dyDescent="0.25">
      <c r="B494" s="77"/>
      <c r="E494" s="77"/>
      <c r="H494" s="77"/>
      <c r="Y494" s="90">
        <v>241</v>
      </c>
      <c r="Z494" s="559" t="str">
        <f>IF(Inventory!$C250="","",VLOOKUP(Inventory!$C250,$B$7:$C$9,2,FALSE))</f>
        <v/>
      </c>
      <c r="AA494" s="559" t="str">
        <f>IF($Z494="","",IF(AND($Z494="b",Inventory!$G250=""),"",IF(AND($Z494="b",Inventory!$G250&lt;&gt;""),VLOOKUP(Inventory!$G250,$E$3:$F$10,2,FALSE),IF(AND($Z494="a",Inventory!$Z250=""),"",IF(AND($Z494="a",Inventory!$Z250&lt;&gt;""),VLOOKUP(Inventory!$Z250,$E$3:$F$10,2,FALSE),IF(AND($Z494="c",Inventory!$Z250=""),"",IF(AND($Z494="c",Inventory!$Z250&lt;&gt;""),VLOOKUP(Inventory!$Z250,$E$3:$F$10,2,FALSE),"")))))))</f>
        <v/>
      </c>
      <c r="AB494" s="559" t="str">
        <f>IF($Z494="","a",IF(AND($Z494="b",Inventory!$J250=""),"a",IF(AND($Z494="b",Inventory!$J250&lt;&gt;""),VLOOKUP(Inventory!$J250,$H$4:$I$6,2,FALSE),IF(AND($Z494="a",Inventory!$AA250=""),"a",IF(AND($Z494="a",Inventory!$AA250&lt;&gt;""),VLOOKUP(Inventory!$AA250,$H$4:$I$6,2,FALSE),IF(AND($Z494="c",Inventory!$AA250=""),"a",IF(AND($Z494="c",Inventory!$AA250&lt;&gt;""),VLOOKUP(Inventory!$AA250,$H$4:$I$6,2,FALSE),"a")))))))</f>
        <v>a</v>
      </c>
      <c r="AC494" s="559" t="str">
        <f t="shared" si="340"/>
        <v>a</v>
      </c>
      <c r="AD494" s="473" t="str">
        <f>IF($Z494="","a",IF(AND($Z494="b",Inventory!$L250=""),"a",IF(AND($Z494="b",Inventory!$L250&lt;&gt;""),VLOOKUP(Inventory!$L250,$N$4:$O$5,2,FALSE),IF(AND($Z494="a",Inventory!$AC250=""),"a",IF(AND($Z494="a",Inventory!$AC250&lt;&gt;""),VLOOKUP(Inventory!$AC250,$N$4:$O$5,2,FALSE),IF(AND($Z494="c",Inventory!$AC250=""),"a",IF(AND($Z494="c",Inventory!$AC250&lt;&gt;""),VLOOKUP(Inventory!$AC250,$N$4:$O$5,2,FALSE),"a")))))))</f>
        <v>a</v>
      </c>
      <c r="AE494" s="474">
        <f>IF(OR(Inventory!C250="New Construction",Inventory!C250="Replace-on-Burnout"),Inventory!AF250,IF(Inventory!C250="Early Retirement",MIN(Inventory!AE250,Inventory!AF250),0))</f>
        <v>0</v>
      </c>
      <c r="AF494" s="475" t="str">
        <f t="shared" si="341"/>
        <v/>
      </c>
      <c r="AG494" s="475" t="str">
        <f t="shared" si="342"/>
        <v/>
      </c>
      <c r="AH494" s="475" t="str">
        <f t="shared" si="343"/>
        <v/>
      </c>
      <c r="AI494" s="475" t="str">
        <f t="shared" si="344"/>
        <v/>
      </c>
      <c r="AJ494" s="475" t="str">
        <f t="shared" si="345"/>
        <v/>
      </c>
      <c r="AK494" s="475" t="str">
        <f t="shared" si="346"/>
        <v/>
      </c>
      <c r="AL494" s="475" t="str">
        <f t="shared" si="347"/>
        <v/>
      </c>
      <c r="AM494" s="475" t="str">
        <f t="shared" si="348"/>
        <v/>
      </c>
      <c r="AN494" s="475" t="str">
        <f t="shared" si="349"/>
        <v/>
      </c>
      <c r="AO494" s="475" t="str">
        <f t="shared" si="350"/>
        <v/>
      </c>
      <c r="AP494" s="475" t="str">
        <f t="shared" si="351"/>
        <v/>
      </c>
      <c r="AQ494" s="475" t="str">
        <f t="shared" si="352"/>
        <v/>
      </c>
      <c r="AR494" s="475" t="str">
        <f t="shared" si="353"/>
        <v/>
      </c>
      <c r="AS494" s="475" t="str">
        <f t="shared" si="336"/>
        <v/>
      </c>
      <c r="AT494" s="475" t="str">
        <f t="shared" si="354"/>
        <v/>
      </c>
      <c r="AU494" s="475" t="str">
        <f t="shared" si="355"/>
        <v/>
      </c>
      <c r="AV494" s="475" t="str">
        <f t="shared" si="356"/>
        <v/>
      </c>
      <c r="AW494" s="473">
        <f t="shared" si="357"/>
        <v>0</v>
      </c>
      <c r="AX494" s="473" t="str">
        <f>IF(AND($Z494="b",OR($AA494="a",$AA494="b"),Inventory!$I250="",$AE494&lt;(65000/12000)),"x",IF(AND($Z494="b",OR($AA494="a",$AA494="b"),Inventory!$I250&lt;&gt;"",$AE494&lt;(65000/12000)),VLOOKUP(Inventory!$I501,$V$4:$W$5,2,FALSE),"x"))</f>
        <v>x</v>
      </c>
      <c r="AY494" s="476" t="str">
        <f t="shared" si="358"/>
        <v>aaa0</v>
      </c>
      <c r="AZ494" s="477" t="str">
        <f t="shared" si="327"/>
        <v>No</v>
      </c>
      <c r="BA494" s="759" t="str">
        <f t="shared" si="328"/>
        <v>No</v>
      </c>
      <c r="BB494" s="477">
        <f>IF($Z494="c",Inventory!$AB250,Inventory!$K250)</f>
        <v>0</v>
      </c>
      <c r="BC494" s="478">
        <f>IF(AND($Z494="b",Inventory!$N250="Btu/hr"),Inventory!$M250,IF(AND($Z494="b",Inventory!$N250="Tons"),Inventory!$M250*12000,IF(AND($Z494&lt;&gt;"b",Inventory!$AK250="Btu/hr"),Inventory!$AD250,IF(AND($Z494&lt;&gt;"b",Inventory!$AK250="Tons"),Inventory!$AD250*12000,0))))</f>
        <v>0</v>
      </c>
      <c r="BD494" s="478">
        <f t="shared" si="325"/>
        <v>0</v>
      </c>
      <c r="BE494" s="479">
        <f t="shared" si="337"/>
        <v>0</v>
      </c>
      <c r="BF494" s="477" t="s">
        <v>50</v>
      </c>
      <c r="BG494" s="479">
        <f t="shared" si="359"/>
        <v>0</v>
      </c>
      <c r="BH494" s="477" t="s">
        <v>46</v>
      </c>
      <c r="BI494" s="760">
        <f>IF(AND($Z494="b",Inventory!$P250="Btu/hr"),Inventory!$O250,IF(AND($Z494="b",Inventory!$P250="Tons"),Inventory!$O250*12000,IF(AND($Z494&lt;&gt;"b",Inventory!$AM250="Btu/hr"),Inventory!$AL250,IF(AND($Z494&lt;&gt;"b",Inventory!$AM250="Tons"),Inventory!$AL250*12000,0))))</f>
        <v>0</v>
      </c>
      <c r="BJ494" s="760">
        <f t="shared" si="326"/>
        <v>0</v>
      </c>
      <c r="BK494" s="598">
        <f t="shared" si="329"/>
        <v>0</v>
      </c>
      <c r="BL494" s="759" t="s">
        <v>567</v>
      </c>
      <c r="BM494" s="477" t="str">
        <f t="shared" si="360"/>
        <v>No</v>
      </c>
      <c r="BN494" s="477" t="str">
        <f>IF(OR(Inventory!$H250="",$BM494="No"),"-",Inventory!$H250)</f>
        <v>-</v>
      </c>
      <c r="BO494" s="477" t="str">
        <f>IFERROR(VLOOKUP(BN494,'Early Retirement'!$B$6:$C$33,2,FALSE),"-")</f>
        <v>-</v>
      </c>
      <c r="BP494" s="477" t="str">
        <f>IF(Inventory!$J250="Centrifugal","Yes","No")</f>
        <v>No</v>
      </c>
      <c r="BQ494" s="477">
        <f t="shared" si="361"/>
        <v>0</v>
      </c>
      <c r="BR494" s="477" t="str">
        <f t="shared" si="339"/>
        <v>-</v>
      </c>
      <c r="BS494" s="479">
        <f>IFERROR(INDEX('Early Retirement'!$C$4:$AC$33,$BO494,$BR494),0)</f>
        <v>0</v>
      </c>
      <c r="BT494" s="477">
        <f>IFERROR(HLOOKUP($BR494,'Early Retirement'!$D$4:$AC$5,2,FALSE),0)</f>
        <v>0</v>
      </c>
      <c r="BU494" s="761">
        <f>IFERROR(INDEX('Early Retirement'!$AE$4:$BE$33,$BO494,$BR494),0)</f>
        <v>0</v>
      </c>
      <c r="BV494" s="759">
        <f>IFERROR(HLOOKUP($BR494,'Early Retirement'!$AF$4:$BE$5,2,FALSE),0)</f>
        <v>0</v>
      </c>
      <c r="BW494" s="479">
        <f t="shared" si="362"/>
        <v>0</v>
      </c>
      <c r="BX494" s="761">
        <f t="shared" si="330"/>
        <v>0</v>
      </c>
      <c r="BY494" s="477" t="s">
        <v>46</v>
      </c>
      <c r="BZ494" s="598">
        <f>IFERROR(INDEX('Early Retirement'!$BG$4:$CG$33,$BO494,$BR494),0)</f>
        <v>0</v>
      </c>
      <c r="CA494" s="759">
        <f>IFERROR(HLOOKUP($BR494,'Early Retirement'!$BH$4:$CH$5,2,FALSE),0)</f>
        <v>0</v>
      </c>
      <c r="CB494" s="598">
        <f t="shared" si="331"/>
        <v>0</v>
      </c>
      <c r="CC494" s="759" t="s">
        <v>567</v>
      </c>
      <c r="CD494" s="477" t="str">
        <f t="shared" si="363"/>
        <v>Yes</v>
      </c>
      <c r="CE494" s="479">
        <f t="shared" si="332"/>
        <v>0</v>
      </c>
      <c r="CF494" s="761">
        <f t="shared" si="333"/>
        <v>0</v>
      </c>
      <c r="CG494" s="759" t="s">
        <v>46</v>
      </c>
      <c r="CH494" s="598">
        <f t="shared" si="338"/>
        <v>0</v>
      </c>
      <c r="CI494" s="759" t="s">
        <v>567</v>
      </c>
      <c r="CJ494" s="480">
        <f t="shared" si="364"/>
        <v>0</v>
      </c>
      <c r="CK494" s="583">
        <f t="shared" si="334"/>
        <v>0</v>
      </c>
      <c r="CL494" s="596" t="s">
        <v>46</v>
      </c>
      <c r="CM494" s="581">
        <f t="shared" si="335"/>
        <v>0</v>
      </c>
      <c r="CN494" s="762" t="s">
        <v>567</v>
      </c>
      <c r="CR494" s="446"/>
      <c r="CS494" s="446"/>
      <c r="CT494" s="446"/>
      <c r="CU494" s="446"/>
      <c r="CV494" s="446"/>
      <c r="CW494" s="752"/>
      <c r="CX494" s="752"/>
      <c r="CY494" s="752"/>
      <c r="CZ494" s="752"/>
      <c r="DA494" s="752"/>
      <c r="DB494" s="446"/>
      <c r="DC494" s="446"/>
      <c r="DD494" s="446"/>
      <c r="DE494" s="446"/>
      <c r="DF494" s="446"/>
      <c r="DG494" s="446"/>
      <c r="DH494" s="446"/>
      <c r="DI494" s="446"/>
      <c r="DJ494" s="446"/>
      <c r="DK494" s="446"/>
      <c r="DL494" s="446"/>
      <c r="DM494" s="446"/>
      <c r="DN494" s="446"/>
      <c r="DO494" s="446"/>
      <c r="DP494" s="446"/>
      <c r="DQ494" s="446"/>
      <c r="DR494" s="446"/>
      <c r="DS494" s="446"/>
      <c r="DT494" s="446"/>
      <c r="DU494" s="446"/>
      <c r="DV494" s="446"/>
      <c r="DW494" s="446"/>
    </row>
    <row r="495" spans="2:127" s="78" customFormat="1" ht="15" customHeight="1" x14ac:dyDescent="0.25">
      <c r="B495" s="77"/>
      <c r="E495" s="77"/>
      <c r="H495" s="77"/>
      <c r="Y495" s="90">
        <v>242</v>
      </c>
      <c r="Z495" s="559" t="str">
        <f>IF(Inventory!$C251="","",VLOOKUP(Inventory!$C251,$B$7:$C$9,2,FALSE))</f>
        <v/>
      </c>
      <c r="AA495" s="559" t="str">
        <f>IF($Z495="","",IF(AND($Z495="b",Inventory!$G251=""),"",IF(AND($Z495="b",Inventory!$G251&lt;&gt;""),VLOOKUP(Inventory!$G251,$E$3:$F$10,2,FALSE),IF(AND($Z495="a",Inventory!$Z251=""),"",IF(AND($Z495="a",Inventory!$Z251&lt;&gt;""),VLOOKUP(Inventory!$Z251,$E$3:$F$10,2,FALSE),IF(AND($Z495="c",Inventory!$Z251=""),"",IF(AND($Z495="c",Inventory!$Z251&lt;&gt;""),VLOOKUP(Inventory!$Z251,$E$3:$F$10,2,FALSE),"")))))))</f>
        <v/>
      </c>
      <c r="AB495" s="559" t="str">
        <f>IF($Z495="","a",IF(AND($Z495="b",Inventory!$J251=""),"a",IF(AND($Z495="b",Inventory!$J251&lt;&gt;""),VLOOKUP(Inventory!$J251,$H$4:$I$6,2,FALSE),IF(AND($Z495="a",Inventory!$AA251=""),"a",IF(AND($Z495="a",Inventory!$AA251&lt;&gt;""),VLOOKUP(Inventory!$AA251,$H$4:$I$6,2,FALSE),IF(AND($Z495="c",Inventory!$AA251=""),"a",IF(AND($Z495="c",Inventory!$AA251&lt;&gt;""),VLOOKUP(Inventory!$AA251,$H$4:$I$6,2,FALSE),"a")))))))</f>
        <v>a</v>
      </c>
      <c r="AC495" s="559" t="str">
        <f t="shared" si="340"/>
        <v>a</v>
      </c>
      <c r="AD495" s="473" t="str">
        <f>IF($Z495="","a",IF(AND($Z495="b",Inventory!$L251=""),"a",IF(AND($Z495="b",Inventory!$L251&lt;&gt;""),VLOOKUP(Inventory!$L251,$N$4:$O$5,2,FALSE),IF(AND($Z495="a",Inventory!$AC251=""),"a",IF(AND($Z495="a",Inventory!$AC251&lt;&gt;""),VLOOKUP(Inventory!$AC251,$N$4:$O$5,2,FALSE),IF(AND($Z495="c",Inventory!$AC251=""),"a",IF(AND($Z495="c",Inventory!$AC251&lt;&gt;""),VLOOKUP(Inventory!$AC251,$N$4:$O$5,2,FALSE),"a")))))))</f>
        <v>a</v>
      </c>
      <c r="AE495" s="474">
        <f>IF(OR(Inventory!C251="New Construction",Inventory!C251="Replace-on-Burnout"),Inventory!AF251,IF(Inventory!C251="Early Retirement",MIN(Inventory!AE251,Inventory!AF251),0))</f>
        <v>0</v>
      </c>
      <c r="AF495" s="475" t="str">
        <f t="shared" si="341"/>
        <v/>
      </c>
      <c r="AG495" s="475" t="str">
        <f t="shared" si="342"/>
        <v/>
      </c>
      <c r="AH495" s="475" t="str">
        <f t="shared" si="343"/>
        <v/>
      </c>
      <c r="AI495" s="475" t="str">
        <f t="shared" si="344"/>
        <v/>
      </c>
      <c r="AJ495" s="475" t="str">
        <f t="shared" si="345"/>
        <v/>
      </c>
      <c r="AK495" s="475" t="str">
        <f t="shared" si="346"/>
        <v/>
      </c>
      <c r="AL495" s="475" t="str">
        <f t="shared" si="347"/>
        <v/>
      </c>
      <c r="AM495" s="475" t="str">
        <f t="shared" si="348"/>
        <v/>
      </c>
      <c r="AN495" s="475" t="str">
        <f t="shared" si="349"/>
        <v/>
      </c>
      <c r="AO495" s="475" t="str">
        <f t="shared" si="350"/>
        <v/>
      </c>
      <c r="AP495" s="475" t="str">
        <f t="shared" si="351"/>
        <v/>
      </c>
      <c r="AQ495" s="475" t="str">
        <f t="shared" si="352"/>
        <v/>
      </c>
      <c r="AR495" s="475" t="str">
        <f t="shared" si="353"/>
        <v/>
      </c>
      <c r="AS495" s="475" t="str">
        <f t="shared" si="336"/>
        <v/>
      </c>
      <c r="AT495" s="475" t="str">
        <f t="shared" si="354"/>
        <v/>
      </c>
      <c r="AU495" s="475" t="str">
        <f t="shared" si="355"/>
        <v/>
      </c>
      <c r="AV495" s="475" t="str">
        <f t="shared" si="356"/>
        <v/>
      </c>
      <c r="AW495" s="473">
        <f t="shared" si="357"/>
        <v>0</v>
      </c>
      <c r="AX495" s="473" t="str">
        <f>IF(AND($Z495="b",OR($AA495="a",$AA495="b"),Inventory!$I251="",$AE495&lt;(65000/12000)),"x",IF(AND($Z495="b",OR($AA495="a",$AA495="b"),Inventory!$I251&lt;&gt;"",$AE495&lt;(65000/12000)),VLOOKUP(Inventory!$I502,$V$4:$W$5,2,FALSE),"x"))</f>
        <v>x</v>
      </c>
      <c r="AY495" s="476" t="str">
        <f t="shared" si="358"/>
        <v>aaa0</v>
      </c>
      <c r="AZ495" s="477" t="str">
        <f t="shared" si="327"/>
        <v>No</v>
      </c>
      <c r="BA495" s="759" t="str">
        <f t="shared" si="328"/>
        <v>No</v>
      </c>
      <c r="BB495" s="477">
        <f>IF($Z495="c",Inventory!$AB251,Inventory!$K251)</f>
        <v>0</v>
      </c>
      <c r="BC495" s="478">
        <f>IF(AND($Z495="b",Inventory!$N251="Btu/hr"),Inventory!$M251,IF(AND($Z495="b",Inventory!$N251="Tons"),Inventory!$M251*12000,IF(AND($Z495&lt;&gt;"b",Inventory!$AK251="Btu/hr"),Inventory!$AD251,IF(AND($Z495&lt;&gt;"b",Inventory!$AK251="Tons"),Inventory!$AD251*12000,0))))</f>
        <v>0</v>
      </c>
      <c r="BD495" s="478">
        <f t="shared" ref="BD495:BD503" si="365">IF(BC495=0,0,IF($BC495&lt;7000,7000,IF($BC495&gt;15000,15000,$BC495)))</f>
        <v>0</v>
      </c>
      <c r="BE495" s="479">
        <f t="shared" si="337"/>
        <v>0</v>
      </c>
      <c r="BF495" s="477" t="s">
        <v>50</v>
      </c>
      <c r="BG495" s="479">
        <f t="shared" si="359"/>
        <v>0</v>
      </c>
      <c r="BH495" s="477" t="s">
        <v>46</v>
      </c>
      <c r="BI495" s="760">
        <f>IF(AND($Z495="b",Inventory!$P251="Btu/hr"),Inventory!$O251,IF(AND($Z495="b",Inventory!$P251="Tons"),Inventory!$O251*12000,IF(AND($Z495&lt;&gt;"b",Inventory!$AM251="Btu/hr"),Inventory!$AL251,IF(AND($Z495&lt;&gt;"b",Inventory!$AM251="Tons"),Inventory!$AL251*12000,0))))</f>
        <v>0</v>
      </c>
      <c r="BJ495" s="760">
        <f t="shared" ref="BJ495:BJ503" si="366">IF(BI495=0,0,IF($BI495&lt;7000,7000,IF($BI495&gt;15000,15000,$BI495)))</f>
        <v>0</v>
      </c>
      <c r="BK495" s="598">
        <f t="shared" si="329"/>
        <v>0</v>
      </c>
      <c r="BL495" s="759" t="s">
        <v>567</v>
      </c>
      <c r="BM495" s="477" t="str">
        <f t="shared" si="360"/>
        <v>No</v>
      </c>
      <c r="BN495" s="477" t="str">
        <f>IF(OR(Inventory!$H251="",$BM495="No"),"-",Inventory!$H251)</f>
        <v>-</v>
      </c>
      <c r="BO495" s="477" t="str">
        <f>IFERROR(VLOOKUP(BN495,'Early Retirement'!$B$6:$C$33,2,FALSE),"-")</f>
        <v>-</v>
      </c>
      <c r="BP495" s="477" t="str">
        <f>IF(Inventory!$J251="Centrifugal","Yes","No")</f>
        <v>No</v>
      </c>
      <c r="BQ495" s="477">
        <f t="shared" si="361"/>
        <v>0</v>
      </c>
      <c r="BR495" s="477" t="str">
        <f t="shared" si="339"/>
        <v>-</v>
      </c>
      <c r="BS495" s="479">
        <f>IFERROR(INDEX('Early Retirement'!$C$4:$AC$33,$BO495,$BR495),0)</f>
        <v>0</v>
      </c>
      <c r="BT495" s="477">
        <f>IFERROR(HLOOKUP($BR495,'Early Retirement'!$D$4:$AC$5,2,FALSE),0)</f>
        <v>0</v>
      </c>
      <c r="BU495" s="761">
        <f>IFERROR(INDEX('Early Retirement'!$AE$4:$BE$33,$BO495,$BR495),0)</f>
        <v>0</v>
      </c>
      <c r="BV495" s="759">
        <f>IFERROR(HLOOKUP($BR495,'Early Retirement'!$AF$4:$BE$5,2,FALSE),0)</f>
        <v>0</v>
      </c>
      <c r="BW495" s="479">
        <f t="shared" si="362"/>
        <v>0</v>
      </c>
      <c r="BX495" s="761">
        <f t="shared" si="330"/>
        <v>0</v>
      </c>
      <c r="BY495" s="477" t="s">
        <v>46</v>
      </c>
      <c r="BZ495" s="598">
        <f>IFERROR(INDEX('Early Retirement'!$BG$4:$CG$33,$BO495,$BR495),0)</f>
        <v>0</v>
      </c>
      <c r="CA495" s="759">
        <f>IFERROR(HLOOKUP($BR495,'Early Retirement'!$BH$4:$CH$5,2,FALSE),0)</f>
        <v>0</v>
      </c>
      <c r="CB495" s="598">
        <f t="shared" si="331"/>
        <v>0</v>
      </c>
      <c r="CC495" s="759" t="s">
        <v>567</v>
      </c>
      <c r="CD495" s="477" t="str">
        <f t="shared" si="363"/>
        <v>Yes</v>
      </c>
      <c r="CE495" s="479">
        <f t="shared" si="332"/>
        <v>0</v>
      </c>
      <c r="CF495" s="761">
        <f t="shared" si="333"/>
        <v>0</v>
      </c>
      <c r="CG495" s="759" t="s">
        <v>46</v>
      </c>
      <c r="CH495" s="598">
        <f t="shared" si="338"/>
        <v>0</v>
      </c>
      <c r="CI495" s="759" t="s">
        <v>567</v>
      </c>
      <c r="CJ495" s="480">
        <f t="shared" si="364"/>
        <v>0</v>
      </c>
      <c r="CK495" s="583">
        <f t="shared" si="334"/>
        <v>0</v>
      </c>
      <c r="CL495" s="596" t="s">
        <v>46</v>
      </c>
      <c r="CM495" s="581">
        <f t="shared" si="335"/>
        <v>0</v>
      </c>
      <c r="CN495" s="762" t="s">
        <v>567</v>
      </c>
      <c r="CR495" s="446"/>
      <c r="CS495" s="446"/>
      <c r="CT495" s="446"/>
      <c r="CU495" s="446"/>
      <c r="CV495" s="446"/>
      <c r="CW495" s="752"/>
      <c r="CX495" s="752"/>
      <c r="CY495" s="752"/>
      <c r="CZ495" s="752"/>
      <c r="DA495" s="752"/>
      <c r="DB495" s="446"/>
      <c r="DC495" s="446"/>
      <c r="DD495" s="446"/>
      <c r="DE495" s="446"/>
      <c r="DF495" s="446"/>
      <c r="DG495" s="446"/>
      <c r="DH495" s="446"/>
      <c r="DI495" s="446"/>
      <c r="DJ495" s="446"/>
      <c r="DK495" s="446"/>
      <c r="DL495" s="446"/>
      <c r="DM495" s="446"/>
      <c r="DN495" s="446"/>
      <c r="DO495" s="446"/>
      <c r="DP495" s="446"/>
      <c r="DQ495" s="446"/>
      <c r="DR495" s="446"/>
      <c r="DS495" s="446"/>
      <c r="DT495" s="446"/>
      <c r="DU495" s="446"/>
      <c r="DV495" s="446"/>
      <c r="DW495" s="446"/>
    </row>
    <row r="496" spans="2:127" ht="15" customHeight="1" x14ac:dyDescent="0.25">
      <c r="Y496" s="90">
        <v>243</v>
      </c>
      <c r="Z496" s="559" t="str">
        <f>IF(Inventory!$C252="","",VLOOKUP(Inventory!$C252,$B$7:$C$9,2,FALSE))</f>
        <v/>
      </c>
      <c r="AA496" s="559" t="str">
        <f>IF($Z496="","",IF(AND($Z496="b",Inventory!$G252=""),"",IF(AND($Z496="b",Inventory!$G252&lt;&gt;""),VLOOKUP(Inventory!$G252,$E$3:$F$10,2,FALSE),IF(AND($Z496="a",Inventory!$Z252=""),"",IF(AND($Z496="a",Inventory!$Z252&lt;&gt;""),VLOOKUP(Inventory!$Z252,$E$3:$F$10,2,FALSE),IF(AND($Z496="c",Inventory!$Z252=""),"",IF(AND($Z496="c",Inventory!$Z252&lt;&gt;""),VLOOKUP(Inventory!$Z252,$E$3:$F$10,2,FALSE),"")))))))</f>
        <v/>
      </c>
      <c r="AB496" s="559" t="str">
        <f>IF($Z496="","a",IF(AND($Z496="b",Inventory!$J252=""),"a",IF(AND($Z496="b",Inventory!$J252&lt;&gt;""),VLOOKUP(Inventory!$J252,$H$4:$I$6,2,FALSE),IF(AND($Z496="a",Inventory!$AA252=""),"a",IF(AND($Z496="a",Inventory!$AA252&lt;&gt;""),VLOOKUP(Inventory!$AA252,$H$4:$I$6,2,FALSE),IF(AND($Z496="c",Inventory!$AA252=""),"a",IF(AND($Z496="c",Inventory!$AA252&lt;&gt;""),VLOOKUP(Inventory!$AA252,$H$4:$I$6,2,FALSE),"a")))))))</f>
        <v>a</v>
      </c>
      <c r="AC496" s="559" t="str">
        <f t="shared" si="340"/>
        <v>a</v>
      </c>
      <c r="AD496" s="473" t="str">
        <f>IF($Z496="","a",IF(AND($Z496="b",Inventory!$L252=""),"a",IF(AND($Z496="b",Inventory!$L252&lt;&gt;""),VLOOKUP(Inventory!$L252,$N$4:$O$5,2,FALSE),IF(AND($Z496="a",Inventory!$AC252=""),"a",IF(AND($Z496="a",Inventory!$AC252&lt;&gt;""),VLOOKUP(Inventory!$AC252,$N$4:$O$5,2,FALSE),IF(AND($Z496="c",Inventory!$AC252=""),"a",IF(AND($Z496="c",Inventory!$AC252&lt;&gt;""),VLOOKUP(Inventory!$AC252,$N$4:$O$5,2,FALSE),"a")))))))</f>
        <v>a</v>
      </c>
      <c r="AE496" s="474">
        <f>IF(OR(Inventory!C252="New Construction",Inventory!C252="Replace-on-Burnout"),Inventory!AF252,IF(Inventory!C252="Early Retirement",MIN(Inventory!AE252,Inventory!AF252),0))</f>
        <v>0</v>
      </c>
      <c r="AF496" s="475" t="str">
        <f t="shared" si="341"/>
        <v/>
      </c>
      <c r="AG496" s="475" t="str">
        <f t="shared" si="342"/>
        <v/>
      </c>
      <c r="AH496" s="475" t="str">
        <f t="shared" si="343"/>
        <v/>
      </c>
      <c r="AI496" s="475" t="str">
        <f t="shared" si="344"/>
        <v/>
      </c>
      <c r="AJ496" s="475" t="str">
        <f t="shared" si="345"/>
        <v/>
      </c>
      <c r="AK496" s="475" t="str">
        <f t="shared" si="346"/>
        <v/>
      </c>
      <c r="AL496" s="475" t="str">
        <f t="shared" si="347"/>
        <v/>
      </c>
      <c r="AM496" s="475" t="str">
        <f t="shared" si="348"/>
        <v/>
      </c>
      <c r="AN496" s="475" t="str">
        <f t="shared" si="349"/>
        <v/>
      </c>
      <c r="AO496" s="475" t="str">
        <f t="shared" si="350"/>
        <v/>
      </c>
      <c r="AP496" s="475" t="str">
        <f t="shared" si="351"/>
        <v/>
      </c>
      <c r="AQ496" s="475" t="str">
        <f t="shared" si="352"/>
        <v/>
      </c>
      <c r="AR496" s="475" t="str">
        <f t="shared" si="353"/>
        <v/>
      </c>
      <c r="AS496" s="475" t="str">
        <f t="shared" si="336"/>
        <v/>
      </c>
      <c r="AT496" s="475" t="str">
        <f t="shared" si="354"/>
        <v/>
      </c>
      <c r="AU496" s="475" t="str">
        <f t="shared" si="355"/>
        <v/>
      </c>
      <c r="AV496" s="475" t="str">
        <f t="shared" si="356"/>
        <v/>
      </c>
      <c r="AW496" s="473">
        <f t="shared" si="357"/>
        <v>0</v>
      </c>
      <c r="AX496" s="473" t="str">
        <f>IF(AND($Z496="b",OR($AA496="a",$AA496="b"),Inventory!$I252="",$AE496&lt;(65000/12000)),"x",IF(AND($Z496="b",OR($AA496="a",$AA496="b"),Inventory!$I252&lt;&gt;"",$AE496&lt;(65000/12000)),VLOOKUP(Inventory!$I503,$V$4:$W$5,2,FALSE),"x"))</f>
        <v>x</v>
      </c>
      <c r="AY496" s="476" t="str">
        <f t="shared" si="358"/>
        <v>aaa0</v>
      </c>
      <c r="AZ496" s="477" t="str">
        <f t="shared" si="327"/>
        <v>No</v>
      </c>
      <c r="BA496" s="759" t="str">
        <f t="shared" si="328"/>
        <v>No</v>
      </c>
      <c r="BB496" s="477">
        <f>IF($Z496="c",Inventory!$AB252,Inventory!$K252)</f>
        <v>0</v>
      </c>
      <c r="BC496" s="478">
        <f>IF(AND($Z496="b",Inventory!$N252="Btu/hr"),Inventory!$M252,IF(AND($Z496="b",Inventory!$N252="Tons"),Inventory!$M252*12000,IF(AND($Z496&lt;&gt;"b",Inventory!$AK252="Btu/hr"),Inventory!$AD252,IF(AND($Z496&lt;&gt;"b",Inventory!$AK252="Tons"),Inventory!$AD252*12000,0))))</f>
        <v>0</v>
      </c>
      <c r="BD496" s="478">
        <f t="shared" si="365"/>
        <v>0</v>
      </c>
      <c r="BE496" s="479">
        <f t="shared" si="337"/>
        <v>0</v>
      </c>
      <c r="BF496" s="477" t="s">
        <v>50</v>
      </c>
      <c r="BG496" s="479">
        <f t="shared" si="359"/>
        <v>0</v>
      </c>
      <c r="BH496" s="477" t="s">
        <v>46</v>
      </c>
      <c r="BI496" s="760">
        <f>IF(AND($Z496="b",Inventory!$P252="Btu/hr"),Inventory!$O252,IF(AND($Z496="b",Inventory!$P252="Tons"),Inventory!$O252*12000,IF(AND($Z496&lt;&gt;"b",Inventory!$AM252="Btu/hr"),Inventory!$AL252,IF(AND($Z496&lt;&gt;"b",Inventory!$AM252="Tons"),Inventory!$AL252*12000,0))))</f>
        <v>0</v>
      </c>
      <c r="BJ496" s="760">
        <f t="shared" si="366"/>
        <v>0</v>
      </c>
      <c r="BK496" s="598">
        <f t="shared" si="329"/>
        <v>0</v>
      </c>
      <c r="BL496" s="759" t="s">
        <v>567</v>
      </c>
      <c r="BM496" s="477" t="str">
        <f t="shared" si="360"/>
        <v>No</v>
      </c>
      <c r="BN496" s="477" t="str">
        <f>IF(OR(Inventory!$H252="",$BM496="No"),"-",Inventory!$H252)</f>
        <v>-</v>
      </c>
      <c r="BO496" s="477" t="str">
        <f>IFERROR(VLOOKUP(BN496,'Early Retirement'!$B$6:$C$33,2,FALSE),"-")</f>
        <v>-</v>
      </c>
      <c r="BP496" s="477" t="str">
        <f>IF(Inventory!$J252="Centrifugal","Yes","No")</f>
        <v>No</v>
      </c>
      <c r="BQ496" s="477">
        <f t="shared" si="361"/>
        <v>0</v>
      </c>
      <c r="BR496" s="477" t="str">
        <f t="shared" si="339"/>
        <v>-</v>
      </c>
      <c r="BS496" s="479">
        <f>IFERROR(INDEX('Early Retirement'!$C$4:$AC$33,$BO496,$BR496),0)</f>
        <v>0</v>
      </c>
      <c r="BT496" s="477">
        <f>IFERROR(HLOOKUP($BR496,'Early Retirement'!$D$4:$AC$5,2,FALSE),0)</f>
        <v>0</v>
      </c>
      <c r="BU496" s="761">
        <f>IFERROR(INDEX('Early Retirement'!$AE$4:$BE$33,$BO496,$BR496),0)</f>
        <v>0</v>
      </c>
      <c r="BV496" s="759">
        <f>IFERROR(HLOOKUP($BR496,'Early Retirement'!$AF$4:$BE$5,2,FALSE),0)</f>
        <v>0</v>
      </c>
      <c r="BW496" s="479">
        <f t="shared" si="362"/>
        <v>0</v>
      </c>
      <c r="BX496" s="761">
        <f t="shared" si="330"/>
        <v>0</v>
      </c>
      <c r="BY496" s="477" t="s">
        <v>46</v>
      </c>
      <c r="BZ496" s="598">
        <f>IFERROR(INDEX('Early Retirement'!$BG$4:$CG$33,$BO496,$BR496),0)</f>
        <v>0</v>
      </c>
      <c r="CA496" s="759">
        <f>IFERROR(HLOOKUP($BR496,'Early Retirement'!$BH$4:$CH$5,2,FALSE),0)</f>
        <v>0</v>
      </c>
      <c r="CB496" s="598">
        <f t="shared" si="331"/>
        <v>0</v>
      </c>
      <c r="CC496" s="759" t="s">
        <v>567</v>
      </c>
      <c r="CD496" s="477" t="str">
        <f t="shared" si="363"/>
        <v>Yes</v>
      </c>
      <c r="CE496" s="479">
        <f t="shared" si="332"/>
        <v>0</v>
      </c>
      <c r="CF496" s="761">
        <f t="shared" si="333"/>
        <v>0</v>
      </c>
      <c r="CG496" s="759" t="s">
        <v>46</v>
      </c>
      <c r="CH496" s="598">
        <f t="shared" si="338"/>
        <v>0</v>
      </c>
      <c r="CI496" s="759" t="s">
        <v>567</v>
      </c>
      <c r="CJ496" s="480">
        <f t="shared" si="364"/>
        <v>0</v>
      </c>
      <c r="CK496" s="583">
        <f t="shared" si="334"/>
        <v>0</v>
      </c>
      <c r="CL496" s="596" t="s">
        <v>46</v>
      </c>
      <c r="CM496" s="581">
        <f t="shared" si="335"/>
        <v>0</v>
      </c>
      <c r="CN496" s="762" t="s">
        <v>567</v>
      </c>
      <c r="CO496" s="560"/>
      <c r="CP496" s="560"/>
      <c r="CQ496" s="560"/>
      <c r="CR496" s="446"/>
      <c r="CS496" s="446"/>
      <c r="CT496" s="446"/>
      <c r="CU496" s="446"/>
      <c r="CV496" s="446"/>
      <c r="CW496" s="752"/>
      <c r="CX496" s="752"/>
      <c r="CY496" s="752"/>
      <c r="CZ496" s="752"/>
      <c r="DA496" s="752"/>
      <c r="DB496" s="446"/>
      <c r="DC496" s="446"/>
      <c r="DD496" s="446"/>
      <c r="DE496" s="446"/>
      <c r="DF496" s="446"/>
      <c r="DG496" s="446"/>
      <c r="DH496" s="446"/>
      <c r="DI496" s="446"/>
      <c r="DJ496" s="446"/>
      <c r="DK496" s="446"/>
      <c r="DL496" s="446"/>
      <c r="DM496" s="446"/>
      <c r="DN496" s="446"/>
      <c r="DO496" s="446"/>
      <c r="DP496" s="446"/>
      <c r="DQ496" s="446"/>
      <c r="DR496" s="446"/>
      <c r="DS496" s="446"/>
      <c r="DT496" s="446"/>
      <c r="DU496" s="446"/>
      <c r="DV496" s="446"/>
      <c r="DW496" s="446"/>
    </row>
    <row r="497" spans="25:127" ht="15" customHeight="1" x14ac:dyDescent="0.25">
      <c r="Y497" s="90">
        <v>244</v>
      </c>
      <c r="Z497" s="559" t="str">
        <f>IF(Inventory!$C253="","",VLOOKUP(Inventory!$C253,$B$7:$C$9,2,FALSE))</f>
        <v/>
      </c>
      <c r="AA497" s="559" t="str">
        <f>IF($Z497="","",IF(AND($Z497="b",Inventory!$G253=""),"",IF(AND($Z497="b",Inventory!$G253&lt;&gt;""),VLOOKUP(Inventory!$G253,$E$3:$F$10,2,FALSE),IF(AND($Z497="a",Inventory!$Z253=""),"",IF(AND($Z497="a",Inventory!$Z253&lt;&gt;""),VLOOKUP(Inventory!$Z253,$E$3:$F$10,2,FALSE),IF(AND($Z497="c",Inventory!$Z253=""),"",IF(AND($Z497="c",Inventory!$Z253&lt;&gt;""),VLOOKUP(Inventory!$Z253,$E$3:$F$10,2,FALSE),"")))))))</f>
        <v/>
      </c>
      <c r="AB497" s="559" t="str">
        <f>IF($Z497="","a",IF(AND($Z497="b",Inventory!$J253=""),"a",IF(AND($Z497="b",Inventory!$J253&lt;&gt;""),VLOOKUP(Inventory!$J253,$H$4:$I$6,2,FALSE),IF(AND($Z497="a",Inventory!$AA253=""),"a",IF(AND($Z497="a",Inventory!$AA253&lt;&gt;""),VLOOKUP(Inventory!$AA253,$H$4:$I$6,2,FALSE),IF(AND($Z497="c",Inventory!$AA253=""),"a",IF(AND($Z497="c",Inventory!$AA253&lt;&gt;""),VLOOKUP(Inventory!$AA253,$H$4:$I$6,2,FALSE),"a")))))))</f>
        <v>a</v>
      </c>
      <c r="AC497" s="559" t="str">
        <f t="shared" si="340"/>
        <v>a</v>
      </c>
      <c r="AD497" s="473" t="str">
        <f>IF($Z497="","a",IF(AND($Z497="b",Inventory!$L253=""),"a",IF(AND($Z497="b",Inventory!$L253&lt;&gt;""),VLOOKUP(Inventory!$L253,$N$4:$O$5,2,FALSE),IF(AND($Z497="a",Inventory!$AC253=""),"a",IF(AND($Z497="a",Inventory!$AC253&lt;&gt;""),VLOOKUP(Inventory!$AC253,$N$4:$O$5,2,FALSE),IF(AND($Z497="c",Inventory!$AC253=""),"a",IF(AND($Z497="c",Inventory!$AC253&lt;&gt;""),VLOOKUP(Inventory!$AC253,$N$4:$O$5,2,FALSE),"a")))))))</f>
        <v>a</v>
      </c>
      <c r="AE497" s="474">
        <f>IF(OR(Inventory!C253="New Construction",Inventory!C253="Replace-on-Burnout"),Inventory!AF253,IF(Inventory!C253="Early Retirement",MIN(Inventory!AE253,Inventory!AF253),0))</f>
        <v>0</v>
      </c>
      <c r="AF497" s="475" t="str">
        <f t="shared" si="341"/>
        <v/>
      </c>
      <c r="AG497" s="475" t="str">
        <f t="shared" si="342"/>
        <v/>
      </c>
      <c r="AH497" s="475" t="str">
        <f t="shared" si="343"/>
        <v/>
      </c>
      <c r="AI497" s="475" t="str">
        <f t="shared" si="344"/>
        <v/>
      </c>
      <c r="AJ497" s="475" t="str">
        <f t="shared" si="345"/>
        <v/>
      </c>
      <c r="AK497" s="475" t="str">
        <f t="shared" si="346"/>
        <v/>
      </c>
      <c r="AL497" s="475" t="str">
        <f t="shared" si="347"/>
        <v/>
      </c>
      <c r="AM497" s="475" t="str">
        <f t="shared" si="348"/>
        <v/>
      </c>
      <c r="AN497" s="475" t="str">
        <f t="shared" si="349"/>
        <v/>
      </c>
      <c r="AO497" s="475" t="str">
        <f t="shared" si="350"/>
        <v/>
      </c>
      <c r="AP497" s="475" t="str">
        <f t="shared" si="351"/>
        <v/>
      </c>
      <c r="AQ497" s="475" t="str">
        <f t="shared" si="352"/>
        <v/>
      </c>
      <c r="AR497" s="475" t="str">
        <f t="shared" si="353"/>
        <v/>
      </c>
      <c r="AS497" s="475" t="str">
        <f t="shared" si="336"/>
        <v/>
      </c>
      <c r="AT497" s="475" t="str">
        <f t="shared" si="354"/>
        <v/>
      </c>
      <c r="AU497" s="475" t="str">
        <f t="shared" si="355"/>
        <v/>
      </c>
      <c r="AV497" s="475" t="str">
        <f t="shared" si="356"/>
        <v/>
      </c>
      <c r="AW497" s="473">
        <f t="shared" si="357"/>
        <v>0</v>
      </c>
      <c r="AX497" s="473" t="str">
        <f>IF(AND($Z497="b",OR($AA497="a",$AA497="b"),Inventory!$I253="",$AE497&lt;(65000/12000)),"x",IF(AND($Z497="b",OR($AA497="a",$AA497="b"),Inventory!$I253&lt;&gt;"",$AE497&lt;(65000/12000)),VLOOKUP(Inventory!$I504,$V$4:$W$5,2,FALSE),"x"))</f>
        <v>x</v>
      </c>
      <c r="AY497" s="476" t="str">
        <f t="shared" si="358"/>
        <v>aaa0</v>
      </c>
      <c r="AZ497" s="477" t="str">
        <f t="shared" si="327"/>
        <v>No</v>
      </c>
      <c r="BA497" s="759" t="str">
        <f t="shared" si="328"/>
        <v>No</v>
      </c>
      <c r="BB497" s="477">
        <f>IF($Z497="c",Inventory!$AB253,Inventory!$K253)</f>
        <v>0</v>
      </c>
      <c r="BC497" s="478">
        <f>IF(AND($Z497="b",Inventory!$N253="Btu/hr"),Inventory!$M253,IF(AND($Z497="b",Inventory!$N253="Tons"),Inventory!$M253*12000,IF(AND($Z497&lt;&gt;"b",Inventory!$AK253="Btu/hr"),Inventory!$AD253,IF(AND($Z497&lt;&gt;"b",Inventory!$AK253="Tons"),Inventory!$AD253*12000,0))))</f>
        <v>0</v>
      </c>
      <c r="BD497" s="478">
        <f t="shared" si="365"/>
        <v>0</v>
      </c>
      <c r="BE497" s="479">
        <f t="shared" si="337"/>
        <v>0</v>
      </c>
      <c r="BF497" s="477" t="s">
        <v>50</v>
      </c>
      <c r="BG497" s="479">
        <f t="shared" si="359"/>
        <v>0</v>
      </c>
      <c r="BH497" s="477" t="s">
        <v>46</v>
      </c>
      <c r="BI497" s="760">
        <f>IF(AND($Z497="b",Inventory!$P253="Btu/hr"),Inventory!$O253,IF(AND($Z497="b",Inventory!$P253="Tons"),Inventory!$O253*12000,IF(AND($Z497&lt;&gt;"b",Inventory!$AM253="Btu/hr"),Inventory!$AL253,IF(AND($Z497&lt;&gt;"b",Inventory!$AM253="Tons"),Inventory!$AL253*12000,0))))</f>
        <v>0</v>
      </c>
      <c r="BJ497" s="760">
        <f t="shared" si="366"/>
        <v>0</v>
      </c>
      <c r="BK497" s="598">
        <f t="shared" si="329"/>
        <v>0</v>
      </c>
      <c r="BL497" s="759" t="s">
        <v>567</v>
      </c>
      <c r="BM497" s="477" t="str">
        <f t="shared" si="360"/>
        <v>No</v>
      </c>
      <c r="BN497" s="477" t="str">
        <f>IF(OR(Inventory!$H253="",$BM497="No"),"-",Inventory!$H253)</f>
        <v>-</v>
      </c>
      <c r="BO497" s="477" t="str">
        <f>IFERROR(VLOOKUP(BN497,'Early Retirement'!$B$6:$C$33,2,FALSE),"-")</f>
        <v>-</v>
      </c>
      <c r="BP497" s="477" t="str">
        <f>IF(Inventory!$J253="Centrifugal","Yes","No")</f>
        <v>No</v>
      </c>
      <c r="BQ497" s="477">
        <f t="shared" si="361"/>
        <v>0</v>
      </c>
      <c r="BR497" s="477" t="str">
        <f t="shared" si="339"/>
        <v>-</v>
      </c>
      <c r="BS497" s="479">
        <f>IFERROR(INDEX('Early Retirement'!$C$4:$AC$33,$BO497,$BR497),0)</f>
        <v>0</v>
      </c>
      <c r="BT497" s="477">
        <f>IFERROR(HLOOKUP($BR497,'Early Retirement'!$D$4:$AC$5,2,FALSE),0)</f>
        <v>0</v>
      </c>
      <c r="BU497" s="761">
        <f>IFERROR(INDEX('Early Retirement'!$AE$4:$BE$33,$BO497,$BR497),0)</f>
        <v>0</v>
      </c>
      <c r="BV497" s="759">
        <f>IFERROR(HLOOKUP($BR497,'Early Retirement'!$AF$4:$BE$5,2,FALSE),0)</f>
        <v>0</v>
      </c>
      <c r="BW497" s="479">
        <f t="shared" si="362"/>
        <v>0</v>
      </c>
      <c r="BX497" s="761">
        <f t="shared" si="330"/>
        <v>0</v>
      </c>
      <c r="BY497" s="477" t="s">
        <v>46</v>
      </c>
      <c r="BZ497" s="598">
        <f>IFERROR(INDEX('Early Retirement'!$BG$4:$CG$33,$BO497,$BR497),0)</f>
        <v>0</v>
      </c>
      <c r="CA497" s="759">
        <f>IFERROR(HLOOKUP($BR497,'Early Retirement'!$BH$4:$CH$5,2,FALSE),0)</f>
        <v>0</v>
      </c>
      <c r="CB497" s="598">
        <f t="shared" si="331"/>
        <v>0</v>
      </c>
      <c r="CC497" s="759" t="s">
        <v>567</v>
      </c>
      <c r="CD497" s="477" t="str">
        <f t="shared" si="363"/>
        <v>Yes</v>
      </c>
      <c r="CE497" s="479">
        <f t="shared" si="332"/>
        <v>0</v>
      </c>
      <c r="CF497" s="761">
        <f t="shared" si="333"/>
        <v>0</v>
      </c>
      <c r="CG497" s="759" t="s">
        <v>46</v>
      </c>
      <c r="CH497" s="598">
        <f t="shared" si="338"/>
        <v>0</v>
      </c>
      <c r="CI497" s="759" t="s">
        <v>567</v>
      </c>
      <c r="CJ497" s="480">
        <f t="shared" si="364"/>
        <v>0</v>
      </c>
      <c r="CK497" s="583">
        <f t="shared" si="334"/>
        <v>0</v>
      </c>
      <c r="CL497" s="596" t="s">
        <v>46</v>
      </c>
      <c r="CM497" s="581">
        <f t="shared" si="335"/>
        <v>0</v>
      </c>
      <c r="CN497" s="762" t="s">
        <v>567</v>
      </c>
      <c r="CR497" s="446"/>
      <c r="CS497" s="446"/>
      <c r="CT497" s="446"/>
      <c r="CU497" s="446"/>
      <c r="CV497" s="446"/>
      <c r="CW497" s="752"/>
      <c r="CX497" s="752"/>
      <c r="CY497" s="752"/>
      <c r="CZ497" s="752"/>
      <c r="DA497" s="752"/>
      <c r="DB497" s="446"/>
      <c r="DC497" s="446"/>
      <c r="DD497" s="446"/>
      <c r="DE497" s="446"/>
      <c r="DF497" s="446"/>
      <c r="DG497" s="446"/>
      <c r="DH497" s="446"/>
      <c r="DI497" s="446"/>
      <c r="DJ497" s="446"/>
      <c r="DK497" s="446"/>
      <c r="DL497" s="446"/>
      <c r="DM497" s="446"/>
      <c r="DN497" s="446"/>
      <c r="DO497" s="446"/>
      <c r="DP497" s="446"/>
      <c r="DQ497" s="446"/>
      <c r="DR497" s="446"/>
      <c r="DS497" s="446"/>
      <c r="DT497" s="446"/>
      <c r="DU497" s="446"/>
      <c r="DV497" s="446"/>
      <c r="DW497" s="446"/>
    </row>
    <row r="498" spans="25:127" ht="15" customHeight="1" x14ac:dyDescent="0.25">
      <c r="Y498" s="90">
        <v>245</v>
      </c>
      <c r="Z498" s="559" t="str">
        <f>IF(Inventory!$C254="","",VLOOKUP(Inventory!$C254,$B$7:$C$9,2,FALSE))</f>
        <v/>
      </c>
      <c r="AA498" s="559" t="str">
        <f>IF($Z498="","",IF(AND($Z498="b",Inventory!$G254=""),"",IF(AND($Z498="b",Inventory!$G254&lt;&gt;""),VLOOKUP(Inventory!$G254,$E$3:$F$10,2,FALSE),IF(AND($Z498="a",Inventory!$Z254=""),"",IF(AND($Z498="a",Inventory!$Z254&lt;&gt;""),VLOOKUP(Inventory!$Z254,$E$3:$F$10,2,FALSE),IF(AND($Z498="c",Inventory!$Z254=""),"",IF(AND($Z498="c",Inventory!$Z254&lt;&gt;""),VLOOKUP(Inventory!$Z254,$E$3:$F$10,2,FALSE),"")))))))</f>
        <v/>
      </c>
      <c r="AB498" s="559" t="str">
        <f>IF($Z498="","a",IF(AND($Z498="b",Inventory!$J254=""),"a",IF(AND($Z498="b",Inventory!$J254&lt;&gt;""),VLOOKUP(Inventory!$J254,$H$4:$I$6,2,FALSE),IF(AND($Z498="a",Inventory!$AA254=""),"a",IF(AND($Z498="a",Inventory!$AA254&lt;&gt;""),VLOOKUP(Inventory!$AA254,$H$4:$I$6,2,FALSE),IF(AND($Z498="c",Inventory!$AA254=""),"a",IF(AND($Z498="c",Inventory!$AA254&lt;&gt;""),VLOOKUP(Inventory!$AA254,$H$4:$I$6,2,FALSE),"a")))))))</f>
        <v>a</v>
      </c>
      <c r="AC498" s="559" t="str">
        <f t="shared" si="340"/>
        <v>a</v>
      </c>
      <c r="AD498" s="473" t="str">
        <f>IF($Z498="","a",IF(AND($Z498="b",Inventory!$L254=""),"a",IF(AND($Z498="b",Inventory!$L254&lt;&gt;""),VLOOKUP(Inventory!$L254,$N$4:$O$5,2,FALSE),IF(AND($Z498="a",Inventory!$AC254=""),"a",IF(AND($Z498="a",Inventory!$AC254&lt;&gt;""),VLOOKUP(Inventory!$AC254,$N$4:$O$5,2,FALSE),IF(AND($Z498="c",Inventory!$AC254=""),"a",IF(AND($Z498="c",Inventory!$AC254&lt;&gt;""),VLOOKUP(Inventory!$AC254,$N$4:$O$5,2,FALSE),"a")))))))</f>
        <v>a</v>
      </c>
      <c r="AE498" s="474">
        <f>IF(OR(Inventory!C254="New Construction",Inventory!C254="Replace-on-Burnout"),Inventory!AF254,IF(Inventory!C254="Early Retirement",MIN(Inventory!AE254,Inventory!AF254),0))</f>
        <v>0</v>
      </c>
      <c r="AF498" s="475" t="str">
        <f t="shared" si="341"/>
        <v/>
      </c>
      <c r="AG498" s="475" t="str">
        <f t="shared" si="342"/>
        <v/>
      </c>
      <c r="AH498" s="475" t="str">
        <f t="shared" si="343"/>
        <v/>
      </c>
      <c r="AI498" s="475" t="str">
        <f t="shared" si="344"/>
        <v/>
      </c>
      <c r="AJ498" s="475" t="str">
        <f t="shared" si="345"/>
        <v/>
      </c>
      <c r="AK498" s="475" t="str">
        <f t="shared" si="346"/>
        <v/>
      </c>
      <c r="AL498" s="475" t="str">
        <f t="shared" si="347"/>
        <v/>
      </c>
      <c r="AM498" s="475" t="str">
        <f t="shared" si="348"/>
        <v/>
      </c>
      <c r="AN498" s="475" t="str">
        <f t="shared" si="349"/>
        <v/>
      </c>
      <c r="AO498" s="475" t="str">
        <f t="shared" si="350"/>
        <v/>
      </c>
      <c r="AP498" s="475" t="str">
        <f t="shared" si="351"/>
        <v/>
      </c>
      <c r="AQ498" s="475" t="str">
        <f t="shared" si="352"/>
        <v/>
      </c>
      <c r="AR498" s="475" t="str">
        <f t="shared" si="353"/>
        <v/>
      </c>
      <c r="AS498" s="475" t="str">
        <f t="shared" si="336"/>
        <v/>
      </c>
      <c r="AT498" s="475" t="str">
        <f t="shared" si="354"/>
        <v/>
      </c>
      <c r="AU498" s="475" t="str">
        <f t="shared" si="355"/>
        <v/>
      </c>
      <c r="AV498" s="475" t="str">
        <f t="shared" si="356"/>
        <v/>
      </c>
      <c r="AW498" s="473">
        <f t="shared" si="357"/>
        <v>0</v>
      </c>
      <c r="AX498" s="473" t="str">
        <f>IF(AND($Z498="b",OR($AA498="a",$AA498="b"),Inventory!$I254="",$AE498&lt;(65000/12000)),"x",IF(AND($Z498="b",OR($AA498="a",$AA498="b"),Inventory!$I254&lt;&gt;"",$AE498&lt;(65000/12000)),VLOOKUP(Inventory!$I505,$V$4:$W$5,2,FALSE),"x"))</f>
        <v>x</v>
      </c>
      <c r="AY498" s="476" t="str">
        <f t="shared" si="358"/>
        <v>aaa0</v>
      </c>
      <c r="AZ498" s="477" t="str">
        <f t="shared" si="327"/>
        <v>No</v>
      </c>
      <c r="BA498" s="759" t="str">
        <f t="shared" si="328"/>
        <v>No</v>
      </c>
      <c r="BB498" s="477">
        <f>IF($Z498="c",Inventory!$AB254,Inventory!$K254)</f>
        <v>0</v>
      </c>
      <c r="BC498" s="478">
        <f>IF(AND($Z498="b",Inventory!$N254="Btu/hr"),Inventory!$M254,IF(AND($Z498="b",Inventory!$N254="Tons"),Inventory!$M254*12000,IF(AND($Z498&lt;&gt;"b",Inventory!$AK254="Btu/hr"),Inventory!$AD254,IF(AND($Z498&lt;&gt;"b",Inventory!$AK254="Tons"),Inventory!$AD254*12000,0))))</f>
        <v>0</v>
      </c>
      <c r="BD498" s="478">
        <f t="shared" si="365"/>
        <v>0</v>
      </c>
      <c r="BE498" s="479">
        <f t="shared" si="337"/>
        <v>0</v>
      </c>
      <c r="BF498" s="477" t="s">
        <v>50</v>
      </c>
      <c r="BG498" s="479">
        <f t="shared" si="359"/>
        <v>0</v>
      </c>
      <c r="BH498" s="477" t="s">
        <v>46</v>
      </c>
      <c r="BI498" s="760">
        <f>IF(AND($Z498="b",Inventory!$P254="Btu/hr"),Inventory!$O254,IF(AND($Z498="b",Inventory!$P254="Tons"),Inventory!$O254*12000,IF(AND($Z498&lt;&gt;"b",Inventory!$AM254="Btu/hr"),Inventory!$AL254,IF(AND($Z498&lt;&gt;"b",Inventory!$AM254="Tons"),Inventory!$AL254*12000,0))))</f>
        <v>0</v>
      </c>
      <c r="BJ498" s="760">
        <f t="shared" si="366"/>
        <v>0</v>
      </c>
      <c r="BK498" s="598">
        <f t="shared" si="329"/>
        <v>0</v>
      </c>
      <c r="BL498" s="759" t="s">
        <v>567</v>
      </c>
      <c r="BM498" s="477" t="str">
        <f t="shared" si="360"/>
        <v>No</v>
      </c>
      <c r="BN498" s="477" t="str">
        <f>IF(OR(Inventory!$H254="",$BM498="No"),"-",Inventory!$H254)</f>
        <v>-</v>
      </c>
      <c r="BO498" s="477" t="str">
        <f>IFERROR(VLOOKUP(BN498,'Early Retirement'!$B$6:$C$33,2,FALSE),"-")</f>
        <v>-</v>
      </c>
      <c r="BP498" s="477" t="str">
        <f>IF(Inventory!$J254="Centrifugal","Yes","No")</f>
        <v>No</v>
      </c>
      <c r="BQ498" s="477">
        <f t="shared" si="361"/>
        <v>0</v>
      </c>
      <c r="BR498" s="477" t="str">
        <f t="shared" si="339"/>
        <v>-</v>
      </c>
      <c r="BS498" s="479">
        <f>IFERROR(INDEX('Early Retirement'!$C$4:$AC$33,$BO498,$BR498),0)</f>
        <v>0</v>
      </c>
      <c r="BT498" s="477">
        <f>IFERROR(HLOOKUP($BR498,'Early Retirement'!$D$4:$AC$5,2,FALSE),0)</f>
        <v>0</v>
      </c>
      <c r="BU498" s="761">
        <f>IFERROR(INDEX('Early Retirement'!$AE$4:$BE$33,$BO498,$BR498),0)</f>
        <v>0</v>
      </c>
      <c r="BV498" s="759">
        <f>IFERROR(HLOOKUP($BR498,'Early Retirement'!$AF$4:$BE$5,2,FALSE),0)</f>
        <v>0</v>
      </c>
      <c r="BW498" s="479">
        <f t="shared" si="362"/>
        <v>0</v>
      </c>
      <c r="BX498" s="761">
        <f t="shared" si="330"/>
        <v>0</v>
      </c>
      <c r="BY498" s="477" t="s">
        <v>46</v>
      </c>
      <c r="BZ498" s="598">
        <f>IFERROR(INDEX('Early Retirement'!$BG$4:$CG$33,$BO498,$BR498),0)</f>
        <v>0</v>
      </c>
      <c r="CA498" s="759">
        <f>IFERROR(HLOOKUP($BR498,'Early Retirement'!$BH$4:$CH$5,2,FALSE),0)</f>
        <v>0</v>
      </c>
      <c r="CB498" s="598">
        <f t="shared" si="331"/>
        <v>0</v>
      </c>
      <c r="CC498" s="759" t="s">
        <v>567</v>
      </c>
      <c r="CD498" s="477" t="str">
        <f t="shared" si="363"/>
        <v>Yes</v>
      </c>
      <c r="CE498" s="479">
        <f t="shared" si="332"/>
        <v>0</v>
      </c>
      <c r="CF498" s="761">
        <f t="shared" si="333"/>
        <v>0</v>
      </c>
      <c r="CG498" s="759" t="s">
        <v>46</v>
      </c>
      <c r="CH498" s="598">
        <f t="shared" si="338"/>
        <v>0</v>
      </c>
      <c r="CI498" s="759" t="s">
        <v>567</v>
      </c>
      <c r="CJ498" s="480">
        <f t="shared" si="364"/>
        <v>0</v>
      </c>
      <c r="CK498" s="583">
        <f t="shared" si="334"/>
        <v>0</v>
      </c>
      <c r="CL498" s="596" t="s">
        <v>46</v>
      </c>
      <c r="CM498" s="581">
        <f t="shared" si="335"/>
        <v>0</v>
      </c>
      <c r="CN498" s="762" t="s">
        <v>567</v>
      </c>
      <c r="CR498" s="446"/>
      <c r="CS498" s="446"/>
      <c r="CT498" s="446"/>
      <c r="CU498" s="446"/>
      <c r="CV498" s="446"/>
      <c r="CW498" s="752"/>
      <c r="CX498" s="752"/>
      <c r="CY498" s="752"/>
      <c r="CZ498" s="752"/>
      <c r="DA498" s="752"/>
      <c r="DB498" s="446"/>
      <c r="DC498" s="446"/>
      <c r="DD498" s="446"/>
      <c r="DE498" s="446"/>
      <c r="DF498" s="446"/>
      <c r="DG498" s="446"/>
      <c r="DH498" s="446"/>
      <c r="DI498" s="446"/>
      <c r="DJ498" s="446"/>
      <c r="DK498" s="446"/>
      <c r="DL498" s="446"/>
      <c r="DM498" s="446"/>
      <c r="DN498" s="446"/>
      <c r="DO498" s="446"/>
      <c r="DP498" s="446"/>
      <c r="DQ498" s="446"/>
      <c r="DR498" s="446"/>
      <c r="DS498" s="446"/>
      <c r="DT498" s="446"/>
      <c r="DU498" s="446"/>
      <c r="DV498" s="446"/>
      <c r="DW498" s="446"/>
    </row>
    <row r="499" spans="25:127" ht="15" customHeight="1" x14ac:dyDescent="0.25">
      <c r="Y499" s="90">
        <v>246</v>
      </c>
      <c r="Z499" s="559" t="str">
        <f>IF(Inventory!$C255="","",VLOOKUP(Inventory!$C255,$B$7:$C$9,2,FALSE))</f>
        <v/>
      </c>
      <c r="AA499" s="559" t="str">
        <f>IF($Z499="","",IF(AND($Z499="b",Inventory!$G255=""),"",IF(AND($Z499="b",Inventory!$G255&lt;&gt;""),VLOOKUP(Inventory!$G255,$E$3:$F$10,2,FALSE),IF(AND($Z499="a",Inventory!$Z255=""),"",IF(AND($Z499="a",Inventory!$Z255&lt;&gt;""),VLOOKUP(Inventory!$Z255,$E$3:$F$10,2,FALSE),IF(AND($Z499="c",Inventory!$Z255=""),"",IF(AND($Z499="c",Inventory!$Z255&lt;&gt;""),VLOOKUP(Inventory!$Z255,$E$3:$F$10,2,FALSE),"")))))))</f>
        <v/>
      </c>
      <c r="AB499" s="559" t="str">
        <f>IF($Z499="","a",IF(AND($Z499="b",Inventory!$J255=""),"a",IF(AND($Z499="b",Inventory!$J255&lt;&gt;""),VLOOKUP(Inventory!$J255,$H$4:$I$6,2,FALSE),IF(AND($Z499="a",Inventory!$AA255=""),"a",IF(AND($Z499="a",Inventory!$AA255&lt;&gt;""),VLOOKUP(Inventory!$AA255,$H$4:$I$6,2,FALSE),IF(AND($Z499="c",Inventory!$AA255=""),"a",IF(AND($Z499="c",Inventory!$AA255&lt;&gt;""),VLOOKUP(Inventory!$AA255,$H$4:$I$6,2,FALSE),"a")))))))</f>
        <v>a</v>
      </c>
      <c r="AC499" s="559" t="str">
        <f t="shared" si="340"/>
        <v>a</v>
      </c>
      <c r="AD499" s="473" t="str">
        <f>IF($Z499="","a",IF(AND($Z499="b",Inventory!$L255=""),"a",IF(AND($Z499="b",Inventory!$L255&lt;&gt;""),VLOOKUP(Inventory!$L255,$N$4:$O$5,2,FALSE),IF(AND($Z499="a",Inventory!$AC255=""),"a",IF(AND($Z499="a",Inventory!$AC255&lt;&gt;""),VLOOKUP(Inventory!$AC255,$N$4:$O$5,2,FALSE),IF(AND($Z499="c",Inventory!$AC255=""),"a",IF(AND($Z499="c",Inventory!$AC255&lt;&gt;""),VLOOKUP(Inventory!$AC255,$N$4:$O$5,2,FALSE),"a")))))))</f>
        <v>a</v>
      </c>
      <c r="AE499" s="474">
        <f>IF(OR(Inventory!C255="New Construction",Inventory!C255="Replace-on-Burnout"),Inventory!AF255,IF(Inventory!C255="Early Retirement",MIN(Inventory!AE255,Inventory!AF255),0))</f>
        <v>0</v>
      </c>
      <c r="AF499" s="475" t="str">
        <f t="shared" si="341"/>
        <v/>
      </c>
      <c r="AG499" s="475" t="str">
        <f t="shared" si="342"/>
        <v/>
      </c>
      <c r="AH499" s="475" t="str">
        <f t="shared" si="343"/>
        <v/>
      </c>
      <c r="AI499" s="475" t="str">
        <f t="shared" si="344"/>
        <v/>
      </c>
      <c r="AJ499" s="475" t="str">
        <f t="shared" si="345"/>
        <v/>
      </c>
      <c r="AK499" s="475" t="str">
        <f t="shared" si="346"/>
        <v/>
      </c>
      <c r="AL499" s="475" t="str">
        <f t="shared" si="347"/>
        <v/>
      </c>
      <c r="AM499" s="475" t="str">
        <f t="shared" si="348"/>
        <v/>
      </c>
      <c r="AN499" s="475" t="str">
        <f t="shared" si="349"/>
        <v/>
      </c>
      <c r="AO499" s="475" t="str">
        <f t="shared" si="350"/>
        <v/>
      </c>
      <c r="AP499" s="475" t="str">
        <f t="shared" si="351"/>
        <v/>
      </c>
      <c r="AQ499" s="475" t="str">
        <f t="shared" si="352"/>
        <v/>
      </c>
      <c r="AR499" s="475" t="str">
        <f t="shared" si="353"/>
        <v/>
      </c>
      <c r="AS499" s="475" t="str">
        <f t="shared" si="336"/>
        <v/>
      </c>
      <c r="AT499" s="475" t="str">
        <f t="shared" si="354"/>
        <v/>
      </c>
      <c r="AU499" s="475" t="str">
        <f t="shared" si="355"/>
        <v/>
      </c>
      <c r="AV499" s="475" t="str">
        <f t="shared" si="356"/>
        <v/>
      </c>
      <c r="AW499" s="473">
        <f t="shared" si="357"/>
        <v>0</v>
      </c>
      <c r="AX499" s="473" t="str">
        <f>IF(AND($Z499="b",OR($AA499="a",$AA499="b"),Inventory!$I255="",$AE499&lt;(65000/12000)),"x",IF(AND($Z499="b",OR($AA499="a",$AA499="b"),Inventory!$I255&lt;&gt;"",$AE499&lt;(65000/12000)),VLOOKUP(Inventory!$I506,$V$4:$W$5,2,FALSE),"x"))</f>
        <v>x</v>
      </c>
      <c r="AY499" s="476" t="str">
        <f t="shared" si="358"/>
        <v>aaa0</v>
      </c>
      <c r="AZ499" s="477" t="str">
        <f t="shared" si="327"/>
        <v>No</v>
      </c>
      <c r="BA499" s="759" t="str">
        <f t="shared" si="328"/>
        <v>No</v>
      </c>
      <c r="BB499" s="477">
        <f>IF($Z499="c",Inventory!$AB255,Inventory!$K255)</f>
        <v>0</v>
      </c>
      <c r="BC499" s="478">
        <f>IF(AND($Z499="b",Inventory!$N255="Btu/hr"),Inventory!$M255,IF(AND($Z499="b",Inventory!$N255="Tons"),Inventory!$M255*12000,IF(AND($Z499&lt;&gt;"b",Inventory!$AK255="Btu/hr"),Inventory!$AD255,IF(AND($Z499&lt;&gt;"b",Inventory!$AK255="Tons"),Inventory!$AD255*12000,0))))</f>
        <v>0</v>
      </c>
      <c r="BD499" s="478">
        <f t="shared" si="365"/>
        <v>0</v>
      </c>
      <c r="BE499" s="479">
        <f t="shared" si="337"/>
        <v>0</v>
      </c>
      <c r="BF499" s="477" t="s">
        <v>50</v>
      </c>
      <c r="BG499" s="479">
        <f t="shared" si="359"/>
        <v>0</v>
      </c>
      <c r="BH499" s="477" t="s">
        <v>46</v>
      </c>
      <c r="BI499" s="760">
        <f>IF(AND($Z499="b",Inventory!$P255="Btu/hr"),Inventory!$O255,IF(AND($Z499="b",Inventory!$P255="Tons"),Inventory!$O255*12000,IF(AND($Z499&lt;&gt;"b",Inventory!$AM255="Btu/hr"),Inventory!$AL255,IF(AND($Z499&lt;&gt;"b",Inventory!$AM255="Tons"),Inventory!$AL255*12000,0))))</f>
        <v>0</v>
      </c>
      <c r="BJ499" s="760">
        <f t="shared" si="366"/>
        <v>0</v>
      </c>
      <c r="BK499" s="598">
        <f t="shared" si="329"/>
        <v>0</v>
      </c>
      <c r="BL499" s="759" t="s">
        <v>567</v>
      </c>
      <c r="BM499" s="477" t="str">
        <f t="shared" si="360"/>
        <v>No</v>
      </c>
      <c r="BN499" s="477" t="str">
        <f>IF(OR(Inventory!$H255="",$BM499="No"),"-",Inventory!$H255)</f>
        <v>-</v>
      </c>
      <c r="BO499" s="477" t="str">
        <f>IFERROR(VLOOKUP(BN499,'Early Retirement'!$B$6:$C$33,2,FALSE),"-")</f>
        <v>-</v>
      </c>
      <c r="BP499" s="477" t="str">
        <f>IF(Inventory!$J255="Centrifugal","Yes","No")</f>
        <v>No</v>
      </c>
      <c r="BQ499" s="477">
        <f t="shared" si="361"/>
        <v>0</v>
      </c>
      <c r="BR499" s="477" t="str">
        <f t="shared" si="339"/>
        <v>-</v>
      </c>
      <c r="BS499" s="479">
        <f>IFERROR(INDEX('Early Retirement'!$C$4:$AC$33,$BO499,$BR499),0)</f>
        <v>0</v>
      </c>
      <c r="BT499" s="477">
        <f>IFERROR(HLOOKUP($BR499,'Early Retirement'!$D$4:$AC$5,2,FALSE),0)</f>
        <v>0</v>
      </c>
      <c r="BU499" s="761">
        <f>IFERROR(INDEX('Early Retirement'!$AE$4:$BE$33,$BO499,$BR499),0)</f>
        <v>0</v>
      </c>
      <c r="BV499" s="759">
        <f>IFERROR(HLOOKUP($BR499,'Early Retirement'!$AF$4:$BE$5,2,FALSE),0)</f>
        <v>0</v>
      </c>
      <c r="BW499" s="479">
        <f t="shared" si="362"/>
        <v>0</v>
      </c>
      <c r="BX499" s="761">
        <f t="shared" si="330"/>
        <v>0</v>
      </c>
      <c r="BY499" s="477" t="s">
        <v>46</v>
      </c>
      <c r="BZ499" s="598">
        <f>IFERROR(INDEX('Early Retirement'!$BG$4:$CG$33,$BO499,$BR499),0)</f>
        <v>0</v>
      </c>
      <c r="CA499" s="759">
        <f>IFERROR(HLOOKUP($BR499,'Early Retirement'!$BH$4:$CH$5,2,FALSE),0)</f>
        <v>0</v>
      </c>
      <c r="CB499" s="598">
        <f t="shared" si="331"/>
        <v>0</v>
      </c>
      <c r="CC499" s="759" t="s">
        <v>567</v>
      </c>
      <c r="CD499" s="477" t="str">
        <f t="shared" si="363"/>
        <v>Yes</v>
      </c>
      <c r="CE499" s="479">
        <f t="shared" si="332"/>
        <v>0</v>
      </c>
      <c r="CF499" s="761">
        <f t="shared" si="333"/>
        <v>0</v>
      </c>
      <c r="CG499" s="759" t="s">
        <v>46</v>
      </c>
      <c r="CH499" s="598">
        <f t="shared" si="338"/>
        <v>0</v>
      </c>
      <c r="CI499" s="759" t="s">
        <v>567</v>
      </c>
      <c r="CJ499" s="480">
        <f t="shared" si="364"/>
        <v>0</v>
      </c>
      <c r="CK499" s="583">
        <f t="shared" si="334"/>
        <v>0</v>
      </c>
      <c r="CL499" s="596" t="s">
        <v>46</v>
      </c>
      <c r="CM499" s="581">
        <f t="shared" si="335"/>
        <v>0</v>
      </c>
      <c r="CN499" s="762" t="s">
        <v>567</v>
      </c>
      <c r="CQ499" s="561"/>
      <c r="CR499" s="446"/>
      <c r="CS499" s="446"/>
      <c r="CT499" s="446"/>
      <c r="CU499" s="446"/>
      <c r="CV499" s="446"/>
      <c r="CW499" s="752"/>
      <c r="CX499" s="752"/>
      <c r="CY499" s="752"/>
      <c r="CZ499" s="752"/>
      <c r="DA499" s="752"/>
      <c r="DB499" s="446"/>
      <c r="DC499" s="446"/>
      <c r="DD499" s="446"/>
      <c r="DE499" s="446"/>
      <c r="DF499" s="446"/>
      <c r="DG499" s="446"/>
      <c r="DH499" s="446"/>
      <c r="DI499" s="446"/>
      <c r="DJ499" s="446"/>
      <c r="DK499" s="446"/>
      <c r="DL499" s="446"/>
      <c r="DM499" s="446"/>
      <c r="DN499" s="446"/>
      <c r="DO499" s="446"/>
      <c r="DP499" s="446"/>
      <c r="DQ499" s="446"/>
      <c r="DR499" s="446"/>
      <c r="DS499" s="446"/>
      <c r="DT499" s="446"/>
      <c r="DU499" s="446"/>
      <c r="DV499" s="446"/>
      <c r="DW499" s="446"/>
    </row>
    <row r="500" spans="25:127" ht="15" customHeight="1" x14ac:dyDescent="0.25">
      <c r="Y500" s="90">
        <v>247</v>
      </c>
      <c r="Z500" s="559" t="str">
        <f>IF(Inventory!$C256="","",VLOOKUP(Inventory!$C256,$B$7:$C$9,2,FALSE))</f>
        <v/>
      </c>
      <c r="AA500" s="559" t="str">
        <f>IF($Z500="","",IF(AND($Z500="b",Inventory!$G256=""),"",IF(AND($Z500="b",Inventory!$G256&lt;&gt;""),VLOOKUP(Inventory!$G256,$E$3:$F$10,2,FALSE),IF(AND($Z500="a",Inventory!$Z256=""),"",IF(AND($Z500="a",Inventory!$Z256&lt;&gt;""),VLOOKUP(Inventory!$Z256,$E$3:$F$10,2,FALSE),IF(AND($Z500="c",Inventory!$Z256=""),"",IF(AND($Z500="c",Inventory!$Z256&lt;&gt;""),VLOOKUP(Inventory!$Z256,$E$3:$F$10,2,FALSE),"")))))))</f>
        <v/>
      </c>
      <c r="AB500" s="559" t="str">
        <f>IF($Z500="","a",IF(AND($Z500="b",Inventory!$J256=""),"a",IF(AND($Z500="b",Inventory!$J256&lt;&gt;""),VLOOKUP(Inventory!$J256,$H$4:$I$6,2,FALSE),IF(AND($Z500="a",Inventory!$AA256=""),"a",IF(AND($Z500="a",Inventory!$AA256&lt;&gt;""),VLOOKUP(Inventory!$AA256,$H$4:$I$6,2,FALSE),IF(AND($Z500="c",Inventory!$AA256=""),"a",IF(AND($Z500="c",Inventory!$AA256&lt;&gt;""),VLOOKUP(Inventory!$AA256,$H$4:$I$6,2,FALSE),"a")))))))</f>
        <v>a</v>
      </c>
      <c r="AC500" s="559" t="str">
        <f t="shared" si="340"/>
        <v>a</v>
      </c>
      <c r="AD500" s="473" t="str">
        <f>IF($Z500="","a",IF(AND($Z500="b",Inventory!$L256=""),"a",IF(AND($Z500="b",Inventory!$L256&lt;&gt;""),VLOOKUP(Inventory!$L256,$N$4:$O$5,2,FALSE),IF(AND($Z500="a",Inventory!$AC256=""),"a",IF(AND($Z500="a",Inventory!$AC256&lt;&gt;""),VLOOKUP(Inventory!$AC256,$N$4:$O$5,2,FALSE),IF(AND($Z500="c",Inventory!$AC256=""),"a",IF(AND($Z500="c",Inventory!$AC256&lt;&gt;""),VLOOKUP(Inventory!$AC256,$N$4:$O$5,2,FALSE),"a")))))))</f>
        <v>a</v>
      </c>
      <c r="AE500" s="474">
        <f>IF(OR(Inventory!C256="New Construction",Inventory!C256="Replace-on-Burnout"),Inventory!AF256,IF(Inventory!C256="Early Retirement",MIN(Inventory!AE256,Inventory!AF256),0))</f>
        <v>0</v>
      </c>
      <c r="AF500" s="475" t="str">
        <f t="shared" si="341"/>
        <v/>
      </c>
      <c r="AG500" s="475" t="str">
        <f t="shared" si="342"/>
        <v/>
      </c>
      <c r="AH500" s="475" t="str">
        <f t="shared" si="343"/>
        <v/>
      </c>
      <c r="AI500" s="475" t="str">
        <f t="shared" si="344"/>
        <v/>
      </c>
      <c r="AJ500" s="475" t="str">
        <f t="shared" si="345"/>
        <v/>
      </c>
      <c r="AK500" s="475" t="str">
        <f t="shared" si="346"/>
        <v/>
      </c>
      <c r="AL500" s="475" t="str">
        <f t="shared" si="347"/>
        <v/>
      </c>
      <c r="AM500" s="475" t="str">
        <f t="shared" si="348"/>
        <v/>
      </c>
      <c r="AN500" s="475" t="str">
        <f t="shared" si="349"/>
        <v/>
      </c>
      <c r="AO500" s="475" t="str">
        <f t="shared" si="350"/>
        <v/>
      </c>
      <c r="AP500" s="475" t="str">
        <f t="shared" si="351"/>
        <v/>
      </c>
      <c r="AQ500" s="475" t="str">
        <f t="shared" si="352"/>
        <v/>
      </c>
      <c r="AR500" s="475" t="str">
        <f t="shared" si="353"/>
        <v/>
      </c>
      <c r="AS500" s="475" t="str">
        <f t="shared" si="336"/>
        <v/>
      </c>
      <c r="AT500" s="475" t="str">
        <f t="shared" si="354"/>
        <v/>
      </c>
      <c r="AU500" s="475" t="str">
        <f t="shared" si="355"/>
        <v/>
      </c>
      <c r="AV500" s="475" t="str">
        <f t="shared" si="356"/>
        <v/>
      </c>
      <c r="AW500" s="473">
        <f t="shared" si="357"/>
        <v>0</v>
      </c>
      <c r="AX500" s="473" t="str">
        <f>IF(AND($Z500="b",OR($AA500="a",$AA500="b"),Inventory!$I256="",$AE500&lt;(65000/12000)),"x",IF(AND($Z500="b",OR($AA500="a",$AA500="b"),Inventory!$I256&lt;&gt;"",$AE500&lt;(65000/12000)),VLOOKUP(Inventory!$I507,$V$4:$W$5,2,FALSE),"x"))</f>
        <v>x</v>
      </c>
      <c r="AY500" s="476" t="str">
        <f t="shared" si="358"/>
        <v>aaa0</v>
      </c>
      <c r="AZ500" s="477" t="str">
        <f t="shared" si="327"/>
        <v>No</v>
      </c>
      <c r="BA500" s="759" t="str">
        <f t="shared" si="328"/>
        <v>No</v>
      </c>
      <c r="BB500" s="477">
        <f>IF($Z500="c",Inventory!$AB256,Inventory!$K256)</f>
        <v>0</v>
      </c>
      <c r="BC500" s="478">
        <f>IF(AND($Z500="b",Inventory!$N256="Btu/hr"),Inventory!$M256,IF(AND($Z500="b",Inventory!$N256="Tons"),Inventory!$M256*12000,IF(AND($Z500&lt;&gt;"b",Inventory!$AK256="Btu/hr"),Inventory!$AD256,IF(AND($Z500&lt;&gt;"b",Inventory!$AK256="Tons"),Inventory!$AD256*12000,0))))</f>
        <v>0</v>
      </c>
      <c r="BD500" s="478">
        <f t="shared" si="365"/>
        <v>0</v>
      </c>
      <c r="BE500" s="479">
        <f t="shared" si="337"/>
        <v>0</v>
      </c>
      <c r="BF500" s="477" t="s">
        <v>50</v>
      </c>
      <c r="BG500" s="479">
        <f t="shared" si="359"/>
        <v>0</v>
      </c>
      <c r="BH500" s="477" t="s">
        <v>46</v>
      </c>
      <c r="BI500" s="760">
        <f>IF(AND($Z500="b",Inventory!$P256="Btu/hr"),Inventory!$O256,IF(AND($Z500="b",Inventory!$P256="Tons"),Inventory!$O256*12000,IF(AND($Z500&lt;&gt;"b",Inventory!$AM256="Btu/hr"),Inventory!$AL256,IF(AND($Z500&lt;&gt;"b",Inventory!$AM256="Tons"),Inventory!$AL256*12000,0))))</f>
        <v>0</v>
      </c>
      <c r="BJ500" s="760">
        <f t="shared" si="366"/>
        <v>0</v>
      </c>
      <c r="BK500" s="598">
        <f t="shared" si="329"/>
        <v>0</v>
      </c>
      <c r="BL500" s="759" t="s">
        <v>567</v>
      </c>
      <c r="BM500" s="477" t="str">
        <f t="shared" si="360"/>
        <v>No</v>
      </c>
      <c r="BN500" s="477" t="str">
        <f>IF(OR(Inventory!$H256="",$BM500="No"),"-",Inventory!$H256)</f>
        <v>-</v>
      </c>
      <c r="BO500" s="477" t="str">
        <f>IFERROR(VLOOKUP(BN500,'Early Retirement'!$B$6:$C$33,2,FALSE),"-")</f>
        <v>-</v>
      </c>
      <c r="BP500" s="477" t="str">
        <f>IF(Inventory!$J256="Centrifugal","Yes","No")</f>
        <v>No</v>
      </c>
      <c r="BQ500" s="477">
        <f t="shared" si="361"/>
        <v>0</v>
      </c>
      <c r="BR500" s="477" t="str">
        <f t="shared" si="339"/>
        <v>-</v>
      </c>
      <c r="BS500" s="479">
        <f>IFERROR(INDEX('Early Retirement'!$C$4:$AC$33,$BO500,$BR500),0)</f>
        <v>0</v>
      </c>
      <c r="BT500" s="477">
        <f>IFERROR(HLOOKUP($BR500,'Early Retirement'!$D$4:$AC$5,2,FALSE),0)</f>
        <v>0</v>
      </c>
      <c r="BU500" s="761">
        <f>IFERROR(INDEX('Early Retirement'!$AE$4:$BE$33,$BO500,$BR500),0)</f>
        <v>0</v>
      </c>
      <c r="BV500" s="759">
        <f>IFERROR(HLOOKUP($BR500,'Early Retirement'!$AF$4:$BE$5,2,FALSE),0)</f>
        <v>0</v>
      </c>
      <c r="BW500" s="479">
        <f t="shared" si="362"/>
        <v>0</v>
      </c>
      <c r="BX500" s="761">
        <f t="shared" si="330"/>
        <v>0</v>
      </c>
      <c r="BY500" s="477" t="s">
        <v>46</v>
      </c>
      <c r="BZ500" s="598">
        <f>IFERROR(INDEX('Early Retirement'!$BG$4:$CG$33,$BO500,$BR500),0)</f>
        <v>0</v>
      </c>
      <c r="CA500" s="759">
        <f>IFERROR(HLOOKUP($BR500,'Early Retirement'!$BH$4:$CH$5,2,FALSE),0)</f>
        <v>0</v>
      </c>
      <c r="CB500" s="598">
        <f t="shared" si="331"/>
        <v>0</v>
      </c>
      <c r="CC500" s="759" t="s">
        <v>567</v>
      </c>
      <c r="CD500" s="477" t="str">
        <f t="shared" si="363"/>
        <v>Yes</v>
      </c>
      <c r="CE500" s="479">
        <f t="shared" si="332"/>
        <v>0</v>
      </c>
      <c r="CF500" s="761">
        <f t="shared" si="333"/>
        <v>0</v>
      </c>
      <c r="CG500" s="759" t="s">
        <v>46</v>
      </c>
      <c r="CH500" s="598">
        <f t="shared" si="338"/>
        <v>0</v>
      </c>
      <c r="CI500" s="759" t="s">
        <v>567</v>
      </c>
      <c r="CJ500" s="480">
        <f t="shared" si="364"/>
        <v>0</v>
      </c>
      <c r="CK500" s="583">
        <f t="shared" si="334"/>
        <v>0</v>
      </c>
      <c r="CL500" s="596" t="s">
        <v>46</v>
      </c>
      <c r="CM500" s="581">
        <f t="shared" si="335"/>
        <v>0</v>
      </c>
      <c r="CN500" s="762" t="s">
        <v>567</v>
      </c>
      <c r="CQ500" s="561"/>
      <c r="CR500" s="446"/>
      <c r="CS500" s="446"/>
      <c r="CT500" s="446"/>
      <c r="CU500" s="446"/>
      <c r="CV500" s="446"/>
      <c r="CW500" s="752"/>
      <c r="CX500" s="752"/>
      <c r="CY500" s="752"/>
      <c r="CZ500" s="752"/>
      <c r="DA500" s="752"/>
      <c r="DB500" s="446"/>
      <c r="DC500" s="446"/>
      <c r="DD500" s="446"/>
      <c r="DE500" s="446"/>
      <c r="DF500" s="446"/>
      <c r="DG500" s="446"/>
      <c r="DH500" s="446"/>
      <c r="DI500" s="446"/>
      <c r="DJ500" s="446"/>
      <c r="DK500" s="446"/>
      <c r="DL500" s="446"/>
      <c r="DM500" s="446"/>
      <c r="DN500" s="446"/>
      <c r="DO500" s="446"/>
      <c r="DP500" s="446"/>
      <c r="DQ500" s="446"/>
      <c r="DR500" s="446"/>
      <c r="DS500" s="446"/>
      <c r="DT500" s="446"/>
      <c r="DU500" s="446"/>
      <c r="DV500" s="446"/>
      <c r="DW500" s="446"/>
    </row>
    <row r="501" spans="25:127" ht="15" customHeight="1" x14ac:dyDescent="0.25">
      <c r="Y501" s="90">
        <v>248</v>
      </c>
      <c r="Z501" s="559" t="str">
        <f>IF(Inventory!$C257="","",VLOOKUP(Inventory!$C257,$B$7:$C$9,2,FALSE))</f>
        <v/>
      </c>
      <c r="AA501" s="559" t="str">
        <f>IF($Z501="","",IF(AND($Z501="b",Inventory!$G257=""),"",IF(AND($Z501="b",Inventory!$G257&lt;&gt;""),VLOOKUP(Inventory!$G257,$E$3:$F$10,2,FALSE),IF(AND($Z501="a",Inventory!$Z257=""),"",IF(AND($Z501="a",Inventory!$Z257&lt;&gt;""),VLOOKUP(Inventory!$Z257,$E$3:$F$10,2,FALSE),IF(AND($Z501="c",Inventory!$Z257=""),"",IF(AND($Z501="c",Inventory!$Z257&lt;&gt;""),VLOOKUP(Inventory!$Z257,$E$3:$F$10,2,FALSE),"")))))))</f>
        <v/>
      </c>
      <c r="AB501" s="559" t="str">
        <f>IF($Z501="","a",IF(AND($Z501="b",Inventory!$J257=""),"a",IF(AND($Z501="b",Inventory!$J257&lt;&gt;""),VLOOKUP(Inventory!$J257,$H$4:$I$6,2,FALSE),IF(AND($Z501="a",Inventory!$AA257=""),"a",IF(AND($Z501="a",Inventory!$AA257&lt;&gt;""),VLOOKUP(Inventory!$AA257,$H$4:$I$6,2,FALSE),IF(AND($Z501="c",Inventory!$AA257=""),"a",IF(AND($Z501="c",Inventory!$AA257&lt;&gt;""),VLOOKUP(Inventory!$AA257,$H$4:$I$6,2,FALSE),"a")))))))</f>
        <v>a</v>
      </c>
      <c r="AC501" s="559" t="str">
        <f t="shared" si="340"/>
        <v>a</v>
      </c>
      <c r="AD501" s="473" t="str">
        <f>IF($Z501="","a",IF(AND($Z501="b",Inventory!$L257=""),"a",IF(AND($Z501="b",Inventory!$L257&lt;&gt;""),VLOOKUP(Inventory!$L257,$N$4:$O$5,2,FALSE),IF(AND($Z501="a",Inventory!$AC257=""),"a",IF(AND($Z501="a",Inventory!$AC257&lt;&gt;""),VLOOKUP(Inventory!$AC257,$N$4:$O$5,2,FALSE),IF(AND($Z501="c",Inventory!$AC257=""),"a",IF(AND($Z501="c",Inventory!$AC257&lt;&gt;""),VLOOKUP(Inventory!$AC257,$N$4:$O$5,2,FALSE),"a")))))))</f>
        <v>a</v>
      </c>
      <c r="AE501" s="474">
        <f>IF(OR(Inventory!C257="New Construction",Inventory!C257="Replace-on-Burnout"),Inventory!AF257,IF(Inventory!C257="Early Retirement",MIN(Inventory!AE257,Inventory!AF257),0))</f>
        <v>0</v>
      </c>
      <c r="AF501" s="475" t="str">
        <f t="shared" si="341"/>
        <v/>
      </c>
      <c r="AG501" s="475" t="str">
        <f t="shared" si="342"/>
        <v/>
      </c>
      <c r="AH501" s="475" t="str">
        <f t="shared" si="343"/>
        <v/>
      </c>
      <c r="AI501" s="475" t="str">
        <f t="shared" si="344"/>
        <v/>
      </c>
      <c r="AJ501" s="475" t="str">
        <f t="shared" si="345"/>
        <v/>
      </c>
      <c r="AK501" s="475" t="str">
        <f t="shared" si="346"/>
        <v/>
      </c>
      <c r="AL501" s="475" t="str">
        <f t="shared" si="347"/>
        <v/>
      </c>
      <c r="AM501" s="475" t="str">
        <f t="shared" si="348"/>
        <v/>
      </c>
      <c r="AN501" s="475" t="str">
        <f t="shared" si="349"/>
        <v/>
      </c>
      <c r="AO501" s="475" t="str">
        <f t="shared" si="350"/>
        <v/>
      </c>
      <c r="AP501" s="475" t="str">
        <f t="shared" si="351"/>
        <v/>
      </c>
      <c r="AQ501" s="475" t="str">
        <f t="shared" si="352"/>
        <v/>
      </c>
      <c r="AR501" s="475" t="str">
        <f t="shared" si="353"/>
        <v/>
      </c>
      <c r="AS501" s="475" t="str">
        <f t="shared" si="336"/>
        <v/>
      </c>
      <c r="AT501" s="475" t="str">
        <f t="shared" si="354"/>
        <v/>
      </c>
      <c r="AU501" s="475" t="str">
        <f t="shared" si="355"/>
        <v/>
      </c>
      <c r="AV501" s="475" t="str">
        <f t="shared" si="356"/>
        <v/>
      </c>
      <c r="AW501" s="473">
        <f t="shared" si="357"/>
        <v>0</v>
      </c>
      <c r="AX501" s="473" t="str">
        <f>IF(AND($Z501="b",OR($AA501="a",$AA501="b"),Inventory!$I257="",$AE501&lt;(65000/12000)),"x",IF(AND($Z501="b",OR($AA501="a",$AA501="b"),Inventory!$I257&lt;&gt;"",$AE501&lt;(65000/12000)),VLOOKUP(Inventory!$I508,$V$4:$W$5,2,FALSE),"x"))</f>
        <v>x</v>
      </c>
      <c r="AY501" s="476" t="str">
        <f t="shared" si="358"/>
        <v>aaa0</v>
      </c>
      <c r="AZ501" s="477" t="str">
        <f t="shared" si="327"/>
        <v>No</v>
      </c>
      <c r="BA501" s="759" t="str">
        <f t="shared" si="328"/>
        <v>No</v>
      </c>
      <c r="BB501" s="477">
        <f>IF($Z501="c",Inventory!$AB257,Inventory!$K257)</f>
        <v>0</v>
      </c>
      <c r="BC501" s="478">
        <f>IF(AND($Z501="b",Inventory!$N257="Btu/hr"),Inventory!$M257,IF(AND($Z501="b",Inventory!$N257="Tons"),Inventory!$M257*12000,IF(AND($Z501&lt;&gt;"b",Inventory!$AK257="Btu/hr"),Inventory!$AD257,IF(AND($Z501&lt;&gt;"b",Inventory!$AK257="Tons"),Inventory!$AD257*12000,0))))</f>
        <v>0</v>
      </c>
      <c r="BD501" s="478">
        <f t="shared" si="365"/>
        <v>0</v>
      </c>
      <c r="BE501" s="479">
        <f t="shared" si="337"/>
        <v>0</v>
      </c>
      <c r="BF501" s="477" t="s">
        <v>50</v>
      </c>
      <c r="BG501" s="479">
        <f t="shared" si="359"/>
        <v>0</v>
      </c>
      <c r="BH501" s="477" t="s">
        <v>46</v>
      </c>
      <c r="BI501" s="760">
        <f>IF(AND($Z501="b",Inventory!$P257="Btu/hr"),Inventory!$O257,IF(AND($Z501="b",Inventory!$P257="Tons"),Inventory!$O257*12000,IF(AND($Z501&lt;&gt;"b",Inventory!$AM257="Btu/hr"),Inventory!$AL257,IF(AND($Z501&lt;&gt;"b",Inventory!$AM257="Tons"),Inventory!$AL257*12000,0))))</f>
        <v>0</v>
      </c>
      <c r="BJ501" s="760">
        <f t="shared" si="366"/>
        <v>0</v>
      </c>
      <c r="BK501" s="598">
        <f t="shared" si="329"/>
        <v>0</v>
      </c>
      <c r="BL501" s="759" t="s">
        <v>567</v>
      </c>
      <c r="BM501" s="477" t="str">
        <f t="shared" si="360"/>
        <v>No</v>
      </c>
      <c r="BN501" s="477" t="str">
        <f>IF(OR(Inventory!$H257="",$BM501="No"),"-",Inventory!$H257)</f>
        <v>-</v>
      </c>
      <c r="BO501" s="477" t="str">
        <f>IFERROR(VLOOKUP(BN501,'Early Retirement'!$B$6:$C$33,2,FALSE),"-")</f>
        <v>-</v>
      </c>
      <c r="BP501" s="477" t="str">
        <f>IF(Inventory!$J257="Centrifugal","Yes","No")</f>
        <v>No</v>
      </c>
      <c r="BQ501" s="477">
        <f t="shared" si="361"/>
        <v>0</v>
      </c>
      <c r="BR501" s="477" t="str">
        <f t="shared" si="339"/>
        <v>-</v>
      </c>
      <c r="BS501" s="479">
        <f>IFERROR(INDEX('Early Retirement'!$C$4:$AC$33,$BO501,$BR501),0)</f>
        <v>0</v>
      </c>
      <c r="BT501" s="477">
        <f>IFERROR(HLOOKUP($BR501,'Early Retirement'!$D$4:$AC$5,2,FALSE),0)</f>
        <v>0</v>
      </c>
      <c r="BU501" s="761">
        <f>IFERROR(INDEX('Early Retirement'!$AE$4:$BE$33,$BO501,$BR501),0)</f>
        <v>0</v>
      </c>
      <c r="BV501" s="759">
        <f>IFERROR(HLOOKUP($BR501,'Early Retirement'!$AF$4:$BE$5,2,FALSE),0)</f>
        <v>0</v>
      </c>
      <c r="BW501" s="479">
        <f t="shared" si="362"/>
        <v>0</v>
      </c>
      <c r="BX501" s="761">
        <f t="shared" si="330"/>
        <v>0</v>
      </c>
      <c r="BY501" s="477" t="s">
        <v>46</v>
      </c>
      <c r="BZ501" s="598">
        <f>IFERROR(INDEX('Early Retirement'!$BG$4:$CG$33,$BO501,$BR501),0)</f>
        <v>0</v>
      </c>
      <c r="CA501" s="759">
        <f>IFERROR(HLOOKUP($BR501,'Early Retirement'!$BH$4:$CH$5,2,FALSE),0)</f>
        <v>0</v>
      </c>
      <c r="CB501" s="598">
        <f t="shared" si="331"/>
        <v>0</v>
      </c>
      <c r="CC501" s="759" t="s">
        <v>567</v>
      </c>
      <c r="CD501" s="477" t="str">
        <f t="shared" si="363"/>
        <v>Yes</v>
      </c>
      <c r="CE501" s="479">
        <f t="shared" si="332"/>
        <v>0</v>
      </c>
      <c r="CF501" s="761">
        <f t="shared" si="333"/>
        <v>0</v>
      </c>
      <c r="CG501" s="759" t="s">
        <v>46</v>
      </c>
      <c r="CH501" s="598">
        <f t="shared" si="338"/>
        <v>0</v>
      </c>
      <c r="CI501" s="759" t="s">
        <v>567</v>
      </c>
      <c r="CJ501" s="480">
        <f t="shared" si="364"/>
        <v>0</v>
      </c>
      <c r="CK501" s="583">
        <f t="shared" si="334"/>
        <v>0</v>
      </c>
      <c r="CL501" s="596" t="s">
        <v>46</v>
      </c>
      <c r="CM501" s="581">
        <f t="shared" si="335"/>
        <v>0</v>
      </c>
      <c r="CN501" s="762" t="s">
        <v>567</v>
      </c>
      <c r="CO501" s="560"/>
      <c r="CR501" s="446"/>
      <c r="CS501" s="446"/>
      <c r="CT501" s="446"/>
      <c r="CU501" s="446"/>
      <c r="CV501" s="446"/>
      <c r="CW501" s="752"/>
      <c r="CX501" s="752"/>
      <c r="CY501" s="752"/>
      <c r="CZ501" s="752"/>
      <c r="DA501" s="752"/>
      <c r="DB501" s="446"/>
      <c r="DC501" s="446"/>
      <c r="DD501" s="446"/>
      <c r="DE501" s="446"/>
      <c r="DF501" s="446"/>
      <c r="DG501" s="446"/>
      <c r="DH501" s="446"/>
      <c r="DI501" s="446"/>
      <c r="DJ501" s="446"/>
      <c r="DK501" s="446"/>
      <c r="DL501" s="446"/>
      <c r="DM501" s="446"/>
      <c r="DN501" s="446"/>
      <c r="DO501" s="446"/>
      <c r="DP501" s="446"/>
      <c r="DQ501" s="446"/>
      <c r="DR501" s="446"/>
      <c r="DS501" s="446"/>
      <c r="DT501" s="446"/>
      <c r="DU501" s="446"/>
      <c r="DV501" s="446"/>
      <c r="DW501" s="446"/>
    </row>
    <row r="502" spans="25:127" ht="15" customHeight="1" x14ac:dyDescent="0.25">
      <c r="Y502" s="90">
        <v>249</v>
      </c>
      <c r="Z502" s="559" t="str">
        <f>IF(Inventory!$C258="","",VLOOKUP(Inventory!$C258,$B$7:$C$9,2,FALSE))</f>
        <v/>
      </c>
      <c r="AA502" s="559" t="str">
        <f>IF($Z502="","",IF(AND($Z502="b",Inventory!$G258=""),"",IF(AND($Z502="b",Inventory!$G258&lt;&gt;""),VLOOKUP(Inventory!$G258,$E$3:$F$10,2,FALSE),IF(AND($Z502="a",Inventory!$Z258=""),"",IF(AND($Z502="a",Inventory!$Z258&lt;&gt;""),VLOOKUP(Inventory!$Z258,$E$3:$F$10,2,FALSE),IF(AND($Z502="c",Inventory!$Z258=""),"",IF(AND($Z502="c",Inventory!$Z258&lt;&gt;""),VLOOKUP(Inventory!$Z258,$E$3:$F$10,2,FALSE),"")))))))</f>
        <v/>
      </c>
      <c r="AB502" s="559" t="str">
        <f>IF($Z502="","a",IF(AND($Z502="b",Inventory!$J258=""),"a",IF(AND($Z502="b",Inventory!$J258&lt;&gt;""),VLOOKUP(Inventory!$J258,$H$4:$I$6,2,FALSE),IF(AND($Z502="a",Inventory!$AA258=""),"a",IF(AND($Z502="a",Inventory!$AA258&lt;&gt;""),VLOOKUP(Inventory!$AA258,$H$4:$I$6,2,FALSE),IF(AND($Z502="c",Inventory!$AA258=""),"a",IF(AND($Z502="c",Inventory!$AA258&lt;&gt;""),VLOOKUP(Inventory!$AA258,$H$4:$I$6,2,FALSE),"a")))))))</f>
        <v>a</v>
      </c>
      <c r="AC502" s="559" t="str">
        <f t="shared" si="340"/>
        <v>a</v>
      </c>
      <c r="AD502" s="473" t="str">
        <f>IF($Z502="","a",IF(AND($Z502="b",Inventory!$L258=""),"a",IF(AND($Z502="b",Inventory!$L258&lt;&gt;""),VLOOKUP(Inventory!$L258,$N$4:$O$5,2,FALSE),IF(AND($Z502="a",Inventory!$AC258=""),"a",IF(AND($Z502="a",Inventory!$AC258&lt;&gt;""),VLOOKUP(Inventory!$AC258,$N$4:$O$5,2,FALSE),IF(AND($Z502="c",Inventory!$AC258=""),"a",IF(AND($Z502="c",Inventory!$AC258&lt;&gt;""),VLOOKUP(Inventory!$AC258,$N$4:$O$5,2,FALSE),"a")))))))</f>
        <v>a</v>
      </c>
      <c r="AE502" s="474">
        <f>IF(OR(Inventory!C258="New Construction",Inventory!C258="Replace-on-Burnout"),Inventory!AF258,IF(Inventory!C258="Early Retirement",MIN(Inventory!AE258,Inventory!AF258),0))</f>
        <v>0</v>
      </c>
      <c r="AF502" s="475" t="str">
        <f t="shared" si="341"/>
        <v/>
      </c>
      <c r="AG502" s="475" t="str">
        <f t="shared" si="342"/>
        <v/>
      </c>
      <c r="AH502" s="475" t="str">
        <f t="shared" si="343"/>
        <v/>
      </c>
      <c r="AI502" s="475" t="str">
        <f t="shared" si="344"/>
        <v/>
      </c>
      <c r="AJ502" s="475" t="str">
        <f t="shared" si="345"/>
        <v/>
      </c>
      <c r="AK502" s="475" t="str">
        <f t="shared" si="346"/>
        <v/>
      </c>
      <c r="AL502" s="475" t="str">
        <f t="shared" si="347"/>
        <v/>
      </c>
      <c r="AM502" s="475" t="str">
        <f t="shared" si="348"/>
        <v/>
      </c>
      <c r="AN502" s="475" t="str">
        <f t="shared" si="349"/>
        <v/>
      </c>
      <c r="AO502" s="475" t="str">
        <f t="shared" si="350"/>
        <v/>
      </c>
      <c r="AP502" s="475" t="str">
        <f t="shared" si="351"/>
        <v/>
      </c>
      <c r="AQ502" s="475" t="str">
        <f t="shared" si="352"/>
        <v/>
      </c>
      <c r="AR502" s="475" t="str">
        <f t="shared" si="353"/>
        <v/>
      </c>
      <c r="AS502" s="475" t="str">
        <f t="shared" si="336"/>
        <v/>
      </c>
      <c r="AT502" s="475" t="str">
        <f t="shared" si="354"/>
        <v/>
      </c>
      <c r="AU502" s="475" t="str">
        <f t="shared" si="355"/>
        <v/>
      </c>
      <c r="AV502" s="475" t="str">
        <f t="shared" si="356"/>
        <v/>
      </c>
      <c r="AW502" s="473">
        <f t="shared" si="357"/>
        <v>0</v>
      </c>
      <c r="AX502" s="473" t="str">
        <f>IF(AND($Z502="b",OR($AA502="a",$AA502="b"),Inventory!$I258="",$AE502&lt;(65000/12000)),"x",IF(AND($Z502="b",OR($AA502="a",$AA502="b"),Inventory!$I258&lt;&gt;"",$AE502&lt;(65000/12000)),VLOOKUP(Inventory!$I509,$V$4:$W$5,2,FALSE),"x"))</f>
        <v>x</v>
      </c>
      <c r="AY502" s="476" t="str">
        <f t="shared" si="358"/>
        <v>aaa0</v>
      </c>
      <c r="AZ502" s="477" t="str">
        <f t="shared" si="327"/>
        <v>No</v>
      </c>
      <c r="BA502" s="759" t="str">
        <f t="shared" si="328"/>
        <v>No</v>
      </c>
      <c r="BB502" s="477">
        <f>IF($Z502="c",Inventory!$AB258,Inventory!$K258)</f>
        <v>0</v>
      </c>
      <c r="BC502" s="478">
        <f>IF(AND($Z502="b",Inventory!$N258="Btu/hr"),Inventory!$M258,IF(AND($Z502="b",Inventory!$N258="Tons"),Inventory!$M258*12000,IF(AND($Z502&lt;&gt;"b",Inventory!$AK258="Btu/hr"),Inventory!$AD258,IF(AND($Z502&lt;&gt;"b",Inventory!$AK258="Tons"),Inventory!$AD258*12000,0))))</f>
        <v>0</v>
      </c>
      <c r="BD502" s="478">
        <f t="shared" si="365"/>
        <v>0</v>
      </c>
      <c r="BE502" s="479">
        <f t="shared" si="337"/>
        <v>0</v>
      </c>
      <c r="BF502" s="477" t="s">
        <v>50</v>
      </c>
      <c r="BG502" s="479">
        <f t="shared" si="359"/>
        <v>0</v>
      </c>
      <c r="BH502" s="477" t="s">
        <v>46</v>
      </c>
      <c r="BI502" s="760">
        <f>IF(AND($Z502="b",Inventory!$P258="Btu/hr"),Inventory!$O258,IF(AND($Z502="b",Inventory!$P258="Tons"),Inventory!$O258*12000,IF(AND($Z502&lt;&gt;"b",Inventory!$AM258="Btu/hr"),Inventory!$AL258,IF(AND($Z502&lt;&gt;"b",Inventory!$AM258="Tons"),Inventory!$AL258*12000,0))))</f>
        <v>0</v>
      </c>
      <c r="BJ502" s="760">
        <f t="shared" si="366"/>
        <v>0</v>
      </c>
      <c r="BK502" s="598">
        <f t="shared" si="329"/>
        <v>0</v>
      </c>
      <c r="BL502" s="759" t="s">
        <v>567</v>
      </c>
      <c r="BM502" s="477" t="str">
        <f t="shared" si="360"/>
        <v>No</v>
      </c>
      <c r="BN502" s="477" t="str">
        <f>IF(OR(Inventory!$H258="",$BM502="No"),"-",Inventory!$H258)</f>
        <v>-</v>
      </c>
      <c r="BO502" s="477" t="str">
        <f>IFERROR(VLOOKUP(BN502,'Early Retirement'!$B$6:$C$33,2,FALSE),"-")</f>
        <v>-</v>
      </c>
      <c r="BP502" s="477" t="str">
        <f>IF(Inventory!$J258="Centrifugal","Yes","No")</f>
        <v>No</v>
      </c>
      <c r="BQ502" s="477">
        <f t="shared" si="361"/>
        <v>0</v>
      </c>
      <c r="BR502" s="477" t="str">
        <f t="shared" si="339"/>
        <v>-</v>
      </c>
      <c r="BS502" s="479">
        <f>IFERROR(INDEX('Early Retirement'!$C$4:$AC$33,$BO502,$BR502),0)</f>
        <v>0</v>
      </c>
      <c r="BT502" s="477">
        <f>IFERROR(HLOOKUP($BR502,'Early Retirement'!$D$4:$AC$5,2,FALSE),0)</f>
        <v>0</v>
      </c>
      <c r="BU502" s="761">
        <f>IFERROR(INDEX('Early Retirement'!$AE$4:$BE$33,$BO502,$BR502),0)</f>
        <v>0</v>
      </c>
      <c r="BV502" s="759">
        <f>IFERROR(HLOOKUP($BR502,'Early Retirement'!$AF$4:$BE$5,2,FALSE),0)</f>
        <v>0</v>
      </c>
      <c r="BW502" s="479">
        <f t="shared" si="362"/>
        <v>0</v>
      </c>
      <c r="BX502" s="761">
        <f t="shared" si="330"/>
        <v>0</v>
      </c>
      <c r="BY502" s="477" t="s">
        <v>46</v>
      </c>
      <c r="BZ502" s="598">
        <f>IFERROR(INDEX('Early Retirement'!$BG$4:$CG$33,$BO502,$BR502),0)</f>
        <v>0</v>
      </c>
      <c r="CA502" s="759">
        <f>IFERROR(HLOOKUP($BR502,'Early Retirement'!$BH$4:$CH$5,2,FALSE),0)</f>
        <v>0</v>
      </c>
      <c r="CB502" s="598">
        <f t="shared" si="331"/>
        <v>0</v>
      </c>
      <c r="CC502" s="759" t="s">
        <v>567</v>
      </c>
      <c r="CD502" s="477" t="str">
        <f t="shared" si="363"/>
        <v>Yes</v>
      </c>
      <c r="CE502" s="479">
        <f t="shared" si="332"/>
        <v>0</v>
      </c>
      <c r="CF502" s="761">
        <f t="shared" si="333"/>
        <v>0</v>
      </c>
      <c r="CG502" s="759" t="s">
        <v>46</v>
      </c>
      <c r="CH502" s="598">
        <f t="shared" si="338"/>
        <v>0</v>
      </c>
      <c r="CI502" s="759" t="s">
        <v>567</v>
      </c>
      <c r="CJ502" s="480">
        <f t="shared" si="364"/>
        <v>0</v>
      </c>
      <c r="CK502" s="583">
        <f t="shared" si="334"/>
        <v>0</v>
      </c>
      <c r="CL502" s="596" t="s">
        <v>46</v>
      </c>
      <c r="CM502" s="581">
        <f t="shared" si="335"/>
        <v>0</v>
      </c>
      <c r="CN502" s="762" t="s">
        <v>567</v>
      </c>
      <c r="CR502" s="446"/>
      <c r="CS502" s="446"/>
      <c r="CT502" s="446"/>
      <c r="CU502" s="446"/>
      <c r="CV502" s="446"/>
      <c r="CW502" s="752"/>
      <c r="CX502" s="752"/>
      <c r="CY502" s="752"/>
      <c r="CZ502" s="752"/>
      <c r="DA502" s="752"/>
      <c r="DB502" s="446"/>
      <c r="DC502" s="446"/>
      <c r="DD502" s="446"/>
      <c r="DE502" s="446"/>
      <c r="DF502" s="446"/>
      <c r="DG502" s="446"/>
      <c r="DH502" s="446"/>
      <c r="DI502" s="446"/>
      <c r="DJ502" s="446"/>
      <c r="DK502" s="446"/>
      <c r="DL502" s="446"/>
      <c r="DM502" s="446"/>
      <c r="DN502" s="446"/>
      <c r="DO502" s="446"/>
      <c r="DP502" s="446"/>
      <c r="DQ502" s="446"/>
      <c r="DR502" s="446"/>
      <c r="DS502" s="446"/>
      <c r="DT502" s="446"/>
      <c r="DU502" s="446"/>
      <c r="DV502" s="446"/>
      <c r="DW502" s="446"/>
    </row>
    <row r="503" spans="25:127" ht="15" customHeight="1" thickBot="1" x14ac:dyDescent="0.3">
      <c r="Y503" s="96">
        <v>250</v>
      </c>
      <c r="Z503" s="101" t="str">
        <f>IF(Inventory!$C259="","",VLOOKUP(Inventory!$C259,$B$7:$C$9,2,FALSE))</f>
        <v/>
      </c>
      <c r="AA503" s="101" t="str">
        <f>IF($Z503="","",IF(AND($Z503="b",Inventory!$G259=""),"",IF(AND($Z503="b",Inventory!$G259&lt;&gt;""),VLOOKUP(Inventory!$G259,$E$3:$F$10,2,FALSE),IF(AND($Z503="a",Inventory!$Z259=""),"",IF(AND($Z503="a",Inventory!$Z259&lt;&gt;""),VLOOKUP(Inventory!$Z259,$E$3:$F$10,2,FALSE),IF(AND($Z503="c",Inventory!$Z259=""),"",IF(AND($Z503="c",Inventory!$Z259&lt;&gt;""),VLOOKUP(Inventory!$Z259,$E$3:$F$10,2,FALSE),"")))))))</f>
        <v/>
      </c>
      <c r="AB503" s="101" t="str">
        <f>IF($Z503="","a",IF(AND($Z503="b",Inventory!$J259=""),"a",IF(AND($Z503="b",Inventory!$J259&lt;&gt;""),VLOOKUP(Inventory!$J259,$H$4:$I$6,2,FALSE),IF(AND($Z503="a",Inventory!$AA259=""),"a",IF(AND($Z503="a",Inventory!$AA259&lt;&gt;""),VLOOKUP(Inventory!$AA259,$H$4:$I$6,2,FALSE),IF(AND($Z503="c",Inventory!$AA259=""),"a",IF(AND($Z503="c",Inventory!$AA259&lt;&gt;""),VLOOKUP(Inventory!$AA259,$H$4:$I$6,2,FALSE),"a")))))))</f>
        <v>a</v>
      </c>
      <c r="AC503" s="101" t="str">
        <f t="shared" si="340"/>
        <v>a</v>
      </c>
      <c r="AD503" s="102" t="str">
        <f>IF($Z503="","a",IF(AND($Z503="b",Inventory!$L259=""),"a",IF(AND($Z503="b",Inventory!$L259&lt;&gt;""),VLOOKUP(Inventory!$L259,$N$4:$O$5,2,FALSE),IF(AND($Z503="a",Inventory!$AC259=""),"a",IF(AND($Z503="a",Inventory!$AC259&lt;&gt;""),VLOOKUP(Inventory!$AC259,$N$4:$O$5,2,FALSE),IF(AND($Z503="c",Inventory!$AC259=""),"a",IF(AND($Z503="c",Inventory!$AC259&lt;&gt;""),VLOOKUP(Inventory!$AC259,$N$4:$O$5,2,FALSE),"a")))))))</f>
        <v>a</v>
      </c>
      <c r="AE503" s="118">
        <f>IF(OR(Inventory!C259="New Construction",Inventory!C259="Replace-on-Burnout"),Inventory!AF259,IF(Inventory!C259="Early Retirement",MIN(Inventory!AE259,Inventory!AF259),0))</f>
        <v>0</v>
      </c>
      <c r="AF503" s="119" t="str">
        <f t="shared" si="341"/>
        <v/>
      </c>
      <c r="AG503" s="119" t="str">
        <f t="shared" si="342"/>
        <v/>
      </c>
      <c r="AH503" s="119" t="str">
        <f t="shared" si="343"/>
        <v/>
      </c>
      <c r="AI503" s="119" t="str">
        <f t="shared" si="344"/>
        <v/>
      </c>
      <c r="AJ503" s="119" t="str">
        <f t="shared" si="345"/>
        <v/>
      </c>
      <c r="AK503" s="119" t="str">
        <f t="shared" si="346"/>
        <v/>
      </c>
      <c r="AL503" s="119" t="str">
        <f t="shared" si="347"/>
        <v/>
      </c>
      <c r="AM503" s="119" t="str">
        <f t="shared" si="348"/>
        <v/>
      </c>
      <c r="AN503" s="119" t="str">
        <f t="shared" si="349"/>
        <v/>
      </c>
      <c r="AO503" s="119" t="str">
        <f t="shared" si="350"/>
        <v/>
      </c>
      <c r="AP503" s="119" t="str">
        <f t="shared" si="351"/>
        <v/>
      </c>
      <c r="AQ503" s="119" t="str">
        <f t="shared" si="352"/>
        <v/>
      </c>
      <c r="AR503" s="119" t="str">
        <f t="shared" si="353"/>
        <v/>
      </c>
      <c r="AS503" s="119" t="str">
        <f t="shared" si="336"/>
        <v/>
      </c>
      <c r="AT503" s="119" t="str">
        <f t="shared" si="354"/>
        <v/>
      </c>
      <c r="AU503" s="119" t="str">
        <f t="shared" si="355"/>
        <v/>
      </c>
      <c r="AV503" s="119" t="str">
        <f t="shared" si="356"/>
        <v/>
      </c>
      <c r="AW503" s="102">
        <f t="shared" si="357"/>
        <v>0</v>
      </c>
      <c r="AX503" s="102" t="str">
        <f>IF(AND($Z503="b",OR($AA503="a",$AA503="b"),Inventory!$I259="",$AE503&lt;(65000/12000)),"x",IF(AND($Z503="b",OR($AA503="a",$AA503="b"),Inventory!$I259&lt;&gt;"",$AE503&lt;(65000/12000)),VLOOKUP(Inventory!$I510,$V$4:$W$5,2,FALSE),"x"))</f>
        <v>x</v>
      </c>
      <c r="AY503" s="147" t="str">
        <f t="shared" si="358"/>
        <v>aaa0</v>
      </c>
      <c r="AZ503" s="151" t="str">
        <f t="shared" si="327"/>
        <v>No</v>
      </c>
      <c r="BA503" s="670" t="str">
        <f t="shared" si="328"/>
        <v>No</v>
      </c>
      <c r="BB503" s="151">
        <f>IF($Z503="c",Inventory!$AB259,Inventory!$K259)</f>
        <v>0</v>
      </c>
      <c r="BC503" s="154">
        <f>IF(AND($Z503="b",Inventory!$N259="Btu/hr"),Inventory!$M259,IF(AND($Z503="b",Inventory!$N259="Tons"),Inventory!$M259*12000,IF(AND($Z503&lt;&gt;"b",Inventory!$AK259="Btu/hr"),Inventory!$AD259,IF(AND($Z503&lt;&gt;"b",Inventory!$AK259="Tons"),Inventory!$AD259*12000,0))))</f>
        <v>0</v>
      </c>
      <c r="BD503" s="154">
        <f t="shared" si="365"/>
        <v>0</v>
      </c>
      <c r="BE503" s="160">
        <f t="shared" si="337"/>
        <v>0</v>
      </c>
      <c r="BF503" s="151" t="s">
        <v>50</v>
      </c>
      <c r="BG503" s="160">
        <f t="shared" si="359"/>
        <v>0</v>
      </c>
      <c r="BH503" s="151" t="s">
        <v>46</v>
      </c>
      <c r="BI503" s="673">
        <f>IF(AND($Z503="b",Inventory!$P259="Btu/hr"),Inventory!$O259,IF(AND($Z503="b",Inventory!$P259="Tons"),Inventory!$O259*12000,IF(AND($Z503&lt;&gt;"b",Inventory!$AM259="Btu/hr"),Inventory!$AL259,IF(AND($Z503&lt;&gt;"b",Inventory!$AM259="Tons"),Inventory!$AL259*12000,0))))</f>
        <v>0</v>
      </c>
      <c r="BJ503" s="673">
        <f t="shared" si="366"/>
        <v>0</v>
      </c>
      <c r="BK503" s="611">
        <f t="shared" si="329"/>
        <v>0</v>
      </c>
      <c r="BL503" s="670" t="s">
        <v>567</v>
      </c>
      <c r="BM503" s="151" t="str">
        <f t="shared" si="360"/>
        <v>No</v>
      </c>
      <c r="BN503" s="151" t="str">
        <f>IF(OR(Inventory!$H259="",$BM503="No"),"-",Inventory!$H259)</f>
        <v>-</v>
      </c>
      <c r="BO503" s="151" t="str">
        <f>IFERROR(VLOOKUP(BN503,'Early Retirement'!$B$6:$C$33,2,FALSE),"-")</f>
        <v>-</v>
      </c>
      <c r="BP503" s="151" t="str">
        <f>IF(Inventory!$J259="Centrifugal","Yes","No")</f>
        <v>No</v>
      </c>
      <c r="BQ503" s="151">
        <f t="shared" si="361"/>
        <v>0</v>
      </c>
      <c r="BR503" s="151" t="str">
        <f t="shared" si="339"/>
        <v>-</v>
      </c>
      <c r="BS503" s="160">
        <f>IFERROR(INDEX('Early Retirement'!$C$4:$AC$33,$BO503,$BR503),0)</f>
        <v>0</v>
      </c>
      <c r="BT503" s="151">
        <f>IFERROR(HLOOKUP($BR503,'Early Retirement'!$D$4:$AC$5,2,FALSE),0)</f>
        <v>0</v>
      </c>
      <c r="BU503" s="679">
        <f>IFERROR(INDEX('Early Retirement'!$AE$4:$BE$33,$BO503,$BR503),0)</f>
        <v>0</v>
      </c>
      <c r="BV503" s="670">
        <f>IFERROR(HLOOKUP($BR503,'Early Retirement'!$AF$4:$BE$5,2,FALSE),0)</f>
        <v>0</v>
      </c>
      <c r="BW503" s="160">
        <f t="shared" si="362"/>
        <v>0</v>
      </c>
      <c r="BX503" s="679">
        <f t="shared" si="330"/>
        <v>0</v>
      </c>
      <c r="BY503" s="151" t="s">
        <v>46</v>
      </c>
      <c r="BZ503" s="611">
        <f>IFERROR(INDEX('Early Retirement'!$BG$4:$CG$33,$BO503,$BR503),0)</f>
        <v>0</v>
      </c>
      <c r="CA503" s="670">
        <f>IFERROR(HLOOKUP($BR503,'Early Retirement'!$BH$4:$CH$5,2,FALSE),0)</f>
        <v>0</v>
      </c>
      <c r="CB503" s="611">
        <f t="shared" si="331"/>
        <v>0</v>
      </c>
      <c r="CC503" s="670" t="s">
        <v>567</v>
      </c>
      <c r="CD503" s="151" t="str">
        <f t="shared" si="363"/>
        <v>Yes</v>
      </c>
      <c r="CE503" s="160">
        <f t="shared" si="332"/>
        <v>0</v>
      </c>
      <c r="CF503" s="679">
        <f t="shared" si="333"/>
        <v>0</v>
      </c>
      <c r="CG503" s="670" t="s">
        <v>46</v>
      </c>
      <c r="CH503" s="611">
        <f t="shared" si="338"/>
        <v>0</v>
      </c>
      <c r="CI503" s="670" t="s">
        <v>567</v>
      </c>
      <c r="CJ503" s="163">
        <f t="shared" si="364"/>
        <v>0</v>
      </c>
      <c r="CK503" s="614">
        <f t="shared" si="334"/>
        <v>0</v>
      </c>
      <c r="CL503" s="590" t="s">
        <v>46</v>
      </c>
      <c r="CM503" s="587">
        <f t="shared" si="335"/>
        <v>0</v>
      </c>
      <c r="CN503" s="666" t="s">
        <v>567</v>
      </c>
      <c r="CR503" s="446"/>
      <c r="CS503" s="446"/>
      <c r="CT503" s="446"/>
      <c r="CU503" s="446"/>
      <c r="CV503" s="446"/>
      <c r="CW503" s="752"/>
      <c r="CX503" s="752"/>
      <c r="CY503" s="752"/>
      <c r="CZ503" s="752"/>
      <c r="DA503" s="752"/>
      <c r="DB503" s="446"/>
      <c r="DC503" s="446"/>
      <c r="DD503" s="446"/>
      <c r="DE503" s="446"/>
      <c r="DF503" s="446"/>
      <c r="DG503" s="446"/>
      <c r="DH503" s="446"/>
      <c r="DI503" s="446"/>
      <c r="DJ503" s="446"/>
      <c r="DK503" s="446"/>
      <c r="DL503" s="446"/>
      <c r="DM503" s="446"/>
      <c r="DN503" s="446"/>
      <c r="DO503" s="446"/>
      <c r="DP503" s="446"/>
      <c r="DQ503" s="446"/>
      <c r="DR503" s="446"/>
      <c r="DS503" s="446"/>
      <c r="DT503" s="446"/>
      <c r="DU503" s="446"/>
      <c r="DV503" s="446"/>
      <c r="DW503" s="446"/>
    </row>
    <row r="504" spans="25:127" ht="15" customHeight="1" x14ac:dyDescent="0.25">
      <c r="CR504" s="446"/>
      <c r="CS504" s="446"/>
      <c r="CT504" s="446"/>
      <c r="CU504" s="446"/>
      <c r="CV504" s="446"/>
      <c r="CW504" s="752"/>
      <c r="CX504" s="752"/>
      <c r="CY504" s="752"/>
      <c r="CZ504" s="752"/>
      <c r="DA504" s="752"/>
      <c r="DB504" s="446"/>
      <c r="DC504" s="446"/>
      <c r="DD504" s="446"/>
      <c r="DE504" s="446"/>
      <c r="DF504" s="446"/>
      <c r="DG504" s="446"/>
      <c r="DH504" s="446"/>
      <c r="DI504" s="446"/>
      <c r="DJ504" s="446"/>
      <c r="DK504" s="446"/>
      <c r="DL504" s="446"/>
      <c r="DM504" s="446"/>
      <c r="DN504" s="446"/>
      <c r="DO504" s="446"/>
      <c r="DP504" s="446"/>
      <c r="DQ504" s="446"/>
      <c r="DR504" s="446"/>
      <c r="DS504" s="446"/>
      <c r="DT504" s="446"/>
      <c r="DU504" s="446"/>
      <c r="DV504" s="446"/>
      <c r="DW504" s="446"/>
    </row>
    <row r="505" spans="25:127" ht="15" customHeight="1" x14ac:dyDescent="0.25">
      <c r="BP505" s="92" t="s">
        <v>151</v>
      </c>
      <c r="BQ505" s="92" t="s">
        <v>153</v>
      </c>
      <c r="BR505" s="92" t="s">
        <v>152</v>
      </c>
      <c r="CR505" s="446"/>
      <c r="CS505" s="446"/>
      <c r="CT505" s="446"/>
      <c r="CU505" s="446"/>
      <c r="CV505" s="446"/>
      <c r="CW505" s="752"/>
      <c r="CX505" s="752"/>
      <c r="CY505" s="752"/>
      <c r="CZ505" s="752"/>
      <c r="DA505" s="752"/>
      <c r="DB505" s="446"/>
      <c r="DC505" s="446"/>
      <c r="DD505" s="446"/>
      <c r="DE505" s="446"/>
      <c r="DF505" s="446"/>
      <c r="DG505" s="446"/>
      <c r="DH505" s="446"/>
      <c r="DI505" s="446"/>
      <c r="DJ505" s="446"/>
      <c r="DK505" s="446"/>
      <c r="DL505" s="446"/>
      <c r="DM505" s="446"/>
      <c r="DN505" s="446"/>
      <c r="DO505" s="446"/>
      <c r="DP505" s="446"/>
      <c r="DQ505" s="446"/>
      <c r="DR505" s="446"/>
      <c r="DS505" s="446"/>
      <c r="DT505" s="446"/>
      <c r="DU505" s="446"/>
      <c r="DV505" s="446"/>
      <c r="DW505" s="446"/>
    </row>
    <row r="506" spans="25:127" ht="15" customHeight="1" x14ac:dyDescent="0.25">
      <c r="BP506" s="1059" t="s">
        <v>90</v>
      </c>
      <c r="BQ506" s="92" t="s">
        <v>154</v>
      </c>
      <c r="BR506" s="92">
        <v>2</v>
      </c>
      <c r="CR506" s="446"/>
      <c r="CS506" s="446"/>
      <c r="CT506" s="446"/>
      <c r="CU506" s="446"/>
      <c r="CV506" s="446"/>
      <c r="CW506" s="752"/>
      <c r="CX506" s="752"/>
      <c r="CY506" s="752"/>
      <c r="CZ506" s="752"/>
      <c r="DA506" s="752"/>
      <c r="DB506" s="446"/>
      <c r="DC506" s="446"/>
      <c r="DD506" s="446"/>
      <c r="DE506" s="446"/>
      <c r="DF506" s="446"/>
      <c r="DG506" s="446"/>
      <c r="DH506" s="446"/>
      <c r="DI506" s="446"/>
      <c r="DJ506" s="446"/>
      <c r="DK506" s="446"/>
      <c r="DL506" s="446"/>
      <c r="DM506" s="446"/>
      <c r="DN506" s="446"/>
      <c r="DO506" s="446"/>
      <c r="DP506" s="446"/>
      <c r="DQ506" s="446"/>
      <c r="DR506" s="446"/>
      <c r="DS506" s="446"/>
      <c r="DT506" s="446"/>
      <c r="DU506" s="446"/>
      <c r="DV506" s="446"/>
      <c r="DW506" s="446"/>
    </row>
    <row r="507" spans="25:127" ht="15" customHeight="1" x14ac:dyDescent="0.25">
      <c r="BP507" s="1060"/>
      <c r="BQ507" s="92" t="s">
        <v>155</v>
      </c>
      <c r="BR507" s="92">
        <v>3</v>
      </c>
      <c r="CR507" s="446"/>
      <c r="CS507" s="446"/>
      <c r="CT507" s="446"/>
      <c r="CU507" s="446"/>
      <c r="CV507" s="446"/>
      <c r="CW507" s="752"/>
      <c r="CX507" s="752"/>
      <c r="CY507" s="752"/>
      <c r="CZ507" s="752"/>
      <c r="DA507" s="752"/>
      <c r="DB507" s="446"/>
      <c r="DC507" s="446"/>
      <c r="DD507" s="446"/>
      <c r="DE507" s="446"/>
      <c r="DF507" s="446"/>
      <c r="DG507" s="446"/>
      <c r="DH507" s="446"/>
      <c r="DI507" s="446"/>
      <c r="DJ507" s="446"/>
      <c r="DK507" s="446"/>
      <c r="DL507" s="446"/>
      <c r="DM507" s="446"/>
      <c r="DN507" s="446"/>
      <c r="DO507" s="446"/>
      <c r="DP507" s="446"/>
      <c r="DQ507" s="446"/>
      <c r="DR507" s="446"/>
      <c r="DS507" s="446"/>
      <c r="DT507" s="446"/>
      <c r="DU507" s="446"/>
      <c r="DV507" s="446"/>
      <c r="DW507" s="446"/>
    </row>
    <row r="508" spans="25:127" ht="15" customHeight="1" x14ac:dyDescent="0.25">
      <c r="BP508" s="1060"/>
      <c r="BQ508" s="92" t="s">
        <v>165</v>
      </c>
      <c r="BR508" s="92">
        <v>4</v>
      </c>
      <c r="CR508" s="446"/>
      <c r="CS508" s="446"/>
      <c r="CT508" s="446"/>
      <c r="CU508" s="446"/>
      <c r="CV508" s="446"/>
      <c r="CW508" s="752"/>
      <c r="CX508" s="752"/>
      <c r="CY508" s="752"/>
      <c r="CZ508" s="752"/>
      <c r="DA508" s="752"/>
      <c r="DB508" s="446"/>
      <c r="DC508" s="446"/>
      <c r="DD508" s="446"/>
      <c r="DE508" s="446"/>
      <c r="DF508" s="446"/>
      <c r="DG508" s="446"/>
      <c r="DH508" s="446"/>
      <c r="DI508" s="446"/>
      <c r="DJ508" s="446"/>
      <c r="DK508" s="446"/>
      <c r="DL508" s="446"/>
      <c r="DM508" s="446"/>
      <c r="DN508" s="446"/>
      <c r="DO508" s="446"/>
      <c r="DP508" s="446"/>
      <c r="DQ508" s="446"/>
      <c r="DR508" s="446"/>
      <c r="DS508" s="446"/>
      <c r="DT508" s="446"/>
      <c r="DU508" s="446"/>
      <c r="DV508" s="446"/>
      <c r="DW508" s="446"/>
    </row>
    <row r="509" spans="25:127" ht="15" customHeight="1" x14ac:dyDescent="0.25">
      <c r="BP509" s="1060"/>
      <c r="BQ509" s="92" t="s">
        <v>166</v>
      </c>
      <c r="BR509" s="92">
        <v>5</v>
      </c>
      <c r="CR509" s="446"/>
      <c r="CS509" s="446"/>
      <c r="CT509" s="446"/>
      <c r="CU509" s="446"/>
      <c r="CV509" s="446"/>
      <c r="CW509" s="752"/>
      <c r="CX509" s="752"/>
      <c r="CY509" s="752"/>
      <c r="CZ509" s="752"/>
      <c r="DA509" s="752"/>
      <c r="DB509" s="446"/>
      <c r="DC509" s="446"/>
      <c r="DD509" s="446"/>
      <c r="DE509" s="446"/>
      <c r="DF509" s="446"/>
      <c r="DG509" s="446"/>
      <c r="DH509" s="446"/>
      <c r="DI509" s="446"/>
      <c r="DJ509" s="446"/>
      <c r="DK509" s="446"/>
      <c r="DL509" s="446"/>
      <c r="DM509" s="446"/>
      <c r="DN509" s="446"/>
      <c r="DO509" s="446"/>
      <c r="DP509" s="446"/>
      <c r="DQ509" s="446"/>
      <c r="DR509" s="446"/>
      <c r="DS509" s="446"/>
      <c r="DT509" s="446"/>
      <c r="DU509" s="446"/>
      <c r="DV509" s="446"/>
      <c r="DW509" s="446"/>
    </row>
    <row r="510" spans="25:127" ht="15" customHeight="1" x14ac:dyDescent="0.25">
      <c r="BP510" s="1060"/>
      <c r="BQ510" s="92" t="s">
        <v>167</v>
      </c>
      <c r="BR510" s="92">
        <v>6</v>
      </c>
      <c r="CR510" s="446"/>
      <c r="CS510" s="446"/>
      <c r="CT510" s="446"/>
      <c r="CU510" s="446"/>
      <c r="CV510" s="446"/>
      <c r="CW510" s="752"/>
      <c r="CX510" s="752"/>
      <c r="CY510" s="752"/>
      <c r="CZ510" s="752"/>
      <c r="DA510" s="752"/>
      <c r="DB510" s="446"/>
      <c r="DC510" s="446"/>
      <c r="DD510" s="446"/>
      <c r="DE510" s="446"/>
      <c r="DF510" s="446"/>
      <c r="DG510" s="446"/>
      <c r="DH510" s="446"/>
      <c r="DI510" s="446"/>
      <c r="DJ510" s="446"/>
      <c r="DK510" s="446"/>
      <c r="DL510" s="446"/>
      <c r="DM510" s="446"/>
      <c r="DN510" s="446"/>
      <c r="DO510" s="446"/>
      <c r="DP510" s="446"/>
      <c r="DQ510" s="446"/>
      <c r="DR510" s="446"/>
      <c r="DS510" s="446"/>
      <c r="DT510" s="446"/>
      <c r="DU510" s="446"/>
      <c r="DV510" s="446"/>
      <c r="DW510" s="446"/>
    </row>
    <row r="511" spans="25:127" ht="15" customHeight="1" x14ac:dyDescent="0.25">
      <c r="BP511" s="1061"/>
      <c r="BQ511" s="92" t="s">
        <v>168</v>
      </c>
      <c r="BR511" s="92">
        <v>7</v>
      </c>
      <c r="CR511" s="446"/>
      <c r="CS511" s="446"/>
      <c r="CT511" s="446"/>
      <c r="CU511" s="446"/>
      <c r="CV511" s="446"/>
      <c r="CW511" s="752"/>
      <c r="CX511" s="752"/>
      <c r="CY511" s="752"/>
      <c r="CZ511" s="752"/>
      <c r="DA511" s="752"/>
      <c r="DB511" s="446"/>
      <c r="DC511" s="446"/>
      <c r="DD511" s="446"/>
      <c r="DE511" s="446"/>
      <c r="DF511" s="446"/>
      <c r="DG511" s="446"/>
      <c r="DH511" s="446"/>
      <c r="DI511" s="446"/>
      <c r="DJ511" s="446"/>
      <c r="DK511" s="446"/>
      <c r="DL511" s="446"/>
      <c r="DM511" s="446"/>
      <c r="DN511" s="446"/>
      <c r="DO511" s="446"/>
      <c r="DP511" s="446"/>
      <c r="DQ511" s="446"/>
      <c r="DR511" s="446"/>
      <c r="DS511" s="446"/>
      <c r="DT511" s="446"/>
      <c r="DU511" s="446"/>
      <c r="DV511" s="446"/>
      <c r="DW511" s="446"/>
    </row>
    <row r="512" spans="25:127" ht="15" customHeight="1" x14ac:dyDescent="0.25">
      <c r="BP512" s="1059" t="s">
        <v>91</v>
      </c>
      <c r="BQ512" s="92" t="s">
        <v>156</v>
      </c>
      <c r="BR512" s="92">
        <v>8</v>
      </c>
      <c r="CR512" s="446"/>
      <c r="CS512" s="446"/>
      <c r="CT512" s="446"/>
      <c r="CU512" s="446"/>
      <c r="CV512" s="446"/>
      <c r="CW512" s="752"/>
      <c r="CX512" s="752"/>
      <c r="CY512" s="752"/>
      <c r="CZ512" s="752"/>
      <c r="DA512" s="752"/>
      <c r="DB512" s="446"/>
      <c r="DC512" s="446"/>
      <c r="DD512" s="446"/>
      <c r="DE512" s="446"/>
      <c r="DF512" s="446"/>
      <c r="DG512" s="446"/>
      <c r="DH512" s="446"/>
      <c r="DI512" s="446"/>
      <c r="DJ512" s="446"/>
      <c r="DK512" s="446"/>
      <c r="DL512" s="446"/>
      <c r="DM512" s="446"/>
      <c r="DN512" s="446"/>
      <c r="DO512" s="446"/>
      <c r="DP512" s="446"/>
      <c r="DQ512" s="446"/>
      <c r="DR512" s="446"/>
      <c r="DS512" s="446"/>
      <c r="DT512" s="446"/>
      <c r="DU512" s="446"/>
      <c r="DV512" s="446"/>
      <c r="DW512" s="446"/>
    </row>
    <row r="513" spans="68:127" ht="15" customHeight="1" x14ac:dyDescent="0.25">
      <c r="BP513" s="1060"/>
      <c r="BQ513" s="92" t="s">
        <v>157</v>
      </c>
      <c r="BR513" s="92">
        <v>9</v>
      </c>
      <c r="CR513" s="446"/>
      <c r="CS513" s="446"/>
      <c r="CT513" s="446"/>
      <c r="CU513" s="446"/>
      <c r="CV513" s="446"/>
      <c r="CW513" s="752"/>
      <c r="CX513" s="752"/>
      <c r="CY513" s="752"/>
      <c r="CZ513" s="752"/>
      <c r="DA513" s="752"/>
      <c r="DB513" s="446"/>
      <c r="DC513" s="446"/>
      <c r="DD513" s="446"/>
      <c r="DE513" s="446"/>
      <c r="DF513" s="446"/>
      <c r="DG513" s="446"/>
      <c r="DH513" s="446"/>
      <c r="DI513" s="446"/>
      <c r="DJ513" s="446"/>
      <c r="DK513" s="446"/>
      <c r="DL513" s="446"/>
      <c r="DM513" s="446"/>
      <c r="DN513" s="446"/>
      <c r="DO513" s="446"/>
      <c r="DP513" s="446"/>
      <c r="DQ513" s="446"/>
      <c r="DR513" s="446"/>
      <c r="DS513" s="446"/>
      <c r="DT513" s="446"/>
      <c r="DU513" s="446"/>
      <c r="DV513" s="446"/>
      <c r="DW513" s="446"/>
    </row>
    <row r="514" spans="68:127" ht="15" customHeight="1" x14ac:dyDescent="0.25">
      <c r="BP514" s="1060"/>
      <c r="BQ514" s="92" t="s">
        <v>169</v>
      </c>
      <c r="BR514" s="92">
        <v>10</v>
      </c>
      <c r="CR514" s="446"/>
      <c r="CS514" s="446"/>
      <c r="CT514" s="446"/>
      <c r="CU514" s="446"/>
      <c r="CV514" s="446"/>
      <c r="CW514" s="752"/>
      <c r="CX514" s="752"/>
      <c r="CY514" s="752"/>
      <c r="CZ514" s="752"/>
      <c r="DA514" s="752"/>
      <c r="DB514" s="446"/>
      <c r="DC514" s="446"/>
      <c r="DD514" s="446"/>
      <c r="DE514" s="446"/>
      <c r="DF514" s="446"/>
      <c r="DG514" s="446"/>
      <c r="DH514" s="446"/>
      <c r="DI514" s="446"/>
      <c r="DJ514" s="446"/>
      <c r="DK514" s="446"/>
      <c r="DL514" s="446"/>
      <c r="DM514" s="446"/>
      <c r="DN514" s="446"/>
      <c r="DO514" s="446"/>
      <c r="DP514" s="446"/>
      <c r="DQ514" s="446"/>
      <c r="DR514" s="446"/>
      <c r="DS514" s="446"/>
      <c r="DT514" s="446"/>
      <c r="DU514" s="446"/>
      <c r="DV514" s="446"/>
      <c r="DW514" s="446"/>
    </row>
    <row r="515" spans="68:127" ht="15" customHeight="1" x14ac:dyDescent="0.25">
      <c r="BP515" s="1060"/>
      <c r="BQ515" s="92" t="s">
        <v>178</v>
      </c>
      <c r="BR515" s="92">
        <v>11</v>
      </c>
      <c r="CR515" s="446"/>
      <c r="CS515" s="446"/>
      <c r="CT515" s="446"/>
      <c r="CU515" s="446"/>
      <c r="CV515" s="446"/>
      <c r="CW515" s="752"/>
      <c r="CX515" s="752"/>
      <c r="CY515" s="752"/>
      <c r="CZ515" s="752"/>
      <c r="DA515" s="752"/>
      <c r="DB515" s="446"/>
      <c r="DC515" s="446"/>
      <c r="DD515" s="446"/>
      <c r="DE515" s="446"/>
      <c r="DF515" s="446"/>
      <c r="DG515" s="446"/>
      <c r="DH515" s="446"/>
      <c r="DI515" s="446"/>
      <c r="DJ515" s="446"/>
      <c r="DK515" s="446"/>
      <c r="DL515" s="446"/>
      <c r="DM515" s="446"/>
      <c r="DN515" s="446"/>
      <c r="DO515" s="446"/>
      <c r="DP515" s="446"/>
      <c r="DQ515" s="446"/>
      <c r="DR515" s="446"/>
      <c r="DS515" s="446"/>
      <c r="DT515" s="446"/>
      <c r="DU515" s="446"/>
      <c r="DV515" s="446"/>
      <c r="DW515" s="446"/>
    </row>
    <row r="516" spans="68:127" ht="15" customHeight="1" x14ac:dyDescent="0.25">
      <c r="BP516" s="1060"/>
      <c r="BQ516" s="92" t="s">
        <v>177</v>
      </c>
      <c r="BR516" s="92">
        <v>12</v>
      </c>
      <c r="CR516" s="446"/>
      <c r="CS516" s="446"/>
      <c r="CT516" s="446"/>
      <c r="CU516" s="446"/>
      <c r="CV516" s="446"/>
      <c r="CW516" s="752"/>
      <c r="CX516" s="752"/>
      <c r="CY516" s="752"/>
      <c r="CZ516" s="752"/>
      <c r="DA516" s="752"/>
      <c r="DB516" s="446"/>
      <c r="DC516" s="446"/>
      <c r="DD516" s="446"/>
      <c r="DE516" s="446"/>
      <c r="DF516" s="446"/>
      <c r="DG516" s="446"/>
      <c r="DH516" s="446"/>
      <c r="DI516" s="446"/>
      <c r="DJ516" s="446"/>
      <c r="DK516" s="446"/>
      <c r="DL516" s="446"/>
      <c r="DM516" s="446"/>
      <c r="DN516" s="446"/>
      <c r="DO516" s="446"/>
      <c r="DP516" s="446"/>
      <c r="DQ516" s="446"/>
      <c r="DR516" s="446"/>
      <c r="DS516" s="446"/>
      <c r="DT516" s="446"/>
      <c r="DU516" s="446"/>
      <c r="DV516" s="446"/>
      <c r="DW516" s="446"/>
    </row>
    <row r="517" spans="68:127" ht="15" customHeight="1" x14ac:dyDescent="0.25">
      <c r="BP517" s="1061"/>
      <c r="BQ517" s="92" t="s">
        <v>176</v>
      </c>
      <c r="BR517" s="92">
        <v>13</v>
      </c>
      <c r="CR517" s="446"/>
      <c r="CS517" s="446"/>
      <c r="CT517" s="446"/>
      <c r="CU517" s="446"/>
      <c r="CV517" s="446"/>
      <c r="CW517" s="752"/>
      <c r="CX517" s="752"/>
      <c r="CY517" s="752"/>
      <c r="CZ517" s="752"/>
      <c r="DA517" s="752"/>
      <c r="DB517" s="446"/>
      <c r="DC517" s="446"/>
      <c r="DD517" s="446"/>
      <c r="DE517" s="446"/>
      <c r="DF517" s="446"/>
      <c r="DG517" s="446"/>
      <c r="DH517" s="446"/>
      <c r="DI517" s="446"/>
      <c r="DJ517" s="446"/>
      <c r="DK517" s="446"/>
      <c r="DL517" s="446"/>
      <c r="DM517" s="446"/>
      <c r="DN517" s="446"/>
      <c r="DO517" s="446"/>
      <c r="DP517" s="446"/>
      <c r="DQ517" s="446"/>
      <c r="DR517" s="446"/>
      <c r="DS517" s="446"/>
      <c r="DT517" s="446"/>
      <c r="DU517" s="446"/>
      <c r="DV517" s="446"/>
      <c r="DW517" s="446"/>
    </row>
    <row r="518" spans="68:127" ht="15" customHeight="1" x14ac:dyDescent="0.25">
      <c r="BP518" s="1059" t="s">
        <v>95</v>
      </c>
      <c r="BQ518" s="551" t="s">
        <v>262</v>
      </c>
      <c r="BR518" s="92">
        <v>14</v>
      </c>
      <c r="CR518" s="446"/>
      <c r="CS518" s="446"/>
      <c r="CT518" s="446"/>
      <c r="CU518" s="446"/>
      <c r="CV518" s="446"/>
      <c r="CW518" s="752"/>
      <c r="CX518" s="752"/>
      <c r="CY518" s="752"/>
      <c r="CZ518" s="752"/>
      <c r="DA518" s="752"/>
      <c r="DB518" s="446"/>
      <c r="DC518" s="446"/>
      <c r="DD518" s="446"/>
      <c r="DE518" s="446"/>
      <c r="DF518" s="446"/>
      <c r="DG518" s="446"/>
      <c r="DH518" s="446"/>
      <c r="DI518" s="446"/>
      <c r="DJ518" s="446"/>
      <c r="DK518" s="446"/>
      <c r="DL518" s="446"/>
      <c r="DM518" s="446"/>
      <c r="DN518" s="446"/>
      <c r="DO518" s="446"/>
      <c r="DP518" s="446"/>
      <c r="DQ518" s="446"/>
      <c r="DR518" s="446"/>
      <c r="DS518" s="446"/>
      <c r="DT518" s="446"/>
      <c r="DU518" s="446"/>
      <c r="DV518" s="446"/>
      <c r="DW518" s="446"/>
    </row>
    <row r="519" spans="68:127" ht="15" customHeight="1" x14ac:dyDescent="0.25">
      <c r="BP519" s="1060"/>
      <c r="BQ519" s="551" t="s">
        <v>261</v>
      </c>
      <c r="BR519" s="92">
        <v>14</v>
      </c>
      <c r="CR519" s="446"/>
      <c r="CS519" s="446"/>
      <c r="CT519" s="446"/>
      <c r="CU519" s="446"/>
      <c r="CV519" s="446"/>
      <c r="CW519" s="752"/>
      <c r="CX519" s="752"/>
      <c r="CY519" s="752"/>
      <c r="CZ519" s="752"/>
      <c r="DA519" s="752"/>
      <c r="DB519" s="446"/>
      <c r="DC519" s="446"/>
      <c r="DD519" s="446"/>
      <c r="DE519" s="446"/>
      <c r="DF519" s="446"/>
      <c r="DG519" s="446"/>
      <c r="DH519" s="446"/>
      <c r="DI519" s="446"/>
      <c r="DJ519" s="446"/>
      <c r="DK519" s="446"/>
      <c r="DL519" s="446"/>
      <c r="DM519" s="446"/>
      <c r="DN519" s="446"/>
      <c r="DO519" s="446"/>
      <c r="DP519" s="446"/>
      <c r="DQ519" s="446"/>
      <c r="DR519" s="446"/>
      <c r="DS519" s="446"/>
      <c r="DT519" s="446"/>
      <c r="DU519" s="446"/>
      <c r="DV519" s="446"/>
      <c r="DW519" s="446"/>
    </row>
    <row r="520" spans="68:127" ht="15" customHeight="1" x14ac:dyDescent="0.25">
      <c r="BP520" s="1060"/>
      <c r="BQ520" s="551" t="s">
        <v>260</v>
      </c>
      <c r="BR520" s="92">
        <v>15</v>
      </c>
      <c r="CR520" s="446"/>
      <c r="CS520" s="446"/>
      <c r="CT520" s="446"/>
      <c r="CU520" s="446"/>
      <c r="CV520" s="446"/>
      <c r="CW520" s="752"/>
      <c r="CX520" s="752"/>
      <c r="CY520" s="752"/>
      <c r="CZ520" s="752"/>
      <c r="DA520" s="752"/>
      <c r="DB520" s="446"/>
      <c r="DC520" s="446"/>
      <c r="DD520" s="446"/>
      <c r="DE520" s="446"/>
      <c r="DF520" s="446"/>
      <c r="DG520" s="446"/>
      <c r="DH520" s="446"/>
      <c r="DI520" s="446"/>
      <c r="DJ520" s="446"/>
      <c r="DK520" s="446"/>
      <c r="DL520" s="446"/>
      <c r="DM520" s="446"/>
      <c r="DN520" s="446"/>
      <c r="DO520" s="446"/>
      <c r="DP520" s="446"/>
      <c r="DQ520" s="446"/>
      <c r="DR520" s="446"/>
      <c r="DS520" s="446"/>
      <c r="DT520" s="446"/>
      <c r="DU520" s="446"/>
      <c r="DV520" s="446"/>
      <c r="DW520" s="446"/>
    </row>
    <row r="521" spans="68:127" ht="15" customHeight="1" x14ac:dyDescent="0.25">
      <c r="BP521" s="1060"/>
      <c r="BQ521" s="551" t="s">
        <v>274</v>
      </c>
      <c r="BR521" s="92">
        <v>15</v>
      </c>
      <c r="CR521" s="446"/>
      <c r="CS521" s="446"/>
      <c r="CT521" s="446"/>
      <c r="CU521" s="446"/>
      <c r="CV521" s="446"/>
      <c r="CW521" s="752"/>
      <c r="CX521" s="752"/>
      <c r="CY521" s="752"/>
      <c r="CZ521" s="752"/>
      <c r="DA521" s="752"/>
      <c r="DB521" s="446"/>
      <c r="DC521" s="446"/>
      <c r="DD521" s="446"/>
      <c r="DE521" s="446"/>
      <c r="DF521" s="446"/>
      <c r="DG521" s="446"/>
      <c r="DH521" s="446"/>
      <c r="DI521" s="446"/>
      <c r="DJ521" s="446"/>
      <c r="DK521" s="446"/>
      <c r="DL521" s="446"/>
      <c r="DM521" s="446"/>
      <c r="DN521" s="446"/>
      <c r="DO521" s="446"/>
      <c r="DP521" s="446"/>
      <c r="DQ521" s="446"/>
      <c r="DR521" s="446"/>
      <c r="DS521" s="446"/>
      <c r="DT521" s="446"/>
      <c r="DU521" s="446"/>
      <c r="DV521" s="446"/>
      <c r="DW521" s="446"/>
    </row>
    <row r="522" spans="68:127" ht="15" customHeight="1" x14ac:dyDescent="0.25">
      <c r="BP522" s="1060"/>
      <c r="BQ522" s="551" t="s">
        <v>275</v>
      </c>
      <c r="BR522" s="92">
        <v>15</v>
      </c>
      <c r="CR522" s="446"/>
      <c r="CS522" s="446"/>
      <c r="CT522" s="446"/>
      <c r="CU522" s="446"/>
      <c r="CV522" s="446"/>
      <c r="CW522" s="752"/>
      <c r="CX522" s="752"/>
      <c r="CY522" s="752"/>
      <c r="CZ522" s="752"/>
      <c r="DA522" s="752"/>
      <c r="DB522" s="446"/>
      <c r="DC522" s="446"/>
      <c r="DD522" s="446"/>
      <c r="DE522" s="446"/>
      <c r="DF522" s="446"/>
      <c r="DG522" s="446"/>
      <c r="DH522" s="446"/>
      <c r="DI522" s="446"/>
      <c r="DJ522" s="446"/>
      <c r="DK522" s="446"/>
      <c r="DL522" s="446"/>
      <c r="DM522" s="446"/>
      <c r="DN522" s="446"/>
      <c r="DO522" s="446"/>
      <c r="DP522" s="446"/>
      <c r="DQ522" s="446"/>
      <c r="DR522" s="446"/>
      <c r="DS522" s="446"/>
      <c r="DT522" s="446"/>
      <c r="DU522" s="446"/>
      <c r="DV522" s="446"/>
      <c r="DW522" s="446"/>
    </row>
    <row r="523" spans="68:127" ht="15" customHeight="1" x14ac:dyDescent="0.25">
      <c r="BP523" s="1060"/>
      <c r="BQ523" s="551" t="s">
        <v>175</v>
      </c>
      <c r="BR523" s="92">
        <v>16</v>
      </c>
      <c r="CR523" s="446"/>
      <c r="CS523" s="446"/>
      <c r="CT523" s="446"/>
      <c r="CU523" s="446"/>
      <c r="CV523" s="446"/>
      <c r="CW523" s="752"/>
      <c r="CX523" s="752"/>
      <c r="CY523" s="752"/>
      <c r="CZ523" s="752"/>
      <c r="DA523" s="752"/>
      <c r="DB523" s="446"/>
      <c r="DC523" s="446"/>
      <c r="DD523" s="446"/>
      <c r="DE523" s="446"/>
      <c r="DF523" s="446"/>
      <c r="DG523" s="446"/>
      <c r="DH523" s="446"/>
      <c r="DI523" s="446"/>
      <c r="DJ523" s="446"/>
      <c r="DK523" s="446"/>
      <c r="DL523" s="446"/>
      <c r="DM523" s="446"/>
      <c r="DN523" s="446"/>
      <c r="DO523" s="446"/>
      <c r="DP523" s="446"/>
      <c r="DQ523" s="446"/>
      <c r="DR523" s="446"/>
      <c r="DS523" s="446"/>
      <c r="DT523" s="446"/>
      <c r="DU523" s="446"/>
      <c r="DV523" s="446"/>
      <c r="DW523" s="446"/>
    </row>
    <row r="524" spans="68:127" ht="15" customHeight="1" x14ac:dyDescent="0.25">
      <c r="BP524" s="1060"/>
      <c r="BQ524" s="551" t="s">
        <v>174</v>
      </c>
      <c r="BR524" s="92">
        <v>16</v>
      </c>
      <c r="CR524" s="446"/>
      <c r="CS524" s="446"/>
      <c r="CT524" s="446"/>
      <c r="CU524" s="446"/>
      <c r="CV524" s="446"/>
      <c r="CW524" s="752"/>
      <c r="CX524" s="752"/>
      <c r="CY524" s="752"/>
      <c r="CZ524" s="752"/>
      <c r="DA524" s="752"/>
      <c r="DB524" s="446"/>
      <c r="DC524" s="446"/>
      <c r="DD524" s="446"/>
      <c r="DE524" s="446"/>
      <c r="DF524" s="446"/>
      <c r="DG524" s="446"/>
      <c r="DH524" s="446"/>
      <c r="DI524" s="446"/>
      <c r="DJ524" s="446"/>
      <c r="DK524" s="446"/>
      <c r="DL524" s="446"/>
      <c r="DM524" s="446"/>
      <c r="DN524" s="446"/>
      <c r="DO524" s="446"/>
      <c r="DP524" s="446"/>
      <c r="DQ524" s="446"/>
      <c r="DR524" s="446"/>
      <c r="DS524" s="446"/>
      <c r="DT524" s="446"/>
      <c r="DU524" s="446"/>
      <c r="DV524" s="446"/>
      <c r="DW524" s="446"/>
    </row>
    <row r="525" spans="68:127" ht="15" customHeight="1" x14ac:dyDescent="0.25">
      <c r="BP525" s="1060"/>
      <c r="BQ525" s="551" t="s">
        <v>173</v>
      </c>
      <c r="BR525" s="92">
        <v>17</v>
      </c>
      <c r="CR525" s="446"/>
      <c r="CS525" s="446"/>
      <c r="CT525" s="446"/>
      <c r="CU525" s="446"/>
      <c r="CV525" s="446"/>
      <c r="CW525" s="752"/>
      <c r="CX525" s="752"/>
      <c r="CY525" s="752"/>
      <c r="CZ525" s="752"/>
      <c r="DA525" s="752"/>
      <c r="DB525" s="446"/>
      <c r="DC525" s="446"/>
      <c r="DD525" s="446"/>
      <c r="DE525" s="446"/>
      <c r="DF525" s="446"/>
      <c r="DG525" s="446"/>
      <c r="DH525" s="446"/>
      <c r="DI525" s="446"/>
      <c r="DJ525" s="446"/>
      <c r="DK525" s="446"/>
      <c r="DL525" s="446"/>
      <c r="DM525" s="446"/>
      <c r="DN525" s="446"/>
      <c r="DO525" s="446"/>
      <c r="DP525" s="446"/>
      <c r="DQ525" s="446"/>
      <c r="DR525" s="446"/>
      <c r="DS525" s="446"/>
      <c r="DT525" s="446"/>
      <c r="DU525" s="446"/>
      <c r="DV525" s="446"/>
      <c r="DW525" s="446"/>
    </row>
    <row r="526" spans="68:127" ht="15" customHeight="1" x14ac:dyDescent="0.25">
      <c r="BP526" s="1060"/>
      <c r="BQ526" s="551" t="s">
        <v>549</v>
      </c>
      <c r="BR526" s="92">
        <v>17</v>
      </c>
      <c r="CR526" s="446"/>
      <c r="CS526" s="446"/>
      <c r="CT526" s="446"/>
      <c r="CU526" s="446"/>
      <c r="CV526" s="446"/>
      <c r="CW526" s="752"/>
      <c r="CX526" s="752"/>
      <c r="CY526" s="752"/>
      <c r="CZ526" s="752"/>
      <c r="DA526" s="752"/>
      <c r="DB526" s="446"/>
      <c r="DC526" s="446"/>
      <c r="DD526" s="446"/>
      <c r="DE526" s="446"/>
      <c r="DF526" s="446"/>
      <c r="DG526" s="446"/>
      <c r="DH526" s="446"/>
      <c r="DI526" s="446"/>
      <c r="DJ526" s="446"/>
      <c r="DK526" s="446"/>
      <c r="DL526" s="446"/>
      <c r="DM526" s="446"/>
      <c r="DN526" s="446"/>
      <c r="DO526" s="446"/>
      <c r="DP526" s="446"/>
      <c r="DQ526" s="446"/>
      <c r="DR526" s="446"/>
      <c r="DS526" s="446"/>
      <c r="DT526" s="446"/>
      <c r="DU526" s="446"/>
      <c r="DV526" s="446"/>
      <c r="DW526" s="446"/>
    </row>
    <row r="527" spans="68:127" ht="15" customHeight="1" x14ac:dyDescent="0.25">
      <c r="BP527" s="1061"/>
      <c r="BQ527" s="551" t="s">
        <v>550</v>
      </c>
      <c r="BR527" s="92">
        <v>17</v>
      </c>
      <c r="CR527" s="446"/>
      <c r="CS527" s="446"/>
      <c r="CT527" s="446"/>
      <c r="CU527" s="446"/>
      <c r="CV527" s="446"/>
      <c r="CW527" s="752"/>
      <c r="CX527" s="752"/>
      <c r="CY527" s="752"/>
      <c r="CZ527" s="752"/>
      <c r="DA527" s="752"/>
      <c r="DB527" s="446"/>
      <c r="DC527" s="446"/>
      <c r="DD527" s="446"/>
      <c r="DE527" s="446"/>
      <c r="DF527" s="446"/>
      <c r="DG527" s="446"/>
      <c r="DH527" s="446"/>
      <c r="DI527" s="446"/>
      <c r="DJ527" s="446"/>
      <c r="DK527" s="446"/>
      <c r="DL527" s="446"/>
      <c r="DM527" s="446"/>
      <c r="DN527" s="446"/>
      <c r="DO527" s="446"/>
      <c r="DP527" s="446"/>
      <c r="DQ527" s="446"/>
      <c r="DR527" s="446"/>
      <c r="DS527" s="446"/>
      <c r="DT527" s="446"/>
      <c r="DU527" s="446"/>
      <c r="DV527" s="446"/>
      <c r="DW527" s="446"/>
    </row>
    <row r="528" spans="68:127" ht="15" customHeight="1" x14ac:dyDescent="0.25">
      <c r="BP528" s="1059" t="s">
        <v>96</v>
      </c>
      <c r="BQ528" s="551" t="s">
        <v>276</v>
      </c>
      <c r="BR528" s="92">
        <v>18</v>
      </c>
      <c r="CR528" s="446"/>
      <c r="CS528" s="446"/>
      <c r="CT528" s="446"/>
      <c r="CU528" s="446"/>
      <c r="CV528" s="446"/>
      <c r="CW528" s="752"/>
      <c r="CX528" s="752"/>
      <c r="CY528" s="752"/>
      <c r="CZ528" s="752"/>
      <c r="DA528" s="752"/>
      <c r="DB528" s="446"/>
      <c r="DC528" s="446"/>
      <c r="DD528" s="446"/>
      <c r="DE528" s="446"/>
      <c r="DF528" s="446"/>
      <c r="DG528" s="446"/>
      <c r="DH528" s="446"/>
      <c r="DI528" s="446"/>
      <c r="DJ528" s="446"/>
      <c r="DK528" s="446"/>
      <c r="DL528" s="446"/>
      <c r="DM528" s="446"/>
      <c r="DN528" s="446"/>
      <c r="DO528" s="446"/>
      <c r="DP528" s="446"/>
      <c r="DQ528" s="446"/>
      <c r="DR528" s="446"/>
      <c r="DS528" s="446"/>
      <c r="DT528" s="446"/>
      <c r="DU528" s="446"/>
      <c r="DV528" s="446"/>
      <c r="DW528" s="446"/>
    </row>
    <row r="529" spans="68:127" ht="15" customHeight="1" x14ac:dyDescent="0.25">
      <c r="BP529" s="1060"/>
      <c r="BQ529" s="551" t="s">
        <v>277</v>
      </c>
      <c r="BR529" s="92">
        <v>19</v>
      </c>
      <c r="CR529" s="446"/>
      <c r="CS529" s="446"/>
      <c r="CT529" s="446"/>
      <c r="CU529" s="446"/>
      <c r="CV529" s="446"/>
      <c r="CW529" s="752"/>
      <c r="CX529" s="752"/>
      <c r="CY529" s="752"/>
      <c r="CZ529" s="752"/>
      <c r="DA529" s="752"/>
      <c r="DB529" s="446"/>
      <c r="DC529" s="446"/>
      <c r="DD529" s="446"/>
      <c r="DE529" s="446"/>
      <c r="DF529" s="446"/>
      <c r="DG529" s="446"/>
      <c r="DH529" s="446"/>
      <c r="DI529" s="446"/>
      <c r="DJ529" s="446"/>
      <c r="DK529" s="446"/>
      <c r="DL529" s="446"/>
      <c r="DM529" s="446"/>
      <c r="DN529" s="446"/>
      <c r="DO529" s="446"/>
      <c r="DP529" s="446"/>
      <c r="DQ529" s="446"/>
      <c r="DR529" s="446"/>
      <c r="DS529" s="446"/>
      <c r="DT529" s="446"/>
      <c r="DU529" s="446"/>
      <c r="DV529" s="446"/>
      <c r="DW529" s="446"/>
    </row>
    <row r="530" spans="68:127" ht="15" customHeight="1" x14ac:dyDescent="0.25">
      <c r="BP530" s="1060"/>
      <c r="BQ530" s="551" t="s">
        <v>278</v>
      </c>
      <c r="BR530" s="92">
        <v>20</v>
      </c>
      <c r="CR530" s="446"/>
      <c r="CS530" s="446"/>
      <c r="CT530" s="446"/>
      <c r="CU530" s="446"/>
      <c r="CV530" s="446"/>
      <c r="CW530" s="752"/>
      <c r="CX530" s="752"/>
      <c r="CY530" s="752"/>
      <c r="CZ530" s="752"/>
      <c r="DA530" s="752"/>
      <c r="DB530" s="446"/>
      <c r="DC530" s="446"/>
      <c r="DD530" s="446"/>
      <c r="DE530" s="446"/>
      <c r="DF530" s="446"/>
      <c r="DG530" s="446"/>
      <c r="DH530" s="446"/>
      <c r="DI530" s="446"/>
      <c r="DJ530" s="446"/>
      <c r="DK530" s="446"/>
      <c r="DL530" s="446"/>
      <c r="DM530" s="446"/>
      <c r="DN530" s="446"/>
      <c r="DO530" s="446"/>
      <c r="DP530" s="446"/>
      <c r="DQ530" s="446"/>
      <c r="DR530" s="446"/>
      <c r="DS530" s="446"/>
      <c r="DT530" s="446"/>
      <c r="DU530" s="446"/>
      <c r="DV530" s="446"/>
      <c r="DW530" s="446"/>
    </row>
    <row r="531" spans="68:127" ht="15" customHeight="1" x14ac:dyDescent="0.25">
      <c r="BP531" s="1060"/>
      <c r="BQ531" s="551" t="s">
        <v>551</v>
      </c>
      <c r="BR531" s="92">
        <v>21</v>
      </c>
      <c r="CR531" s="446"/>
      <c r="CS531" s="446"/>
      <c r="CT531" s="446"/>
      <c r="CU531" s="446"/>
      <c r="CV531" s="446"/>
      <c r="CW531" s="752"/>
      <c r="CX531" s="752"/>
      <c r="CY531" s="752"/>
      <c r="CZ531" s="752"/>
      <c r="DA531" s="752"/>
      <c r="DB531" s="446"/>
      <c r="DC531" s="446"/>
      <c r="DD531" s="446"/>
      <c r="DE531" s="446"/>
      <c r="DF531" s="446"/>
      <c r="DG531" s="446"/>
      <c r="DH531" s="446"/>
      <c r="DI531" s="446"/>
      <c r="DJ531" s="446"/>
      <c r="DK531" s="446"/>
      <c r="DL531" s="446"/>
      <c r="DM531" s="446"/>
      <c r="DN531" s="446"/>
      <c r="DO531" s="446"/>
      <c r="DP531" s="446"/>
      <c r="DQ531" s="446"/>
      <c r="DR531" s="446"/>
      <c r="DS531" s="446"/>
      <c r="DT531" s="446"/>
      <c r="DU531" s="446"/>
      <c r="DV531" s="446"/>
      <c r="DW531" s="446"/>
    </row>
    <row r="532" spans="68:127" ht="15" customHeight="1" x14ac:dyDescent="0.25">
      <c r="BP532" s="1060"/>
      <c r="BQ532" s="551" t="s">
        <v>552</v>
      </c>
      <c r="BR532" s="92">
        <v>22</v>
      </c>
      <c r="CR532" s="446"/>
      <c r="CS532" s="446"/>
      <c r="CT532" s="446"/>
      <c r="CU532" s="446"/>
      <c r="CV532" s="446"/>
      <c r="CW532" s="752"/>
      <c r="CX532" s="752"/>
      <c r="CY532" s="752"/>
      <c r="CZ532" s="752"/>
      <c r="DA532" s="752"/>
      <c r="DB532" s="446"/>
      <c r="DC532" s="446"/>
      <c r="DD532" s="446"/>
      <c r="DE532" s="446"/>
      <c r="DF532" s="446"/>
      <c r="DG532" s="446"/>
      <c r="DH532" s="446"/>
      <c r="DI532" s="446"/>
      <c r="DJ532" s="446"/>
      <c r="DK532" s="446"/>
      <c r="DL532" s="446"/>
      <c r="DM532" s="446"/>
      <c r="DN532" s="446"/>
      <c r="DO532" s="446"/>
      <c r="DP532" s="446"/>
      <c r="DQ532" s="446"/>
      <c r="DR532" s="446"/>
      <c r="DS532" s="446"/>
      <c r="DT532" s="446"/>
      <c r="DU532" s="446"/>
      <c r="DV532" s="446"/>
      <c r="DW532" s="446"/>
    </row>
    <row r="533" spans="68:127" ht="15" customHeight="1" x14ac:dyDescent="0.25">
      <c r="BP533" s="1060"/>
      <c r="BQ533" s="551" t="s">
        <v>172</v>
      </c>
      <c r="BR533" s="92">
        <v>23</v>
      </c>
      <c r="CR533" s="446"/>
      <c r="CS533" s="446"/>
      <c r="CT533" s="446"/>
      <c r="CU533" s="446"/>
      <c r="CV533" s="446"/>
      <c r="CW533" s="752"/>
      <c r="CX533" s="752"/>
      <c r="CY533" s="752"/>
      <c r="CZ533" s="752"/>
      <c r="DA533" s="752"/>
      <c r="DB533" s="446"/>
      <c r="DC533" s="446"/>
      <c r="DD533" s="446"/>
      <c r="DE533" s="446"/>
      <c r="DF533" s="446"/>
      <c r="DG533" s="446"/>
      <c r="DH533" s="446"/>
      <c r="DI533" s="446"/>
      <c r="DJ533" s="446"/>
      <c r="DK533" s="446"/>
      <c r="DL533" s="446"/>
      <c r="DM533" s="446"/>
      <c r="DN533" s="446"/>
      <c r="DO533" s="446"/>
      <c r="DP533" s="446"/>
      <c r="DQ533" s="446"/>
      <c r="DR533" s="446"/>
      <c r="DS533" s="446"/>
      <c r="DT533" s="446"/>
      <c r="DU533" s="446"/>
      <c r="DV533" s="446"/>
      <c r="DW533" s="446"/>
    </row>
    <row r="534" spans="68:127" ht="15" customHeight="1" x14ac:dyDescent="0.25">
      <c r="BP534" s="1060"/>
      <c r="BQ534" s="551" t="s">
        <v>171</v>
      </c>
      <c r="BR534" s="92">
        <v>24</v>
      </c>
      <c r="CR534" s="446"/>
      <c r="CS534" s="446"/>
      <c r="CT534" s="446"/>
      <c r="CU534" s="446"/>
      <c r="CV534" s="446"/>
      <c r="CW534" s="752"/>
      <c r="CX534" s="752"/>
      <c r="CY534" s="752"/>
      <c r="CZ534" s="752"/>
      <c r="DA534" s="752"/>
      <c r="DB534" s="446"/>
      <c r="DC534" s="446"/>
      <c r="DD534" s="446"/>
      <c r="DE534" s="446"/>
      <c r="DF534" s="446"/>
      <c r="DG534" s="446"/>
      <c r="DH534" s="446"/>
      <c r="DI534" s="446"/>
      <c r="DJ534" s="446"/>
      <c r="DK534" s="446"/>
      <c r="DL534" s="446"/>
      <c r="DM534" s="446"/>
      <c r="DN534" s="446"/>
      <c r="DO534" s="446"/>
      <c r="DP534" s="446"/>
      <c r="DQ534" s="446"/>
      <c r="DR534" s="446"/>
      <c r="DS534" s="446"/>
      <c r="DT534" s="446"/>
      <c r="DU534" s="446"/>
      <c r="DV534" s="446"/>
      <c r="DW534" s="446"/>
    </row>
    <row r="535" spans="68:127" ht="15" customHeight="1" x14ac:dyDescent="0.25">
      <c r="BP535" s="1060"/>
      <c r="BQ535" s="551" t="s">
        <v>170</v>
      </c>
      <c r="BR535" s="92">
        <v>25</v>
      </c>
      <c r="CR535" s="446"/>
      <c r="CS535" s="446"/>
      <c r="CT535" s="446"/>
      <c r="CU535" s="446"/>
      <c r="CV535" s="446"/>
      <c r="CW535" s="752"/>
      <c r="CX535" s="752"/>
      <c r="CY535" s="752"/>
      <c r="CZ535" s="752"/>
      <c r="DA535" s="752"/>
      <c r="DB535" s="446"/>
      <c r="DC535" s="446"/>
      <c r="DD535" s="446"/>
      <c r="DE535" s="446"/>
      <c r="DF535" s="446"/>
      <c r="DG535" s="446"/>
      <c r="DH535" s="446"/>
      <c r="DI535" s="446"/>
      <c r="DJ535" s="446"/>
      <c r="DK535" s="446"/>
      <c r="DL535" s="446"/>
      <c r="DM535" s="446"/>
      <c r="DN535" s="446"/>
      <c r="DO535" s="446"/>
      <c r="DP535" s="446"/>
      <c r="DQ535" s="446"/>
      <c r="DR535" s="446"/>
      <c r="DS535" s="446"/>
      <c r="DT535" s="446"/>
      <c r="DU535" s="446"/>
      <c r="DV535" s="446"/>
      <c r="DW535" s="446"/>
    </row>
    <row r="536" spans="68:127" ht="15" customHeight="1" x14ac:dyDescent="0.25">
      <c r="BP536" s="1060"/>
      <c r="BQ536" s="551" t="s">
        <v>553</v>
      </c>
      <c r="BR536" s="92">
        <v>26</v>
      </c>
      <c r="CR536" s="446"/>
      <c r="CS536" s="446"/>
      <c r="CT536" s="446"/>
      <c r="CU536" s="446"/>
      <c r="CV536" s="446"/>
      <c r="CW536" s="752"/>
      <c r="CX536" s="752"/>
      <c r="CY536" s="752"/>
      <c r="CZ536" s="752"/>
      <c r="DA536" s="752"/>
      <c r="DB536" s="446"/>
      <c r="DC536" s="446"/>
      <c r="DD536" s="446"/>
      <c r="DE536" s="446"/>
      <c r="DF536" s="446"/>
      <c r="DG536" s="446"/>
      <c r="DH536" s="446"/>
      <c r="DI536" s="446"/>
      <c r="DJ536" s="446"/>
      <c r="DK536" s="446"/>
      <c r="DL536" s="446"/>
      <c r="DM536" s="446"/>
      <c r="DN536" s="446"/>
      <c r="DO536" s="446"/>
      <c r="DP536" s="446"/>
      <c r="DQ536" s="446"/>
      <c r="DR536" s="446"/>
      <c r="DS536" s="446"/>
      <c r="DT536" s="446"/>
      <c r="DU536" s="446"/>
      <c r="DV536" s="446"/>
      <c r="DW536" s="446"/>
    </row>
    <row r="537" spans="68:127" ht="15" customHeight="1" x14ac:dyDescent="0.25">
      <c r="BP537" s="1061"/>
      <c r="BQ537" s="551" t="s">
        <v>554</v>
      </c>
      <c r="BR537" s="92">
        <v>27</v>
      </c>
      <c r="CR537" s="446"/>
      <c r="CS537" s="446"/>
      <c r="CT537" s="446"/>
      <c r="CU537" s="446"/>
      <c r="CV537" s="446"/>
      <c r="CW537" s="752"/>
      <c r="CX537" s="752"/>
      <c r="CY537" s="752"/>
      <c r="CZ537" s="752"/>
      <c r="DA537" s="752"/>
      <c r="DB537" s="446"/>
      <c r="DC537" s="446"/>
      <c r="DD537" s="446"/>
      <c r="DE537" s="446"/>
      <c r="DF537" s="446"/>
      <c r="DG537" s="446"/>
      <c r="DH537" s="446"/>
      <c r="DI537" s="446"/>
      <c r="DJ537" s="446"/>
      <c r="DK537" s="446"/>
      <c r="DL537" s="446"/>
      <c r="DM537" s="446"/>
      <c r="DN537" s="446"/>
      <c r="DO537" s="446"/>
      <c r="DP537" s="446"/>
      <c r="DQ537" s="446"/>
      <c r="DR537" s="446"/>
      <c r="DS537" s="446"/>
      <c r="DT537" s="446"/>
      <c r="DU537" s="446"/>
      <c r="DV537" s="446"/>
      <c r="DW537" s="446"/>
    </row>
    <row r="538" spans="68:127" ht="15" customHeight="1" x14ac:dyDescent="0.25">
      <c r="CR538" s="446"/>
      <c r="CS538" s="446"/>
      <c r="CT538" s="446"/>
      <c r="CU538" s="446"/>
      <c r="CV538" s="446"/>
      <c r="CW538" s="752"/>
      <c r="CX538" s="752"/>
      <c r="CY538" s="752"/>
      <c r="CZ538" s="752"/>
      <c r="DA538" s="752"/>
      <c r="DB538" s="446"/>
      <c r="DC538" s="446"/>
      <c r="DD538" s="446"/>
      <c r="DE538" s="446"/>
      <c r="DF538" s="446"/>
      <c r="DG538" s="446"/>
      <c r="DH538" s="446"/>
      <c r="DI538" s="446"/>
      <c r="DJ538" s="446"/>
      <c r="DK538" s="446"/>
      <c r="DL538" s="446"/>
      <c r="DM538" s="446"/>
      <c r="DN538" s="446"/>
      <c r="DO538" s="446"/>
      <c r="DP538" s="446"/>
      <c r="DQ538" s="446"/>
      <c r="DR538" s="446"/>
      <c r="DS538" s="446"/>
      <c r="DT538" s="446"/>
      <c r="DU538" s="446"/>
      <c r="DV538" s="446"/>
      <c r="DW538" s="446"/>
    </row>
    <row r="539" spans="68:127" ht="15" customHeight="1" x14ac:dyDescent="0.25">
      <c r="CR539" s="446"/>
      <c r="CS539" s="446"/>
      <c r="CT539" s="446"/>
      <c r="CU539" s="446"/>
      <c r="CV539" s="446"/>
      <c r="CW539" s="752"/>
      <c r="CX539" s="752"/>
      <c r="CY539" s="752"/>
      <c r="CZ539" s="752"/>
      <c r="DA539" s="752"/>
      <c r="DB539" s="446"/>
      <c r="DC539" s="446"/>
      <c r="DD539" s="446"/>
      <c r="DE539" s="446"/>
      <c r="DF539" s="446"/>
      <c r="DG539" s="446"/>
      <c r="DH539" s="446"/>
      <c r="DI539" s="446"/>
      <c r="DJ539" s="446"/>
      <c r="DK539" s="446"/>
      <c r="DL539" s="446"/>
      <c r="DM539" s="446"/>
      <c r="DN539" s="446"/>
      <c r="DO539" s="446"/>
      <c r="DP539" s="446"/>
      <c r="DQ539" s="446"/>
      <c r="DR539" s="446"/>
      <c r="DS539" s="446"/>
      <c r="DT539" s="446"/>
      <c r="DU539" s="446"/>
      <c r="DV539" s="446"/>
      <c r="DW539" s="446"/>
    </row>
    <row r="540" spans="68:127" ht="15" customHeight="1" x14ac:dyDescent="0.25">
      <c r="CR540" s="446"/>
      <c r="CS540" s="446"/>
      <c r="CT540" s="446"/>
      <c r="CU540" s="446"/>
      <c r="CV540" s="446"/>
      <c r="CW540" s="752"/>
      <c r="CX540" s="752"/>
      <c r="CY540" s="752"/>
      <c r="CZ540" s="752"/>
      <c r="DA540" s="752"/>
      <c r="DB540" s="446"/>
      <c r="DC540" s="446"/>
      <c r="DD540" s="446"/>
      <c r="DE540" s="446"/>
      <c r="DF540" s="446"/>
      <c r="DG540" s="446"/>
      <c r="DH540" s="446"/>
      <c r="DI540" s="446"/>
      <c r="DJ540" s="446"/>
      <c r="DK540" s="446"/>
      <c r="DL540" s="446"/>
      <c r="DM540" s="446"/>
      <c r="DN540" s="446"/>
      <c r="DO540" s="446"/>
      <c r="DP540" s="446"/>
      <c r="DQ540" s="446"/>
      <c r="DR540" s="446"/>
      <c r="DS540" s="446"/>
      <c r="DT540" s="446"/>
      <c r="DU540" s="446"/>
      <c r="DV540" s="446"/>
      <c r="DW540" s="446"/>
    </row>
    <row r="541" spans="68:127" ht="15" customHeight="1" x14ac:dyDescent="0.25">
      <c r="CR541" s="446"/>
      <c r="CS541" s="446"/>
      <c r="CT541" s="446"/>
      <c r="CU541" s="446"/>
      <c r="CV541" s="446"/>
      <c r="CW541" s="752"/>
      <c r="CX541" s="752"/>
      <c r="CY541" s="752"/>
      <c r="CZ541" s="752"/>
      <c r="DA541" s="752"/>
      <c r="DB541" s="446"/>
      <c r="DC541" s="446"/>
      <c r="DD541" s="446"/>
      <c r="DE541" s="446"/>
      <c r="DF541" s="446"/>
      <c r="DG541" s="446"/>
      <c r="DH541" s="446"/>
      <c r="DI541" s="446"/>
      <c r="DJ541" s="446"/>
      <c r="DK541" s="446"/>
      <c r="DL541" s="446"/>
      <c r="DM541" s="446"/>
      <c r="DN541" s="446"/>
      <c r="DO541" s="446"/>
      <c r="DP541" s="446"/>
      <c r="DQ541" s="446"/>
      <c r="DR541" s="446"/>
      <c r="DS541" s="446"/>
      <c r="DT541" s="446"/>
      <c r="DU541" s="446"/>
      <c r="DV541" s="446"/>
      <c r="DW541" s="446"/>
    </row>
    <row r="542" spans="68:127" ht="15" customHeight="1" x14ac:dyDescent="0.25">
      <c r="CR542" s="446"/>
      <c r="CS542" s="446"/>
      <c r="CT542" s="446"/>
      <c r="CU542" s="446"/>
      <c r="CV542" s="446"/>
      <c r="CW542" s="752"/>
      <c r="CX542" s="752"/>
      <c r="CY542" s="752"/>
      <c r="CZ542" s="752"/>
      <c r="DA542" s="752"/>
      <c r="DB542" s="446"/>
      <c r="DC542" s="446"/>
      <c r="DD542" s="446"/>
      <c r="DE542" s="446"/>
      <c r="DF542" s="446"/>
      <c r="DG542" s="446"/>
      <c r="DH542" s="446"/>
      <c r="DI542" s="446"/>
      <c r="DJ542" s="446"/>
      <c r="DK542" s="446"/>
      <c r="DL542" s="446"/>
      <c r="DM542" s="446"/>
      <c r="DN542" s="446"/>
      <c r="DO542" s="446"/>
      <c r="DP542" s="446"/>
      <c r="DQ542" s="446"/>
      <c r="DR542" s="446"/>
      <c r="DS542" s="446"/>
      <c r="DT542" s="446"/>
      <c r="DU542" s="446"/>
      <c r="DV542" s="446"/>
      <c r="DW542" s="446"/>
    </row>
    <row r="543" spans="68:127" ht="15" customHeight="1" x14ac:dyDescent="0.25">
      <c r="CR543" s="446"/>
      <c r="CS543" s="446"/>
      <c r="CT543" s="446"/>
      <c r="CU543" s="446"/>
      <c r="CV543" s="446"/>
      <c r="CW543" s="752"/>
      <c r="CX543" s="752"/>
      <c r="CY543" s="752"/>
      <c r="CZ543" s="752"/>
      <c r="DA543" s="752"/>
      <c r="DB543" s="446"/>
      <c r="DC543" s="446"/>
      <c r="DD543" s="446"/>
      <c r="DE543" s="446"/>
      <c r="DF543" s="446"/>
      <c r="DG543" s="446"/>
      <c r="DH543" s="446"/>
      <c r="DI543" s="446"/>
      <c r="DJ543" s="446"/>
      <c r="DK543" s="446"/>
      <c r="DL543" s="446"/>
      <c r="DM543" s="446"/>
      <c r="DN543" s="446"/>
      <c r="DO543" s="446"/>
      <c r="DP543" s="446"/>
      <c r="DQ543" s="446"/>
      <c r="DR543" s="446"/>
      <c r="DS543" s="446"/>
      <c r="DT543" s="446"/>
      <c r="DU543" s="446"/>
      <c r="DV543" s="446"/>
      <c r="DW543" s="446"/>
    </row>
    <row r="544" spans="68:127" ht="15" customHeight="1" x14ac:dyDescent="0.25">
      <c r="CR544" s="446"/>
      <c r="CS544" s="446"/>
      <c r="CT544" s="446"/>
      <c r="CU544" s="446"/>
      <c r="CV544" s="446"/>
      <c r="CW544" s="752"/>
      <c r="CX544" s="752"/>
      <c r="CY544" s="752"/>
      <c r="CZ544" s="752"/>
      <c r="DA544" s="752"/>
      <c r="DB544" s="446"/>
      <c r="DC544" s="446"/>
      <c r="DD544" s="446"/>
      <c r="DE544" s="446"/>
      <c r="DF544" s="446"/>
      <c r="DG544" s="446"/>
      <c r="DH544" s="446"/>
      <c r="DI544" s="446"/>
      <c r="DJ544" s="446"/>
      <c r="DK544" s="446"/>
      <c r="DL544" s="446"/>
      <c r="DM544" s="446"/>
      <c r="DN544" s="446"/>
      <c r="DO544" s="446"/>
      <c r="DP544" s="446"/>
      <c r="DQ544" s="446"/>
      <c r="DR544" s="446"/>
      <c r="DS544" s="446"/>
      <c r="DT544" s="446"/>
      <c r="DU544" s="446"/>
      <c r="DV544" s="446"/>
      <c r="DW544" s="446"/>
    </row>
    <row r="545" spans="96:127" ht="15" customHeight="1" x14ac:dyDescent="0.25">
      <c r="CR545" s="446"/>
      <c r="CS545" s="446"/>
      <c r="CT545" s="446"/>
      <c r="CU545" s="446"/>
      <c r="CV545" s="446"/>
      <c r="CW545" s="752"/>
      <c r="CX545" s="752"/>
      <c r="CY545" s="752"/>
      <c r="CZ545" s="752"/>
      <c r="DA545" s="752"/>
      <c r="DB545" s="446"/>
      <c r="DC545" s="446"/>
      <c r="DD545" s="446"/>
      <c r="DE545" s="446"/>
      <c r="DF545" s="446"/>
      <c r="DG545" s="446"/>
      <c r="DH545" s="446"/>
      <c r="DI545" s="446"/>
      <c r="DJ545" s="446"/>
      <c r="DK545" s="446"/>
      <c r="DL545" s="446"/>
      <c r="DM545" s="446"/>
      <c r="DN545" s="446"/>
      <c r="DO545" s="446"/>
      <c r="DP545" s="446"/>
      <c r="DQ545" s="446"/>
      <c r="DR545" s="446"/>
      <c r="DS545" s="446"/>
      <c r="DT545" s="446"/>
      <c r="DU545" s="446"/>
      <c r="DV545" s="446"/>
      <c r="DW545" s="446"/>
    </row>
    <row r="546" spans="96:127" ht="15" customHeight="1" x14ac:dyDescent="0.25">
      <c r="CR546" s="446"/>
      <c r="CS546" s="446"/>
      <c r="CT546" s="446"/>
      <c r="CU546" s="446"/>
      <c r="CV546" s="446"/>
      <c r="CW546" s="752"/>
      <c r="CX546" s="752"/>
      <c r="CY546" s="752"/>
      <c r="CZ546" s="752"/>
      <c r="DA546" s="752"/>
      <c r="DB546" s="446"/>
      <c r="DC546" s="446"/>
      <c r="DD546" s="446"/>
      <c r="DE546" s="446"/>
      <c r="DF546" s="446"/>
      <c r="DG546" s="446"/>
      <c r="DH546" s="446"/>
      <c r="DI546" s="446"/>
      <c r="DJ546" s="446"/>
      <c r="DK546" s="446"/>
      <c r="DL546" s="446"/>
      <c r="DM546" s="446"/>
      <c r="DN546" s="446"/>
      <c r="DO546" s="446"/>
      <c r="DP546" s="446"/>
      <c r="DQ546" s="446"/>
      <c r="DR546" s="446"/>
      <c r="DS546" s="446"/>
      <c r="DT546" s="446"/>
      <c r="DU546" s="446"/>
      <c r="DV546" s="446"/>
      <c r="DW546" s="446"/>
    </row>
    <row r="547" spans="96:127" ht="15" customHeight="1" x14ac:dyDescent="0.25">
      <c r="CR547" s="446"/>
      <c r="CS547" s="446"/>
      <c r="CT547" s="446"/>
      <c r="CU547" s="446"/>
      <c r="CV547" s="446"/>
      <c r="CW547" s="752"/>
      <c r="CX547" s="752"/>
      <c r="CY547" s="752"/>
      <c r="CZ547" s="752"/>
      <c r="DA547" s="752"/>
      <c r="DB547" s="446"/>
      <c r="DC547" s="446"/>
      <c r="DD547" s="446"/>
      <c r="DE547" s="446"/>
      <c r="DF547" s="446"/>
      <c r="DG547" s="446"/>
      <c r="DH547" s="446"/>
      <c r="DI547" s="446"/>
      <c r="DJ547" s="446"/>
      <c r="DK547" s="446"/>
      <c r="DL547" s="446"/>
      <c r="DM547" s="446"/>
      <c r="DN547" s="446"/>
      <c r="DO547" s="446"/>
      <c r="DP547" s="446"/>
      <c r="DQ547" s="446"/>
      <c r="DR547" s="446"/>
      <c r="DS547" s="446"/>
      <c r="DT547" s="446"/>
      <c r="DU547" s="446"/>
      <c r="DV547" s="446"/>
      <c r="DW547" s="446"/>
    </row>
    <row r="548" spans="96:127" ht="15" customHeight="1" x14ac:dyDescent="0.25">
      <c r="CR548" s="446"/>
      <c r="CS548" s="446"/>
      <c r="CT548" s="446"/>
      <c r="CU548" s="446"/>
      <c r="CV548" s="446"/>
      <c r="CW548" s="752"/>
      <c r="CX548" s="752"/>
      <c r="CY548" s="752"/>
      <c r="CZ548" s="752"/>
      <c r="DA548" s="752"/>
      <c r="DB548" s="446"/>
      <c r="DC548" s="446"/>
      <c r="DD548" s="446"/>
      <c r="DE548" s="446"/>
      <c r="DF548" s="446"/>
      <c r="DG548" s="446"/>
      <c r="DH548" s="446"/>
      <c r="DI548" s="446"/>
      <c r="DJ548" s="446"/>
      <c r="DK548" s="446"/>
      <c r="DL548" s="446"/>
      <c r="DM548" s="446"/>
      <c r="DN548" s="446"/>
      <c r="DO548" s="446"/>
      <c r="DP548" s="446"/>
      <c r="DQ548" s="446"/>
      <c r="DR548" s="446"/>
      <c r="DS548" s="446"/>
      <c r="DT548" s="446"/>
      <c r="DU548" s="446"/>
      <c r="DV548" s="446"/>
      <c r="DW548" s="446"/>
    </row>
    <row r="549" spans="96:127" ht="15" customHeight="1" x14ac:dyDescent="0.25">
      <c r="CR549" s="446"/>
      <c r="CS549" s="446"/>
      <c r="CT549" s="446"/>
      <c r="CU549" s="446"/>
      <c r="CV549" s="446"/>
      <c r="CW549" s="752"/>
      <c r="CX549" s="752"/>
      <c r="CY549" s="752"/>
      <c r="CZ549" s="752"/>
      <c r="DA549" s="752"/>
      <c r="DB549" s="446"/>
      <c r="DC549" s="446"/>
      <c r="DD549" s="446"/>
      <c r="DE549" s="446"/>
      <c r="DF549" s="446"/>
      <c r="DG549" s="446"/>
      <c r="DH549" s="446"/>
      <c r="DI549" s="446"/>
      <c r="DJ549" s="446"/>
      <c r="DK549" s="446"/>
      <c r="DL549" s="446"/>
      <c r="DM549" s="446"/>
      <c r="DN549" s="446"/>
      <c r="DO549" s="446"/>
      <c r="DP549" s="446"/>
      <c r="DQ549" s="446"/>
      <c r="DR549" s="446"/>
      <c r="DS549" s="446"/>
      <c r="DT549" s="446"/>
      <c r="DU549" s="446"/>
      <c r="DV549" s="446"/>
      <c r="DW549" s="446"/>
    </row>
    <row r="550" spans="96:127" ht="15" customHeight="1" x14ac:dyDescent="0.25">
      <c r="CR550" s="446"/>
      <c r="CS550" s="446"/>
      <c r="CT550" s="446"/>
      <c r="CU550" s="446"/>
      <c r="CV550" s="446"/>
      <c r="CW550" s="752"/>
      <c r="CX550" s="752"/>
      <c r="CY550" s="752"/>
      <c r="CZ550" s="752"/>
      <c r="DA550" s="752"/>
      <c r="DB550" s="446"/>
      <c r="DC550" s="446"/>
      <c r="DD550" s="446"/>
      <c r="DE550" s="446"/>
      <c r="DF550" s="446"/>
      <c r="DG550" s="446"/>
      <c r="DH550" s="446"/>
      <c r="DI550" s="446"/>
      <c r="DJ550" s="446"/>
      <c r="DK550" s="446"/>
      <c r="DL550" s="446"/>
      <c r="DM550" s="446"/>
      <c r="DN550" s="446"/>
      <c r="DO550" s="446"/>
      <c r="DP550" s="446"/>
      <c r="DQ550" s="446"/>
      <c r="DR550" s="446"/>
      <c r="DS550" s="446"/>
      <c r="DT550" s="446"/>
      <c r="DU550" s="446"/>
      <c r="DV550" s="446"/>
      <c r="DW550" s="446"/>
    </row>
    <row r="551" spans="96:127" ht="15" customHeight="1" x14ac:dyDescent="0.25">
      <c r="CR551" s="446"/>
      <c r="CS551" s="446"/>
      <c r="CT551" s="446"/>
      <c r="CU551" s="446"/>
      <c r="CV551" s="446"/>
      <c r="CW551" s="752"/>
      <c r="CX551" s="752"/>
      <c r="CY551" s="752"/>
      <c r="CZ551" s="752"/>
      <c r="DA551" s="752"/>
      <c r="DB551" s="446"/>
      <c r="DC551" s="446"/>
      <c r="DD551" s="446"/>
      <c r="DE551" s="446"/>
      <c r="DF551" s="446"/>
      <c r="DG551" s="446"/>
      <c r="DH551" s="446"/>
      <c r="DI551" s="446"/>
      <c r="DJ551" s="446"/>
      <c r="DK551" s="446"/>
      <c r="DL551" s="446"/>
      <c r="DM551" s="446"/>
      <c r="DN551" s="446"/>
      <c r="DO551" s="446"/>
      <c r="DP551" s="446"/>
      <c r="DQ551" s="446"/>
      <c r="DR551" s="446"/>
      <c r="DS551" s="446"/>
      <c r="DT551" s="446"/>
      <c r="DU551" s="446"/>
      <c r="DV551" s="446"/>
      <c r="DW551" s="446"/>
    </row>
    <row r="552" spans="96:127" ht="15" customHeight="1" x14ac:dyDescent="0.25">
      <c r="CR552" s="446"/>
      <c r="CS552" s="446"/>
      <c r="CT552" s="446"/>
      <c r="CU552" s="446"/>
      <c r="CV552" s="446"/>
      <c r="CW552" s="752"/>
      <c r="CX552" s="752"/>
      <c r="CY552" s="752"/>
      <c r="CZ552" s="752"/>
      <c r="DA552" s="752"/>
      <c r="DB552" s="446"/>
      <c r="DC552" s="446"/>
      <c r="DD552" s="446"/>
      <c r="DE552" s="446"/>
      <c r="DF552" s="446"/>
      <c r="DG552" s="446"/>
      <c r="DH552" s="446"/>
      <c r="DI552" s="446"/>
      <c r="DJ552" s="446"/>
      <c r="DK552" s="446"/>
      <c r="DL552" s="446"/>
      <c r="DM552" s="446"/>
      <c r="DN552" s="446"/>
      <c r="DO552" s="446"/>
      <c r="DP552" s="446"/>
      <c r="DQ552" s="446"/>
      <c r="DR552" s="446"/>
      <c r="DS552" s="446"/>
      <c r="DT552" s="446"/>
      <c r="DU552" s="446"/>
      <c r="DV552" s="446"/>
      <c r="DW552" s="446"/>
    </row>
    <row r="553" spans="96:127" ht="15" customHeight="1" x14ac:dyDescent="0.25">
      <c r="CR553" s="446"/>
      <c r="CS553" s="446"/>
      <c r="CT553" s="446"/>
      <c r="CU553" s="446"/>
      <c r="CV553" s="446"/>
      <c r="CW553" s="752"/>
      <c r="CX553" s="752"/>
      <c r="CY553" s="752"/>
      <c r="CZ553" s="752"/>
      <c r="DA553" s="752"/>
      <c r="DB553" s="446"/>
      <c r="DC553" s="446"/>
      <c r="DD553" s="446"/>
      <c r="DE553" s="446"/>
      <c r="DF553" s="446"/>
      <c r="DG553" s="446"/>
      <c r="DH553" s="446"/>
      <c r="DI553" s="446"/>
      <c r="DJ553" s="446"/>
      <c r="DK553" s="446"/>
      <c r="DL553" s="446"/>
      <c r="DM553" s="446"/>
      <c r="DN553" s="446"/>
      <c r="DO553" s="446"/>
      <c r="DP553" s="446"/>
      <c r="DQ553" s="446"/>
      <c r="DR553" s="446"/>
      <c r="DS553" s="446"/>
      <c r="DT553" s="446"/>
      <c r="DU553" s="446"/>
      <c r="DV553" s="446"/>
      <c r="DW553" s="446"/>
    </row>
    <row r="554" spans="96:127" ht="15" customHeight="1" x14ac:dyDescent="0.25">
      <c r="CR554" s="446"/>
      <c r="CS554" s="446"/>
      <c r="CT554" s="446"/>
      <c r="CU554" s="446"/>
      <c r="CV554" s="446"/>
      <c r="CW554" s="752"/>
      <c r="CX554" s="752"/>
      <c r="CY554" s="752"/>
      <c r="CZ554" s="752"/>
      <c r="DA554" s="752"/>
      <c r="DB554" s="446"/>
      <c r="DC554" s="446"/>
      <c r="DD554" s="446"/>
      <c r="DE554" s="446"/>
      <c r="DF554" s="446"/>
      <c r="DG554" s="446"/>
      <c r="DH554" s="446"/>
      <c r="DI554" s="446"/>
      <c r="DJ554" s="446"/>
      <c r="DK554" s="446"/>
      <c r="DL554" s="446"/>
      <c r="DM554" s="446"/>
      <c r="DN554" s="446"/>
      <c r="DO554" s="446"/>
      <c r="DP554" s="446"/>
      <c r="DQ554" s="446"/>
      <c r="DR554" s="446"/>
      <c r="DS554" s="446"/>
      <c r="DT554" s="446"/>
      <c r="DU554" s="446"/>
      <c r="DV554" s="446"/>
      <c r="DW554" s="446"/>
    </row>
    <row r="555" spans="96:127" ht="15" customHeight="1" x14ac:dyDescent="0.25">
      <c r="CR555" s="446"/>
      <c r="CS555" s="446"/>
      <c r="CT555" s="446"/>
      <c r="CU555" s="446"/>
      <c r="CV555" s="446"/>
      <c r="CW555" s="752"/>
      <c r="CX555" s="752"/>
      <c r="CY555" s="752"/>
      <c r="CZ555" s="752"/>
      <c r="DA555" s="752"/>
      <c r="DB555" s="446"/>
      <c r="DC555" s="446"/>
      <c r="DD555" s="446"/>
      <c r="DE555" s="446"/>
      <c r="DF555" s="446"/>
      <c r="DG555" s="446"/>
      <c r="DH555" s="446"/>
      <c r="DI555" s="446"/>
      <c r="DJ555" s="446"/>
      <c r="DK555" s="446"/>
      <c r="DL555" s="446"/>
      <c r="DM555" s="446"/>
      <c r="DN555" s="446"/>
      <c r="DO555" s="446"/>
      <c r="DP555" s="446"/>
      <c r="DQ555" s="446"/>
      <c r="DR555" s="446"/>
      <c r="DS555" s="446"/>
      <c r="DT555" s="446"/>
      <c r="DU555" s="446"/>
      <c r="DV555" s="446"/>
      <c r="DW555" s="446"/>
    </row>
    <row r="556" spans="96:127" ht="15" customHeight="1" x14ac:dyDescent="0.25">
      <c r="CR556" s="446"/>
      <c r="CS556" s="446"/>
      <c r="CT556" s="446"/>
      <c r="CU556" s="446"/>
      <c r="CV556" s="446"/>
      <c r="CW556" s="752"/>
      <c r="CX556" s="752"/>
      <c r="CY556" s="752"/>
      <c r="CZ556" s="752"/>
      <c r="DA556" s="752"/>
      <c r="DB556" s="446"/>
      <c r="DC556" s="446"/>
      <c r="DD556" s="446"/>
      <c r="DE556" s="446"/>
      <c r="DF556" s="446"/>
      <c r="DG556" s="446"/>
      <c r="DH556" s="446"/>
      <c r="DI556" s="446"/>
      <c r="DJ556" s="446"/>
      <c r="DK556" s="446"/>
      <c r="DL556" s="446"/>
      <c r="DM556" s="446"/>
      <c r="DN556" s="446"/>
      <c r="DO556" s="446"/>
      <c r="DP556" s="446"/>
      <c r="DQ556" s="446"/>
      <c r="DR556" s="446"/>
      <c r="DS556" s="446"/>
      <c r="DT556" s="446"/>
      <c r="DU556" s="446"/>
      <c r="DV556" s="446"/>
      <c r="DW556" s="446"/>
    </row>
    <row r="557" spans="96:127" ht="15" customHeight="1" x14ac:dyDescent="0.25">
      <c r="CR557" s="446"/>
      <c r="CS557" s="446"/>
      <c r="CT557" s="446"/>
      <c r="CU557" s="446"/>
      <c r="CV557" s="446"/>
      <c r="CW557" s="752"/>
      <c r="CX557" s="752"/>
      <c r="CY557" s="752"/>
      <c r="CZ557" s="752"/>
      <c r="DA557" s="752"/>
      <c r="DB557" s="446"/>
      <c r="DC557" s="446"/>
      <c r="DD557" s="446"/>
      <c r="DE557" s="446"/>
      <c r="DF557" s="446"/>
      <c r="DG557" s="446"/>
      <c r="DH557" s="446"/>
      <c r="DI557" s="446"/>
      <c r="DJ557" s="446"/>
      <c r="DK557" s="446"/>
      <c r="DL557" s="446"/>
      <c r="DM557" s="446"/>
      <c r="DN557" s="446"/>
      <c r="DO557" s="446"/>
      <c r="DP557" s="446"/>
      <c r="DQ557" s="446"/>
      <c r="DR557" s="446"/>
      <c r="DS557" s="446"/>
      <c r="DT557" s="446"/>
      <c r="DU557" s="446"/>
      <c r="DV557" s="446"/>
      <c r="DW557" s="446"/>
    </row>
    <row r="558" spans="96:127" ht="15" customHeight="1" x14ac:dyDescent="0.25">
      <c r="CR558" s="446"/>
      <c r="CS558" s="446"/>
      <c r="CT558" s="446"/>
      <c r="CU558" s="446"/>
      <c r="CV558" s="446"/>
      <c r="CW558" s="752"/>
      <c r="CX558" s="752"/>
      <c r="CY558" s="752"/>
      <c r="CZ558" s="752"/>
      <c r="DA558" s="752"/>
      <c r="DB558" s="446"/>
      <c r="DC558" s="446"/>
      <c r="DD558" s="446"/>
      <c r="DE558" s="446"/>
      <c r="DF558" s="446"/>
      <c r="DG558" s="446"/>
      <c r="DH558" s="446"/>
      <c r="DI558" s="446"/>
      <c r="DJ558" s="446"/>
      <c r="DK558" s="446"/>
      <c r="DL558" s="446"/>
      <c r="DM558" s="446"/>
      <c r="DN558" s="446"/>
      <c r="DO558" s="446"/>
      <c r="DP558" s="446"/>
      <c r="DQ558" s="446"/>
      <c r="DR558" s="446"/>
      <c r="DS558" s="446"/>
      <c r="DT558" s="446"/>
      <c r="DU558" s="446"/>
      <c r="DV558" s="446"/>
      <c r="DW558" s="446"/>
    </row>
    <row r="559" spans="96:127" ht="15" customHeight="1" x14ac:dyDescent="0.25">
      <c r="CR559" s="446"/>
      <c r="CS559" s="446"/>
      <c r="CT559" s="446"/>
      <c r="CU559" s="446"/>
      <c r="CV559" s="446"/>
      <c r="CW559" s="752"/>
      <c r="CX559" s="752"/>
      <c r="CY559" s="752"/>
      <c r="CZ559" s="752"/>
      <c r="DA559" s="752"/>
      <c r="DB559" s="446"/>
      <c r="DC559" s="446"/>
      <c r="DD559" s="446"/>
      <c r="DE559" s="446"/>
      <c r="DF559" s="446"/>
      <c r="DG559" s="446"/>
      <c r="DH559" s="446"/>
      <c r="DI559" s="446"/>
      <c r="DJ559" s="446"/>
      <c r="DK559" s="446"/>
      <c r="DL559" s="446"/>
      <c r="DM559" s="446"/>
      <c r="DN559" s="446"/>
      <c r="DO559" s="446"/>
      <c r="DP559" s="446"/>
      <c r="DQ559" s="446"/>
      <c r="DR559" s="446"/>
      <c r="DS559" s="446"/>
      <c r="DT559" s="446"/>
      <c r="DU559" s="446"/>
      <c r="DV559" s="446"/>
      <c r="DW559" s="446"/>
    </row>
    <row r="560" spans="96:127" ht="15" customHeight="1" x14ac:dyDescent="0.25">
      <c r="CR560" s="446"/>
      <c r="CS560" s="446"/>
      <c r="CT560" s="446"/>
      <c r="CU560" s="446"/>
      <c r="CV560" s="446"/>
      <c r="CW560" s="752"/>
      <c r="CX560" s="752"/>
      <c r="CY560" s="752"/>
      <c r="CZ560" s="752"/>
      <c r="DA560" s="752"/>
      <c r="DB560" s="446"/>
      <c r="DC560" s="446"/>
      <c r="DD560" s="446"/>
      <c r="DE560" s="446"/>
      <c r="DF560" s="446"/>
      <c r="DG560" s="446"/>
      <c r="DH560" s="446"/>
      <c r="DI560" s="446"/>
      <c r="DJ560" s="446"/>
      <c r="DK560" s="446"/>
      <c r="DL560" s="446"/>
      <c r="DM560" s="446"/>
      <c r="DN560" s="446"/>
      <c r="DO560" s="446"/>
      <c r="DP560" s="446"/>
      <c r="DQ560" s="446"/>
      <c r="DR560" s="446"/>
      <c r="DS560" s="446"/>
      <c r="DT560" s="446"/>
      <c r="DU560" s="446"/>
      <c r="DV560" s="446"/>
      <c r="DW560" s="446"/>
    </row>
    <row r="561" spans="96:127" ht="15" customHeight="1" x14ac:dyDescent="0.25">
      <c r="CR561" s="446"/>
      <c r="CS561" s="446"/>
      <c r="CT561" s="446"/>
      <c r="CU561" s="446"/>
      <c r="CV561" s="446"/>
      <c r="CW561" s="752"/>
      <c r="CX561" s="752"/>
      <c r="CY561" s="752"/>
      <c r="CZ561" s="752"/>
      <c r="DA561" s="752"/>
      <c r="DB561" s="446"/>
      <c r="DC561" s="446"/>
      <c r="DD561" s="446"/>
      <c r="DE561" s="446"/>
      <c r="DF561" s="446"/>
      <c r="DG561" s="446"/>
      <c r="DH561" s="446"/>
      <c r="DI561" s="446"/>
      <c r="DJ561" s="446"/>
      <c r="DK561" s="446"/>
      <c r="DL561" s="446"/>
      <c r="DM561" s="446"/>
      <c r="DN561" s="446"/>
      <c r="DO561" s="446"/>
      <c r="DP561" s="446"/>
      <c r="DQ561" s="446"/>
      <c r="DR561" s="446"/>
      <c r="DS561" s="446"/>
      <c r="DT561" s="446"/>
      <c r="DU561" s="446"/>
      <c r="DV561" s="446"/>
      <c r="DW561" s="446"/>
    </row>
    <row r="562" spans="96:127" ht="15" customHeight="1" x14ac:dyDescent="0.25">
      <c r="CR562" s="446"/>
      <c r="CS562" s="446"/>
      <c r="CT562" s="446"/>
      <c r="CU562" s="446"/>
      <c r="CV562" s="446"/>
      <c r="CW562" s="752"/>
      <c r="CX562" s="752"/>
      <c r="CY562" s="752"/>
      <c r="CZ562" s="752"/>
      <c r="DA562" s="752"/>
      <c r="DB562" s="446"/>
      <c r="DC562" s="446"/>
      <c r="DD562" s="446"/>
      <c r="DE562" s="446"/>
      <c r="DF562" s="446"/>
      <c r="DG562" s="446"/>
      <c r="DH562" s="446"/>
      <c r="DI562" s="446"/>
      <c r="DJ562" s="446"/>
      <c r="DK562" s="446"/>
      <c r="DL562" s="446"/>
      <c r="DM562" s="446"/>
      <c r="DN562" s="446"/>
      <c r="DO562" s="446"/>
      <c r="DP562" s="446"/>
      <c r="DQ562" s="446"/>
      <c r="DR562" s="446"/>
      <c r="DS562" s="446"/>
      <c r="DT562" s="446"/>
      <c r="DU562" s="446"/>
      <c r="DV562" s="446"/>
      <c r="DW562" s="446"/>
    </row>
    <row r="563" spans="96:127" ht="15" customHeight="1" x14ac:dyDescent="0.25">
      <c r="CR563" s="446"/>
      <c r="CS563" s="446"/>
      <c r="CT563" s="446"/>
      <c r="CU563" s="446"/>
      <c r="CV563" s="446"/>
      <c r="CW563" s="752"/>
      <c r="CX563" s="752"/>
      <c r="CY563" s="752"/>
      <c r="CZ563" s="752"/>
      <c r="DA563" s="752"/>
      <c r="DB563" s="446"/>
      <c r="DC563" s="446"/>
      <c r="DD563" s="446"/>
      <c r="DE563" s="446"/>
      <c r="DF563" s="446"/>
      <c r="DG563" s="446"/>
      <c r="DH563" s="446"/>
      <c r="DI563" s="446"/>
      <c r="DJ563" s="446"/>
      <c r="DK563" s="446"/>
      <c r="DL563" s="446"/>
      <c r="DM563" s="446"/>
      <c r="DN563" s="446"/>
      <c r="DO563" s="446"/>
      <c r="DP563" s="446"/>
      <c r="DQ563" s="446"/>
      <c r="DR563" s="446"/>
      <c r="DS563" s="446"/>
      <c r="DT563" s="446"/>
      <c r="DU563" s="446"/>
      <c r="DV563" s="446"/>
      <c r="DW563" s="446"/>
    </row>
    <row r="564" spans="96:127" ht="15" customHeight="1" x14ac:dyDescent="0.25">
      <c r="CR564" s="446"/>
      <c r="CS564" s="446"/>
      <c r="CT564" s="446"/>
      <c r="CU564" s="446"/>
      <c r="CV564" s="446"/>
      <c r="CW564" s="752"/>
      <c r="CX564" s="752"/>
      <c r="CY564" s="752"/>
      <c r="CZ564" s="752"/>
      <c r="DA564" s="752"/>
      <c r="DB564" s="446"/>
      <c r="DC564" s="446"/>
      <c r="DD564" s="446"/>
      <c r="DE564" s="446"/>
      <c r="DF564" s="446"/>
      <c r="DG564" s="446"/>
      <c r="DH564" s="446"/>
      <c r="DI564" s="446"/>
      <c r="DJ564" s="446"/>
      <c r="DK564" s="446"/>
      <c r="DL564" s="446"/>
      <c r="DM564" s="446"/>
      <c r="DN564" s="446"/>
      <c r="DO564" s="446"/>
      <c r="DP564" s="446"/>
      <c r="DQ564" s="446"/>
      <c r="DR564" s="446"/>
      <c r="DS564" s="446"/>
      <c r="DT564" s="446"/>
      <c r="DU564" s="446"/>
      <c r="DV564" s="446"/>
      <c r="DW564" s="446"/>
    </row>
    <row r="565" spans="96:127" ht="15" customHeight="1" x14ac:dyDescent="0.25">
      <c r="CR565" s="446"/>
      <c r="CS565" s="446"/>
      <c r="CT565" s="446"/>
      <c r="CU565" s="446"/>
      <c r="CV565" s="446"/>
      <c r="CW565" s="752"/>
      <c r="CX565" s="752"/>
      <c r="CY565" s="752"/>
      <c r="CZ565" s="752"/>
      <c r="DA565" s="752"/>
      <c r="DB565" s="446"/>
      <c r="DC565" s="446"/>
      <c r="DD565" s="446"/>
      <c r="DE565" s="446"/>
      <c r="DF565" s="446"/>
      <c r="DG565" s="446"/>
      <c r="DH565" s="446"/>
      <c r="DI565" s="446"/>
      <c r="DJ565" s="446"/>
      <c r="DK565" s="446"/>
      <c r="DL565" s="446"/>
      <c r="DM565" s="446"/>
      <c r="DN565" s="446"/>
      <c r="DO565" s="446"/>
      <c r="DP565" s="446"/>
      <c r="DQ565" s="446"/>
      <c r="DR565" s="446"/>
      <c r="DS565" s="446"/>
      <c r="DT565" s="446"/>
      <c r="DU565" s="446"/>
      <c r="DV565" s="446"/>
      <c r="DW565" s="446"/>
    </row>
    <row r="566" spans="96:127" ht="15" customHeight="1" x14ac:dyDescent="0.25">
      <c r="CR566" s="446"/>
      <c r="CS566" s="446"/>
      <c r="CT566" s="446"/>
      <c r="CU566" s="446"/>
      <c r="CV566" s="446"/>
      <c r="CW566" s="752"/>
      <c r="CX566" s="752"/>
      <c r="CY566" s="752"/>
      <c r="CZ566" s="752"/>
      <c r="DA566" s="752"/>
      <c r="DB566" s="446"/>
      <c r="DC566" s="446"/>
      <c r="DD566" s="446"/>
      <c r="DE566" s="446"/>
      <c r="DF566" s="446"/>
      <c r="DG566" s="446"/>
      <c r="DH566" s="446"/>
      <c r="DI566" s="446"/>
      <c r="DJ566" s="446"/>
      <c r="DK566" s="446"/>
      <c r="DL566" s="446"/>
      <c r="DM566" s="446"/>
      <c r="DN566" s="446"/>
      <c r="DO566" s="446"/>
      <c r="DP566" s="446"/>
      <c r="DQ566" s="446"/>
      <c r="DR566" s="446"/>
      <c r="DS566" s="446"/>
      <c r="DT566" s="446"/>
      <c r="DU566" s="446"/>
      <c r="DV566" s="446"/>
      <c r="DW566" s="446"/>
    </row>
    <row r="567" spans="96:127" ht="15" customHeight="1" x14ac:dyDescent="0.25">
      <c r="CR567" s="446"/>
      <c r="CS567" s="446"/>
      <c r="CT567" s="446"/>
      <c r="CU567" s="446"/>
      <c r="CV567" s="446"/>
      <c r="CW567" s="752"/>
      <c r="CX567" s="752"/>
      <c r="CY567" s="752"/>
      <c r="CZ567" s="752"/>
      <c r="DA567" s="752"/>
      <c r="DB567" s="446"/>
      <c r="DC567" s="446"/>
      <c r="DD567" s="446"/>
      <c r="DE567" s="446"/>
      <c r="DF567" s="446"/>
      <c r="DG567" s="446"/>
      <c r="DH567" s="446"/>
      <c r="DI567" s="446"/>
      <c r="DJ567" s="446"/>
      <c r="DK567" s="446"/>
      <c r="DL567" s="446"/>
      <c r="DM567" s="446"/>
      <c r="DN567" s="446"/>
      <c r="DO567" s="446"/>
      <c r="DP567" s="446"/>
      <c r="DQ567" s="446"/>
      <c r="DR567" s="446"/>
      <c r="DS567" s="446"/>
      <c r="DT567" s="446"/>
      <c r="DU567" s="446"/>
      <c r="DV567" s="446"/>
      <c r="DW567" s="446"/>
    </row>
    <row r="568" spans="96:127" ht="15" customHeight="1" x14ac:dyDescent="0.25">
      <c r="CR568" s="446"/>
      <c r="CS568" s="446"/>
      <c r="CT568" s="446"/>
      <c r="CU568" s="446"/>
      <c r="CV568" s="446"/>
      <c r="CW568" s="752"/>
      <c r="CX568" s="752"/>
      <c r="CY568" s="752"/>
      <c r="CZ568" s="752"/>
      <c r="DA568" s="752"/>
      <c r="DB568" s="446"/>
      <c r="DC568" s="446"/>
      <c r="DD568" s="446"/>
      <c r="DE568" s="446"/>
      <c r="DF568" s="446"/>
      <c r="DG568" s="446"/>
      <c r="DH568" s="446"/>
      <c r="DI568" s="446"/>
      <c r="DJ568" s="446"/>
      <c r="DK568" s="446"/>
      <c r="DL568" s="446"/>
      <c r="DM568" s="446"/>
      <c r="DN568" s="446"/>
      <c r="DO568" s="446"/>
      <c r="DP568" s="446"/>
      <c r="DQ568" s="446"/>
      <c r="DR568" s="446"/>
      <c r="DS568" s="446"/>
      <c r="DT568" s="446"/>
      <c r="DU568" s="446"/>
      <c r="DV568" s="446"/>
      <c r="DW568" s="446"/>
    </row>
    <row r="569" spans="96:127" ht="15" customHeight="1" x14ac:dyDescent="0.25">
      <c r="CR569" s="446"/>
      <c r="CS569" s="446"/>
      <c r="CT569" s="446"/>
      <c r="CU569" s="446"/>
      <c r="CV569" s="446"/>
      <c r="CW569" s="752"/>
      <c r="CX569" s="752"/>
      <c r="CY569" s="752"/>
      <c r="CZ569" s="752"/>
      <c r="DA569" s="752"/>
      <c r="DB569" s="446"/>
      <c r="DC569" s="446"/>
      <c r="DD569" s="446"/>
      <c r="DE569" s="446"/>
      <c r="DF569" s="446"/>
      <c r="DG569" s="446"/>
      <c r="DH569" s="446"/>
      <c r="DI569" s="446"/>
      <c r="DJ569" s="446"/>
      <c r="DK569" s="446"/>
      <c r="DL569" s="446"/>
      <c r="DM569" s="446"/>
      <c r="DN569" s="446"/>
      <c r="DO569" s="446"/>
      <c r="DP569" s="446"/>
      <c r="DQ569" s="446"/>
      <c r="DR569" s="446"/>
      <c r="DS569" s="446"/>
      <c r="DT569" s="446"/>
      <c r="DU569" s="446"/>
      <c r="DV569" s="446"/>
      <c r="DW569" s="446"/>
    </row>
    <row r="570" spans="96:127" ht="15" customHeight="1" x14ac:dyDescent="0.25">
      <c r="CR570" s="446"/>
      <c r="CS570" s="446"/>
      <c r="CT570" s="446"/>
      <c r="CU570" s="446"/>
      <c r="CV570" s="446"/>
      <c r="CW570" s="752"/>
      <c r="CX570" s="752"/>
      <c r="CY570" s="752"/>
      <c r="CZ570" s="752"/>
      <c r="DA570" s="752"/>
      <c r="DB570" s="446"/>
      <c r="DC570" s="446"/>
      <c r="DD570" s="446"/>
      <c r="DE570" s="446"/>
      <c r="DF570" s="446"/>
      <c r="DG570" s="446"/>
      <c r="DH570" s="446"/>
      <c r="DI570" s="446"/>
      <c r="DJ570" s="446"/>
      <c r="DK570" s="446"/>
      <c r="DL570" s="446"/>
      <c r="DM570" s="446"/>
      <c r="DN570" s="446"/>
      <c r="DO570" s="446"/>
      <c r="DP570" s="446"/>
      <c r="DQ570" s="446"/>
      <c r="DR570" s="446"/>
      <c r="DS570" s="446"/>
      <c r="DT570" s="446"/>
      <c r="DU570" s="446"/>
      <c r="DV570" s="446"/>
      <c r="DW570" s="446"/>
    </row>
    <row r="571" spans="96:127" ht="15" customHeight="1" x14ac:dyDescent="0.25">
      <c r="CR571" s="446"/>
      <c r="CS571" s="446"/>
      <c r="CT571" s="446"/>
      <c r="CU571" s="446"/>
      <c r="CV571" s="446"/>
      <c r="CW571" s="752"/>
      <c r="CX571" s="752"/>
      <c r="CY571" s="752"/>
      <c r="CZ571" s="752"/>
      <c r="DA571" s="752"/>
      <c r="DB571" s="446"/>
      <c r="DC571" s="446"/>
      <c r="DD571" s="446"/>
      <c r="DE571" s="446"/>
      <c r="DF571" s="446"/>
      <c r="DG571" s="446"/>
      <c r="DH571" s="446"/>
      <c r="DI571" s="446"/>
      <c r="DJ571" s="446"/>
      <c r="DK571" s="446"/>
      <c r="DL571" s="446"/>
      <c r="DM571" s="446"/>
      <c r="DN571" s="446"/>
      <c r="DO571" s="446"/>
      <c r="DP571" s="446"/>
      <c r="DQ571" s="446"/>
      <c r="DR571" s="446"/>
      <c r="DS571" s="446"/>
      <c r="DT571" s="446"/>
      <c r="DU571" s="446"/>
      <c r="DV571" s="446"/>
      <c r="DW571" s="446"/>
    </row>
    <row r="572" spans="96:127" ht="15" customHeight="1" x14ac:dyDescent="0.25">
      <c r="CR572" s="446"/>
      <c r="CS572" s="446"/>
      <c r="CT572" s="446"/>
      <c r="CU572" s="446"/>
      <c r="CV572" s="446"/>
      <c r="CW572" s="752"/>
      <c r="CX572" s="752"/>
      <c r="CY572" s="752"/>
      <c r="CZ572" s="752"/>
      <c r="DA572" s="752"/>
      <c r="DB572" s="446"/>
      <c r="DC572" s="446"/>
      <c r="DD572" s="446"/>
      <c r="DE572" s="446"/>
      <c r="DF572" s="446"/>
      <c r="DG572" s="446"/>
      <c r="DH572" s="446"/>
      <c r="DI572" s="446"/>
      <c r="DJ572" s="446"/>
      <c r="DK572" s="446"/>
      <c r="DL572" s="446"/>
      <c r="DM572" s="446"/>
      <c r="DN572" s="446"/>
      <c r="DO572" s="446"/>
      <c r="DP572" s="446"/>
      <c r="DQ572" s="446"/>
      <c r="DR572" s="446"/>
      <c r="DS572" s="446"/>
      <c r="DT572" s="446"/>
      <c r="DU572" s="446"/>
      <c r="DV572" s="446"/>
      <c r="DW572" s="446"/>
    </row>
    <row r="573" spans="96:127" ht="15" customHeight="1" x14ac:dyDescent="0.25">
      <c r="CR573" s="446"/>
      <c r="CS573" s="446"/>
      <c r="CT573" s="446"/>
      <c r="CU573" s="446"/>
      <c r="CV573" s="446"/>
      <c r="CW573" s="752"/>
      <c r="CX573" s="752"/>
      <c r="CY573" s="752"/>
      <c r="CZ573" s="752"/>
      <c r="DA573" s="752"/>
      <c r="DB573" s="446"/>
      <c r="DC573" s="446"/>
      <c r="DD573" s="446"/>
      <c r="DE573" s="446"/>
      <c r="DF573" s="446"/>
      <c r="DG573" s="446"/>
      <c r="DH573" s="446"/>
      <c r="DI573" s="446"/>
      <c r="DJ573" s="446"/>
      <c r="DK573" s="446"/>
      <c r="DL573" s="446"/>
      <c r="DM573" s="446"/>
      <c r="DN573" s="446"/>
      <c r="DO573" s="446"/>
      <c r="DP573" s="446"/>
      <c r="DQ573" s="446"/>
      <c r="DR573" s="446"/>
      <c r="DS573" s="446"/>
      <c r="DT573" s="446"/>
      <c r="DU573" s="446"/>
      <c r="DV573" s="446"/>
      <c r="DW573" s="446"/>
    </row>
    <row r="574" spans="96:127" ht="15" customHeight="1" x14ac:dyDescent="0.25">
      <c r="CR574" s="446"/>
      <c r="CS574" s="446"/>
      <c r="CT574" s="446"/>
      <c r="CU574" s="446"/>
      <c r="CV574" s="446"/>
      <c r="CW574" s="752"/>
      <c r="CX574" s="752"/>
      <c r="CY574" s="752"/>
      <c r="CZ574" s="752"/>
      <c r="DA574" s="752"/>
      <c r="DB574" s="446"/>
      <c r="DC574" s="446"/>
      <c r="DD574" s="446"/>
      <c r="DE574" s="446"/>
      <c r="DF574" s="446"/>
      <c r="DG574" s="446"/>
      <c r="DH574" s="446"/>
      <c r="DI574" s="446"/>
      <c r="DJ574" s="446"/>
      <c r="DK574" s="446"/>
      <c r="DL574" s="446"/>
      <c r="DM574" s="446"/>
      <c r="DN574" s="446"/>
      <c r="DO574" s="446"/>
      <c r="DP574" s="446"/>
      <c r="DQ574" s="446"/>
      <c r="DR574" s="446"/>
      <c r="DS574" s="446"/>
      <c r="DT574" s="446"/>
      <c r="DU574" s="446"/>
      <c r="DV574" s="446"/>
      <c r="DW574" s="446"/>
    </row>
    <row r="575" spans="96:127" ht="15" customHeight="1" x14ac:dyDescent="0.25">
      <c r="CR575" s="446"/>
      <c r="CS575" s="446"/>
      <c r="CT575" s="446"/>
      <c r="CU575" s="446"/>
      <c r="CV575" s="446"/>
      <c r="CW575" s="752"/>
      <c r="CX575" s="752"/>
      <c r="CY575" s="752"/>
      <c r="CZ575" s="752"/>
      <c r="DA575" s="752"/>
      <c r="DB575" s="446"/>
      <c r="DC575" s="446"/>
      <c r="DD575" s="446"/>
      <c r="DE575" s="446"/>
      <c r="DF575" s="446"/>
      <c r="DG575" s="446"/>
      <c r="DH575" s="446"/>
      <c r="DI575" s="446"/>
      <c r="DJ575" s="446"/>
      <c r="DK575" s="446"/>
      <c r="DL575" s="446"/>
      <c r="DM575" s="446"/>
      <c r="DN575" s="446"/>
      <c r="DO575" s="446"/>
      <c r="DP575" s="446"/>
      <c r="DQ575" s="446"/>
      <c r="DR575" s="446"/>
      <c r="DS575" s="446"/>
      <c r="DT575" s="446"/>
      <c r="DU575" s="446"/>
      <c r="DV575" s="446"/>
      <c r="DW575" s="446"/>
    </row>
    <row r="576" spans="96:127" ht="15" customHeight="1" x14ac:dyDescent="0.25">
      <c r="CR576" s="446"/>
      <c r="CS576" s="446"/>
      <c r="CT576" s="446"/>
      <c r="CU576" s="446"/>
      <c r="CV576" s="446"/>
      <c r="CW576" s="752"/>
      <c r="CX576" s="752"/>
      <c r="CY576" s="752"/>
      <c r="CZ576" s="752"/>
      <c r="DA576" s="752"/>
      <c r="DB576" s="446"/>
      <c r="DC576" s="446"/>
      <c r="DD576" s="446"/>
      <c r="DE576" s="446"/>
      <c r="DF576" s="446"/>
      <c r="DG576" s="446"/>
      <c r="DH576" s="446"/>
      <c r="DI576" s="446"/>
      <c r="DJ576" s="446"/>
      <c r="DK576" s="446"/>
      <c r="DL576" s="446"/>
      <c r="DM576" s="446"/>
      <c r="DN576" s="446"/>
      <c r="DO576" s="446"/>
      <c r="DP576" s="446"/>
      <c r="DQ576" s="446"/>
      <c r="DR576" s="446"/>
      <c r="DS576" s="446"/>
      <c r="DT576" s="446"/>
      <c r="DU576" s="446"/>
      <c r="DV576" s="446"/>
      <c r="DW576" s="446"/>
    </row>
    <row r="577" spans="96:127" ht="15" customHeight="1" x14ac:dyDescent="0.25">
      <c r="CR577" s="446"/>
      <c r="CS577" s="446"/>
      <c r="CT577" s="446"/>
      <c r="CU577" s="446"/>
      <c r="CV577" s="446"/>
      <c r="CW577" s="752"/>
      <c r="CX577" s="752"/>
      <c r="CY577" s="752"/>
      <c r="CZ577" s="752"/>
      <c r="DA577" s="752"/>
      <c r="DB577" s="446"/>
      <c r="DC577" s="446"/>
      <c r="DD577" s="446"/>
      <c r="DE577" s="446"/>
      <c r="DF577" s="446"/>
      <c r="DG577" s="446"/>
      <c r="DH577" s="446"/>
      <c r="DI577" s="446"/>
      <c r="DJ577" s="446"/>
      <c r="DK577" s="446"/>
      <c r="DL577" s="446"/>
      <c r="DM577" s="446"/>
      <c r="DN577" s="446"/>
      <c r="DO577" s="446"/>
      <c r="DP577" s="446"/>
      <c r="DQ577" s="446"/>
      <c r="DR577" s="446"/>
      <c r="DS577" s="446"/>
      <c r="DT577" s="446"/>
      <c r="DU577" s="446"/>
      <c r="DV577" s="446"/>
      <c r="DW577" s="446"/>
    </row>
    <row r="578" spans="96:127" ht="15" customHeight="1" x14ac:dyDescent="0.25">
      <c r="CR578" s="446"/>
      <c r="CS578" s="446"/>
      <c r="CT578" s="446"/>
      <c r="CU578" s="446"/>
      <c r="CV578" s="446"/>
      <c r="CW578" s="752"/>
      <c r="CX578" s="752"/>
      <c r="CY578" s="752"/>
      <c r="CZ578" s="752"/>
      <c r="DA578" s="752"/>
      <c r="DB578" s="446"/>
      <c r="DC578" s="446"/>
      <c r="DD578" s="446"/>
      <c r="DE578" s="446"/>
      <c r="DF578" s="446"/>
      <c r="DG578" s="446"/>
      <c r="DH578" s="446"/>
      <c r="DI578" s="446"/>
      <c r="DJ578" s="446"/>
      <c r="DK578" s="446"/>
      <c r="DL578" s="446"/>
      <c r="DM578" s="446"/>
      <c r="DN578" s="446"/>
      <c r="DO578" s="446"/>
      <c r="DP578" s="446"/>
      <c r="DQ578" s="446"/>
      <c r="DR578" s="446"/>
      <c r="DS578" s="446"/>
      <c r="DT578" s="446"/>
      <c r="DU578" s="446"/>
      <c r="DV578" s="446"/>
      <c r="DW578" s="446"/>
    </row>
    <row r="579" spans="96:127" ht="15" customHeight="1" x14ac:dyDescent="0.25">
      <c r="CR579" s="446"/>
      <c r="CS579" s="446"/>
      <c r="CT579" s="446"/>
      <c r="CU579" s="446"/>
      <c r="CV579" s="446"/>
      <c r="CW579" s="752"/>
      <c r="CX579" s="752"/>
      <c r="CY579" s="752"/>
      <c r="CZ579" s="752"/>
      <c r="DA579" s="752"/>
      <c r="DB579" s="446"/>
      <c r="DC579" s="446"/>
      <c r="DD579" s="446"/>
      <c r="DE579" s="446"/>
      <c r="DF579" s="446"/>
      <c r="DG579" s="446"/>
      <c r="DH579" s="446"/>
      <c r="DI579" s="446"/>
      <c r="DJ579" s="446"/>
      <c r="DK579" s="446"/>
      <c r="DL579" s="446"/>
      <c r="DM579" s="446"/>
      <c r="DN579" s="446"/>
      <c r="DO579" s="446"/>
      <c r="DP579" s="446"/>
      <c r="DQ579" s="446"/>
      <c r="DR579" s="446"/>
      <c r="DS579" s="446"/>
      <c r="DT579" s="446"/>
      <c r="DU579" s="446"/>
      <c r="DV579" s="446"/>
      <c r="DW579" s="446"/>
    </row>
    <row r="580" spans="96:127" ht="15" customHeight="1" x14ac:dyDescent="0.25">
      <c r="CR580" s="446"/>
      <c r="CS580" s="446"/>
      <c r="CT580" s="446"/>
      <c r="CU580" s="446"/>
      <c r="CV580" s="446"/>
      <c r="CW580" s="752"/>
      <c r="CX580" s="752"/>
      <c r="CY580" s="752"/>
      <c r="CZ580" s="752"/>
      <c r="DA580" s="752"/>
      <c r="DB580" s="446"/>
      <c r="DC580" s="446"/>
      <c r="DD580" s="446"/>
      <c r="DE580" s="446"/>
      <c r="DF580" s="446"/>
      <c r="DG580" s="446"/>
      <c r="DH580" s="446"/>
      <c r="DI580" s="446"/>
      <c r="DJ580" s="446"/>
      <c r="DK580" s="446"/>
      <c r="DL580" s="446"/>
      <c r="DM580" s="446"/>
      <c r="DN580" s="446"/>
      <c r="DO580" s="446"/>
      <c r="DP580" s="446"/>
      <c r="DQ580" s="446"/>
      <c r="DR580" s="446"/>
      <c r="DS580" s="446"/>
      <c r="DT580" s="446"/>
      <c r="DU580" s="446"/>
      <c r="DV580" s="446"/>
      <c r="DW580" s="446"/>
    </row>
    <row r="581" spans="96:127" ht="15" customHeight="1" x14ac:dyDescent="0.25">
      <c r="CR581" s="446"/>
      <c r="CS581" s="446"/>
      <c r="CT581" s="446"/>
      <c r="CU581" s="446"/>
      <c r="CV581" s="446"/>
      <c r="CW581" s="752"/>
      <c r="CX581" s="752"/>
      <c r="CY581" s="752"/>
      <c r="CZ581" s="752"/>
      <c r="DA581" s="752"/>
      <c r="DB581" s="446"/>
      <c r="DC581" s="446"/>
      <c r="DD581" s="446"/>
      <c r="DE581" s="446"/>
      <c r="DF581" s="446"/>
      <c r="DG581" s="446"/>
      <c r="DH581" s="446"/>
      <c r="DI581" s="446"/>
      <c r="DJ581" s="446"/>
      <c r="DK581" s="446"/>
      <c r="DL581" s="446"/>
      <c r="DM581" s="446"/>
      <c r="DN581" s="446"/>
      <c r="DO581" s="446"/>
      <c r="DP581" s="446"/>
      <c r="DQ581" s="446"/>
      <c r="DR581" s="446"/>
      <c r="DS581" s="446"/>
      <c r="DT581" s="446"/>
      <c r="DU581" s="446"/>
      <c r="DV581" s="446"/>
      <c r="DW581" s="446"/>
    </row>
    <row r="582" spans="96:127" ht="15" customHeight="1" x14ac:dyDescent="0.25">
      <c r="CR582" s="446"/>
      <c r="CS582" s="446"/>
      <c r="CT582" s="446"/>
      <c r="CU582" s="446"/>
      <c r="CV582" s="446"/>
      <c r="CW582" s="752"/>
      <c r="CX582" s="752"/>
      <c r="CY582" s="752"/>
      <c r="CZ582" s="752"/>
      <c r="DA582" s="752"/>
      <c r="DB582" s="446"/>
      <c r="DC582" s="446"/>
      <c r="DD582" s="446"/>
      <c r="DE582" s="446"/>
      <c r="DF582" s="446"/>
      <c r="DG582" s="446"/>
      <c r="DH582" s="446"/>
      <c r="DI582" s="446"/>
      <c r="DJ582" s="446"/>
      <c r="DK582" s="446"/>
      <c r="DL582" s="446"/>
      <c r="DM582" s="446"/>
      <c r="DN582" s="446"/>
      <c r="DO582" s="446"/>
      <c r="DP582" s="446"/>
      <c r="DQ582" s="446"/>
      <c r="DR582" s="446"/>
      <c r="DS582" s="446"/>
      <c r="DT582" s="446"/>
      <c r="DU582" s="446"/>
      <c r="DV582" s="446"/>
      <c r="DW582" s="446"/>
    </row>
    <row r="583" spans="96:127" ht="15" customHeight="1" x14ac:dyDescent="0.25">
      <c r="CR583" s="446"/>
      <c r="CS583" s="446"/>
      <c r="CT583" s="446"/>
      <c r="CU583" s="446"/>
      <c r="CV583" s="446"/>
      <c r="CW583" s="752"/>
      <c r="CX583" s="752"/>
      <c r="CY583" s="752"/>
      <c r="CZ583" s="752"/>
      <c r="DA583" s="752"/>
      <c r="DB583" s="446"/>
      <c r="DC583" s="446"/>
      <c r="DD583" s="446"/>
      <c r="DE583" s="446"/>
      <c r="DF583" s="446"/>
      <c r="DG583" s="446"/>
      <c r="DH583" s="446"/>
      <c r="DI583" s="446"/>
      <c r="DJ583" s="446"/>
      <c r="DK583" s="446"/>
      <c r="DL583" s="446"/>
      <c r="DM583" s="446"/>
      <c r="DN583" s="446"/>
      <c r="DO583" s="446"/>
      <c r="DP583" s="446"/>
      <c r="DQ583" s="446"/>
      <c r="DR583" s="446"/>
      <c r="DS583" s="446"/>
      <c r="DT583" s="446"/>
      <c r="DU583" s="446"/>
      <c r="DV583" s="446"/>
      <c r="DW583" s="446"/>
    </row>
    <row r="584" spans="96:127" ht="15" customHeight="1" x14ac:dyDescent="0.25">
      <c r="CR584" s="446"/>
      <c r="CS584" s="446"/>
      <c r="CT584" s="446"/>
      <c r="CU584" s="446"/>
      <c r="CV584" s="446"/>
      <c r="CW584" s="752"/>
      <c r="CX584" s="752"/>
      <c r="CY584" s="752"/>
      <c r="CZ584" s="752"/>
      <c r="DA584" s="752"/>
      <c r="DB584" s="446"/>
      <c r="DC584" s="446"/>
      <c r="DD584" s="446"/>
      <c r="DE584" s="446"/>
      <c r="DF584" s="446"/>
      <c r="DG584" s="446"/>
      <c r="DH584" s="446"/>
      <c r="DI584" s="446"/>
      <c r="DJ584" s="446"/>
      <c r="DK584" s="446"/>
      <c r="DL584" s="446"/>
      <c r="DM584" s="446"/>
      <c r="DN584" s="446"/>
      <c r="DO584" s="446"/>
      <c r="DP584" s="446"/>
      <c r="DQ584" s="446"/>
      <c r="DR584" s="446"/>
      <c r="DS584" s="446"/>
      <c r="DT584" s="446"/>
      <c r="DU584" s="446"/>
      <c r="DV584" s="446"/>
      <c r="DW584" s="446"/>
    </row>
    <row r="585" spans="96:127" ht="15" customHeight="1" x14ac:dyDescent="0.25">
      <c r="CR585" s="446"/>
      <c r="CS585" s="446"/>
      <c r="CT585" s="446"/>
      <c r="CU585" s="446"/>
      <c r="CV585" s="446"/>
      <c r="CW585" s="752"/>
      <c r="CX585" s="752"/>
      <c r="CY585" s="752"/>
      <c r="CZ585" s="752"/>
      <c r="DA585" s="752"/>
      <c r="DB585" s="446"/>
      <c r="DC585" s="446"/>
      <c r="DD585" s="446"/>
      <c r="DE585" s="446"/>
      <c r="DF585" s="446"/>
      <c r="DG585" s="446"/>
      <c r="DH585" s="446"/>
      <c r="DI585" s="446"/>
      <c r="DJ585" s="446"/>
      <c r="DK585" s="446"/>
      <c r="DL585" s="446"/>
      <c r="DM585" s="446"/>
      <c r="DN585" s="446"/>
      <c r="DO585" s="446"/>
      <c r="DP585" s="446"/>
      <c r="DQ585" s="446"/>
      <c r="DR585" s="446"/>
      <c r="DS585" s="446"/>
      <c r="DT585" s="446"/>
      <c r="DU585" s="446"/>
      <c r="DV585" s="446"/>
      <c r="DW585" s="446"/>
    </row>
    <row r="586" spans="96:127" ht="15" customHeight="1" x14ac:dyDescent="0.25">
      <c r="CR586" s="446"/>
      <c r="CS586" s="446"/>
      <c r="CT586" s="446"/>
      <c r="CU586" s="446"/>
      <c r="CV586" s="446"/>
      <c r="CW586" s="752"/>
      <c r="CX586" s="752"/>
      <c r="CY586" s="752"/>
      <c r="CZ586" s="752"/>
      <c r="DA586" s="752"/>
      <c r="DB586" s="446"/>
      <c r="DC586" s="446"/>
      <c r="DD586" s="446"/>
      <c r="DE586" s="446"/>
      <c r="DF586" s="446"/>
      <c r="DG586" s="446"/>
      <c r="DH586" s="446"/>
      <c r="DI586" s="446"/>
      <c r="DJ586" s="446"/>
      <c r="DK586" s="446"/>
      <c r="DL586" s="446"/>
      <c r="DM586" s="446"/>
      <c r="DN586" s="446"/>
      <c r="DO586" s="446"/>
      <c r="DP586" s="446"/>
      <c r="DQ586" s="446"/>
      <c r="DR586" s="446"/>
      <c r="DS586" s="446"/>
      <c r="DT586" s="446"/>
      <c r="DU586" s="446"/>
      <c r="DV586" s="446"/>
      <c r="DW586" s="446"/>
    </row>
    <row r="587" spans="96:127" ht="15" customHeight="1" x14ac:dyDescent="0.25">
      <c r="CR587" s="446"/>
      <c r="CS587" s="446"/>
      <c r="CT587" s="446"/>
      <c r="CU587" s="446"/>
      <c r="CV587" s="446"/>
      <c r="CW587" s="752"/>
      <c r="CX587" s="752"/>
      <c r="CY587" s="752"/>
      <c r="CZ587" s="752"/>
      <c r="DA587" s="752"/>
      <c r="DB587" s="446"/>
      <c r="DC587" s="446"/>
      <c r="DD587" s="446"/>
      <c r="DE587" s="446"/>
      <c r="DF587" s="446"/>
      <c r="DG587" s="446"/>
      <c r="DH587" s="446"/>
      <c r="DI587" s="446"/>
      <c r="DJ587" s="446"/>
      <c r="DK587" s="446"/>
      <c r="DL587" s="446"/>
      <c r="DM587" s="446"/>
      <c r="DN587" s="446"/>
      <c r="DO587" s="446"/>
      <c r="DP587" s="446"/>
      <c r="DQ587" s="446"/>
      <c r="DR587" s="446"/>
      <c r="DS587" s="446"/>
      <c r="DT587" s="446"/>
      <c r="DU587" s="446"/>
      <c r="DV587" s="446"/>
      <c r="DW587" s="446"/>
    </row>
    <row r="588" spans="96:127" ht="15" customHeight="1" x14ac:dyDescent="0.25">
      <c r="CR588" s="446"/>
      <c r="CS588" s="446"/>
      <c r="CT588" s="446"/>
      <c r="CU588" s="446"/>
      <c r="CV588" s="446"/>
      <c r="CW588" s="752"/>
      <c r="CX588" s="752"/>
      <c r="CY588" s="752"/>
      <c r="CZ588" s="752"/>
      <c r="DA588" s="752"/>
      <c r="DB588" s="446"/>
      <c r="DC588" s="446"/>
      <c r="DD588" s="446"/>
      <c r="DE588" s="446"/>
      <c r="DF588" s="446"/>
      <c r="DG588" s="446"/>
      <c r="DH588" s="446"/>
      <c r="DI588" s="446"/>
      <c r="DJ588" s="446"/>
      <c r="DK588" s="446"/>
      <c r="DL588" s="446"/>
      <c r="DM588" s="446"/>
      <c r="DN588" s="446"/>
      <c r="DO588" s="446"/>
      <c r="DP588" s="446"/>
      <c r="DQ588" s="446"/>
      <c r="DR588" s="446"/>
      <c r="DS588" s="446"/>
      <c r="DT588" s="446"/>
      <c r="DU588" s="446"/>
      <c r="DV588" s="446"/>
      <c r="DW588" s="446"/>
    </row>
    <row r="589" spans="96:127" ht="15" customHeight="1" x14ac:dyDescent="0.25">
      <c r="CR589" s="446"/>
      <c r="CS589" s="446"/>
      <c r="CT589" s="446"/>
      <c r="CU589" s="446"/>
      <c r="CV589" s="446"/>
      <c r="CW589" s="752"/>
      <c r="CX589" s="752"/>
      <c r="CY589" s="752"/>
      <c r="CZ589" s="752"/>
      <c r="DA589" s="752"/>
      <c r="DB589" s="446"/>
      <c r="DC589" s="446"/>
      <c r="DD589" s="446"/>
      <c r="DE589" s="446"/>
      <c r="DF589" s="446"/>
      <c r="DG589" s="446"/>
      <c r="DH589" s="446"/>
      <c r="DI589" s="446"/>
      <c r="DJ589" s="446"/>
      <c r="DK589" s="446"/>
      <c r="DL589" s="446"/>
      <c r="DM589" s="446"/>
      <c r="DN589" s="446"/>
      <c r="DO589" s="446"/>
      <c r="DP589" s="446"/>
      <c r="DQ589" s="446"/>
      <c r="DR589" s="446"/>
      <c r="DS589" s="446"/>
      <c r="DT589" s="446"/>
      <c r="DU589" s="446"/>
      <c r="DV589" s="446"/>
      <c r="DW589" s="446"/>
    </row>
    <row r="590" spans="96:127" ht="15" customHeight="1" x14ac:dyDescent="0.25">
      <c r="CR590" s="446"/>
      <c r="CS590" s="446"/>
      <c r="CT590" s="446"/>
      <c r="CU590" s="446"/>
      <c r="CV590" s="446"/>
      <c r="CW590" s="752"/>
      <c r="CX590" s="752"/>
      <c r="CY590" s="752"/>
      <c r="CZ590" s="752"/>
      <c r="DA590" s="752"/>
      <c r="DB590" s="446"/>
      <c r="DC590" s="446"/>
      <c r="DD590" s="446"/>
      <c r="DE590" s="446"/>
      <c r="DF590" s="446"/>
      <c r="DG590" s="446"/>
      <c r="DH590" s="446"/>
      <c r="DI590" s="446"/>
      <c r="DJ590" s="446"/>
      <c r="DK590" s="446"/>
      <c r="DL590" s="446"/>
      <c r="DM590" s="446"/>
      <c r="DN590" s="446"/>
      <c r="DO590" s="446"/>
      <c r="DP590" s="446"/>
      <c r="DQ590" s="446"/>
      <c r="DR590" s="446"/>
      <c r="DS590" s="446"/>
      <c r="DT590" s="446"/>
      <c r="DU590" s="446"/>
      <c r="DV590" s="446"/>
      <c r="DW590" s="446"/>
    </row>
    <row r="591" spans="96:127" ht="15" customHeight="1" x14ac:dyDescent="0.25">
      <c r="CR591" s="446"/>
      <c r="CS591" s="446"/>
      <c r="CT591" s="446"/>
      <c r="CU591" s="446"/>
      <c r="CV591" s="446"/>
      <c r="CW591" s="752"/>
      <c r="CX591" s="752"/>
      <c r="CY591" s="752"/>
      <c r="CZ591" s="752"/>
      <c r="DA591" s="752"/>
      <c r="DB591" s="446"/>
      <c r="DC591" s="446"/>
      <c r="DD591" s="446"/>
      <c r="DE591" s="446"/>
      <c r="DF591" s="446"/>
      <c r="DG591" s="446"/>
      <c r="DH591" s="446"/>
      <c r="DI591" s="446"/>
      <c r="DJ591" s="446"/>
      <c r="DK591" s="446"/>
      <c r="DL591" s="446"/>
      <c r="DM591" s="446"/>
      <c r="DN591" s="446"/>
      <c r="DO591" s="446"/>
      <c r="DP591" s="446"/>
      <c r="DQ591" s="446"/>
      <c r="DR591" s="446"/>
      <c r="DS591" s="446"/>
      <c r="DT591" s="446"/>
      <c r="DU591" s="446"/>
      <c r="DV591" s="446"/>
      <c r="DW591" s="446"/>
    </row>
    <row r="592" spans="96:127" ht="15" customHeight="1" x14ac:dyDescent="0.25">
      <c r="CR592" s="446"/>
      <c r="CS592" s="446"/>
      <c r="CT592" s="446"/>
      <c r="CU592" s="446"/>
      <c r="CV592" s="446"/>
      <c r="CW592" s="752"/>
      <c r="CX592" s="752"/>
      <c r="CY592" s="752"/>
      <c r="CZ592" s="752"/>
      <c r="DA592" s="752"/>
      <c r="DB592" s="446"/>
      <c r="DC592" s="446"/>
      <c r="DD592" s="446"/>
      <c r="DE592" s="446"/>
      <c r="DF592" s="446"/>
      <c r="DG592" s="446"/>
      <c r="DH592" s="446"/>
      <c r="DI592" s="446"/>
      <c r="DJ592" s="446"/>
      <c r="DK592" s="446"/>
      <c r="DL592" s="446"/>
      <c r="DM592" s="446"/>
      <c r="DN592" s="446"/>
      <c r="DO592" s="446"/>
      <c r="DP592" s="446"/>
      <c r="DQ592" s="446"/>
      <c r="DR592" s="446"/>
      <c r="DS592" s="446"/>
      <c r="DT592" s="446"/>
      <c r="DU592" s="446"/>
      <c r="DV592" s="446"/>
      <c r="DW592" s="446"/>
    </row>
    <row r="593" spans="96:127" ht="15" customHeight="1" x14ac:dyDescent="0.25">
      <c r="CR593" s="446"/>
      <c r="CS593" s="446"/>
      <c r="CT593" s="446"/>
      <c r="CU593" s="446"/>
      <c r="CV593" s="446"/>
      <c r="CW593" s="752"/>
      <c r="CX593" s="752"/>
      <c r="CY593" s="752"/>
      <c r="CZ593" s="752"/>
      <c r="DA593" s="752"/>
      <c r="DB593" s="446"/>
      <c r="DC593" s="446"/>
      <c r="DD593" s="446"/>
      <c r="DE593" s="446"/>
      <c r="DF593" s="446"/>
      <c r="DG593" s="446"/>
      <c r="DH593" s="446"/>
      <c r="DI593" s="446"/>
      <c r="DJ593" s="446"/>
      <c r="DK593" s="446"/>
      <c r="DL593" s="446"/>
      <c r="DM593" s="446"/>
      <c r="DN593" s="446"/>
      <c r="DO593" s="446"/>
      <c r="DP593" s="446"/>
      <c r="DQ593" s="446"/>
      <c r="DR593" s="446"/>
      <c r="DS593" s="446"/>
      <c r="DT593" s="446"/>
      <c r="DU593" s="446"/>
      <c r="DV593" s="446"/>
      <c r="DW593" s="446"/>
    </row>
    <row r="594" spans="96:127" ht="15" customHeight="1" x14ac:dyDescent="0.25">
      <c r="CR594" s="446"/>
      <c r="CS594" s="446"/>
      <c r="CT594" s="446"/>
      <c r="CU594" s="446"/>
      <c r="CV594" s="446"/>
      <c r="CW594" s="752"/>
      <c r="CX594" s="752"/>
      <c r="CY594" s="752"/>
      <c r="CZ594" s="752"/>
      <c r="DA594" s="752"/>
      <c r="DB594" s="446"/>
      <c r="DC594" s="446"/>
      <c r="DD594" s="446"/>
      <c r="DE594" s="446"/>
      <c r="DF594" s="446"/>
      <c r="DG594" s="446"/>
      <c r="DH594" s="446"/>
      <c r="DI594" s="446"/>
      <c r="DJ594" s="446"/>
      <c r="DK594" s="446"/>
      <c r="DL594" s="446"/>
      <c r="DM594" s="446"/>
      <c r="DN594" s="446"/>
      <c r="DO594" s="446"/>
      <c r="DP594" s="446"/>
      <c r="DQ594" s="446"/>
      <c r="DR594" s="446"/>
      <c r="DS594" s="446"/>
      <c r="DT594" s="446"/>
      <c r="DU594" s="446"/>
      <c r="DV594" s="446"/>
      <c r="DW594" s="446"/>
    </row>
    <row r="595" spans="96:127" ht="15" customHeight="1" x14ac:dyDescent="0.25">
      <c r="CR595" s="446"/>
      <c r="CS595" s="446"/>
      <c r="CT595" s="446"/>
      <c r="CU595" s="446"/>
      <c r="CV595" s="446"/>
      <c r="CW595" s="752"/>
      <c r="CX595" s="752"/>
      <c r="CY595" s="752"/>
      <c r="CZ595" s="752"/>
      <c r="DA595" s="752"/>
      <c r="DB595" s="446"/>
      <c r="DC595" s="446"/>
      <c r="DD595" s="446"/>
      <c r="DE595" s="446"/>
      <c r="DF595" s="446"/>
      <c r="DG595" s="446"/>
      <c r="DH595" s="446"/>
      <c r="DI595" s="446"/>
      <c r="DJ595" s="446"/>
      <c r="DK595" s="446"/>
      <c r="DL595" s="446"/>
      <c r="DM595" s="446"/>
      <c r="DN595" s="446"/>
      <c r="DO595" s="446"/>
      <c r="DP595" s="446"/>
      <c r="DQ595" s="446"/>
      <c r="DR595" s="446"/>
      <c r="DS595" s="446"/>
      <c r="DT595" s="446"/>
      <c r="DU595" s="446"/>
      <c r="DV595" s="446"/>
      <c r="DW595" s="446"/>
    </row>
    <row r="596" spans="96:127" ht="15" customHeight="1" x14ac:dyDescent="0.25">
      <c r="CR596" s="446"/>
      <c r="CS596" s="446"/>
      <c r="CT596" s="446"/>
      <c r="CU596" s="446"/>
      <c r="CV596" s="446"/>
      <c r="CW596" s="752"/>
      <c r="CX596" s="752"/>
      <c r="CY596" s="752"/>
      <c r="CZ596" s="752"/>
      <c r="DA596" s="752"/>
      <c r="DB596" s="446"/>
      <c r="DC596" s="446"/>
      <c r="DD596" s="446"/>
      <c r="DE596" s="446"/>
      <c r="DF596" s="446"/>
      <c r="DG596" s="446"/>
      <c r="DH596" s="446"/>
      <c r="DI596" s="446"/>
      <c r="DJ596" s="446"/>
      <c r="DK596" s="446"/>
      <c r="DL596" s="446"/>
      <c r="DM596" s="446"/>
      <c r="DN596" s="446"/>
      <c r="DO596" s="446"/>
      <c r="DP596" s="446"/>
      <c r="DQ596" s="446"/>
      <c r="DR596" s="446"/>
      <c r="DS596" s="446"/>
      <c r="DT596" s="446"/>
      <c r="DU596" s="446"/>
      <c r="DV596" s="446"/>
      <c r="DW596" s="446"/>
    </row>
    <row r="597" spans="96:127" ht="15" customHeight="1" x14ac:dyDescent="0.25">
      <c r="CR597" s="446"/>
      <c r="CS597" s="446"/>
      <c r="CT597" s="446"/>
      <c r="CU597" s="446"/>
      <c r="CV597" s="446"/>
      <c r="CW597" s="752"/>
      <c r="CX597" s="752"/>
      <c r="CY597" s="752"/>
      <c r="CZ597" s="752"/>
      <c r="DA597" s="752"/>
      <c r="DB597" s="446"/>
      <c r="DC597" s="446"/>
      <c r="DD597" s="446"/>
      <c r="DE597" s="446"/>
      <c r="DF597" s="446"/>
      <c r="DG597" s="446"/>
      <c r="DH597" s="446"/>
      <c r="DI597" s="446"/>
      <c r="DJ597" s="446"/>
      <c r="DK597" s="446"/>
      <c r="DL597" s="446"/>
      <c r="DM597" s="446"/>
      <c r="DN597" s="446"/>
      <c r="DO597" s="446"/>
      <c r="DP597" s="446"/>
      <c r="DQ597" s="446"/>
      <c r="DR597" s="446"/>
      <c r="DS597" s="446"/>
      <c r="DT597" s="446"/>
      <c r="DU597" s="446"/>
      <c r="DV597" s="446"/>
      <c r="DW597" s="446"/>
    </row>
    <row r="598" spans="96:127" ht="15" customHeight="1" x14ac:dyDescent="0.25">
      <c r="CR598" s="446"/>
      <c r="CS598" s="446"/>
      <c r="CT598" s="446"/>
      <c r="CU598" s="446"/>
      <c r="CV598" s="446"/>
      <c r="CW598" s="752"/>
      <c r="CX598" s="752"/>
      <c r="CY598" s="752"/>
      <c r="CZ598" s="752"/>
      <c r="DA598" s="752"/>
      <c r="DB598" s="446"/>
      <c r="DC598" s="446"/>
      <c r="DD598" s="446"/>
      <c r="DE598" s="446"/>
      <c r="DF598" s="446"/>
      <c r="DG598" s="446"/>
      <c r="DH598" s="446"/>
      <c r="DI598" s="446"/>
      <c r="DJ598" s="446"/>
      <c r="DK598" s="446"/>
      <c r="DL598" s="446"/>
      <c r="DM598" s="446"/>
      <c r="DN598" s="446"/>
      <c r="DO598" s="446"/>
      <c r="DP598" s="446"/>
      <c r="DQ598" s="446"/>
      <c r="DR598" s="446"/>
      <c r="DS598" s="446"/>
      <c r="DT598" s="446"/>
      <c r="DU598" s="446"/>
      <c r="DV598" s="446"/>
      <c r="DW598" s="446"/>
    </row>
    <row r="599" spans="96:127" ht="15" customHeight="1" x14ac:dyDescent="0.25">
      <c r="CR599" s="446"/>
      <c r="CS599" s="446"/>
      <c r="CT599" s="446"/>
      <c r="CU599" s="446"/>
      <c r="CV599" s="446"/>
      <c r="CW599" s="752"/>
      <c r="CX599" s="752"/>
      <c r="CY599" s="752"/>
      <c r="CZ599" s="752"/>
      <c r="DA599" s="752"/>
      <c r="DB599" s="446"/>
      <c r="DC599" s="446"/>
      <c r="DD599" s="446"/>
      <c r="DE599" s="446"/>
      <c r="DF599" s="446"/>
      <c r="DG599" s="446"/>
      <c r="DH599" s="446"/>
      <c r="DI599" s="446"/>
      <c r="DJ599" s="446"/>
      <c r="DK599" s="446"/>
      <c r="DL599" s="446"/>
      <c r="DM599" s="446"/>
      <c r="DN599" s="446"/>
      <c r="DO599" s="446"/>
      <c r="DP599" s="446"/>
      <c r="DQ599" s="446"/>
      <c r="DR599" s="446"/>
      <c r="DS599" s="446"/>
      <c r="DT599" s="446"/>
      <c r="DU599" s="446"/>
      <c r="DV599" s="446"/>
      <c r="DW599" s="446"/>
    </row>
    <row r="600" spans="96:127" ht="15" customHeight="1" x14ac:dyDescent="0.25">
      <c r="CR600" s="446"/>
      <c r="CS600" s="446"/>
      <c r="CT600" s="446"/>
      <c r="CU600" s="446"/>
      <c r="CV600" s="446"/>
      <c r="CW600" s="752"/>
      <c r="CX600" s="752"/>
      <c r="CY600" s="752"/>
      <c r="CZ600" s="752"/>
      <c r="DA600" s="752"/>
      <c r="DB600" s="446"/>
      <c r="DC600" s="446"/>
      <c r="DD600" s="446"/>
      <c r="DE600" s="446"/>
      <c r="DF600" s="446"/>
      <c r="DG600" s="446"/>
      <c r="DH600" s="446"/>
      <c r="DI600" s="446"/>
      <c r="DJ600" s="446"/>
      <c r="DK600" s="446"/>
      <c r="DL600" s="446"/>
      <c r="DM600" s="446"/>
      <c r="DN600" s="446"/>
      <c r="DO600" s="446"/>
      <c r="DP600" s="446"/>
      <c r="DQ600" s="446"/>
      <c r="DR600" s="446"/>
      <c r="DS600" s="446"/>
      <c r="DT600" s="446"/>
      <c r="DU600" s="446"/>
      <c r="DV600" s="446"/>
      <c r="DW600" s="446"/>
    </row>
    <row r="601" spans="96:127" ht="15" customHeight="1" x14ac:dyDescent="0.25">
      <c r="CR601" s="446"/>
      <c r="CS601" s="446"/>
      <c r="CT601" s="446"/>
      <c r="CU601" s="446"/>
      <c r="CV601" s="446"/>
      <c r="CW601" s="752"/>
      <c r="CX601" s="752"/>
      <c r="CY601" s="752"/>
      <c r="CZ601" s="752"/>
      <c r="DA601" s="752"/>
      <c r="DB601" s="446"/>
      <c r="DC601" s="446"/>
      <c r="DD601" s="446"/>
      <c r="DE601" s="446"/>
      <c r="DF601" s="446"/>
      <c r="DG601" s="446"/>
      <c r="DH601" s="446"/>
      <c r="DI601" s="446"/>
      <c r="DJ601" s="446"/>
      <c r="DK601" s="446"/>
      <c r="DL601" s="446"/>
      <c r="DM601" s="446"/>
      <c r="DN601" s="446"/>
      <c r="DO601" s="446"/>
      <c r="DP601" s="446"/>
      <c r="DQ601" s="446"/>
      <c r="DR601" s="446"/>
      <c r="DS601" s="446"/>
      <c r="DT601" s="446"/>
      <c r="DU601" s="446"/>
      <c r="DV601" s="446"/>
      <c r="DW601" s="446"/>
    </row>
    <row r="602" spans="96:127" ht="15" customHeight="1" x14ac:dyDescent="0.25">
      <c r="CR602" s="446"/>
      <c r="CS602" s="446"/>
      <c r="CT602" s="446"/>
      <c r="CU602" s="446"/>
      <c r="CV602" s="446"/>
      <c r="CW602" s="752"/>
      <c r="CX602" s="752"/>
      <c r="CY602" s="752"/>
      <c r="CZ602" s="752"/>
      <c r="DA602" s="752"/>
      <c r="DB602" s="446"/>
      <c r="DC602" s="446"/>
      <c r="DD602" s="446"/>
      <c r="DE602" s="446"/>
      <c r="DF602" s="446"/>
      <c r="DG602" s="446"/>
      <c r="DH602" s="446"/>
      <c r="DI602" s="446"/>
      <c r="DJ602" s="446"/>
      <c r="DK602" s="446"/>
      <c r="DL602" s="446"/>
      <c r="DM602" s="446"/>
      <c r="DN602" s="446"/>
      <c r="DO602" s="446"/>
      <c r="DP602" s="446"/>
      <c r="DQ602" s="446"/>
      <c r="DR602" s="446"/>
      <c r="DS602" s="446"/>
      <c r="DT602" s="446"/>
      <c r="DU602" s="446"/>
      <c r="DV602" s="446"/>
      <c r="DW602" s="446"/>
    </row>
    <row r="603" spans="96:127" ht="15" customHeight="1" x14ac:dyDescent="0.25">
      <c r="CR603" s="446"/>
      <c r="CS603" s="446"/>
      <c r="CT603" s="446"/>
      <c r="CU603" s="446"/>
      <c r="CV603" s="446"/>
      <c r="CW603" s="752"/>
      <c r="CX603" s="752"/>
      <c r="CY603" s="752"/>
      <c r="CZ603" s="752"/>
      <c r="DA603" s="752"/>
      <c r="DB603" s="446"/>
      <c r="DC603" s="446"/>
      <c r="DD603" s="446"/>
      <c r="DE603" s="446"/>
      <c r="DF603" s="446"/>
      <c r="DG603" s="446"/>
      <c r="DH603" s="446"/>
      <c r="DI603" s="446"/>
      <c r="DJ603" s="446"/>
      <c r="DK603" s="446"/>
      <c r="DL603" s="446"/>
      <c r="DM603" s="446"/>
      <c r="DN603" s="446"/>
      <c r="DO603" s="446"/>
      <c r="DP603" s="446"/>
      <c r="DQ603" s="446"/>
      <c r="DR603" s="446"/>
      <c r="DS603" s="446"/>
      <c r="DT603" s="446"/>
      <c r="DU603" s="446"/>
      <c r="DV603" s="446"/>
      <c r="DW603" s="446"/>
    </row>
    <row r="604" spans="96:127" ht="15" customHeight="1" x14ac:dyDescent="0.25">
      <c r="CR604" s="446"/>
      <c r="CS604" s="446"/>
      <c r="CT604" s="446"/>
      <c r="CU604" s="446"/>
      <c r="CV604" s="446"/>
      <c r="CW604" s="752"/>
      <c r="CX604" s="752"/>
      <c r="CY604" s="752"/>
      <c r="CZ604" s="752"/>
      <c r="DA604" s="752"/>
      <c r="DB604" s="446"/>
      <c r="DC604" s="446"/>
      <c r="DD604" s="446"/>
      <c r="DE604" s="446"/>
      <c r="DF604" s="446"/>
      <c r="DG604" s="446"/>
      <c r="DH604" s="446"/>
      <c r="DI604" s="446"/>
      <c r="DJ604" s="446"/>
      <c r="DK604" s="446"/>
      <c r="DL604" s="446"/>
      <c r="DM604" s="446"/>
      <c r="DN604" s="446"/>
      <c r="DO604" s="446"/>
      <c r="DP604" s="446"/>
      <c r="DQ604" s="446"/>
      <c r="DR604" s="446"/>
      <c r="DS604" s="446"/>
      <c r="DT604" s="446"/>
      <c r="DU604" s="446"/>
      <c r="DV604" s="446"/>
      <c r="DW604" s="446"/>
    </row>
    <row r="605" spans="96:127" ht="15" customHeight="1" x14ac:dyDescent="0.25">
      <c r="CR605" s="446"/>
      <c r="CS605" s="446"/>
      <c r="CT605" s="446"/>
      <c r="CU605" s="446"/>
      <c r="CV605" s="446"/>
      <c r="CW605" s="752"/>
      <c r="CX605" s="752"/>
      <c r="CY605" s="752"/>
      <c r="CZ605" s="752"/>
      <c r="DA605" s="752"/>
      <c r="DB605" s="446"/>
      <c r="DC605" s="446"/>
      <c r="DD605" s="446"/>
      <c r="DE605" s="446"/>
      <c r="DF605" s="446"/>
      <c r="DG605" s="446"/>
      <c r="DH605" s="446"/>
      <c r="DI605" s="446"/>
      <c r="DJ605" s="446"/>
      <c r="DK605" s="446"/>
      <c r="DL605" s="446"/>
      <c r="DM605" s="446"/>
      <c r="DN605" s="446"/>
      <c r="DO605" s="446"/>
      <c r="DP605" s="446"/>
      <c r="DQ605" s="446"/>
      <c r="DR605" s="446"/>
      <c r="DS605" s="446"/>
      <c r="DT605" s="446"/>
      <c r="DU605" s="446"/>
      <c r="DV605" s="446"/>
      <c r="DW605" s="446"/>
    </row>
    <row r="606" spans="96:127" ht="15" customHeight="1" x14ac:dyDescent="0.25">
      <c r="CR606" s="446"/>
      <c r="CS606" s="446"/>
      <c r="CT606" s="446"/>
      <c r="CU606" s="446"/>
      <c r="CV606" s="446"/>
      <c r="CW606" s="752"/>
      <c r="CX606" s="752"/>
      <c r="CY606" s="752"/>
      <c r="CZ606" s="752"/>
      <c r="DA606" s="752"/>
      <c r="DB606" s="446"/>
      <c r="DC606" s="446"/>
      <c r="DD606" s="446"/>
      <c r="DE606" s="446"/>
      <c r="DF606" s="446"/>
      <c r="DG606" s="446"/>
      <c r="DH606" s="446"/>
      <c r="DI606" s="446"/>
      <c r="DJ606" s="446"/>
      <c r="DK606" s="446"/>
      <c r="DL606" s="446"/>
      <c r="DM606" s="446"/>
      <c r="DN606" s="446"/>
      <c r="DO606" s="446"/>
      <c r="DP606" s="446"/>
      <c r="DQ606" s="446"/>
      <c r="DR606" s="446"/>
      <c r="DS606" s="446"/>
      <c r="DT606" s="446"/>
      <c r="DU606" s="446"/>
      <c r="DV606" s="446"/>
      <c r="DW606" s="446"/>
    </row>
    <row r="607" spans="96:127" ht="15" customHeight="1" x14ac:dyDescent="0.25">
      <c r="CR607" s="446"/>
      <c r="CS607" s="446"/>
      <c r="CT607" s="446"/>
      <c r="CU607" s="446"/>
      <c r="CV607" s="446"/>
      <c r="CW607" s="752"/>
      <c r="CX607" s="752"/>
      <c r="CY607" s="752"/>
      <c r="CZ607" s="752"/>
      <c r="DA607" s="752"/>
      <c r="DB607" s="446"/>
      <c r="DC607" s="446"/>
      <c r="DD607" s="446"/>
      <c r="DE607" s="446"/>
      <c r="DF607" s="446"/>
      <c r="DG607" s="446"/>
      <c r="DH607" s="446"/>
      <c r="DI607" s="446"/>
      <c r="DJ607" s="446"/>
      <c r="DK607" s="446"/>
      <c r="DL607" s="446"/>
      <c r="DM607" s="446"/>
      <c r="DN607" s="446"/>
      <c r="DO607" s="446"/>
      <c r="DP607" s="446"/>
      <c r="DQ607" s="446"/>
      <c r="DR607" s="446"/>
      <c r="DS607" s="446"/>
      <c r="DT607" s="446"/>
      <c r="DU607" s="446"/>
      <c r="DV607" s="446"/>
      <c r="DW607" s="446"/>
    </row>
    <row r="608" spans="96:127" ht="15" customHeight="1" x14ac:dyDescent="0.25">
      <c r="CR608" s="446"/>
      <c r="CS608" s="446"/>
      <c r="CT608" s="446"/>
      <c r="CU608" s="446"/>
      <c r="CV608" s="446"/>
      <c r="CW608" s="752"/>
      <c r="CX608" s="752"/>
      <c r="CY608" s="752"/>
      <c r="CZ608" s="752"/>
      <c r="DA608" s="752"/>
      <c r="DB608" s="446"/>
      <c r="DC608" s="446"/>
      <c r="DD608" s="446"/>
      <c r="DE608" s="446"/>
      <c r="DF608" s="446"/>
      <c r="DG608" s="446"/>
      <c r="DH608" s="446"/>
      <c r="DI608" s="446"/>
      <c r="DJ608" s="446"/>
      <c r="DK608" s="446"/>
      <c r="DL608" s="446"/>
      <c r="DM608" s="446"/>
      <c r="DN608" s="446"/>
      <c r="DO608" s="446"/>
      <c r="DP608" s="446"/>
      <c r="DQ608" s="446"/>
      <c r="DR608" s="446"/>
      <c r="DS608" s="446"/>
      <c r="DT608" s="446"/>
      <c r="DU608" s="446"/>
      <c r="DV608" s="446"/>
      <c r="DW608" s="446"/>
    </row>
    <row r="609" spans="96:127" ht="15" customHeight="1" x14ac:dyDescent="0.25">
      <c r="CR609" s="446"/>
      <c r="CS609" s="446"/>
      <c r="CT609" s="446"/>
      <c r="CU609" s="446"/>
      <c r="CV609" s="446"/>
      <c r="CW609" s="752"/>
      <c r="CX609" s="752"/>
      <c r="CY609" s="752"/>
      <c r="CZ609" s="752"/>
      <c r="DA609" s="752"/>
      <c r="DB609" s="446"/>
      <c r="DC609" s="446"/>
      <c r="DD609" s="446"/>
      <c r="DE609" s="446"/>
      <c r="DF609" s="446"/>
      <c r="DG609" s="446"/>
      <c r="DH609" s="446"/>
      <c r="DI609" s="446"/>
      <c r="DJ609" s="446"/>
      <c r="DK609" s="446"/>
      <c r="DL609" s="446"/>
      <c r="DM609" s="446"/>
      <c r="DN609" s="446"/>
      <c r="DO609" s="446"/>
      <c r="DP609" s="446"/>
      <c r="DQ609" s="446"/>
      <c r="DR609" s="446"/>
      <c r="DS609" s="446"/>
      <c r="DT609" s="446"/>
      <c r="DU609" s="446"/>
      <c r="DV609" s="446"/>
      <c r="DW609" s="446"/>
    </row>
    <row r="610" spans="96:127" ht="15" customHeight="1" x14ac:dyDescent="0.25">
      <c r="CR610" s="446"/>
      <c r="CS610" s="446"/>
      <c r="CT610" s="446"/>
      <c r="CU610" s="446"/>
      <c r="CV610" s="446"/>
      <c r="CW610" s="752"/>
      <c r="CX610" s="752"/>
      <c r="CY610" s="752"/>
      <c r="CZ610" s="752"/>
      <c r="DA610" s="752"/>
      <c r="DB610" s="446"/>
      <c r="DC610" s="446"/>
      <c r="DD610" s="446"/>
      <c r="DE610" s="446"/>
      <c r="DF610" s="446"/>
      <c r="DG610" s="446"/>
      <c r="DH610" s="446"/>
      <c r="DI610" s="446"/>
      <c r="DJ610" s="446"/>
      <c r="DK610" s="446"/>
      <c r="DL610" s="446"/>
      <c r="DM610" s="446"/>
      <c r="DN610" s="446"/>
      <c r="DO610" s="446"/>
      <c r="DP610" s="446"/>
      <c r="DQ610" s="446"/>
      <c r="DR610" s="446"/>
      <c r="DS610" s="446"/>
      <c r="DT610" s="446"/>
      <c r="DU610" s="446"/>
      <c r="DV610" s="446"/>
      <c r="DW610" s="446"/>
    </row>
    <row r="611" spans="96:127" ht="15" customHeight="1" x14ac:dyDescent="0.25">
      <c r="CR611" s="446"/>
      <c r="CS611" s="446"/>
      <c r="CT611" s="446"/>
      <c r="CU611" s="446"/>
      <c r="CV611" s="446"/>
      <c r="CW611" s="752"/>
      <c r="CX611" s="752"/>
      <c r="CY611" s="752"/>
      <c r="CZ611" s="752"/>
      <c r="DA611" s="752"/>
      <c r="DB611" s="446"/>
      <c r="DC611" s="446"/>
      <c r="DD611" s="446"/>
      <c r="DE611" s="446"/>
      <c r="DF611" s="446"/>
      <c r="DG611" s="446"/>
      <c r="DH611" s="446"/>
      <c r="DI611" s="446"/>
      <c r="DJ611" s="446"/>
      <c r="DK611" s="446"/>
      <c r="DL611" s="446"/>
      <c r="DM611" s="446"/>
      <c r="DN611" s="446"/>
      <c r="DO611" s="446"/>
      <c r="DP611" s="446"/>
      <c r="DQ611" s="446"/>
      <c r="DR611" s="446"/>
      <c r="DS611" s="446"/>
      <c r="DT611" s="446"/>
      <c r="DU611" s="446"/>
      <c r="DV611" s="446"/>
      <c r="DW611" s="446"/>
    </row>
    <row r="612" spans="96:127" ht="15" customHeight="1" x14ac:dyDescent="0.25">
      <c r="CR612" s="446"/>
      <c r="CS612" s="446"/>
      <c r="CT612" s="446"/>
      <c r="CU612" s="446"/>
      <c r="CV612" s="446"/>
      <c r="CW612" s="752"/>
      <c r="CX612" s="752"/>
      <c r="CY612" s="752"/>
      <c r="CZ612" s="752"/>
      <c r="DA612" s="752"/>
      <c r="DB612" s="446"/>
      <c r="DC612" s="446"/>
      <c r="DD612" s="446"/>
      <c r="DE612" s="446"/>
      <c r="DF612" s="446"/>
      <c r="DG612" s="446"/>
      <c r="DH612" s="446"/>
      <c r="DI612" s="446"/>
      <c r="DJ612" s="446"/>
      <c r="DK612" s="446"/>
      <c r="DL612" s="446"/>
      <c r="DM612" s="446"/>
      <c r="DN612" s="446"/>
      <c r="DO612" s="446"/>
      <c r="DP612" s="446"/>
      <c r="DQ612" s="446"/>
      <c r="DR612" s="446"/>
      <c r="DS612" s="446"/>
      <c r="DT612" s="446"/>
      <c r="DU612" s="446"/>
      <c r="DV612" s="446"/>
      <c r="DW612" s="446"/>
    </row>
    <row r="613" spans="96:127" ht="15" customHeight="1" x14ac:dyDescent="0.25">
      <c r="CR613" s="446"/>
      <c r="CS613" s="446"/>
      <c r="CT613" s="446"/>
      <c r="CU613" s="446"/>
      <c r="CV613" s="446"/>
      <c r="CW613" s="752"/>
      <c r="CX613" s="752"/>
      <c r="CY613" s="752"/>
      <c r="CZ613" s="752"/>
      <c r="DA613" s="752"/>
      <c r="DB613" s="446"/>
      <c r="DC613" s="446"/>
      <c r="DD613" s="446"/>
      <c r="DE613" s="446"/>
      <c r="DF613" s="446"/>
      <c r="DG613" s="446"/>
      <c r="DH613" s="446"/>
      <c r="DI613" s="446"/>
      <c r="DJ613" s="446"/>
      <c r="DK613" s="446"/>
      <c r="DL613" s="446"/>
      <c r="DM613" s="446"/>
      <c r="DN613" s="446"/>
      <c r="DO613" s="446"/>
      <c r="DP613" s="446"/>
      <c r="DQ613" s="446"/>
      <c r="DR613" s="446"/>
      <c r="DS613" s="446"/>
      <c r="DT613" s="446"/>
      <c r="DU613" s="446"/>
      <c r="DV613" s="446"/>
      <c r="DW613" s="446"/>
    </row>
    <row r="614" spans="96:127" ht="15" customHeight="1" x14ac:dyDescent="0.25">
      <c r="CR614" s="446"/>
      <c r="CS614" s="446"/>
      <c r="CT614" s="446"/>
      <c r="CU614" s="446"/>
      <c r="CV614" s="446"/>
      <c r="CW614" s="752"/>
      <c r="CX614" s="752"/>
      <c r="CY614" s="752"/>
      <c r="CZ614" s="752"/>
      <c r="DA614" s="752"/>
      <c r="DB614" s="446"/>
      <c r="DC614" s="446"/>
      <c r="DD614" s="446"/>
      <c r="DE614" s="446"/>
      <c r="DF614" s="446"/>
      <c r="DG614" s="446"/>
      <c r="DH614" s="446"/>
      <c r="DI614" s="446"/>
      <c r="DJ614" s="446"/>
      <c r="DK614" s="446"/>
      <c r="DL614" s="446"/>
      <c r="DM614" s="446"/>
      <c r="DN614" s="446"/>
      <c r="DO614" s="446"/>
      <c r="DP614" s="446"/>
      <c r="DQ614" s="446"/>
      <c r="DR614" s="446"/>
      <c r="DS614" s="446"/>
      <c r="DT614" s="446"/>
      <c r="DU614" s="446"/>
      <c r="DV614" s="446"/>
      <c r="DW614" s="446"/>
    </row>
    <row r="615" spans="96:127" ht="15" customHeight="1" x14ac:dyDescent="0.25">
      <c r="CR615" s="446"/>
      <c r="CS615" s="446"/>
      <c r="CT615" s="446"/>
      <c r="CU615" s="446"/>
      <c r="CV615" s="446"/>
      <c r="CW615" s="752"/>
      <c r="CX615" s="752"/>
      <c r="CY615" s="752"/>
      <c r="CZ615" s="752"/>
      <c r="DA615" s="752"/>
      <c r="DB615" s="446"/>
      <c r="DC615" s="446"/>
      <c r="DD615" s="446"/>
      <c r="DE615" s="446"/>
      <c r="DF615" s="446"/>
      <c r="DG615" s="446"/>
      <c r="DH615" s="446"/>
      <c r="DI615" s="446"/>
      <c r="DJ615" s="446"/>
      <c r="DK615" s="446"/>
      <c r="DL615" s="446"/>
      <c r="DM615" s="446"/>
      <c r="DN615" s="446"/>
      <c r="DO615" s="446"/>
      <c r="DP615" s="446"/>
      <c r="DQ615" s="446"/>
      <c r="DR615" s="446"/>
      <c r="DS615" s="446"/>
      <c r="DT615" s="446"/>
      <c r="DU615" s="446"/>
      <c r="DV615" s="446"/>
      <c r="DW615" s="446"/>
    </row>
    <row r="616" spans="96:127" ht="15" customHeight="1" x14ac:dyDescent="0.25">
      <c r="CR616" s="446"/>
      <c r="CS616" s="446"/>
      <c r="CT616" s="446"/>
      <c r="CU616" s="446"/>
      <c r="CV616" s="446"/>
      <c r="CW616" s="752"/>
      <c r="CX616" s="752"/>
      <c r="CY616" s="752"/>
      <c r="CZ616" s="752"/>
      <c r="DA616" s="752"/>
      <c r="DB616" s="446"/>
      <c r="DC616" s="446"/>
      <c r="DD616" s="446"/>
      <c r="DE616" s="446"/>
      <c r="DF616" s="446"/>
      <c r="DG616" s="446"/>
      <c r="DH616" s="446"/>
      <c r="DI616" s="446"/>
      <c r="DJ616" s="446"/>
      <c r="DK616" s="446"/>
      <c r="DL616" s="446"/>
      <c r="DM616" s="446"/>
      <c r="DN616" s="446"/>
      <c r="DO616" s="446"/>
      <c r="DP616" s="446"/>
      <c r="DQ616" s="446"/>
      <c r="DR616" s="446"/>
      <c r="DS616" s="446"/>
      <c r="DT616" s="446"/>
      <c r="DU616" s="446"/>
      <c r="DV616" s="446"/>
      <c r="DW616" s="446"/>
    </row>
    <row r="617" spans="96:127" ht="15" customHeight="1" x14ac:dyDescent="0.25">
      <c r="CR617" s="446"/>
      <c r="CS617" s="446"/>
      <c r="CT617" s="446"/>
      <c r="CU617" s="446"/>
      <c r="CV617" s="446"/>
      <c r="CW617" s="752"/>
      <c r="CX617" s="752"/>
      <c r="CY617" s="752"/>
      <c r="CZ617" s="752"/>
      <c r="DA617" s="752"/>
      <c r="DB617" s="446"/>
      <c r="DC617" s="446"/>
      <c r="DD617" s="446"/>
      <c r="DE617" s="446"/>
      <c r="DF617" s="446"/>
      <c r="DG617" s="446"/>
      <c r="DH617" s="446"/>
      <c r="DI617" s="446"/>
      <c r="DJ617" s="446"/>
      <c r="DK617" s="446"/>
      <c r="DL617" s="446"/>
      <c r="DM617" s="446"/>
      <c r="DN617" s="446"/>
      <c r="DO617" s="446"/>
      <c r="DP617" s="446"/>
      <c r="DQ617" s="446"/>
      <c r="DR617" s="446"/>
      <c r="DS617" s="446"/>
      <c r="DT617" s="446"/>
      <c r="DU617" s="446"/>
      <c r="DV617" s="446"/>
      <c r="DW617" s="446"/>
    </row>
    <row r="618" spans="96:127" ht="15" customHeight="1" x14ac:dyDescent="0.25">
      <c r="CR618" s="446"/>
      <c r="CS618" s="446"/>
      <c r="CT618" s="446"/>
      <c r="CU618" s="446"/>
      <c r="CV618" s="446"/>
      <c r="CW618" s="752"/>
      <c r="CX618" s="752"/>
      <c r="CY618" s="752"/>
      <c r="CZ618" s="752"/>
      <c r="DA618" s="752"/>
      <c r="DB618" s="446"/>
      <c r="DC618" s="446"/>
      <c r="DD618" s="446"/>
      <c r="DE618" s="446"/>
      <c r="DF618" s="446"/>
      <c r="DG618" s="446"/>
      <c r="DH618" s="446"/>
      <c r="DI618" s="446"/>
      <c r="DJ618" s="446"/>
      <c r="DK618" s="446"/>
      <c r="DL618" s="446"/>
      <c r="DM618" s="446"/>
      <c r="DN618" s="446"/>
      <c r="DO618" s="446"/>
      <c r="DP618" s="446"/>
      <c r="DQ618" s="446"/>
      <c r="DR618" s="446"/>
      <c r="DS618" s="446"/>
      <c r="DT618" s="446"/>
      <c r="DU618" s="446"/>
      <c r="DV618" s="446"/>
      <c r="DW618" s="446"/>
    </row>
    <row r="619" spans="96:127" ht="15" customHeight="1" x14ac:dyDescent="0.25">
      <c r="CR619" s="446"/>
      <c r="CS619" s="446"/>
      <c r="CT619" s="446"/>
      <c r="CU619" s="446"/>
      <c r="CV619" s="446"/>
      <c r="CW619" s="752"/>
      <c r="CX619" s="752"/>
      <c r="CY619" s="752"/>
      <c r="CZ619" s="752"/>
      <c r="DA619" s="752"/>
      <c r="DB619" s="446"/>
      <c r="DC619" s="446"/>
      <c r="DD619" s="446"/>
      <c r="DE619" s="446"/>
      <c r="DF619" s="446"/>
      <c r="DG619" s="446"/>
      <c r="DH619" s="446"/>
      <c r="DI619" s="446"/>
      <c r="DJ619" s="446"/>
      <c r="DK619" s="446"/>
      <c r="DL619" s="446"/>
      <c r="DM619" s="446"/>
      <c r="DN619" s="446"/>
      <c r="DO619" s="446"/>
      <c r="DP619" s="446"/>
      <c r="DQ619" s="446"/>
      <c r="DR619" s="446"/>
      <c r="DS619" s="446"/>
      <c r="DT619" s="446"/>
      <c r="DU619" s="446"/>
      <c r="DV619" s="446"/>
      <c r="DW619" s="446"/>
    </row>
    <row r="620" spans="96:127" ht="15" customHeight="1" x14ac:dyDescent="0.25">
      <c r="CR620" s="446"/>
      <c r="CS620" s="446"/>
      <c r="CT620" s="446"/>
      <c r="CU620" s="446"/>
      <c r="CV620" s="446"/>
      <c r="CW620" s="752"/>
      <c r="CX620" s="752"/>
      <c r="CY620" s="752"/>
      <c r="CZ620" s="752"/>
      <c r="DA620" s="752"/>
      <c r="DB620" s="446"/>
      <c r="DC620" s="446"/>
      <c r="DD620" s="446"/>
      <c r="DE620" s="446"/>
      <c r="DF620" s="446"/>
      <c r="DG620" s="446"/>
      <c r="DH620" s="446"/>
      <c r="DI620" s="446"/>
      <c r="DJ620" s="446"/>
      <c r="DK620" s="446"/>
      <c r="DL620" s="446"/>
      <c r="DM620" s="446"/>
      <c r="DN620" s="446"/>
      <c r="DO620" s="446"/>
      <c r="DP620" s="446"/>
      <c r="DQ620" s="446"/>
      <c r="DR620" s="446"/>
      <c r="DS620" s="446"/>
      <c r="DT620" s="446"/>
      <c r="DU620" s="446"/>
      <c r="DV620" s="446"/>
      <c r="DW620" s="446"/>
    </row>
    <row r="621" spans="96:127" ht="15" customHeight="1" x14ac:dyDescent="0.25">
      <c r="CR621" s="446"/>
      <c r="CS621" s="446"/>
      <c r="CT621" s="446"/>
      <c r="CU621" s="446"/>
      <c r="CV621" s="446"/>
      <c r="CW621" s="752"/>
      <c r="CX621" s="752"/>
      <c r="CY621" s="752"/>
      <c r="CZ621" s="752"/>
      <c r="DA621" s="752"/>
      <c r="DB621" s="446"/>
      <c r="DC621" s="446"/>
      <c r="DD621" s="446"/>
      <c r="DE621" s="446"/>
      <c r="DF621" s="446"/>
      <c r="DG621" s="446"/>
      <c r="DH621" s="446"/>
      <c r="DI621" s="446"/>
      <c r="DJ621" s="446"/>
      <c r="DK621" s="446"/>
      <c r="DL621" s="446"/>
      <c r="DM621" s="446"/>
      <c r="DN621" s="446"/>
      <c r="DO621" s="446"/>
      <c r="DP621" s="446"/>
      <c r="DQ621" s="446"/>
      <c r="DR621" s="446"/>
      <c r="DS621" s="446"/>
      <c r="DT621" s="446"/>
      <c r="DU621" s="446"/>
      <c r="DV621" s="446"/>
      <c r="DW621" s="446"/>
    </row>
    <row r="622" spans="96:127" ht="15" customHeight="1" x14ac:dyDescent="0.25">
      <c r="CR622" s="446"/>
      <c r="CS622" s="446"/>
      <c r="CT622" s="446"/>
      <c r="CU622" s="446"/>
      <c r="CV622" s="446"/>
      <c r="CW622" s="752"/>
      <c r="CX622" s="752"/>
      <c r="CY622" s="752"/>
      <c r="CZ622" s="752"/>
      <c r="DA622" s="752"/>
      <c r="DB622" s="446"/>
      <c r="DC622" s="446"/>
      <c r="DD622" s="446"/>
      <c r="DE622" s="446"/>
      <c r="DF622" s="446"/>
      <c r="DG622" s="446"/>
      <c r="DH622" s="446"/>
      <c r="DI622" s="446"/>
      <c r="DJ622" s="446"/>
      <c r="DK622" s="446"/>
      <c r="DL622" s="446"/>
      <c r="DM622" s="446"/>
      <c r="DN622" s="446"/>
      <c r="DO622" s="446"/>
      <c r="DP622" s="446"/>
      <c r="DQ622" s="446"/>
      <c r="DR622" s="446"/>
      <c r="DS622" s="446"/>
      <c r="DT622" s="446"/>
      <c r="DU622" s="446"/>
      <c r="DV622" s="446"/>
      <c r="DW622" s="446"/>
    </row>
    <row r="623" spans="96:127" ht="15" customHeight="1" x14ac:dyDescent="0.25">
      <c r="CR623" s="446"/>
      <c r="CS623" s="446"/>
      <c r="CT623" s="446"/>
      <c r="CU623" s="446"/>
      <c r="CV623" s="446"/>
      <c r="CW623" s="752"/>
      <c r="CX623" s="752"/>
      <c r="CY623" s="752"/>
      <c r="CZ623" s="752"/>
      <c r="DA623" s="752"/>
      <c r="DB623" s="446"/>
      <c r="DC623" s="446"/>
      <c r="DD623" s="446"/>
      <c r="DE623" s="446"/>
      <c r="DF623" s="446"/>
      <c r="DG623" s="446"/>
      <c r="DH623" s="446"/>
      <c r="DI623" s="446"/>
      <c r="DJ623" s="446"/>
      <c r="DK623" s="446"/>
      <c r="DL623" s="446"/>
      <c r="DM623" s="446"/>
      <c r="DN623" s="446"/>
      <c r="DO623" s="446"/>
      <c r="DP623" s="446"/>
      <c r="DQ623" s="446"/>
      <c r="DR623" s="446"/>
      <c r="DS623" s="446"/>
      <c r="DT623" s="446"/>
      <c r="DU623" s="446"/>
      <c r="DV623" s="446"/>
      <c r="DW623" s="446"/>
    </row>
    <row r="624" spans="96:127" ht="15" customHeight="1" x14ac:dyDescent="0.25">
      <c r="CR624" s="446"/>
      <c r="CS624" s="446"/>
      <c r="CT624" s="446"/>
      <c r="CU624" s="446"/>
      <c r="CV624" s="446"/>
      <c r="CW624" s="752"/>
      <c r="CX624" s="752"/>
      <c r="CY624" s="752"/>
      <c r="CZ624" s="752"/>
      <c r="DA624" s="752"/>
      <c r="DB624" s="446"/>
      <c r="DC624" s="446"/>
      <c r="DD624" s="446"/>
      <c r="DE624" s="446"/>
      <c r="DF624" s="446"/>
      <c r="DG624" s="446"/>
      <c r="DH624" s="446"/>
      <c r="DI624" s="446"/>
      <c r="DJ624" s="446"/>
      <c r="DK624" s="446"/>
      <c r="DL624" s="446"/>
      <c r="DM624" s="446"/>
      <c r="DN624" s="446"/>
      <c r="DO624" s="446"/>
      <c r="DP624" s="446"/>
      <c r="DQ624" s="446"/>
      <c r="DR624" s="446"/>
      <c r="DS624" s="446"/>
      <c r="DT624" s="446"/>
      <c r="DU624" s="446"/>
      <c r="DV624" s="446"/>
      <c r="DW624" s="446"/>
    </row>
    <row r="625" spans="96:127" ht="15" customHeight="1" x14ac:dyDescent="0.25">
      <c r="CR625" s="446"/>
      <c r="CS625" s="446"/>
      <c r="CT625" s="446"/>
      <c r="CU625" s="446"/>
      <c r="CV625" s="446"/>
      <c r="CW625" s="752"/>
      <c r="CX625" s="752"/>
      <c r="CY625" s="752"/>
      <c r="CZ625" s="752"/>
      <c r="DA625" s="752"/>
      <c r="DB625" s="446"/>
      <c r="DC625" s="446"/>
      <c r="DD625" s="446"/>
      <c r="DE625" s="446"/>
      <c r="DF625" s="446"/>
      <c r="DG625" s="446"/>
      <c r="DH625" s="446"/>
      <c r="DI625" s="446"/>
      <c r="DJ625" s="446"/>
      <c r="DK625" s="446"/>
      <c r="DL625" s="446"/>
      <c r="DM625" s="446"/>
      <c r="DN625" s="446"/>
      <c r="DO625" s="446"/>
      <c r="DP625" s="446"/>
      <c r="DQ625" s="446"/>
      <c r="DR625" s="446"/>
      <c r="DS625" s="446"/>
      <c r="DT625" s="446"/>
      <c r="DU625" s="446"/>
      <c r="DV625" s="446"/>
      <c r="DW625" s="446"/>
    </row>
    <row r="626" spans="96:127" ht="15" customHeight="1" x14ac:dyDescent="0.25">
      <c r="CR626" s="446"/>
      <c r="CS626" s="446"/>
      <c r="CT626" s="446"/>
      <c r="CU626" s="446"/>
      <c r="CV626" s="446"/>
      <c r="CW626" s="752"/>
      <c r="CX626" s="752"/>
      <c r="CY626" s="752"/>
      <c r="CZ626" s="752"/>
      <c r="DA626" s="752"/>
      <c r="DB626" s="446"/>
      <c r="DC626" s="446"/>
      <c r="DD626" s="446"/>
      <c r="DE626" s="446"/>
      <c r="DF626" s="446"/>
      <c r="DG626" s="446"/>
      <c r="DH626" s="446"/>
      <c r="DI626" s="446"/>
      <c r="DJ626" s="446"/>
      <c r="DK626" s="446"/>
      <c r="DL626" s="446"/>
      <c r="DM626" s="446"/>
      <c r="DN626" s="446"/>
      <c r="DO626" s="446"/>
      <c r="DP626" s="446"/>
      <c r="DQ626" s="446"/>
      <c r="DR626" s="446"/>
      <c r="DS626" s="446"/>
      <c r="DT626" s="446"/>
      <c r="DU626" s="446"/>
      <c r="DV626" s="446"/>
      <c r="DW626" s="446"/>
    </row>
    <row r="627" spans="96:127" ht="15" customHeight="1" x14ac:dyDescent="0.25">
      <c r="CR627" s="446"/>
      <c r="CS627" s="446"/>
      <c r="CT627" s="446"/>
      <c r="CU627" s="446"/>
      <c r="CV627" s="446"/>
      <c r="CW627" s="752"/>
      <c r="CX627" s="752"/>
      <c r="CY627" s="752"/>
      <c r="CZ627" s="752"/>
      <c r="DA627" s="752"/>
      <c r="DB627" s="446"/>
      <c r="DC627" s="446"/>
      <c r="DD627" s="446"/>
      <c r="DE627" s="446"/>
      <c r="DF627" s="446"/>
      <c r="DG627" s="446"/>
      <c r="DH627" s="446"/>
      <c r="DI627" s="446"/>
      <c r="DJ627" s="446"/>
      <c r="DK627" s="446"/>
      <c r="DL627" s="446"/>
      <c r="DM627" s="446"/>
      <c r="DN627" s="446"/>
      <c r="DO627" s="446"/>
      <c r="DP627" s="446"/>
      <c r="DQ627" s="446"/>
      <c r="DR627" s="446"/>
      <c r="DS627" s="446"/>
      <c r="DT627" s="446"/>
      <c r="DU627" s="446"/>
      <c r="DV627" s="446"/>
      <c r="DW627" s="446"/>
    </row>
    <row r="628" spans="96:127" ht="15" customHeight="1" x14ac:dyDescent="0.25">
      <c r="CR628" s="446"/>
      <c r="CS628" s="446"/>
      <c r="CT628" s="446"/>
      <c r="CU628" s="446"/>
      <c r="CV628" s="446"/>
      <c r="CW628" s="752"/>
      <c r="CX628" s="752"/>
      <c r="CY628" s="752"/>
      <c r="CZ628" s="752"/>
      <c r="DA628" s="752"/>
      <c r="DB628" s="446"/>
      <c r="DC628" s="446"/>
      <c r="DD628" s="446"/>
      <c r="DE628" s="446"/>
      <c r="DF628" s="446"/>
      <c r="DG628" s="446"/>
      <c r="DH628" s="446"/>
      <c r="DI628" s="446"/>
      <c r="DJ628" s="446"/>
      <c r="DK628" s="446"/>
      <c r="DL628" s="446"/>
      <c r="DM628" s="446"/>
      <c r="DN628" s="446"/>
      <c r="DO628" s="446"/>
      <c r="DP628" s="446"/>
      <c r="DQ628" s="446"/>
      <c r="DR628" s="446"/>
      <c r="DS628" s="446"/>
      <c r="DT628" s="446"/>
      <c r="DU628" s="446"/>
      <c r="DV628" s="446"/>
      <c r="DW628" s="446"/>
    </row>
    <row r="629" spans="96:127" ht="15" customHeight="1" x14ac:dyDescent="0.25">
      <c r="CR629" s="446"/>
      <c r="CS629" s="446"/>
      <c r="CT629" s="446"/>
      <c r="CU629" s="446"/>
      <c r="CV629" s="446"/>
      <c r="CW629" s="752"/>
      <c r="CX629" s="752"/>
      <c r="CY629" s="752"/>
      <c r="CZ629" s="752"/>
      <c r="DA629" s="752"/>
      <c r="DB629" s="446"/>
      <c r="DC629" s="446"/>
      <c r="DD629" s="446"/>
      <c r="DE629" s="446"/>
      <c r="DF629" s="446"/>
      <c r="DG629" s="446"/>
      <c r="DH629" s="446"/>
      <c r="DI629" s="446"/>
      <c r="DJ629" s="446"/>
      <c r="DK629" s="446"/>
      <c r="DL629" s="446"/>
      <c r="DM629" s="446"/>
      <c r="DN629" s="446"/>
      <c r="DO629" s="446"/>
      <c r="DP629" s="446"/>
      <c r="DQ629" s="446"/>
      <c r="DR629" s="446"/>
      <c r="DS629" s="446"/>
      <c r="DT629" s="446"/>
      <c r="DU629" s="446"/>
      <c r="DV629" s="446"/>
      <c r="DW629" s="446"/>
    </row>
    <row r="630" spans="96:127" ht="15" customHeight="1" x14ac:dyDescent="0.25">
      <c r="CR630" s="446"/>
      <c r="CS630" s="446"/>
      <c r="CT630" s="446"/>
      <c r="CU630" s="446"/>
      <c r="CV630" s="446"/>
      <c r="CW630" s="752"/>
      <c r="CX630" s="752"/>
      <c r="CY630" s="752"/>
      <c r="CZ630" s="752"/>
      <c r="DA630" s="752"/>
      <c r="DB630" s="446"/>
      <c r="DC630" s="446"/>
      <c r="DD630" s="446"/>
      <c r="DE630" s="446"/>
      <c r="DF630" s="446"/>
      <c r="DG630" s="446"/>
      <c r="DH630" s="446"/>
      <c r="DI630" s="446"/>
      <c r="DJ630" s="446"/>
      <c r="DK630" s="446"/>
      <c r="DL630" s="446"/>
      <c r="DM630" s="446"/>
      <c r="DN630" s="446"/>
      <c r="DO630" s="446"/>
      <c r="DP630" s="446"/>
      <c r="DQ630" s="446"/>
      <c r="DR630" s="446"/>
      <c r="DS630" s="446"/>
      <c r="DT630" s="446"/>
      <c r="DU630" s="446"/>
      <c r="DV630" s="446"/>
      <c r="DW630" s="446"/>
    </row>
    <row r="631" spans="96:127" ht="15" customHeight="1" x14ac:dyDescent="0.25">
      <c r="CR631" s="446"/>
      <c r="CS631" s="446"/>
      <c r="CT631" s="446"/>
      <c r="CU631" s="446"/>
      <c r="CV631" s="446"/>
      <c r="CW631" s="752"/>
      <c r="CX631" s="752"/>
      <c r="CY631" s="752"/>
      <c r="CZ631" s="752"/>
      <c r="DA631" s="752"/>
      <c r="DB631" s="446"/>
      <c r="DC631" s="446"/>
      <c r="DD631" s="446"/>
      <c r="DE631" s="446"/>
      <c r="DF631" s="446"/>
      <c r="DG631" s="446"/>
      <c r="DH631" s="446"/>
      <c r="DI631" s="446"/>
      <c r="DJ631" s="446"/>
      <c r="DK631" s="446"/>
      <c r="DL631" s="446"/>
      <c r="DM631" s="446"/>
      <c r="DN631" s="446"/>
      <c r="DO631" s="446"/>
      <c r="DP631" s="446"/>
      <c r="DQ631" s="446"/>
      <c r="DR631" s="446"/>
      <c r="DS631" s="446"/>
      <c r="DT631" s="446"/>
      <c r="DU631" s="446"/>
      <c r="DV631" s="446"/>
      <c r="DW631" s="446"/>
    </row>
    <row r="632" spans="96:127" ht="15" customHeight="1" x14ac:dyDescent="0.25">
      <c r="CR632" s="446"/>
      <c r="CS632" s="446"/>
      <c r="CT632" s="446"/>
      <c r="CU632" s="446"/>
      <c r="CV632" s="446"/>
      <c r="CW632" s="752"/>
      <c r="CX632" s="752"/>
      <c r="CY632" s="752"/>
      <c r="CZ632" s="752"/>
      <c r="DA632" s="752"/>
      <c r="DB632" s="446"/>
      <c r="DC632" s="446"/>
      <c r="DD632" s="446"/>
      <c r="DE632" s="446"/>
      <c r="DF632" s="446"/>
      <c r="DG632" s="446"/>
      <c r="DH632" s="446"/>
      <c r="DI632" s="446"/>
      <c r="DJ632" s="446"/>
      <c r="DK632" s="446"/>
      <c r="DL632" s="446"/>
      <c r="DM632" s="446"/>
      <c r="DN632" s="446"/>
      <c r="DO632" s="446"/>
      <c r="DP632" s="446"/>
      <c r="DQ632" s="446"/>
      <c r="DR632" s="446"/>
      <c r="DS632" s="446"/>
      <c r="DT632" s="446"/>
      <c r="DU632" s="446"/>
      <c r="DV632" s="446"/>
      <c r="DW632" s="446"/>
    </row>
    <row r="633" spans="96:127" ht="15" customHeight="1" x14ac:dyDescent="0.25">
      <c r="CR633" s="446"/>
      <c r="CS633" s="446"/>
      <c r="CT633" s="446"/>
      <c r="CU633" s="446"/>
      <c r="CV633" s="446"/>
      <c r="CW633" s="752"/>
      <c r="CX633" s="752"/>
      <c r="CY633" s="752"/>
      <c r="CZ633" s="752"/>
      <c r="DA633" s="752"/>
      <c r="DB633" s="446"/>
      <c r="DC633" s="446"/>
      <c r="DD633" s="446"/>
      <c r="DE633" s="446"/>
      <c r="DF633" s="446"/>
      <c r="DG633" s="446"/>
      <c r="DH633" s="446"/>
      <c r="DI633" s="446"/>
      <c r="DJ633" s="446"/>
      <c r="DK633" s="446"/>
      <c r="DL633" s="446"/>
      <c r="DM633" s="446"/>
      <c r="DN633" s="446"/>
      <c r="DO633" s="446"/>
      <c r="DP633" s="446"/>
      <c r="DQ633" s="446"/>
      <c r="DR633" s="446"/>
      <c r="DS633" s="446"/>
      <c r="DT633" s="446"/>
      <c r="DU633" s="446"/>
      <c r="DV633" s="446"/>
      <c r="DW633" s="446"/>
    </row>
    <row r="634" spans="96:127" ht="15" customHeight="1" x14ac:dyDescent="0.25">
      <c r="CR634" s="446"/>
      <c r="CS634" s="446"/>
      <c r="CT634" s="446"/>
      <c r="CU634" s="446"/>
      <c r="CV634" s="446"/>
      <c r="CW634" s="752"/>
      <c r="CX634" s="752"/>
      <c r="CY634" s="752"/>
      <c r="CZ634" s="752"/>
      <c r="DA634" s="752"/>
      <c r="DB634" s="446"/>
      <c r="DC634" s="446"/>
      <c r="DD634" s="446"/>
      <c r="DE634" s="446"/>
      <c r="DF634" s="446"/>
      <c r="DG634" s="446"/>
      <c r="DH634" s="446"/>
      <c r="DI634" s="446"/>
      <c r="DJ634" s="446"/>
      <c r="DK634" s="446"/>
      <c r="DL634" s="446"/>
      <c r="DM634" s="446"/>
      <c r="DN634" s="446"/>
      <c r="DO634" s="446"/>
      <c r="DP634" s="446"/>
      <c r="DQ634" s="446"/>
      <c r="DR634" s="446"/>
      <c r="DS634" s="446"/>
      <c r="DT634" s="446"/>
      <c r="DU634" s="446"/>
      <c r="DV634" s="446"/>
      <c r="DW634" s="446"/>
    </row>
    <row r="635" spans="96:127" ht="15" customHeight="1" x14ac:dyDescent="0.25">
      <c r="CR635" s="446"/>
      <c r="CS635" s="446"/>
      <c r="CT635" s="446"/>
      <c r="CU635" s="446"/>
      <c r="CV635" s="446"/>
      <c r="CW635" s="752"/>
      <c r="CX635" s="752"/>
      <c r="CY635" s="752"/>
      <c r="CZ635" s="752"/>
      <c r="DA635" s="752"/>
      <c r="DB635" s="446"/>
      <c r="DC635" s="446"/>
      <c r="DD635" s="446"/>
      <c r="DE635" s="446"/>
      <c r="DF635" s="446"/>
      <c r="DG635" s="446"/>
      <c r="DH635" s="446"/>
      <c r="DI635" s="446"/>
      <c r="DJ635" s="446"/>
      <c r="DK635" s="446"/>
      <c r="DL635" s="446"/>
      <c r="DM635" s="446"/>
      <c r="DN635" s="446"/>
      <c r="DO635" s="446"/>
      <c r="DP635" s="446"/>
      <c r="DQ635" s="446"/>
      <c r="DR635" s="446"/>
      <c r="DS635" s="446"/>
      <c r="DT635" s="446"/>
      <c r="DU635" s="446"/>
      <c r="DV635" s="446"/>
      <c r="DW635" s="446"/>
    </row>
    <row r="636" spans="96:127" ht="15" customHeight="1" x14ac:dyDescent="0.25">
      <c r="CR636" s="446"/>
      <c r="CS636" s="446"/>
      <c r="CT636" s="446"/>
      <c r="CU636" s="446"/>
      <c r="CV636" s="446"/>
      <c r="CW636" s="752"/>
      <c r="CX636" s="752"/>
      <c r="CY636" s="752"/>
      <c r="CZ636" s="752"/>
      <c r="DA636" s="752"/>
      <c r="DB636" s="446"/>
      <c r="DC636" s="446"/>
      <c r="DD636" s="446"/>
      <c r="DE636" s="446"/>
      <c r="DF636" s="446"/>
      <c r="DG636" s="446"/>
      <c r="DH636" s="446"/>
      <c r="DI636" s="446"/>
      <c r="DJ636" s="446"/>
      <c r="DK636" s="446"/>
      <c r="DL636" s="446"/>
      <c r="DM636" s="446"/>
      <c r="DN636" s="446"/>
      <c r="DO636" s="446"/>
      <c r="DP636" s="446"/>
      <c r="DQ636" s="446"/>
      <c r="DR636" s="446"/>
      <c r="DS636" s="446"/>
      <c r="DT636" s="446"/>
      <c r="DU636" s="446"/>
      <c r="DV636" s="446"/>
      <c r="DW636" s="446"/>
    </row>
    <row r="637" spans="96:127" ht="15" customHeight="1" x14ac:dyDescent="0.25">
      <c r="CR637" s="446"/>
      <c r="CS637" s="446"/>
      <c r="CT637" s="446"/>
      <c r="CU637" s="446"/>
      <c r="CV637" s="446"/>
      <c r="CW637" s="752"/>
      <c r="CX637" s="752"/>
      <c r="CY637" s="752"/>
      <c r="CZ637" s="752"/>
      <c r="DA637" s="752"/>
      <c r="DB637" s="446"/>
      <c r="DC637" s="446"/>
      <c r="DD637" s="446"/>
      <c r="DE637" s="446"/>
      <c r="DF637" s="446"/>
      <c r="DG637" s="446"/>
      <c r="DH637" s="446"/>
      <c r="DI637" s="446"/>
      <c r="DJ637" s="446"/>
      <c r="DK637" s="446"/>
      <c r="DL637" s="446"/>
      <c r="DM637" s="446"/>
      <c r="DN637" s="446"/>
      <c r="DO637" s="446"/>
      <c r="DP637" s="446"/>
      <c r="DQ637" s="446"/>
      <c r="DR637" s="446"/>
      <c r="DS637" s="446"/>
      <c r="DT637" s="446"/>
      <c r="DU637" s="446"/>
      <c r="DV637" s="446"/>
      <c r="DW637" s="446"/>
    </row>
    <row r="638" spans="96:127" ht="15" customHeight="1" x14ac:dyDescent="0.25">
      <c r="CR638" s="446"/>
      <c r="CS638" s="446"/>
      <c r="CT638" s="446"/>
      <c r="CU638" s="446"/>
      <c r="CV638" s="446"/>
      <c r="CW638" s="752"/>
      <c r="CX638" s="752"/>
      <c r="CY638" s="752"/>
      <c r="CZ638" s="752"/>
      <c r="DA638" s="752"/>
      <c r="DB638" s="446"/>
      <c r="DC638" s="446"/>
      <c r="DD638" s="446"/>
      <c r="DE638" s="446"/>
      <c r="DF638" s="446"/>
      <c r="DG638" s="446"/>
      <c r="DH638" s="446"/>
      <c r="DI638" s="446"/>
      <c r="DJ638" s="446"/>
      <c r="DK638" s="446"/>
      <c r="DL638" s="446"/>
      <c r="DM638" s="446"/>
      <c r="DN638" s="446"/>
      <c r="DO638" s="446"/>
      <c r="DP638" s="446"/>
      <c r="DQ638" s="446"/>
      <c r="DR638" s="446"/>
      <c r="DS638" s="446"/>
      <c r="DT638" s="446"/>
      <c r="DU638" s="446"/>
      <c r="DV638" s="446"/>
      <c r="DW638" s="446"/>
    </row>
    <row r="639" spans="96:127" ht="15" customHeight="1" x14ac:dyDescent="0.25">
      <c r="CR639" s="446"/>
      <c r="CS639" s="446"/>
      <c r="CT639" s="446"/>
      <c r="CU639" s="446"/>
      <c r="CV639" s="446"/>
      <c r="CW639" s="752"/>
      <c r="CX639" s="752"/>
      <c r="CY639" s="752"/>
      <c r="CZ639" s="752"/>
      <c r="DA639" s="752"/>
      <c r="DB639" s="446"/>
      <c r="DC639" s="446"/>
      <c r="DD639" s="446"/>
      <c r="DE639" s="446"/>
      <c r="DF639" s="446"/>
      <c r="DG639" s="446"/>
      <c r="DH639" s="446"/>
      <c r="DI639" s="446"/>
      <c r="DJ639" s="446"/>
      <c r="DK639" s="446"/>
      <c r="DL639" s="446"/>
      <c r="DM639" s="446"/>
      <c r="DN639" s="446"/>
      <c r="DO639" s="446"/>
      <c r="DP639" s="446"/>
      <c r="DQ639" s="446"/>
      <c r="DR639" s="446"/>
      <c r="DS639" s="446"/>
      <c r="DT639" s="446"/>
      <c r="DU639" s="446"/>
      <c r="DV639" s="446"/>
      <c r="DW639" s="446"/>
    </row>
    <row r="640" spans="96:127" ht="15" customHeight="1" x14ac:dyDescent="0.25">
      <c r="CR640" s="446"/>
      <c r="CS640" s="446"/>
      <c r="CT640" s="446"/>
      <c r="CU640" s="446"/>
      <c r="CV640" s="446"/>
      <c r="CW640" s="752"/>
      <c r="CX640" s="752"/>
      <c r="CY640" s="752"/>
      <c r="CZ640" s="752"/>
      <c r="DA640" s="752"/>
      <c r="DB640" s="446"/>
      <c r="DC640" s="446"/>
      <c r="DD640" s="446"/>
      <c r="DE640" s="446"/>
      <c r="DF640" s="446"/>
      <c r="DG640" s="446"/>
      <c r="DH640" s="446"/>
      <c r="DI640" s="446"/>
      <c r="DJ640" s="446"/>
      <c r="DK640" s="446"/>
      <c r="DL640" s="446"/>
      <c r="DM640" s="446"/>
      <c r="DN640" s="446"/>
      <c r="DO640" s="446"/>
      <c r="DP640" s="446"/>
      <c r="DQ640" s="446"/>
      <c r="DR640" s="446"/>
      <c r="DS640" s="446"/>
      <c r="DT640" s="446"/>
      <c r="DU640" s="446"/>
      <c r="DV640" s="446"/>
      <c r="DW640" s="446"/>
    </row>
    <row r="641" spans="96:127" ht="15" customHeight="1" x14ac:dyDescent="0.25">
      <c r="CR641" s="446"/>
      <c r="CS641" s="446"/>
      <c r="CT641" s="446"/>
      <c r="CU641" s="446"/>
      <c r="CV641" s="446"/>
      <c r="CW641" s="752"/>
      <c r="CX641" s="752"/>
      <c r="CY641" s="752"/>
      <c r="CZ641" s="752"/>
      <c r="DA641" s="752"/>
      <c r="DB641" s="446"/>
      <c r="DC641" s="446"/>
      <c r="DD641" s="446"/>
      <c r="DE641" s="446"/>
      <c r="DF641" s="446"/>
      <c r="DG641" s="446"/>
      <c r="DH641" s="446"/>
      <c r="DI641" s="446"/>
      <c r="DJ641" s="446"/>
      <c r="DK641" s="446"/>
      <c r="DL641" s="446"/>
      <c r="DM641" s="446"/>
      <c r="DN641" s="446"/>
      <c r="DO641" s="446"/>
      <c r="DP641" s="446"/>
      <c r="DQ641" s="446"/>
      <c r="DR641" s="446"/>
      <c r="DS641" s="446"/>
      <c r="DT641" s="446"/>
      <c r="DU641" s="446"/>
      <c r="DV641" s="446"/>
      <c r="DW641" s="446"/>
    </row>
    <row r="642" spans="96:127" ht="15" customHeight="1" x14ac:dyDescent="0.25">
      <c r="CR642" s="446"/>
      <c r="CS642" s="446"/>
      <c r="CT642" s="446"/>
      <c r="CU642" s="446"/>
      <c r="CV642" s="446"/>
      <c r="CW642" s="752"/>
      <c r="CX642" s="752"/>
      <c r="CY642" s="752"/>
      <c r="CZ642" s="752"/>
      <c r="DA642" s="752"/>
      <c r="DB642" s="446"/>
      <c r="DC642" s="446"/>
      <c r="DD642" s="446"/>
      <c r="DE642" s="446"/>
      <c r="DF642" s="446"/>
      <c r="DG642" s="446"/>
      <c r="DH642" s="446"/>
      <c r="DI642" s="446"/>
      <c r="DJ642" s="446"/>
      <c r="DK642" s="446"/>
      <c r="DL642" s="446"/>
      <c r="DM642" s="446"/>
      <c r="DN642" s="446"/>
      <c r="DO642" s="446"/>
      <c r="DP642" s="446"/>
      <c r="DQ642" s="446"/>
      <c r="DR642" s="446"/>
      <c r="DS642" s="446"/>
      <c r="DT642" s="446"/>
      <c r="DU642" s="446"/>
      <c r="DV642" s="446"/>
      <c r="DW642" s="446"/>
    </row>
    <row r="643" spans="96:127" ht="15" customHeight="1" x14ac:dyDescent="0.25">
      <c r="CR643" s="446"/>
      <c r="CS643" s="446"/>
      <c r="CT643" s="446"/>
      <c r="CU643" s="446"/>
      <c r="CV643" s="446"/>
      <c r="CW643" s="752"/>
      <c r="CX643" s="752"/>
      <c r="CY643" s="752"/>
      <c r="CZ643" s="752"/>
      <c r="DA643" s="752"/>
      <c r="DB643" s="446"/>
      <c r="DC643" s="446"/>
      <c r="DD643" s="446"/>
      <c r="DE643" s="446"/>
      <c r="DF643" s="446"/>
      <c r="DG643" s="446"/>
      <c r="DH643" s="446"/>
      <c r="DI643" s="446"/>
      <c r="DJ643" s="446"/>
      <c r="DK643" s="446"/>
      <c r="DL643" s="446"/>
      <c r="DM643" s="446"/>
      <c r="DN643" s="446"/>
      <c r="DO643" s="446"/>
      <c r="DP643" s="446"/>
      <c r="DQ643" s="446"/>
      <c r="DR643" s="446"/>
      <c r="DS643" s="446"/>
      <c r="DT643" s="446"/>
      <c r="DU643" s="446"/>
      <c r="DV643" s="446"/>
      <c r="DW643" s="446"/>
    </row>
    <row r="644" spans="96:127" ht="15" customHeight="1" x14ac:dyDescent="0.25">
      <c r="CR644" s="446"/>
      <c r="CS644" s="446"/>
      <c r="CT644" s="446"/>
      <c r="CU644" s="446"/>
      <c r="CV644" s="446"/>
      <c r="CW644" s="752"/>
      <c r="CX644" s="752"/>
      <c r="CY644" s="752"/>
      <c r="CZ644" s="752"/>
      <c r="DA644" s="752"/>
      <c r="DB644" s="446"/>
      <c r="DC644" s="446"/>
      <c r="DD644" s="446"/>
      <c r="DE644" s="446"/>
      <c r="DF644" s="446"/>
      <c r="DG644" s="446"/>
      <c r="DH644" s="446"/>
      <c r="DI644" s="446"/>
      <c r="DJ644" s="446"/>
      <c r="DK644" s="446"/>
      <c r="DL644" s="446"/>
      <c r="DM644" s="446"/>
      <c r="DN644" s="446"/>
      <c r="DO644" s="446"/>
      <c r="DP644" s="446"/>
      <c r="DQ644" s="446"/>
      <c r="DR644" s="446"/>
      <c r="DS644" s="446"/>
      <c r="DT644" s="446"/>
      <c r="DU644" s="446"/>
      <c r="DV644" s="446"/>
      <c r="DW644" s="446"/>
    </row>
    <row r="645" spans="96:127" ht="15" customHeight="1" x14ac:dyDescent="0.25">
      <c r="CR645" s="446"/>
      <c r="CS645" s="446"/>
      <c r="CT645" s="446"/>
      <c r="CU645" s="446"/>
      <c r="CV645" s="446"/>
      <c r="CW645" s="752"/>
      <c r="CX645" s="752"/>
      <c r="CY645" s="752"/>
      <c r="CZ645" s="752"/>
      <c r="DA645" s="752"/>
      <c r="DB645" s="446"/>
      <c r="DC645" s="446"/>
      <c r="DD645" s="446"/>
      <c r="DE645" s="446"/>
      <c r="DF645" s="446"/>
      <c r="DG645" s="446"/>
      <c r="DH645" s="446"/>
      <c r="DI645" s="446"/>
      <c r="DJ645" s="446"/>
      <c r="DK645" s="446"/>
      <c r="DL645" s="446"/>
      <c r="DM645" s="446"/>
      <c r="DN645" s="446"/>
      <c r="DO645" s="446"/>
      <c r="DP645" s="446"/>
      <c r="DQ645" s="446"/>
      <c r="DR645" s="446"/>
      <c r="DS645" s="446"/>
      <c r="DT645" s="446"/>
      <c r="DU645" s="446"/>
      <c r="DV645" s="446"/>
      <c r="DW645" s="446"/>
    </row>
    <row r="646" spans="96:127" ht="15" customHeight="1" x14ac:dyDescent="0.25">
      <c r="CR646" s="446"/>
      <c r="CS646" s="446"/>
      <c r="CT646" s="446"/>
      <c r="CU646" s="446"/>
      <c r="CV646" s="446"/>
      <c r="CW646" s="752"/>
      <c r="CX646" s="752"/>
      <c r="CY646" s="752"/>
      <c r="CZ646" s="752"/>
      <c r="DA646" s="752"/>
      <c r="DB646" s="446"/>
      <c r="DC646" s="446"/>
      <c r="DD646" s="446"/>
      <c r="DE646" s="446"/>
      <c r="DF646" s="446"/>
      <c r="DG646" s="446"/>
      <c r="DH646" s="446"/>
      <c r="DI646" s="446"/>
      <c r="DJ646" s="446"/>
      <c r="DK646" s="446"/>
      <c r="DL646" s="446"/>
      <c r="DM646" s="446"/>
      <c r="DN646" s="446"/>
      <c r="DO646" s="446"/>
      <c r="DP646" s="446"/>
      <c r="DQ646" s="446"/>
      <c r="DR646" s="446"/>
      <c r="DS646" s="446"/>
      <c r="DT646" s="446"/>
      <c r="DU646" s="446"/>
      <c r="DV646" s="446"/>
      <c r="DW646" s="446"/>
    </row>
    <row r="647" spans="96:127" ht="15" customHeight="1" x14ac:dyDescent="0.25">
      <c r="CR647" s="446"/>
      <c r="CS647" s="446"/>
      <c r="CT647" s="446"/>
      <c r="CU647" s="446"/>
      <c r="CV647" s="446"/>
      <c r="CW647" s="752"/>
      <c r="CX647" s="752"/>
      <c r="CY647" s="752"/>
      <c r="CZ647" s="752"/>
      <c r="DA647" s="752"/>
      <c r="DB647" s="446"/>
      <c r="DC647" s="446"/>
      <c r="DD647" s="446"/>
      <c r="DE647" s="446"/>
      <c r="DF647" s="446"/>
      <c r="DG647" s="446"/>
      <c r="DH647" s="446"/>
      <c r="DI647" s="446"/>
      <c r="DJ647" s="446"/>
      <c r="DK647" s="446"/>
      <c r="DL647" s="446"/>
      <c r="DM647" s="446"/>
      <c r="DN647" s="446"/>
      <c r="DO647" s="446"/>
      <c r="DP647" s="446"/>
      <c r="DQ647" s="446"/>
      <c r="DR647" s="446"/>
      <c r="DS647" s="446"/>
      <c r="DT647" s="446"/>
      <c r="DU647" s="446"/>
      <c r="DV647" s="446"/>
      <c r="DW647" s="446"/>
    </row>
    <row r="648" spans="96:127" ht="15" customHeight="1" x14ac:dyDescent="0.25">
      <c r="CR648" s="446"/>
      <c r="CS648" s="446"/>
      <c r="CT648" s="446"/>
      <c r="CU648" s="446"/>
      <c r="CV648" s="446"/>
      <c r="CW648" s="752"/>
      <c r="CX648" s="752"/>
      <c r="CY648" s="752"/>
      <c r="CZ648" s="752"/>
      <c r="DA648" s="752"/>
      <c r="DB648" s="446"/>
      <c r="DC648" s="446"/>
      <c r="DD648" s="446"/>
      <c r="DE648" s="446"/>
      <c r="DF648" s="446"/>
      <c r="DG648" s="446"/>
      <c r="DH648" s="446"/>
      <c r="DI648" s="446"/>
      <c r="DJ648" s="446"/>
      <c r="DK648" s="446"/>
      <c r="DL648" s="446"/>
      <c r="DM648" s="446"/>
      <c r="DN648" s="446"/>
      <c r="DO648" s="446"/>
      <c r="DP648" s="446"/>
      <c r="DQ648" s="446"/>
      <c r="DR648" s="446"/>
      <c r="DS648" s="446"/>
      <c r="DT648" s="446"/>
      <c r="DU648" s="446"/>
      <c r="DV648" s="446"/>
      <c r="DW648" s="446"/>
    </row>
    <row r="649" spans="96:127" ht="15" customHeight="1" x14ac:dyDescent="0.25">
      <c r="CR649" s="446"/>
      <c r="CS649" s="446"/>
      <c r="CT649" s="446"/>
      <c r="CU649" s="446"/>
      <c r="CV649" s="446"/>
      <c r="CW649" s="752"/>
      <c r="CX649" s="752"/>
      <c r="CY649" s="752"/>
      <c r="CZ649" s="752"/>
      <c r="DA649" s="752"/>
      <c r="DB649" s="446"/>
      <c r="DC649" s="446"/>
      <c r="DD649" s="446"/>
      <c r="DE649" s="446"/>
      <c r="DF649" s="446"/>
      <c r="DG649" s="446"/>
      <c r="DH649" s="446"/>
      <c r="DI649" s="446"/>
      <c r="DJ649" s="446"/>
      <c r="DK649" s="446"/>
      <c r="DL649" s="446"/>
      <c r="DM649" s="446"/>
      <c r="DN649" s="446"/>
      <c r="DO649" s="446"/>
      <c r="DP649" s="446"/>
      <c r="DQ649" s="446"/>
      <c r="DR649" s="446"/>
      <c r="DS649" s="446"/>
      <c r="DT649" s="446"/>
      <c r="DU649" s="446"/>
      <c r="DV649" s="446"/>
      <c r="DW649" s="446"/>
    </row>
    <row r="650" spans="96:127" ht="15" customHeight="1" x14ac:dyDescent="0.25">
      <c r="CR650" s="446"/>
      <c r="CS650" s="446"/>
      <c r="CT650" s="446"/>
      <c r="CU650" s="446"/>
      <c r="CV650" s="446"/>
      <c r="CW650" s="752"/>
      <c r="CX650" s="752"/>
      <c r="CY650" s="752"/>
      <c r="CZ650" s="752"/>
      <c r="DA650" s="752"/>
      <c r="DB650" s="446"/>
      <c r="DC650" s="446"/>
      <c r="DD650" s="446"/>
      <c r="DE650" s="446"/>
      <c r="DF650" s="446"/>
      <c r="DG650" s="446"/>
      <c r="DH650" s="446"/>
      <c r="DI650" s="446"/>
      <c r="DJ650" s="446"/>
      <c r="DK650" s="446"/>
      <c r="DL650" s="446"/>
      <c r="DM650" s="446"/>
      <c r="DN650" s="446"/>
      <c r="DO650" s="446"/>
      <c r="DP650" s="446"/>
      <c r="DQ650" s="446"/>
      <c r="DR650" s="446"/>
      <c r="DS650" s="446"/>
      <c r="DT650" s="446"/>
      <c r="DU650" s="446"/>
      <c r="DV650" s="446"/>
      <c r="DW650" s="446"/>
    </row>
    <row r="651" spans="96:127" ht="15" customHeight="1" x14ac:dyDescent="0.25">
      <c r="CR651" s="446"/>
      <c r="CS651" s="446"/>
      <c r="CT651" s="446"/>
      <c r="CU651" s="446"/>
      <c r="CV651" s="446"/>
      <c r="CW651" s="752"/>
      <c r="CX651" s="752"/>
      <c r="CY651" s="752"/>
      <c r="CZ651" s="752"/>
      <c r="DA651" s="752"/>
      <c r="DB651" s="446"/>
      <c r="DC651" s="446"/>
      <c r="DD651" s="446"/>
      <c r="DE651" s="446"/>
      <c r="DF651" s="446"/>
      <c r="DG651" s="446"/>
      <c r="DH651" s="446"/>
      <c r="DI651" s="446"/>
      <c r="DJ651" s="446"/>
      <c r="DK651" s="446"/>
      <c r="DL651" s="446"/>
      <c r="DM651" s="446"/>
      <c r="DN651" s="446"/>
      <c r="DO651" s="446"/>
      <c r="DP651" s="446"/>
      <c r="DQ651" s="446"/>
      <c r="DR651" s="446"/>
      <c r="DS651" s="446"/>
      <c r="DT651" s="446"/>
      <c r="DU651" s="446"/>
      <c r="DV651" s="446"/>
      <c r="DW651" s="446"/>
    </row>
    <row r="652" spans="96:127" ht="15" customHeight="1" x14ac:dyDescent="0.25">
      <c r="CR652" s="446"/>
      <c r="CS652" s="446"/>
      <c r="CT652" s="446"/>
      <c r="CU652" s="446"/>
      <c r="CV652" s="446"/>
      <c r="CW652" s="752"/>
      <c r="CX652" s="752"/>
      <c r="CY652" s="752"/>
      <c r="CZ652" s="752"/>
      <c r="DA652" s="752"/>
      <c r="DB652" s="446"/>
      <c r="DC652" s="446"/>
      <c r="DD652" s="446"/>
      <c r="DE652" s="446"/>
      <c r="DF652" s="446"/>
      <c r="DG652" s="446"/>
      <c r="DH652" s="446"/>
      <c r="DI652" s="446"/>
      <c r="DJ652" s="446"/>
      <c r="DK652" s="446"/>
      <c r="DL652" s="446"/>
      <c r="DM652" s="446"/>
      <c r="DN652" s="446"/>
      <c r="DO652" s="446"/>
      <c r="DP652" s="446"/>
      <c r="DQ652" s="446"/>
      <c r="DR652" s="446"/>
      <c r="DS652" s="446"/>
      <c r="DT652" s="446"/>
      <c r="DU652" s="446"/>
      <c r="DV652" s="446"/>
      <c r="DW652" s="446"/>
    </row>
    <row r="653" spans="96:127" ht="15" customHeight="1" x14ac:dyDescent="0.25">
      <c r="CR653" s="446"/>
      <c r="CS653" s="446"/>
      <c r="CT653" s="446"/>
      <c r="CU653" s="446"/>
      <c r="CV653" s="446"/>
      <c r="CW653" s="752"/>
      <c r="CX653" s="752"/>
      <c r="CY653" s="752"/>
      <c r="CZ653" s="752"/>
      <c r="DA653" s="752"/>
      <c r="DB653" s="446"/>
      <c r="DC653" s="446"/>
      <c r="DD653" s="446"/>
      <c r="DE653" s="446"/>
      <c r="DF653" s="446"/>
      <c r="DG653" s="446"/>
      <c r="DH653" s="446"/>
      <c r="DI653" s="446"/>
      <c r="DJ653" s="446"/>
      <c r="DK653" s="446"/>
      <c r="DL653" s="446"/>
      <c r="DM653" s="446"/>
      <c r="DN653" s="446"/>
      <c r="DO653" s="446"/>
      <c r="DP653" s="446"/>
      <c r="DQ653" s="446"/>
      <c r="DR653" s="446"/>
      <c r="DS653" s="446"/>
      <c r="DT653" s="446"/>
      <c r="DU653" s="446"/>
      <c r="DV653" s="446"/>
      <c r="DW653" s="446"/>
    </row>
    <row r="654" spans="96:127" ht="15" customHeight="1" x14ac:dyDescent="0.25">
      <c r="CR654" s="446"/>
      <c r="CS654" s="446"/>
      <c r="CT654" s="446"/>
      <c r="CU654" s="446"/>
      <c r="CV654" s="446"/>
      <c r="CW654" s="752"/>
      <c r="CX654" s="752"/>
      <c r="CY654" s="752"/>
      <c r="CZ654" s="752"/>
      <c r="DA654" s="752"/>
      <c r="DB654" s="446"/>
      <c r="DC654" s="446"/>
      <c r="DD654" s="446"/>
      <c r="DE654" s="446"/>
      <c r="DF654" s="446"/>
      <c r="DG654" s="446"/>
      <c r="DH654" s="446"/>
      <c r="DI654" s="446"/>
      <c r="DJ654" s="446"/>
      <c r="DK654" s="446"/>
      <c r="DL654" s="446"/>
      <c r="DM654" s="446"/>
      <c r="DN654" s="446"/>
      <c r="DO654" s="446"/>
      <c r="DP654" s="446"/>
      <c r="DQ654" s="446"/>
      <c r="DR654" s="446"/>
      <c r="DS654" s="446"/>
      <c r="DT654" s="446"/>
      <c r="DU654" s="446"/>
      <c r="DV654" s="446"/>
      <c r="DW654" s="446"/>
    </row>
    <row r="655" spans="96:127" ht="15" customHeight="1" x14ac:dyDescent="0.25">
      <c r="CR655" s="446"/>
      <c r="CS655" s="446"/>
      <c r="CT655" s="446"/>
      <c r="CU655" s="446"/>
      <c r="CV655" s="446"/>
      <c r="CW655" s="752"/>
      <c r="CX655" s="752"/>
      <c r="CY655" s="752"/>
      <c r="CZ655" s="752"/>
      <c r="DA655" s="752"/>
      <c r="DB655" s="446"/>
      <c r="DC655" s="446"/>
      <c r="DD655" s="446"/>
      <c r="DE655" s="446"/>
      <c r="DF655" s="446"/>
      <c r="DG655" s="446"/>
      <c r="DH655" s="446"/>
      <c r="DI655" s="446"/>
      <c r="DJ655" s="446"/>
      <c r="DK655" s="446"/>
      <c r="DL655" s="446"/>
      <c r="DM655" s="446"/>
      <c r="DN655" s="446"/>
      <c r="DO655" s="446"/>
      <c r="DP655" s="446"/>
      <c r="DQ655" s="446"/>
      <c r="DR655" s="446"/>
      <c r="DS655" s="446"/>
      <c r="DT655" s="446"/>
      <c r="DU655" s="446"/>
      <c r="DV655" s="446"/>
      <c r="DW655" s="446"/>
    </row>
    <row r="656" spans="96:127" ht="15" customHeight="1" x14ac:dyDescent="0.25">
      <c r="CR656" s="446"/>
      <c r="CS656" s="446"/>
      <c r="CT656" s="446"/>
      <c r="CU656" s="446"/>
      <c r="CV656" s="446"/>
      <c r="CW656" s="752"/>
      <c r="CX656" s="752"/>
      <c r="CY656" s="752"/>
      <c r="CZ656" s="752"/>
      <c r="DA656" s="752"/>
      <c r="DB656" s="446"/>
      <c r="DC656" s="446"/>
      <c r="DD656" s="446"/>
      <c r="DE656" s="446"/>
      <c r="DF656" s="446"/>
      <c r="DG656" s="446"/>
      <c r="DH656" s="446"/>
      <c r="DI656" s="446"/>
      <c r="DJ656" s="446"/>
      <c r="DK656" s="446"/>
      <c r="DL656" s="446"/>
      <c r="DM656" s="446"/>
      <c r="DN656" s="446"/>
      <c r="DO656" s="446"/>
      <c r="DP656" s="446"/>
      <c r="DQ656" s="446"/>
      <c r="DR656" s="446"/>
      <c r="DS656" s="446"/>
      <c r="DT656" s="446"/>
      <c r="DU656" s="446"/>
      <c r="DV656" s="446"/>
      <c r="DW656" s="446"/>
    </row>
    <row r="657" spans="96:127" ht="15" customHeight="1" x14ac:dyDescent="0.25">
      <c r="CR657" s="446"/>
      <c r="CS657" s="446"/>
      <c r="CT657" s="446"/>
      <c r="CU657" s="446"/>
      <c r="CV657" s="446"/>
      <c r="CW657" s="752"/>
      <c r="CX657" s="752"/>
      <c r="CY657" s="752"/>
      <c r="CZ657" s="752"/>
      <c r="DA657" s="752"/>
      <c r="DB657" s="446"/>
      <c r="DC657" s="446"/>
      <c r="DD657" s="446"/>
      <c r="DE657" s="446"/>
      <c r="DF657" s="446"/>
      <c r="DG657" s="446"/>
      <c r="DH657" s="446"/>
      <c r="DI657" s="446"/>
      <c r="DJ657" s="446"/>
      <c r="DK657" s="446"/>
      <c r="DL657" s="446"/>
      <c r="DM657" s="446"/>
      <c r="DN657" s="446"/>
      <c r="DO657" s="446"/>
      <c r="DP657" s="446"/>
      <c r="DQ657" s="446"/>
      <c r="DR657" s="446"/>
      <c r="DS657" s="446"/>
      <c r="DT657" s="446"/>
      <c r="DU657" s="446"/>
      <c r="DV657" s="446"/>
      <c r="DW657" s="446"/>
    </row>
    <row r="658" spans="96:127" ht="15" customHeight="1" x14ac:dyDescent="0.25">
      <c r="CR658" s="446"/>
      <c r="CS658" s="446"/>
      <c r="CT658" s="446"/>
      <c r="CU658" s="446"/>
      <c r="CV658" s="446"/>
      <c r="CW658" s="752"/>
      <c r="CX658" s="752"/>
      <c r="CY658" s="752"/>
      <c r="CZ658" s="752"/>
      <c r="DA658" s="752"/>
      <c r="DB658" s="446"/>
      <c r="DC658" s="446"/>
      <c r="DD658" s="446"/>
      <c r="DE658" s="446"/>
      <c r="DF658" s="446"/>
      <c r="DG658" s="446"/>
      <c r="DH658" s="446"/>
      <c r="DI658" s="446"/>
      <c r="DJ658" s="446"/>
      <c r="DK658" s="446"/>
      <c r="DL658" s="446"/>
      <c r="DM658" s="446"/>
      <c r="DN658" s="446"/>
      <c r="DO658" s="446"/>
      <c r="DP658" s="446"/>
      <c r="DQ658" s="446"/>
      <c r="DR658" s="446"/>
      <c r="DS658" s="446"/>
      <c r="DT658" s="446"/>
      <c r="DU658" s="446"/>
      <c r="DV658" s="446"/>
      <c r="DW658" s="446"/>
    </row>
    <row r="659" spans="96:127" ht="15" customHeight="1" x14ac:dyDescent="0.25">
      <c r="CR659" s="446"/>
      <c r="CS659" s="446"/>
      <c r="CT659" s="446"/>
      <c r="CU659" s="446"/>
      <c r="CV659" s="446"/>
      <c r="CW659" s="752"/>
      <c r="CX659" s="752"/>
      <c r="CY659" s="752"/>
      <c r="CZ659" s="752"/>
      <c r="DA659" s="752"/>
      <c r="DB659" s="446"/>
      <c r="DC659" s="446"/>
      <c r="DD659" s="446"/>
      <c r="DE659" s="446"/>
      <c r="DF659" s="446"/>
      <c r="DG659" s="446"/>
      <c r="DH659" s="446"/>
      <c r="DI659" s="446"/>
      <c r="DJ659" s="446"/>
      <c r="DK659" s="446"/>
      <c r="DL659" s="446"/>
      <c r="DM659" s="446"/>
      <c r="DN659" s="446"/>
      <c r="DO659" s="446"/>
      <c r="DP659" s="446"/>
      <c r="DQ659" s="446"/>
      <c r="DR659" s="446"/>
      <c r="DS659" s="446"/>
      <c r="DT659" s="446"/>
      <c r="DU659" s="446"/>
      <c r="DV659" s="446"/>
      <c r="DW659" s="446"/>
    </row>
    <row r="660" spans="96:127" ht="15" customHeight="1" x14ac:dyDescent="0.25">
      <c r="CR660" s="446"/>
      <c r="CS660" s="446"/>
      <c r="CT660" s="446"/>
      <c r="CU660" s="446"/>
      <c r="CV660" s="446"/>
      <c r="CW660" s="752"/>
      <c r="CX660" s="752"/>
      <c r="CY660" s="752"/>
      <c r="CZ660" s="752"/>
      <c r="DA660" s="752"/>
      <c r="DB660" s="446"/>
      <c r="DC660" s="446"/>
      <c r="DD660" s="446"/>
      <c r="DE660" s="446"/>
      <c r="DF660" s="446"/>
      <c r="DG660" s="446"/>
      <c r="DH660" s="446"/>
      <c r="DI660" s="446"/>
      <c r="DJ660" s="446"/>
      <c r="DK660" s="446"/>
      <c r="DL660" s="446"/>
      <c r="DM660" s="446"/>
      <c r="DN660" s="446"/>
      <c r="DO660" s="446"/>
      <c r="DP660" s="446"/>
      <c r="DQ660" s="446"/>
      <c r="DR660" s="446"/>
      <c r="DS660" s="446"/>
      <c r="DT660" s="446"/>
      <c r="DU660" s="446"/>
      <c r="DV660" s="446"/>
      <c r="DW660" s="446"/>
    </row>
    <row r="661" spans="96:127" ht="15" customHeight="1" x14ac:dyDescent="0.25">
      <c r="CR661" s="446"/>
      <c r="CS661" s="446"/>
      <c r="CT661" s="446"/>
      <c r="CU661" s="446"/>
      <c r="CV661" s="446"/>
      <c r="CW661" s="752"/>
      <c r="CX661" s="752"/>
      <c r="CY661" s="752"/>
      <c r="CZ661" s="752"/>
      <c r="DA661" s="752"/>
      <c r="DB661" s="446"/>
      <c r="DC661" s="446"/>
      <c r="DD661" s="446"/>
      <c r="DE661" s="446"/>
      <c r="DF661" s="446"/>
      <c r="DG661" s="446"/>
      <c r="DH661" s="446"/>
      <c r="DI661" s="446"/>
      <c r="DJ661" s="446"/>
      <c r="DK661" s="446"/>
      <c r="DL661" s="446"/>
      <c r="DM661" s="446"/>
      <c r="DN661" s="446"/>
      <c r="DO661" s="446"/>
      <c r="DP661" s="446"/>
      <c r="DQ661" s="446"/>
      <c r="DR661" s="446"/>
      <c r="DS661" s="446"/>
      <c r="DT661" s="446"/>
      <c r="DU661" s="446"/>
      <c r="DV661" s="446"/>
      <c r="DW661" s="446"/>
    </row>
    <row r="662" spans="96:127" ht="15" customHeight="1" x14ac:dyDescent="0.25">
      <c r="CR662" s="446"/>
      <c r="CS662" s="446"/>
      <c r="CT662" s="446"/>
      <c r="CU662" s="446"/>
      <c r="CV662" s="446"/>
      <c r="CW662" s="752"/>
      <c r="CX662" s="752"/>
      <c r="CY662" s="752"/>
      <c r="CZ662" s="752"/>
      <c r="DA662" s="752"/>
      <c r="DB662" s="446"/>
      <c r="DC662" s="446"/>
      <c r="DD662" s="446"/>
      <c r="DE662" s="446"/>
      <c r="DF662" s="446"/>
      <c r="DG662" s="446"/>
      <c r="DH662" s="446"/>
      <c r="DI662" s="446"/>
      <c r="DJ662" s="446"/>
      <c r="DK662" s="446"/>
      <c r="DL662" s="446"/>
      <c r="DM662" s="446"/>
      <c r="DN662" s="446"/>
      <c r="DO662" s="446"/>
      <c r="DP662" s="446"/>
      <c r="DQ662" s="446"/>
      <c r="DR662" s="446"/>
      <c r="DS662" s="446"/>
      <c r="DT662" s="446"/>
      <c r="DU662" s="446"/>
      <c r="DV662" s="446"/>
      <c r="DW662" s="446"/>
    </row>
    <row r="663" spans="96:127" ht="15" customHeight="1" x14ac:dyDescent="0.25">
      <c r="CR663" s="446"/>
      <c r="CS663" s="446"/>
      <c r="CT663" s="446"/>
      <c r="CU663" s="446"/>
      <c r="CV663" s="446"/>
      <c r="CW663" s="752"/>
      <c r="CX663" s="752"/>
      <c r="CY663" s="752"/>
      <c r="CZ663" s="752"/>
      <c r="DA663" s="752"/>
      <c r="DB663" s="446"/>
      <c r="DC663" s="446"/>
      <c r="DD663" s="446"/>
      <c r="DE663" s="446"/>
      <c r="DF663" s="446"/>
      <c r="DG663" s="446"/>
      <c r="DH663" s="446"/>
      <c r="DI663" s="446"/>
      <c r="DJ663" s="446"/>
      <c r="DK663" s="446"/>
      <c r="DL663" s="446"/>
      <c r="DM663" s="446"/>
      <c r="DN663" s="446"/>
      <c r="DO663" s="446"/>
      <c r="DP663" s="446"/>
      <c r="DQ663" s="446"/>
      <c r="DR663" s="446"/>
      <c r="DS663" s="446"/>
      <c r="DT663" s="446"/>
      <c r="DU663" s="446"/>
      <c r="DV663" s="446"/>
      <c r="DW663" s="446"/>
    </row>
    <row r="664" spans="96:127" ht="15" customHeight="1" x14ac:dyDescent="0.25">
      <c r="CR664" s="446"/>
      <c r="CS664" s="446"/>
      <c r="CT664" s="446"/>
      <c r="CU664" s="446"/>
      <c r="CV664" s="446"/>
      <c r="CW664" s="752"/>
      <c r="CX664" s="752"/>
      <c r="CY664" s="752"/>
      <c r="CZ664" s="752"/>
      <c r="DA664" s="752"/>
      <c r="DB664" s="446"/>
      <c r="DC664" s="446"/>
      <c r="DD664" s="446"/>
      <c r="DE664" s="446"/>
      <c r="DF664" s="446"/>
      <c r="DG664" s="446"/>
      <c r="DH664" s="446"/>
      <c r="DI664" s="446"/>
      <c r="DJ664" s="446"/>
      <c r="DK664" s="446"/>
      <c r="DL664" s="446"/>
      <c r="DM664" s="446"/>
      <c r="DN664" s="446"/>
      <c r="DO664" s="446"/>
      <c r="DP664" s="446"/>
      <c r="DQ664" s="446"/>
      <c r="DR664" s="446"/>
      <c r="DS664" s="446"/>
      <c r="DT664" s="446"/>
      <c r="DU664" s="446"/>
      <c r="DV664" s="446"/>
      <c r="DW664" s="446"/>
    </row>
    <row r="665" spans="96:127" ht="15" customHeight="1" x14ac:dyDescent="0.25">
      <c r="CR665" s="446"/>
      <c r="CS665" s="446"/>
      <c r="CT665" s="446"/>
      <c r="CU665" s="446"/>
      <c r="CV665" s="446"/>
      <c r="CW665" s="752"/>
      <c r="CX665" s="752"/>
      <c r="CY665" s="752"/>
      <c r="CZ665" s="752"/>
      <c r="DA665" s="752"/>
      <c r="DB665" s="446"/>
      <c r="DC665" s="446"/>
      <c r="DD665" s="446"/>
      <c r="DE665" s="446"/>
      <c r="DF665" s="446"/>
      <c r="DG665" s="446"/>
      <c r="DH665" s="446"/>
      <c r="DI665" s="446"/>
      <c r="DJ665" s="446"/>
      <c r="DK665" s="446"/>
      <c r="DL665" s="446"/>
      <c r="DM665" s="446"/>
      <c r="DN665" s="446"/>
      <c r="DO665" s="446"/>
      <c r="DP665" s="446"/>
      <c r="DQ665" s="446"/>
      <c r="DR665" s="446"/>
      <c r="DS665" s="446"/>
      <c r="DT665" s="446"/>
      <c r="DU665" s="446"/>
      <c r="DV665" s="446"/>
      <c r="DW665" s="446"/>
    </row>
    <row r="666" spans="96:127" ht="15" customHeight="1" x14ac:dyDescent="0.25">
      <c r="CR666" s="446"/>
      <c r="CS666" s="446"/>
      <c r="CT666" s="446"/>
      <c r="CU666" s="446"/>
      <c r="CV666" s="446"/>
      <c r="CW666" s="752"/>
      <c r="CX666" s="752"/>
      <c r="CY666" s="752"/>
      <c r="CZ666" s="752"/>
      <c r="DA666" s="752"/>
      <c r="DB666" s="446"/>
      <c r="DC666" s="446"/>
      <c r="DD666" s="446"/>
      <c r="DE666" s="446"/>
      <c r="DF666" s="446"/>
      <c r="DG666" s="446"/>
      <c r="DH666" s="446"/>
      <c r="DI666" s="446"/>
      <c r="DJ666" s="446"/>
      <c r="DK666" s="446"/>
      <c r="DL666" s="446"/>
      <c r="DM666" s="446"/>
      <c r="DN666" s="446"/>
      <c r="DO666" s="446"/>
      <c r="DP666" s="446"/>
      <c r="DQ666" s="446"/>
      <c r="DR666" s="446"/>
      <c r="DS666" s="446"/>
      <c r="DT666" s="446"/>
      <c r="DU666" s="446"/>
      <c r="DV666" s="446"/>
      <c r="DW666" s="446"/>
    </row>
    <row r="667" spans="96:127" ht="15" customHeight="1" x14ac:dyDescent="0.25">
      <c r="CR667" s="446"/>
      <c r="CS667" s="446"/>
      <c r="CT667" s="446"/>
      <c r="CU667" s="446"/>
      <c r="CV667" s="446"/>
      <c r="CW667" s="752"/>
      <c r="CX667" s="752"/>
      <c r="CY667" s="752"/>
      <c r="CZ667" s="752"/>
      <c r="DA667" s="752"/>
      <c r="DB667" s="446"/>
      <c r="DC667" s="446"/>
      <c r="DD667" s="446"/>
      <c r="DE667" s="446"/>
      <c r="DF667" s="446"/>
      <c r="DG667" s="446"/>
      <c r="DH667" s="446"/>
      <c r="DI667" s="446"/>
      <c r="DJ667" s="446"/>
      <c r="DK667" s="446"/>
      <c r="DL667" s="446"/>
      <c r="DM667" s="446"/>
      <c r="DN667" s="446"/>
      <c r="DO667" s="446"/>
      <c r="DP667" s="446"/>
      <c r="DQ667" s="446"/>
      <c r="DR667" s="446"/>
      <c r="DS667" s="446"/>
      <c r="DT667" s="446"/>
      <c r="DU667" s="446"/>
      <c r="DV667" s="446"/>
      <c r="DW667" s="446"/>
    </row>
    <row r="668" spans="96:127" ht="15" customHeight="1" x14ac:dyDescent="0.25">
      <c r="CR668" s="446"/>
      <c r="CS668" s="446"/>
      <c r="CT668" s="446"/>
      <c r="CU668" s="446"/>
      <c r="CV668" s="446"/>
      <c r="CW668" s="752"/>
      <c r="CX668" s="752"/>
      <c r="CY668" s="752"/>
      <c r="CZ668" s="752"/>
      <c r="DA668" s="752"/>
      <c r="DB668" s="446"/>
      <c r="DC668" s="446"/>
      <c r="DD668" s="446"/>
      <c r="DE668" s="446"/>
      <c r="DF668" s="446"/>
      <c r="DG668" s="446"/>
      <c r="DH668" s="446"/>
      <c r="DI668" s="446"/>
      <c r="DJ668" s="446"/>
      <c r="DK668" s="446"/>
      <c r="DL668" s="446"/>
      <c r="DM668" s="446"/>
      <c r="DN668" s="446"/>
      <c r="DO668" s="446"/>
      <c r="DP668" s="446"/>
      <c r="DQ668" s="446"/>
      <c r="DR668" s="446"/>
      <c r="DS668" s="446"/>
      <c r="DT668" s="446"/>
      <c r="DU668" s="446"/>
      <c r="DV668" s="446"/>
      <c r="DW668" s="446"/>
    </row>
    <row r="669" spans="96:127" ht="15" customHeight="1" x14ac:dyDescent="0.25">
      <c r="CR669" s="446"/>
      <c r="CS669" s="446"/>
      <c r="CT669" s="446"/>
      <c r="CU669" s="446"/>
      <c r="CV669" s="446"/>
      <c r="CW669" s="752"/>
      <c r="CX669" s="752"/>
      <c r="CY669" s="752"/>
      <c r="CZ669" s="752"/>
      <c r="DA669" s="752"/>
      <c r="DB669" s="446"/>
      <c r="DC669" s="446"/>
      <c r="DD669" s="446"/>
      <c r="DE669" s="446"/>
      <c r="DF669" s="446"/>
      <c r="DG669" s="446"/>
      <c r="DH669" s="446"/>
      <c r="DI669" s="446"/>
      <c r="DJ669" s="446"/>
      <c r="DK669" s="446"/>
      <c r="DL669" s="446"/>
      <c r="DM669" s="446"/>
      <c r="DN669" s="446"/>
      <c r="DO669" s="446"/>
      <c r="DP669" s="446"/>
      <c r="DQ669" s="446"/>
      <c r="DR669" s="446"/>
      <c r="DS669" s="446"/>
      <c r="DT669" s="446"/>
      <c r="DU669" s="446"/>
      <c r="DV669" s="446"/>
      <c r="DW669" s="446"/>
    </row>
    <row r="670" spans="96:127" ht="15" customHeight="1" x14ac:dyDescent="0.25">
      <c r="CR670" s="446"/>
      <c r="CS670" s="446"/>
      <c r="CT670" s="446"/>
      <c r="CU670" s="446"/>
      <c r="CV670" s="446"/>
      <c r="CW670" s="752"/>
      <c r="CX670" s="752"/>
      <c r="CY670" s="752"/>
      <c r="CZ670" s="752"/>
      <c r="DA670" s="752"/>
      <c r="DB670" s="446"/>
      <c r="DC670" s="446"/>
      <c r="DD670" s="446"/>
      <c r="DE670" s="446"/>
      <c r="DF670" s="446"/>
      <c r="DG670" s="446"/>
      <c r="DH670" s="446"/>
      <c r="DI670" s="446"/>
      <c r="DJ670" s="446"/>
      <c r="DK670" s="446"/>
      <c r="DL670" s="446"/>
      <c r="DM670" s="446"/>
      <c r="DN670" s="446"/>
      <c r="DO670" s="446"/>
      <c r="DP670" s="446"/>
      <c r="DQ670" s="446"/>
      <c r="DR670" s="446"/>
      <c r="DS670" s="446"/>
      <c r="DT670" s="446"/>
      <c r="DU670" s="446"/>
      <c r="DV670" s="446"/>
      <c r="DW670" s="446"/>
    </row>
    <row r="671" spans="96:127" ht="15" customHeight="1" x14ac:dyDescent="0.25">
      <c r="CR671" s="446"/>
      <c r="CS671" s="446"/>
      <c r="CT671" s="446"/>
      <c r="CU671" s="446"/>
      <c r="CV671" s="446"/>
      <c r="CW671" s="752"/>
      <c r="CX671" s="752"/>
      <c r="CY671" s="752"/>
      <c r="CZ671" s="752"/>
      <c r="DA671" s="752"/>
      <c r="DB671" s="446"/>
      <c r="DC671" s="446"/>
      <c r="DD671" s="446"/>
      <c r="DE671" s="446"/>
      <c r="DF671" s="446"/>
      <c r="DG671" s="446"/>
      <c r="DH671" s="446"/>
      <c r="DI671" s="446"/>
      <c r="DJ671" s="446"/>
      <c r="DK671" s="446"/>
      <c r="DL671" s="446"/>
      <c r="DM671" s="446"/>
      <c r="DN671" s="446"/>
      <c r="DO671" s="446"/>
      <c r="DP671" s="446"/>
      <c r="DQ671" s="446"/>
      <c r="DR671" s="446"/>
      <c r="DS671" s="446"/>
      <c r="DT671" s="446"/>
      <c r="DU671" s="446"/>
      <c r="DV671" s="446"/>
      <c r="DW671" s="446"/>
    </row>
    <row r="672" spans="96:127" ht="15" customHeight="1" x14ac:dyDescent="0.25">
      <c r="CR672" s="446"/>
      <c r="CS672" s="446"/>
      <c r="CT672" s="446"/>
      <c r="CU672" s="446"/>
      <c r="CV672" s="446"/>
      <c r="CW672" s="752"/>
      <c r="CX672" s="752"/>
      <c r="CY672" s="752"/>
      <c r="CZ672" s="752"/>
      <c r="DA672" s="752"/>
      <c r="DB672" s="446"/>
      <c r="DC672" s="446"/>
      <c r="DD672" s="446"/>
      <c r="DE672" s="446"/>
      <c r="DF672" s="446"/>
      <c r="DG672" s="446"/>
      <c r="DH672" s="446"/>
      <c r="DI672" s="446"/>
      <c r="DJ672" s="446"/>
      <c r="DK672" s="446"/>
      <c r="DL672" s="446"/>
      <c r="DM672" s="446"/>
      <c r="DN672" s="446"/>
      <c r="DO672" s="446"/>
      <c r="DP672" s="446"/>
      <c r="DQ672" s="446"/>
      <c r="DR672" s="446"/>
      <c r="DS672" s="446"/>
      <c r="DT672" s="446"/>
      <c r="DU672" s="446"/>
      <c r="DV672" s="446"/>
      <c r="DW672" s="446"/>
    </row>
    <row r="673" spans="96:127" ht="15" customHeight="1" x14ac:dyDescent="0.25">
      <c r="CR673" s="446"/>
      <c r="CS673" s="446"/>
      <c r="CT673" s="446"/>
      <c r="CU673" s="446"/>
      <c r="CV673" s="446"/>
      <c r="CW673" s="752"/>
      <c r="CX673" s="752"/>
      <c r="CY673" s="752"/>
      <c r="CZ673" s="752"/>
      <c r="DA673" s="752"/>
      <c r="DB673" s="446"/>
      <c r="DC673" s="446"/>
      <c r="DD673" s="446"/>
      <c r="DE673" s="446"/>
      <c r="DF673" s="446"/>
      <c r="DG673" s="446"/>
      <c r="DH673" s="446"/>
      <c r="DI673" s="446"/>
      <c r="DJ673" s="446"/>
      <c r="DK673" s="446"/>
      <c r="DL673" s="446"/>
      <c r="DM673" s="446"/>
      <c r="DN673" s="446"/>
      <c r="DO673" s="446"/>
      <c r="DP673" s="446"/>
      <c r="DQ673" s="446"/>
      <c r="DR673" s="446"/>
      <c r="DS673" s="446"/>
      <c r="DT673" s="446"/>
      <c r="DU673" s="446"/>
      <c r="DV673" s="446"/>
      <c r="DW673" s="446"/>
    </row>
    <row r="674" spans="96:127" ht="15" customHeight="1" x14ac:dyDescent="0.25">
      <c r="CR674" s="446"/>
      <c r="CS674" s="446"/>
      <c r="CT674" s="446"/>
      <c r="CU674" s="446"/>
      <c r="CV674" s="446"/>
      <c r="CW674" s="752"/>
      <c r="CX674" s="752"/>
      <c r="CY674" s="752"/>
      <c r="CZ674" s="752"/>
      <c r="DA674" s="752"/>
      <c r="DB674" s="446"/>
      <c r="DC674" s="446"/>
      <c r="DD674" s="446"/>
      <c r="DE674" s="446"/>
      <c r="DF674" s="446"/>
      <c r="DG674" s="446"/>
      <c r="DH674" s="446"/>
      <c r="DI674" s="446"/>
      <c r="DJ674" s="446"/>
      <c r="DK674" s="446"/>
      <c r="DL674" s="446"/>
      <c r="DM674" s="446"/>
      <c r="DN674" s="446"/>
      <c r="DO674" s="446"/>
      <c r="DP674" s="446"/>
      <c r="DQ674" s="446"/>
      <c r="DR674" s="446"/>
      <c r="DS674" s="446"/>
      <c r="DT674" s="446"/>
      <c r="DU674" s="446"/>
      <c r="DV674" s="446"/>
      <c r="DW674" s="446"/>
    </row>
    <row r="675" spans="96:127" ht="15" customHeight="1" x14ac:dyDescent="0.25">
      <c r="CR675" s="446"/>
      <c r="CS675" s="446"/>
      <c r="CT675" s="446"/>
      <c r="CU675" s="446"/>
      <c r="CV675" s="446"/>
      <c r="CW675" s="752"/>
      <c r="CX675" s="752"/>
      <c r="CY675" s="752"/>
      <c r="CZ675" s="752"/>
      <c r="DA675" s="752"/>
      <c r="DB675" s="446"/>
      <c r="DC675" s="446"/>
      <c r="DD675" s="446"/>
      <c r="DE675" s="446"/>
      <c r="DF675" s="446"/>
      <c r="DG675" s="446"/>
      <c r="DH675" s="446"/>
      <c r="DI675" s="446"/>
      <c r="DJ675" s="446"/>
      <c r="DK675" s="446"/>
      <c r="DL675" s="446"/>
      <c r="DM675" s="446"/>
      <c r="DN675" s="446"/>
      <c r="DO675" s="446"/>
      <c r="DP675" s="446"/>
      <c r="DQ675" s="446"/>
      <c r="DR675" s="446"/>
      <c r="DS675" s="446"/>
      <c r="DT675" s="446"/>
      <c r="DU675" s="446"/>
      <c r="DV675" s="446"/>
      <c r="DW675" s="446"/>
    </row>
    <row r="676" spans="96:127" ht="15" customHeight="1" x14ac:dyDescent="0.25">
      <c r="CR676" s="446"/>
      <c r="CS676" s="446"/>
      <c r="CT676" s="446"/>
      <c r="CU676" s="446"/>
      <c r="CV676" s="446"/>
      <c r="CW676" s="752"/>
      <c r="CX676" s="752"/>
      <c r="CY676" s="752"/>
      <c r="CZ676" s="752"/>
      <c r="DA676" s="752"/>
      <c r="DB676" s="446"/>
      <c r="DC676" s="446"/>
      <c r="DD676" s="446"/>
      <c r="DE676" s="446"/>
      <c r="DF676" s="446"/>
      <c r="DG676" s="446"/>
      <c r="DH676" s="446"/>
      <c r="DI676" s="446"/>
      <c r="DJ676" s="446"/>
      <c r="DK676" s="446"/>
      <c r="DL676" s="446"/>
      <c r="DM676" s="446"/>
      <c r="DN676" s="446"/>
      <c r="DO676" s="446"/>
      <c r="DP676" s="446"/>
      <c r="DQ676" s="446"/>
      <c r="DR676" s="446"/>
      <c r="DS676" s="446"/>
      <c r="DT676" s="446"/>
      <c r="DU676" s="446"/>
      <c r="DV676" s="446"/>
      <c r="DW676" s="446"/>
    </row>
    <row r="677" spans="96:127" ht="15" customHeight="1" x14ac:dyDescent="0.25">
      <c r="CR677" s="446"/>
      <c r="CS677" s="446"/>
      <c r="CT677" s="446"/>
      <c r="CU677" s="446"/>
      <c r="CV677" s="446"/>
      <c r="CW677" s="752"/>
      <c r="CX677" s="752"/>
      <c r="CY677" s="752"/>
      <c r="CZ677" s="752"/>
      <c r="DA677" s="752"/>
      <c r="DB677" s="446"/>
      <c r="DC677" s="446"/>
      <c r="DD677" s="446"/>
      <c r="DE677" s="446"/>
      <c r="DF677" s="446"/>
      <c r="DG677" s="446"/>
      <c r="DH677" s="446"/>
      <c r="DI677" s="446"/>
      <c r="DJ677" s="446"/>
      <c r="DK677" s="446"/>
      <c r="DL677" s="446"/>
      <c r="DM677" s="446"/>
      <c r="DN677" s="446"/>
      <c r="DO677" s="446"/>
      <c r="DP677" s="446"/>
      <c r="DQ677" s="446"/>
      <c r="DR677" s="446"/>
      <c r="DS677" s="446"/>
      <c r="DT677" s="446"/>
      <c r="DU677" s="446"/>
      <c r="DV677" s="446"/>
      <c r="DW677" s="446"/>
    </row>
    <row r="678" spans="96:127" ht="15" customHeight="1" x14ac:dyDescent="0.25">
      <c r="CR678" s="446"/>
      <c r="CS678" s="446"/>
      <c r="CT678" s="446"/>
      <c r="CU678" s="446"/>
      <c r="CV678" s="446"/>
      <c r="CW678" s="752"/>
      <c r="CX678" s="752"/>
      <c r="CY678" s="752"/>
      <c r="CZ678" s="752"/>
      <c r="DA678" s="752"/>
      <c r="DB678" s="446"/>
      <c r="DC678" s="446"/>
      <c r="DD678" s="446"/>
      <c r="DE678" s="446"/>
      <c r="DF678" s="446"/>
      <c r="DG678" s="446"/>
      <c r="DH678" s="446"/>
      <c r="DI678" s="446"/>
      <c r="DJ678" s="446"/>
      <c r="DK678" s="446"/>
      <c r="DL678" s="446"/>
      <c r="DM678" s="446"/>
      <c r="DN678" s="446"/>
      <c r="DO678" s="446"/>
      <c r="DP678" s="446"/>
      <c r="DQ678" s="446"/>
      <c r="DR678" s="446"/>
      <c r="DS678" s="446"/>
      <c r="DT678" s="446"/>
      <c r="DU678" s="446"/>
      <c r="DV678" s="446"/>
      <c r="DW678" s="446"/>
    </row>
    <row r="679" spans="96:127" ht="15" customHeight="1" x14ac:dyDescent="0.25">
      <c r="CR679" s="446"/>
      <c r="CS679" s="446"/>
      <c r="CT679" s="446"/>
      <c r="CU679" s="446"/>
      <c r="CV679" s="446"/>
      <c r="CW679" s="752"/>
      <c r="CX679" s="752"/>
      <c r="CY679" s="752"/>
      <c r="CZ679" s="752"/>
      <c r="DA679" s="752"/>
      <c r="DB679" s="446"/>
      <c r="DC679" s="446"/>
      <c r="DD679" s="446"/>
      <c r="DE679" s="446"/>
      <c r="DF679" s="446"/>
      <c r="DG679" s="446"/>
      <c r="DH679" s="446"/>
      <c r="DI679" s="446"/>
      <c r="DJ679" s="446"/>
      <c r="DK679" s="446"/>
      <c r="DL679" s="446"/>
      <c r="DM679" s="446"/>
      <c r="DN679" s="446"/>
      <c r="DO679" s="446"/>
      <c r="DP679" s="446"/>
      <c r="DQ679" s="446"/>
      <c r="DR679" s="446"/>
      <c r="DS679" s="446"/>
      <c r="DT679" s="446"/>
      <c r="DU679" s="446"/>
      <c r="DV679" s="446"/>
      <c r="DW679" s="446"/>
    </row>
    <row r="680" spans="96:127" ht="15" customHeight="1" x14ac:dyDescent="0.25">
      <c r="CR680" s="446"/>
      <c r="CS680" s="446"/>
      <c r="CT680" s="446"/>
      <c r="CU680" s="446"/>
      <c r="CV680" s="446"/>
      <c r="CW680" s="752"/>
      <c r="CX680" s="752"/>
      <c r="CY680" s="752"/>
      <c r="CZ680" s="752"/>
      <c r="DA680" s="752"/>
      <c r="DB680" s="446"/>
      <c r="DC680" s="446"/>
      <c r="DD680" s="446"/>
      <c r="DE680" s="446"/>
      <c r="DF680" s="446"/>
      <c r="DG680" s="446"/>
      <c r="DH680" s="446"/>
      <c r="DI680" s="446"/>
      <c r="DJ680" s="446"/>
      <c r="DK680" s="446"/>
      <c r="DL680" s="446"/>
      <c r="DM680" s="446"/>
      <c r="DN680" s="446"/>
      <c r="DO680" s="446"/>
      <c r="DP680" s="446"/>
      <c r="DQ680" s="446"/>
      <c r="DR680" s="446"/>
      <c r="DS680" s="446"/>
      <c r="DT680" s="446"/>
      <c r="DU680" s="446"/>
      <c r="DV680" s="446"/>
      <c r="DW680" s="446"/>
    </row>
    <row r="681" spans="96:127" ht="15" customHeight="1" x14ac:dyDescent="0.25">
      <c r="CR681" s="446"/>
      <c r="CS681" s="446"/>
      <c r="CT681" s="446"/>
      <c r="CU681" s="446"/>
      <c r="CV681" s="446"/>
      <c r="CW681" s="752"/>
      <c r="CX681" s="752"/>
      <c r="CY681" s="752"/>
      <c r="CZ681" s="752"/>
      <c r="DA681" s="752"/>
      <c r="DB681" s="446"/>
      <c r="DC681" s="446"/>
      <c r="DD681" s="446"/>
      <c r="DE681" s="446"/>
      <c r="DF681" s="446"/>
      <c r="DG681" s="446"/>
      <c r="DH681" s="446"/>
      <c r="DI681" s="446"/>
      <c r="DJ681" s="446"/>
      <c r="DK681" s="446"/>
      <c r="DL681" s="446"/>
      <c r="DM681" s="446"/>
      <c r="DN681" s="446"/>
      <c r="DO681" s="446"/>
      <c r="DP681" s="446"/>
      <c r="DQ681" s="446"/>
      <c r="DR681" s="446"/>
      <c r="DS681" s="446"/>
      <c r="DT681" s="446"/>
      <c r="DU681" s="446"/>
      <c r="DV681" s="446"/>
      <c r="DW681" s="446"/>
    </row>
    <row r="682" spans="96:127" ht="15" customHeight="1" x14ac:dyDescent="0.25">
      <c r="CR682" s="446"/>
      <c r="CS682" s="446"/>
      <c r="CT682" s="446"/>
      <c r="CU682" s="446"/>
      <c r="CV682" s="446"/>
      <c r="CW682" s="752"/>
      <c r="CX682" s="752"/>
      <c r="CY682" s="752"/>
      <c r="CZ682" s="752"/>
      <c r="DA682" s="752"/>
      <c r="DB682" s="446"/>
      <c r="DC682" s="446"/>
      <c r="DD682" s="446"/>
      <c r="DE682" s="446"/>
      <c r="DF682" s="446"/>
      <c r="DG682" s="446"/>
      <c r="DH682" s="446"/>
      <c r="DI682" s="446"/>
      <c r="DJ682" s="446"/>
      <c r="DK682" s="446"/>
      <c r="DL682" s="446"/>
      <c r="DM682" s="446"/>
      <c r="DN682" s="446"/>
      <c r="DO682" s="446"/>
      <c r="DP682" s="446"/>
      <c r="DQ682" s="446"/>
      <c r="DR682" s="446"/>
      <c r="DS682" s="446"/>
      <c r="DT682" s="446"/>
      <c r="DU682" s="446"/>
      <c r="DV682" s="446"/>
      <c r="DW682" s="446"/>
    </row>
    <row r="683" spans="96:127" ht="15" customHeight="1" x14ac:dyDescent="0.25">
      <c r="CR683" s="446"/>
      <c r="CS683" s="446"/>
      <c r="CT683" s="446"/>
      <c r="CU683" s="446"/>
      <c r="CV683" s="446"/>
      <c r="CW683" s="752"/>
      <c r="CX683" s="752"/>
      <c r="CY683" s="752"/>
      <c r="CZ683" s="752"/>
      <c r="DA683" s="752"/>
      <c r="DB683" s="446"/>
      <c r="DC683" s="446"/>
      <c r="DD683" s="446"/>
      <c r="DE683" s="446"/>
      <c r="DF683" s="446"/>
      <c r="DG683" s="446"/>
      <c r="DH683" s="446"/>
      <c r="DI683" s="446"/>
      <c r="DJ683" s="446"/>
      <c r="DK683" s="446"/>
      <c r="DL683" s="446"/>
      <c r="DM683" s="446"/>
      <c r="DN683" s="446"/>
      <c r="DO683" s="446"/>
      <c r="DP683" s="446"/>
      <c r="DQ683" s="446"/>
      <c r="DR683" s="446"/>
      <c r="DS683" s="446"/>
      <c r="DT683" s="446"/>
      <c r="DU683" s="446"/>
      <c r="DV683" s="446"/>
      <c r="DW683" s="446"/>
    </row>
    <row r="684" spans="96:127" ht="15" customHeight="1" x14ac:dyDescent="0.25">
      <c r="CR684" s="446"/>
      <c r="CS684" s="446"/>
      <c r="CT684" s="446"/>
      <c r="CU684" s="446"/>
      <c r="CV684" s="446"/>
      <c r="CW684" s="752"/>
      <c r="CX684" s="752"/>
      <c r="CY684" s="752"/>
      <c r="CZ684" s="752"/>
      <c r="DA684" s="752"/>
      <c r="DB684" s="446"/>
      <c r="DC684" s="446"/>
      <c r="DD684" s="446"/>
      <c r="DE684" s="446"/>
      <c r="DF684" s="446"/>
      <c r="DG684" s="446"/>
      <c r="DH684" s="446"/>
      <c r="DI684" s="446"/>
      <c r="DJ684" s="446"/>
      <c r="DK684" s="446"/>
      <c r="DL684" s="446"/>
      <c r="DM684" s="446"/>
      <c r="DN684" s="446"/>
      <c r="DO684" s="446"/>
      <c r="DP684" s="446"/>
      <c r="DQ684" s="446"/>
      <c r="DR684" s="446"/>
      <c r="DS684" s="446"/>
      <c r="DT684" s="446"/>
      <c r="DU684" s="446"/>
      <c r="DV684" s="446"/>
      <c r="DW684" s="446"/>
    </row>
    <row r="685" spans="96:127" ht="15" customHeight="1" x14ac:dyDescent="0.25">
      <c r="CR685" s="446"/>
      <c r="CS685" s="446"/>
      <c r="CT685" s="446"/>
      <c r="CU685" s="446"/>
      <c r="CV685" s="446"/>
      <c r="CW685" s="752"/>
      <c r="CX685" s="752"/>
      <c r="CY685" s="752"/>
      <c r="CZ685" s="752"/>
      <c r="DA685" s="752"/>
      <c r="DB685" s="446"/>
      <c r="DC685" s="446"/>
      <c r="DD685" s="446"/>
      <c r="DE685" s="446"/>
      <c r="DF685" s="446"/>
      <c r="DG685" s="446"/>
      <c r="DH685" s="446"/>
      <c r="DI685" s="446"/>
      <c r="DJ685" s="446"/>
      <c r="DK685" s="446"/>
      <c r="DL685" s="446"/>
      <c r="DM685" s="446"/>
      <c r="DN685" s="446"/>
      <c r="DO685" s="446"/>
      <c r="DP685" s="446"/>
      <c r="DQ685" s="446"/>
      <c r="DR685" s="446"/>
      <c r="DS685" s="446"/>
      <c r="DT685" s="446"/>
      <c r="DU685" s="446"/>
      <c r="DV685" s="446"/>
      <c r="DW685" s="446"/>
    </row>
    <row r="686" spans="96:127" ht="15" customHeight="1" x14ac:dyDescent="0.25">
      <c r="CR686" s="446"/>
      <c r="CS686" s="446"/>
      <c r="CT686" s="446"/>
      <c r="CU686" s="446"/>
      <c r="CV686" s="446"/>
      <c r="CW686" s="752"/>
      <c r="CX686" s="752"/>
      <c r="CY686" s="752"/>
      <c r="CZ686" s="752"/>
      <c r="DA686" s="752"/>
      <c r="DB686" s="446"/>
      <c r="DC686" s="446"/>
      <c r="DD686" s="446"/>
      <c r="DE686" s="446"/>
      <c r="DF686" s="446"/>
      <c r="DG686" s="446"/>
      <c r="DH686" s="446"/>
      <c r="DI686" s="446"/>
      <c r="DJ686" s="446"/>
      <c r="DK686" s="446"/>
      <c r="DL686" s="446"/>
      <c r="DM686" s="446"/>
      <c r="DN686" s="446"/>
      <c r="DO686" s="446"/>
      <c r="DP686" s="446"/>
      <c r="DQ686" s="446"/>
      <c r="DR686" s="446"/>
      <c r="DS686" s="446"/>
      <c r="DT686" s="446"/>
      <c r="DU686" s="446"/>
      <c r="DV686" s="446"/>
      <c r="DW686" s="446"/>
    </row>
    <row r="687" spans="96:127" ht="15" customHeight="1" x14ac:dyDescent="0.25">
      <c r="CR687" s="446"/>
      <c r="CS687" s="446"/>
      <c r="CT687" s="446"/>
      <c r="CU687" s="446"/>
      <c r="CV687" s="446"/>
      <c r="CW687" s="752"/>
      <c r="CX687" s="752"/>
      <c r="CY687" s="752"/>
      <c r="CZ687" s="752"/>
      <c r="DA687" s="752"/>
      <c r="DB687" s="446"/>
      <c r="DC687" s="446"/>
      <c r="DD687" s="446"/>
      <c r="DE687" s="446"/>
      <c r="DF687" s="446"/>
      <c r="DG687" s="446"/>
      <c r="DH687" s="446"/>
      <c r="DI687" s="446"/>
      <c r="DJ687" s="446"/>
      <c r="DK687" s="446"/>
      <c r="DL687" s="446"/>
      <c r="DM687" s="446"/>
      <c r="DN687" s="446"/>
      <c r="DO687" s="446"/>
      <c r="DP687" s="446"/>
      <c r="DQ687" s="446"/>
      <c r="DR687" s="446"/>
      <c r="DS687" s="446"/>
      <c r="DT687" s="446"/>
      <c r="DU687" s="446"/>
      <c r="DV687" s="446"/>
      <c r="DW687" s="446"/>
    </row>
    <row r="688" spans="96:127" ht="15" customHeight="1" x14ac:dyDescent="0.25">
      <c r="CR688" s="446"/>
      <c r="CS688" s="446"/>
      <c r="CT688" s="446"/>
      <c r="CU688" s="446"/>
      <c r="CV688" s="446"/>
      <c r="CW688" s="752"/>
      <c r="CX688" s="752"/>
      <c r="CY688" s="752"/>
      <c r="CZ688" s="752"/>
      <c r="DA688" s="752"/>
      <c r="DB688" s="446"/>
      <c r="DC688" s="446"/>
      <c r="DD688" s="446"/>
      <c r="DE688" s="446"/>
      <c r="DF688" s="446"/>
      <c r="DG688" s="446"/>
      <c r="DH688" s="446"/>
      <c r="DI688" s="446"/>
      <c r="DJ688" s="446"/>
      <c r="DK688" s="446"/>
      <c r="DL688" s="446"/>
      <c r="DM688" s="446"/>
      <c r="DN688" s="446"/>
      <c r="DO688" s="446"/>
      <c r="DP688" s="446"/>
      <c r="DQ688" s="446"/>
      <c r="DR688" s="446"/>
      <c r="DS688" s="446"/>
      <c r="DT688" s="446"/>
      <c r="DU688" s="446"/>
      <c r="DV688" s="446"/>
      <c r="DW688" s="446"/>
    </row>
    <row r="689" spans="96:127" ht="15" customHeight="1" x14ac:dyDescent="0.25">
      <c r="CR689" s="446"/>
      <c r="CS689" s="446"/>
      <c r="CT689" s="446"/>
      <c r="CU689" s="446"/>
      <c r="CV689" s="446"/>
      <c r="CW689" s="752"/>
      <c r="CX689" s="752"/>
      <c r="CY689" s="752"/>
      <c r="CZ689" s="752"/>
      <c r="DA689" s="752"/>
      <c r="DB689" s="446"/>
      <c r="DC689" s="446"/>
      <c r="DD689" s="446"/>
      <c r="DE689" s="446"/>
      <c r="DF689" s="446"/>
      <c r="DG689" s="446"/>
      <c r="DH689" s="446"/>
      <c r="DI689" s="446"/>
      <c r="DJ689" s="446"/>
      <c r="DK689" s="446"/>
      <c r="DL689" s="446"/>
      <c r="DM689" s="446"/>
      <c r="DN689" s="446"/>
      <c r="DO689" s="446"/>
      <c r="DP689" s="446"/>
      <c r="DQ689" s="446"/>
      <c r="DR689" s="446"/>
      <c r="DS689" s="446"/>
      <c r="DT689" s="446"/>
      <c r="DU689" s="446"/>
      <c r="DV689" s="446"/>
      <c r="DW689" s="446"/>
    </row>
    <row r="690" spans="96:127" ht="15" customHeight="1" x14ac:dyDescent="0.25">
      <c r="CR690" s="446"/>
      <c r="CS690" s="446"/>
      <c r="CT690" s="446"/>
      <c r="CU690" s="446"/>
      <c r="CV690" s="446"/>
      <c r="CW690" s="752"/>
      <c r="CX690" s="752"/>
      <c r="CY690" s="752"/>
      <c r="CZ690" s="752"/>
      <c r="DA690" s="752"/>
      <c r="DB690" s="446"/>
      <c r="DC690" s="446"/>
      <c r="DD690" s="446"/>
      <c r="DE690" s="446"/>
      <c r="DF690" s="446"/>
      <c r="DG690" s="446"/>
      <c r="DH690" s="446"/>
      <c r="DI690" s="446"/>
      <c r="DJ690" s="446"/>
      <c r="DK690" s="446"/>
      <c r="DL690" s="446"/>
      <c r="DM690" s="446"/>
      <c r="DN690" s="446"/>
      <c r="DO690" s="446"/>
      <c r="DP690" s="446"/>
      <c r="DQ690" s="446"/>
      <c r="DR690" s="446"/>
      <c r="DS690" s="446"/>
      <c r="DT690" s="446"/>
      <c r="DU690" s="446"/>
      <c r="DV690" s="446"/>
      <c r="DW690" s="446"/>
    </row>
    <row r="691" spans="96:127" ht="15" customHeight="1" x14ac:dyDescent="0.25">
      <c r="CR691" s="446"/>
      <c r="CS691" s="446"/>
      <c r="CT691" s="446"/>
      <c r="CU691" s="446"/>
      <c r="CV691" s="446"/>
      <c r="CW691" s="752"/>
      <c r="CX691" s="752"/>
      <c r="CY691" s="752"/>
      <c r="CZ691" s="752"/>
      <c r="DA691" s="752"/>
      <c r="DB691" s="446"/>
      <c r="DC691" s="446"/>
      <c r="DD691" s="446"/>
      <c r="DE691" s="446"/>
      <c r="DF691" s="446"/>
      <c r="DG691" s="446"/>
      <c r="DH691" s="446"/>
      <c r="DI691" s="446"/>
      <c r="DJ691" s="446"/>
      <c r="DK691" s="446"/>
      <c r="DL691" s="446"/>
      <c r="DM691" s="446"/>
      <c r="DN691" s="446"/>
      <c r="DO691" s="446"/>
      <c r="DP691" s="446"/>
      <c r="DQ691" s="446"/>
      <c r="DR691" s="446"/>
      <c r="DS691" s="446"/>
      <c r="DT691" s="446"/>
      <c r="DU691" s="446"/>
      <c r="DV691" s="446"/>
      <c r="DW691" s="446"/>
    </row>
    <row r="692" spans="96:127" ht="15" customHeight="1" x14ac:dyDescent="0.25">
      <c r="CR692" s="446"/>
      <c r="CS692" s="446"/>
      <c r="CT692" s="446"/>
      <c r="CU692" s="446"/>
      <c r="CV692" s="446"/>
      <c r="CW692" s="752"/>
      <c r="CX692" s="752"/>
      <c r="CY692" s="752"/>
      <c r="CZ692" s="752"/>
      <c r="DA692" s="752"/>
      <c r="DB692" s="446"/>
      <c r="DC692" s="446"/>
      <c r="DD692" s="446"/>
      <c r="DE692" s="446"/>
      <c r="DF692" s="446"/>
      <c r="DG692" s="446"/>
      <c r="DH692" s="446"/>
      <c r="DI692" s="446"/>
      <c r="DJ692" s="446"/>
      <c r="DK692" s="446"/>
      <c r="DL692" s="446"/>
      <c r="DM692" s="446"/>
      <c r="DN692" s="446"/>
      <c r="DO692" s="446"/>
      <c r="DP692" s="446"/>
      <c r="DQ692" s="446"/>
      <c r="DR692" s="446"/>
      <c r="DS692" s="446"/>
      <c r="DT692" s="446"/>
      <c r="DU692" s="446"/>
      <c r="DV692" s="446"/>
      <c r="DW692" s="446"/>
    </row>
    <row r="693" spans="96:127" ht="15" customHeight="1" x14ac:dyDescent="0.25">
      <c r="CR693" s="446"/>
      <c r="CS693" s="446"/>
      <c r="CT693" s="446"/>
      <c r="CU693" s="446"/>
      <c r="CV693" s="446"/>
      <c r="CW693" s="752"/>
      <c r="CX693" s="752"/>
      <c r="CY693" s="752"/>
      <c r="CZ693" s="752"/>
      <c r="DA693" s="752"/>
      <c r="DB693" s="446"/>
      <c r="DC693" s="446"/>
      <c r="DD693" s="446"/>
      <c r="DE693" s="446"/>
      <c r="DF693" s="446"/>
      <c r="DG693" s="446"/>
      <c r="DH693" s="446"/>
      <c r="DI693" s="446"/>
      <c r="DJ693" s="446"/>
      <c r="DK693" s="446"/>
      <c r="DL693" s="446"/>
      <c r="DM693" s="446"/>
      <c r="DN693" s="446"/>
      <c r="DO693" s="446"/>
      <c r="DP693" s="446"/>
      <c r="DQ693" s="446"/>
      <c r="DR693" s="446"/>
      <c r="DS693" s="446"/>
      <c r="DT693" s="446"/>
      <c r="DU693" s="446"/>
      <c r="DV693" s="446"/>
      <c r="DW693" s="446"/>
    </row>
    <row r="694" spans="96:127" ht="15" customHeight="1" x14ac:dyDescent="0.25">
      <c r="CR694" s="446"/>
      <c r="CS694" s="446"/>
      <c r="CT694" s="446"/>
      <c r="CU694" s="446"/>
      <c r="CV694" s="446"/>
      <c r="CW694" s="752"/>
      <c r="CX694" s="752"/>
      <c r="CY694" s="752"/>
      <c r="CZ694" s="752"/>
      <c r="DA694" s="752"/>
      <c r="DB694" s="446"/>
      <c r="DC694" s="446"/>
      <c r="DD694" s="446"/>
      <c r="DE694" s="446"/>
      <c r="DF694" s="446"/>
      <c r="DG694" s="446"/>
      <c r="DH694" s="446"/>
      <c r="DI694" s="446"/>
      <c r="DJ694" s="446"/>
      <c r="DK694" s="446"/>
      <c r="DL694" s="446"/>
      <c r="DM694" s="446"/>
      <c r="DN694" s="446"/>
      <c r="DO694" s="446"/>
      <c r="DP694" s="446"/>
      <c r="DQ694" s="446"/>
      <c r="DR694" s="446"/>
      <c r="DS694" s="446"/>
      <c r="DT694" s="446"/>
      <c r="DU694" s="446"/>
      <c r="DV694" s="446"/>
      <c r="DW694" s="446"/>
    </row>
    <row r="695" spans="96:127" ht="15" customHeight="1" x14ac:dyDescent="0.25">
      <c r="CR695" s="446"/>
      <c r="CS695" s="446"/>
      <c r="CT695" s="446"/>
      <c r="CU695" s="446"/>
      <c r="CV695" s="446"/>
      <c r="CW695" s="752"/>
      <c r="CX695" s="752"/>
      <c r="CY695" s="752"/>
      <c r="CZ695" s="752"/>
      <c r="DA695" s="752"/>
      <c r="DB695" s="446"/>
      <c r="DC695" s="446"/>
      <c r="DD695" s="446"/>
      <c r="DE695" s="446"/>
      <c r="DF695" s="446"/>
      <c r="DG695" s="446"/>
      <c r="DH695" s="446"/>
      <c r="DI695" s="446"/>
      <c r="DJ695" s="446"/>
      <c r="DK695" s="446"/>
      <c r="DL695" s="446"/>
      <c r="DM695" s="446"/>
      <c r="DN695" s="446"/>
      <c r="DO695" s="446"/>
      <c r="DP695" s="446"/>
      <c r="DQ695" s="446"/>
      <c r="DR695" s="446"/>
      <c r="DS695" s="446"/>
      <c r="DT695" s="446"/>
      <c r="DU695" s="446"/>
      <c r="DV695" s="446"/>
      <c r="DW695" s="446"/>
    </row>
    <row r="696" spans="96:127" ht="15" customHeight="1" x14ac:dyDescent="0.25">
      <c r="CR696" s="446"/>
      <c r="CS696" s="446"/>
      <c r="CT696" s="446"/>
      <c r="CU696" s="446"/>
      <c r="CV696" s="446"/>
      <c r="CW696" s="752"/>
      <c r="CX696" s="752"/>
      <c r="CY696" s="752"/>
      <c r="CZ696" s="752"/>
      <c r="DA696" s="752"/>
      <c r="DB696" s="446"/>
      <c r="DC696" s="446"/>
      <c r="DD696" s="446"/>
      <c r="DE696" s="446"/>
      <c r="DF696" s="446"/>
      <c r="DG696" s="446"/>
      <c r="DH696" s="446"/>
      <c r="DI696" s="446"/>
      <c r="DJ696" s="446"/>
      <c r="DK696" s="446"/>
      <c r="DL696" s="446"/>
      <c r="DM696" s="446"/>
      <c r="DN696" s="446"/>
      <c r="DO696" s="446"/>
      <c r="DP696" s="446"/>
      <c r="DQ696" s="446"/>
      <c r="DR696" s="446"/>
      <c r="DS696" s="446"/>
      <c r="DT696" s="446"/>
      <c r="DU696" s="446"/>
      <c r="DV696" s="446"/>
      <c r="DW696" s="446"/>
    </row>
    <row r="697" spans="96:127" ht="15" customHeight="1" x14ac:dyDescent="0.25">
      <c r="CR697" s="446"/>
      <c r="CS697" s="446"/>
      <c r="CT697" s="446"/>
      <c r="CU697" s="446"/>
      <c r="CV697" s="446"/>
      <c r="CW697" s="752"/>
      <c r="CX697" s="752"/>
      <c r="CY697" s="752"/>
      <c r="CZ697" s="752"/>
      <c r="DA697" s="752"/>
      <c r="DB697" s="446"/>
      <c r="DC697" s="446"/>
      <c r="DD697" s="446"/>
      <c r="DE697" s="446"/>
      <c r="DF697" s="446"/>
      <c r="DG697" s="446"/>
      <c r="DH697" s="446"/>
      <c r="DI697" s="446"/>
      <c r="DJ697" s="446"/>
      <c r="DK697" s="446"/>
      <c r="DL697" s="446"/>
      <c r="DM697" s="446"/>
      <c r="DN697" s="446"/>
      <c r="DO697" s="446"/>
      <c r="DP697" s="446"/>
      <c r="DQ697" s="446"/>
      <c r="DR697" s="446"/>
      <c r="DS697" s="446"/>
      <c r="DT697" s="446"/>
      <c r="DU697" s="446"/>
      <c r="DV697" s="446"/>
      <c r="DW697" s="446"/>
    </row>
    <row r="698" spans="96:127" ht="15" customHeight="1" x14ac:dyDescent="0.25">
      <c r="CR698" s="446"/>
      <c r="CS698" s="446"/>
      <c r="CT698" s="446"/>
      <c r="CU698" s="446"/>
      <c r="CV698" s="446"/>
      <c r="CW698" s="752"/>
      <c r="CX698" s="752"/>
      <c r="CY698" s="752"/>
      <c r="CZ698" s="752"/>
      <c r="DA698" s="752"/>
      <c r="DB698" s="446"/>
      <c r="DC698" s="446"/>
      <c r="DD698" s="446"/>
      <c r="DE698" s="446"/>
      <c r="DF698" s="446"/>
      <c r="DG698" s="446"/>
      <c r="DH698" s="446"/>
      <c r="DI698" s="446"/>
      <c r="DJ698" s="446"/>
      <c r="DK698" s="446"/>
      <c r="DL698" s="446"/>
      <c r="DM698" s="446"/>
      <c r="DN698" s="446"/>
      <c r="DO698" s="446"/>
      <c r="DP698" s="446"/>
      <c r="DQ698" s="446"/>
      <c r="DR698" s="446"/>
      <c r="DS698" s="446"/>
      <c r="DT698" s="446"/>
      <c r="DU698" s="446"/>
      <c r="DV698" s="446"/>
      <c r="DW698" s="446"/>
    </row>
    <row r="699" spans="96:127" ht="15" customHeight="1" x14ac:dyDescent="0.25">
      <c r="CR699" s="446"/>
      <c r="CS699" s="446"/>
      <c r="CT699" s="446"/>
      <c r="CU699" s="446"/>
      <c r="CV699" s="446"/>
      <c r="CW699" s="752"/>
      <c r="CX699" s="752"/>
      <c r="CY699" s="752"/>
      <c r="CZ699" s="752"/>
      <c r="DA699" s="752"/>
      <c r="DB699" s="446"/>
      <c r="DC699" s="446"/>
      <c r="DD699" s="446"/>
      <c r="DE699" s="446"/>
      <c r="DF699" s="446"/>
      <c r="DG699" s="446"/>
      <c r="DH699" s="446"/>
      <c r="DI699" s="446"/>
      <c r="DJ699" s="446"/>
      <c r="DK699" s="446"/>
      <c r="DL699" s="446"/>
      <c r="DM699" s="446"/>
      <c r="DN699" s="446"/>
      <c r="DO699" s="446"/>
      <c r="DP699" s="446"/>
      <c r="DQ699" s="446"/>
      <c r="DR699" s="446"/>
      <c r="DS699" s="446"/>
      <c r="DT699" s="446"/>
      <c r="DU699" s="446"/>
      <c r="DV699" s="446"/>
      <c r="DW699" s="446"/>
    </row>
    <row r="700" spans="96:127" ht="15" customHeight="1" x14ac:dyDescent="0.25">
      <c r="CR700" s="446"/>
      <c r="CS700" s="446"/>
      <c r="CT700" s="446"/>
      <c r="CU700" s="446"/>
      <c r="CV700" s="446"/>
      <c r="CW700" s="752"/>
      <c r="CX700" s="752"/>
      <c r="CY700" s="752"/>
      <c r="CZ700" s="752"/>
      <c r="DA700" s="752"/>
      <c r="DB700" s="446"/>
      <c r="DC700" s="446"/>
      <c r="DD700" s="446"/>
      <c r="DE700" s="446"/>
      <c r="DF700" s="446"/>
      <c r="DG700" s="446"/>
      <c r="DH700" s="446"/>
      <c r="DI700" s="446"/>
      <c r="DJ700" s="446"/>
      <c r="DK700" s="446"/>
      <c r="DL700" s="446"/>
      <c r="DM700" s="446"/>
      <c r="DN700" s="446"/>
      <c r="DO700" s="446"/>
      <c r="DP700" s="446"/>
      <c r="DQ700" s="446"/>
      <c r="DR700" s="446"/>
      <c r="DS700" s="446"/>
      <c r="DT700" s="446"/>
      <c r="DU700" s="446"/>
      <c r="DV700" s="446"/>
      <c r="DW700" s="446"/>
    </row>
    <row r="701" spans="96:127" ht="15" customHeight="1" x14ac:dyDescent="0.25">
      <c r="CR701" s="446"/>
      <c r="CS701" s="446"/>
      <c r="CT701" s="446"/>
      <c r="CU701" s="446"/>
      <c r="CV701" s="446"/>
      <c r="CW701" s="752"/>
      <c r="CX701" s="752"/>
      <c r="CY701" s="752"/>
      <c r="CZ701" s="752"/>
      <c r="DA701" s="752"/>
      <c r="DB701" s="446"/>
      <c r="DC701" s="446"/>
      <c r="DD701" s="446"/>
      <c r="DE701" s="446"/>
      <c r="DF701" s="446"/>
      <c r="DG701" s="446"/>
      <c r="DH701" s="446"/>
      <c r="DI701" s="446"/>
      <c r="DJ701" s="446"/>
      <c r="DK701" s="446"/>
      <c r="DL701" s="446"/>
      <c r="DM701" s="446"/>
      <c r="DN701" s="446"/>
      <c r="DO701" s="446"/>
      <c r="DP701" s="446"/>
      <c r="DQ701" s="446"/>
      <c r="DR701" s="446"/>
      <c r="DS701" s="446"/>
      <c r="DT701" s="446"/>
      <c r="DU701" s="446"/>
      <c r="DV701" s="446"/>
      <c r="DW701" s="446"/>
    </row>
    <row r="702" spans="96:127" ht="15" customHeight="1" x14ac:dyDescent="0.25">
      <c r="CR702" s="446"/>
      <c r="CS702" s="446"/>
      <c r="CT702" s="446"/>
      <c r="CU702" s="446"/>
      <c r="CV702" s="446"/>
      <c r="CW702" s="752"/>
      <c r="CX702" s="752"/>
      <c r="CY702" s="752"/>
      <c r="CZ702" s="752"/>
      <c r="DA702" s="752"/>
      <c r="DB702" s="446"/>
      <c r="DC702" s="446"/>
      <c r="DD702" s="446"/>
      <c r="DE702" s="446"/>
      <c r="DF702" s="446"/>
      <c r="DG702" s="446"/>
      <c r="DH702" s="446"/>
      <c r="DI702" s="446"/>
      <c r="DJ702" s="446"/>
      <c r="DK702" s="446"/>
      <c r="DL702" s="446"/>
      <c r="DM702" s="446"/>
      <c r="DN702" s="446"/>
      <c r="DO702" s="446"/>
      <c r="DP702" s="446"/>
      <c r="DQ702" s="446"/>
      <c r="DR702" s="446"/>
      <c r="DS702" s="446"/>
      <c r="DT702" s="446"/>
      <c r="DU702" s="446"/>
      <c r="DV702" s="446"/>
      <c r="DW702" s="446"/>
    </row>
    <row r="703" spans="96:127" ht="15" customHeight="1" x14ac:dyDescent="0.25">
      <c r="CR703" s="446"/>
      <c r="CS703" s="446"/>
      <c r="CT703" s="446"/>
      <c r="CU703" s="446"/>
      <c r="CV703" s="446"/>
      <c r="CW703" s="752"/>
      <c r="CX703" s="752"/>
      <c r="CY703" s="752"/>
      <c r="CZ703" s="752"/>
      <c r="DA703" s="752"/>
      <c r="DB703" s="446"/>
      <c r="DC703" s="446"/>
      <c r="DD703" s="446"/>
      <c r="DE703" s="446"/>
      <c r="DF703" s="446"/>
      <c r="DG703" s="446"/>
      <c r="DH703" s="446"/>
      <c r="DI703" s="446"/>
      <c r="DJ703" s="446"/>
      <c r="DK703" s="446"/>
      <c r="DL703" s="446"/>
      <c r="DM703" s="446"/>
      <c r="DN703" s="446"/>
      <c r="DO703" s="446"/>
      <c r="DP703" s="446"/>
      <c r="DQ703" s="446"/>
      <c r="DR703" s="446"/>
      <c r="DS703" s="446"/>
      <c r="DT703" s="446"/>
      <c r="DU703" s="446"/>
      <c r="DV703" s="446"/>
      <c r="DW703" s="446"/>
    </row>
    <row r="704" spans="96:127" ht="15" customHeight="1" x14ac:dyDescent="0.25">
      <c r="CR704" s="446"/>
      <c r="CS704" s="446"/>
      <c r="CT704" s="446"/>
      <c r="CU704" s="446"/>
      <c r="CV704" s="446"/>
      <c r="CW704" s="752"/>
      <c r="CX704" s="752"/>
      <c r="CY704" s="752"/>
      <c r="CZ704" s="752"/>
      <c r="DA704" s="752"/>
      <c r="DB704" s="446"/>
      <c r="DC704" s="446"/>
      <c r="DD704" s="446"/>
      <c r="DE704" s="446"/>
      <c r="DF704" s="446"/>
      <c r="DG704" s="446"/>
      <c r="DH704" s="446"/>
      <c r="DI704" s="446"/>
      <c r="DJ704" s="446"/>
      <c r="DK704" s="446"/>
      <c r="DL704" s="446"/>
      <c r="DM704" s="446"/>
      <c r="DN704" s="446"/>
      <c r="DO704" s="446"/>
      <c r="DP704" s="446"/>
      <c r="DQ704" s="446"/>
      <c r="DR704" s="446"/>
      <c r="DS704" s="446"/>
      <c r="DT704" s="446"/>
      <c r="DU704" s="446"/>
      <c r="DV704" s="446"/>
      <c r="DW704" s="446"/>
    </row>
    <row r="705" spans="96:127" ht="15" customHeight="1" x14ac:dyDescent="0.25">
      <c r="CR705" s="446"/>
      <c r="CS705" s="446"/>
      <c r="CT705" s="446"/>
      <c r="CU705" s="446"/>
      <c r="CV705" s="446"/>
      <c r="CW705" s="752"/>
      <c r="CX705" s="752"/>
      <c r="CY705" s="752"/>
      <c r="CZ705" s="752"/>
      <c r="DA705" s="752"/>
      <c r="DB705" s="446"/>
      <c r="DC705" s="446"/>
      <c r="DD705" s="446"/>
      <c r="DE705" s="446"/>
      <c r="DF705" s="446"/>
      <c r="DG705" s="446"/>
      <c r="DH705" s="446"/>
      <c r="DI705" s="446"/>
      <c r="DJ705" s="446"/>
      <c r="DK705" s="446"/>
      <c r="DL705" s="446"/>
      <c r="DM705" s="446"/>
      <c r="DN705" s="446"/>
      <c r="DO705" s="446"/>
      <c r="DP705" s="446"/>
      <c r="DQ705" s="446"/>
      <c r="DR705" s="446"/>
      <c r="DS705" s="446"/>
      <c r="DT705" s="446"/>
      <c r="DU705" s="446"/>
      <c r="DV705" s="446"/>
      <c r="DW705" s="446"/>
    </row>
    <row r="706" spans="96:127" ht="15" customHeight="1" x14ac:dyDescent="0.25">
      <c r="CR706" s="446"/>
      <c r="CS706" s="446"/>
      <c r="CT706" s="446"/>
      <c r="CU706" s="446"/>
      <c r="CV706" s="446"/>
      <c r="CW706" s="752"/>
      <c r="CX706" s="752"/>
      <c r="CY706" s="752"/>
      <c r="CZ706" s="752"/>
      <c r="DA706" s="752"/>
      <c r="DB706" s="446"/>
      <c r="DC706" s="446"/>
      <c r="DD706" s="446"/>
      <c r="DE706" s="446"/>
      <c r="DF706" s="446"/>
      <c r="DG706" s="446"/>
      <c r="DH706" s="446"/>
      <c r="DI706" s="446"/>
      <c r="DJ706" s="446"/>
      <c r="DK706" s="446"/>
      <c r="DL706" s="446"/>
      <c r="DM706" s="446"/>
      <c r="DN706" s="446"/>
      <c r="DO706" s="446"/>
      <c r="DP706" s="446"/>
      <c r="DQ706" s="446"/>
      <c r="DR706" s="446"/>
      <c r="DS706" s="446"/>
      <c r="DT706" s="446"/>
      <c r="DU706" s="446"/>
      <c r="DV706" s="446"/>
      <c r="DW706" s="446"/>
    </row>
    <row r="707" spans="96:127" ht="15" customHeight="1" x14ac:dyDescent="0.25">
      <c r="CR707" s="446"/>
      <c r="CS707" s="446"/>
      <c r="CT707" s="446"/>
      <c r="CU707" s="446"/>
      <c r="CV707" s="446"/>
      <c r="CW707" s="752"/>
      <c r="CX707" s="752"/>
      <c r="CY707" s="752"/>
      <c r="CZ707" s="752"/>
      <c r="DA707" s="752"/>
      <c r="DB707" s="446"/>
      <c r="DC707" s="446"/>
      <c r="DD707" s="446"/>
      <c r="DE707" s="446"/>
      <c r="DF707" s="446"/>
      <c r="DG707" s="446"/>
      <c r="DH707" s="446"/>
      <c r="DI707" s="446"/>
      <c r="DJ707" s="446"/>
      <c r="DK707" s="446"/>
      <c r="DL707" s="446"/>
      <c r="DM707" s="446"/>
      <c r="DN707" s="446"/>
      <c r="DO707" s="446"/>
      <c r="DP707" s="446"/>
      <c r="DQ707" s="446"/>
      <c r="DR707" s="446"/>
      <c r="DS707" s="446"/>
      <c r="DT707" s="446"/>
      <c r="DU707" s="446"/>
      <c r="DV707" s="446"/>
      <c r="DW707" s="446"/>
    </row>
    <row r="708" spans="96:127" ht="15" customHeight="1" x14ac:dyDescent="0.25">
      <c r="CR708" s="446"/>
      <c r="CS708" s="446"/>
      <c r="CT708" s="446"/>
      <c r="CU708" s="446"/>
      <c r="CV708" s="446"/>
      <c r="CW708" s="752"/>
      <c r="CX708" s="752"/>
      <c r="CY708" s="752"/>
      <c r="CZ708" s="752"/>
      <c r="DA708" s="752"/>
      <c r="DB708" s="446"/>
      <c r="DC708" s="446"/>
      <c r="DD708" s="446"/>
      <c r="DE708" s="446"/>
      <c r="DF708" s="446"/>
      <c r="DG708" s="446"/>
      <c r="DH708" s="446"/>
      <c r="DI708" s="446"/>
      <c r="DJ708" s="446"/>
      <c r="DK708" s="446"/>
      <c r="DL708" s="446"/>
      <c r="DM708" s="446"/>
      <c r="DN708" s="446"/>
      <c r="DO708" s="446"/>
      <c r="DP708" s="446"/>
      <c r="DQ708" s="446"/>
      <c r="DR708" s="446"/>
      <c r="DS708" s="446"/>
      <c r="DT708" s="446"/>
      <c r="DU708" s="446"/>
      <c r="DV708" s="446"/>
      <c r="DW708" s="446"/>
    </row>
    <row r="709" spans="96:127" ht="15" customHeight="1" x14ac:dyDescent="0.25">
      <c r="CR709" s="446"/>
      <c r="CS709" s="446"/>
      <c r="CT709" s="446"/>
      <c r="CU709" s="446"/>
      <c r="CV709" s="446"/>
      <c r="CW709" s="752"/>
      <c r="CX709" s="752"/>
      <c r="CY709" s="752"/>
      <c r="CZ709" s="752"/>
      <c r="DA709" s="752"/>
      <c r="DB709" s="446"/>
      <c r="DC709" s="446"/>
      <c r="DD709" s="446"/>
      <c r="DE709" s="446"/>
      <c r="DF709" s="446"/>
      <c r="DG709" s="446"/>
      <c r="DH709" s="446"/>
      <c r="DI709" s="446"/>
      <c r="DJ709" s="446"/>
      <c r="DK709" s="446"/>
      <c r="DL709" s="446"/>
      <c r="DM709" s="446"/>
      <c r="DN709" s="446"/>
      <c r="DO709" s="446"/>
      <c r="DP709" s="446"/>
      <c r="DQ709" s="446"/>
      <c r="DR709" s="446"/>
      <c r="DS709" s="446"/>
      <c r="DT709" s="446"/>
      <c r="DU709" s="446"/>
      <c r="DV709" s="446"/>
      <c r="DW709" s="446"/>
    </row>
    <row r="710" spans="96:127" ht="15" customHeight="1" x14ac:dyDescent="0.25">
      <c r="CR710" s="446"/>
      <c r="CS710" s="446"/>
      <c r="CT710" s="446"/>
      <c r="CU710" s="446"/>
      <c r="CV710" s="446"/>
      <c r="CW710" s="752"/>
      <c r="CX710" s="752"/>
      <c r="CY710" s="752"/>
      <c r="CZ710" s="752"/>
      <c r="DA710" s="752"/>
      <c r="DB710" s="446"/>
      <c r="DC710" s="446"/>
      <c r="DD710" s="446"/>
      <c r="DE710" s="446"/>
      <c r="DF710" s="446"/>
      <c r="DG710" s="446"/>
      <c r="DH710" s="446"/>
      <c r="DI710" s="446"/>
      <c r="DJ710" s="446"/>
      <c r="DK710" s="446"/>
      <c r="DL710" s="446"/>
      <c r="DM710" s="446"/>
      <c r="DN710" s="446"/>
      <c r="DO710" s="446"/>
      <c r="DP710" s="446"/>
      <c r="DQ710" s="446"/>
      <c r="DR710" s="446"/>
      <c r="DS710" s="446"/>
      <c r="DT710" s="446"/>
      <c r="DU710" s="446"/>
      <c r="DV710" s="446"/>
      <c r="DW710" s="446"/>
    </row>
    <row r="711" spans="96:127" ht="15" customHeight="1" x14ac:dyDescent="0.25">
      <c r="CR711" s="446"/>
      <c r="CS711" s="446"/>
      <c r="CT711" s="446"/>
      <c r="CU711" s="446"/>
      <c r="CV711" s="446"/>
      <c r="CW711" s="752"/>
      <c r="CX711" s="752"/>
      <c r="CY711" s="752"/>
      <c r="CZ711" s="752"/>
      <c r="DA711" s="752"/>
      <c r="DB711" s="446"/>
      <c r="DC711" s="446"/>
      <c r="DD711" s="446"/>
      <c r="DE711" s="446"/>
      <c r="DF711" s="446"/>
      <c r="DG711" s="446"/>
      <c r="DH711" s="446"/>
      <c r="DI711" s="446"/>
      <c r="DJ711" s="446"/>
      <c r="DK711" s="446"/>
      <c r="DL711" s="446"/>
      <c r="DM711" s="446"/>
      <c r="DN711" s="446"/>
      <c r="DO711" s="446"/>
      <c r="DP711" s="446"/>
      <c r="DQ711" s="446"/>
      <c r="DR711" s="446"/>
      <c r="DS711" s="446"/>
      <c r="DT711" s="446"/>
      <c r="DU711" s="446"/>
      <c r="DV711" s="446"/>
      <c r="DW711" s="446"/>
    </row>
    <row r="712" spans="96:127" ht="15" customHeight="1" x14ac:dyDescent="0.25">
      <c r="CR712" s="446"/>
      <c r="CS712" s="446"/>
      <c r="CT712" s="446"/>
      <c r="CU712" s="446"/>
      <c r="CV712" s="446"/>
      <c r="CW712" s="752"/>
      <c r="CX712" s="752"/>
      <c r="CY712" s="752"/>
      <c r="CZ712" s="752"/>
      <c r="DA712" s="752"/>
      <c r="DB712" s="446"/>
      <c r="DC712" s="446"/>
      <c r="DD712" s="446"/>
      <c r="DE712" s="446"/>
      <c r="DF712" s="446"/>
      <c r="DG712" s="446"/>
      <c r="DH712" s="446"/>
      <c r="DI712" s="446"/>
      <c r="DJ712" s="446"/>
      <c r="DK712" s="446"/>
      <c r="DL712" s="446"/>
      <c r="DM712" s="446"/>
      <c r="DN712" s="446"/>
      <c r="DO712" s="446"/>
      <c r="DP712" s="446"/>
      <c r="DQ712" s="446"/>
      <c r="DR712" s="446"/>
      <c r="DS712" s="446"/>
      <c r="DT712" s="446"/>
      <c r="DU712" s="446"/>
      <c r="DV712" s="446"/>
      <c r="DW712" s="446"/>
    </row>
    <row r="713" spans="96:127" ht="15" customHeight="1" x14ac:dyDescent="0.25">
      <c r="CR713" s="446"/>
      <c r="CS713" s="446"/>
      <c r="CT713" s="446"/>
      <c r="CU713" s="446"/>
      <c r="CV713" s="446"/>
      <c r="CW713" s="752"/>
      <c r="CX713" s="752"/>
      <c r="CY713" s="752"/>
      <c r="CZ713" s="752"/>
      <c r="DA713" s="752"/>
      <c r="DB713" s="446"/>
      <c r="DC713" s="446"/>
      <c r="DD713" s="446"/>
      <c r="DE713" s="446"/>
      <c r="DF713" s="446"/>
      <c r="DG713" s="446"/>
      <c r="DH713" s="446"/>
      <c r="DI713" s="446"/>
      <c r="DJ713" s="446"/>
      <c r="DK713" s="446"/>
      <c r="DL713" s="446"/>
      <c r="DM713" s="446"/>
      <c r="DN713" s="446"/>
      <c r="DO713" s="446"/>
      <c r="DP713" s="446"/>
      <c r="DQ713" s="446"/>
      <c r="DR713" s="446"/>
      <c r="DS713" s="446"/>
      <c r="DT713" s="446"/>
      <c r="DU713" s="446"/>
      <c r="DV713" s="446"/>
      <c r="DW713" s="446"/>
    </row>
    <row r="714" spans="96:127" ht="15" customHeight="1" x14ac:dyDescent="0.25">
      <c r="CR714" s="446"/>
      <c r="CS714" s="446"/>
      <c r="CT714" s="446"/>
      <c r="CU714" s="446"/>
      <c r="CV714" s="446"/>
      <c r="CW714" s="752"/>
      <c r="CX714" s="752"/>
      <c r="CY714" s="752"/>
      <c r="CZ714" s="752"/>
      <c r="DA714" s="752"/>
      <c r="DB714" s="446"/>
      <c r="DC714" s="446"/>
      <c r="DD714" s="446"/>
      <c r="DE714" s="446"/>
      <c r="DF714" s="446"/>
      <c r="DG714" s="446"/>
      <c r="DH714" s="446"/>
      <c r="DI714" s="446"/>
      <c r="DJ714" s="446"/>
      <c r="DK714" s="446"/>
      <c r="DL714" s="446"/>
      <c r="DM714" s="446"/>
      <c r="DN714" s="446"/>
      <c r="DO714" s="446"/>
      <c r="DP714" s="446"/>
      <c r="DQ714" s="446"/>
      <c r="DR714" s="446"/>
      <c r="DS714" s="446"/>
      <c r="DT714" s="446"/>
      <c r="DU714" s="446"/>
      <c r="DV714" s="446"/>
      <c r="DW714" s="446"/>
    </row>
    <row r="715" spans="96:127" ht="15" customHeight="1" x14ac:dyDescent="0.25">
      <c r="CR715" s="446"/>
      <c r="CS715" s="446"/>
      <c r="CT715" s="446"/>
      <c r="CU715" s="446"/>
      <c r="CV715" s="446"/>
      <c r="CW715" s="752"/>
      <c r="CX715" s="752"/>
      <c r="CY715" s="752"/>
      <c r="CZ715" s="752"/>
      <c r="DA715" s="752"/>
      <c r="DB715" s="446"/>
      <c r="DC715" s="446"/>
      <c r="DD715" s="446"/>
      <c r="DE715" s="446"/>
      <c r="DF715" s="446"/>
      <c r="DG715" s="446"/>
      <c r="DH715" s="446"/>
      <c r="DI715" s="446"/>
      <c r="DJ715" s="446"/>
      <c r="DK715" s="446"/>
      <c r="DL715" s="446"/>
      <c r="DM715" s="446"/>
      <c r="DN715" s="446"/>
      <c r="DO715" s="446"/>
      <c r="DP715" s="446"/>
      <c r="DQ715" s="446"/>
      <c r="DR715" s="446"/>
      <c r="DS715" s="446"/>
      <c r="DT715" s="446"/>
      <c r="DU715" s="446"/>
      <c r="DV715" s="446"/>
      <c r="DW715" s="446"/>
    </row>
    <row r="716" spans="96:127" ht="15" customHeight="1" x14ac:dyDescent="0.25">
      <c r="CR716" s="446"/>
      <c r="CS716" s="446"/>
      <c r="CT716" s="446"/>
      <c r="CU716" s="446"/>
      <c r="CV716" s="446"/>
      <c r="CW716" s="752"/>
      <c r="CX716" s="752"/>
      <c r="CY716" s="752"/>
      <c r="CZ716" s="752"/>
      <c r="DA716" s="752"/>
      <c r="DB716" s="446"/>
      <c r="DC716" s="446"/>
      <c r="DD716" s="446"/>
      <c r="DE716" s="446"/>
      <c r="DF716" s="446"/>
      <c r="DG716" s="446"/>
      <c r="DH716" s="446"/>
      <c r="DI716" s="446"/>
      <c r="DJ716" s="446"/>
      <c r="DK716" s="446"/>
      <c r="DL716" s="446"/>
      <c r="DM716" s="446"/>
      <c r="DN716" s="446"/>
      <c r="DO716" s="446"/>
      <c r="DP716" s="446"/>
      <c r="DQ716" s="446"/>
      <c r="DR716" s="446"/>
      <c r="DS716" s="446"/>
      <c r="DT716" s="446"/>
      <c r="DU716" s="446"/>
      <c r="DV716" s="446"/>
      <c r="DW716" s="446"/>
    </row>
    <row r="717" spans="96:127" ht="15" customHeight="1" x14ac:dyDescent="0.25">
      <c r="CR717" s="446"/>
      <c r="CS717" s="446"/>
      <c r="CT717" s="446"/>
      <c r="CU717" s="446"/>
      <c r="CV717" s="446"/>
      <c r="CW717" s="752"/>
      <c r="CX717" s="752"/>
      <c r="CY717" s="752"/>
      <c r="CZ717" s="752"/>
      <c r="DA717" s="752"/>
      <c r="DB717" s="446"/>
      <c r="DC717" s="446"/>
      <c r="DD717" s="446"/>
      <c r="DE717" s="446"/>
      <c r="DF717" s="446"/>
      <c r="DG717" s="446"/>
      <c r="DH717" s="446"/>
      <c r="DI717" s="446"/>
      <c r="DJ717" s="446"/>
      <c r="DK717" s="446"/>
      <c r="DL717" s="446"/>
      <c r="DM717" s="446"/>
      <c r="DN717" s="446"/>
      <c r="DO717" s="446"/>
      <c r="DP717" s="446"/>
      <c r="DQ717" s="446"/>
      <c r="DR717" s="446"/>
      <c r="DS717" s="446"/>
      <c r="DT717" s="446"/>
      <c r="DU717" s="446"/>
      <c r="DV717" s="446"/>
      <c r="DW717" s="446"/>
    </row>
    <row r="718" spans="96:127" ht="15" customHeight="1" x14ac:dyDescent="0.25">
      <c r="CR718" s="446"/>
      <c r="CS718" s="446"/>
      <c r="CT718" s="446"/>
      <c r="CU718" s="446"/>
      <c r="CV718" s="446"/>
      <c r="CW718" s="752"/>
      <c r="CX718" s="752"/>
      <c r="CY718" s="752"/>
      <c r="CZ718" s="752"/>
      <c r="DA718" s="752"/>
      <c r="DB718" s="446"/>
      <c r="DC718" s="446"/>
      <c r="DD718" s="446"/>
      <c r="DE718" s="446"/>
      <c r="DF718" s="446"/>
      <c r="DG718" s="446"/>
      <c r="DH718" s="446"/>
      <c r="DI718" s="446"/>
      <c r="DJ718" s="446"/>
      <c r="DK718" s="446"/>
      <c r="DL718" s="446"/>
      <c r="DM718" s="446"/>
      <c r="DN718" s="446"/>
      <c r="DO718" s="446"/>
      <c r="DP718" s="446"/>
      <c r="DQ718" s="446"/>
      <c r="DR718" s="446"/>
      <c r="DS718" s="446"/>
      <c r="DT718" s="446"/>
      <c r="DU718" s="446"/>
      <c r="DV718" s="446"/>
      <c r="DW718" s="446"/>
    </row>
    <row r="719" spans="96:127" ht="15" customHeight="1" x14ac:dyDescent="0.25">
      <c r="CR719" s="446"/>
      <c r="CS719" s="446"/>
      <c r="CT719" s="446"/>
      <c r="CU719" s="446"/>
      <c r="CV719" s="446"/>
      <c r="CW719" s="752"/>
      <c r="CX719" s="752"/>
      <c r="CY719" s="752"/>
      <c r="CZ719" s="752"/>
      <c r="DA719" s="752"/>
      <c r="DB719" s="446"/>
      <c r="DC719" s="446"/>
      <c r="DD719" s="446"/>
      <c r="DE719" s="446"/>
      <c r="DF719" s="446"/>
      <c r="DG719" s="446"/>
      <c r="DH719" s="446"/>
      <c r="DI719" s="446"/>
      <c r="DJ719" s="446"/>
      <c r="DK719" s="446"/>
      <c r="DL719" s="446"/>
      <c r="DM719" s="446"/>
      <c r="DN719" s="446"/>
      <c r="DO719" s="446"/>
      <c r="DP719" s="446"/>
      <c r="DQ719" s="446"/>
      <c r="DR719" s="446"/>
      <c r="DS719" s="446"/>
      <c r="DT719" s="446"/>
      <c r="DU719" s="446"/>
      <c r="DV719" s="446"/>
      <c r="DW719" s="446"/>
    </row>
    <row r="720" spans="96:127" ht="15" customHeight="1" x14ac:dyDescent="0.25">
      <c r="CR720" s="446"/>
      <c r="CS720" s="446"/>
      <c r="CT720" s="446"/>
      <c r="CU720" s="446"/>
      <c r="CV720" s="446"/>
      <c r="CW720" s="752"/>
      <c r="CX720" s="752"/>
      <c r="CY720" s="752"/>
      <c r="CZ720" s="752"/>
      <c r="DA720" s="752"/>
      <c r="DB720" s="446"/>
      <c r="DC720" s="446"/>
      <c r="DD720" s="446"/>
      <c r="DE720" s="446"/>
      <c r="DF720" s="446"/>
      <c r="DG720" s="446"/>
      <c r="DH720" s="446"/>
      <c r="DI720" s="446"/>
      <c r="DJ720" s="446"/>
      <c r="DK720" s="446"/>
      <c r="DL720" s="446"/>
      <c r="DM720" s="446"/>
      <c r="DN720" s="446"/>
      <c r="DO720" s="446"/>
      <c r="DP720" s="446"/>
      <c r="DQ720" s="446"/>
      <c r="DR720" s="446"/>
      <c r="DS720" s="446"/>
      <c r="DT720" s="446"/>
      <c r="DU720" s="446"/>
      <c r="DV720" s="446"/>
      <c r="DW720" s="446"/>
    </row>
    <row r="721" spans="96:127" ht="15" customHeight="1" x14ac:dyDescent="0.25">
      <c r="CR721" s="446"/>
      <c r="CS721" s="446"/>
      <c r="CT721" s="446"/>
      <c r="CU721" s="446"/>
      <c r="CV721" s="446"/>
      <c r="CW721" s="752"/>
      <c r="CX721" s="752"/>
      <c r="CY721" s="752"/>
      <c r="CZ721" s="752"/>
      <c r="DA721" s="752"/>
      <c r="DB721" s="446"/>
      <c r="DC721" s="446"/>
      <c r="DD721" s="446"/>
      <c r="DE721" s="446"/>
      <c r="DF721" s="446"/>
      <c r="DG721" s="446"/>
      <c r="DH721" s="446"/>
      <c r="DI721" s="446"/>
      <c r="DJ721" s="446"/>
      <c r="DK721" s="446"/>
      <c r="DL721" s="446"/>
      <c r="DM721" s="446"/>
      <c r="DN721" s="446"/>
      <c r="DO721" s="446"/>
      <c r="DP721" s="446"/>
      <c r="DQ721" s="446"/>
      <c r="DR721" s="446"/>
      <c r="DS721" s="446"/>
      <c r="DT721" s="446"/>
      <c r="DU721" s="446"/>
      <c r="DV721" s="446"/>
      <c r="DW721" s="446"/>
    </row>
    <row r="722" spans="96:127" ht="15" customHeight="1" x14ac:dyDescent="0.25">
      <c r="CR722" s="446"/>
      <c r="CS722" s="446"/>
      <c r="CT722" s="446"/>
      <c r="CU722" s="446"/>
      <c r="CV722" s="446"/>
      <c r="CW722" s="752"/>
      <c r="CX722" s="752"/>
      <c r="CY722" s="752"/>
      <c r="CZ722" s="752"/>
      <c r="DA722" s="752"/>
      <c r="DB722" s="446"/>
      <c r="DC722" s="446"/>
      <c r="DD722" s="446"/>
      <c r="DE722" s="446"/>
      <c r="DF722" s="446"/>
      <c r="DG722" s="446"/>
      <c r="DH722" s="446"/>
      <c r="DI722" s="446"/>
      <c r="DJ722" s="446"/>
      <c r="DK722" s="446"/>
      <c r="DL722" s="446"/>
      <c r="DM722" s="446"/>
      <c r="DN722" s="446"/>
      <c r="DO722" s="446"/>
      <c r="DP722" s="446"/>
      <c r="DQ722" s="446"/>
      <c r="DR722" s="446"/>
      <c r="DS722" s="446"/>
      <c r="DT722" s="446"/>
      <c r="DU722" s="446"/>
      <c r="DV722" s="446"/>
      <c r="DW722" s="446"/>
    </row>
    <row r="723" spans="96:127" ht="15" customHeight="1" x14ac:dyDescent="0.25">
      <c r="CR723" s="446"/>
      <c r="CS723" s="446"/>
      <c r="CT723" s="446"/>
      <c r="CU723" s="446"/>
      <c r="CV723" s="446"/>
      <c r="CW723" s="752"/>
      <c r="CX723" s="752"/>
      <c r="CY723" s="752"/>
      <c r="CZ723" s="752"/>
      <c r="DA723" s="752"/>
      <c r="DB723" s="446"/>
      <c r="DC723" s="446"/>
      <c r="DD723" s="446"/>
      <c r="DE723" s="446"/>
      <c r="DF723" s="446"/>
      <c r="DG723" s="446"/>
      <c r="DH723" s="446"/>
      <c r="DI723" s="446"/>
      <c r="DJ723" s="446"/>
      <c r="DK723" s="446"/>
      <c r="DL723" s="446"/>
      <c r="DM723" s="446"/>
      <c r="DN723" s="446"/>
      <c r="DO723" s="446"/>
      <c r="DP723" s="446"/>
      <c r="DQ723" s="446"/>
      <c r="DR723" s="446"/>
      <c r="DS723" s="446"/>
      <c r="DT723" s="446"/>
      <c r="DU723" s="446"/>
      <c r="DV723" s="446"/>
      <c r="DW723" s="446"/>
    </row>
    <row r="724" spans="96:127" ht="15" customHeight="1" x14ac:dyDescent="0.25">
      <c r="CR724" s="446"/>
      <c r="CS724" s="446"/>
      <c r="CT724" s="446"/>
      <c r="CU724" s="446"/>
      <c r="CV724" s="446"/>
      <c r="CW724" s="752"/>
      <c r="CX724" s="752"/>
      <c r="CY724" s="752"/>
      <c r="CZ724" s="752"/>
      <c r="DA724" s="752"/>
      <c r="DB724" s="446"/>
      <c r="DC724" s="446"/>
      <c r="DD724" s="446"/>
      <c r="DE724" s="446"/>
      <c r="DF724" s="446"/>
      <c r="DG724" s="446"/>
      <c r="DH724" s="446"/>
      <c r="DI724" s="446"/>
      <c r="DJ724" s="446"/>
      <c r="DK724" s="446"/>
      <c r="DL724" s="446"/>
      <c r="DM724" s="446"/>
      <c r="DN724" s="446"/>
      <c r="DO724" s="446"/>
      <c r="DP724" s="446"/>
      <c r="DQ724" s="446"/>
      <c r="DR724" s="446"/>
      <c r="DS724" s="446"/>
      <c r="DT724" s="446"/>
      <c r="DU724" s="446"/>
      <c r="DV724" s="446"/>
      <c r="DW724" s="446"/>
    </row>
    <row r="725" spans="96:127" ht="15" customHeight="1" x14ac:dyDescent="0.25">
      <c r="CR725" s="446"/>
      <c r="CS725" s="446"/>
      <c r="CT725" s="446"/>
      <c r="CU725" s="446"/>
      <c r="CV725" s="446"/>
      <c r="CW725" s="752"/>
      <c r="CX725" s="752"/>
      <c r="CY725" s="752"/>
      <c r="CZ725" s="752"/>
      <c r="DA725" s="752"/>
      <c r="DB725" s="446"/>
      <c r="DC725" s="446"/>
      <c r="DD725" s="446"/>
      <c r="DE725" s="446"/>
      <c r="DF725" s="446"/>
      <c r="DG725" s="446"/>
      <c r="DH725" s="446"/>
      <c r="DI725" s="446"/>
      <c r="DJ725" s="446"/>
      <c r="DK725" s="446"/>
      <c r="DL725" s="446"/>
      <c r="DM725" s="446"/>
      <c r="DN725" s="446"/>
      <c r="DO725" s="446"/>
      <c r="DP725" s="446"/>
      <c r="DQ725" s="446"/>
      <c r="DR725" s="446"/>
      <c r="DS725" s="446"/>
      <c r="DT725" s="446"/>
      <c r="DU725" s="446"/>
      <c r="DV725" s="446"/>
      <c r="DW725" s="446"/>
    </row>
    <row r="726" spans="96:127" ht="15" customHeight="1" x14ac:dyDescent="0.25">
      <c r="CR726" s="446"/>
      <c r="CS726" s="446"/>
      <c r="CT726" s="446"/>
      <c r="CU726" s="446"/>
      <c r="CV726" s="446"/>
      <c r="CW726" s="752"/>
      <c r="CX726" s="752"/>
      <c r="CY726" s="752"/>
      <c r="CZ726" s="752"/>
      <c r="DA726" s="752"/>
      <c r="DB726" s="446"/>
      <c r="DC726" s="446"/>
      <c r="DD726" s="446"/>
      <c r="DE726" s="446"/>
      <c r="DF726" s="446"/>
      <c r="DG726" s="446"/>
      <c r="DH726" s="446"/>
      <c r="DI726" s="446"/>
      <c r="DJ726" s="446"/>
      <c r="DK726" s="446"/>
      <c r="DL726" s="446"/>
      <c r="DM726" s="446"/>
      <c r="DN726" s="446"/>
      <c r="DO726" s="446"/>
      <c r="DP726" s="446"/>
      <c r="DQ726" s="446"/>
      <c r="DR726" s="446"/>
      <c r="DS726" s="446"/>
      <c r="DT726" s="446"/>
      <c r="DU726" s="446"/>
      <c r="DV726" s="446"/>
      <c r="DW726" s="446"/>
    </row>
    <row r="727" spans="96:127" ht="15" customHeight="1" x14ac:dyDescent="0.25">
      <c r="CR727" s="446"/>
      <c r="CS727" s="446"/>
      <c r="CT727" s="446"/>
      <c r="CU727" s="446"/>
      <c r="CV727" s="446"/>
      <c r="CW727" s="752"/>
      <c r="CX727" s="752"/>
      <c r="CY727" s="752"/>
      <c r="CZ727" s="752"/>
      <c r="DA727" s="752"/>
      <c r="DB727" s="446"/>
      <c r="DC727" s="446"/>
      <c r="DD727" s="446"/>
      <c r="DE727" s="446"/>
      <c r="DF727" s="446"/>
      <c r="DG727" s="446"/>
      <c r="DH727" s="446"/>
      <c r="DI727" s="446"/>
      <c r="DJ727" s="446"/>
      <c r="DK727" s="446"/>
      <c r="DL727" s="446"/>
      <c r="DM727" s="446"/>
      <c r="DN727" s="446"/>
      <c r="DO727" s="446"/>
      <c r="DP727" s="446"/>
      <c r="DQ727" s="446"/>
      <c r="DR727" s="446"/>
      <c r="DS727" s="446"/>
      <c r="DT727" s="446"/>
      <c r="DU727" s="446"/>
      <c r="DV727" s="446"/>
      <c r="DW727" s="446"/>
    </row>
    <row r="728" spans="96:127" ht="15" customHeight="1" x14ac:dyDescent="0.25">
      <c r="CR728" s="446"/>
      <c r="CS728" s="446"/>
      <c r="CT728" s="446"/>
      <c r="CU728" s="446"/>
      <c r="CV728" s="446"/>
      <c r="CW728" s="752"/>
      <c r="CX728" s="752"/>
      <c r="CY728" s="752"/>
      <c r="CZ728" s="752"/>
      <c r="DA728" s="752"/>
      <c r="DB728" s="446"/>
      <c r="DC728" s="446"/>
      <c r="DD728" s="446"/>
      <c r="DE728" s="446"/>
      <c r="DF728" s="446"/>
      <c r="DG728" s="446"/>
      <c r="DH728" s="446"/>
      <c r="DI728" s="446"/>
      <c r="DJ728" s="446"/>
      <c r="DK728" s="446"/>
      <c r="DL728" s="446"/>
      <c r="DM728" s="446"/>
      <c r="DN728" s="446"/>
      <c r="DO728" s="446"/>
      <c r="DP728" s="446"/>
      <c r="DQ728" s="446"/>
      <c r="DR728" s="446"/>
      <c r="DS728" s="446"/>
      <c r="DT728" s="446"/>
      <c r="DU728" s="446"/>
      <c r="DV728" s="446"/>
      <c r="DW728" s="446"/>
    </row>
    <row r="729" spans="96:127" ht="15" customHeight="1" x14ac:dyDescent="0.25">
      <c r="CR729" s="446"/>
      <c r="CS729" s="446"/>
      <c r="CT729" s="446"/>
      <c r="CU729" s="446"/>
      <c r="CV729" s="446"/>
      <c r="CW729" s="752"/>
      <c r="CX729" s="752"/>
      <c r="CY729" s="752"/>
      <c r="CZ729" s="752"/>
      <c r="DA729" s="752"/>
      <c r="DB729" s="446"/>
      <c r="DC729" s="446"/>
      <c r="DD729" s="446"/>
      <c r="DE729" s="446"/>
      <c r="DF729" s="446"/>
      <c r="DG729" s="446"/>
      <c r="DH729" s="446"/>
      <c r="DI729" s="446"/>
      <c r="DJ729" s="446"/>
      <c r="DK729" s="446"/>
      <c r="DL729" s="446"/>
      <c r="DM729" s="446"/>
      <c r="DN729" s="446"/>
      <c r="DO729" s="446"/>
      <c r="DP729" s="446"/>
      <c r="DQ729" s="446"/>
      <c r="DR729" s="446"/>
      <c r="DS729" s="446"/>
      <c r="DT729" s="446"/>
      <c r="DU729" s="446"/>
      <c r="DV729" s="446"/>
      <c r="DW729" s="446"/>
    </row>
    <row r="730" spans="96:127" ht="15" customHeight="1" x14ac:dyDescent="0.25">
      <c r="CR730" s="446"/>
      <c r="CS730" s="446"/>
      <c r="CT730" s="446"/>
      <c r="CU730" s="446"/>
      <c r="CV730" s="446"/>
      <c r="CW730" s="752"/>
      <c r="CX730" s="752"/>
      <c r="CY730" s="752"/>
      <c r="CZ730" s="752"/>
      <c r="DA730" s="752"/>
      <c r="DB730" s="446"/>
      <c r="DC730" s="446"/>
      <c r="DD730" s="446"/>
      <c r="DE730" s="446"/>
      <c r="DF730" s="446"/>
      <c r="DG730" s="446"/>
      <c r="DH730" s="446"/>
      <c r="DI730" s="446"/>
      <c r="DJ730" s="446"/>
      <c r="DK730" s="446"/>
      <c r="DL730" s="446"/>
      <c r="DM730" s="446"/>
      <c r="DN730" s="446"/>
      <c r="DO730" s="446"/>
      <c r="DP730" s="446"/>
      <c r="DQ730" s="446"/>
      <c r="DR730" s="446"/>
      <c r="DS730" s="446"/>
      <c r="DT730" s="446"/>
      <c r="DU730" s="446"/>
      <c r="DV730" s="446"/>
      <c r="DW730" s="446"/>
    </row>
    <row r="731" spans="96:127" ht="15" customHeight="1" x14ac:dyDescent="0.25">
      <c r="CR731" s="446"/>
      <c r="CS731" s="446"/>
      <c r="CT731" s="446"/>
      <c r="CU731" s="446"/>
      <c r="CV731" s="446"/>
      <c r="CW731" s="752"/>
      <c r="CX731" s="752"/>
      <c r="CY731" s="752"/>
      <c r="CZ731" s="752"/>
      <c r="DA731" s="752"/>
      <c r="DB731" s="446"/>
      <c r="DC731" s="446"/>
      <c r="DD731" s="446"/>
      <c r="DE731" s="446"/>
      <c r="DF731" s="446"/>
      <c r="DG731" s="446"/>
      <c r="DH731" s="446"/>
      <c r="DI731" s="446"/>
      <c r="DJ731" s="446"/>
      <c r="DK731" s="446"/>
      <c r="DL731" s="446"/>
      <c r="DM731" s="446"/>
      <c r="DN731" s="446"/>
      <c r="DO731" s="446"/>
      <c r="DP731" s="446"/>
      <c r="DQ731" s="446"/>
      <c r="DR731" s="446"/>
      <c r="DS731" s="446"/>
      <c r="DT731" s="446"/>
      <c r="DU731" s="446"/>
      <c r="DV731" s="446"/>
      <c r="DW731" s="446"/>
    </row>
    <row r="732" spans="96:127" ht="15" customHeight="1" x14ac:dyDescent="0.25">
      <c r="CR732" s="446"/>
      <c r="CS732" s="446"/>
      <c r="CT732" s="446"/>
      <c r="CU732" s="446"/>
      <c r="CV732" s="446"/>
      <c r="CW732" s="752"/>
      <c r="CX732" s="752"/>
      <c r="CY732" s="752"/>
      <c r="CZ732" s="752"/>
      <c r="DA732" s="752"/>
      <c r="DB732" s="446"/>
      <c r="DC732" s="446"/>
      <c r="DD732" s="446"/>
      <c r="DE732" s="446"/>
      <c r="DF732" s="446"/>
      <c r="DG732" s="446"/>
      <c r="DH732" s="446"/>
      <c r="DI732" s="446"/>
      <c r="DJ732" s="446"/>
      <c r="DK732" s="446"/>
      <c r="DL732" s="446"/>
      <c r="DM732" s="446"/>
      <c r="DN732" s="446"/>
      <c r="DO732" s="446"/>
      <c r="DP732" s="446"/>
      <c r="DQ732" s="446"/>
      <c r="DR732" s="446"/>
      <c r="DS732" s="446"/>
      <c r="DT732" s="446"/>
      <c r="DU732" s="446"/>
      <c r="DV732" s="446"/>
      <c r="DW732" s="446"/>
    </row>
    <row r="733" spans="96:127" ht="15" customHeight="1" x14ac:dyDescent="0.25">
      <c r="CR733" s="446"/>
      <c r="CS733" s="446"/>
      <c r="CT733" s="446"/>
      <c r="CU733" s="446"/>
      <c r="CV733" s="446"/>
      <c r="CW733" s="752"/>
      <c r="CX733" s="752"/>
      <c r="CY733" s="752"/>
      <c r="CZ733" s="752"/>
      <c r="DA733" s="752"/>
      <c r="DB733" s="446"/>
      <c r="DC733" s="446"/>
      <c r="DD733" s="446"/>
      <c r="DE733" s="446"/>
      <c r="DF733" s="446"/>
      <c r="DG733" s="446"/>
      <c r="DH733" s="446"/>
      <c r="DI733" s="446"/>
      <c r="DJ733" s="446"/>
      <c r="DK733" s="446"/>
      <c r="DL733" s="446"/>
      <c r="DM733" s="446"/>
      <c r="DN733" s="446"/>
      <c r="DO733" s="446"/>
      <c r="DP733" s="446"/>
      <c r="DQ733" s="446"/>
      <c r="DR733" s="446"/>
      <c r="DS733" s="446"/>
      <c r="DT733" s="446"/>
      <c r="DU733" s="446"/>
      <c r="DV733" s="446"/>
      <c r="DW733" s="446"/>
    </row>
    <row r="734" spans="96:127" ht="15" customHeight="1" x14ac:dyDescent="0.25">
      <c r="CR734" s="446"/>
      <c r="CS734" s="446"/>
      <c r="CT734" s="446"/>
      <c r="CU734" s="446"/>
      <c r="CV734" s="446"/>
      <c r="CW734" s="752"/>
      <c r="CX734" s="752"/>
      <c r="CY734" s="752"/>
      <c r="CZ734" s="752"/>
      <c r="DA734" s="752"/>
      <c r="DB734" s="446"/>
      <c r="DC734" s="446"/>
      <c r="DD734" s="446"/>
      <c r="DE734" s="446"/>
      <c r="DF734" s="446"/>
      <c r="DG734" s="446"/>
      <c r="DH734" s="446"/>
      <c r="DI734" s="446"/>
      <c r="DJ734" s="446"/>
      <c r="DK734" s="446"/>
      <c r="DL734" s="446"/>
      <c r="DM734" s="446"/>
      <c r="DN734" s="446"/>
      <c r="DO734" s="446"/>
      <c r="DP734" s="446"/>
      <c r="DQ734" s="446"/>
      <c r="DR734" s="446"/>
      <c r="DS734" s="446"/>
      <c r="DT734" s="446"/>
      <c r="DU734" s="446"/>
      <c r="DV734" s="446"/>
      <c r="DW734" s="446"/>
    </row>
    <row r="735" spans="96:127" ht="15" customHeight="1" x14ac:dyDescent="0.25">
      <c r="CR735" s="446"/>
      <c r="CS735" s="446"/>
      <c r="CT735" s="446"/>
      <c r="CU735" s="446"/>
      <c r="CV735" s="446"/>
      <c r="CW735" s="752"/>
      <c r="CX735" s="752"/>
      <c r="CY735" s="752"/>
      <c r="CZ735" s="752"/>
      <c r="DA735" s="752"/>
      <c r="DB735" s="446"/>
      <c r="DC735" s="446"/>
      <c r="DD735" s="446"/>
      <c r="DE735" s="446"/>
      <c r="DF735" s="446"/>
      <c r="DG735" s="446"/>
      <c r="DH735" s="446"/>
      <c r="DI735" s="446"/>
      <c r="DJ735" s="446"/>
      <c r="DK735" s="446"/>
      <c r="DL735" s="446"/>
      <c r="DM735" s="446"/>
      <c r="DN735" s="446"/>
      <c r="DO735" s="446"/>
      <c r="DP735" s="446"/>
      <c r="DQ735" s="446"/>
      <c r="DR735" s="446"/>
      <c r="DS735" s="446"/>
      <c r="DT735" s="446"/>
      <c r="DU735" s="446"/>
      <c r="DV735" s="446"/>
      <c r="DW735" s="446"/>
    </row>
    <row r="736" spans="96:127" ht="15" customHeight="1" x14ac:dyDescent="0.25">
      <c r="CR736" s="446"/>
      <c r="CS736" s="446"/>
      <c r="CT736" s="446"/>
      <c r="CU736" s="446"/>
      <c r="CV736" s="446"/>
      <c r="CW736" s="752"/>
      <c r="CX736" s="752"/>
      <c r="CY736" s="752"/>
      <c r="CZ736" s="752"/>
      <c r="DA736" s="752"/>
      <c r="DB736" s="446"/>
      <c r="DC736" s="446"/>
      <c r="DD736" s="446"/>
      <c r="DE736" s="446"/>
      <c r="DF736" s="446"/>
      <c r="DG736" s="446"/>
      <c r="DH736" s="446"/>
      <c r="DI736" s="446"/>
      <c r="DJ736" s="446"/>
      <c r="DK736" s="446"/>
      <c r="DL736" s="446"/>
      <c r="DM736" s="446"/>
      <c r="DN736" s="446"/>
      <c r="DO736" s="446"/>
      <c r="DP736" s="446"/>
      <c r="DQ736" s="446"/>
      <c r="DR736" s="446"/>
      <c r="DS736" s="446"/>
      <c r="DT736" s="446"/>
      <c r="DU736" s="446"/>
      <c r="DV736" s="446"/>
      <c r="DW736" s="446"/>
    </row>
    <row r="737" spans="96:127" ht="15" customHeight="1" x14ac:dyDescent="0.25">
      <c r="CR737" s="446"/>
      <c r="CS737" s="446"/>
      <c r="CT737" s="446"/>
      <c r="CU737" s="446"/>
      <c r="CV737" s="446"/>
      <c r="CW737" s="752"/>
      <c r="CX737" s="752"/>
      <c r="CY737" s="752"/>
      <c r="CZ737" s="752"/>
      <c r="DA737" s="752"/>
      <c r="DB737" s="446"/>
      <c r="DC737" s="446"/>
      <c r="DD737" s="446"/>
      <c r="DE737" s="446"/>
      <c r="DF737" s="446"/>
      <c r="DG737" s="446"/>
      <c r="DH737" s="446"/>
      <c r="DI737" s="446"/>
      <c r="DJ737" s="446"/>
      <c r="DK737" s="446"/>
      <c r="DL737" s="446"/>
      <c r="DM737" s="446"/>
      <c r="DN737" s="446"/>
      <c r="DO737" s="446"/>
      <c r="DP737" s="446"/>
      <c r="DQ737" s="446"/>
      <c r="DR737" s="446"/>
      <c r="DS737" s="446"/>
      <c r="DT737" s="446"/>
      <c r="DU737" s="446"/>
      <c r="DV737" s="446"/>
      <c r="DW737" s="446"/>
    </row>
    <row r="738" spans="96:127" ht="15" customHeight="1" x14ac:dyDescent="0.25">
      <c r="CR738" s="446"/>
      <c r="CS738" s="446"/>
      <c r="CT738" s="446"/>
      <c r="CU738" s="446"/>
      <c r="CV738" s="446"/>
      <c r="CW738" s="752"/>
      <c r="CX738" s="752"/>
      <c r="CY738" s="752"/>
      <c r="CZ738" s="752"/>
      <c r="DA738" s="752"/>
      <c r="DB738" s="446"/>
      <c r="DC738" s="446"/>
      <c r="DD738" s="446"/>
      <c r="DE738" s="446"/>
      <c r="DF738" s="446"/>
      <c r="DG738" s="446"/>
      <c r="DH738" s="446"/>
      <c r="DI738" s="446"/>
      <c r="DJ738" s="446"/>
      <c r="DK738" s="446"/>
      <c r="DL738" s="446"/>
      <c r="DM738" s="446"/>
      <c r="DN738" s="446"/>
      <c r="DO738" s="446"/>
      <c r="DP738" s="446"/>
      <c r="DQ738" s="446"/>
      <c r="DR738" s="446"/>
      <c r="DS738" s="446"/>
      <c r="DT738" s="446"/>
      <c r="DU738" s="446"/>
      <c r="DV738" s="446"/>
      <c r="DW738" s="446"/>
    </row>
    <row r="739" spans="96:127" ht="15" customHeight="1" x14ac:dyDescent="0.25">
      <c r="CR739" s="446"/>
      <c r="CS739" s="446"/>
      <c r="CT739" s="446"/>
      <c r="CU739" s="446"/>
      <c r="CV739" s="446"/>
      <c r="CW739" s="752"/>
      <c r="CX739" s="752"/>
      <c r="CY739" s="752"/>
      <c r="CZ739" s="752"/>
      <c r="DA739" s="752"/>
      <c r="DB739" s="446"/>
      <c r="DC739" s="446"/>
      <c r="DD739" s="446"/>
      <c r="DE739" s="446"/>
      <c r="DF739" s="446"/>
      <c r="DG739" s="446"/>
      <c r="DH739" s="446"/>
      <c r="DI739" s="446"/>
      <c r="DJ739" s="446"/>
      <c r="DK739" s="446"/>
      <c r="DL739" s="446"/>
      <c r="DM739" s="446"/>
      <c r="DN739" s="446"/>
      <c r="DO739" s="446"/>
      <c r="DP739" s="446"/>
      <c r="DQ739" s="446"/>
      <c r="DR739" s="446"/>
      <c r="DS739" s="446"/>
      <c r="DT739" s="446"/>
      <c r="DU739" s="446"/>
      <c r="DV739" s="446"/>
      <c r="DW739" s="446"/>
    </row>
    <row r="740" spans="96:127" ht="15" customHeight="1" x14ac:dyDescent="0.25">
      <c r="CR740" s="446"/>
      <c r="CS740" s="446"/>
      <c r="CT740" s="446"/>
      <c r="CU740" s="446"/>
      <c r="CV740" s="446"/>
      <c r="CW740" s="752"/>
      <c r="CX740" s="752"/>
      <c r="CY740" s="752"/>
      <c r="CZ740" s="752"/>
      <c r="DA740" s="752"/>
      <c r="DB740" s="446"/>
      <c r="DC740" s="446"/>
      <c r="DD740" s="446"/>
      <c r="DE740" s="446"/>
      <c r="DF740" s="446"/>
      <c r="DG740" s="446"/>
      <c r="DH740" s="446"/>
      <c r="DI740" s="446"/>
      <c r="DJ740" s="446"/>
      <c r="DK740" s="446"/>
      <c r="DL740" s="446"/>
      <c r="DM740" s="446"/>
      <c r="DN740" s="446"/>
      <c r="DO740" s="446"/>
      <c r="DP740" s="446"/>
      <c r="DQ740" s="446"/>
      <c r="DR740" s="446"/>
      <c r="DS740" s="446"/>
      <c r="DT740" s="446"/>
      <c r="DU740" s="446"/>
      <c r="DV740" s="446"/>
      <c r="DW740" s="446"/>
    </row>
    <row r="741" spans="96:127" ht="15" customHeight="1" x14ac:dyDescent="0.25">
      <c r="CR741" s="446"/>
      <c r="CS741" s="446"/>
      <c r="CT741" s="446"/>
      <c r="CU741" s="446"/>
      <c r="CV741" s="446"/>
      <c r="CW741" s="752"/>
      <c r="CX741" s="752"/>
      <c r="CY741" s="752"/>
      <c r="CZ741" s="752"/>
      <c r="DA741" s="752"/>
      <c r="DB741" s="446"/>
      <c r="DC741" s="446"/>
      <c r="DD741" s="446"/>
      <c r="DE741" s="446"/>
      <c r="DF741" s="446"/>
      <c r="DG741" s="446"/>
      <c r="DH741" s="446"/>
      <c r="DI741" s="446"/>
      <c r="DJ741" s="446"/>
      <c r="DK741" s="446"/>
      <c r="DL741" s="446"/>
      <c r="DM741" s="446"/>
      <c r="DN741" s="446"/>
      <c r="DO741" s="446"/>
      <c r="DP741" s="446"/>
      <c r="DQ741" s="446"/>
      <c r="DR741" s="446"/>
      <c r="DS741" s="446"/>
      <c r="DT741" s="446"/>
      <c r="DU741" s="446"/>
      <c r="DV741" s="446"/>
      <c r="DW741" s="446"/>
    </row>
    <row r="742" spans="96:127" ht="15" customHeight="1" x14ac:dyDescent="0.25">
      <c r="CR742" s="446"/>
      <c r="CS742" s="446"/>
      <c r="CT742" s="446"/>
      <c r="CU742" s="446"/>
      <c r="CV742" s="446"/>
      <c r="CW742" s="752"/>
      <c r="CX742" s="752"/>
      <c r="CY742" s="752"/>
      <c r="CZ742" s="752"/>
      <c r="DA742" s="752"/>
      <c r="DB742" s="446"/>
      <c r="DC742" s="446"/>
      <c r="DD742" s="446"/>
      <c r="DE742" s="446"/>
      <c r="DF742" s="446"/>
      <c r="DG742" s="446"/>
      <c r="DH742" s="446"/>
      <c r="DI742" s="446"/>
      <c r="DJ742" s="446"/>
      <c r="DK742" s="446"/>
      <c r="DL742" s="446"/>
      <c r="DM742" s="446"/>
      <c r="DN742" s="446"/>
      <c r="DO742" s="446"/>
      <c r="DP742" s="446"/>
      <c r="DQ742" s="446"/>
      <c r="DR742" s="446"/>
      <c r="DS742" s="446"/>
      <c r="DT742" s="446"/>
      <c r="DU742" s="446"/>
      <c r="DV742" s="446"/>
      <c r="DW742" s="446"/>
    </row>
    <row r="743" spans="96:127" ht="15" customHeight="1" x14ac:dyDescent="0.25">
      <c r="CR743" s="446"/>
      <c r="CS743" s="446"/>
      <c r="CT743" s="446"/>
      <c r="CU743" s="446"/>
      <c r="CV743" s="446"/>
      <c r="CW743" s="752"/>
      <c r="CX743" s="752"/>
      <c r="CY743" s="752"/>
      <c r="CZ743" s="752"/>
      <c r="DA743" s="752"/>
      <c r="DB743" s="446"/>
      <c r="DC743" s="446"/>
      <c r="DD743" s="446"/>
      <c r="DE743" s="446"/>
      <c r="DF743" s="446"/>
      <c r="DG743" s="446"/>
      <c r="DH743" s="446"/>
      <c r="DI743" s="446"/>
      <c r="DJ743" s="446"/>
      <c r="DK743" s="446"/>
      <c r="DL743" s="446"/>
      <c r="DM743" s="446"/>
      <c r="DN743" s="446"/>
      <c r="DO743" s="446"/>
      <c r="DP743" s="446"/>
      <c r="DQ743" s="446"/>
      <c r="DR743" s="446"/>
      <c r="DS743" s="446"/>
      <c r="DT743" s="446"/>
      <c r="DU743" s="446"/>
      <c r="DV743" s="446"/>
      <c r="DW743" s="446"/>
    </row>
    <row r="744" spans="96:127" ht="15" customHeight="1" x14ac:dyDescent="0.25">
      <c r="CR744" s="446"/>
      <c r="CS744" s="446"/>
      <c r="CT744" s="446"/>
      <c r="CU744" s="446"/>
      <c r="CV744" s="446"/>
      <c r="CW744" s="752"/>
      <c r="CX744" s="752"/>
      <c r="CY744" s="752"/>
      <c r="CZ744" s="752"/>
      <c r="DA744" s="752"/>
      <c r="DB744" s="446"/>
      <c r="DC744" s="446"/>
      <c r="DD744" s="446"/>
      <c r="DE744" s="446"/>
      <c r="DF744" s="446"/>
      <c r="DG744" s="446"/>
      <c r="DH744" s="446"/>
      <c r="DI744" s="446"/>
      <c r="DJ744" s="446"/>
      <c r="DK744" s="446"/>
      <c r="DL744" s="446"/>
      <c r="DM744" s="446"/>
      <c r="DN744" s="446"/>
      <c r="DO744" s="446"/>
      <c r="DP744" s="446"/>
      <c r="DQ744" s="446"/>
      <c r="DR744" s="446"/>
      <c r="DS744" s="446"/>
      <c r="DT744" s="446"/>
      <c r="DU744" s="446"/>
      <c r="DV744" s="446"/>
      <c r="DW744" s="446"/>
    </row>
    <row r="745" spans="96:127" ht="15" customHeight="1" x14ac:dyDescent="0.25">
      <c r="CR745" s="446"/>
      <c r="CS745" s="446"/>
      <c r="CT745" s="446"/>
      <c r="CU745" s="446"/>
      <c r="CV745" s="446"/>
      <c r="CW745" s="752"/>
      <c r="CX745" s="752"/>
      <c r="CY745" s="752"/>
      <c r="CZ745" s="752"/>
      <c r="DA745" s="752"/>
      <c r="DB745" s="446"/>
      <c r="DC745" s="446"/>
      <c r="DD745" s="446"/>
      <c r="DE745" s="446"/>
      <c r="DF745" s="446"/>
      <c r="DG745" s="446"/>
      <c r="DH745" s="446"/>
      <c r="DI745" s="446"/>
      <c r="DJ745" s="446"/>
      <c r="DK745" s="446"/>
      <c r="DL745" s="446"/>
      <c r="DM745" s="446"/>
      <c r="DN745" s="446"/>
      <c r="DO745" s="446"/>
      <c r="DP745" s="446"/>
      <c r="DQ745" s="446"/>
      <c r="DR745" s="446"/>
      <c r="DS745" s="446"/>
      <c r="DT745" s="446"/>
      <c r="DU745" s="446"/>
      <c r="DV745" s="446"/>
      <c r="DW745" s="446"/>
    </row>
    <row r="746" spans="96:127" ht="15" customHeight="1" x14ac:dyDescent="0.25">
      <c r="CR746" s="446"/>
      <c r="CS746" s="446"/>
      <c r="CT746" s="446"/>
      <c r="CU746" s="446"/>
      <c r="CV746" s="446"/>
      <c r="CW746" s="752"/>
      <c r="CX746" s="752"/>
      <c r="CY746" s="752"/>
      <c r="CZ746" s="752"/>
      <c r="DA746" s="752"/>
      <c r="DB746" s="446"/>
      <c r="DC746" s="446"/>
      <c r="DD746" s="446"/>
      <c r="DE746" s="446"/>
      <c r="DF746" s="446"/>
      <c r="DG746" s="446"/>
      <c r="DH746" s="446"/>
      <c r="DI746" s="446"/>
      <c r="DJ746" s="446"/>
      <c r="DK746" s="446"/>
      <c r="DL746" s="446"/>
      <c r="DM746" s="446"/>
      <c r="DN746" s="446"/>
      <c r="DO746" s="446"/>
      <c r="DP746" s="446"/>
      <c r="DQ746" s="446"/>
      <c r="DR746" s="446"/>
      <c r="DS746" s="446"/>
      <c r="DT746" s="446"/>
      <c r="DU746" s="446"/>
      <c r="DV746" s="446"/>
      <c r="DW746" s="446"/>
    </row>
    <row r="747" spans="96:127" ht="15" customHeight="1" x14ac:dyDescent="0.25">
      <c r="CR747" s="446"/>
      <c r="CS747" s="446"/>
      <c r="CT747" s="446"/>
      <c r="CU747" s="446"/>
      <c r="CV747" s="446"/>
      <c r="CW747" s="752"/>
      <c r="CX747" s="752"/>
      <c r="CY747" s="752"/>
      <c r="CZ747" s="752"/>
      <c r="DA747" s="752"/>
      <c r="DB747" s="446"/>
      <c r="DC747" s="446"/>
      <c r="DD747" s="446"/>
      <c r="DE747" s="446"/>
      <c r="DF747" s="446"/>
      <c r="DG747" s="446"/>
      <c r="DH747" s="446"/>
      <c r="DI747" s="446"/>
      <c r="DJ747" s="446"/>
      <c r="DK747" s="446"/>
      <c r="DL747" s="446"/>
      <c r="DM747" s="446"/>
      <c r="DN747" s="446"/>
      <c r="DO747" s="446"/>
      <c r="DP747" s="446"/>
      <c r="DQ747" s="446"/>
      <c r="DR747" s="446"/>
      <c r="DS747" s="446"/>
      <c r="DT747" s="446"/>
      <c r="DU747" s="446"/>
      <c r="DV747" s="446"/>
      <c r="DW747" s="446"/>
    </row>
    <row r="748" spans="96:127" ht="15" customHeight="1" x14ac:dyDescent="0.25">
      <c r="CR748" s="446"/>
      <c r="CS748" s="446"/>
      <c r="CT748" s="446"/>
      <c r="CU748" s="446"/>
      <c r="CV748" s="446"/>
      <c r="CW748" s="752"/>
      <c r="CX748" s="752"/>
      <c r="CY748" s="752"/>
      <c r="CZ748" s="752"/>
      <c r="DA748" s="752"/>
      <c r="DB748" s="446"/>
      <c r="DC748" s="446"/>
      <c r="DD748" s="446"/>
      <c r="DE748" s="446"/>
      <c r="DF748" s="446"/>
      <c r="DG748" s="446"/>
      <c r="DH748" s="446"/>
      <c r="DI748" s="446"/>
      <c r="DJ748" s="446"/>
      <c r="DK748" s="446"/>
      <c r="DL748" s="446"/>
      <c r="DM748" s="446"/>
      <c r="DN748" s="446"/>
      <c r="DO748" s="446"/>
      <c r="DP748" s="446"/>
      <c r="DQ748" s="446"/>
      <c r="DR748" s="446"/>
      <c r="DS748" s="446"/>
      <c r="DT748" s="446"/>
      <c r="DU748" s="446"/>
      <c r="DV748" s="446"/>
      <c r="DW748" s="446"/>
    </row>
    <row r="749" spans="96:127" ht="15" customHeight="1" x14ac:dyDescent="0.25">
      <c r="CR749" s="446"/>
      <c r="CS749" s="446"/>
      <c r="CT749" s="446"/>
      <c r="CU749" s="446"/>
      <c r="CV749" s="446"/>
      <c r="CW749" s="752"/>
      <c r="CX749" s="752"/>
      <c r="CY749" s="752"/>
      <c r="CZ749" s="752"/>
      <c r="DA749" s="752"/>
      <c r="DB749" s="446"/>
      <c r="DC749" s="446"/>
      <c r="DD749" s="446"/>
      <c r="DE749" s="446"/>
      <c r="DF749" s="446"/>
      <c r="DG749" s="446"/>
      <c r="DH749" s="446"/>
      <c r="DI749" s="446"/>
      <c r="DJ749" s="446"/>
      <c r="DK749" s="446"/>
      <c r="DL749" s="446"/>
      <c r="DM749" s="446"/>
      <c r="DN749" s="446"/>
      <c r="DO749" s="446"/>
      <c r="DP749" s="446"/>
      <c r="DQ749" s="446"/>
      <c r="DR749" s="446"/>
      <c r="DS749" s="446"/>
      <c r="DT749" s="446"/>
      <c r="DU749" s="446"/>
      <c r="DV749" s="446"/>
      <c r="DW749" s="446"/>
    </row>
    <row r="750" spans="96:127" ht="15" customHeight="1" x14ac:dyDescent="0.25">
      <c r="CR750" s="446"/>
      <c r="CS750" s="446"/>
      <c r="CT750" s="446"/>
      <c r="CU750" s="446"/>
      <c r="CV750" s="446"/>
      <c r="CW750" s="752"/>
      <c r="CX750" s="752"/>
      <c r="CY750" s="752"/>
      <c r="CZ750" s="752"/>
      <c r="DA750" s="752"/>
      <c r="DB750" s="446"/>
      <c r="DC750" s="446"/>
      <c r="DD750" s="446"/>
      <c r="DE750" s="446"/>
      <c r="DF750" s="446"/>
      <c r="DG750" s="446"/>
      <c r="DH750" s="446"/>
      <c r="DI750" s="446"/>
      <c r="DJ750" s="446"/>
      <c r="DK750" s="446"/>
      <c r="DL750" s="446"/>
      <c r="DM750" s="446"/>
      <c r="DN750" s="446"/>
      <c r="DO750" s="446"/>
      <c r="DP750" s="446"/>
      <c r="DQ750" s="446"/>
      <c r="DR750" s="446"/>
      <c r="DS750" s="446"/>
      <c r="DT750" s="446"/>
      <c r="DU750" s="446"/>
      <c r="DV750" s="446"/>
      <c r="DW750" s="446"/>
    </row>
    <row r="751" spans="96:127" ht="15" customHeight="1" x14ac:dyDescent="0.25">
      <c r="CR751" s="446"/>
      <c r="CS751" s="446"/>
      <c r="CT751" s="446"/>
      <c r="CU751" s="446"/>
      <c r="CV751" s="446"/>
      <c r="CW751" s="752"/>
      <c r="CX751" s="752"/>
      <c r="CY751" s="752"/>
      <c r="CZ751" s="752"/>
      <c r="DA751" s="752"/>
      <c r="DB751" s="446"/>
      <c r="DC751" s="446"/>
      <c r="DD751" s="446"/>
      <c r="DE751" s="446"/>
      <c r="DF751" s="446"/>
      <c r="DG751" s="446"/>
      <c r="DH751" s="446"/>
      <c r="DI751" s="446"/>
      <c r="DJ751" s="446"/>
      <c r="DK751" s="446"/>
      <c r="DL751" s="446"/>
      <c r="DM751" s="446"/>
      <c r="DN751" s="446"/>
      <c r="DO751" s="446"/>
      <c r="DP751" s="446"/>
      <c r="DQ751" s="446"/>
      <c r="DR751" s="446"/>
      <c r="DS751" s="446"/>
      <c r="DT751" s="446"/>
      <c r="DU751" s="446"/>
      <c r="DV751" s="446"/>
      <c r="DW751" s="446"/>
    </row>
    <row r="752" spans="96:127" ht="15" customHeight="1" x14ac:dyDescent="0.25">
      <c r="CR752" s="446"/>
      <c r="CS752" s="446"/>
      <c r="CT752" s="446"/>
      <c r="CU752" s="446"/>
      <c r="CV752" s="446"/>
      <c r="CW752" s="752"/>
      <c r="CX752" s="752"/>
      <c r="CY752" s="752"/>
      <c r="CZ752" s="752"/>
      <c r="DA752" s="752"/>
      <c r="DB752" s="446"/>
      <c r="DC752" s="446"/>
      <c r="DD752" s="446"/>
      <c r="DE752" s="446"/>
      <c r="DF752" s="446"/>
      <c r="DG752" s="446"/>
      <c r="DH752" s="446"/>
      <c r="DI752" s="446"/>
      <c r="DJ752" s="446"/>
      <c r="DK752" s="446"/>
      <c r="DL752" s="446"/>
      <c r="DM752" s="446"/>
      <c r="DN752" s="446"/>
      <c r="DO752" s="446"/>
      <c r="DP752" s="446"/>
      <c r="DQ752" s="446"/>
      <c r="DR752" s="446"/>
      <c r="DS752" s="446"/>
      <c r="DT752" s="446"/>
      <c r="DU752" s="446"/>
      <c r="DV752" s="446"/>
      <c r="DW752" s="446"/>
    </row>
    <row r="753" spans="96:127" ht="15" customHeight="1" x14ac:dyDescent="0.25">
      <c r="CR753" s="446"/>
      <c r="CS753" s="446"/>
      <c r="CT753" s="446"/>
      <c r="CU753" s="446"/>
      <c r="CV753" s="446"/>
      <c r="CW753" s="752"/>
      <c r="CX753" s="752"/>
      <c r="CY753" s="752"/>
      <c r="CZ753" s="752"/>
      <c r="DA753" s="752"/>
      <c r="DB753" s="446"/>
      <c r="DC753" s="446"/>
      <c r="DD753" s="446"/>
      <c r="DE753" s="446"/>
      <c r="DF753" s="446"/>
      <c r="DG753" s="446"/>
      <c r="DH753" s="446"/>
      <c r="DI753" s="446"/>
      <c r="DJ753" s="446"/>
      <c r="DK753" s="446"/>
      <c r="DL753" s="446"/>
      <c r="DM753" s="446"/>
      <c r="DN753" s="446"/>
      <c r="DO753" s="446"/>
      <c r="DP753" s="446"/>
      <c r="DQ753" s="446"/>
      <c r="DR753" s="446"/>
      <c r="DS753" s="446"/>
      <c r="DT753" s="446"/>
      <c r="DU753" s="446"/>
      <c r="DV753" s="446"/>
      <c r="DW753" s="446"/>
    </row>
    <row r="754" spans="96:127" ht="15" customHeight="1" x14ac:dyDescent="0.25">
      <c r="CR754" s="446"/>
      <c r="CS754" s="446"/>
      <c r="CT754" s="446"/>
      <c r="CU754" s="446"/>
      <c r="CV754" s="446"/>
      <c r="CW754" s="752"/>
      <c r="CX754" s="752"/>
      <c r="CY754" s="752"/>
      <c r="CZ754" s="752"/>
      <c r="DA754" s="752"/>
      <c r="DB754" s="446"/>
      <c r="DC754" s="446"/>
      <c r="DD754" s="446"/>
      <c r="DE754" s="446"/>
      <c r="DF754" s="446"/>
      <c r="DG754" s="446"/>
      <c r="DH754" s="446"/>
      <c r="DI754" s="446"/>
      <c r="DJ754" s="446"/>
      <c r="DK754" s="446"/>
      <c r="DL754" s="446"/>
      <c r="DM754" s="446"/>
      <c r="DN754" s="446"/>
      <c r="DO754" s="446"/>
      <c r="DP754" s="446"/>
      <c r="DQ754" s="446"/>
      <c r="DR754" s="446"/>
      <c r="DS754" s="446"/>
      <c r="DT754" s="446"/>
      <c r="DU754" s="446"/>
      <c r="DV754" s="446"/>
      <c r="DW754" s="446"/>
    </row>
    <row r="755" spans="96:127" ht="15" customHeight="1" x14ac:dyDescent="0.25">
      <c r="CR755" s="446"/>
      <c r="CS755" s="446"/>
      <c r="CT755" s="446"/>
      <c r="CU755" s="446"/>
      <c r="CV755" s="446"/>
      <c r="CW755" s="752"/>
      <c r="CX755" s="752"/>
      <c r="CY755" s="752"/>
      <c r="CZ755" s="752"/>
      <c r="DA755" s="752"/>
      <c r="DB755" s="446"/>
      <c r="DC755" s="446"/>
      <c r="DD755" s="446"/>
      <c r="DE755" s="446"/>
      <c r="DF755" s="446"/>
      <c r="DG755" s="446"/>
      <c r="DH755" s="446"/>
      <c r="DI755" s="446"/>
      <c r="DJ755" s="446"/>
      <c r="DK755" s="446"/>
      <c r="DL755" s="446"/>
      <c r="DM755" s="446"/>
      <c r="DN755" s="446"/>
      <c r="DO755" s="446"/>
      <c r="DP755" s="446"/>
      <c r="DQ755" s="446"/>
      <c r="DR755" s="446"/>
      <c r="DS755" s="446"/>
      <c r="DT755" s="446"/>
      <c r="DU755" s="446"/>
      <c r="DV755" s="446"/>
      <c r="DW755" s="446"/>
    </row>
    <row r="756" spans="96:127" ht="15" customHeight="1" x14ac:dyDescent="0.25">
      <c r="CR756" s="446"/>
      <c r="CS756" s="446"/>
      <c r="CT756" s="446"/>
      <c r="CU756" s="446"/>
      <c r="CV756" s="446"/>
      <c r="CW756" s="752"/>
      <c r="CX756" s="752"/>
      <c r="CY756" s="752"/>
      <c r="CZ756" s="752"/>
      <c r="DA756" s="752"/>
      <c r="DB756" s="446"/>
      <c r="DC756" s="446"/>
      <c r="DD756" s="446"/>
      <c r="DE756" s="446"/>
      <c r="DF756" s="446"/>
      <c r="DG756" s="446"/>
      <c r="DH756" s="446"/>
      <c r="DI756" s="446"/>
      <c r="DJ756" s="446"/>
      <c r="DK756" s="446"/>
      <c r="DL756" s="446"/>
      <c r="DM756" s="446"/>
      <c r="DN756" s="446"/>
      <c r="DO756" s="446"/>
      <c r="DP756" s="446"/>
      <c r="DQ756" s="446"/>
      <c r="DR756" s="446"/>
      <c r="DS756" s="446"/>
      <c r="DT756" s="446"/>
      <c r="DU756" s="446"/>
      <c r="DV756" s="446"/>
      <c r="DW756" s="446"/>
    </row>
    <row r="757" spans="96:127" ht="15" customHeight="1" x14ac:dyDescent="0.25">
      <c r="CR757" s="446"/>
      <c r="CS757" s="446"/>
      <c r="CT757" s="446"/>
      <c r="CU757" s="446"/>
      <c r="CV757" s="446"/>
      <c r="CW757" s="752"/>
      <c r="CX757" s="752"/>
      <c r="CY757" s="752"/>
      <c r="CZ757" s="752"/>
      <c r="DA757" s="752"/>
      <c r="DB757" s="446"/>
      <c r="DC757" s="446"/>
      <c r="DD757" s="446"/>
      <c r="DE757" s="446"/>
      <c r="DF757" s="446"/>
      <c r="DG757" s="446"/>
      <c r="DH757" s="446"/>
      <c r="DI757" s="446"/>
      <c r="DJ757" s="446"/>
      <c r="DK757" s="446"/>
      <c r="DL757" s="446"/>
      <c r="DM757" s="446"/>
      <c r="DN757" s="446"/>
      <c r="DO757" s="446"/>
      <c r="DP757" s="446"/>
      <c r="DQ757" s="446"/>
      <c r="DR757" s="446"/>
      <c r="DS757" s="446"/>
      <c r="DT757" s="446"/>
      <c r="DU757" s="446"/>
      <c r="DV757" s="446"/>
      <c r="DW757" s="446"/>
    </row>
    <row r="758" spans="96:127" ht="15" customHeight="1" x14ac:dyDescent="0.25">
      <c r="CR758" s="446"/>
      <c r="CS758" s="446"/>
      <c r="CT758" s="446"/>
      <c r="CU758" s="446"/>
      <c r="CV758" s="446"/>
      <c r="CW758" s="752"/>
      <c r="CX758" s="752"/>
      <c r="CY758" s="752"/>
      <c r="CZ758" s="752"/>
      <c r="DA758" s="752"/>
      <c r="DB758" s="446"/>
      <c r="DC758" s="446"/>
      <c r="DD758" s="446"/>
      <c r="DE758" s="446"/>
      <c r="DF758" s="446"/>
      <c r="DG758" s="446"/>
      <c r="DH758" s="446"/>
      <c r="DI758" s="446"/>
      <c r="DJ758" s="446"/>
      <c r="DK758" s="446"/>
      <c r="DL758" s="446"/>
      <c r="DM758" s="446"/>
      <c r="DN758" s="446"/>
      <c r="DO758" s="446"/>
      <c r="DP758" s="446"/>
      <c r="DQ758" s="446"/>
      <c r="DR758" s="446"/>
      <c r="DS758" s="446"/>
      <c r="DT758" s="446"/>
      <c r="DU758" s="446"/>
      <c r="DV758" s="446"/>
      <c r="DW758" s="446"/>
    </row>
    <row r="759" spans="96:127" ht="15" customHeight="1" x14ac:dyDescent="0.25">
      <c r="CR759" s="446"/>
      <c r="CS759" s="446"/>
      <c r="CT759" s="446"/>
      <c r="CU759" s="446"/>
      <c r="CV759" s="446"/>
      <c r="CW759" s="752"/>
      <c r="CX759" s="752"/>
      <c r="CY759" s="752"/>
      <c r="CZ759" s="752"/>
      <c r="DA759" s="752"/>
      <c r="DB759" s="446"/>
      <c r="DC759" s="446"/>
      <c r="DD759" s="446"/>
      <c r="DE759" s="446"/>
      <c r="DF759" s="446"/>
      <c r="DG759" s="446"/>
      <c r="DH759" s="446"/>
      <c r="DI759" s="446"/>
      <c r="DJ759" s="446"/>
      <c r="DK759" s="446"/>
      <c r="DL759" s="446"/>
      <c r="DM759" s="446"/>
      <c r="DN759" s="446"/>
      <c r="DO759" s="446"/>
      <c r="DP759" s="446"/>
      <c r="DQ759" s="446"/>
      <c r="DR759" s="446"/>
      <c r="DS759" s="446"/>
      <c r="DT759" s="446"/>
      <c r="DU759" s="446"/>
      <c r="DV759" s="446"/>
      <c r="DW759" s="446"/>
    </row>
    <row r="760" spans="96:127" ht="15" customHeight="1" x14ac:dyDescent="0.25">
      <c r="CR760" s="446"/>
      <c r="CS760" s="446"/>
      <c r="CT760" s="446"/>
      <c r="CU760" s="446"/>
      <c r="CV760" s="446"/>
      <c r="CW760" s="752"/>
      <c r="CX760" s="752"/>
      <c r="CY760" s="752"/>
      <c r="CZ760" s="752"/>
      <c r="DA760" s="752"/>
      <c r="DB760" s="446"/>
      <c r="DC760" s="446"/>
      <c r="DD760" s="446"/>
      <c r="DE760" s="446"/>
      <c r="DF760" s="446"/>
      <c r="DG760" s="446"/>
      <c r="DH760" s="446"/>
      <c r="DI760" s="446"/>
      <c r="DJ760" s="446"/>
      <c r="DK760" s="446"/>
      <c r="DL760" s="446"/>
      <c r="DM760" s="446"/>
      <c r="DN760" s="446"/>
      <c r="DO760" s="446"/>
      <c r="DP760" s="446"/>
      <c r="DQ760" s="446"/>
      <c r="DR760" s="446"/>
      <c r="DS760" s="446"/>
      <c r="DT760" s="446"/>
      <c r="DU760" s="446"/>
      <c r="DV760" s="446"/>
      <c r="DW760" s="446"/>
    </row>
    <row r="761" spans="96:127" ht="15" customHeight="1" x14ac:dyDescent="0.25">
      <c r="CR761" s="446"/>
      <c r="CS761" s="446"/>
      <c r="CT761" s="446"/>
      <c r="CU761" s="446"/>
      <c r="CV761" s="446"/>
      <c r="CW761" s="752"/>
      <c r="CX761" s="752"/>
      <c r="CY761" s="752"/>
      <c r="CZ761" s="752"/>
      <c r="DA761" s="752"/>
      <c r="DB761" s="446"/>
      <c r="DC761" s="446"/>
      <c r="DD761" s="446"/>
      <c r="DE761" s="446"/>
      <c r="DF761" s="446"/>
      <c r="DG761" s="446"/>
      <c r="DH761" s="446"/>
      <c r="DI761" s="446"/>
      <c r="DJ761" s="446"/>
      <c r="DK761" s="446"/>
      <c r="DL761" s="446"/>
      <c r="DM761" s="446"/>
      <c r="DN761" s="446"/>
      <c r="DO761" s="446"/>
      <c r="DP761" s="446"/>
      <c r="DQ761" s="446"/>
      <c r="DR761" s="446"/>
      <c r="DS761" s="446"/>
      <c r="DT761" s="446"/>
      <c r="DU761" s="446"/>
      <c r="DV761" s="446"/>
      <c r="DW761" s="446"/>
    </row>
    <row r="762" spans="96:127" ht="15" customHeight="1" x14ac:dyDescent="0.25">
      <c r="CR762" s="446"/>
      <c r="CS762" s="446"/>
      <c r="CT762" s="446"/>
      <c r="CU762" s="446"/>
      <c r="CV762" s="446"/>
      <c r="CW762" s="752"/>
      <c r="CX762" s="752"/>
      <c r="CY762" s="752"/>
      <c r="CZ762" s="752"/>
      <c r="DA762" s="752"/>
      <c r="DB762" s="446"/>
      <c r="DC762" s="446"/>
      <c r="DD762" s="446"/>
      <c r="DE762" s="446"/>
      <c r="DF762" s="446"/>
      <c r="DG762" s="446"/>
      <c r="DH762" s="446"/>
      <c r="DI762" s="446"/>
      <c r="DJ762" s="446"/>
      <c r="DK762" s="446"/>
      <c r="DL762" s="446"/>
      <c r="DM762" s="446"/>
      <c r="DN762" s="446"/>
      <c r="DO762" s="446"/>
      <c r="DP762" s="446"/>
      <c r="DQ762" s="446"/>
      <c r="DR762" s="446"/>
      <c r="DS762" s="446"/>
      <c r="DT762" s="446"/>
      <c r="DU762" s="446"/>
      <c r="DV762" s="446"/>
      <c r="DW762" s="446"/>
    </row>
    <row r="763" spans="96:127" ht="15" customHeight="1" x14ac:dyDescent="0.25">
      <c r="CR763" s="446"/>
      <c r="CS763" s="446"/>
      <c r="CT763" s="446"/>
      <c r="CU763" s="446"/>
      <c r="CV763" s="446"/>
      <c r="CW763" s="752"/>
      <c r="CX763" s="752"/>
      <c r="CY763" s="752"/>
      <c r="CZ763" s="752"/>
      <c r="DA763" s="752"/>
      <c r="DB763" s="446"/>
      <c r="DC763" s="446"/>
      <c r="DD763" s="446"/>
      <c r="DE763" s="446"/>
      <c r="DF763" s="446"/>
      <c r="DG763" s="446"/>
      <c r="DH763" s="446"/>
      <c r="DI763" s="446"/>
      <c r="DJ763" s="446"/>
      <c r="DK763" s="446"/>
      <c r="DL763" s="446"/>
      <c r="DM763" s="446"/>
      <c r="DN763" s="446"/>
      <c r="DO763" s="446"/>
      <c r="DP763" s="446"/>
      <c r="DQ763" s="446"/>
      <c r="DR763" s="446"/>
      <c r="DS763" s="446"/>
      <c r="DT763" s="446"/>
      <c r="DU763" s="446"/>
      <c r="DV763" s="446"/>
      <c r="DW763" s="446"/>
    </row>
    <row r="764" spans="96:127" ht="15" customHeight="1" x14ac:dyDescent="0.25">
      <c r="CR764" s="446"/>
      <c r="CS764" s="446"/>
      <c r="CT764" s="446"/>
      <c r="CU764" s="446"/>
      <c r="CV764" s="446"/>
      <c r="CW764" s="752"/>
      <c r="CX764" s="752"/>
      <c r="CY764" s="752"/>
      <c r="CZ764" s="752"/>
      <c r="DA764" s="752"/>
      <c r="DB764" s="446"/>
      <c r="DC764" s="446"/>
      <c r="DD764" s="446"/>
      <c r="DE764" s="446"/>
      <c r="DF764" s="446"/>
      <c r="DG764" s="446"/>
      <c r="DH764" s="446"/>
      <c r="DI764" s="446"/>
      <c r="DJ764" s="446"/>
      <c r="DK764" s="446"/>
      <c r="DL764" s="446"/>
      <c r="DM764" s="446"/>
      <c r="DN764" s="446"/>
      <c r="DO764" s="446"/>
      <c r="DP764" s="446"/>
      <c r="DQ764" s="446"/>
      <c r="DR764" s="446"/>
      <c r="DS764" s="446"/>
      <c r="DT764" s="446"/>
      <c r="DU764" s="446"/>
      <c r="DV764" s="446"/>
      <c r="DW764" s="446"/>
    </row>
    <row r="765" spans="96:127" ht="15" customHeight="1" x14ac:dyDescent="0.25">
      <c r="CR765" s="446"/>
      <c r="CS765" s="446"/>
      <c r="CT765" s="446"/>
      <c r="CU765" s="446"/>
      <c r="CV765" s="446"/>
      <c r="CW765" s="752"/>
      <c r="CX765" s="752"/>
      <c r="CY765" s="752"/>
      <c r="CZ765" s="752"/>
      <c r="DA765" s="752"/>
      <c r="DB765" s="446"/>
      <c r="DC765" s="446"/>
      <c r="DD765" s="446"/>
      <c r="DE765" s="446"/>
      <c r="DF765" s="446"/>
      <c r="DG765" s="446"/>
      <c r="DH765" s="446"/>
      <c r="DI765" s="446"/>
      <c r="DJ765" s="446"/>
      <c r="DK765" s="446"/>
      <c r="DL765" s="446"/>
      <c r="DM765" s="446"/>
      <c r="DN765" s="446"/>
      <c r="DO765" s="446"/>
      <c r="DP765" s="446"/>
      <c r="DQ765" s="446"/>
      <c r="DR765" s="446"/>
      <c r="DS765" s="446"/>
      <c r="DT765" s="446"/>
      <c r="DU765" s="446"/>
      <c r="DV765" s="446"/>
      <c r="DW765" s="446"/>
    </row>
    <row r="766" spans="96:127" ht="15" customHeight="1" x14ac:dyDescent="0.25">
      <c r="CR766" s="446"/>
      <c r="CS766" s="446"/>
      <c r="CT766" s="446"/>
      <c r="CU766" s="446"/>
      <c r="CV766" s="446"/>
      <c r="CW766" s="752"/>
      <c r="CX766" s="752"/>
      <c r="CY766" s="752"/>
      <c r="CZ766" s="752"/>
      <c r="DA766" s="752"/>
      <c r="DB766" s="446"/>
      <c r="DC766" s="446"/>
      <c r="DD766" s="446"/>
      <c r="DE766" s="446"/>
      <c r="DF766" s="446"/>
      <c r="DG766" s="446"/>
      <c r="DH766" s="446"/>
      <c r="DI766" s="446"/>
      <c r="DJ766" s="446"/>
      <c r="DK766" s="446"/>
      <c r="DL766" s="446"/>
      <c r="DM766" s="446"/>
      <c r="DN766" s="446"/>
      <c r="DO766" s="446"/>
      <c r="DP766" s="446"/>
      <c r="DQ766" s="446"/>
      <c r="DR766" s="446"/>
      <c r="DS766" s="446"/>
      <c r="DT766" s="446"/>
      <c r="DU766" s="446"/>
      <c r="DV766" s="446"/>
      <c r="DW766" s="446"/>
    </row>
    <row r="767" spans="96:127" ht="15" customHeight="1" x14ac:dyDescent="0.25">
      <c r="CR767" s="446"/>
      <c r="CS767" s="446"/>
      <c r="CT767" s="446"/>
      <c r="CU767" s="446"/>
      <c r="CV767" s="446"/>
      <c r="CW767" s="752"/>
      <c r="CX767" s="752"/>
      <c r="CY767" s="752"/>
      <c r="CZ767" s="752"/>
      <c r="DA767" s="752"/>
      <c r="DB767" s="446"/>
      <c r="DC767" s="446"/>
      <c r="DD767" s="446"/>
      <c r="DE767" s="446"/>
      <c r="DF767" s="446"/>
      <c r="DG767" s="446"/>
      <c r="DH767" s="446"/>
      <c r="DI767" s="446"/>
      <c r="DJ767" s="446"/>
      <c r="DK767" s="446"/>
      <c r="DL767" s="446"/>
      <c r="DM767" s="446"/>
      <c r="DN767" s="446"/>
      <c r="DO767" s="446"/>
      <c r="DP767" s="446"/>
      <c r="DQ767" s="446"/>
      <c r="DR767" s="446"/>
      <c r="DS767" s="446"/>
      <c r="DT767" s="446"/>
      <c r="DU767" s="446"/>
      <c r="DV767" s="446"/>
      <c r="DW767" s="446"/>
    </row>
    <row r="768" spans="96:127" ht="15" customHeight="1" x14ac:dyDescent="0.25">
      <c r="CR768" s="446"/>
      <c r="CS768" s="446"/>
      <c r="CT768" s="446"/>
      <c r="CU768" s="446"/>
      <c r="CV768" s="446"/>
      <c r="CW768" s="752"/>
      <c r="CX768" s="752"/>
      <c r="CY768" s="752"/>
      <c r="CZ768" s="752"/>
      <c r="DA768" s="752"/>
      <c r="DB768" s="446"/>
      <c r="DC768" s="446"/>
      <c r="DD768" s="446"/>
      <c r="DE768" s="446"/>
      <c r="DF768" s="446"/>
      <c r="DG768" s="446"/>
      <c r="DH768" s="446"/>
      <c r="DI768" s="446"/>
      <c r="DJ768" s="446"/>
      <c r="DK768" s="446"/>
      <c r="DL768" s="446"/>
      <c r="DM768" s="446"/>
      <c r="DN768" s="446"/>
      <c r="DO768" s="446"/>
      <c r="DP768" s="446"/>
      <c r="DQ768" s="446"/>
      <c r="DR768" s="446"/>
      <c r="DS768" s="446"/>
      <c r="DT768" s="446"/>
      <c r="DU768" s="446"/>
      <c r="DV768" s="446"/>
      <c r="DW768" s="446"/>
    </row>
    <row r="769" spans="96:127" ht="15" customHeight="1" x14ac:dyDescent="0.25">
      <c r="CR769" s="446"/>
      <c r="CS769" s="446"/>
      <c r="CT769" s="446"/>
      <c r="CU769" s="446"/>
      <c r="CV769" s="446"/>
      <c r="CW769" s="752"/>
      <c r="CX769" s="752"/>
      <c r="CY769" s="752"/>
      <c r="CZ769" s="752"/>
      <c r="DA769" s="752"/>
      <c r="DB769" s="446"/>
      <c r="DC769" s="446"/>
      <c r="DD769" s="446"/>
      <c r="DE769" s="446"/>
      <c r="DF769" s="446"/>
      <c r="DG769" s="446"/>
      <c r="DH769" s="446"/>
      <c r="DI769" s="446"/>
      <c r="DJ769" s="446"/>
      <c r="DK769" s="446"/>
      <c r="DL769" s="446"/>
      <c r="DM769" s="446"/>
      <c r="DN769" s="446"/>
      <c r="DO769" s="446"/>
      <c r="DP769" s="446"/>
      <c r="DQ769" s="446"/>
      <c r="DR769" s="446"/>
      <c r="DS769" s="446"/>
      <c r="DT769" s="446"/>
      <c r="DU769" s="446"/>
      <c r="DV769" s="446"/>
      <c r="DW769" s="446"/>
    </row>
    <row r="770" spans="96:127" ht="15" customHeight="1" x14ac:dyDescent="0.25">
      <c r="CR770" s="446"/>
      <c r="CS770" s="446"/>
      <c r="CT770" s="446"/>
      <c r="CU770" s="446"/>
      <c r="CV770" s="446"/>
      <c r="CW770" s="752"/>
      <c r="CX770" s="752"/>
      <c r="CY770" s="752"/>
      <c r="CZ770" s="752"/>
      <c r="DA770" s="752"/>
      <c r="DB770" s="446"/>
      <c r="DC770" s="446"/>
      <c r="DD770" s="446"/>
      <c r="DE770" s="446"/>
      <c r="DF770" s="446"/>
      <c r="DG770" s="446"/>
      <c r="DH770" s="446"/>
      <c r="DI770" s="446"/>
      <c r="DJ770" s="446"/>
      <c r="DK770" s="446"/>
      <c r="DL770" s="446"/>
      <c r="DM770" s="446"/>
      <c r="DN770" s="446"/>
      <c r="DO770" s="446"/>
      <c r="DP770" s="446"/>
      <c r="DQ770" s="446"/>
      <c r="DR770" s="446"/>
      <c r="DS770" s="446"/>
      <c r="DT770" s="446"/>
      <c r="DU770" s="446"/>
      <c r="DV770" s="446"/>
      <c r="DW770" s="446"/>
    </row>
    <row r="771" spans="96:127" ht="15" customHeight="1" x14ac:dyDescent="0.25">
      <c r="CR771" s="446"/>
      <c r="CS771" s="446"/>
      <c r="CT771" s="446"/>
      <c r="CU771" s="446"/>
      <c r="CV771" s="446"/>
      <c r="CW771" s="752"/>
      <c r="CX771" s="752"/>
      <c r="CY771" s="752"/>
      <c r="CZ771" s="752"/>
      <c r="DA771" s="752"/>
      <c r="DB771" s="446"/>
      <c r="DC771" s="446"/>
      <c r="DD771" s="446"/>
      <c r="DE771" s="446"/>
      <c r="DF771" s="446"/>
      <c r="DG771" s="446"/>
      <c r="DH771" s="446"/>
      <c r="DI771" s="446"/>
      <c r="DJ771" s="446"/>
      <c r="DK771" s="446"/>
      <c r="DL771" s="446"/>
      <c r="DM771" s="446"/>
      <c r="DN771" s="446"/>
      <c r="DO771" s="446"/>
      <c r="DP771" s="446"/>
      <c r="DQ771" s="446"/>
      <c r="DR771" s="446"/>
      <c r="DS771" s="446"/>
      <c r="DT771" s="446"/>
      <c r="DU771" s="446"/>
      <c r="DV771" s="446"/>
      <c r="DW771" s="446"/>
    </row>
    <row r="772" spans="96:127" ht="15" customHeight="1" x14ac:dyDescent="0.25">
      <c r="CR772" s="446"/>
      <c r="CS772" s="446"/>
      <c r="CT772" s="446"/>
      <c r="CU772" s="446"/>
      <c r="CV772" s="446"/>
      <c r="CW772" s="752"/>
      <c r="CX772" s="752"/>
      <c r="CY772" s="752"/>
      <c r="CZ772" s="752"/>
      <c r="DA772" s="752"/>
      <c r="DB772" s="446"/>
      <c r="DC772" s="446"/>
      <c r="DD772" s="446"/>
      <c r="DE772" s="446"/>
      <c r="DF772" s="446"/>
      <c r="DG772" s="446"/>
      <c r="DH772" s="446"/>
      <c r="DI772" s="446"/>
      <c r="DJ772" s="446"/>
      <c r="DK772" s="446"/>
      <c r="DL772" s="446"/>
      <c r="DM772" s="446"/>
      <c r="DN772" s="446"/>
      <c r="DO772" s="446"/>
      <c r="DP772" s="446"/>
      <c r="DQ772" s="446"/>
      <c r="DR772" s="446"/>
      <c r="DS772" s="446"/>
      <c r="DT772" s="446"/>
      <c r="DU772" s="446"/>
      <c r="DV772" s="446"/>
      <c r="DW772" s="446"/>
    </row>
    <row r="773" spans="96:127" ht="15" customHeight="1" x14ac:dyDescent="0.25">
      <c r="CR773" s="446"/>
      <c r="CS773" s="446"/>
      <c r="CT773" s="446"/>
      <c r="CU773" s="446"/>
      <c r="CV773" s="446"/>
      <c r="CW773" s="752"/>
      <c r="CX773" s="752"/>
      <c r="CY773" s="752"/>
      <c r="CZ773" s="752"/>
      <c r="DA773" s="752"/>
      <c r="DB773" s="446"/>
      <c r="DC773" s="446"/>
      <c r="DD773" s="446"/>
      <c r="DE773" s="446"/>
      <c r="DF773" s="446"/>
      <c r="DG773" s="446"/>
      <c r="DH773" s="446"/>
      <c r="DI773" s="446"/>
      <c r="DJ773" s="446"/>
      <c r="DK773" s="446"/>
      <c r="DL773" s="446"/>
      <c r="DM773" s="446"/>
      <c r="DN773" s="446"/>
      <c r="DO773" s="446"/>
      <c r="DP773" s="446"/>
      <c r="DQ773" s="446"/>
      <c r="DR773" s="446"/>
      <c r="DS773" s="446"/>
      <c r="DT773" s="446"/>
      <c r="DU773" s="446"/>
      <c r="DV773" s="446"/>
      <c r="DW773" s="446"/>
    </row>
    <row r="774" spans="96:127" ht="15" customHeight="1" x14ac:dyDescent="0.25">
      <c r="CR774" s="446"/>
      <c r="CS774" s="446"/>
      <c r="CT774" s="446"/>
      <c r="CU774" s="446"/>
      <c r="CV774" s="446"/>
      <c r="CW774" s="752"/>
      <c r="CX774" s="752"/>
      <c r="CY774" s="752"/>
      <c r="CZ774" s="752"/>
      <c r="DA774" s="752"/>
      <c r="DB774" s="446"/>
      <c r="DC774" s="446"/>
      <c r="DD774" s="446"/>
      <c r="DE774" s="446"/>
      <c r="DF774" s="446"/>
      <c r="DG774" s="446"/>
      <c r="DH774" s="446"/>
      <c r="DI774" s="446"/>
      <c r="DJ774" s="446"/>
      <c r="DK774" s="446"/>
      <c r="DL774" s="446"/>
      <c r="DM774" s="446"/>
      <c r="DN774" s="446"/>
      <c r="DO774" s="446"/>
      <c r="DP774" s="446"/>
      <c r="DQ774" s="446"/>
      <c r="DR774" s="446"/>
      <c r="DS774" s="446"/>
      <c r="DT774" s="446"/>
      <c r="DU774" s="446"/>
      <c r="DV774" s="446"/>
      <c r="DW774" s="446"/>
    </row>
    <row r="775" spans="96:127" ht="15" customHeight="1" x14ac:dyDescent="0.25">
      <c r="CR775" s="446"/>
      <c r="CS775" s="446"/>
      <c r="CT775" s="446"/>
      <c r="CU775" s="446"/>
      <c r="CV775" s="446"/>
      <c r="CW775" s="752"/>
      <c r="CX775" s="752"/>
      <c r="CY775" s="752"/>
      <c r="CZ775" s="752"/>
      <c r="DA775" s="752"/>
      <c r="DB775" s="446"/>
      <c r="DC775" s="446"/>
      <c r="DD775" s="446"/>
      <c r="DE775" s="446"/>
      <c r="DF775" s="446"/>
      <c r="DG775" s="446"/>
      <c r="DH775" s="446"/>
      <c r="DI775" s="446"/>
      <c r="DJ775" s="446"/>
      <c r="DK775" s="446"/>
      <c r="DL775" s="446"/>
      <c r="DM775" s="446"/>
      <c r="DN775" s="446"/>
      <c r="DO775" s="446"/>
      <c r="DP775" s="446"/>
      <c r="DQ775" s="446"/>
      <c r="DR775" s="446"/>
      <c r="DS775" s="446"/>
      <c r="DT775" s="446"/>
      <c r="DU775" s="446"/>
      <c r="DV775" s="446"/>
      <c r="DW775" s="446"/>
    </row>
    <row r="776" spans="96:127" ht="15" customHeight="1" x14ac:dyDescent="0.25">
      <c r="CR776" s="446"/>
      <c r="CS776" s="446"/>
      <c r="CT776" s="446"/>
      <c r="CU776" s="446"/>
      <c r="CV776" s="446"/>
      <c r="CW776" s="752"/>
      <c r="CX776" s="752"/>
      <c r="CY776" s="752"/>
      <c r="CZ776" s="752"/>
      <c r="DA776" s="752"/>
      <c r="DB776" s="446"/>
      <c r="DC776" s="446"/>
      <c r="DD776" s="446"/>
      <c r="DE776" s="446"/>
      <c r="DF776" s="446"/>
      <c r="DG776" s="446"/>
      <c r="DH776" s="446"/>
      <c r="DI776" s="446"/>
      <c r="DJ776" s="446"/>
      <c r="DK776" s="446"/>
      <c r="DL776" s="446"/>
      <c r="DM776" s="446"/>
      <c r="DN776" s="446"/>
      <c r="DO776" s="446"/>
      <c r="DP776" s="446"/>
      <c r="DQ776" s="446"/>
      <c r="DR776" s="446"/>
      <c r="DS776" s="446"/>
      <c r="DT776" s="446"/>
      <c r="DU776" s="446"/>
      <c r="DV776" s="446"/>
      <c r="DW776" s="446"/>
    </row>
    <row r="777" spans="96:127" ht="15" customHeight="1" x14ac:dyDescent="0.25">
      <c r="CR777" s="446"/>
      <c r="CS777" s="446"/>
      <c r="CT777" s="446"/>
      <c r="CU777" s="446"/>
      <c r="CV777" s="446"/>
      <c r="CW777" s="752"/>
      <c r="CX777" s="752"/>
      <c r="CY777" s="752"/>
      <c r="CZ777" s="752"/>
      <c r="DA777" s="752"/>
      <c r="DB777" s="446"/>
      <c r="DC777" s="446"/>
      <c r="DD777" s="446"/>
      <c r="DE777" s="446"/>
      <c r="DF777" s="446"/>
      <c r="DG777" s="446"/>
      <c r="DH777" s="446"/>
      <c r="DI777" s="446"/>
      <c r="DJ777" s="446"/>
      <c r="DK777" s="446"/>
      <c r="DL777" s="446"/>
      <c r="DM777" s="446"/>
      <c r="DN777" s="446"/>
      <c r="DO777" s="446"/>
      <c r="DP777" s="446"/>
      <c r="DQ777" s="446"/>
      <c r="DR777" s="446"/>
      <c r="DS777" s="446"/>
      <c r="DT777" s="446"/>
      <c r="DU777" s="446"/>
      <c r="DV777" s="446"/>
      <c r="DW777" s="446"/>
    </row>
    <row r="778" spans="96:127" ht="15" customHeight="1" x14ac:dyDescent="0.25">
      <c r="CR778" s="446"/>
      <c r="CS778" s="446"/>
      <c r="CT778" s="446"/>
      <c r="CU778" s="446"/>
      <c r="CV778" s="446"/>
      <c r="CW778" s="752"/>
      <c r="CX778" s="752"/>
      <c r="CY778" s="752"/>
      <c r="CZ778" s="752"/>
      <c r="DA778" s="752"/>
      <c r="DB778" s="446"/>
      <c r="DC778" s="446"/>
      <c r="DD778" s="446"/>
      <c r="DE778" s="446"/>
      <c r="DF778" s="446"/>
      <c r="DG778" s="446"/>
      <c r="DH778" s="446"/>
      <c r="DI778" s="446"/>
      <c r="DJ778" s="446"/>
      <c r="DK778" s="446"/>
      <c r="DL778" s="446"/>
      <c r="DM778" s="446"/>
      <c r="DN778" s="446"/>
      <c r="DO778" s="446"/>
      <c r="DP778" s="446"/>
      <c r="DQ778" s="446"/>
      <c r="DR778" s="446"/>
      <c r="DS778" s="446"/>
      <c r="DT778" s="446"/>
      <c r="DU778" s="446"/>
      <c r="DV778" s="446"/>
      <c r="DW778" s="446"/>
    </row>
    <row r="779" spans="96:127" ht="15" customHeight="1" x14ac:dyDescent="0.25">
      <c r="CR779" s="446"/>
      <c r="CS779" s="446"/>
      <c r="CT779" s="446"/>
      <c r="CU779" s="446"/>
      <c r="CV779" s="446"/>
      <c r="CW779" s="752"/>
      <c r="CX779" s="752"/>
      <c r="CY779" s="752"/>
      <c r="CZ779" s="752"/>
      <c r="DA779" s="752"/>
      <c r="DB779" s="446"/>
      <c r="DC779" s="446"/>
      <c r="DD779" s="446"/>
      <c r="DE779" s="446"/>
      <c r="DF779" s="446"/>
      <c r="DG779" s="446"/>
      <c r="DH779" s="446"/>
      <c r="DI779" s="446"/>
      <c r="DJ779" s="446"/>
      <c r="DK779" s="446"/>
      <c r="DL779" s="446"/>
      <c r="DM779" s="446"/>
      <c r="DN779" s="446"/>
      <c r="DO779" s="446"/>
      <c r="DP779" s="446"/>
      <c r="DQ779" s="446"/>
      <c r="DR779" s="446"/>
      <c r="DS779" s="446"/>
      <c r="DT779" s="446"/>
      <c r="DU779" s="446"/>
      <c r="DV779" s="446"/>
      <c r="DW779" s="446"/>
    </row>
    <row r="780" spans="96:127" ht="15" customHeight="1" x14ac:dyDescent="0.25">
      <c r="CR780" s="446"/>
      <c r="CS780" s="446"/>
      <c r="CT780" s="446"/>
      <c r="CU780" s="446"/>
      <c r="CV780" s="446"/>
      <c r="CW780" s="752"/>
      <c r="CX780" s="752"/>
      <c r="CY780" s="752"/>
      <c r="CZ780" s="752"/>
      <c r="DA780" s="752"/>
      <c r="DB780" s="446"/>
      <c r="DC780" s="446"/>
      <c r="DD780" s="446"/>
      <c r="DE780" s="446"/>
      <c r="DF780" s="446"/>
      <c r="DG780" s="446"/>
      <c r="DH780" s="446"/>
      <c r="DI780" s="446"/>
      <c r="DJ780" s="446"/>
      <c r="DK780" s="446"/>
      <c r="DL780" s="446"/>
      <c r="DM780" s="446"/>
      <c r="DN780" s="446"/>
      <c r="DO780" s="446"/>
      <c r="DP780" s="446"/>
      <c r="DQ780" s="446"/>
      <c r="DR780" s="446"/>
      <c r="DS780" s="446"/>
      <c r="DT780" s="446"/>
      <c r="DU780" s="446"/>
      <c r="DV780" s="446"/>
      <c r="DW780" s="446"/>
    </row>
    <row r="781" spans="96:127" ht="15" customHeight="1" x14ac:dyDescent="0.25">
      <c r="CR781" s="446"/>
      <c r="CS781" s="446"/>
      <c r="CT781" s="446"/>
      <c r="CU781" s="446"/>
      <c r="CV781" s="446"/>
      <c r="CW781" s="752"/>
      <c r="CX781" s="752"/>
      <c r="CY781" s="752"/>
      <c r="CZ781" s="752"/>
      <c r="DA781" s="752"/>
      <c r="DB781" s="446"/>
      <c r="DC781" s="446"/>
      <c r="DD781" s="446"/>
      <c r="DE781" s="446"/>
      <c r="DF781" s="446"/>
      <c r="DG781" s="446"/>
      <c r="DH781" s="446"/>
      <c r="DI781" s="446"/>
      <c r="DJ781" s="446"/>
      <c r="DK781" s="446"/>
      <c r="DL781" s="446"/>
      <c r="DM781" s="446"/>
      <c r="DN781" s="446"/>
      <c r="DO781" s="446"/>
      <c r="DP781" s="446"/>
      <c r="DQ781" s="446"/>
      <c r="DR781" s="446"/>
      <c r="DS781" s="446"/>
      <c r="DT781" s="446"/>
      <c r="DU781" s="446"/>
      <c r="DV781" s="446"/>
      <c r="DW781" s="446"/>
    </row>
    <row r="782" spans="96:127" ht="15" customHeight="1" x14ac:dyDescent="0.25">
      <c r="CR782" s="446"/>
      <c r="CS782" s="446"/>
      <c r="CT782" s="446"/>
      <c r="CU782" s="446"/>
      <c r="CV782" s="446"/>
      <c r="CW782" s="752"/>
      <c r="CX782" s="752"/>
      <c r="CY782" s="752"/>
      <c r="CZ782" s="752"/>
      <c r="DA782" s="752"/>
      <c r="DB782" s="446"/>
      <c r="DC782" s="446"/>
      <c r="DD782" s="446"/>
      <c r="DE782" s="446"/>
      <c r="DF782" s="446"/>
      <c r="DG782" s="446"/>
      <c r="DH782" s="446"/>
      <c r="DI782" s="446"/>
      <c r="DJ782" s="446"/>
      <c r="DK782" s="446"/>
      <c r="DL782" s="446"/>
      <c r="DM782" s="446"/>
      <c r="DN782" s="446"/>
      <c r="DO782" s="446"/>
      <c r="DP782" s="446"/>
      <c r="DQ782" s="446"/>
      <c r="DR782" s="446"/>
      <c r="DS782" s="446"/>
      <c r="DT782" s="446"/>
      <c r="DU782" s="446"/>
      <c r="DV782" s="446"/>
      <c r="DW782" s="446"/>
    </row>
    <row r="783" spans="96:127" ht="15" customHeight="1" x14ac:dyDescent="0.25">
      <c r="CR783" s="446"/>
      <c r="CS783" s="446"/>
      <c r="CT783" s="446"/>
      <c r="CU783" s="446"/>
      <c r="CV783" s="446"/>
      <c r="CW783" s="752"/>
      <c r="CX783" s="752"/>
      <c r="CY783" s="752"/>
      <c r="CZ783" s="752"/>
      <c r="DA783" s="752"/>
      <c r="DB783" s="446"/>
      <c r="DC783" s="446"/>
      <c r="DD783" s="446"/>
      <c r="DE783" s="446"/>
      <c r="DF783" s="446"/>
      <c r="DG783" s="446"/>
      <c r="DH783" s="446"/>
      <c r="DI783" s="446"/>
      <c r="DJ783" s="446"/>
      <c r="DK783" s="446"/>
      <c r="DL783" s="446"/>
      <c r="DM783" s="446"/>
      <c r="DN783" s="446"/>
      <c r="DO783" s="446"/>
      <c r="DP783" s="446"/>
      <c r="DQ783" s="446"/>
      <c r="DR783" s="446"/>
      <c r="DS783" s="446"/>
      <c r="DT783" s="446"/>
      <c r="DU783" s="446"/>
      <c r="DV783" s="446"/>
      <c r="DW783" s="446"/>
    </row>
    <row r="784" spans="96:127" ht="15" customHeight="1" x14ac:dyDescent="0.25">
      <c r="CR784" s="446"/>
      <c r="CS784" s="446"/>
      <c r="CT784" s="446"/>
      <c r="CU784" s="446"/>
      <c r="CV784" s="446"/>
      <c r="CW784" s="752"/>
      <c r="CX784" s="752"/>
      <c r="CY784" s="752"/>
      <c r="CZ784" s="752"/>
      <c r="DA784" s="752"/>
      <c r="DB784" s="446"/>
      <c r="DC784" s="446"/>
      <c r="DD784" s="446"/>
      <c r="DE784" s="446"/>
      <c r="DF784" s="446"/>
      <c r="DG784" s="446"/>
      <c r="DH784" s="446"/>
      <c r="DI784" s="446"/>
      <c r="DJ784" s="446"/>
      <c r="DK784" s="446"/>
      <c r="DL784" s="446"/>
      <c r="DM784" s="446"/>
      <c r="DN784" s="446"/>
      <c r="DO784" s="446"/>
      <c r="DP784" s="446"/>
      <c r="DQ784" s="446"/>
      <c r="DR784" s="446"/>
      <c r="DS784" s="446"/>
      <c r="DT784" s="446"/>
      <c r="DU784" s="446"/>
      <c r="DV784" s="446"/>
      <c r="DW784" s="446"/>
    </row>
    <row r="785" spans="96:127" ht="15" customHeight="1" x14ac:dyDescent="0.25">
      <c r="CR785" s="446"/>
      <c r="CS785" s="446"/>
      <c r="CT785" s="446"/>
      <c r="CU785" s="446"/>
      <c r="CV785" s="446"/>
      <c r="CW785" s="752"/>
      <c r="CX785" s="752"/>
      <c r="CY785" s="752"/>
      <c r="CZ785" s="752"/>
      <c r="DA785" s="752"/>
      <c r="DB785" s="446"/>
      <c r="DC785" s="446"/>
      <c r="DD785" s="446"/>
      <c r="DE785" s="446"/>
      <c r="DF785" s="446"/>
      <c r="DG785" s="446"/>
      <c r="DH785" s="446"/>
      <c r="DI785" s="446"/>
      <c r="DJ785" s="446"/>
      <c r="DK785" s="446"/>
      <c r="DL785" s="446"/>
      <c r="DM785" s="446"/>
      <c r="DN785" s="446"/>
      <c r="DO785" s="446"/>
      <c r="DP785" s="446"/>
      <c r="DQ785" s="446"/>
      <c r="DR785" s="446"/>
      <c r="DS785" s="446"/>
      <c r="DT785" s="446"/>
      <c r="DU785" s="446"/>
      <c r="DV785" s="446"/>
      <c r="DW785" s="446"/>
    </row>
    <row r="786" spans="96:127" ht="15" customHeight="1" x14ac:dyDescent="0.25">
      <c r="CR786" s="446"/>
      <c r="CS786" s="446"/>
      <c r="CT786" s="446"/>
      <c r="CU786" s="446"/>
      <c r="CV786" s="446"/>
      <c r="CW786" s="752"/>
      <c r="CX786" s="752"/>
      <c r="CY786" s="752"/>
      <c r="CZ786" s="752"/>
      <c r="DA786" s="752"/>
      <c r="DB786" s="446"/>
      <c r="DC786" s="446"/>
      <c r="DD786" s="446"/>
      <c r="DE786" s="446"/>
      <c r="DF786" s="446"/>
      <c r="DG786" s="446"/>
      <c r="DH786" s="446"/>
      <c r="DI786" s="446"/>
      <c r="DJ786" s="446"/>
      <c r="DK786" s="446"/>
      <c r="DL786" s="446"/>
      <c r="DM786" s="446"/>
      <c r="DN786" s="446"/>
      <c r="DO786" s="446"/>
      <c r="DP786" s="446"/>
      <c r="DQ786" s="446"/>
      <c r="DR786" s="446"/>
      <c r="DS786" s="446"/>
      <c r="DT786" s="446"/>
      <c r="DU786" s="446"/>
      <c r="DV786" s="446"/>
      <c r="DW786" s="446"/>
    </row>
    <row r="787" spans="96:127" ht="15" customHeight="1" x14ac:dyDescent="0.25">
      <c r="CR787" s="446"/>
      <c r="CS787" s="446"/>
      <c r="CT787" s="446"/>
      <c r="CU787" s="446"/>
      <c r="CV787" s="446"/>
      <c r="CW787" s="752"/>
      <c r="CX787" s="752"/>
      <c r="CY787" s="752"/>
      <c r="CZ787" s="752"/>
      <c r="DA787" s="752"/>
      <c r="DB787" s="446"/>
      <c r="DC787" s="446"/>
      <c r="DD787" s="446"/>
      <c r="DE787" s="446"/>
      <c r="DF787" s="446"/>
      <c r="DG787" s="446"/>
      <c r="DH787" s="446"/>
      <c r="DI787" s="446"/>
      <c r="DJ787" s="446"/>
      <c r="DK787" s="446"/>
      <c r="DL787" s="446"/>
      <c r="DM787" s="446"/>
      <c r="DN787" s="446"/>
      <c r="DO787" s="446"/>
      <c r="DP787" s="446"/>
      <c r="DQ787" s="446"/>
      <c r="DR787" s="446"/>
      <c r="DS787" s="446"/>
      <c r="DT787" s="446"/>
      <c r="DU787" s="446"/>
      <c r="DV787" s="446"/>
      <c r="DW787" s="446"/>
    </row>
    <row r="788" spans="96:127" ht="15" customHeight="1" x14ac:dyDescent="0.25">
      <c r="CR788" s="446"/>
      <c r="CS788" s="446"/>
      <c r="CT788" s="446"/>
      <c r="CU788" s="446"/>
      <c r="CV788" s="446"/>
      <c r="CW788" s="752"/>
      <c r="CX788" s="752"/>
      <c r="CY788" s="752"/>
      <c r="CZ788" s="752"/>
      <c r="DA788" s="752"/>
      <c r="DB788" s="446"/>
      <c r="DC788" s="446"/>
      <c r="DD788" s="446"/>
      <c r="DE788" s="446"/>
      <c r="DF788" s="446"/>
      <c r="DG788" s="446"/>
      <c r="DH788" s="446"/>
      <c r="DI788" s="446"/>
      <c r="DJ788" s="446"/>
      <c r="DK788" s="446"/>
      <c r="DL788" s="446"/>
      <c r="DM788" s="446"/>
      <c r="DN788" s="446"/>
      <c r="DO788" s="446"/>
      <c r="DP788" s="446"/>
      <c r="DQ788" s="446"/>
      <c r="DR788" s="446"/>
      <c r="DS788" s="446"/>
      <c r="DT788" s="446"/>
      <c r="DU788" s="446"/>
      <c r="DV788" s="446"/>
      <c r="DW788" s="446"/>
    </row>
    <row r="789" spans="96:127" ht="15" customHeight="1" x14ac:dyDescent="0.25">
      <c r="CR789" s="446"/>
      <c r="CS789" s="446"/>
      <c r="CT789" s="446"/>
      <c r="CU789" s="446"/>
      <c r="CV789" s="446"/>
      <c r="CW789" s="752"/>
      <c r="CX789" s="752"/>
      <c r="CY789" s="752"/>
      <c r="CZ789" s="752"/>
      <c r="DA789" s="752"/>
      <c r="DB789" s="446"/>
      <c r="DC789" s="446"/>
      <c r="DD789" s="446"/>
      <c r="DE789" s="446"/>
      <c r="DF789" s="446"/>
      <c r="DG789" s="446"/>
      <c r="DH789" s="446"/>
      <c r="DI789" s="446"/>
      <c r="DJ789" s="446"/>
      <c r="DK789" s="446"/>
      <c r="DL789" s="446"/>
      <c r="DM789" s="446"/>
      <c r="DN789" s="446"/>
      <c r="DO789" s="446"/>
      <c r="DP789" s="446"/>
      <c r="DQ789" s="446"/>
      <c r="DR789" s="446"/>
      <c r="DS789" s="446"/>
      <c r="DT789" s="446"/>
      <c r="DU789" s="446"/>
      <c r="DV789" s="446"/>
      <c r="DW789" s="446"/>
    </row>
    <row r="790" spans="96:127" ht="15" customHeight="1" x14ac:dyDescent="0.25">
      <c r="CR790" s="446"/>
      <c r="CS790" s="446"/>
      <c r="CT790" s="446"/>
      <c r="CU790" s="446"/>
      <c r="CV790" s="446"/>
      <c r="CW790" s="752"/>
      <c r="CX790" s="752"/>
      <c r="CY790" s="752"/>
      <c r="CZ790" s="752"/>
      <c r="DA790" s="752"/>
      <c r="DB790" s="446"/>
      <c r="DC790" s="446"/>
      <c r="DD790" s="446"/>
      <c r="DE790" s="446"/>
      <c r="DF790" s="446"/>
      <c r="DG790" s="446"/>
      <c r="DH790" s="446"/>
      <c r="DI790" s="446"/>
      <c r="DJ790" s="446"/>
      <c r="DK790" s="446"/>
      <c r="DL790" s="446"/>
      <c r="DM790" s="446"/>
      <c r="DN790" s="446"/>
      <c r="DO790" s="446"/>
      <c r="DP790" s="446"/>
      <c r="DQ790" s="446"/>
      <c r="DR790" s="446"/>
      <c r="DS790" s="446"/>
      <c r="DT790" s="446"/>
      <c r="DU790" s="446"/>
      <c r="DV790" s="446"/>
      <c r="DW790" s="446"/>
    </row>
    <row r="791" spans="96:127" ht="15" customHeight="1" x14ac:dyDescent="0.25">
      <c r="CR791" s="446"/>
      <c r="CS791" s="446"/>
      <c r="CT791" s="446"/>
      <c r="CU791" s="446"/>
      <c r="CV791" s="446"/>
      <c r="CW791" s="752"/>
      <c r="CX791" s="752"/>
      <c r="CY791" s="752"/>
      <c r="CZ791" s="752"/>
      <c r="DA791" s="752"/>
      <c r="DB791" s="446"/>
      <c r="DC791" s="446"/>
      <c r="DD791" s="446"/>
      <c r="DE791" s="446"/>
      <c r="DF791" s="446"/>
      <c r="DG791" s="446"/>
      <c r="DH791" s="446"/>
      <c r="DI791" s="446"/>
      <c r="DJ791" s="446"/>
      <c r="DK791" s="446"/>
      <c r="DL791" s="446"/>
      <c r="DM791" s="446"/>
      <c r="DN791" s="446"/>
      <c r="DO791" s="446"/>
      <c r="DP791" s="446"/>
      <c r="DQ791" s="446"/>
      <c r="DR791" s="446"/>
      <c r="DS791" s="446"/>
      <c r="DT791" s="446"/>
      <c r="DU791" s="446"/>
      <c r="DV791" s="446"/>
      <c r="DW791" s="446"/>
    </row>
    <row r="792" spans="96:127" ht="15" customHeight="1" x14ac:dyDescent="0.25">
      <c r="CR792" s="446"/>
      <c r="CS792" s="446"/>
      <c r="CT792" s="446"/>
      <c r="CU792" s="446"/>
      <c r="CV792" s="446"/>
      <c r="CW792" s="752"/>
      <c r="CX792" s="752"/>
      <c r="CY792" s="752"/>
      <c r="CZ792" s="752"/>
      <c r="DA792" s="752"/>
      <c r="DB792" s="446"/>
      <c r="DC792" s="446"/>
      <c r="DD792" s="446"/>
      <c r="DE792" s="446"/>
      <c r="DF792" s="446"/>
      <c r="DG792" s="446"/>
      <c r="DH792" s="446"/>
      <c r="DI792" s="446"/>
      <c r="DJ792" s="446"/>
      <c r="DK792" s="446"/>
      <c r="DL792" s="446"/>
      <c r="DM792" s="446"/>
      <c r="DN792" s="446"/>
      <c r="DO792" s="446"/>
      <c r="DP792" s="446"/>
      <c r="DQ792" s="446"/>
      <c r="DR792" s="446"/>
      <c r="DS792" s="446"/>
      <c r="DT792" s="446"/>
      <c r="DU792" s="446"/>
      <c r="DV792" s="446"/>
      <c r="DW792" s="446"/>
    </row>
    <row r="793" spans="96:127" ht="15" customHeight="1" x14ac:dyDescent="0.25">
      <c r="CR793" s="446"/>
      <c r="CS793" s="446"/>
      <c r="CT793" s="446"/>
      <c r="CU793" s="446"/>
      <c r="CV793" s="446"/>
      <c r="CW793" s="752"/>
      <c r="CX793" s="752"/>
      <c r="CY793" s="752"/>
      <c r="CZ793" s="752"/>
      <c r="DA793" s="752"/>
      <c r="DB793" s="446"/>
      <c r="DC793" s="446"/>
      <c r="DD793" s="446"/>
      <c r="DE793" s="446"/>
      <c r="DF793" s="446"/>
      <c r="DG793" s="446"/>
      <c r="DH793" s="446"/>
      <c r="DI793" s="446"/>
      <c r="DJ793" s="446"/>
      <c r="DK793" s="446"/>
      <c r="DL793" s="446"/>
      <c r="DM793" s="446"/>
      <c r="DN793" s="446"/>
      <c r="DO793" s="446"/>
      <c r="DP793" s="446"/>
      <c r="DQ793" s="446"/>
      <c r="DR793" s="446"/>
      <c r="DS793" s="446"/>
      <c r="DT793" s="446"/>
      <c r="DU793" s="446"/>
      <c r="DV793" s="446"/>
      <c r="DW793" s="446"/>
    </row>
    <row r="794" spans="96:127" ht="15" customHeight="1" x14ac:dyDescent="0.25">
      <c r="CR794" s="446"/>
      <c r="CS794" s="446"/>
      <c r="CT794" s="446"/>
      <c r="CU794" s="446"/>
      <c r="CV794" s="446"/>
      <c r="CW794" s="752"/>
      <c r="CX794" s="752"/>
      <c r="CY794" s="752"/>
      <c r="CZ794" s="752"/>
      <c r="DA794" s="752"/>
      <c r="DB794" s="446"/>
      <c r="DC794" s="446"/>
      <c r="DD794" s="446"/>
      <c r="DE794" s="446"/>
      <c r="DF794" s="446"/>
      <c r="DG794" s="446"/>
      <c r="DH794" s="446"/>
      <c r="DI794" s="446"/>
      <c r="DJ794" s="446"/>
      <c r="DK794" s="446"/>
      <c r="DL794" s="446"/>
      <c r="DM794" s="446"/>
      <c r="DN794" s="446"/>
      <c r="DO794" s="446"/>
      <c r="DP794" s="446"/>
      <c r="DQ794" s="446"/>
      <c r="DR794" s="446"/>
      <c r="DS794" s="446"/>
      <c r="DT794" s="446"/>
      <c r="DU794" s="446"/>
      <c r="DV794" s="446"/>
      <c r="DW794" s="446"/>
    </row>
    <row r="795" spans="96:127" ht="15" customHeight="1" x14ac:dyDescent="0.25">
      <c r="CR795" s="446"/>
      <c r="CS795" s="446"/>
      <c r="CT795" s="446"/>
      <c r="CU795" s="446"/>
      <c r="CV795" s="446"/>
      <c r="CW795" s="752"/>
      <c r="CX795" s="752"/>
      <c r="CY795" s="752"/>
      <c r="CZ795" s="752"/>
      <c r="DA795" s="752"/>
      <c r="DB795" s="446"/>
      <c r="DC795" s="446"/>
      <c r="DD795" s="446"/>
      <c r="DE795" s="446"/>
      <c r="DF795" s="446"/>
      <c r="DG795" s="446"/>
      <c r="DH795" s="446"/>
      <c r="DI795" s="446"/>
      <c r="DJ795" s="446"/>
      <c r="DK795" s="446"/>
      <c r="DL795" s="446"/>
      <c r="DM795" s="446"/>
      <c r="DN795" s="446"/>
      <c r="DO795" s="446"/>
      <c r="DP795" s="446"/>
      <c r="DQ795" s="446"/>
      <c r="DR795" s="446"/>
      <c r="DS795" s="446"/>
      <c r="DT795" s="446"/>
      <c r="DU795" s="446"/>
      <c r="DV795" s="446"/>
      <c r="DW795" s="446"/>
    </row>
    <row r="796" spans="96:127" ht="15" customHeight="1" x14ac:dyDescent="0.25">
      <c r="CR796" s="446"/>
      <c r="CS796" s="446"/>
      <c r="CT796" s="446"/>
      <c r="CU796" s="446"/>
      <c r="CV796" s="446"/>
      <c r="CW796" s="752"/>
      <c r="CX796" s="752"/>
      <c r="CY796" s="752"/>
      <c r="CZ796" s="752"/>
      <c r="DA796" s="752"/>
      <c r="DB796" s="446"/>
      <c r="DC796" s="446"/>
      <c r="DD796" s="446"/>
      <c r="DE796" s="446"/>
      <c r="DF796" s="446"/>
      <c r="DG796" s="446"/>
      <c r="DH796" s="446"/>
      <c r="DI796" s="446"/>
      <c r="DJ796" s="446"/>
      <c r="DK796" s="446"/>
      <c r="DL796" s="446"/>
      <c r="DM796" s="446"/>
      <c r="DN796" s="446"/>
      <c r="DO796" s="446"/>
      <c r="DP796" s="446"/>
      <c r="DQ796" s="446"/>
      <c r="DR796" s="446"/>
      <c r="DS796" s="446"/>
      <c r="DT796" s="446"/>
      <c r="DU796" s="446"/>
      <c r="DV796" s="446"/>
      <c r="DW796" s="446"/>
    </row>
    <row r="797" spans="96:127" ht="15" customHeight="1" x14ac:dyDescent="0.25">
      <c r="CR797" s="446"/>
      <c r="CS797" s="446"/>
      <c r="CT797" s="446"/>
      <c r="CU797" s="446"/>
      <c r="CV797" s="446"/>
      <c r="CW797" s="752"/>
      <c r="CX797" s="752"/>
      <c r="CY797" s="752"/>
      <c r="CZ797" s="752"/>
      <c r="DA797" s="752"/>
      <c r="DB797" s="446"/>
      <c r="DC797" s="446"/>
      <c r="DD797" s="446"/>
      <c r="DE797" s="446"/>
      <c r="DF797" s="446"/>
      <c r="DG797" s="446"/>
      <c r="DH797" s="446"/>
      <c r="DI797" s="446"/>
      <c r="DJ797" s="446"/>
      <c r="DK797" s="446"/>
      <c r="DL797" s="446"/>
      <c r="DM797" s="446"/>
      <c r="DN797" s="446"/>
      <c r="DO797" s="446"/>
      <c r="DP797" s="446"/>
      <c r="DQ797" s="446"/>
      <c r="DR797" s="446"/>
      <c r="DS797" s="446"/>
      <c r="DT797" s="446"/>
      <c r="DU797" s="446"/>
      <c r="DV797" s="446"/>
      <c r="DW797" s="446"/>
    </row>
    <row r="798" spans="96:127" ht="15" customHeight="1" x14ac:dyDescent="0.25">
      <c r="CR798" s="446"/>
      <c r="CS798" s="446"/>
      <c r="CT798" s="446"/>
      <c r="CU798" s="446"/>
      <c r="CV798" s="446"/>
      <c r="CW798" s="752"/>
      <c r="CX798" s="752"/>
      <c r="CY798" s="752"/>
      <c r="CZ798" s="752"/>
      <c r="DA798" s="752"/>
      <c r="DB798" s="446"/>
      <c r="DC798" s="446"/>
      <c r="DD798" s="446"/>
      <c r="DE798" s="446"/>
      <c r="DF798" s="446"/>
      <c r="DG798" s="446"/>
      <c r="DH798" s="446"/>
      <c r="DI798" s="446"/>
      <c r="DJ798" s="446"/>
      <c r="DK798" s="446"/>
      <c r="DL798" s="446"/>
      <c r="DM798" s="446"/>
      <c r="DN798" s="446"/>
      <c r="DO798" s="446"/>
      <c r="DP798" s="446"/>
      <c r="DQ798" s="446"/>
      <c r="DR798" s="446"/>
      <c r="DS798" s="446"/>
      <c r="DT798" s="446"/>
      <c r="DU798" s="446"/>
      <c r="DV798" s="446"/>
      <c r="DW798" s="446"/>
    </row>
    <row r="799" spans="96:127" ht="15" customHeight="1" x14ac:dyDescent="0.25">
      <c r="CR799" s="446"/>
      <c r="CS799" s="446"/>
      <c r="CT799" s="446"/>
      <c r="CU799" s="446"/>
      <c r="CV799" s="446"/>
      <c r="CW799" s="752"/>
      <c r="CX799" s="752"/>
      <c r="CY799" s="752"/>
      <c r="CZ799" s="752"/>
      <c r="DA799" s="752"/>
      <c r="DB799" s="446"/>
      <c r="DC799" s="446"/>
      <c r="DD799" s="446"/>
      <c r="DE799" s="446"/>
      <c r="DF799" s="446"/>
      <c r="DG799" s="446"/>
      <c r="DH799" s="446"/>
      <c r="DI799" s="446"/>
      <c r="DJ799" s="446"/>
      <c r="DK799" s="446"/>
      <c r="DL799" s="446"/>
      <c r="DM799" s="446"/>
      <c r="DN799" s="446"/>
      <c r="DO799" s="446"/>
      <c r="DP799" s="446"/>
      <c r="DQ799" s="446"/>
      <c r="DR799" s="446"/>
      <c r="DS799" s="446"/>
      <c r="DT799" s="446"/>
      <c r="DU799" s="446"/>
      <c r="DV799" s="446"/>
      <c r="DW799" s="446"/>
    </row>
    <row r="800" spans="96:127" ht="15" customHeight="1" x14ac:dyDescent="0.25">
      <c r="CR800" s="446"/>
      <c r="CS800" s="446"/>
      <c r="CT800" s="446"/>
      <c r="CU800" s="446"/>
      <c r="CV800" s="446"/>
      <c r="CW800" s="752"/>
      <c r="CX800" s="752"/>
      <c r="CY800" s="752"/>
      <c r="CZ800" s="752"/>
      <c r="DA800" s="752"/>
      <c r="DB800" s="446"/>
      <c r="DC800" s="446"/>
      <c r="DD800" s="446"/>
      <c r="DE800" s="446"/>
      <c r="DF800" s="446"/>
      <c r="DG800" s="446"/>
      <c r="DH800" s="446"/>
      <c r="DI800" s="446"/>
      <c r="DJ800" s="446"/>
      <c r="DK800" s="446"/>
      <c r="DL800" s="446"/>
      <c r="DM800" s="446"/>
      <c r="DN800" s="446"/>
      <c r="DO800" s="446"/>
      <c r="DP800" s="446"/>
      <c r="DQ800" s="446"/>
      <c r="DR800" s="446"/>
      <c r="DS800" s="446"/>
      <c r="DT800" s="446"/>
      <c r="DU800" s="446"/>
      <c r="DV800" s="446"/>
      <c r="DW800" s="446"/>
    </row>
    <row r="801" spans="96:127" ht="15" customHeight="1" x14ac:dyDescent="0.25">
      <c r="CR801" s="446"/>
      <c r="CS801" s="446"/>
      <c r="CT801" s="446"/>
      <c r="CU801" s="446"/>
      <c r="CV801" s="446"/>
      <c r="CW801" s="752"/>
      <c r="CX801" s="752"/>
      <c r="CY801" s="752"/>
      <c r="CZ801" s="752"/>
      <c r="DA801" s="752"/>
      <c r="DB801" s="446"/>
      <c r="DC801" s="446"/>
      <c r="DD801" s="446"/>
      <c r="DE801" s="446"/>
      <c r="DF801" s="446"/>
      <c r="DG801" s="446"/>
      <c r="DH801" s="446"/>
      <c r="DI801" s="446"/>
      <c r="DJ801" s="446"/>
      <c r="DK801" s="446"/>
      <c r="DL801" s="446"/>
      <c r="DM801" s="446"/>
      <c r="DN801" s="446"/>
      <c r="DO801" s="446"/>
      <c r="DP801" s="446"/>
      <c r="DQ801" s="446"/>
      <c r="DR801" s="446"/>
      <c r="DS801" s="446"/>
      <c r="DT801" s="446"/>
      <c r="DU801" s="446"/>
      <c r="DV801" s="446"/>
      <c r="DW801" s="446"/>
    </row>
    <row r="802" spans="96:127" ht="15" customHeight="1" x14ac:dyDescent="0.25">
      <c r="CR802" s="446"/>
      <c r="CS802" s="446"/>
      <c r="CT802" s="446"/>
      <c r="CU802" s="446"/>
      <c r="CV802" s="446"/>
      <c r="CW802" s="752"/>
      <c r="CX802" s="752"/>
      <c r="CY802" s="752"/>
      <c r="CZ802" s="752"/>
      <c r="DA802" s="752"/>
      <c r="DB802" s="446"/>
      <c r="DC802" s="446"/>
      <c r="DD802" s="446"/>
      <c r="DE802" s="446"/>
      <c r="DF802" s="446"/>
      <c r="DG802" s="446"/>
      <c r="DH802" s="446"/>
      <c r="DI802" s="446"/>
      <c r="DJ802" s="446"/>
      <c r="DK802" s="446"/>
      <c r="DL802" s="446"/>
      <c r="DM802" s="446"/>
      <c r="DN802" s="446"/>
      <c r="DO802" s="446"/>
      <c r="DP802" s="446"/>
      <c r="DQ802" s="446"/>
      <c r="DR802" s="446"/>
      <c r="DS802" s="446"/>
      <c r="DT802" s="446"/>
      <c r="DU802" s="446"/>
      <c r="DV802" s="446"/>
      <c r="DW802" s="446"/>
    </row>
    <row r="803" spans="96:127" ht="15" customHeight="1" x14ac:dyDescent="0.25">
      <c r="CR803" s="446"/>
      <c r="CS803" s="446"/>
      <c r="CT803" s="446"/>
      <c r="CU803" s="446"/>
      <c r="CV803" s="446"/>
      <c r="CW803" s="752"/>
      <c r="CX803" s="752"/>
      <c r="CY803" s="752"/>
      <c r="CZ803" s="752"/>
      <c r="DA803" s="752"/>
      <c r="DB803" s="446"/>
      <c r="DC803" s="446"/>
      <c r="DD803" s="446"/>
      <c r="DE803" s="446"/>
      <c r="DF803" s="446"/>
      <c r="DG803" s="446"/>
      <c r="DH803" s="446"/>
      <c r="DI803" s="446"/>
      <c r="DJ803" s="446"/>
      <c r="DK803" s="446"/>
      <c r="DL803" s="446"/>
      <c r="DM803" s="446"/>
      <c r="DN803" s="446"/>
      <c r="DO803" s="446"/>
      <c r="DP803" s="446"/>
      <c r="DQ803" s="446"/>
      <c r="DR803" s="446"/>
      <c r="DS803" s="446"/>
      <c r="DT803" s="446"/>
      <c r="DU803" s="446"/>
      <c r="DV803" s="446"/>
      <c r="DW803" s="446"/>
    </row>
    <row r="804" spans="96:127" ht="15" customHeight="1" x14ac:dyDescent="0.25">
      <c r="CR804" s="446"/>
      <c r="CS804" s="446"/>
      <c r="CT804" s="446"/>
      <c r="CU804" s="446"/>
      <c r="CV804" s="446"/>
      <c r="CW804" s="752"/>
      <c r="CX804" s="752"/>
      <c r="CY804" s="752"/>
      <c r="CZ804" s="752"/>
      <c r="DA804" s="752"/>
      <c r="DB804" s="446"/>
      <c r="DC804" s="446"/>
      <c r="DD804" s="446"/>
      <c r="DE804" s="446"/>
      <c r="DF804" s="446"/>
      <c r="DG804" s="446"/>
      <c r="DH804" s="446"/>
      <c r="DI804" s="446"/>
      <c r="DJ804" s="446"/>
      <c r="DK804" s="446"/>
      <c r="DL804" s="446"/>
      <c r="DM804" s="446"/>
      <c r="DN804" s="446"/>
      <c r="DO804" s="446"/>
      <c r="DP804" s="446"/>
      <c r="DQ804" s="446"/>
      <c r="DR804" s="446"/>
      <c r="DS804" s="446"/>
      <c r="DT804" s="446"/>
      <c r="DU804" s="446"/>
      <c r="DV804" s="446"/>
      <c r="DW804" s="446"/>
    </row>
    <row r="805" spans="96:127" ht="15" customHeight="1" x14ac:dyDescent="0.25">
      <c r="CR805" s="446"/>
      <c r="CS805" s="446"/>
      <c r="CT805" s="446"/>
      <c r="CU805" s="446"/>
      <c r="CV805" s="446"/>
      <c r="CW805" s="752"/>
      <c r="CX805" s="752"/>
      <c r="CY805" s="752"/>
      <c r="CZ805" s="752"/>
      <c r="DA805" s="752"/>
      <c r="DB805" s="446"/>
      <c r="DC805" s="446"/>
      <c r="DD805" s="446"/>
      <c r="DE805" s="446"/>
      <c r="DF805" s="446"/>
      <c r="DG805" s="446"/>
      <c r="DH805" s="446"/>
      <c r="DI805" s="446"/>
      <c r="DJ805" s="446"/>
      <c r="DK805" s="446"/>
      <c r="DL805" s="446"/>
      <c r="DM805" s="446"/>
      <c r="DN805" s="446"/>
      <c r="DO805" s="446"/>
      <c r="DP805" s="446"/>
      <c r="DQ805" s="446"/>
      <c r="DR805" s="446"/>
      <c r="DS805" s="446"/>
      <c r="DT805" s="446"/>
      <c r="DU805" s="446"/>
      <c r="DV805" s="446"/>
      <c r="DW805" s="446"/>
    </row>
    <row r="806" spans="96:127" ht="15" customHeight="1" x14ac:dyDescent="0.25">
      <c r="CR806" s="446"/>
      <c r="CS806" s="446"/>
      <c r="CT806" s="446"/>
      <c r="CU806" s="446"/>
      <c r="CV806" s="446"/>
      <c r="CW806" s="752"/>
      <c r="CX806" s="752"/>
      <c r="CY806" s="752"/>
      <c r="CZ806" s="752"/>
      <c r="DA806" s="752"/>
      <c r="DB806" s="446"/>
      <c r="DC806" s="446"/>
      <c r="DD806" s="446"/>
      <c r="DE806" s="446"/>
      <c r="DF806" s="446"/>
      <c r="DG806" s="446"/>
      <c r="DH806" s="446"/>
      <c r="DI806" s="446"/>
      <c r="DJ806" s="446"/>
      <c r="DK806" s="446"/>
      <c r="DL806" s="446"/>
      <c r="DM806" s="446"/>
      <c r="DN806" s="446"/>
      <c r="DO806" s="446"/>
      <c r="DP806" s="446"/>
      <c r="DQ806" s="446"/>
      <c r="DR806" s="446"/>
      <c r="DS806" s="446"/>
      <c r="DT806" s="446"/>
      <c r="DU806" s="446"/>
      <c r="DV806" s="446"/>
      <c r="DW806" s="446"/>
    </row>
    <row r="807" spans="96:127" ht="15" customHeight="1" x14ac:dyDescent="0.25">
      <c r="CR807" s="446"/>
      <c r="CS807" s="446"/>
      <c r="CT807" s="446"/>
      <c r="CU807" s="446"/>
      <c r="CV807" s="446"/>
      <c r="CW807" s="752"/>
      <c r="CX807" s="752"/>
      <c r="CY807" s="752"/>
      <c r="CZ807" s="752"/>
      <c r="DA807" s="752"/>
      <c r="DB807" s="446"/>
      <c r="DC807" s="446"/>
      <c r="DD807" s="446"/>
      <c r="DE807" s="446"/>
      <c r="DF807" s="446"/>
      <c r="DG807" s="446"/>
      <c r="DH807" s="446"/>
      <c r="DI807" s="446"/>
      <c r="DJ807" s="446"/>
      <c r="DK807" s="446"/>
      <c r="DL807" s="446"/>
      <c r="DM807" s="446"/>
      <c r="DN807" s="446"/>
      <c r="DO807" s="446"/>
      <c r="DP807" s="446"/>
      <c r="DQ807" s="446"/>
      <c r="DR807" s="446"/>
      <c r="DS807" s="446"/>
      <c r="DT807" s="446"/>
      <c r="DU807" s="446"/>
      <c r="DV807" s="446"/>
      <c r="DW807" s="446"/>
    </row>
    <row r="808" spans="96:127" ht="15" customHeight="1" x14ac:dyDescent="0.25">
      <c r="CR808" s="446"/>
      <c r="CS808" s="446"/>
      <c r="CT808" s="446"/>
      <c r="CU808" s="446"/>
      <c r="CV808" s="446"/>
      <c r="CW808" s="752"/>
      <c r="CX808" s="752"/>
      <c r="CY808" s="752"/>
      <c r="CZ808" s="752"/>
      <c r="DA808" s="752"/>
      <c r="DB808" s="446"/>
      <c r="DC808" s="446"/>
      <c r="DD808" s="446"/>
      <c r="DE808" s="446"/>
      <c r="DF808" s="446"/>
      <c r="DG808" s="446"/>
      <c r="DH808" s="446"/>
      <c r="DI808" s="446"/>
      <c r="DJ808" s="446"/>
      <c r="DK808" s="446"/>
      <c r="DL808" s="446"/>
      <c r="DM808" s="446"/>
      <c r="DN808" s="446"/>
      <c r="DO808" s="446"/>
      <c r="DP808" s="446"/>
      <c r="DQ808" s="446"/>
      <c r="DR808" s="446"/>
      <c r="DS808" s="446"/>
      <c r="DT808" s="446"/>
      <c r="DU808" s="446"/>
      <c r="DV808" s="446"/>
      <c r="DW808" s="446"/>
    </row>
    <row r="809" spans="96:127" ht="15" customHeight="1" x14ac:dyDescent="0.25">
      <c r="CR809" s="446"/>
      <c r="CS809" s="446"/>
      <c r="CT809" s="446"/>
      <c r="CU809" s="446"/>
      <c r="CV809" s="446"/>
      <c r="CW809" s="752"/>
      <c r="CX809" s="752"/>
      <c r="CY809" s="752"/>
      <c r="CZ809" s="752"/>
      <c r="DA809" s="752"/>
      <c r="DB809" s="446"/>
      <c r="DC809" s="446"/>
      <c r="DD809" s="446"/>
      <c r="DE809" s="446"/>
      <c r="DF809" s="446"/>
      <c r="DG809" s="446"/>
      <c r="DH809" s="446"/>
      <c r="DI809" s="446"/>
      <c r="DJ809" s="446"/>
      <c r="DK809" s="446"/>
      <c r="DL809" s="446"/>
      <c r="DM809" s="446"/>
      <c r="DN809" s="446"/>
      <c r="DO809" s="446"/>
      <c r="DP809" s="446"/>
      <c r="DQ809" s="446"/>
      <c r="DR809" s="446"/>
      <c r="DS809" s="446"/>
      <c r="DT809" s="446"/>
      <c r="DU809" s="446"/>
      <c r="DV809" s="446"/>
      <c r="DW809" s="446"/>
    </row>
    <row r="810" spans="96:127" ht="15" customHeight="1" x14ac:dyDescent="0.25">
      <c r="CR810" s="446"/>
      <c r="CS810" s="446"/>
      <c r="CT810" s="446"/>
      <c r="CU810" s="446"/>
      <c r="CV810" s="446"/>
      <c r="CW810" s="752"/>
      <c r="CX810" s="752"/>
      <c r="CY810" s="752"/>
      <c r="CZ810" s="752"/>
      <c r="DA810" s="752"/>
      <c r="DB810" s="446"/>
      <c r="DC810" s="446"/>
      <c r="DD810" s="446"/>
      <c r="DE810" s="446"/>
      <c r="DF810" s="446"/>
      <c r="DG810" s="446"/>
      <c r="DH810" s="446"/>
      <c r="DI810" s="446"/>
      <c r="DJ810" s="446"/>
      <c r="DK810" s="446"/>
      <c r="DL810" s="446"/>
      <c r="DM810" s="446"/>
      <c r="DN810" s="446"/>
      <c r="DO810" s="446"/>
      <c r="DP810" s="446"/>
      <c r="DQ810" s="446"/>
      <c r="DR810" s="446"/>
      <c r="DS810" s="446"/>
      <c r="DT810" s="446"/>
      <c r="DU810" s="446"/>
      <c r="DV810" s="446"/>
      <c r="DW810" s="446"/>
    </row>
    <row r="811" spans="96:127" ht="15" customHeight="1" x14ac:dyDescent="0.25">
      <c r="CR811" s="446"/>
      <c r="CS811" s="446"/>
      <c r="CT811" s="446"/>
      <c r="CU811" s="446"/>
      <c r="CV811" s="446"/>
      <c r="CW811" s="752"/>
      <c r="CX811" s="752"/>
      <c r="CY811" s="752"/>
      <c r="CZ811" s="752"/>
      <c r="DA811" s="752"/>
      <c r="DB811" s="446"/>
      <c r="DC811" s="446"/>
      <c r="DD811" s="446"/>
      <c r="DE811" s="446"/>
      <c r="DF811" s="446"/>
      <c r="DG811" s="446"/>
      <c r="DH811" s="446"/>
      <c r="DI811" s="446"/>
      <c r="DJ811" s="446"/>
      <c r="DK811" s="446"/>
      <c r="DL811" s="446"/>
      <c r="DM811" s="446"/>
      <c r="DN811" s="446"/>
      <c r="DO811" s="446"/>
      <c r="DP811" s="446"/>
      <c r="DQ811" s="446"/>
      <c r="DR811" s="446"/>
      <c r="DS811" s="446"/>
      <c r="DT811" s="446"/>
      <c r="DU811" s="446"/>
      <c r="DV811" s="446"/>
      <c r="DW811" s="446"/>
    </row>
    <row r="812" spans="96:127" ht="15" customHeight="1" x14ac:dyDescent="0.25">
      <c r="CR812" s="446"/>
      <c r="CS812" s="446"/>
      <c r="CT812" s="446"/>
      <c r="CU812" s="446"/>
      <c r="CV812" s="446"/>
      <c r="CW812" s="752"/>
      <c r="CX812" s="752"/>
      <c r="CY812" s="752"/>
      <c r="CZ812" s="752"/>
      <c r="DA812" s="752"/>
      <c r="DB812" s="446"/>
      <c r="DC812" s="446"/>
      <c r="DD812" s="446"/>
      <c r="DE812" s="446"/>
      <c r="DF812" s="446"/>
      <c r="DG812" s="446"/>
      <c r="DH812" s="446"/>
      <c r="DI812" s="446"/>
      <c r="DJ812" s="446"/>
      <c r="DK812" s="446"/>
      <c r="DL812" s="446"/>
      <c r="DM812" s="446"/>
      <c r="DN812" s="446"/>
      <c r="DO812" s="446"/>
      <c r="DP812" s="446"/>
      <c r="DQ812" s="446"/>
      <c r="DR812" s="446"/>
      <c r="DS812" s="446"/>
      <c r="DT812" s="446"/>
      <c r="DU812" s="446"/>
      <c r="DV812" s="446"/>
      <c r="DW812" s="446"/>
    </row>
    <row r="813" spans="96:127" ht="15" customHeight="1" x14ac:dyDescent="0.25">
      <c r="CR813" s="446"/>
      <c r="CS813" s="446"/>
      <c r="CT813" s="446"/>
      <c r="CU813" s="446"/>
      <c r="CV813" s="446"/>
      <c r="CW813" s="752"/>
      <c r="CX813" s="752"/>
      <c r="CY813" s="752"/>
      <c r="CZ813" s="752"/>
      <c r="DA813" s="752"/>
      <c r="DB813" s="446"/>
      <c r="DC813" s="446"/>
      <c r="DD813" s="446"/>
      <c r="DE813" s="446"/>
      <c r="DF813" s="446"/>
      <c r="DG813" s="446"/>
      <c r="DH813" s="446"/>
      <c r="DI813" s="446"/>
      <c r="DJ813" s="446"/>
      <c r="DK813" s="446"/>
      <c r="DL813" s="446"/>
      <c r="DM813" s="446"/>
      <c r="DN813" s="446"/>
      <c r="DO813" s="446"/>
      <c r="DP813" s="446"/>
      <c r="DQ813" s="446"/>
      <c r="DR813" s="446"/>
      <c r="DS813" s="446"/>
      <c r="DT813" s="446"/>
      <c r="DU813" s="446"/>
      <c r="DV813" s="446"/>
      <c r="DW813" s="446"/>
    </row>
    <row r="814" spans="96:127" ht="15" customHeight="1" x14ac:dyDescent="0.25">
      <c r="CR814" s="446"/>
      <c r="CS814" s="446"/>
      <c r="CT814" s="446"/>
      <c r="CU814" s="446"/>
      <c r="CV814" s="446"/>
      <c r="CW814" s="752"/>
      <c r="CX814" s="752"/>
      <c r="CY814" s="752"/>
      <c r="CZ814" s="752"/>
      <c r="DA814" s="752"/>
      <c r="DB814" s="446"/>
      <c r="DC814" s="446"/>
      <c r="DD814" s="446"/>
      <c r="DE814" s="446"/>
      <c r="DF814" s="446"/>
      <c r="DG814" s="446"/>
      <c r="DH814" s="446"/>
      <c r="DI814" s="446"/>
      <c r="DJ814" s="446"/>
      <c r="DK814" s="446"/>
      <c r="DL814" s="446"/>
      <c r="DM814" s="446"/>
      <c r="DN814" s="446"/>
      <c r="DO814" s="446"/>
      <c r="DP814" s="446"/>
      <c r="DQ814" s="446"/>
      <c r="DR814" s="446"/>
      <c r="DS814" s="446"/>
      <c r="DT814" s="446"/>
      <c r="DU814" s="446"/>
      <c r="DV814" s="446"/>
      <c r="DW814" s="446"/>
    </row>
    <row r="815" spans="96:127" ht="15" customHeight="1" x14ac:dyDescent="0.25">
      <c r="CR815" s="446"/>
      <c r="CS815" s="446"/>
      <c r="CT815" s="446"/>
      <c r="CU815" s="446"/>
      <c r="CV815" s="446"/>
      <c r="CW815" s="752"/>
      <c r="CX815" s="752"/>
      <c r="CY815" s="752"/>
      <c r="CZ815" s="752"/>
      <c r="DA815" s="752"/>
      <c r="DB815" s="446"/>
      <c r="DC815" s="446"/>
      <c r="DD815" s="446"/>
      <c r="DE815" s="446"/>
      <c r="DF815" s="446"/>
      <c r="DG815" s="446"/>
      <c r="DH815" s="446"/>
      <c r="DI815" s="446"/>
      <c r="DJ815" s="446"/>
      <c r="DK815" s="446"/>
      <c r="DL815" s="446"/>
      <c r="DM815" s="446"/>
      <c r="DN815" s="446"/>
      <c r="DO815" s="446"/>
      <c r="DP815" s="446"/>
      <c r="DQ815" s="446"/>
      <c r="DR815" s="446"/>
      <c r="DS815" s="446"/>
      <c r="DT815" s="446"/>
      <c r="DU815" s="446"/>
      <c r="DV815" s="446"/>
      <c r="DW815" s="446"/>
    </row>
    <row r="816" spans="96:127" ht="15" customHeight="1" x14ac:dyDescent="0.25">
      <c r="CR816" s="446"/>
      <c r="CS816" s="446"/>
      <c r="CT816" s="446"/>
      <c r="CU816" s="446"/>
      <c r="CV816" s="446"/>
      <c r="CW816" s="752"/>
      <c r="CX816" s="752"/>
      <c r="CY816" s="752"/>
      <c r="CZ816" s="752"/>
      <c r="DA816" s="752"/>
      <c r="DB816" s="446"/>
      <c r="DC816" s="446"/>
      <c r="DD816" s="446"/>
      <c r="DE816" s="446"/>
      <c r="DF816" s="446"/>
      <c r="DG816" s="446"/>
      <c r="DH816" s="446"/>
      <c r="DI816" s="446"/>
      <c r="DJ816" s="446"/>
      <c r="DK816" s="446"/>
      <c r="DL816" s="446"/>
      <c r="DM816" s="446"/>
      <c r="DN816" s="446"/>
      <c r="DO816" s="446"/>
      <c r="DP816" s="446"/>
      <c r="DQ816" s="446"/>
      <c r="DR816" s="446"/>
      <c r="DS816" s="446"/>
      <c r="DT816" s="446"/>
      <c r="DU816" s="446"/>
      <c r="DV816" s="446"/>
      <c r="DW816" s="446"/>
    </row>
    <row r="817" spans="96:127" ht="15" customHeight="1" x14ac:dyDescent="0.25">
      <c r="CR817" s="446"/>
      <c r="CS817" s="446"/>
      <c r="CT817" s="446"/>
      <c r="CU817" s="446"/>
      <c r="CV817" s="446"/>
      <c r="CW817" s="752"/>
      <c r="CX817" s="752"/>
      <c r="CY817" s="752"/>
      <c r="CZ817" s="752"/>
      <c r="DA817" s="752"/>
      <c r="DB817" s="446"/>
      <c r="DC817" s="446"/>
      <c r="DD817" s="446"/>
      <c r="DE817" s="446"/>
      <c r="DF817" s="446"/>
      <c r="DG817" s="446"/>
      <c r="DH817" s="446"/>
      <c r="DI817" s="446"/>
      <c r="DJ817" s="446"/>
      <c r="DK817" s="446"/>
      <c r="DL817" s="446"/>
      <c r="DM817" s="446"/>
      <c r="DN817" s="446"/>
      <c r="DO817" s="446"/>
      <c r="DP817" s="446"/>
      <c r="DQ817" s="446"/>
      <c r="DR817" s="446"/>
      <c r="DS817" s="446"/>
      <c r="DT817" s="446"/>
      <c r="DU817" s="446"/>
      <c r="DV817" s="446"/>
      <c r="DW817" s="446"/>
    </row>
    <row r="818" spans="96:127" ht="15" customHeight="1" x14ac:dyDescent="0.25">
      <c r="CR818" s="446"/>
      <c r="CS818" s="446"/>
      <c r="CT818" s="446"/>
      <c r="CU818" s="446"/>
      <c r="CV818" s="446"/>
      <c r="CW818" s="752"/>
      <c r="CX818" s="752"/>
      <c r="CY818" s="752"/>
      <c r="CZ818" s="752"/>
      <c r="DA818" s="752"/>
      <c r="DB818" s="446"/>
      <c r="DC818" s="446"/>
      <c r="DD818" s="446"/>
      <c r="DE818" s="446"/>
      <c r="DF818" s="446"/>
      <c r="DG818" s="446"/>
      <c r="DH818" s="446"/>
      <c r="DI818" s="446"/>
      <c r="DJ818" s="446"/>
      <c r="DK818" s="446"/>
      <c r="DL818" s="446"/>
      <c r="DM818" s="446"/>
      <c r="DN818" s="446"/>
      <c r="DO818" s="446"/>
      <c r="DP818" s="446"/>
      <c r="DQ818" s="446"/>
      <c r="DR818" s="446"/>
      <c r="DS818" s="446"/>
      <c r="DT818" s="446"/>
      <c r="DU818" s="446"/>
      <c r="DV818" s="446"/>
      <c r="DW818" s="446"/>
    </row>
    <row r="819" spans="96:127" ht="15" customHeight="1" x14ac:dyDescent="0.25">
      <c r="CR819" s="446"/>
      <c r="CS819" s="446"/>
      <c r="CT819" s="446"/>
      <c r="CU819" s="446"/>
      <c r="CV819" s="446"/>
      <c r="CW819" s="752"/>
      <c r="CX819" s="752"/>
      <c r="CY819" s="752"/>
      <c r="CZ819" s="752"/>
      <c r="DA819" s="752"/>
      <c r="DB819" s="446"/>
      <c r="DC819" s="446"/>
      <c r="DD819" s="446"/>
      <c r="DE819" s="446"/>
      <c r="DF819" s="446"/>
      <c r="DG819" s="446"/>
      <c r="DH819" s="446"/>
      <c r="DI819" s="446"/>
      <c r="DJ819" s="446"/>
      <c r="DK819" s="446"/>
      <c r="DL819" s="446"/>
      <c r="DM819" s="446"/>
      <c r="DN819" s="446"/>
      <c r="DO819" s="446"/>
      <c r="DP819" s="446"/>
      <c r="DQ819" s="446"/>
      <c r="DR819" s="446"/>
      <c r="DS819" s="446"/>
      <c r="DT819" s="446"/>
      <c r="DU819" s="446"/>
      <c r="DV819" s="446"/>
      <c r="DW819" s="446"/>
    </row>
    <row r="820" spans="96:127" ht="15" customHeight="1" x14ac:dyDescent="0.25">
      <c r="CR820" s="446"/>
      <c r="CS820" s="446"/>
      <c r="CT820" s="446"/>
      <c r="CU820" s="446"/>
      <c r="CV820" s="446"/>
      <c r="CW820" s="752"/>
      <c r="CX820" s="752"/>
      <c r="CY820" s="752"/>
      <c r="CZ820" s="752"/>
      <c r="DA820" s="752"/>
      <c r="DB820" s="446"/>
      <c r="DC820" s="446"/>
      <c r="DD820" s="446"/>
      <c r="DE820" s="446"/>
      <c r="DF820" s="446"/>
      <c r="DG820" s="446"/>
      <c r="DH820" s="446"/>
      <c r="DI820" s="446"/>
      <c r="DJ820" s="446"/>
      <c r="DK820" s="446"/>
      <c r="DL820" s="446"/>
      <c r="DM820" s="446"/>
      <c r="DN820" s="446"/>
      <c r="DO820" s="446"/>
      <c r="DP820" s="446"/>
      <c r="DQ820" s="446"/>
      <c r="DR820" s="446"/>
      <c r="DS820" s="446"/>
      <c r="DT820" s="446"/>
      <c r="DU820" s="446"/>
      <c r="DV820" s="446"/>
      <c r="DW820" s="446"/>
    </row>
    <row r="821" spans="96:127" ht="15" customHeight="1" x14ac:dyDescent="0.25">
      <c r="CR821" s="446"/>
      <c r="CS821" s="446"/>
      <c r="CT821" s="446"/>
      <c r="CU821" s="446"/>
      <c r="CV821" s="446"/>
      <c r="CW821" s="752"/>
      <c r="CX821" s="752"/>
      <c r="CY821" s="752"/>
      <c r="CZ821" s="752"/>
      <c r="DA821" s="752"/>
      <c r="DB821" s="446"/>
      <c r="DC821" s="446"/>
      <c r="DD821" s="446"/>
      <c r="DE821" s="446"/>
      <c r="DF821" s="446"/>
      <c r="DG821" s="446"/>
      <c r="DH821" s="446"/>
      <c r="DI821" s="446"/>
      <c r="DJ821" s="446"/>
      <c r="DK821" s="446"/>
      <c r="DL821" s="446"/>
      <c r="DM821" s="446"/>
      <c r="DN821" s="446"/>
      <c r="DO821" s="446"/>
      <c r="DP821" s="446"/>
      <c r="DQ821" s="446"/>
      <c r="DR821" s="446"/>
      <c r="DS821" s="446"/>
      <c r="DT821" s="446"/>
      <c r="DU821" s="446"/>
      <c r="DV821" s="446"/>
      <c r="DW821" s="446"/>
    </row>
    <row r="822" spans="96:127" ht="15" customHeight="1" x14ac:dyDescent="0.25">
      <c r="CR822" s="446"/>
      <c r="CS822" s="446"/>
      <c r="CT822" s="446"/>
      <c r="CU822" s="446"/>
      <c r="CV822" s="446"/>
      <c r="CW822" s="752"/>
      <c r="CX822" s="752"/>
      <c r="CY822" s="752"/>
      <c r="CZ822" s="752"/>
      <c r="DA822" s="752"/>
      <c r="DB822" s="446"/>
      <c r="DC822" s="446"/>
      <c r="DD822" s="446"/>
      <c r="DE822" s="446"/>
      <c r="DF822" s="446"/>
      <c r="DG822" s="446"/>
      <c r="DH822" s="446"/>
      <c r="DI822" s="446"/>
      <c r="DJ822" s="446"/>
      <c r="DK822" s="446"/>
      <c r="DL822" s="446"/>
      <c r="DM822" s="446"/>
      <c r="DN822" s="446"/>
      <c r="DO822" s="446"/>
      <c r="DP822" s="446"/>
      <c r="DQ822" s="446"/>
      <c r="DR822" s="446"/>
      <c r="DS822" s="446"/>
      <c r="DT822" s="446"/>
      <c r="DU822" s="446"/>
      <c r="DV822" s="446"/>
      <c r="DW822" s="446"/>
    </row>
    <row r="823" spans="96:127" ht="15" customHeight="1" x14ac:dyDescent="0.25">
      <c r="CR823" s="446"/>
      <c r="CS823" s="446"/>
      <c r="CT823" s="446"/>
      <c r="CU823" s="446"/>
      <c r="CV823" s="446"/>
      <c r="CW823" s="752"/>
      <c r="CX823" s="752"/>
      <c r="CY823" s="752"/>
      <c r="CZ823" s="752"/>
      <c r="DA823" s="752"/>
      <c r="DB823" s="446"/>
      <c r="DC823" s="446"/>
      <c r="DD823" s="446"/>
      <c r="DE823" s="446"/>
      <c r="DF823" s="446"/>
      <c r="DG823" s="446"/>
      <c r="DH823" s="446"/>
      <c r="DI823" s="446"/>
      <c r="DJ823" s="446"/>
      <c r="DK823" s="446"/>
      <c r="DL823" s="446"/>
      <c r="DM823" s="446"/>
      <c r="DN823" s="446"/>
      <c r="DO823" s="446"/>
      <c r="DP823" s="446"/>
      <c r="DQ823" s="446"/>
      <c r="DR823" s="446"/>
      <c r="DS823" s="446"/>
      <c r="DT823" s="446"/>
      <c r="DU823" s="446"/>
      <c r="DV823" s="446"/>
      <c r="DW823" s="446"/>
    </row>
    <row r="824" spans="96:127" ht="15" customHeight="1" x14ac:dyDescent="0.25">
      <c r="CR824" s="446"/>
      <c r="CS824" s="446"/>
      <c r="CT824" s="446"/>
      <c r="CU824" s="446"/>
      <c r="CV824" s="446"/>
      <c r="CW824" s="752"/>
      <c r="CX824" s="752"/>
      <c r="CY824" s="752"/>
      <c r="CZ824" s="752"/>
      <c r="DA824" s="752"/>
      <c r="DB824" s="446"/>
      <c r="DC824" s="446"/>
      <c r="DD824" s="446"/>
      <c r="DE824" s="446"/>
      <c r="DF824" s="446"/>
      <c r="DG824" s="446"/>
      <c r="DH824" s="446"/>
      <c r="DI824" s="446"/>
      <c r="DJ824" s="446"/>
      <c r="DK824" s="446"/>
      <c r="DL824" s="446"/>
      <c r="DM824" s="446"/>
      <c r="DN824" s="446"/>
      <c r="DO824" s="446"/>
      <c r="DP824" s="446"/>
      <c r="DQ824" s="446"/>
      <c r="DR824" s="446"/>
      <c r="DS824" s="446"/>
      <c r="DT824" s="446"/>
      <c r="DU824" s="446"/>
      <c r="DV824" s="446"/>
      <c r="DW824" s="446"/>
    </row>
    <row r="825" spans="96:127" ht="15" customHeight="1" x14ac:dyDescent="0.25">
      <c r="CR825" s="446"/>
      <c r="CS825" s="446"/>
      <c r="CT825" s="446"/>
      <c r="CU825" s="446"/>
      <c r="CV825" s="446"/>
      <c r="CW825" s="752"/>
      <c r="CX825" s="752"/>
      <c r="CY825" s="752"/>
      <c r="CZ825" s="752"/>
      <c r="DA825" s="752"/>
      <c r="DB825" s="446"/>
      <c r="DC825" s="446"/>
      <c r="DD825" s="446"/>
      <c r="DE825" s="446"/>
      <c r="DF825" s="446"/>
      <c r="DG825" s="446"/>
      <c r="DH825" s="446"/>
      <c r="DI825" s="446"/>
      <c r="DJ825" s="446"/>
      <c r="DK825" s="446"/>
      <c r="DL825" s="446"/>
      <c r="DM825" s="446"/>
      <c r="DN825" s="446"/>
      <c r="DO825" s="446"/>
      <c r="DP825" s="446"/>
      <c r="DQ825" s="446"/>
      <c r="DR825" s="446"/>
      <c r="DS825" s="446"/>
      <c r="DT825" s="446"/>
      <c r="DU825" s="446"/>
      <c r="DV825" s="446"/>
      <c r="DW825" s="446"/>
    </row>
    <row r="826" spans="96:127" ht="15" customHeight="1" x14ac:dyDescent="0.25">
      <c r="CR826" s="446"/>
      <c r="CS826" s="446"/>
      <c r="CT826" s="446"/>
      <c r="CU826" s="446"/>
      <c r="CV826" s="446"/>
      <c r="CW826" s="752"/>
      <c r="CX826" s="752"/>
      <c r="CY826" s="752"/>
      <c r="CZ826" s="752"/>
      <c r="DA826" s="752"/>
      <c r="DB826" s="446"/>
      <c r="DC826" s="446"/>
      <c r="DD826" s="446"/>
      <c r="DE826" s="446"/>
      <c r="DF826" s="446"/>
      <c r="DG826" s="446"/>
      <c r="DH826" s="446"/>
      <c r="DI826" s="446"/>
      <c r="DJ826" s="446"/>
      <c r="DK826" s="446"/>
      <c r="DL826" s="446"/>
      <c r="DM826" s="446"/>
      <c r="DN826" s="446"/>
      <c r="DO826" s="446"/>
      <c r="DP826" s="446"/>
      <c r="DQ826" s="446"/>
      <c r="DR826" s="446"/>
      <c r="DS826" s="446"/>
      <c r="DT826" s="446"/>
      <c r="DU826" s="446"/>
      <c r="DV826" s="446"/>
      <c r="DW826" s="446"/>
    </row>
    <row r="827" spans="96:127" ht="15" customHeight="1" x14ac:dyDescent="0.25">
      <c r="CR827" s="446"/>
      <c r="CS827" s="446"/>
      <c r="CT827" s="446"/>
      <c r="CU827" s="446"/>
      <c r="CV827" s="446"/>
      <c r="CW827" s="752"/>
      <c r="CX827" s="752"/>
      <c r="CY827" s="752"/>
      <c r="CZ827" s="752"/>
      <c r="DA827" s="752"/>
      <c r="DB827" s="446"/>
      <c r="DC827" s="446"/>
      <c r="DD827" s="446"/>
      <c r="DE827" s="446"/>
      <c r="DF827" s="446"/>
      <c r="DG827" s="446"/>
      <c r="DH827" s="446"/>
      <c r="DI827" s="446"/>
      <c r="DJ827" s="446"/>
      <c r="DK827" s="446"/>
      <c r="DL827" s="446"/>
      <c r="DM827" s="446"/>
      <c r="DN827" s="446"/>
      <c r="DO827" s="446"/>
      <c r="DP827" s="446"/>
      <c r="DQ827" s="446"/>
      <c r="DR827" s="446"/>
      <c r="DS827" s="446"/>
      <c r="DT827" s="446"/>
      <c r="DU827" s="446"/>
      <c r="DV827" s="446"/>
      <c r="DW827" s="446"/>
    </row>
    <row r="828" spans="96:127" ht="15" customHeight="1" x14ac:dyDescent="0.25">
      <c r="CR828" s="446"/>
      <c r="CS828" s="446"/>
      <c r="CT828" s="446"/>
      <c r="CU828" s="446"/>
      <c r="CV828" s="446"/>
      <c r="CW828" s="752"/>
      <c r="CX828" s="752"/>
      <c r="CY828" s="752"/>
      <c r="CZ828" s="752"/>
      <c r="DA828" s="752"/>
      <c r="DB828" s="446"/>
      <c r="DC828" s="446"/>
      <c r="DD828" s="446"/>
      <c r="DE828" s="446"/>
      <c r="DF828" s="446"/>
      <c r="DG828" s="446"/>
      <c r="DH828" s="446"/>
      <c r="DI828" s="446"/>
      <c r="DJ828" s="446"/>
      <c r="DK828" s="446"/>
      <c r="DL828" s="446"/>
      <c r="DM828" s="446"/>
      <c r="DN828" s="446"/>
      <c r="DO828" s="446"/>
      <c r="DP828" s="446"/>
      <c r="DQ828" s="446"/>
      <c r="DR828" s="446"/>
      <c r="DS828" s="446"/>
      <c r="DT828" s="446"/>
      <c r="DU828" s="446"/>
      <c r="DV828" s="446"/>
      <c r="DW828" s="446"/>
    </row>
    <row r="829" spans="96:127" ht="15" customHeight="1" x14ac:dyDescent="0.25">
      <c r="CR829" s="446"/>
      <c r="CS829" s="446"/>
      <c r="CT829" s="446"/>
      <c r="CU829" s="446"/>
      <c r="CV829" s="446"/>
      <c r="CW829" s="752"/>
      <c r="CX829" s="752"/>
      <c r="CY829" s="752"/>
      <c r="CZ829" s="752"/>
      <c r="DA829" s="752"/>
      <c r="DB829" s="446"/>
      <c r="DC829" s="446"/>
      <c r="DD829" s="446"/>
      <c r="DE829" s="446"/>
      <c r="DF829" s="446"/>
      <c r="DG829" s="446"/>
      <c r="DH829" s="446"/>
      <c r="DI829" s="446"/>
      <c r="DJ829" s="446"/>
      <c r="DK829" s="446"/>
      <c r="DL829" s="446"/>
      <c r="DM829" s="446"/>
      <c r="DN829" s="446"/>
      <c r="DO829" s="446"/>
      <c r="DP829" s="446"/>
      <c r="DQ829" s="446"/>
      <c r="DR829" s="446"/>
      <c r="DS829" s="446"/>
      <c r="DT829" s="446"/>
      <c r="DU829" s="446"/>
      <c r="DV829" s="446"/>
      <c r="DW829" s="446"/>
    </row>
    <row r="830" spans="96:127" ht="15" customHeight="1" x14ac:dyDescent="0.25">
      <c r="CR830" s="446"/>
      <c r="CS830" s="446"/>
      <c r="CT830" s="446"/>
      <c r="CU830" s="446"/>
      <c r="CV830" s="446"/>
      <c r="CW830" s="752"/>
      <c r="CX830" s="752"/>
      <c r="CY830" s="752"/>
      <c r="CZ830" s="752"/>
      <c r="DA830" s="752"/>
      <c r="DB830" s="446"/>
      <c r="DC830" s="446"/>
      <c r="DD830" s="446"/>
      <c r="DE830" s="446"/>
      <c r="DF830" s="446"/>
      <c r="DG830" s="446"/>
      <c r="DH830" s="446"/>
      <c r="DI830" s="446"/>
      <c r="DJ830" s="446"/>
      <c r="DK830" s="446"/>
      <c r="DL830" s="446"/>
      <c r="DM830" s="446"/>
      <c r="DN830" s="446"/>
      <c r="DO830" s="446"/>
      <c r="DP830" s="446"/>
      <c r="DQ830" s="446"/>
      <c r="DR830" s="446"/>
      <c r="DS830" s="446"/>
      <c r="DT830" s="446"/>
      <c r="DU830" s="446"/>
      <c r="DV830" s="446"/>
      <c r="DW830" s="446"/>
    </row>
    <row r="831" spans="96:127" ht="15" customHeight="1" x14ac:dyDescent="0.25">
      <c r="CR831" s="446"/>
      <c r="CS831" s="446"/>
      <c r="CT831" s="446"/>
      <c r="CU831" s="446"/>
      <c r="CV831" s="446"/>
      <c r="CW831" s="752"/>
      <c r="CX831" s="752"/>
      <c r="CY831" s="752"/>
      <c r="CZ831" s="752"/>
      <c r="DA831" s="752"/>
      <c r="DB831" s="446"/>
      <c r="DC831" s="446"/>
      <c r="DD831" s="446"/>
      <c r="DE831" s="446"/>
      <c r="DF831" s="446"/>
      <c r="DG831" s="446"/>
      <c r="DH831" s="446"/>
      <c r="DI831" s="446"/>
      <c r="DJ831" s="446"/>
      <c r="DK831" s="446"/>
      <c r="DL831" s="446"/>
      <c r="DM831" s="446"/>
      <c r="DN831" s="446"/>
      <c r="DO831" s="446"/>
      <c r="DP831" s="446"/>
      <c r="DQ831" s="446"/>
      <c r="DR831" s="446"/>
      <c r="DS831" s="446"/>
      <c r="DT831" s="446"/>
      <c r="DU831" s="446"/>
      <c r="DV831" s="446"/>
      <c r="DW831" s="446"/>
    </row>
    <row r="832" spans="96:127" ht="15" customHeight="1" x14ac:dyDescent="0.25">
      <c r="CR832" s="446"/>
      <c r="CS832" s="446"/>
      <c r="CT832" s="446"/>
      <c r="CU832" s="446"/>
      <c r="CV832" s="446"/>
      <c r="CW832" s="752"/>
      <c r="CX832" s="752"/>
      <c r="CY832" s="752"/>
      <c r="CZ832" s="752"/>
      <c r="DA832" s="752"/>
      <c r="DB832" s="446"/>
      <c r="DC832" s="446"/>
      <c r="DD832" s="446"/>
      <c r="DE832" s="446"/>
      <c r="DF832" s="446"/>
      <c r="DG832" s="446"/>
      <c r="DH832" s="446"/>
      <c r="DI832" s="446"/>
      <c r="DJ832" s="446"/>
      <c r="DK832" s="446"/>
      <c r="DL832" s="446"/>
      <c r="DM832" s="446"/>
      <c r="DN832" s="446"/>
      <c r="DO832" s="446"/>
      <c r="DP832" s="446"/>
      <c r="DQ832" s="446"/>
      <c r="DR832" s="446"/>
      <c r="DS832" s="446"/>
      <c r="DT832" s="446"/>
      <c r="DU832" s="446"/>
      <c r="DV832" s="446"/>
      <c r="DW832" s="446"/>
    </row>
    <row r="833" spans="96:127" ht="15" customHeight="1" x14ac:dyDescent="0.25">
      <c r="CR833" s="446"/>
      <c r="CS833" s="446"/>
      <c r="CT833" s="446"/>
      <c r="CU833" s="446"/>
      <c r="CV833" s="446"/>
      <c r="CW833" s="752"/>
      <c r="CX833" s="752"/>
      <c r="CY833" s="752"/>
      <c r="CZ833" s="752"/>
      <c r="DA833" s="752"/>
      <c r="DB833" s="446"/>
      <c r="DC833" s="446"/>
      <c r="DD833" s="446"/>
      <c r="DE833" s="446"/>
      <c r="DF833" s="446"/>
      <c r="DG833" s="446"/>
      <c r="DH833" s="446"/>
      <c r="DI833" s="446"/>
      <c r="DJ833" s="446"/>
      <c r="DK833" s="446"/>
      <c r="DL833" s="446"/>
      <c r="DM833" s="446"/>
      <c r="DN833" s="446"/>
      <c r="DO833" s="446"/>
      <c r="DP833" s="446"/>
      <c r="DQ833" s="446"/>
      <c r="DR833" s="446"/>
      <c r="DS833" s="446"/>
      <c r="DT833" s="446"/>
      <c r="DU833" s="446"/>
      <c r="DV833" s="446"/>
      <c r="DW833" s="446"/>
    </row>
    <row r="834" spans="96:127" ht="15" customHeight="1" x14ac:dyDescent="0.25">
      <c r="CR834" s="446"/>
      <c r="CS834" s="446"/>
      <c r="CT834" s="446"/>
      <c r="CU834" s="446"/>
      <c r="CV834" s="446"/>
      <c r="CW834" s="752"/>
      <c r="CX834" s="752"/>
      <c r="CY834" s="752"/>
      <c r="CZ834" s="752"/>
      <c r="DA834" s="752"/>
      <c r="DB834" s="446"/>
      <c r="DC834" s="446"/>
      <c r="DD834" s="446"/>
      <c r="DE834" s="446"/>
      <c r="DF834" s="446"/>
      <c r="DG834" s="446"/>
      <c r="DH834" s="446"/>
      <c r="DI834" s="446"/>
      <c r="DJ834" s="446"/>
      <c r="DK834" s="446"/>
      <c r="DL834" s="446"/>
      <c r="DM834" s="446"/>
      <c r="DN834" s="446"/>
      <c r="DO834" s="446"/>
      <c r="DP834" s="446"/>
      <c r="DQ834" s="446"/>
      <c r="DR834" s="446"/>
      <c r="DS834" s="446"/>
      <c r="DT834" s="446"/>
      <c r="DU834" s="446"/>
      <c r="DV834" s="446"/>
      <c r="DW834" s="446"/>
    </row>
    <row r="835" spans="96:127" ht="15" customHeight="1" x14ac:dyDescent="0.25">
      <c r="CR835" s="446"/>
      <c r="CS835" s="446"/>
      <c r="CT835" s="446"/>
      <c r="CU835" s="446"/>
      <c r="CV835" s="446"/>
      <c r="CW835" s="752"/>
      <c r="CX835" s="752"/>
      <c r="CY835" s="752"/>
      <c r="CZ835" s="752"/>
      <c r="DA835" s="752"/>
      <c r="DB835" s="446"/>
      <c r="DC835" s="446"/>
      <c r="DD835" s="446"/>
      <c r="DE835" s="446"/>
      <c r="DF835" s="446"/>
      <c r="DG835" s="446"/>
      <c r="DH835" s="446"/>
      <c r="DI835" s="446"/>
      <c r="DJ835" s="446"/>
      <c r="DK835" s="446"/>
      <c r="DL835" s="446"/>
      <c r="DM835" s="446"/>
      <c r="DN835" s="446"/>
      <c r="DO835" s="446"/>
      <c r="DP835" s="446"/>
      <c r="DQ835" s="446"/>
      <c r="DR835" s="446"/>
      <c r="DS835" s="446"/>
      <c r="DT835" s="446"/>
      <c r="DU835" s="446"/>
      <c r="DV835" s="446"/>
      <c r="DW835" s="446"/>
    </row>
    <row r="836" spans="96:127" ht="15" customHeight="1" x14ac:dyDescent="0.25">
      <c r="CR836" s="446"/>
      <c r="CS836" s="446"/>
      <c r="CT836" s="446"/>
      <c r="CU836" s="446"/>
      <c r="CV836" s="446"/>
      <c r="CW836" s="752"/>
      <c r="CX836" s="752"/>
      <c r="CY836" s="752"/>
      <c r="CZ836" s="752"/>
      <c r="DA836" s="752"/>
      <c r="DB836" s="446"/>
      <c r="DC836" s="446"/>
      <c r="DD836" s="446"/>
      <c r="DE836" s="446"/>
      <c r="DF836" s="446"/>
      <c r="DG836" s="446"/>
      <c r="DH836" s="446"/>
      <c r="DI836" s="446"/>
      <c r="DJ836" s="446"/>
      <c r="DK836" s="446"/>
      <c r="DL836" s="446"/>
      <c r="DM836" s="446"/>
      <c r="DN836" s="446"/>
      <c r="DO836" s="446"/>
      <c r="DP836" s="446"/>
      <c r="DQ836" s="446"/>
      <c r="DR836" s="446"/>
      <c r="DS836" s="446"/>
      <c r="DT836" s="446"/>
      <c r="DU836" s="446"/>
      <c r="DV836" s="446"/>
      <c r="DW836" s="446"/>
    </row>
    <row r="837" spans="96:127" ht="15" customHeight="1" x14ac:dyDescent="0.25">
      <c r="CR837" s="446"/>
      <c r="CS837" s="446"/>
      <c r="CT837" s="446"/>
      <c r="CU837" s="446"/>
      <c r="CV837" s="446"/>
      <c r="CW837" s="752"/>
      <c r="CX837" s="752"/>
      <c r="CY837" s="752"/>
      <c r="CZ837" s="752"/>
      <c r="DA837" s="752"/>
      <c r="DB837" s="446"/>
      <c r="DC837" s="446"/>
      <c r="DD837" s="446"/>
      <c r="DE837" s="446"/>
      <c r="DF837" s="446"/>
      <c r="DG837" s="446"/>
      <c r="DH837" s="446"/>
      <c r="DI837" s="446"/>
      <c r="DJ837" s="446"/>
      <c r="DK837" s="446"/>
      <c r="DL837" s="446"/>
      <c r="DM837" s="446"/>
      <c r="DN837" s="446"/>
      <c r="DO837" s="446"/>
      <c r="DP837" s="446"/>
      <c r="DQ837" s="446"/>
      <c r="DR837" s="446"/>
      <c r="DS837" s="446"/>
      <c r="DT837" s="446"/>
      <c r="DU837" s="446"/>
      <c r="DV837" s="446"/>
      <c r="DW837" s="446"/>
    </row>
    <row r="838" spans="96:127" ht="15" customHeight="1" x14ac:dyDescent="0.25">
      <c r="CR838" s="446"/>
      <c r="CS838" s="446"/>
      <c r="CT838" s="446"/>
      <c r="CU838" s="446"/>
      <c r="CV838" s="446"/>
      <c r="CW838" s="752"/>
      <c r="CX838" s="752"/>
      <c r="CY838" s="752"/>
      <c r="CZ838" s="752"/>
      <c r="DA838" s="752"/>
      <c r="DB838" s="446"/>
      <c r="DC838" s="446"/>
      <c r="DD838" s="446"/>
      <c r="DE838" s="446"/>
      <c r="DF838" s="446"/>
      <c r="DG838" s="446"/>
      <c r="DH838" s="446"/>
      <c r="DI838" s="446"/>
      <c r="DJ838" s="446"/>
      <c r="DK838" s="446"/>
      <c r="DL838" s="446"/>
      <c r="DM838" s="446"/>
      <c r="DN838" s="446"/>
      <c r="DO838" s="446"/>
      <c r="DP838" s="446"/>
      <c r="DQ838" s="446"/>
      <c r="DR838" s="446"/>
      <c r="DS838" s="446"/>
      <c r="DT838" s="446"/>
      <c r="DU838" s="446"/>
      <c r="DV838" s="446"/>
      <c r="DW838" s="446"/>
    </row>
    <row r="839" spans="96:127" ht="15" customHeight="1" x14ac:dyDescent="0.25">
      <c r="CR839" s="446"/>
      <c r="CS839" s="446"/>
      <c r="CT839" s="446"/>
      <c r="CU839" s="446"/>
      <c r="CV839" s="446"/>
      <c r="CW839" s="752"/>
      <c r="CX839" s="752"/>
      <c r="CY839" s="752"/>
      <c r="CZ839" s="752"/>
      <c r="DA839" s="752"/>
      <c r="DB839" s="446"/>
      <c r="DC839" s="446"/>
      <c r="DD839" s="446"/>
      <c r="DE839" s="446"/>
      <c r="DF839" s="446"/>
      <c r="DG839" s="446"/>
      <c r="DH839" s="446"/>
      <c r="DI839" s="446"/>
      <c r="DJ839" s="446"/>
      <c r="DK839" s="446"/>
      <c r="DL839" s="446"/>
      <c r="DM839" s="446"/>
      <c r="DN839" s="446"/>
      <c r="DO839" s="446"/>
      <c r="DP839" s="446"/>
      <c r="DQ839" s="446"/>
      <c r="DR839" s="446"/>
      <c r="DS839" s="446"/>
      <c r="DT839" s="446"/>
      <c r="DU839" s="446"/>
      <c r="DV839" s="446"/>
      <c r="DW839" s="446"/>
    </row>
    <row r="840" spans="96:127" ht="15" customHeight="1" x14ac:dyDescent="0.25">
      <c r="CR840" s="446"/>
      <c r="CS840" s="446"/>
      <c r="CT840" s="446"/>
      <c r="CU840" s="446"/>
      <c r="CV840" s="446"/>
      <c r="CW840" s="752"/>
      <c r="CX840" s="752"/>
      <c r="CY840" s="752"/>
      <c r="CZ840" s="752"/>
      <c r="DA840" s="752"/>
      <c r="DB840" s="446"/>
      <c r="DC840" s="446"/>
      <c r="DD840" s="446"/>
      <c r="DE840" s="446"/>
      <c r="DF840" s="446"/>
      <c r="DG840" s="446"/>
      <c r="DH840" s="446"/>
      <c r="DI840" s="446"/>
      <c r="DJ840" s="446"/>
      <c r="DK840" s="446"/>
      <c r="DL840" s="446"/>
      <c r="DM840" s="446"/>
      <c r="DN840" s="446"/>
      <c r="DO840" s="446"/>
      <c r="DP840" s="446"/>
      <c r="DQ840" s="446"/>
      <c r="DR840" s="446"/>
      <c r="DS840" s="446"/>
      <c r="DT840" s="446"/>
      <c r="DU840" s="446"/>
      <c r="DV840" s="446"/>
      <c r="DW840" s="446"/>
    </row>
    <row r="841" spans="96:127" ht="15" customHeight="1" x14ac:dyDescent="0.25">
      <c r="CR841" s="446"/>
      <c r="CS841" s="446"/>
      <c r="CT841" s="446"/>
      <c r="CU841" s="446"/>
      <c r="CV841" s="446"/>
      <c r="CW841" s="752"/>
      <c r="CX841" s="752"/>
      <c r="CY841" s="752"/>
      <c r="CZ841" s="752"/>
      <c r="DA841" s="752"/>
      <c r="DB841" s="446"/>
      <c r="DC841" s="446"/>
      <c r="DD841" s="446"/>
      <c r="DE841" s="446"/>
      <c r="DF841" s="446"/>
      <c r="DG841" s="446"/>
      <c r="DH841" s="446"/>
      <c r="DI841" s="446"/>
      <c r="DJ841" s="446"/>
      <c r="DK841" s="446"/>
      <c r="DL841" s="446"/>
      <c r="DM841" s="446"/>
      <c r="DN841" s="446"/>
      <c r="DO841" s="446"/>
      <c r="DP841" s="446"/>
      <c r="DQ841" s="446"/>
      <c r="DR841" s="446"/>
      <c r="DS841" s="446"/>
      <c r="DT841" s="446"/>
      <c r="DU841" s="446"/>
      <c r="DV841" s="446"/>
      <c r="DW841" s="446"/>
    </row>
    <row r="842" spans="96:127" ht="15" customHeight="1" x14ac:dyDescent="0.25">
      <c r="CR842" s="446"/>
      <c r="CS842" s="446"/>
      <c r="CT842" s="446"/>
      <c r="CU842" s="446"/>
      <c r="CV842" s="446"/>
      <c r="CW842" s="752"/>
      <c r="CX842" s="752"/>
      <c r="CY842" s="752"/>
      <c r="CZ842" s="752"/>
      <c r="DA842" s="752"/>
      <c r="DB842" s="446"/>
      <c r="DC842" s="446"/>
      <c r="DD842" s="446"/>
      <c r="DE842" s="446"/>
      <c r="DF842" s="446"/>
      <c r="DG842" s="446"/>
      <c r="DH842" s="446"/>
      <c r="DI842" s="446"/>
      <c r="DJ842" s="446"/>
      <c r="DK842" s="446"/>
      <c r="DL842" s="446"/>
      <c r="DM842" s="446"/>
      <c r="DN842" s="446"/>
      <c r="DO842" s="446"/>
      <c r="DP842" s="446"/>
      <c r="DQ842" s="446"/>
      <c r="DR842" s="446"/>
      <c r="DS842" s="446"/>
      <c r="DT842" s="446"/>
      <c r="DU842" s="446"/>
      <c r="DV842" s="446"/>
      <c r="DW842" s="446"/>
    </row>
    <row r="843" spans="96:127" ht="15" customHeight="1" x14ac:dyDescent="0.25">
      <c r="CR843" s="446"/>
      <c r="CS843" s="446"/>
      <c r="CT843" s="446"/>
      <c r="CU843" s="446"/>
      <c r="CV843" s="446"/>
      <c r="CW843" s="752"/>
      <c r="CX843" s="752"/>
      <c r="CY843" s="752"/>
      <c r="CZ843" s="752"/>
      <c r="DA843" s="752"/>
      <c r="DB843" s="446"/>
      <c r="DC843" s="446"/>
      <c r="DD843" s="446"/>
      <c r="DE843" s="446"/>
      <c r="DF843" s="446"/>
      <c r="DG843" s="446"/>
      <c r="DH843" s="446"/>
      <c r="DI843" s="446"/>
      <c r="DJ843" s="446"/>
      <c r="DK843" s="446"/>
      <c r="DL843" s="446"/>
      <c r="DM843" s="446"/>
      <c r="DN843" s="446"/>
      <c r="DO843" s="446"/>
      <c r="DP843" s="446"/>
      <c r="DQ843" s="446"/>
      <c r="DR843" s="446"/>
      <c r="DS843" s="446"/>
      <c r="DT843" s="446"/>
      <c r="DU843" s="446"/>
      <c r="DV843" s="446"/>
      <c r="DW843" s="446"/>
    </row>
    <row r="844" spans="96:127" ht="15" customHeight="1" x14ac:dyDescent="0.25">
      <c r="CR844" s="446"/>
      <c r="CS844" s="446"/>
      <c r="CT844" s="446"/>
      <c r="CU844" s="446"/>
      <c r="CV844" s="446"/>
      <c r="CW844" s="752"/>
      <c r="CX844" s="752"/>
      <c r="CY844" s="752"/>
      <c r="CZ844" s="752"/>
      <c r="DA844" s="752"/>
      <c r="DB844" s="446"/>
      <c r="DC844" s="446"/>
      <c r="DD844" s="446"/>
      <c r="DE844" s="446"/>
      <c r="DF844" s="446"/>
      <c r="DG844" s="446"/>
      <c r="DH844" s="446"/>
      <c r="DI844" s="446"/>
      <c r="DJ844" s="446"/>
      <c r="DK844" s="446"/>
      <c r="DL844" s="446"/>
      <c r="DM844" s="446"/>
      <c r="DN844" s="446"/>
      <c r="DO844" s="446"/>
      <c r="DP844" s="446"/>
      <c r="DQ844" s="446"/>
      <c r="DR844" s="446"/>
      <c r="DS844" s="446"/>
      <c r="DT844" s="446"/>
      <c r="DU844" s="446"/>
      <c r="DV844" s="446"/>
      <c r="DW844" s="446"/>
    </row>
    <row r="845" spans="96:127" ht="15" customHeight="1" x14ac:dyDescent="0.25">
      <c r="CR845" s="446"/>
      <c r="CS845" s="446"/>
      <c r="CT845" s="446"/>
      <c r="CU845" s="446"/>
      <c r="CV845" s="446"/>
      <c r="CW845" s="752"/>
      <c r="CX845" s="752"/>
      <c r="CY845" s="752"/>
      <c r="CZ845" s="752"/>
      <c r="DA845" s="752"/>
      <c r="DB845" s="446"/>
      <c r="DC845" s="446"/>
      <c r="DD845" s="446"/>
      <c r="DE845" s="446"/>
      <c r="DF845" s="446"/>
      <c r="DG845" s="446"/>
      <c r="DH845" s="446"/>
      <c r="DI845" s="446"/>
      <c r="DJ845" s="446"/>
      <c r="DK845" s="446"/>
      <c r="DL845" s="446"/>
      <c r="DM845" s="446"/>
      <c r="DN845" s="446"/>
      <c r="DO845" s="446"/>
      <c r="DP845" s="446"/>
      <c r="DQ845" s="446"/>
      <c r="DR845" s="446"/>
      <c r="DS845" s="446"/>
      <c r="DT845" s="446"/>
      <c r="DU845" s="446"/>
      <c r="DV845" s="446"/>
      <c r="DW845" s="446"/>
    </row>
    <row r="846" spans="96:127" ht="15" customHeight="1" x14ac:dyDescent="0.25">
      <c r="CR846" s="446"/>
      <c r="CS846" s="446"/>
      <c r="CT846" s="446"/>
      <c r="CU846" s="446"/>
      <c r="CV846" s="446"/>
      <c r="CW846" s="752"/>
      <c r="CX846" s="752"/>
      <c r="CY846" s="752"/>
      <c r="CZ846" s="752"/>
      <c r="DA846" s="752"/>
      <c r="DB846" s="446"/>
      <c r="DC846" s="446"/>
      <c r="DD846" s="446"/>
      <c r="DE846" s="446"/>
      <c r="DF846" s="446"/>
      <c r="DG846" s="446"/>
      <c r="DH846" s="446"/>
      <c r="DI846" s="446"/>
      <c r="DJ846" s="446"/>
      <c r="DK846" s="446"/>
      <c r="DL846" s="446"/>
      <c r="DM846" s="446"/>
      <c r="DN846" s="446"/>
      <c r="DO846" s="446"/>
      <c r="DP846" s="446"/>
      <c r="DQ846" s="446"/>
      <c r="DR846" s="446"/>
      <c r="DS846" s="446"/>
      <c r="DT846" s="446"/>
      <c r="DU846" s="446"/>
      <c r="DV846" s="446"/>
      <c r="DW846" s="446"/>
    </row>
    <row r="847" spans="96:127" ht="15" customHeight="1" x14ac:dyDescent="0.25">
      <c r="CR847" s="446"/>
      <c r="CS847" s="446"/>
      <c r="CT847" s="446"/>
      <c r="CU847" s="446"/>
      <c r="CV847" s="446"/>
      <c r="CW847" s="752"/>
      <c r="CX847" s="752"/>
      <c r="CY847" s="752"/>
      <c r="CZ847" s="752"/>
      <c r="DA847" s="752"/>
      <c r="DB847" s="446"/>
      <c r="DC847" s="446"/>
      <c r="DD847" s="446"/>
      <c r="DE847" s="446"/>
      <c r="DF847" s="446"/>
      <c r="DG847" s="446"/>
      <c r="DH847" s="446"/>
      <c r="DI847" s="446"/>
      <c r="DJ847" s="446"/>
      <c r="DK847" s="446"/>
      <c r="DL847" s="446"/>
      <c r="DM847" s="446"/>
      <c r="DN847" s="446"/>
      <c r="DO847" s="446"/>
      <c r="DP847" s="446"/>
      <c r="DQ847" s="446"/>
      <c r="DR847" s="446"/>
      <c r="DS847" s="446"/>
      <c r="DT847" s="446"/>
      <c r="DU847" s="446"/>
      <c r="DV847" s="446"/>
      <c r="DW847" s="446"/>
    </row>
    <row r="848" spans="96:127" ht="15" customHeight="1" x14ac:dyDescent="0.25">
      <c r="CR848" s="446"/>
      <c r="CS848" s="446"/>
      <c r="CT848" s="446"/>
      <c r="CU848" s="446"/>
      <c r="CV848" s="446"/>
      <c r="CW848" s="752"/>
      <c r="CX848" s="752"/>
      <c r="CY848" s="752"/>
      <c r="CZ848" s="752"/>
      <c r="DA848" s="752"/>
      <c r="DB848" s="446"/>
      <c r="DC848" s="446"/>
      <c r="DD848" s="446"/>
      <c r="DE848" s="446"/>
      <c r="DF848" s="446"/>
      <c r="DG848" s="446"/>
      <c r="DH848" s="446"/>
      <c r="DI848" s="446"/>
      <c r="DJ848" s="446"/>
      <c r="DK848" s="446"/>
      <c r="DL848" s="446"/>
      <c r="DM848" s="446"/>
      <c r="DN848" s="446"/>
      <c r="DO848" s="446"/>
      <c r="DP848" s="446"/>
      <c r="DQ848" s="446"/>
      <c r="DR848" s="446"/>
      <c r="DS848" s="446"/>
      <c r="DT848" s="446"/>
      <c r="DU848" s="446"/>
      <c r="DV848" s="446"/>
      <c r="DW848" s="446"/>
    </row>
    <row r="849" spans="96:127" ht="15" customHeight="1" x14ac:dyDescent="0.25">
      <c r="CR849" s="446"/>
      <c r="CS849" s="446"/>
      <c r="CT849" s="446"/>
      <c r="CU849" s="446"/>
      <c r="CV849" s="446"/>
      <c r="CW849" s="752"/>
      <c r="CX849" s="752"/>
      <c r="CY849" s="752"/>
      <c r="CZ849" s="752"/>
      <c r="DA849" s="752"/>
      <c r="DB849" s="446"/>
      <c r="DC849" s="446"/>
      <c r="DD849" s="446"/>
      <c r="DE849" s="446"/>
      <c r="DF849" s="446"/>
      <c r="DG849" s="446"/>
      <c r="DH849" s="446"/>
      <c r="DI849" s="446"/>
      <c r="DJ849" s="446"/>
      <c r="DK849" s="446"/>
      <c r="DL849" s="446"/>
      <c r="DM849" s="446"/>
      <c r="DN849" s="446"/>
      <c r="DO849" s="446"/>
      <c r="DP849" s="446"/>
      <c r="DQ849" s="446"/>
      <c r="DR849" s="446"/>
      <c r="DS849" s="446"/>
      <c r="DT849" s="446"/>
      <c r="DU849" s="446"/>
      <c r="DV849" s="446"/>
      <c r="DW849" s="446"/>
    </row>
    <row r="850" spans="96:127" ht="15" customHeight="1" x14ac:dyDescent="0.25">
      <c r="CR850" s="446"/>
      <c r="CS850" s="446"/>
      <c r="CT850" s="446"/>
      <c r="CU850" s="446"/>
      <c r="CV850" s="446"/>
      <c r="CW850" s="752"/>
      <c r="CX850" s="752"/>
      <c r="CY850" s="752"/>
      <c r="CZ850" s="752"/>
      <c r="DA850" s="752"/>
      <c r="DB850" s="446"/>
      <c r="DC850" s="446"/>
      <c r="DD850" s="446"/>
      <c r="DE850" s="446"/>
      <c r="DF850" s="446"/>
      <c r="DG850" s="446"/>
      <c r="DH850" s="446"/>
      <c r="DI850" s="446"/>
      <c r="DJ850" s="446"/>
      <c r="DK850" s="446"/>
      <c r="DL850" s="446"/>
      <c r="DM850" s="446"/>
      <c r="DN850" s="446"/>
      <c r="DO850" s="446"/>
      <c r="DP850" s="446"/>
      <c r="DQ850" s="446"/>
      <c r="DR850" s="446"/>
      <c r="DS850" s="446"/>
      <c r="DT850" s="446"/>
      <c r="DU850" s="446"/>
      <c r="DV850" s="446"/>
      <c r="DW850" s="446"/>
    </row>
    <row r="851" spans="96:127" ht="15" customHeight="1" x14ac:dyDescent="0.25">
      <c r="CR851" s="446"/>
      <c r="CS851" s="446"/>
      <c r="CT851" s="446"/>
      <c r="CU851" s="446"/>
      <c r="CV851" s="446"/>
      <c r="CW851" s="752"/>
      <c r="CX851" s="752"/>
      <c r="CY851" s="752"/>
      <c r="CZ851" s="752"/>
      <c r="DA851" s="752"/>
      <c r="DB851" s="446"/>
      <c r="DC851" s="446"/>
      <c r="DD851" s="446"/>
      <c r="DE851" s="446"/>
      <c r="DF851" s="446"/>
      <c r="DG851" s="446"/>
      <c r="DH851" s="446"/>
      <c r="DI851" s="446"/>
      <c r="DJ851" s="446"/>
      <c r="DK851" s="446"/>
      <c r="DL851" s="446"/>
      <c r="DM851" s="446"/>
      <c r="DN851" s="446"/>
      <c r="DO851" s="446"/>
      <c r="DP851" s="446"/>
      <c r="DQ851" s="446"/>
      <c r="DR851" s="446"/>
      <c r="DS851" s="446"/>
      <c r="DT851" s="446"/>
      <c r="DU851" s="446"/>
      <c r="DV851" s="446"/>
      <c r="DW851" s="446"/>
    </row>
    <row r="852" spans="96:127" ht="15" customHeight="1" x14ac:dyDescent="0.25">
      <c r="CR852" s="446"/>
      <c r="CS852" s="446"/>
      <c r="CT852" s="446"/>
      <c r="CU852" s="446"/>
      <c r="CV852" s="446"/>
      <c r="CW852" s="752"/>
      <c r="CX852" s="752"/>
      <c r="CY852" s="752"/>
      <c r="CZ852" s="752"/>
      <c r="DA852" s="752"/>
      <c r="DB852" s="446"/>
      <c r="DC852" s="446"/>
      <c r="DD852" s="446"/>
      <c r="DE852" s="446"/>
      <c r="DF852" s="446"/>
      <c r="DG852" s="446"/>
      <c r="DH852" s="446"/>
      <c r="DI852" s="446"/>
      <c r="DJ852" s="446"/>
      <c r="DK852" s="446"/>
      <c r="DL852" s="446"/>
      <c r="DM852" s="446"/>
      <c r="DN852" s="446"/>
      <c r="DO852" s="446"/>
      <c r="DP852" s="446"/>
      <c r="DQ852" s="446"/>
      <c r="DR852" s="446"/>
      <c r="DS852" s="446"/>
      <c r="DT852" s="446"/>
      <c r="DU852" s="446"/>
      <c r="DV852" s="446"/>
      <c r="DW852" s="446"/>
    </row>
    <row r="853" spans="96:127" ht="15" customHeight="1" x14ac:dyDescent="0.25">
      <c r="CR853" s="446"/>
      <c r="CS853" s="446"/>
      <c r="CT853" s="446"/>
      <c r="CU853" s="446"/>
      <c r="CV853" s="446"/>
      <c r="CW853" s="752"/>
      <c r="CX853" s="752"/>
      <c r="CY853" s="752"/>
      <c r="CZ853" s="752"/>
      <c r="DA853" s="752"/>
      <c r="DB853" s="446"/>
      <c r="DC853" s="446"/>
      <c r="DD853" s="446"/>
      <c r="DE853" s="446"/>
      <c r="DF853" s="446"/>
      <c r="DG853" s="446"/>
      <c r="DH853" s="446"/>
      <c r="DI853" s="446"/>
      <c r="DJ853" s="446"/>
      <c r="DK853" s="446"/>
      <c r="DL853" s="446"/>
      <c r="DM853" s="446"/>
      <c r="DN853" s="446"/>
      <c r="DO853" s="446"/>
      <c r="DP853" s="446"/>
      <c r="DQ853" s="446"/>
      <c r="DR853" s="446"/>
      <c r="DS853" s="446"/>
      <c r="DT853" s="446"/>
      <c r="DU853" s="446"/>
      <c r="DV853" s="446"/>
      <c r="DW853" s="446"/>
    </row>
    <row r="854" spans="96:127" ht="15" customHeight="1" x14ac:dyDescent="0.25">
      <c r="CR854" s="446"/>
      <c r="CS854" s="446"/>
      <c r="CT854" s="446"/>
      <c r="CU854" s="446"/>
      <c r="CV854" s="446"/>
      <c r="CW854" s="752"/>
      <c r="CX854" s="752"/>
      <c r="CY854" s="752"/>
      <c r="CZ854" s="752"/>
      <c r="DA854" s="752"/>
      <c r="DB854" s="446"/>
      <c r="DC854" s="446"/>
      <c r="DD854" s="446"/>
      <c r="DE854" s="446"/>
      <c r="DF854" s="446"/>
      <c r="DG854" s="446"/>
      <c r="DH854" s="446"/>
      <c r="DI854" s="446"/>
      <c r="DJ854" s="446"/>
      <c r="DK854" s="446"/>
      <c r="DL854" s="446"/>
      <c r="DM854" s="446"/>
      <c r="DN854" s="446"/>
      <c r="DO854" s="446"/>
      <c r="DP854" s="446"/>
      <c r="DQ854" s="446"/>
      <c r="DR854" s="446"/>
      <c r="DS854" s="446"/>
      <c r="DT854" s="446"/>
      <c r="DU854" s="446"/>
      <c r="DV854" s="446"/>
      <c r="DW854" s="446"/>
    </row>
    <row r="855" spans="96:127" ht="15" customHeight="1" x14ac:dyDescent="0.25">
      <c r="CR855" s="446"/>
      <c r="CS855" s="446"/>
      <c r="CT855" s="446"/>
      <c r="CU855" s="446"/>
      <c r="CV855" s="446"/>
      <c r="CW855" s="752"/>
      <c r="CX855" s="752"/>
      <c r="CY855" s="752"/>
      <c r="CZ855" s="752"/>
      <c r="DA855" s="752"/>
      <c r="DB855" s="446"/>
      <c r="DC855" s="446"/>
      <c r="DD855" s="446"/>
      <c r="DE855" s="446"/>
      <c r="DF855" s="446"/>
      <c r="DG855" s="446"/>
      <c r="DH855" s="446"/>
      <c r="DI855" s="446"/>
      <c r="DJ855" s="446"/>
      <c r="DK855" s="446"/>
      <c r="DL855" s="446"/>
      <c r="DM855" s="446"/>
      <c r="DN855" s="446"/>
      <c r="DO855" s="446"/>
      <c r="DP855" s="446"/>
      <c r="DQ855" s="446"/>
      <c r="DR855" s="446"/>
      <c r="DS855" s="446"/>
      <c r="DT855" s="446"/>
      <c r="DU855" s="446"/>
      <c r="DV855" s="446"/>
      <c r="DW855" s="446"/>
    </row>
    <row r="856" spans="96:127" ht="15" customHeight="1" x14ac:dyDescent="0.25">
      <c r="CR856" s="446"/>
      <c r="CS856" s="446"/>
      <c r="CT856" s="446"/>
      <c r="CU856" s="446"/>
      <c r="CV856" s="446"/>
      <c r="CW856" s="752"/>
      <c r="CX856" s="752"/>
      <c r="CY856" s="752"/>
      <c r="CZ856" s="752"/>
      <c r="DA856" s="752"/>
      <c r="DB856" s="446"/>
      <c r="DC856" s="446"/>
      <c r="DD856" s="446"/>
      <c r="DE856" s="446"/>
      <c r="DF856" s="446"/>
      <c r="DG856" s="446"/>
      <c r="DH856" s="446"/>
      <c r="DI856" s="446"/>
      <c r="DJ856" s="446"/>
      <c r="DK856" s="446"/>
      <c r="DL856" s="446"/>
      <c r="DM856" s="446"/>
      <c r="DN856" s="446"/>
      <c r="DO856" s="446"/>
      <c r="DP856" s="446"/>
      <c r="DQ856" s="446"/>
      <c r="DR856" s="446"/>
      <c r="DS856" s="446"/>
      <c r="DT856" s="446"/>
      <c r="DU856" s="446"/>
      <c r="DV856" s="446"/>
      <c r="DW856" s="446"/>
    </row>
    <row r="857" spans="96:127" ht="15" customHeight="1" x14ac:dyDescent="0.25">
      <c r="CR857" s="446"/>
      <c r="CS857" s="446"/>
      <c r="CT857" s="446"/>
      <c r="CU857" s="446"/>
      <c r="CV857" s="446"/>
      <c r="CW857" s="752"/>
      <c r="CX857" s="752"/>
      <c r="CY857" s="752"/>
      <c r="CZ857" s="752"/>
      <c r="DA857" s="752"/>
      <c r="DB857" s="446"/>
      <c r="DC857" s="446"/>
      <c r="DD857" s="446"/>
      <c r="DE857" s="446"/>
      <c r="DF857" s="446"/>
      <c r="DG857" s="446"/>
      <c r="DH857" s="446"/>
      <c r="DI857" s="446"/>
      <c r="DJ857" s="446"/>
      <c r="DK857" s="446"/>
      <c r="DL857" s="446"/>
      <c r="DM857" s="446"/>
      <c r="DN857" s="446"/>
      <c r="DO857" s="446"/>
      <c r="DP857" s="446"/>
      <c r="DQ857" s="446"/>
      <c r="DR857" s="446"/>
      <c r="DS857" s="446"/>
      <c r="DT857" s="446"/>
      <c r="DU857" s="446"/>
      <c r="DV857" s="446"/>
      <c r="DW857" s="446"/>
    </row>
    <row r="858" spans="96:127" ht="15" customHeight="1" x14ac:dyDescent="0.25">
      <c r="CR858" s="446"/>
      <c r="CS858" s="446"/>
      <c r="CT858" s="446"/>
      <c r="CU858" s="446"/>
      <c r="CV858" s="446"/>
      <c r="CW858" s="752"/>
      <c r="CX858" s="752"/>
      <c r="CY858" s="752"/>
      <c r="CZ858" s="752"/>
      <c r="DA858" s="752"/>
      <c r="DB858" s="446"/>
      <c r="DC858" s="446"/>
      <c r="DD858" s="446"/>
      <c r="DE858" s="446"/>
      <c r="DF858" s="446"/>
      <c r="DG858" s="446"/>
      <c r="DH858" s="446"/>
      <c r="DI858" s="446"/>
      <c r="DJ858" s="446"/>
      <c r="DK858" s="446"/>
      <c r="DL858" s="446"/>
      <c r="DM858" s="446"/>
      <c r="DN858" s="446"/>
      <c r="DO858" s="446"/>
      <c r="DP858" s="446"/>
      <c r="DQ858" s="446"/>
      <c r="DR858" s="446"/>
      <c r="DS858" s="446"/>
      <c r="DT858" s="446"/>
      <c r="DU858" s="446"/>
      <c r="DV858" s="446"/>
      <c r="DW858" s="446"/>
    </row>
    <row r="859" spans="96:127" ht="15" customHeight="1" x14ac:dyDescent="0.25">
      <c r="CR859" s="446"/>
      <c r="CS859" s="446"/>
      <c r="CT859" s="446"/>
      <c r="CU859" s="446"/>
      <c r="CV859" s="446"/>
      <c r="CW859" s="752"/>
      <c r="CX859" s="752"/>
      <c r="CY859" s="752"/>
      <c r="CZ859" s="752"/>
      <c r="DA859" s="752"/>
      <c r="DB859" s="446"/>
      <c r="DC859" s="446"/>
      <c r="DD859" s="446"/>
      <c r="DE859" s="446"/>
      <c r="DF859" s="446"/>
      <c r="DG859" s="446"/>
      <c r="DH859" s="446"/>
      <c r="DI859" s="446"/>
      <c r="DJ859" s="446"/>
      <c r="DK859" s="446"/>
      <c r="DL859" s="446"/>
      <c r="DM859" s="446"/>
      <c r="DN859" s="446"/>
      <c r="DO859" s="446"/>
      <c r="DP859" s="446"/>
      <c r="DQ859" s="446"/>
      <c r="DR859" s="446"/>
      <c r="DS859" s="446"/>
      <c r="DT859" s="446"/>
      <c r="DU859" s="446"/>
      <c r="DV859" s="446"/>
      <c r="DW859" s="446"/>
    </row>
    <row r="860" spans="96:127" ht="15" customHeight="1" x14ac:dyDescent="0.25">
      <c r="CR860" s="446"/>
      <c r="CS860" s="446"/>
      <c r="CT860" s="446"/>
      <c r="CU860" s="446"/>
      <c r="CV860" s="446"/>
      <c r="CW860" s="752"/>
      <c r="CX860" s="752"/>
      <c r="CY860" s="752"/>
      <c r="CZ860" s="752"/>
      <c r="DA860" s="752"/>
      <c r="DB860" s="446"/>
      <c r="DC860" s="446"/>
      <c r="DD860" s="446"/>
      <c r="DE860" s="446"/>
      <c r="DF860" s="446"/>
      <c r="DG860" s="446"/>
      <c r="DH860" s="446"/>
      <c r="DI860" s="446"/>
      <c r="DJ860" s="446"/>
      <c r="DK860" s="446"/>
      <c r="DL860" s="446"/>
      <c r="DM860" s="446"/>
      <c r="DN860" s="446"/>
      <c r="DO860" s="446"/>
      <c r="DP860" s="446"/>
      <c r="DQ860" s="446"/>
      <c r="DR860" s="446"/>
      <c r="DS860" s="446"/>
      <c r="DT860" s="446"/>
      <c r="DU860" s="446"/>
      <c r="DV860" s="446"/>
      <c r="DW860" s="446"/>
    </row>
    <row r="861" spans="96:127" ht="15" customHeight="1" x14ac:dyDescent="0.25">
      <c r="CR861" s="446"/>
      <c r="CS861" s="446"/>
      <c r="CT861" s="446"/>
      <c r="CU861" s="446"/>
      <c r="CV861" s="446"/>
      <c r="CW861" s="752"/>
      <c r="CX861" s="752"/>
      <c r="CY861" s="752"/>
      <c r="CZ861" s="752"/>
      <c r="DA861" s="752"/>
      <c r="DB861" s="446"/>
      <c r="DC861" s="446"/>
      <c r="DD861" s="446"/>
      <c r="DE861" s="446"/>
      <c r="DF861" s="446"/>
      <c r="DG861" s="446"/>
      <c r="DH861" s="446"/>
      <c r="DI861" s="446"/>
      <c r="DJ861" s="446"/>
      <c r="DK861" s="446"/>
      <c r="DL861" s="446"/>
      <c r="DM861" s="446"/>
      <c r="DN861" s="446"/>
      <c r="DO861" s="446"/>
      <c r="DP861" s="446"/>
      <c r="DQ861" s="446"/>
      <c r="DR861" s="446"/>
      <c r="DS861" s="446"/>
      <c r="DT861" s="446"/>
      <c r="DU861" s="446"/>
      <c r="DV861" s="446"/>
      <c r="DW861" s="446"/>
    </row>
    <row r="862" spans="96:127" ht="15" customHeight="1" x14ac:dyDescent="0.25">
      <c r="CR862" s="446"/>
      <c r="CS862" s="446"/>
      <c r="CT862" s="446"/>
      <c r="CU862" s="446"/>
      <c r="CV862" s="446"/>
      <c r="CW862" s="752"/>
      <c r="CX862" s="752"/>
      <c r="CY862" s="752"/>
      <c r="CZ862" s="752"/>
      <c r="DA862" s="752"/>
      <c r="DB862" s="446"/>
      <c r="DC862" s="446"/>
      <c r="DD862" s="446"/>
      <c r="DE862" s="446"/>
      <c r="DF862" s="446"/>
      <c r="DG862" s="446"/>
      <c r="DH862" s="446"/>
      <c r="DI862" s="446"/>
      <c r="DJ862" s="446"/>
      <c r="DK862" s="446"/>
      <c r="DL862" s="446"/>
      <c r="DM862" s="446"/>
      <c r="DN862" s="446"/>
      <c r="DO862" s="446"/>
      <c r="DP862" s="446"/>
      <c r="DQ862" s="446"/>
      <c r="DR862" s="446"/>
      <c r="DS862" s="446"/>
      <c r="DT862" s="446"/>
      <c r="DU862" s="446"/>
      <c r="DV862" s="446"/>
      <c r="DW862" s="446"/>
    </row>
    <row r="863" spans="96:127" ht="15" customHeight="1" x14ac:dyDescent="0.25">
      <c r="CR863" s="446"/>
      <c r="CS863" s="446"/>
      <c r="CT863" s="446"/>
      <c r="CU863" s="446"/>
      <c r="CV863" s="446"/>
      <c r="CW863" s="752"/>
      <c r="CX863" s="752"/>
      <c r="CY863" s="752"/>
      <c r="CZ863" s="752"/>
      <c r="DA863" s="752"/>
      <c r="DB863" s="446"/>
      <c r="DC863" s="446"/>
      <c r="DD863" s="446"/>
      <c r="DE863" s="446"/>
      <c r="DF863" s="446"/>
      <c r="DG863" s="446"/>
      <c r="DH863" s="446"/>
      <c r="DI863" s="446"/>
      <c r="DJ863" s="446"/>
      <c r="DK863" s="446"/>
      <c r="DL863" s="446"/>
      <c r="DM863" s="446"/>
      <c r="DN863" s="446"/>
      <c r="DO863" s="446"/>
      <c r="DP863" s="446"/>
      <c r="DQ863" s="446"/>
      <c r="DR863" s="446"/>
      <c r="DS863" s="446"/>
      <c r="DT863" s="446"/>
      <c r="DU863" s="446"/>
      <c r="DV863" s="446"/>
      <c r="DW863" s="446"/>
    </row>
    <row r="864" spans="96:127" ht="15" customHeight="1" x14ac:dyDescent="0.25">
      <c r="CR864" s="446"/>
      <c r="CS864" s="446"/>
      <c r="CT864" s="446"/>
      <c r="CU864" s="446"/>
      <c r="CV864" s="446"/>
      <c r="CW864" s="752"/>
      <c r="CX864" s="752"/>
      <c r="CY864" s="752"/>
      <c r="CZ864" s="752"/>
      <c r="DA864" s="752"/>
      <c r="DB864" s="446"/>
      <c r="DC864" s="446"/>
      <c r="DD864" s="446"/>
      <c r="DE864" s="446"/>
      <c r="DF864" s="446"/>
      <c r="DG864" s="446"/>
      <c r="DH864" s="446"/>
      <c r="DI864" s="446"/>
      <c r="DJ864" s="446"/>
      <c r="DK864" s="446"/>
      <c r="DL864" s="446"/>
      <c r="DM864" s="446"/>
      <c r="DN864" s="446"/>
      <c r="DO864" s="446"/>
      <c r="DP864" s="446"/>
      <c r="DQ864" s="446"/>
      <c r="DR864" s="446"/>
      <c r="DS864" s="446"/>
      <c r="DT864" s="446"/>
      <c r="DU864" s="446"/>
      <c r="DV864" s="446"/>
      <c r="DW864" s="446"/>
    </row>
    <row r="865" spans="96:127" ht="15" customHeight="1" x14ac:dyDescent="0.25">
      <c r="CR865" s="446"/>
      <c r="CS865" s="446"/>
      <c r="CT865" s="446"/>
      <c r="CU865" s="446"/>
      <c r="CV865" s="446"/>
      <c r="CW865" s="752"/>
      <c r="CX865" s="752"/>
      <c r="CY865" s="752"/>
      <c r="CZ865" s="752"/>
      <c r="DA865" s="752"/>
      <c r="DB865" s="446"/>
      <c r="DC865" s="446"/>
      <c r="DD865" s="446"/>
      <c r="DE865" s="446"/>
      <c r="DF865" s="446"/>
      <c r="DG865" s="446"/>
      <c r="DH865" s="446"/>
      <c r="DI865" s="446"/>
      <c r="DJ865" s="446"/>
      <c r="DK865" s="446"/>
      <c r="DL865" s="446"/>
      <c r="DM865" s="446"/>
      <c r="DN865" s="446"/>
      <c r="DO865" s="446"/>
      <c r="DP865" s="446"/>
      <c r="DQ865" s="446"/>
      <c r="DR865" s="446"/>
      <c r="DS865" s="446"/>
      <c r="DT865" s="446"/>
      <c r="DU865" s="446"/>
      <c r="DV865" s="446"/>
      <c r="DW865" s="446"/>
    </row>
    <row r="866" spans="96:127" ht="15" customHeight="1" x14ac:dyDescent="0.25">
      <c r="CR866" s="446"/>
      <c r="CS866" s="446"/>
      <c r="CT866" s="446"/>
      <c r="CU866" s="446"/>
      <c r="CV866" s="446"/>
      <c r="CW866" s="752"/>
      <c r="CX866" s="752"/>
      <c r="CY866" s="752"/>
      <c r="CZ866" s="752"/>
      <c r="DA866" s="752"/>
      <c r="DB866" s="446"/>
      <c r="DC866" s="446"/>
      <c r="DD866" s="446"/>
      <c r="DE866" s="446"/>
      <c r="DF866" s="446"/>
      <c r="DG866" s="446"/>
      <c r="DH866" s="446"/>
      <c r="DI866" s="446"/>
      <c r="DJ866" s="446"/>
      <c r="DK866" s="446"/>
      <c r="DL866" s="446"/>
      <c r="DM866" s="446"/>
      <c r="DN866" s="446"/>
      <c r="DO866" s="446"/>
      <c r="DP866" s="446"/>
      <c r="DQ866" s="446"/>
      <c r="DR866" s="446"/>
      <c r="DS866" s="446"/>
      <c r="DT866" s="446"/>
      <c r="DU866" s="446"/>
      <c r="DV866" s="446"/>
      <c r="DW866" s="446"/>
    </row>
    <row r="867" spans="96:127" ht="15" customHeight="1" x14ac:dyDescent="0.25">
      <c r="CR867" s="446"/>
      <c r="CS867" s="446"/>
      <c r="CT867" s="446"/>
      <c r="CU867" s="446"/>
      <c r="CV867" s="446"/>
      <c r="CW867" s="752"/>
      <c r="CX867" s="752"/>
      <c r="CY867" s="752"/>
      <c r="CZ867" s="752"/>
      <c r="DA867" s="752"/>
      <c r="DB867" s="446"/>
      <c r="DC867" s="446"/>
      <c r="DD867" s="446"/>
      <c r="DE867" s="446"/>
      <c r="DF867" s="446"/>
      <c r="DG867" s="446"/>
      <c r="DH867" s="446"/>
      <c r="DI867" s="446"/>
      <c r="DJ867" s="446"/>
      <c r="DK867" s="446"/>
      <c r="DL867" s="446"/>
      <c r="DM867" s="446"/>
      <c r="DN867" s="446"/>
      <c r="DO867" s="446"/>
      <c r="DP867" s="446"/>
      <c r="DQ867" s="446"/>
      <c r="DR867" s="446"/>
      <c r="DS867" s="446"/>
      <c r="DT867" s="446"/>
      <c r="DU867" s="446"/>
      <c r="DV867" s="446"/>
      <c r="DW867" s="446"/>
    </row>
    <row r="868" spans="96:127" ht="15" customHeight="1" x14ac:dyDescent="0.25">
      <c r="CR868" s="446"/>
      <c r="CS868" s="446"/>
      <c r="CT868" s="446"/>
      <c r="CU868" s="446"/>
      <c r="CV868" s="446"/>
      <c r="CW868" s="752"/>
      <c r="CX868" s="752"/>
      <c r="CY868" s="752"/>
      <c r="CZ868" s="752"/>
      <c r="DA868" s="752"/>
      <c r="DB868" s="446"/>
      <c r="DC868" s="446"/>
      <c r="DD868" s="446"/>
      <c r="DE868" s="446"/>
      <c r="DF868" s="446"/>
      <c r="DG868" s="446"/>
      <c r="DH868" s="446"/>
      <c r="DI868" s="446"/>
      <c r="DJ868" s="446"/>
      <c r="DK868" s="446"/>
      <c r="DL868" s="446"/>
      <c r="DM868" s="446"/>
      <c r="DN868" s="446"/>
      <c r="DO868" s="446"/>
      <c r="DP868" s="446"/>
      <c r="DQ868" s="446"/>
      <c r="DR868" s="446"/>
      <c r="DS868" s="446"/>
      <c r="DT868" s="446"/>
      <c r="DU868" s="446"/>
      <c r="DV868" s="446"/>
      <c r="DW868" s="446"/>
    </row>
    <row r="869" spans="96:127" ht="15" customHeight="1" x14ac:dyDescent="0.25">
      <c r="CR869" s="446"/>
      <c r="CS869" s="446"/>
      <c r="CT869" s="446"/>
      <c r="CU869" s="446"/>
      <c r="CV869" s="446"/>
      <c r="CW869" s="752"/>
      <c r="CX869" s="752"/>
      <c r="CY869" s="752"/>
      <c r="CZ869" s="752"/>
      <c r="DA869" s="752"/>
      <c r="DB869" s="446"/>
      <c r="DC869" s="446"/>
      <c r="DD869" s="446"/>
      <c r="DE869" s="446"/>
      <c r="DF869" s="446"/>
      <c r="DG869" s="446"/>
      <c r="DH869" s="446"/>
      <c r="DI869" s="446"/>
      <c r="DJ869" s="446"/>
      <c r="DK869" s="446"/>
      <c r="DL869" s="446"/>
      <c r="DM869" s="446"/>
      <c r="DN869" s="446"/>
      <c r="DO869" s="446"/>
      <c r="DP869" s="446"/>
      <c r="DQ869" s="446"/>
      <c r="DR869" s="446"/>
      <c r="DS869" s="446"/>
      <c r="DT869" s="446"/>
      <c r="DU869" s="446"/>
      <c r="DV869" s="446"/>
      <c r="DW869" s="446"/>
    </row>
    <row r="870" spans="96:127" ht="15" customHeight="1" x14ac:dyDescent="0.25">
      <c r="CR870" s="446"/>
      <c r="CS870" s="446"/>
      <c r="CT870" s="446"/>
      <c r="CU870" s="446"/>
      <c r="CV870" s="446"/>
      <c r="CW870" s="752"/>
      <c r="CX870" s="752"/>
      <c r="CY870" s="752"/>
      <c r="CZ870" s="752"/>
      <c r="DA870" s="752"/>
      <c r="DB870" s="446"/>
      <c r="DC870" s="446"/>
      <c r="DD870" s="446"/>
      <c r="DE870" s="446"/>
      <c r="DF870" s="446"/>
      <c r="DG870" s="446"/>
      <c r="DH870" s="446"/>
      <c r="DI870" s="446"/>
      <c r="DJ870" s="446"/>
      <c r="DK870" s="446"/>
      <c r="DL870" s="446"/>
      <c r="DM870" s="446"/>
      <c r="DN870" s="446"/>
      <c r="DO870" s="446"/>
      <c r="DP870" s="446"/>
      <c r="DQ870" s="446"/>
      <c r="DR870" s="446"/>
      <c r="DS870" s="446"/>
      <c r="DT870" s="446"/>
      <c r="DU870" s="446"/>
      <c r="DV870" s="446"/>
      <c r="DW870" s="446"/>
    </row>
    <row r="871" spans="96:127" ht="15" customHeight="1" x14ac:dyDescent="0.25">
      <c r="CR871" s="446"/>
      <c r="CS871" s="446"/>
      <c r="CT871" s="446"/>
      <c r="CU871" s="446"/>
      <c r="CV871" s="446"/>
      <c r="CW871" s="752"/>
      <c r="CX871" s="752"/>
      <c r="CY871" s="752"/>
      <c r="CZ871" s="752"/>
      <c r="DA871" s="752"/>
      <c r="DB871" s="446"/>
      <c r="DC871" s="446"/>
      <c r="DD871" s="446"/>
      <c r="DE871" s="446"/>
      <c r="DF871" s="446"/>
      <c r="DG871" s="446"/>
      <c r="DH871" s="446"/>
      <c r="DI871" s="446"/>
      <c r="DJ871" s="446"/>
      <c r="DK871" s="446"/>
      <c r="DL871" s="446"/>
      <c r="DM871" s="446"/>
      <c r="DN871" s="446"/>
      <c r="DO871" s="446"/>
      <c r="DP871" s="446"/>
      <c r="DQ871" s="446"/>
      <c r="DR871" s="446"/>
      <c r="DS871" s="446"/>
      <c r="DT871" s="446"/>
      <c r="DU871" s="446"/>
      <c r="DV871" s="446"/>
      <c r="DW871" s="446"/>
    </row>
    <row r="872" spans="96:127" ht="15" customHeight="1" x14ac:dyDescent="0.25">
      <c r="CR872" s="446"/>
      <c r="CS872" s="446"/>
      <c r="CT872" s="446"/>
      <c r="CU872" s="446"/>
      <c r="CV872" s="446"/>
      <c r="CW872" s="752"/>
      <c r="CX872" s="752"/>
      <c r="CY872" s="752"/>
      <c r="CZ872" s="752"/>
      <c r="DA872" s="752"/>
      <c r="DB872" s="446"/>
      <c r="DC872" s="446"/>
      <c r="DD872" s="446"/>
      <c r="DE872" s="446"/>
      <c r="DF872" s="446"/>
      <c r="DG872" s="446"/>
      <c r="DH872" s="446"/>
      <c r="DI872" s="446"/>
      <c r="DJ872" s="446"/>
      <c r="DK872" s="446"/>
      <c r="DL872" s="446"/>
      <c r="DM872" s="446"/>
      <c r="DN872" s="446"/>
      <c r="DO872" s="446"/>
      <c r="DP872" s="446"/>
      <c r="DQ872" s="446"/>
      <c r="DR872" s="446"/>
      <c r="DS872" s="446"/>
      <c r="DT872" s="446"/>
      <c r="DU872" s="446"/>
      <c r="DV872" s="446"/>
      <c r="DW872" s="446"/>
    </row>
    <row r="873" spans="96:127" ht="15" customHeight="1" x14ac:dyDescent="0.25">
      <c r="CR873" s="446"/>
      <c r="CS873" s="446"/>
      <c r="CT873" s="446"/>
      <c r="CU873" s="446"/>
      <c r="CV873" s="446"/>
      <c r="CW873" s="752"/>
      <c r="CX873" s="752"/>
      <c r="CY873" s="752"/>
      <c r="CZ873" s="752"/>
      <c r="DA873" s="752"/>
      <c r="DB873" s="446"/>
      <c r="DC873" s="446"/>
      <c r="DD873" s="446"/>
      <c r="DE873" s="446"/>
      <c r="DF873" s="446"/>
      <c r="DG873" s="446"/>
      <c r="DH873" s="446"/>
      <c r="DI873" s="446"/>
      <c r="DJ873" s="446"/>
      <c r="DK873" s="446"/>
      <c r="DL873" s="446"/>
      <c r="DM873" s="446"/>
      <c r="DN873" s="446"/>
      <c r="DO873" s="446"/>
      <c r="DP873" s="446"/>
      <c r="DQ873" s="446"/>
      <c r="DR873" s="446"/>
      <c r="DS873" s="446"/>
      <c r="DT873" s="446"/>
      <c r="DU873" s="446"/>
      <c r="DV873" s="446"/>
      <c r="DW873" s="446"/>
    </row>
    <row r="874" spans="96:127" ht="15" customHeight="1" x14ac:dyDescent="0.25">
      <c r="CR874" s="446"/>
      <c r="CS874" s="446"/>
      <c r="CT874" s="446"/>
      <c r="CU874" s="446"/>
      <c r="CV874" s="446"/>
      <c r="CW874" s="752"/>
      <c r="CX874" s="752"/>
      <c r="CY874" s="752"/>
      <c r="CZ874" s="752"/>
      <c r="DA874" s="752"/>
      <c r="DB874" s="446"/>
      <c r="DC874" s="446"/>
      <c r="DD874" s="446"/>
      <c r="DE874" s="446"/>
      <c r="DF874" s="446"/>
      <c r="DG874" s="446"/>
      <c r="DH874" s="446"/>
      <c r="DI874" s="446"/>
      <c r="DJ874" s="446"/>
      <c r="DK874" s="446"/>
      <c r="DL874" s="446"/>
      <c r="DM874" s="446"/>
      <c r="DN874" s="446"/>
      <c r="DO874" s="446"/>
      <c r="DP874" s="446"/>
      <c r="DQ874" s="446"/>
      <c r="DR874" s="446"/>
      <c r="DS874" s="446"/>
      <c r="DT874" s="446"/>
      <c r="DU874" s="446"/>
      <c r="DV874" s="446"/>
      <c r="DW874" s="446"/>
    </row>
    <row r="875" spans="96:127" ht="15" customHeight="1" x14ac:dyDescent="0.25">
      <c r="CR875" s="446"/>
      <c r="CS875" s="446"/>
      <c r="CT875" s="446"/>
      <c r="CU875" s="446"/>
      <c r="CV875" s="446"/>
      <c r="CW875" s="752"/>
      <c r="CX875" s="752"/>
      <c r="CY875" s="752"/>
      <c r="CZ875" s="752"/>
      <c r="DA875" s="752"/>
      <c r="DB875" s="446"/>
      <c r="DC875" s="446"/>
      <c r="DD875" s="446"/>
      <c r="DE875" s="446"/>
      <c r="DF875" s="446"/>
      <c r="DG875" s="446"/>
      <c r="DH875" s="446"/>
      <c r="DI875" s="446"/>
      <c r="DJ875" s="446"/>
      <c r="DK875" s="446"/>
      <c r="DL875" s="446"/>
      <c r="DM875" s="446"/>
      <c r="DN875" s="446"/>
      <c r="DO875" s="446"/>
      <c r="DP875" s="446"/>
      <c r="DQ875" s="446"/>
      <c r="DR875" s="446"/>
      <c r="DS875" s="446"/>
      <c r="DT875" s="446"/>
      <c r="DU875" s="446"/>
      <c r="DV875" s="446"/>
      <c r="DW875" s="446"/>
    </row>
    <row r="876" spans="96:127" ht="15" customHeight="1" x14ac:dyDescent="0.25">
      <c r="CR876" s="446"/>
      <c r="CS876" s="446"/>
      <c r="CT876" s="446"/>
      <c r="CU876" s="446"/>
      <c r="CV876" s="446"/>
      <c r="CW876" s="752"/>
      <c r="CX876" s="752"/>
      <c r="CY876" s="752"/>
      <c r="CZ876" s="752"/>
      <c r="DA876" s="752"/>
      <c r="DB876" s="446"/>
      <c r="DC876" s="446"/>
      <c r="DD876" s="446"/>
      <c r="DE876" s="446"/>
      <c r="DF876" s="446"/>
      <c r="DG876" s="446"/>
      <c r="DH876" s="446"/>
      <c r="DI876" s="446"/>
      <c r="DJ876" s="446"/>
      <c r="DK876" s="446"/>
      <c r="DL876" s="446"/>
      <c r="DM876" s="446"/>
      <c r="DN876" s="446"/>
      <c r="DO876" s="446"/>
      <c r="DP876" s="446"/>
      <c r="DQ876" s="446"/>
      <c r="DR876" s="446"/>
      <c r="DS876" s="446"/>
      <c r="DT876" s="446"/>
      <c r="DU876" s="446"/>
      <c r="DV876" s="446"/>
      <c r="DW876" s="446"/>
    </row>
    <row r="877" spans="96:127" ht="15" customHeight="1" x14ac:dyDescent="0.25">
      <c r="CR877" s="446"/>
      <c r="CS877" s="446"/>
      <c r="CT877" s="446"/>
      <c r="CU877" s="446"/>
      <c r="CV877" s="446"/>
      <c r="CW877" s="752"/>
      <c r="CX877" s="752"/>
      <c r="CY877" s="752"/>
      <c r="CZ877" s="752"/>
      <c r="DA877" s="752"/>
      <c r="DB877" s="446"/>
      <c r="DC877" s="446"/>
      <c r="DD877" s="446"/>
      <c r="DE877" s="446"/>
      <c r="DF877" s="446"/>
      <c r="DG877" s="446"/>
      <c r="DH877" s="446"/>
      <c r="DI877" s="446"/>
      <c r="DJ877" s="446"/>
      <c r="DK877" s="446"/>
      <c r="DL877" s="446"/>
      <c r="DM877" s="446"/>
      <c r="DN877" s="446"/>
      <c r="DO877" s="446"/>
      <c r="DP877" s="446"/>
      <c r="DQ877" s="446"/>
      <c r="DR877" s="446"/>
      <c r="DS877" s="446"/>
      <c r="DT877" s="446"/>
      <c r="DU877" s="446"/>
      <c r="DV877" s="446"/>
      <c r="DW877" s="446"/>
    </row>
    <row r="878" spans="96:127" ht="15" customHeight="1" x14ac:dyDescent="0.25">
      <c r="CR878" s="446"/>
      <c r="CS878" s="446"/>
      <c r="CT878" s="446"/>
      <c r="CU878" s="446"/>
      <c r="CV878" s="446"/>
      <c r="CW878" s="752"/>
      <c r="CX878" s="752"/>
      <c r="CY878" s="752"/>
      <c r="CZ878" s="752"/>
      <c r="DA878" s="752"/>
      <c r="DB878" s="446"/>
      <c r="DC878" s="446"/>
      <c r="DD878" s="446"/>
      <c r="DE878" s="446"/>
      <c r="DF878" s="446"/>
      <c r="DG878" s="446"/>
      <c r="DH878" s="446"/>
      <c r="DI878" s="446"/>
      <c r="DJ878" s="446"/>
      <c r="DK878" s="446"/>
      <c r="DL878" s="446"/>
      <c r="DM878" s="446"/>
      <c r="DN878" s="446"/>
      <c r="DO878" s="446"/>
      <c r="DP878" s="446"/>
      <c r="DQ878" s="446"/>
      <c r="DR878" s="446"/>
      <c r="DS878" s="446"/>
      <c r="DT878" s="446"/>
      <c r="DU878" s="446"/>
      <c r="DV878" s="446"/>
      <c r="DW878" s="446"/>
    </row>
    <row r="879" spans="96:127" ht="15" customHeight="1" x14ac:dyDescent="0.25">
      <c r="CR879" s="446"/>
      <c r="CS879" s="446"/>
      <c r="CT879" s="446"/>
      <c r="CU879" s="446"/>
      <c r="CV879" s="446"/>
      <c r="CW879" s="752"/>
      <c r="CX879" s="752"/>
      <c r="CY879" s="752"/>
      <c r="CZ879" s="752"/>
      <c r="DA879" s="752"/>
      <c r="DB879" s="446"/>
      <c r="DC879" s="446"/>
      <c r="DD879" s="446"/>
      <c r="DE879" s="446"/>
      <c r="DF879" s="446"/>
      <c r="DG879" s="446"/>
      <c r="DH879" s="446"/>
      <c r="DI879" s="446"/>
      <c r="DJ879" s="446"/>
      <c r="DK879" s="446"/>
      <c r="DL879" s="446"/>
      <c r="DM879" s="446"/>
      <c r="DN879" s="446"/>
      <c r="DO879" s="446"/>
      <c r="DP879" s="446"/>
      <c r="DQ879" s="446"/>
      <c r="DR879" s="446"/>
      <c r="DS879" s="446"/>
      <c r="DT879" s="446"/>
      <c r="DU879" s="446"/>
      <c r="DV879" s="446"/>
      <c r="DW879" s="446"/>
    </row>
    <row r="880" spans="96:127" ht="15" customHeight="1" x14ac:dyDescent="0.25">
      <c r="CR880" s="446"/>
      <c r="CS880" s="446"/>
      <c r="CT880" s="446"/>
      <c r="CU880" s="446"/>
      <c r="CV880" s="446"/>
      <c r="CW880" s="752"/>
      <c r="CX880" s="752"/>
      <c r="CY880" s="752"/>
      <c r="CZ880" s="752"/>
      <c r="DA880" s="752"/>
      <c r="DB880" s="446"/>
      <c r="DC880" s="446"/>
      <c r="DD880" s="446"/>
      <c r="DE880" s="446"/>
      <c r="DF880" s="446"/>
      <c r="DG880" s="446"/>
      <c r="DH880" s="446"/>
      <c r="DI880" s="446"/>
      <c r="DJ880" s="446"/>
      <c r="DK880" s="446"/>
      <c r="DL880" s="446"/>
      <c r="DM880" s="446"/>
      <c r="DN880" s="446"/>
      <c r="DO880" s="446"/>
      <c r="DP880" s="446"/>
      <c r="DQ880" s="446"/>
      <c r="DR880" s="446"/>
      <c r="DS880" s="446"/>
      <c r="DT880" s="446"/>
      <c r="DU880" s="446"/>
      <c r="DV880" s="446"/>
      <c r="DW880" s="446"/>
    </row>
    <row r="881" spans="96:127" ht="15" customHeight="1" x14ac:dyDescent="0.25">
      <c r="CR881" s="446"/>
      <c r="CS881" s="446"/>
      <c r="CT881" s="446"/>
      <c r="CU881" s="446"/>
      <c r="CV881" s="446"/>
      <c r="CW881" s="752"/>
      <c r="CX881" s="752"/>
      <c r="CY881" s="752"/>
      <c r="CZ881" s="752"/>
      <c r="DA881" s="752"/>
      <c r="DB881" s="446"/>
      <c r="DC881" s="446"/>
      <c r="DD881" s="446"/>
      <c r="DE881" s="446"/>
      <c r="DF881" s="446"/>
      <c r="DG881" s="446"/>
      <c r="DH881" s="446"/>
      <c r="DI881" s="446"/>
      <c r="DJ881" s="446"/>
      <c r="DK881" s="446"/>
      <c r="DL881" s="446"/>
      <c r="DM881" s="446"/>
      <c r="DN881" s="446"/>
      <c r="DO881" s="446"/>
      <c r="DP881" s="446"/>
      <c r="DQ881" s="446"/>
      <c r="DR881" s="446"/>
      <c r="DS881" s="446"/>
      <c r="DT881" s="446"/>
      <c r="DU881" s="446"/>
      <c r="DV881" s="446"/>
      <c r="DW881" s="446"/>
    </row>
    <row r="882" spans="96:127" ht="15" customHeight="1" x14ac:dyDescent="0.25">
      <c r="CR882" s="446"/>
      <c r="CS882" s="446"/>
      <c r="CT882" s="446"/>
      <c r="CU882" s="446"/>
      <c r="CV882" s="446"/>
      <c r="CW882" s="752"/>
      <c r="CX882" s="752"/>
      <c r="CY882" s="752"/>
      <c r="CZ882" s="752"/>
      <c r="DA882" s="752"/>
      <c r="DB882" s="446"/>
      <c r="DC882" s="446"/>
      <c r="DD882" s="446"/>
      <c r="DE882" s="446"/>
      <c r="DF882" s="446"/>
      <c r="DG882" s="446"/>
      <c r="DH882" s="446"/>
      <c r="DI882" s="446"/>
      <c r="DJ882" s="446"/>
      <c r="DK882" s="446"/>
      <c r="DL882" s="446"/>
      <c r="DM882" s="446"/>
      <c r="DN882" s="446"/>
      <c r="DO882" s="446"/>
      <c r="DP882" s="446"/>
      <c r="DQ882" s="446"/>
      <c r="DR882" s="446"/>
      <c r="DS882" s="446"/>
      <c r="DT882" s="446"/>
      <c r="DU882" s="446"/>
      <c r="DV882" s="446"/>
      <c r="DW882" s="446"/>
    </row>
    <row r="883" spans="96:127" ht="15" customHeight="1" x14ac:dyDescent="0.25">
      <c r="CR883" s="446"/>
      <c r="CS883" s="446"/>
      <c r="CT883" s="446"/>
      <c r="CU883" s="446"/>
      <c r="CV883" s="446"/>
      <c r="CW883" s="752"/>
      <c r="CX883" s="752"/>
      <c r="CY883" s="752"/>
      <c r="CZ883" s="752"/>
      <c r="DA883" s="752"/>
      <c r="DB883" s="446"/>
      <c r="DC883" s="446"/>
      <c r="DD883" s="446"/>
      <c r="DE883" s="446"/>
      <c r="DF883" s="446"/>
      <c r="DG883" s="446"/>
      <c r="DH883" s="446"/>
      <c r="DI883" s="446"/>
      <c r="DJ883" s="446"/>
      <c r="DK883" s="446"/>
      <c r="DL883" s="446"/>
      <c r="DM883" s="446"/>
      <c r="DN883" s="446"/>
      <c r="DO883" s="446"/>
      <c r="DP883" s="446"/>
      <c r="DQ883" s="446"/>
      <c r="DR883" s="446"/>
      <c r="DS883" s="446"/>
      <c r="DT883" s="446"/>
      <c r="DU883" s="446"/>
      <c r="DV883" s="446"/>
      <c r="DW883" s="446"/>
    </row>
    <row r="884" spans="96:127" ht="15" customHeight="1" x14ac:dyDescent="0.25">
      <c r="CR884" s="446"/>
      <c r="CS884" s="446"/>
      <c r="CT884" s="446"/>
      <c r="CU884" s="446"/>
      <c r="CV884" s="446"/>
      <c r="CW884" s="752"/>
      <c r="CX884" s="752"/>
      <c r="CY884" s="752"/>
      <c r="CZ884" s="752"/>
      <c r="DA884" s="752"/>
      <c r="DB884" s="446"/>
      <c r="DC884" s="446"/>
      <c r="DD884" s="446"/>
      <c r="DE884" s="446"/>
      <c r="DF884" s="446"/>
      <c r="DG884" s="446"/>
      <c r="DH884" s="446"/>
      <c r="DI884" s="446"/>
      <c r="DJ884" s="446"/>
      <c r="DK884" s="446"/>
      <c r="DL884" s="446"/>
      <c r="DM884" s="446"/>
      <c r="DN884" s="446"/>
      <c r="DO884" s="446"/>
      <c r="DP884" s="446"/>
      <c r="DQ884" s="446"/>
      <c r="DR884" s="446"/>
      <c r="DS884" s="446"/>
      <c r="DT884" s="446"/>
      <c r="DU884" s="446"/>
      <c r="DV884" s="446"/>
      <c r="DW884" s="446"/>
    </row>
    <row r="885" spans="96:127" ht="15" customHeight="1" x14ac:dyDescent="0.25">
      <c r="CR885" s="446"/>
      <c r="CS885" s="446"/>
      <c r="CT885" s="446"/>
      <c r="CU885" s="446"/>
      <c r="CV885" s="446"/>
      <c r="CW885" s="752"/>
      <c r="CX885" s="752"/>
      <c r="CY885" s="752"/>
      <c r="CZ885" s="752"/>
      <c r="DA885" s="752"/>
      <c r="DB885" s="446"/>
      <c r="DC885" s="446"/>
      <c r="DD885" s="446"/>
      <c r="DE885" s="446"/>
      <c r="DF885" s="446"/>
      <c r="DG885" s="446"/>
      <c r="DH885" s="446"/>
      <c r="DI885" s="446"/>
      <c r="DJ885" s="446"/>
      <c r="DK885" s="446"/>
      <c r="DL885" s="446"/>
      <c r="DM885" s="446"/>
      <c r="DN885" s="446"/>
      <c r="DO885" s="446"/>
      <c r="DP885" s="446"/>
      <c r="DQ885" s="446"/>
      <c r="DR885" s="446"/>
      <c r="DS885" s="446"/>
      <c r="DT885" s="446"/>
      <c r="DU885" s="446"/>
      <c r="DV885" s="446"/>
      <c r="DW885" s="446"/>
    </row>
    <row r="886" spans="96:127" ht="15" customHeight="1" x14ac:dyDescent="0.25">
      <c r="CR886" s="446"/>
      <c r="CS886" s="446"/>
      <c r="CT886" s="446"/>
      <c r="CU886" s="446"/>
      <c r="CV886" s="446"/>
      <c r="CW886" s="752"/>
      <c r="CX886" s="752"/>
      <c r="CY886" s="752"/>
      <c r="CZ886" s="752"/>
      <c r="DA886" s="752"/>
      <c r="DB886" s="446"/>
      <c r="DC886" s="446"/>
      <c r="DD886" s="446"/>
      <c r="DE886" s="446"/>
      <c r="DF886" s="446"/>
      <c r="DG886" s="446"/>
      <c r="DH886" s="446"/>
      <c r="DI886" s="446"/>
      <c r="DJ886" s="446"/>
      <c r="DK886" s="446"/>
      <c r="DL886" s="446"/>
      <c r="DM886" s="446"/>
      <c r="DN886" s="446"/>
      <c r="DO886" s="446"/>
      <c r="DP886" s="446"/>
      <c r="DQ886" s="446"/>
      <c r="DR886" s="446"/>
      <c r="DS886" s="446"/>
      <c r="DT886" s="446"/>
      <c r="DU886" s="446"/>
      <c r="DV886" s="446"/>
      <c r="DW886" s="446"/>
    </row>
    <row r="887" spans="96:127" ht="15" customHeight="1" x14ac:dyDescent="0.25">
      <c r="CR887" s="446"/>
      <c r="CS887" s="446"/>
      <c r="CT887" s="446"/>
      <c r="CU887" s="446"/>
      <c r="CV887" s="446"/>
      <c r="CW887" s="752"/>
      <c r="CX887" s="752"/>
      <c r="CY887" s="752"/>
      <c r="CZ887" s="752"/>
      <c r="DA887" s="752"/>
      <c r="DB887" s="446"/>
      <c r="DC887" s="446"/>
      <c r="DD887" s="446"/>
      <c r="DE887" s="446"/>
      <c r="DF887" s="446"/>
      <c r="DG887" s="446"/>
      <c r="DH887" s="446"/>
      <c r="DI887" s="446"/>
      <c r="DJ887" s="446"/>
      <c r="DK887" s="446"/>
      <c r="DL887" s="446"/>
      <c r="DM887" s="446"/>
      <c r="DN887" s="446"/>
      <c r="DO887" s="446"/>
      <c r="DP887" s="446"/>
      <c r="DQ887" s="446"/>
      <c r="DR887" s="446"/>
      <c r="DS887" s="446"/>
      <c r="DT887" s="446"/>
      <c r="DU887" s="446"/>
      <c r="DV887" s="446"/>
      <c r="DW887" s="446"/>
    </row>
    <row r="888" spans="96:127" ht="15" customHeight="1" x14ac:dyDescent="0.25">
      <c r="CR888" s="446"/>
      <c r="CS888" s="446"/>
      <c r="CT888" s="446"/>
      <c r="CU888" s="446"/>
      <c r="CV888" s="446"/>
      <c r="CW888" s="752"/>
      <c r="CX888" s="752"/>
      <c r="CY888" s="752"/>
      <c r="CZ888" s="752"/>
      <c r="DA888" s="752"/>
      <c r="DB888" s="446"/>
      <c r="DC888" s="446"/>
      <c r="DD888" s="446"/>
      <c r="DE888" s="446"/>
      <c r="DF888" s="446"/>
      <c r="DG888" s="446"/>
      <c r="DH888" s="446"/>
      <c r="DI888" s="446"/>
      <c r="DJ888" s="446"/>
      <c r="DK888" s="446"/>
      <c r="DL888" s="446"/>
      <c r="DM888" s="446"/>
      <c r="DN888" s="446"/>
      <c r="DO888" s="446"/>
      <c r="DP888" s="446"/>
      <c r="DQ888" s="446"/>
      <c r="DR888" s="446"/>
      <c r="DS888" s="446"/>
      <c r="DT888" s="446"/>
      <c r="DU888" s="446"/>
      <c r="DV888" s="446"/>
      <c r="DW888" s="446"/>
    </row>
    <row r="889" spans="96:127" ht="15" customHeight="1" x14ac:dyDescent="0.25">
      <c r="CR889" s="446"/>
      <c r="CS889" s="446"/>
      <c r="CT889" s="446"/>
      <c r="CU889" s="446"/>
      <c r="CV889" s="446"/>
      <c r="CW889" s="752"/>
      <c r="CX889" s="752"/>
      <c r="CY889" s="752"/>
      <c r="CZ889" s="752"/>
      <c r="DA889" s="752"/>
      <c r="DB889" s="446"/>
      <c r="DC889" s="446"/>
      <c r="DD889" s="446"/>
      <c r="DE889" s="446"/>
      <c r="DF889" s="446"/>
      <c r="DG889" s="446"/>
      <c r="DH889" s="446"/>
      <c r="DI889" s="446"/>
      <c r="DJ889" s="446"/>
      <c r="DK889" s="446"/>
      <c r="DL889" s="446"/>
      <c r="DM889" s="446"/>
      <c r="DN889" s="446"/>
      <c r="DO889" s="446"/>
      <c r="DP889" s="446"/>
      <c r="DQ889" s="446"/>
      <c r="DR889" s="446"/>
      <c r="DS889" s="446"/>
      <c r="DT889" s="446"/>
      <c r="DU889" s="446"/>
      <c r="DV889" s="446"/>
      <c r="DW889" s="446"/>
    </row>
    <row r="890" spans="96:127" ht="15" customHeight="1" x14ac:dyDescent="0.25">
      <c r="CR890" s="446"/>
      <c r="CS890" s="446"/>
      <c r="CT890" s="446"/>
      <c r="CU890" s="446"/>
      <c r="CV890" s="446"/>
      <c r="CW890" s="752"/>
      <c r="CX890" s="752"/>
      <c r="CY890" s="752"/>
      <c r="CZ890" s="752"/>
      <c r="DA890" s="752"/>
      <c r="DB890" s="446"/>
      <c r="DC890" s="446"/>
      <c r="DD890" s="446"/>
      <c r="DE890" s="446"/>
      <c r="DF890" s="446"/>
      <c r="DG890" s="446"/>
      <c r="DH890" s="446"/>
      <c r="DI890" s="446"/>
      <c r="DJ890" s="446"/>
      <c r="DK890" s="446"/>
      <c r="DL890" s="446"/>
      <c r="DM890" s="446"/>
      <c r="DN890" s="446"/>
      <c r="DO890" s="446"/>
      <c r="DP890" s="446"/>
      <c r="DQ890" s="446"/>
      <c r="DR890" s="446"/>
      <c r="DS890" s="446"/>
      <c r="DT890" s="446"/>
      <c r="DU890" s="446"/>
      <c r="DV890" s="446"/>
      <c r="DW890" s="446"/>
    </row>
    <row r="891" spans="96:127" ht="15" customHeight="1" x14ac:dyDescent="0.25">
      <c r="CR891" s="446"/>
      <c r="CS891" s="446"/>
      <c r="CT891" s="446"/>
      <c r="CU891" s="446"/>
      <c r="CV891" s="446"/>
      <c r="CW891" s="752"/>
      <c r="CX891" s="752"/>
      <c r="CY891" s="752"/>
      <c r="CZ891" s="752"/>
      <c r="DA891" s="752"/>
      <c r="DB891" s="446"/>
      <c r="DC891" s="446"/>
      <c r="DD891" s="446"/>
      <c r="DE891" s="446"/>
      <c r="DF891" s="446"/>
      <c r="DG891" s="446"/>
      <c r="DH891" s="446"/>
      <c r="DI891" s="446"/>
      <c r="DJ891" s="446"/>
      <c r="DK891" s="446"/>
      <c r="DL891" s="446"/>
      <c r="DM891" s="446"/>
      <c r="DN891" s="446"/>
      <c r="DO891" s="446"/>
      <c r="DP891" s="446"/>
      <c r="DQ891" s="446"/>
      <c r="DR891" s="446"/>
      <c r="DS891" s="446"/>
      <c r="DT891" s="446"/>
      <c r="DU891" s="446"/>
      <c r="DV891" s="446"/>
      <c r="DW891" s="446"/>
    </row>
    <row r="892" spans="96:127" ht="15" customHeight="1" x14ac:dyDescent="0.25">
      <c r="CR892" s="446"/>
      <c r="CS892" s="446"/>
      <c r="CT892" s="446"/>
      <c r="CU892" s="446"/>
      <c r="CV892" s="446"/>
      <c r="CW892" s="752"/>
      <c r="CX892" s="752"/>
      <c r="CY892" s="752"/>
      <c r="CZ892" s="752"/>
      <c r="DA892" s="752"/>
      <c r="DB892" s="446"/>
      <c r="DC892" s="446"/>
      <c r="DD892" s="446"/>
      <c r="DE892" s="446"/>
      <c r="DF892" s="446"/>
      <c r="DG892" s="446"/>
      <c r="DH892" s="446"/>
      <c r="DI892" s="446"/>
      <c r="DJ892" s="446"/>
      <c r="DK892" s="446"/>
      <c r="DL892" s="446"/>
      <c r="DM892" s="446"/>
      <c r="DN892" s="446"/>
      <c r="DO892" s="446"/>
      <c r="DP892" s="446"/>
      <c r="DQ892" s="446"/>
      <c r="DR892" s="446"/>
      <c r="DS892" s="446"/>
      <c r="DT892" s="446"/>
      <c r="DU892" s="446"/>
      <c r="DV892" s="446"/>
      <c r="DW892" s="446"/>
    </row>
    <row r="893" spans="96:127" ht="15" customHeight="1" x14ac:dyDescent="0.25">
      <c r="CR893" s="446"/>
      <c r="CS893" s="446"/>
      <c r="CT893" s="446"/>
      <c r="CU893" s="446"/>
      <c r="CV893" s="446"/>
      <c r="CW893" s="752"/>
      <c r="CX893" s="752"/>
      <c r="CY893" s="752"/>
      <c r="CZ893" s="752"/>
      <c r="DA893" s="752"/>
      <c r="DB893" s="446"/>
      <c r="DC893" s="446"/>
      <c r="DD893" s="446"/>
      <c r="DE893" s="446"/>
      <c r="DF893" s="446"/>
      <c r="DG893" s="446"/>
      <c r="DH893" s="446"/>
      <c r="DI893" s="446"/>
      <c r="DJ893" s="446"/>
      <c r="DK893" s="446"/>
      <c r="DL893" s="446"/>
      <c r="DM893" s="446"/>
      <c r="DN893" s="446"/>
      <c r="DO893" s="446"/>
      <c r="DP893" s="446"/>
      <c r="DQ893" s="446"/>
      <c r="DR893" s="446"/>
      <c r="DS893" s="446"/>
      <c r="DT893" s="446"/>
      <c r="DU893" s="446"/>
      <c r="DV893" s="446"/>
      <c r="DW893" s="446"/>
    </row>
    <row r="894" spans="96:127" ht="15" customHeight="1" x14ac:dyDescent="0.25">
      <c r="CR894" s="446"/>
      <c r="CS894" s="446"/>
      <c r="CT894" s="446"/>
      <c r="CU894" s="446"/>
      <c r="CV894" s="446"/>
      <c r="CW894" s="752"/>
      <c r="CX894" s="752"/>
      <c r="CY894" s="752"/>
      <c r="CZ894" s="752"/>
      <c r="DA894" s="752"/>
      <c r="DB894" s="446"/>
      <c r="DC894" s="446"/>
      <c r="DD894" s="446"/>
      <c r="DE894" s="446"/>
      <c r="DF894" s="446"/>
      <c r="DG894" s="446"/>
      <c r="DH894" s="446"/>
      <c r="DI894" s="446"/>
      <c r="DJ894" s="446"/>
      <c r="DK894" s="446"/>
      <c r="DL894" s="446"/>
      <c r="DM894" s="446"/>
      <c r="DN894" s="446"/>
      <c r="DO894" s="446"/>
      <c r="DP894" s="446"/>
      <c r="DQ894" s="446"/>
      <c r="DR894" s="446"/>
      <c r="DS894" s="446"/>
      <c r="DT894" s="446"/>
      <c r="DU894" s="446"/>
      <c r="DV894" s="446"/>
      <c r="DW894" s="446"/>
    </row>
    <row r="895" spans="96:127" ht="15" customHeight="1" x14ac:dyDescent="0.25">
      <c r="CR895" s="446"/>
      <c r="CS895" s="446"/>
      <c r="CT895" s="446"/>
      <c r="CU895" s="446"/>
      <c r="CV895" s="446"/>
      <c r="CW895" s="752"/>
      <c r="CX895" s="752"/>
      <c r="CY895" s="752"/>
      <c r="CZ895" s="752"/>
      <c r="DA895" s="752"/>
      <c r="DB895" s="446"/>
      <c r="DC895" s="446"/>
      <c r="DD895" s="446"/>
      <c r="DE895" s="446"/>
      <c r="DF895" s="446"/>
      <c r="DG895" s="446"/>
      <c r="DH895" s="446"/>
      <c r="DI895" s="446"/>
      <c r="DJ895" s="446"/>
      <c r="DK895" s="446"/>
      <c r="DL895" s="446"/>
      <c r="DM895" s="446"/>
      <c r="DN895" s="446"/>
      <c r="DO895" s="446"/>
      <c r="DP895" s="446"/>
      <c r="DQ895" s="446"/>
      <c r="DR895" s="446"/>
      <c r="DS895" s="446"/>
      <c r="DT895" s="446"/>
      <c r="DU895" s="446"/>
      <c r="DV895" s="446"/>
      <c r="DW895" s="446"/>
    </row>
    <row r="896" spans="96:127" ht="15" customHeight="1" x14ac:dyDescent="0.25">
      <c r="CR896" s="446"/>
      <c r="CS896" s="446"/>
      <c r="CT896" s="446"/>
      <c r="CU896" s="446"/>
      <c r="CV896" s="446"/>
      <c r="CW896" s="752"/>
      <c r="CX896" s="752"/>
      <c r="CY896" s="752"/>
      <c r="CZ896" s="752"/>
      <c r="DA896" s="752"/>
      <c r="DB896" s="446"/>
      <c r="DC896" s="446"/>
      <c r="DD896" s="446"/>
      <c r="DE896" s="446"/>
      <c r="DF896" s="446"/>
      <c r="DG896" s="446"/>
      <c r="DH896" s="446"/>
      <c r="DI896" s="446"/>
      <c r="DJ896" s="446"/>
      <c r="DK896" s="446"/>
      <c r="DL896" s="446"/>
      <c r="DM896" s="446"/>
      <c r="DN896" s="446"/>
      <c r="DO896" s="446"/>
      <c r="DP896" s="446"/>
      <c r="DQ896" s="446"/>
      <c r="DR896" s="446"/>
      <c r="DS896" s="446"/>
      <c r="DT896" s="446"/>
      <c r="DU896" s="446"/>
      <c r="DV896" s="446"/>
      <c r="DW896" s="446"/>
    </row>
    <row r="897" spans="96:127" ht="15" customHeight="1" x14ac:dyDescent="0.25">
      <c r="CR897" s="446"/>
      <c r="CS897" s="446"/>
      <c r="CT897" s="446"/>
      <c r="CU897" s="446"/>
      <c r="CV897" s="446"/>
      <c r="CW897" s="752"/>
      <c r="CX897" s="752"/>
      <c r="CY897" s="752"/>
      <c r="CZ897" s="752"/>
      <c r="DA897" s="752"/>
      <c r="DB897" s="446"/>
      <c r="DC897" s="446"/>
      <c r="DD897" s="446"/>
      <c r="DE897" s="446"/>
      <c r="DF897" s="446"/>
      <c r="DG897" s="446"/>
      <c r="DH897" s="446"/>
      <c r="DI897" s="446"/>
      <c r="DJ897" s="446"/>
      <c r="DK897" s="446"/>
      <c r="DL897" s="446"/>
      <c r="DM897" s="446"/>
      <c r="DN897" s="446"/>
      <c r="DO897" s="446"/>
      <c r="DP897" s="446"/>
      <c r="DQ897" s="446"/>
      <c r="DR897" s="446"/>
      <c r="DS897" s="446"/>
      <c r="DT897" s="446"/>
      <c r="DU897" s="446"/>
      <c r="DV897" s="446"/>
      <c r="DW897" s="446"/>
    </row>
    <row r="898" spans="96:127" ht="15" customHeight="1" x14ac:dyDescent="0.25">
      <c r="CR898" s="446"/>
      <c r="CS898" s="446"/>
      <c r="CT898" s="446"/>
      <c r="CU898" s="446"/>
      <c r="CV898" s="446"/>
      <c r="CW898" s="752"/>
      <c r="CX898" s="752"/>
      <c r="CY898" s="752"/>
      <c r="CZ898" s="752"/>
      <c r="DA898" s="752"/>
      <c r="DB898" s="446"/>
      <c r="DC898" s="446"/>
      <c r="DD898" s="446"/>
      <c r="DE898" s="446"/>
      <c r="DF898" s="446"/>
      <c r="DG898" s="446"/>
      <c r="DH898" s="446"/>
      <c r="DI898" s="446"/>
      <c r="DJ898" s="446"/>
      <c r="DK898" s="446"/>
      <c r="DL898" s="446"/>
      <c r="DM898" s="446"/>
      <c r="DN898" s="446"/>
      <c r="DO898" s="446"/>
      <c r="DP898" s="446"/>
      <c r="DQ898" s="446"/>
      <c r="DR898" s="446"/>
      <c r="DS898" s="446"/>
      <c r="DT898" s="446"/>
      <c r="DU898" s="446"/>
      <c r="DV898" s="446"/>
      <c r="DW898" s="446"/>
    </row>
    <row r="899" spans="96:127" ht="15" customHeight="1" x14ac:dyDescent="0.25">
      <c r="CR899" s="446"/>
      <c r="CS899" s="446"/>
      <c r="CT899" s="446"/>
      <c r="CU899" s="446"/>
      <c r="CV899" s="446"/>
      <c r="CW899" s="752"/>
      <c r="CX899" s="752"/>
      <c r="CY899" s="752"/>
      <c r="CZ899" s="752"/>
      <c r="DA899" s="752"/>
      <c r="DB899" s="446"/>
      <c r="DC899" s="446"/>
      <c r="DD899" s="446"/>
      <c r="DE899" s="446"/>
      <c r="DF899" s="446"/>
      <c r="DG899" s="446"/>
      <c r="DH899" s="446"/>
      <c r="DI899" s="446"/>
      <c r="DJ899" s="446"/>
      <c r="DK899" s="446"/>
      <c r="DL899" s="446"/>
      <c r="DM899" s="446"/>
      <c r="DN899" s="446"/>
      <c r="DO899" s="446"/>
      <c r="DP899" s="446"/>
      <c r="DQ899" s="446"/>
      <c r="DR899" s="446"/>
      <c r="DS899" s="446"/>
      <c r="DT899" s="446"/>
      <c r="DU899" s="446"/>
      <c r="DV899" s="446"/>
      <c r="DW899" s="446"/>
    </row>
    <row r="900" spans="96:127" ht="15" customHeight="1" x14ac:dyDescent="0.25">
      <c r="CR900" s="446"/>
      <c r="CS900" s="446"/>
      <c r="CT900" s="446"/>
      <c r="CU900" s="446"/>
      <c r="CV900" s="446"/>
      <c r="CW900" s="752"/>
      <c r="CX900" s="752"/>
      <c r="CY900" s="752"/>
      <c r="CZ900" s="752"/>
      <c r="DA900" s="752"/>
      <c r="DB900" s="446"/>
      <c r="DC900" s="446"/>
      <c r="DD900" s="446"/>
      <c r="DE900" s="446"/>
      <c r="DF900" s="446"/>
      <c r="DG900" s="446"/>
      <c r="DH900" s="446"/>
      <c r="DI900" s="446"/>
      <c r="DJ900" s="446"/>
      <c r="DK900" s="446"/>
      <c r="DL900" s="446"/>
      <c r="DM900" s="446"/>
      <c r="DN900" s="446"/>
      <c r="DO900" s="446"/>
      <c r="DP900" s="446"/>
      <c r="DQ900" s="446"/>
      <c r="DR900" s="446"/>
      <c r="DS900" s="446"/>
      <c r="DT900" s="446"/>
      <c r="DU900" s="446"/>
      <c r="DV900" s="446"/>
      <c r="DW900" s="446"/>
    </row>
    <row r="901" spans="96:127" ht="15" customHeight="1" x14ac:dyDescent="0.25">
      <c r="CR901" s="446"/>
      <c r="CS901" s="446"/>
      <c r="CT901" s="446"/>
      <c r="CU901" s="446"/>
      <c r="CV901" s="446"/>
      <c r="CW901" s="752"/>
      <c r="CX901" s="752"/>
      <c r="CY901" s="752"/>
      <c r="CZ901" s="752"/>
      <c r="DA901" s="752"/>
      <c r="DB901" s="446"/>
      <c r="DC901" s="446"/>
      <c r="DD901" s="446"/>
      <c r="DE901" s="446"/>
      <c r="DF901" s="446"/>
      <c r="DG901" s="446"/>
      <c r="DH901" s="446"/>
      <c r="DI901" s="446"/>
      <c r="DJ901" s="446"/>
      <c r="DK901" s="446"/>
      <c r="DL901" s="446"/>
      <c r="DM901" s="446"/>
      <c r="DN901" s="446"/>
      <c r="DO901" s="446"/>
      <c r="DP901" s="446"/>
      <c r="DQ901" s="446"/>
      <c r="DR901" s="446"/>
      <c r="DS901" s="446"/>
      <c r="DT901" s="446"/>
      <c r="DU901" s="446"/>
      <c r="DV901" s="446"/>
      <c r="DW901" s="446"/>
    </row>
    <row r="902" spans="96:127" ht="15" customHeight="1" x14ac:dyDescent="0.25">
      <c r="CR902" s="446"/>
      <c r="CS902" s="446"/>
      <c r="CT902" s="446"/>
      <c r="CU902" s="446"/>
      <c r="CV902" s="446"/>
      <c r="CW902" s="752"/>
      <c r="CX902" s="752"/>
      <c r="CY902" s="752"/>
      <c r="CZ902" s="752"/>
      <c r="DA902" s="752"/>
      <c r="DB902" s="446"/>
      <c r="DC902" s="446"/>
      <c r="DD902" s="446"/>
      <c r="DE902" s="446"/>
      <c r="DF902" s="446"/>
      <c r="DG902" s="446"/>
      <c r="DH902" s="446"/>
      <c r="DI902" s="446"/>
      <c r="DJ902" s="446"/>
      <c r="DK902" s="446"/>
      <c r="DL902" s="446"/>
      <c r="DM902" s="446"/>
      <c r="DN902" s="446"/>
      <c r="DO902" s="446"/>
      <c r="DP902" s="446"/>
      <c r="DQ902" s="446"/>
      <c r="DR902" s="446"/>
      <c r="DS902" s="446"/>
      <c r="DT902" s="446"/>
      <c r="DU902" s="446"/>
      <c r="DV902" s="446"/>
      <c r="DW902" s="446"/>
    </row>
    <row r="903" spans="96:127" ht="15" customHeight="1" x14ac:dyDescent="0.25">
      <c r="CR903" s="446"/>
      <c r="CS903" s="446"/>
      <c r="CT903" s="446"/>
      <c r="CU903" s="446"/>
      <c r="CV903" s="446"/>
      <c r="CW903" s="752"/>
      <c r="CX903" s="752"/>
      <c r="CY903" s="752"/>
      <c r="CZ903" s="752"/>
      <c r="DA903" s="752"/>
      <c r="DB903" s="446"/>
      <c r="DC903" s="446"/>
      <c r="DD903" s="446"/>
      <c r="DE903" s="446"/>
      <c r="DF903" s="446"/>
      <c r="DG903" s="446"/>
      <c r="DH903" s="446"/>
      <c r="DI903" s="446"/>
      <c r="DJ903" s="446"/>
      <c r="DK903" s="446"/>
      <c r="DL903" s="446"/>
      <c r="DM903" s="446"/>
      <c r="DN903" s="446"/>
      <c r="DO903" s="446"/>
      <c r="DP903" s="446"/>
      <c r="DQ903" s="446"/>
      <c r="DR903" s="446"/>
      <c r="DS903" s="446"/>
      <c r="DT903" s="446"/>
      <c r="DU903" s="446"/>
      <c r="DV903" s="446"/>
      <c r="DW903" s="446"/>
    </row>
    <row r="904" spans="96:127" ht="15" customHeight="1" x14ac:dyDescent="0.25">
      <c r="CR904" s="446"/>
      <c r="CS904" s="446"/>
      <c r="CT904" s="446"/>
      <c r="CU904" s="446"/>
      <c r="CV904" s="446"/>
      <c r="CW904" s="752"/>
      <c r="CX904" s="752"/>
      <c r="CY904" s="752"/>
      <c r="CZ904" s="752"/>
      <c r="DA904" s="752"/>
      <c r="DB904" s="446"/>
      <c r="DC904" s="446"/>
      <c r="DD904" s="446"/>
      <c r="DE904" s="446"/>
      <c r="DF904" s="446"/>
      <c r="DG904" s="446"/>
      <c r="DH904" s="446"/>
      <c r="DI904" s="446"/>
      <c r="DJ904" s="446"/>
      <c r="DK904" s="446"/>
      <c r="DL904" s="446"/>
      <c r="DM904" s="446"/>
      <c r="DN904" s="446"/>
      <c r="DO904" s="446"/>
      <c r="DP904" s="446"/>
      <c r="DQ904" s="446"/>
      <c r="DR904" s="446"/>
      <c r="DS904" s="446"/>
      <c r="DT904" s="446"/>
      <c r="DU904" s="446"/>
      <c r="DV904" s="446"/>
      <c r="DW904" s="446"/>
    </row>
    <row r="905" spans="96:127" ht="15" customHeight="1" x14ac:dyDescent="0.25">
      <c r="CR905" s="446"/>
      <c r="CS905" s="446"/>
      <c r="CT905" s="446"/>
      <c r="CU905" s="446"/>
      <c r="CV905" s="446"/>
      <c r="CW905" s="752"/>
      <c r="CX905" s="752"/>
      <c r="CY905" s="752"/>
      <c r="CZ905" s="752"/>
      <c r="DA905" s="752"/>
      <c r="DB905" s="446"/>
      <c r="DC905" s="446"/>
      <c r="DD905" s="446"/>
      <c r="DE905" s="446"/>
      <c r="DF905" s="446"/>
      <c r="DG905" s="446"/>
      <c r="DH905" s="446"/>
      <c r="DI905" s="446"/>
      <c r="DJ905" s="446"/>
      <c r="DK905" s="446"/>
      <c r="DL905" s="446"/>
      <c r="DM905" s="446"/>
      <c r="DN905" s="446"/>
      <c r="DO905" s="446"/>
      <c r="DP905" s="446"/>
      <c r="DQ905" s="446"/>
      <c r="DR905" s="446"/>
      <c r="DS905" s="446"/>
      <c r="DT905" s="446"/>
      <c r="DU905" s="446"/>
      <c r="DV905" s="446"/>
      <c r="DW905" s="446"/>
    </row>
    <row r="906" spans="96:127" ht="15" customHeight="1" x14ac:dyDescent="0.25">
      <c r="CR906" s="446"/>
      <c r="CS906" s="446"/>
      <c r="CT906" s="446"/>
      <c r="CU906" s="446"/>
      <c r="CV906" s="446"/>
      <c r="CW906" s="752"/>
      <c r="CX906" s="752"/>
      <c r="CY906" s="752"/>
      <c r="CZ906" s="752"/>
      <c r="DA906" s="752"/>
      <c r="DB906" s="446"/>
      <c r="DC906" s="446"/>
      <c r="DD906" s="446"/>
      <c r="DE906" s="446"/>
      <c r="DF906" s="446"/>
      <c r="DG906" s="446"/>
      <c r="DH906" s="446"/>
      <c r="DI906" s="446"/>
      <c r="DJ906" s="446"/>
      <c r="DK906" s="446"/>
      <c r="DL906" s="446"/>
      <c r="DM906" s="446"/>
      <c r="DN906" s="446"/>
      <c r="DO906" s="446"/>
      <c r="DP906" s="446"/>
      <c r="DQ906" s="446"/>
      <c r="DR906" s="446"/>
      <c r="DS906" s="446"/>
      <c r="DT906" s="446"/>
      <c r="DU906" s="446"/>
      <c r="DV906" s="446"/>
      <c r="DW906" s="446"/>
    </row>
    <row r="907" spans="96:127" ht="15" customHeight="1" x14ac:dyDescent="0.25">
      <c r="CR907" s="446"/>
      <c r="CS907" s="446"/>
      <c r="CT907" s="446"/>
      <c r="CU907" s="446"/>
      <c r="CV907" s="446"/>
      <c r="CW907" s="752"/>
      <c r="CX907" s="752"/>
      <c r="CY907" s="752"/>
      <c r="CZ907" s="752"/>
      <c r="DA907" s="752"/>
      <c r="DB907" s="446"/>
      <c r="DC907" s="446"/>
      <c r="DD907" s="446"/>
      <c r="DE907" s="446"/>
      <c r="DF907" s="446"/>
      <c r="DG907" s="446"/>
      <c r="DH907" s="446"/>
      <c r="DI907" s="446"/>
      <c r="DJ907" s="446"/>
      <c r="DK907" s="446"/>
      <c r="DL907" s="446"/>
      <c r="DM907" s="446"/>
      <c r="DN907" s="446"/>
      <c r="DO907" s="446"/>
      <c r="DP907" s="446"/>
      <c r="DQ907" s="446"/>
      <c r="DR907" s="446"/>
      <c r="DS907" s="446"/>
      <c r="DT907" s="446"/>
      <c r="DU907" s="446"/>
      <c r="DV907" s="446"/>
      <c r="DW907" s="446"/>
    </row>
    <row r="908" spans="96:127" ht="15" customHeight="1" x14ac:dyDescent="0.25">
      <c r="CR908" s="446"/>
      <c r="CS908" s="446"/>
      <c r="CT908" s="446"/>
      <c r="CU908" s="446"/>
      <c r="CV908" s="446"/>
      <c r="CW908" s="752"/>
      <c r="CX908" s="752"/>
      <c r="CY908" s="752"/>
      <c r="CZ908" s="752"/>
      <c r="DA908" s="752"/>
      <c r="DB908" s="446"/>
      <c r="DC908" s="446"/>
      <c r="DD908" s="446"/>
      <c r="DE908" s="446"/>
      <c r="DF908" s="446"/>
      <c r="DG908" s="446"/>
      <c r="DH908" s="446"/>
      <c r="DI908" s="446"/>
      <c r="DJ908" s="446"/>
      <c r="DK908" s="446"/>
      <c r="DL908" s="446"/>
      <c r="DM908" s="446"/>
      <c r="DN908" s="446"/>
      <c r="DO908" s="446"/>
      <c r="DP908" s="446"/>
      <c r="DQ908" s="446"/>
      <c r="DR908" s="446"/>
      <c r="DS908" s="446"/>
      <c r="DT908" s="446"/>
      <c r="DU908" s="446"/>
      <c r="DV908" s="446"/>
      <c r="DW908" s="446"/>
    </row>
    <row r="909" spans="96:127" ht="15" customHeight="1" x14ac:dyDescent="0.25">
      <c r="CR909" s="446"/>
      <c r="CS909" s="446"/>
      <c r="CT909" s="446"/>
      <c r="CU909" s="446"/>
      <c r="CV909" s="446"/>
      <c r="CW909" s="752"/>
      <c r="CX909" s="752"/>
      <c r="CY909" s="752"/>
      <c r="CZ909" s="752"/>
      <c r="DA909" s="752"/>
      <c r="DB909" s="446"/>
      <c r="DC909" s="446"/>
      <c r="DD909" s="446"/>
      <c r="DE909" s="446"/>
      <c r="DF909" s="446"/>
      <c r="DG909" s="446"/>
      <c r="DH909" s="446"/>
      <c r="DI909" s="446"/>
      <c r="DJ909" s="446"/>
      <c r="DK909" s="446"/>
      <c r="DL909" s="446"/>
      <c r="DM909" s="446"/>
      <c r="DN909" s="446"/>
      <c r="DO909" s="446"/>
      <c r="DP909" s="446"/>
      <c r="DQ909" s="446"/>
      <c r="DR909" s="446"/>
      <c r="DS909" s="446"/>
      <c r="DT909" s="446"/>
      <c r="DU909" s="446"/>
      <c r="DV909" s="446"/>
      <c r="DW909" s="446"/>
    </row>
    <row r="910" spans="96:127" ht="15" customHeight="1" x14ac:dyDescent="0.25">
      <c r="CR910" s="446"/>
      <c r="CS910" s="446"/>
      <c r="CT910" s="446"/>
      <c r="CU910" s="446"/>
      <c r="CV910" s="446"/>
      <c r="CW910" s="752"/>
      <c r="CX910" s="752"/>
      <c r="CY910" s="752"/>
      <c r="CZ910" s="752"/>
      <c r="DA910" s="752"/>
      <c r="DB910" s="446"/>
      <c r="DC910" s="446"/>
      <c r="DD910" s="446"/>
      <c r="DE910" s="446"/>
      <c r="DF910" s="446"/>
      <c r="DG910" s="446"/>
      <c r="DH910" s="446"/>
      <c r="DI910" s="446"/>
      <c r="DJ910" s="446"/>
      <c r="DK910" s="446"/>
      <c r="DL910" s="446"/>
      <c r="DM910" s="446"/>
      <c r="DN910" s="446"/>
      <c r="DO910" s="446"/>
      <c r="DP910" s="446"/>
      <c r="DQ910" s="446"/>
      <c r="DR910" s="446"/>
      <c r="DS910" s="446"/>
      <c r="DT910" s="446"/>
      <c r="DU910" s="446"/>
      <c r="DV910" s="446"/>
      <c r="DW910" s="446"/>
    </row>
    <row r="911" spans="96:127" ht="15" customHeight="1" x14ac:dyDescent="0.25">
      <c r="CR911" s="446"/>
      <c r="CS911" s="446"/>
      <c r="CT911" s="446"/>
      <c r="CU911" s="446"/>
      <c r="CV911" s="446"/>
      <c r="CW911" s="752"/>
      <c r="CX911" s="752"/>
      <c r="CY911" s="752"/>
      <c r="CZ911" s="752"/>
      <c r="DA911" s="752"/>
      <c r="DB911" s="446"/>
      <c r="DC911" s="446"/>
      <c r="DD911" s="446"/>
      <c r="DE911" s="446"/>
      <c r="DF911" s="446"/>
      <c r="DG911" s="446"/>
      <c r="DH911" s="446"/>
      <c r="DI911" s="446"/>
      <c r="DJ911" s="446"/>
      <c r="DK911" s="446"/>
      <c r="DL911" s="446"/>
      <c r="DM911" s="446"/>
      <c r="DN911" s="446"/>
      <c r="DO911" s="446"/>
      <c r="DP911" s="446"/>
      <c r="DQ911" s="446"/>
      <c r="DR911" s="446"/>
      <c r="DS911" s="446"/>
      <c r="DT911" s="446"/>
      <c r="DU911" s="446"/>
      <c r="DV911" s="446"/>
      <c r="DW911" s="446"/>
    </row>
    <row r="912" spans="96:127" ht="15" customHeight="1" x14ac:dyDescent="0.25">
      <c r="CR912" s="446"/>
      <c r="CS912" s="446"/>
      <c r="CT912" s="446"/>
      <c r="CU912" s="446"/>
      <c r="CV912" s="446"/>
      <c r="CW912" s="752"/>
      <c r="CX912" s="752"/>
      <c r="CY912" s="752"/>
      <c r="CZ912" s="752"/>
      <c r="DA912" s="752"/>
      <c r="DB912" s="446"/>
      <c r="DC912" s="446"/>
      <c r="DD912" s="446"/>
      <c r="DE912" s="446"/>
      <c r="DF912" s="446"/>
      <c r="DG912" s="446"/>
      <c r="DH912" s="446"/>
      <c r="DI912" s="446"/>
      <c r="DJ912" s="446"/>
      <c r="DK912" s="446"/>
      <c r="DL912" s="446"/>
      <c r="DM912" s="446"/>
      <c r="DN912" s="446"/>
      <c r="DO912" s="446"/>
      <c r="DP912" s="446"/>
      <c r="DQ912" s="446"/>
      <c r="DR912" s="446"/>
      <c r="DS912" s="446"/>
      <c r="DT912" s="446"/>
      <c r="DU912" s="446"/>
      <c r="DV912" s="446"/>
      <c r="DW912" s="446"/>
    </row>
    <row r="913" spans="96:127" ht="15" customHeight="1" x14ac:dyDescent="0.25">
      <c r="CR913" s="446"/>
      <c r="CS913" s="446"/>
      <c r="CT913" s="446"/>
      <c r="CU913" s="446"/>
      <c r="CV913" s="446"/>
      <c r="CW913" s="752"/>
      <c r="CX913" s="752"/>
      <c r="CY913" s="752"/>
      <c r="CZ913" s="752"/>
      <c r="DA913" s="752"/>
      <c r="DB913" s="446"/>
      <c r="DC913" s="446"/>
      <c r="DD913" s="446"/>
      <c r="DE913" s="446"/>
      <c r="DF913" s="446"/>
      <c r="DG913" s="446"/>
      <c r="DH913" s="446"/>
      <c r="DI913" s="446"/>
      <c r="DJ913" s="446"/>
      <c r="DK913" s="446"/>
      <c r="DL913" s="446"/>
      <c r="DM913" s="446"/>
      <c r="DN913" s="446"/>
      <c r="DO913" s="446"/>
      <c r="DP913" s="446"/>
      <c r="DQ913" s="446"/>
      <c r="DR913" s="446"/>
      <c r="DS913" s="446"/>
      <c r="DT913" s="446"/>
      <c r="DU913" s="446"/>
      <c r="DV913" s="446"/>
      <c r="DW913" s="446"/>
    </row>
    <row r="914" spans="96:127" ht="15" customHeight="1" x14ac:dyDescent="0.25">
      <c r="CR914" s="446"/>
      <c r="CS914" s="446"/>
      <c r="CT914" s="446"/>
      <c r="CU914" s="446"/>
      <c r="CV914" s="446"/>
      <c r="CW914" s="752"/>
      <c r="CX914" s="752"/>
      <c r="CY914" s="752"/>
      <c r="CZ914" s="752"/>
      <c r="DA914" s="752"/>
      <c r="DB914" s="446"/>
      <c r="DC914" s="446"/>
      <c r="DD914" s="446"/>
      <c r="DE914" s="446"/>
      <c r="DF914" s="446"/>
      <c r="DG914" s="446"/>
      <c r="DH914" s="446"/>
      <c r="DI914" s="446"/>
      <c r="DJ914" s="446"/>
      <c r="DK914" s="446"/>
      <c r="DL914" s="446"/>
      <c r="DM914" s="446"/>
      <c r="DN914" s="446"/>
      <c r="DO914" s="446"/>
      <c r="DP914" s="446"/>
      <c r="DQ914" s="446"/>
      <c r="DR914" s="446"/>
      <c r="DS914" s="446"/>
      <c r="DT914" s="446"/>
      <c r="DU914" s="446"/>
      <c r="DV914" s="446"/>
      <c r="DW914" s="446"/>
    </row>
    <row r="915" spans="96:127" ht="15" customHeight="1" x14ac:dyDescent="0.25">
      <c r="CR915" s="446"/>
      <c r="CS915" s="446"/>
      <c r="CT915" s="446"/>
      <c r="CU915" s="446"/>
      <c r="CV915" s="446"/>
      <c r="CW915" s="752"/>
      <c r="CX915" s="752"/>
      <c r="CY915" s="752"/>
      <c r="CZ915" s="752"/>
      <c r="DA915" s="752"/>
      <c r="DB915" s="446"/>
      <c r="DC915" s="446"/>
      <c r="DD915" s="446"/>
      <c r="DE915" s="446"/>
      <c r="DF915" s="446"/>
      <c r="DG915" s="446"/>
      <c r="DH915" s="446"/>
      <c r="DI915" s="446"/>
      <c r="DJ915" s="446"/>
      <c r="DK915" s="446"/>
      <c r="DL915" s="446"/>
      <c r="DM915" s="446"/>
      <c r="DN915" s="446"/>
      <c r="DO915" s="446"/>
      <c r="DP915" s="446"/>
      <c r="DQ915" s="446"/>
      <c r="DR915" s="446"/>
      <c r="DS915" s="446"/>
      <c r="DT915" s="446"/>
      <c r="DU915" s="446"/>
      <c r="DV915" s="446"/>
      <c r="DW915" s="446"/>
    </row>
    <row r="916" spans="96:127" ht="15" customHeight="1" x14ac:dyDescent="0.25">
      <c r="CR916" s="446"/>
      <c r="CS916" s="446"/>
      <c r="CT916" s="446"/>
      <c r="CU916" s="446"/>
      <c r="CV916" s="446"/>
      <c r="CW916" s="752"/>
      <c r="CX916" s="752"/>
      <c r="CY916" s="752"/>
      <c r="CZ916" s="752"/>
      <c r="DA916" s="752"/>
      <c r="DB916" s="446"/>
      <c r="DC916" s="446"/>
      <c r="DD916" s="446"/>
      <c r="DE916" s="446"/>
      <c r="DF916" s="446"/>
      <c r="DG916" s="446"/>
      <c r="DH916" s="446"/>
      <c r="DI916" s="446"/>
      <c r="DJ916" s="446"/>
      <c r="DK916" s="446"/>
      <c r="DL916" s="446"/>
      <c r="DM916" s="446"/>
      <c r="DN916" s="446"/>
      <c r="DO916" s="446"/>
      <c r="DP916" s="446"/>
      <c r="DQ916" s="446"/>
      <c r="DR916" s="446"/>
      <c r="DS916" s="446"/>
      <c r="DT916" s="446"/>
      <c r="DU916" s="446"/>
      <c r="DV916" s="446"/>
      <c r="DW916" s="446"/>
    </row>
    <row r="917" spans="96:127" ht="15" customHeight="1" x14ac:dyDescent="0.25">
      <c r="CR917" s="446"/>
      <c r="CS917" s="446"/>
      <c r="CT917" s="446"/>
      <c r="CU917" s="446"/>
      <c r="CV917" s="446"/>
      <c r="CW917" s="752"/>
      <c r="CX917" s="752"/>
      <c r="CY917" s="752"/>
      <c r="CZ917" s="752"/>
      <c r="DA917" s="752"/>
      <c r="DB917" s="446"/>
      <c r="DC917" s="446"/>
      <c r="DD917" s="446"/>
      <c r="DE917" s="446"/>
      <c r="DF917" s="446"/>
      <c r="DG917" s="446"/>
      <c r="DH917" s="446"/>
      <c r="DI917" s="446"/>
      <c r="DJ917" s="446"/>
      <c r="DK917" s="446"/>
      <c r="DL917" s="446"/>
      <c r="DM917" s="446"/>
      <c r="DN917" s="446"/>
      <c r="DO917" s="446"/>
      <c r="DP917" s="446"/>
      <c r="DQ917" s="446"/>
      <c r="DR917" s="446"/>
      <c r="DS917" s="446"/>
      <c r="DT917" s="446"/>
      <c r="DU917" s="446"/>
      <c r="DV917" s="446"/>
      <c r="DW917" s="446"/>
    </row>
    <row r="918" spans="96:127" ht="15" customHeight="1" x14ac:dyDescent="0.25">
      <c r="CR918" s="446"/>
      <c r="CS918" s="446"/>
      <c r="CT918" s="446"/>
      <c r="CU918" s="446"/>
      <c r="CV918" s="446"/>
      <c r="CW918" s="752"/>
      <c r="CX918" s="752"/>
      <c r="CY918" s="752"/>
      <c r="CZ918" s="752"/>
      <c r="DA918" s="752"/>
      <c r="DB918" s="446"/>
      <c r="DC918" s="446"/>
      <c r="DD918" s="446"/>
      <c r="DE918" s="446"/>
      <c r="DF918" s="446"/>
      <c r="DG918" s="446"/>
      <c r="DH918" s="446"/>
      <c r="DI918" s="446"/>
      <c r="DJ918" s="446"/>
      <c r="DK918" s="446"/>
      <c r="DL918" s="446"/>
      <c r="DM918" s="446"/>
      <c r="DN918" s="446"/>
      <c r="DO918" s="446"/>
      <c r="DP918" s="446"/>
      <c r="DQ918" s="446"/>
      <c r="DR918" s="446"/>
      <c r="DS918" s="446"/>
      <c r="DT918" s="446"/>
      <c r="DU918" s="446"/>
      <c r="DV918" s="446"/>
      <c r="DW918" s="446"/>
    </row>
    <row r="919" spans="96:127" ht="15" customHeight="1" x14ac:dyDescent="0.25">
      <c r="CR919" s="446"/>
      <c r="CS919" s="446"/>
      <c r="CT919" s="446"/>
      <c r="CU919" s="446"/>
      <c r="CV919" s="446"/>
      <c r="CW919" s="752"/>
      <c r="CX919" s="752"/>
      <c r="CY919" s="752"/>
      <c r="CZ919" s="752"/>
      <c r="DA919" s="752"/>
      <c r="DB919" s="446"/>
      <c r="DC919" s="446"/>
      <c r="DD919" s="446"/>
      <c r="DE919" s="446"/>
      <c r="DF919" s="446"/>
      <c r="DG919" s="446"/>
      <c r="DH919" s="446"/>
      <c r="DI919" s="446"/>
      <c r="DJ919" s="446"/>
      <c r="DK919" s="446"/>
      <c r="DL919" s="446"/>
      <c r="DM919" s="446"/>
      <c r="DN919" s="446"/>
      <c r="DO919" s="446"/>
      <c r="DP919" s="446"/>
      <c r="DQ919" s="446"/>
      <c r="DR919" s="446"/>
      <c r="DS919" s="446"/>
      <c r="DT919" s="446"/>
      <c r="DU919" s="446"/>
      <c r="DV919" s="446"/>
      <c r="DW919" s="446"/>
    </row>
    <row r="920" spans="96:127" ht="15" customHeight="1" x14ac:dyDescent="0.25">
      <c r="CR920" s="446"/>
      <c r="CS920" s="446"/>
      <c r="CT920" s="446"/>
      <c r="CU920" s="446"/>
      <c r="CV920" s="446"/>
      <c r="CW920" s="752"/>
      <c r="CX920" s="752"/>
      <c r="CY920" s="752"/>
      <c r="CZ920" s="752"/>
      <c r="DA920" s="752"/>
      <c r="DB920" s="446"/>
      <c r="DC920" s="446"/>
      <c r="DD920" s="446"/>
      <c r="DE920" s="446"/>
      <c r="DF920" s="446"/>
      <c r="DG920" s="446"/>
      <c r="DH920" s="446"/>
      <c r="DI920" s="446"/>
      <c r="DJ920" s="446"/>
      <c r="DK920" s="446"/>
      <c r="DL920" s="446"/>
      <c r="DM920" s="446"/>
      <c r="DN920" s="446"/>
      <c r="DO920" s="446"/>
      <c r="DP920" s="446"/>
      <c r="DQ920" s="446"/>
      <c r="DR920" s="446"/>
      <c r="DS920" s="446"/>
      <c r="DT920" s="446"/>
      <c r="DU920" s="446"/>
      <c r="DV920" s="446"/>
      <c r="DW920" s="446"/>
    </row>
    <row r="921" spans="96:127" ht="15" customHeight="1" x14ac:dyDescent="0.25">
      <c r="CR921" s="446"/>
      <c r="CS921" s="446"/>
      <c r="CT921" s="446"/>
      <c r="CU921" s="446"/>
      <c r="CV921" s="446"/>
      <c r="CW921" s="752"/>
      <c r="CX921" s="752"/>
      <c r="CY921" s="752"/>
      <c r="CZ921" s="752"/>
      <c r="DA921" s="752"/>
      <c r="DB921" s="446"/>
      <c r="DC921" s="446"/>
      <c r="DD921" s="446"/>
      <c r="DE921" s="446"/>
      <c r="DF921" s="446"/>
      <c r="DG921" s="446"/>
      <c r="DH921" s="446"/>
      <c r="DI921" s="446"/>
      <c r="DJ921" s="446"/>
      <c r="DK921" s="446"/>
      <c r="DL921" s="446"/>
      <c r="DM921" s="446"/>
      <c r="DN921" s="446"/>
      <c r="DO921" s="446"/>
      <c r="DP921" s="446"/>
      <c r="DQ921" s="446"/>
      <c r="DR921" s="446"/>
      <c r="DS921" s="446"/>
      <c r="DT921" s="446"/>
      <c r="DU921" s="446"/>
      <c r="DV921" s="446"/>
      <c r="DW921" s="446"/>
    </row>
    <row r="922" spans="96:127" ht="15" customHeight="1" x14ac:dyDescent="0.25">
      <c r="CR922" s="446"/>
      <c r="CS922" s="446"/>
      <c r="CT922" s="446"/>
      <c r="CU922" s="446"/>
      <c r="CV922" s="446"/>
      <c r="CW922" s="752"/>
      <c r="CX922" s="752"/>
      <c r="CY922" s="752"/>
      <c r="CZ922" s="752"/>
      <c r="DA922" s="752"/>
      <c r="DB922" s="446"/>
      <c r="DC922" s="446"/>
      <c r="DD922" s="446"/>
      <c r="DE922" s="446"/>
      <c r="DF922" s="446"/>
      <c r="DG922" s="446"/>
      <c r="DH922" s="446"/>
      <c r="DI922" s="446"/>
      <c r="DJ922" s="446"/>
      <c r="DK922" s="446"/>
      <c r="DL922" s="446"/>
      <c r="DM922" s="446"/>
      <c r="DN922" s="446"/>
      <c r="DO922" s="446"/>
      <c r="DP922" s="446"/>
      <c r="DQ922" s="446"/>
      <c r="DR922" s="446"/>
      <c r="DS922" s="446"/>
      <c r="DT922" s="446"/>
      <c r="DU922" s="446"/>
      <c r="DV922" s="446"/>
      <c r="DW922" s="446"/>
    </row>
    <row r="923" spans="96:127" ht="15" customHeight="1" x14ac:dyDescent="0.25">
      <c r="CR923" s="446"/>
      <c r="CS923" s="446"/>
      <c r="CT923" s="446"/>
      <c r="CU923" s="446"/>
      <c r="CV923" s="446"/>
      <c r="CW923" s="752"/>
      <c r="CX923" s="752"/>
      <c r="CY923" s="752"/>
      <c r="CZ923" s="752"/>
      <c r="DA923" s="752"/>
      <c r="DB923" s="446"/>
      <c r="DC923" s="446"/>
      <c r="DD923" s="446"/>
      <c r="DE923" s="446"/>
      <c r="DF923" s="446"/>
      <c r="DG923" s="446"/>
      <c r="DH923" s="446"/>
      <c r="DI923" s="446"/>
      <c r="DJ923" s="446"/>
      <c r="DK923" s="446"/>
      <c r="DL923" s="446"/>
      <c r="DM923" s="446"/>
      <c r="DN923" s="446"/>
      <c r="DO923" s="446"/>
      <c r="DP923" s="446"/>
      <c r="DQ923" s="446"/>
      <c r="DR923" s="446"/>
      <c r="DS923" s="446"/>
      <c r="DT923" s="446"/>
      <c r="DU923" s="446"/>
      <c r="DV923" s="446"/>
      <c r="DW923" s="446"/>
    </row>
    <row r="924" spans="96:127" ht="15" customHeight="1" x14ac:dyDescent="0.25">
      <c r="CR924" s="446"/>
      <c r="CS924" s="446"/>
      <c r="CT924" s="446"/>
      <c r="CU924" s="446"/>
      <c r="CV924" s="446"/>
      <c r="CW924" s="752"/>
      <c r="CX924" s="752"/>
      <c r="CY924" s="752"/>
      <c r="CZ924" s="752"/>
      <c r="DA924" s="752"/>
      <c r="DB924" s="446"/>
      <c r="DC924" s="446"/>
      <c r="DD924" s="446"/>
      <c r="DE924" s="446"/>
      <c r="DF924" s="446"/>
      <c r="DG924" s="446"/>
      <c r="DH924" s="446"/>
      <c r="DI924" s="446"/>
      <c r="DJ924" s="446"/>
      <c r="DK924" s="446"/>
      <c r="DL924" s="446"/>
      <c r="DM924" s="446"/>
      <c r="DN924" s="446"/>
      <c r="DO924" s="446"/>
      <c r="DP924" s="446"/>
      <c r="DQ924" s="446"/>
      <c r="DR924" s="446"/>
      <c r="DS924" s="446"/>
      <c r="DT924" s="446"/>
      <c r="DU924" s="446"/>
      <c r="DV924" s="446"/>
      <c r="DW924" s="446"/>
    </row>
    <row r="925" spans="96:127" ht="15" customHeight="1" x14ac:dyDescent="0.25">
      <c r="CR925" s="446"/>
      <c r="CS925" s="446"/>
      <c r="CT925" s="446"/>
      <c r="CU925" s="446"/>
      <c r="CV925" s="446"/>
      <c r="CW925" s="752"/>
      <c r="CX925" s="752"/>
      <c r="CY925" s="752"/>
      <c r="CZ925" s="752"/>
      <c r="DA925" s="752"/>
      <c r="DB925" s="446"/>
      <c r="DC925" s="446"/>
      <c r="DD925" s="446"/>
      <c r="DE925" s="446"/>
      <c r="DF925" s="446"/>
      <c r="DG925" s="446"/>
      <c r="DH925" s="446"/>
      <c r="DI925" s="446"/>
      <c r="DJ925" s="446"/>
      <c r="DK925" s="446"/>
      <c r="DL925" s="446"/>
      <c r="DM925" s="446"/>
      <c r="DN925" s="446"/>
      <c r="DO925" s="446"/>
      <c r="DP925" s="446"/>
      <c r="DQ925" s="446"/>
      <c r="DR925" s="446"/>
      <c r="DS925" s="446"/>
      <c r="DT925" s="446"/>
      <c r="DU925" s="446"/>
      <c r="DV925" s="446"/>
      <c r="DW925" s="446"/>
    </row>
    <row r="926" spans="96:127" ht="15" customHeight="1" x14ac:dyDescent="0.25">
      <c r="CR926" s="446"/>
      <c r="CS926" s="446"/>
      <c r="CT926" s="446"/>
      <c r="CU926" s="446"/>
      <c r="CV926" s="446"/>
      <c r="CW926" s="752"/>
      <c r="CX926" s="752"/>
      <c r="CY926" s="752"/>
      <c r="CZ926" s="752"/>
      <c r="DA926" s="752"/>
      <c r="DB926" s="446"/>
      <c r="DC926" s="446"/>
      <c r="DD926" s="446"/>
      <c r="DE926" s="446"/>
      <c r="DF926" s="446"/>
      <c r="DG926" s="446"/>
      <c r="DH926" s="446"/>
      <c r="DI926" s="446"/>
      <c r="DJ926" s="446"/>
      <c r="DK926" s="446"/>
      <c r="DL926" s="446"/>
      <c r="DM926" s="446"/>
      <c r="DN926" s="446"/>
      <c r="DO926" s="446"/>
      <c r="DP926" s="446"/>
      <c r="DQ926" s="446"/>
      <c r="DR926" s="446"/>
      <c r="DS926" s="446"/>
      <c r="DT926" s="446"/>
      <c r="DU926" s="446"/>
      <c r="DV926" s="446"/>
      <c r="DW926" s="446"/>
    </row>
    <row r="927" spans="96:127" ht="15" customHeight="1" x14ac:dyDescent="0.25">
      <c r="CR927" s="446"/>
      <c r="CS927" s="446"/>
      <c r="CT927" s="446"/>
      <c r="CU927" s="446"/>
      <c r="CV927" s="446"/>
      <c r="CW927" s="752"/>
      <c r="CX927" s="752"/>
      <c r="CY927" s="752"/>
      <c r="CZ927" s="752"/>
      <c r="DA927" s="752"/>
      <c r="DB927" s="446"/>
      <c r="DC927" s="446"/>
      <c r="DD927" s="446"/>
      <c r="DE927" s="446"/>
      <c r="DF927" s="446"/>
      <c r="DG927" s="446"/>
      <c r="DH927" s="446"/>
      <c r="DI927" s="446"/>
      <c r="DJ927" s="446"/>
      <c r="DK927" s="446"/>
      <c r="DL927" s="446"/>
      <c r="DM927" s="446"/>
      <c r="DN927" s="446"/>
      <c r="DO927" s="446"/>
      <c r="DP927" s="446"/>
      <c r="DQ927" s="446"/>
      <c r="DR927" s="446"/>
      <c r="DS927" s="446"/>
      <c r="DT927" s="446"/>
      <c r="DU927" s="446"/>
      <c r="DV927" s="446"/>
      <c r="DW927" s="446"/>
    </row>
    <row r="928" spans="96:127" ht="15" customHeight="1" x14ac:dyDescent="0.25">
      <c r="CR928" s="446"/>
      <c r="CS928" s="446"/>
      <c r="CT928" s="446"/>
      <c r="CU928" s="446"/>
      <c r="CV928" s="446"/>
      <c r="CW928" s="752"/>
      <c r="CX928" s="752"/>
      <c r="CY928" s="752"/>
      <c r="CZ928" s="752"/>
      <c r="DA928" s="752"/>
      <c r="DB928" s="446"/>
      <c r="DC928" s="446"/>
      <c r="DD928" s="446"/>
      <c r="DE928" s="446"/>
      <c r="DF928" s="446"/>
      <c r="DG928" s="446"/>
      <c r="DH928" s="446"/>
      <c r="DI928" s="446"/>
      <c r="DJ928" s="446"/>
      <c r="DK928" s="446"/>
      <c r="DL928" s="446"/>
      <c r="DM928" s="446"/>
      <c r="DN928" s="446"/>
      <c r="DO928" s="446"/>
      <c r="DP928" s="446"/>
      <c r="DQ928" s="446"/>
      <c r="DR928" s="446"/>
      <c r="DS928" s="446"/>
      <c r="DT928" s="446"/>
      <c r="DU928" s="446"/>
      <c r="DV928" s="446"/>
      <c r="DW928" s="446"/>
    </row>
    <row r="929" spans="96:127" ht="15" customHeight="1" x14ac:dyDescent="0.25">
      <c r="CR929" s="446"/>
      <c r="CS929" s="446"/>
      <c r="CT929" s="446"/>
      <c r="CU929" s="446"/>
      <c r="CV929" s="446"/>
      <c r="CW929" s="752"/>
      <c r="CX929" s="752"/>
      <c r="CY929" s="752"/>
      <c r="CZ929" s="752"/>
      <c r="DA929" s="752"/>
      <c r="DB929" s="446"/>
      <c r="DC929" s="446"/>
      <c r="DD929" s="446"/>
      <c r="DE929" s="446"/>
      <c r="DF929" s="446"/>
      <c r="DG929" s="446"/>
      <c r="DH929" s="446"/>
      <c r="DI929" s="446"/>
      <c r="DJ929" s="446"/>
      <c r="DK929" s="446"/>
      <c r="DL929" s="446"/>
      <c r="DM929" s="446"/>
      <c r="DN929" s="446"/>
      <c r="DO929" s="446"/>
      <c r="DP929" s="446"/>
      <c r="DQ929" s="446"/>
      <c r="DR929" s="446"/>
      <c r="DS929" s="446"/>
      <c r="DT929" s="446"/>
      <c r="DU929" s="446"/>
      <c r="DV929" s="446"/>
      <c r="DW929" s="446"/>
    </row>
    <row r="930" spans="96:127" ht="15" customHeight="1" x14ac:dyDescent="0.25">
      <c r="CR930" s="446"/>
      <c r="CS930" s="446"/>
      <c r="CT930" s="446"/>
      <c r="CU930" s="446"/>
      <c r="CV930" s="446"/>
      <c r="CW930" s="752"/>
      <c r="CX930" s="752"/>
      <c r="CY930" s="752"/>
      <c r="CZ930" s="752"/>
      <c r="DA930" s="752"/>
      <c r="DB930" s="446"/>
      <c r="DC930" s="446"/>
      <c r="DD930" s="446"/>
      <c r="DE930" s="446"/>
      <c r="DF930" s="446"/>
      <c r="DG930" s="446"/>
      <c r="DH930" s="446"/>
      <c r="DI930" s="446"/>
      <c r="DJ930" s="446"/>
      <c r="DK930" s="446"/>
      <c r="DL930" s="446"/>
      <c r="DM930" s="446"/>
      <c r="DN930" s="446"/>
      <c r="DO930" s="446"/>
      <c r="DP930" s="446"/>
      <c r="DQ930" s="446"/>
      <c r="DR930" s="446"/>
      <c r="DS930" s="446"/>
      <c r="DT930" s="446"/>
      <c r="DU930" s="446"/>
      <c r="DV930" s="446"/>
      <c r="DW930" s="446"/>
    </row>
    <row r="931" spans="96:127" ht="15" customHeight="1" x14ac:dyDescent="0.25">
      <c r="CR931" s="446"/>
      <c r="CS931" s="446"/>
      <c r="CT931" s="446"/>
      <c r="CU931" s="446"/>
      <c r="CV931" s="446"/>
      <c r="CW931" s="752"/>
      <c r="CX931" s="752"/>
      <c r="CY931" s="752"/>
      <c r="CZ931" s="752"/>
      <c r="DA931" s="752"/>
      <c r="DB931" s="446"/>
      <c r="DC931" s="446"/>
      <c r="DD931" s="446"/>
      <c r="DE931" s="446"/>
      <c r="DF931" s="446"/>
      <c r="DG931" s="446"/>
      <c r="DH931" s="446"/>
      <c r="DI931" s="446"/>
      <c r="DJ931" s="446"/>
      <c r="DK931" s="446"/>
      <c r="DL931" s="446"/>
      <c r="DM931" s="446"/>
      <c r="DN931" s="446"/>
      <c r="DO931" s="446"/>
      <c r="DP931" s="446"/>
      <c r="DQ931" s="446"/>
      <c r="DR931" s="446"/>
      <c r="DS931" s="446"/>
      <c r="DT931" s="446"/>
      <c r="DU931" s="446"/>
      <c r="DV931" s="446"/>
      <c r="DW931" s="446"/>
    </row>
    <row r="932" spans="96:127" ht="15" customHeight="1" x14ac:dyDescent="0.25">
      <c r="CR932" s="446"/>
      <c r="CS932" s="446"/>
      <c r="CT932" s="446"/>
      <c r="CU932" s="446"/>
      <c r="CV932" s="446"/>
      <c r="CW932" s="752"/>
      <c r="CX932" s="752"/>
      <c r="CY932" s="752"/>
      <c r="CZ932" s="752"/>
      <c r="DA932" s="752"/>
      <c r="DB932" s="446"/>
      <c r="DC932" s="446"/>
      <c r="DD932" s="446"/>
      <c r="DE932" s="446"/>
      <c r="DF932" s="446"/>
      <c r="DG932" s="446"/>
      <c r="DH932" s="446"/>
      <c r="DI932" s="446"/>
      <c r="DJ932" s="446"/>
      <c r="DK932" s="446"/>
      <c r="DL932" s="446"/>
      <c r="DM932" s="446"/>
      <c r="DN932" s="446"/>
      <c r="DO932" s="446"/>
      <c r="DP932" s="446"/>
      <c r="DQ932" s="446"/>
      <c r="DR932" s="446"/>
      <c r="DS932" s="446"/>
      <c r="DT932" s="446"/>
      <c r="DU932" s="446"/>
      <c r="DV932" s="446"/>
      <c r="DW932" s="446"/>
    </row>
    <row r="933" spans="96:127" ht="15" customHeight="1" x14ac:dyDescent="0.25">
      <c r="CR933" s="446"/>
      <c r="CS933" s="446"/>
      <c r="CT933" s="446"/>
      <c r="CU933" s="446"/>
      <c r="CV933" s="446"/>
      <c r="CW933" s="752"/>
      <c r="CX933" s="752"/>
      <c r="CY933" s="752"/>
      <c r="CZ933" s="752"/>
      <c r="DA933" s="752"/>
      <c r="DB933" s="446"/>
      <c r="DC933" s="446"/>
      <c r="DD933" s="446"/>
      <c r="DE933" s="446"/>
      <c r="DF933" s="446"/>
      <c r="DG933" s="446"/>
      <c r="DH933" s="446"/>
      <c r="DI933" s="446"/>
      <c r="DJ933" s="446"/>
      <c r="DK933" s="446"/>
      <c r="DL933" s="446"/>
      <c r="DM933" s="446"/>
      <c r="DN933" s="446"/>
      <c r="DO933" s="446"/>
      <c r="DP933" s="446"/>
      <c r="DQ933" s="446"/>
      <c r="DR933" s="446"/>
      <c r="DS933" s="446"/>
      <c r="DT933" s="446"/>
      <c r="DU933" s="446"/>
      <c r="DV933" s="446"/>
      <c r="DW933" s="446"/>
    </row>
    <row r="934" spans="96:127" ht="15" customHeight="1" x14ac:dyDescent="0.25">
      <c r="CR934" s="446"/>
      <c r="CS934" s="446"/>
      <c r="CT934" s="446"/>
      <c r="CU934" s="446"/>
      <c r="CV934" s="446"/>
      <c r="CW934" s="752"/>
      <c r="CX934" s="752"/>
      <c r="CY934" s="752"/>
      <c r="CZ934" s="752"/>
      <c r="DA934" s="752"/>
      <c r="DB934" s="446"/>
      <c r="DC934" s="446"/>
      <c r="DD934" s="446"/>
      <c r="DE934" s="446"/>
      <c r="DF934" s="446"/>
      <c r="DG934" s="446"/>
      <c r="DH934" s="446"/>
      <c r="DI934" s="446"/>
      <c r="DJ934" s="446"/>
      <c r="DK934" s="446"/>
      <c r="DL934" s="446"/>
      <c r="DM934" s="446"/>
      <c r="DN934" s="446"/>
      <c r="DO934" s="446"/>
      <c r="DP934" s="446"/>
      <c r="DQ934" s="446"/>
      <c r="DR934" s="446"/>
      <c r="DS934" s="446"/>
      <c r="DT934" s="446"/>
      <c r="DU934" s="446"/>
      <c r="DV934" s="446"/>
      <c r="DW934" s="446"/>
    </row>
    <row r="935" spans="96:127" ht="15" customHeight="1" x14ac:dyDescent="0.25">
      <c r="CR935" s="446"/>
      <c r="CS935" s="446"/>
      <c r="CT935" s="446"/>
      <c r="CU935" s="446"/>
      <c r="CV935" s="446"/>
      <c r="CW935" s="752"/>
      <c r="CX935" s="752"/>
      <c r="CY935" s="752"/>
      <c r="CZ935" s="752"/>
      <c r="DA935" s="752"/>
      <c r="DB935" s="446"/>
      <c r="DC935" s="446"/>
      <c r="DD935" s="446"/>
      <c r="DE935" s="446"/>
      <c r="DF935" s="446"/>
      <c r="DG935" s="446"/>
      <c r="DH935" s="446"/>
      <c r="DI935" s="446"/>
      <c r="DJ935" s="446"/>
      <c r="DK935" s="446"/>
      <c r="DL935" s="446"/>
      <c r="DM935" s="446"/>
      <c r="DN935" s="446"/>
      <c r="DO935" s="446"/>
      <c r="DP935" s="446"/>
      <c r="DQ935" s="446"/>
      <c r="DR935" s="446"/>
      <c r="DS935" s="446"/>
      <c r="DT935" s="446"/>
      <c r="DU935" s="446"/>
      <c r="DV935" s="446"/>
      <c r="DW935" s="446"/>
    </row>
    <row r="936" spans="96:127" ht="15" customHeight="1" x14ac:dyDescent="0.25">
      <c r="CR936" s="446"/>
      <c r="CS936" s="446"/>
      <c r="CT936" s="446"/>
      <c r="CU936" s="446"/>
      <c r="CV936" s="446"/>
      <c r="CW936" s="752"/>
      <c r="CX936" s="752"/>
      <c r="CY936" s="752"/>
      <c r="CZ936" s="752"/>
      <c r="DA936" s="752"/>
      <c r="DB936" s="446"/>
      <c r="DC936" s="446"/>
      <c r="DD936" s="446"/>
      <c r="DE936" s="446"/>
      <c r="DF936" s="446"/>
      <c r="DG936" s="446"/>
      <c r="DH936" s="446"/>
      <c r="DI936" s="446"/>
      <c r="DJ936" s="446"/>
      <c r="DK936" s="446"/>
      <c r="DL936" s="446"/>
      <c r="DM936" s="446"/>
      <c r="DN936" s="446"/>
      <c r="DO936" s="446"/>
      <c r="DP936" s="446"/>
      <c r="DQ936" s="446"/>
      <c r="DR936" s="446"/>
      <c r="DS936" s="446"/>
      <c r="DT936" s="446"/>
      <c r="DU936" s="446"/>
      <c r="DV936" s="446"/>
      <c r="DW936" s="446"/>
    </row>
    <row r="937" spans="96:127" ht="15" customHeight="1" x14ac:dyDescent="0.25">
      <c r="CR937" s="446"/>
      <c r="CS937" s="446"/>
      <c r="CT937" s="446"/>
      <c r="CU937" s="446"/>
      <c r="CV937" s="446"/>
      <c r="CW937" s="752"/>
      <c r="CX937" s="752"/>
      <c r="CY937" s="752"/>
      <c r="CZ937" s="752"/>
      <c r="DA937" s="752"/>
      <c r="DB937" s="446"/>
      <c r="DC937" s="446"/>
      <c r="DD937" s="446"/>
      <c r="DE937" s="446"/>
      <c r="DF937" s="446"/>
      <c r="DG937" s="446"/>
      <c r="DH937" s="446"/>
      <c r="DI937" s="446"/>
      <c r="DJ937" s="446"/>
      <c r="DK937" s="446"/>
      <c r="DL937" s="446"/>
      <c r="DM937" s="446"/>
      <c r="DN937" s="446"/>
      <c r="DO937" s="446"/>
      <c r="DP937" s="446"/>
      <c r="DQ937" s="446"/>
      <c r="DR937" s="446"/>
      <c r="DS937" s="446"/>
      <c r="DT937" s="446"/>
      <c r="DU937" s="446"/>
      <c r="DV937" s="446"/>
      <c r="DW937" s="446"/>
    </row>
    <row r="938" spans="96:127" ht="15" customHeight="1" x14ac:dyDescent="0.25">
      <c r="CR938" s="446"/>
      <c r="CS938" s="446"/>
      <c r="CT938" s="446"/>
      <c r="CU938" s="446"/>
      <c r="CV938" s="446"/>
      <c r="CW938" s="752"/>
      <c r="CX938" s="752"/>
      <c r="CY938" s="752"/>
      <c r="CZ938" s="752"/>
      <c r="DA938" s="752"/>
      <c r="DB938" s="446"/>
      <c r="DC938" s="446"/>
      <c r="DD938" s="446"/>
      <c r="DE938" s="446"/>
      <c r="DF938" s="446"/>
      <c r="DG938" s="446"/>
      <c r="DH938" s="446"/>
      <c r="DI938" s="446"/>
      <c r="DJ938" s="446"/>
      <c r="DK938" s="446"/>
      <c r="DL938" s="446"/>
      <c r="DM938" s="446"/>
      <c r="DN938" s="446"/>
      <c r="DO938" s="446"/>
      <c r="DP938" s="446"/>
      <c r="DQ938" s="446"/>
      <c r="DR938" s="446"/>
      <c r="DS938" s="446"/>
      <c r="DT938" s="446"/>
      <c r="DU938" s="446"/>
      <c r="DV938" s="446"/>
      <c r="DW938" s="446"/>
    </row>
    <row r="939" spans="96:127" ht="15" customHeight="1" x14ac:dyDescent="0.25">
      <c r="CR939" s="446"/>
      <c r="CS939" s="446"/>
      <c r="CT939" s="446"/>
      <c r="CU939" s="446"/>
      <c r="CV939" s="446"/>
      <c r="CW939" s="752"/>
      <c r="CX939" s="752"/>
      <c r="CY939" s="752"/>
      <c r="CZ939" s="752"/>
      <c r="DA939" s="752"/>
      <c r="DB939" s="446"/>
      <c r="DC939" s="446"/>
      <c r="DD939" s="446"/>
      <c r="DE939" s="446"/>
      <c r="DF939" s="446"/>
      <c r="DG939" s="446"/>
      <c r="DH939" s="446"/>
      <c r="DI939" s="446"/>
      <c r="DJ939" s="446"/>
      <c r="DK939" s="446"/>
      <c r="DL939" s="446"/>
      <c r="DM939" s="446"/>
      <c r="DN939" s="446"/>
      <c r="DO939" s="446"/>
      <c r="DP939" s="446"/>
      <c r="DQ939" s="446"/>
      <c r="DR939" s="446"/>
      <c r="DS939" s="446"/>
      <c r="DT939" s="446"/>
      <c r="DU939" s="446"/>
      <c r="DV939" s="446"/>
      <c r="DW939" s="446"/>
    </row>
    <row r="940" spans="96:127" ht="15" customHeight="1" x14ac:dyDescent="0.25">
      <c r="CR940" s="446"/>
      <c r="CS940" s="446"/>
      <c r="CT940" s="446"/>
      <c r="CU940" s="446"/>
      <c r="CV940" s="446"/>
      <c r="CW940" s="752"/>
      <c r="CX940" s="752"/>
      <c r="CY940" s="752"/>
      <c r="CZ940" s="752"/>
      <c r="DA940" s="752"/>
      <c r="DB940" s="446"/>
      <c r="DC940" s="446"/>
      <c r="DD940" s="446"/>
      <c r="DE940" s="446"/>
      <c r="DF940" s="446"/>
      <c r="DG940" s="446"/>
      <c r="DH940" s="446"/>
      <c r="DI940" s="446"/>
      <c r="DJ940" s="446"/>
      <c r="DK940" s="446"/>
      <c r="DL940" s="446"/>
      <c r="DM940" s="446"/>
      <c r="DN940" s="446"/>
      <c r="DO940" s="446"/>
      <c r="DP940" s="446"/>
      <c r="DQ940" s="446"/>
      <c r="DR940" s="446"/>
      <c r="DS940" s="446"/>
      <c r="DT940" s="446"/>
      <c r="DU940" s="446"/>
      <c r="DV940" s="446"/>
      <c r="DW940" s="446"/>
    </row>
    <row r="941" spans="96:127" ht="15" customHeight="1" x14ac:dyDescent="0.25">
      <c r="CR941" s="446"/>
      <c r="CS941" s="446"/>
      <c r="CT941" s="446"/>
      <c r="CU941" s="446"/>
      <c r="CV941" s="446"/>
      <c r="CW941" s="752"/>
      <c r="CX941" s="752"/>
      <c r="CY941" s="752"/>
      <c r="CZ941" s="752"/>
      <c r="DA941" s="752"/>
      <c r="DB941" s="446"/>
      <c r="DC941" s="446"/>
      <c r="DD941" s="446"/>
      <c r="DE941" s="446"/>
      <c r="DF941" s="446"/>
      <c r="DG941" s="446"/>
      <c r="DH941" s="446"/>
      <c r="DI941" s="446"/>
      <c r="DJ941" s="446"/>
      <c r="DK941" s="446"/>
      <c r="DL941" s="446"/>
      <c r="DM941" s="446"/>
      <c r="DN941" s="446"/>
      <c r="DO941" s="446"/>
      <c r="DP941" s="446"/>
      <c r="DQ941" s="446"/>
      <c r="DR941" s="446"/>
      <c r="DS941" s="446"/>
      <c r="DT941" s="446"/>
      <c r="DU941" s="446"/>
      <c r="DV941" s="446"/>
      <c r="DW941" s="446"/>
    </row>
    <row r="942" spans="96:127" ht="15" customHeight="1" x14ac:dyDescent="0.25">
      <c r="CR942" s="446"/>
      <c r="CS942" s="446"/>
      <c r="CT942" s="446"/>
      <c r="CU942" s="446"/>
      <c r="CV942" s="446"/>
      <c r="CW942" s="752"/>
      <c r="CX942" s="752"/>
      <c r="CY942" s="752"/>
      <c r="CZ942" s="752"/>
      <c r="DA942" s="752"/>
      <c r="DB942" s="446"/>
      <c r="DC942" s="446"/>
      <c r="DD942" s="446"/>
      <c r="DE942" s="446"/>
      <c r="DF942" s="446"/>
      <c r="DG942" s="446"/>
      <c r="DH942" s="446"/>
      <c r="DI942" s="446"/>
      <c r="DJ942" s="446"/>
      <c r="DK942" s="446"/>
      <c r="DL942" s="446"/>
      <c r="DM942" s="446"/>
      <c r="DN942" s="446"/>
      <c r="DO942" s="446"/>
      <c r="DP942" s="446"/>
      <c r="DQ942" s="446"/>
      <c r="DR942" s="446"/>
      <c r="DS942" s="446"/>
      <c r="DT942" s="446"/>
      <c r="DU942" s="446"/>
      <c r="DV942" s="446"/>
      <c r="DW942" s="446"/>
    </row>
    <row r="943" spans="96:127" ht="15" customHeight="1" x14ac:dyDescent="0.25">
      <c r="CR943" s="446"/>
      <c r="CS943" s="446"/>
      <c r="CT943" s="446"/>
      <c r="CU943" s="446"/>
      <c r="CV943" s="446"/>
      <c r="CW943" s="752"/>
      <c r="CX943" s="752"/>
      <c r="CY943" s="752"/>
      <c r="CZ943" s="752"/>
      <c r="DA943" s="752"/>
      <c r="DB943" s="446"/>
      <c r="DC943" s="446"/>
      <c r="DD943" s="446"/>
      <c r="DE943" s="446"/>
      <c r="DF943" s="446"/>
      <c r="DG943" s="446"/>
      <c r="DH943" s="446"/>
      <c r="DI943" s="446"/>
      <c r="DJ943" s="446"/>
      <c r="DK943" s="446"/>
      <c r="DL943" s="446"/>
      <c r="DM943" s="446"/>
      <c r="DN943" s="446"/>
      <c r="DO943" s="446"/>
      <c r="DP943" s="446"/>
      <c r="DQ943" s="446"/>
      <c r="DR943" s="446"/>
      <c r="DS943" s="446"/>
      <c r="DT943" s="446"/>
      <c r="DU943" s="446"/>
      <c r="DV943" s="446"/>
      <c r="DW943" s="446"/>
    </row>
    <row r="944" spans="96:127" ht="15" customHeight="1" x14ac:dyDescent="0.25">
      <c r="CR944" s="446"/>
      <c r="CS944" s="446"/>
      <c r="CT944" s="446"/>
      <c r="CU944" s="446"/>
      <c r="CV944" s="446"/>
      <c r="CW944" s="752"/>
      <c r="CX944" s="752"/>
      <c r="CY944" s="752"/>
      <c r="CZ944" s="752"/>
      <c r="DA944" s="752"/>
      <c r="DB944" s="446"/>
      <c r="DC944" s="446"/>
      <c r="DD944" s="446"/>
      <c r="DE944" s="446"/>
      <c r="DF944" s="446"/>
      <c r="DG944" s="446"/>
      <c r="DH944" s="446"/>
      <c r="DI944" s="446"/>
      <c r="DJ944" s="446"/>
      <c r="DK944" s="446"/>
      <c r="DL944" s="446"/>
      <c r="DM944" s="446"/>
      <c r="DN944" s="446"/>
      <c r="DO944" s="446"/>
      <c r="DP944" s="446"/>
      <c r="DQ944" s="446"/>
      <c r="DR944" s="446"/>
      <c r="DS944" s="446"/>
      <c r="DT944" s="446"/>
      <c r="DU944" s="446"/>
      <c r="DV944" s="446"/>
      <c r="DW944" s="446"/>
    </row>
    <row r="945" spans="96:127" ht="15" customHeight="1" x14ac:dyDescent="0.25">
      <c r="CR945" s="446"/>
      <c r="CS945" s="446"/>
      <c r="CT945" s="446"/>
      <c r="CU945" s="446"/>
      <c r="CV945" s="446"/>
      <c r="CW945" s="752"/>
      <c r="CX945" s="752"/>
      <c r="CY945" s="752"/>
      <c r="CZ945" s="752"/>
      <c r="DA945" s="752"/>
      <c r="DB945" s="446"/>
      <c r="DC945" s="446"/>
      <c r="DD945" s="446"/>
      <c r="DE945" s="446"/>
      <c r="DF945" s="446"/>
      <c r="DG945" s="446"/>
      <c r="DH945" s="446"/>
      <c r="DI945" s="446"/>
      <c r="DJ945" s="446"/>
      <c r="DK945" s="446"/>
      <c r="DL945" s="446"/>
      <c r="DM945" s="446"/>
      <c r="DN945" s="446"/>
      <c r="DO945" s="446"/>
      <c r="DP945" s="446"/>
      <c r="DQ945" s="446"/>
      <c r="DR945" s="446"/>
      <c r="DS945" s="446"/>
      <c r="DT945" s="446"/>
      <c r="DU945" s="446"/>
      <c r="DV945" s="446"/>
      <c r="DW945" s="446"/>
    </row>
    <row r="946" spans="96:127" ht="15" customHeight="1" x14ac:dyDescent="0.25">
      <c r="CR946" s="446"/>
      <c r="CS946" s="446"/>
      <c r="CT946" s="446"/>
      <c r="CU946" s="446"/>
      <c r="CV946" s="446"/>
      <c r="CW946" s="752"/>
      <c r="CX946" s="752"/>
      <c r="CY946" s="752"/>
      <c r="CZ946" s="752"/>
      <c r="DA946" s="752"/>
      <c r="DB946" s="446"/>
      <c r="DC946" s="446"/>
      <c r="DD946" s="446"/>
      <c r="DE946" s="446"/>
      <c r="DF946" s="446"/>
      <c r="DG946" s="446"/>
      <c r="DH946" s="446"/>
      <c r="DI946" s="446"/>
      <c r="DJ946" s="446"/>
      <c r="DK946" s="446"/>
      <c r="DL946" s="446"/>
      <c r="DM946" s="446"/>
      <c r="DN946" s="446"/>
      <c r="DO946" s="446"/>
      <c r="DP946" s="446"/>
      <c r="DQ946" s="446"/>
      <c r="DR946" s="446"/>
      <c r="DS946" s="446"/>
      <c r="DT946" s="446"/>
      <c r="DU946" s="446"/>
      <c r="DV946" s="446"/>
      <c r="DW946" s="446"/>
    </row>
    <row r="947" spans="96:127" ht="15" customHeight="1" x14ac:dyDescent="0.25">
      <c r="CR947" s="446"/>
      <c r="CS947" s="446"/>
      <c r="CT947" s="446"/>
      <c r="CU947" s="446"/>
      <c r="CV947" s="446"/>
      <c r="CW947" s="752"/>
      <c r="CX947" s="752"/>
      <c r="CY947" s="752"/>
      <c r="CZ947" s="752"/>
      <c r="DA947" s="752"/>
      <c r="DB947" s="446"/>
      <c r="DC947" s="446"/>
      <c r="DD947" s="446"/>
      <c r="DE947" s="446"/>
      <c r="DF947" s="446"/>
      <c r="DG947" s="446"/>
      <c r="DH947" s="446"/>
      <c r="DI947" s="446"/>
      <c r="DJ947" s="446"/>
      <c r="DK947" s="446"/>
      <c r="DL947" s="446"/>
      <c r="DM947" s="446"/>
      <c r="DN947" s="446"/>
      <c r="DO947" s="446"/>
      <c r="DP947" s="446"/>
      <c r="DQ947" s="446"/>
      <c r="DR947" s="446"/>
      <c r="DS947" s="446"/>
      <c r="DT947" s="446"/>
      <c r="DU947" s="446"/>
      <c r="DV947" s="446"/>
      <c r="DW947" s="446"/>
    </row>
    <row r="948" spans="96:127" ht="15" customHeight="1" x14ac:dyDescent="0.25">
      <c r="CR948" s="446"/>
      <c r="CS948" s="446"/>
      <c r="CT948" s="446"/>
      <c r="CU948" s="446"/>
      <c r="CV948" s="446"/>
      <c r="CW948" s="752"/>
      <c r="CX948" s="752"/>
      <c r="CY948" s="752"/>
      <c r="CZ948" s="752"/>
      <c r="DA948" s="752"/>
      <c r="DB948" s="446"/>
      <c r="DC948" s="446"/>
      <c r="DD948" s="446"/>
      <c r="DE948" s="446"/>
      <c r="DF948" s="446"/>
      <c r="DG948" s="446"/>
      <c r="DH948" s="446"/>
      <c r="DI948" s="446"/>
      <c r="DJ948" s="446"/>
      <c r="DK948" s="446"/>
      <c r="DL948" s="446"/>
      <c r="DM948" s="446"/>
      <c r="DN948" s="446"/>
      <c r="DO948" s="446"/>
      <c r="DP948" s="446"/>
      <c r="DQ948" s="446"/>
      <c r="DR948" s="446"/>
      <c r="DS948" s="446"/>
      <c r="DT948" s="446"/>
      <c r="DU948" s="446"/>
      <c r="DV948" s="446"/>
      <c r="DW948" s="446"/>
    </row>
    <row r="949" spans="96:127" ht="15" customHeight="1" x14ac:dyDescent="0.25">
      <c r="CR949" s="446"/>
      <c r="CS949" s="446"/>
      <c r="CT949" s="446"/>
      <c r="CU949" s="446"/>
      <c r="CV949" s="446"/>
      <c r="CW949" s="752"/>
      <c r="CX949" s="752"/>
      <c r="CY949" s="752"/>
      <c r="CZ949" s="752"/>
      <c r="DA949" s="752"/>
      <c r="DB949" s="446"/>
      <c r="DC949" s="446"/>
      <c r="DD949" s="446"/>
      <c r="DE949" s="446"/>
      <c r="DF949" s="446"/>
      <c r="DG949" s="446"/>
      <c r="DH949" s="446"/>
      <c r="DI949" s="446"/>
      <c r="DJ949" s="446"/>
      <c r="DK949" s="446"/>
      <c r="DL949" s="446"/>
      <c r="DM949" s="446"/>
      <c r="DN949" s="446"/>
      <c r="DO949" s="446"/>
      <c r="DP949" s="446"/>
      <c r="DQ949" s="446"/>
      <c r="DR949" s="446"/>
      <c r="DS949" s="446"/>
      <c r="DT949" s="446"/>
      <c r="DU949" s="446"/>
      <c r="DV949" s="446"/>
      <c r="DW949" s="446"/>
    </row>
    <row r="950" spans="96:127" ht="15" customHeight="1" x14ac:dyDescent="0.25">
      <c r="CR950" s="446"/>
      <c r="CS950" s="446"/>
      <c r="CT950" s="446"/>
      <c r="CU950" s="446"/>
      <c r="CV950" s="446"/>
      <c r="CW950" s="752"/>
      <c r="CX950" s="752"/>
      <c r="CY950" s="752"/>
      <c r="CZ950" s="752"/>
      <c r="DA950" s="752"/>
      <c r="DB950" s="446"/>
      <c r="DC950" s="446"/>
      <c r="DD950" s="446"/>
      <c r="DE950" s="446"/>
      <c r="DF950" s="446"/>
      <c r="DG950" s="446"/>
      <c r="DH950" s="446"/>
      <c r="DI950" s="446"/>
      <c r="DJ950" s="446"/>
      <c r="DK950" s="446"/>
      <c r="DL950" s="446"/>
      <c r="DM950" s="446"/>
      <c r="DN950" s="446"/>
      <c r="DO950" s="446"/>
      <c r="DP950" s="446"/>
      <c r="DQ950" s="446"/>
      <c r="DR950" s="446"/>
      <c r="DS950" s="446"/>
      <c r="DT950" s="446"/>
      <c r="DU950" s="446"/>
      <c r="DV950" s="446"/>
      <c r="DW950" s="446"/>
    </row>
    <row r="951" spans="96:127" ht="15" customHeight="1" x14ac:dyDescent="0.25">
      <c r="CR951" s="446"/>
      <c r="CS951" s="446"/>
      <c r="CT951" s="446"/>
      <c r="CU951" s="446"/>
      <c r="CV951" s="446"/>
      <c r="CW951" s="752"/>
      <c r="CX951" s="752"/>
      <c r="CY951" s="752"/>
      <c r="CZ951" s="752"/>
      <c r="DA951" s="752"/>
      <c r="DB951" s="446"/>
      <c r="DC951" s="446"/>
      <c r="DD951" s="446"/>
      <c r="DE951" s="446"/>
      <c r="DF951" s="446"/>
      <c r="DG951" s="446"/>
      <c r="DH951" s="446"/>
      <c r="DI951" s="446"/>
      <c r="DJ951" s="446"/>
      <c r="DK951" s="446"/>
      <c r="DL951" s="446"/>
      <c r="DM951" s="446"/>
      <c r="DN951" s="446"/>
      <c r="DO951" s="446"/>
      <c r="DP951" s="446"/>
      <c r="DQ951" s="446"/>
      <c r="DR951" s="446"/>
      <c r="DS951" s="446"/>
      <c r="DT951" s="446"/>
      <c r="DU951" s="446"/>
      <c r="DV951" s="446"/>
      <c r="DW951" s="446"/>
    </row>
    <row r="952" spans="96:127" ht="15" customHeight="1" x14ac:dyDescent="0.25">
      <c r="CR952" s="446"/>
      <c r="CS952" s="446"/>
      <c r="CT952" s="446"/>
      <c r="CU952" s="446"/>
      <c r="CV952" s="446"/>
      <c r="CW952" s="752"/>
      <c r="CX952" s="752"/>
      <c r="CY952" s="752"/>
      <c r="CZ952" s="752"/>
      <c r="DA952" s="752"/>
      <c r="DB952" s="446"/>
      <c r="DC952" s="446"/>
      <c r="DD952" s="446"/>
      <c r="DE952" s="446"/>
      <c r="DF952" s="446"/>
      <c r="DG952" s="446"/>
      <c r="DH952" s="446"/>
      <c r="DI952" s="446"/>
      <c r="DJ952" s="446"/>
      <c r="DK952" s="446"/>
      <c r="DL952" s="446"/>
      <c r="DM952" s="446"/>
      <c r="DN952" s="446"/>
      <c r="DO952" s="446"/>
      <c r="DP952" s="446"/>
      <c r="DQ952" s="446"/>
      <c r="DR952" s="446"/>
      <c r="DS952" s="446"/>
      <c r="DT952" s="446"/>
      <c r="DU952" s="446"/>
      <c r="DV952" s="446"/>
      <c r="DW952" s="446"/>
    </row>
    <row r="953" spans="96:127" ht="15" customHeight="1" x14ac:dyDescent="0.25">
      <c r="CR953" s="446"/>
      <c r="CS953" s="446"/>
      <c r="CT953" s="446"/>
      <c r="CU953" s="446"/>
      <c r="CV953" s="446"/>
      <c r="CW953" s="752"/>
      <c r="CX953" s="752"/>
      <c r="CY953" s="752"/>
      <c r="CZ953" s="752"/>
      <c r="DA953" s="752"/>
      <c r="DB953" s="446"/>
      <c r="DC953" s="446"/>
      <c r="DD953" s="446"/>
      <c r="DE953" s="446"/>
      <c r="DF953" s="446"/>
      <c r="DG953" s="446"/>
      <c r="DH953" s="446"/>
      <c r="DI953" s="446"/>
      <c r="DJ953" s="446"/>
      <c r="DK953" s="446"/>
      <c r="DL953" s="446"/>
      <c r="DM953" s="446"/>
      <c r="DN953" s="446"/>
      <c r="DO953" s="446"/>
      <c r="DP953" s="446"/>
      <c r="DQ953" s="446"/>
      <c r="DR953" s="446"/>
      <c r="DS953" s="446"/>
      <c r="DT953" s="446"/>
      <c r="DU953" s="446"/>
      <c r="DV953" s="446"/>
      <c r="DW953" s="446"/>
    </row>
    <row r="954" spans="96:127" ht="15" customHeight="1" x14ac:dyDescent="0.25">
      <c r="CR954" s="446"/>
      <c r="CS954" s="446"/>
      <c r="CT954" s="446"/>
      <c r="CU954" s="446"/>
      <c r="CV954" s="446"/>
      <c r="CW954" s="752"/>
      <c r="CX954" s="752"/>
      <c r="CY954" s="752"/>
      <c r="CZ954" s="752"/>
      <c r="DA954" s="752"/>
      <c r="DB954" s="446"/>
      <c r="DC954" s="446"/>
      <c r="DD954" s="446"/>
      <c r="DE954" s="446"/>
      <c r="DF954" s="446"/>
      <c r="DG954" s="446"/>
      <c r="DH954" s="446"/>
      <c r="DI954" s="446"/>
      <c r="DJ954" s="446"/>
      <c r="DK954" s="446"/>
      <c r="DL954" s="446"/>
      <c r="DM954" s="446"/>
      <c r="DN954" s="446"/>
      <c r="DO954" s="446"/>
      <c r="DP954" s="446"/>
      <c r="DQ954" s="446"/>
      <c r="DR954" s="446"/>
      <c r="DS954" s="446"/>
      <c r="DT954" s="446"/>
      <c r="DU954" s="446"/>
      <c r="DV954" s="446"/>
      <c r="DW954" s="446"/>
    </row>
    <row r="955" spans="96:127" ht="15" customHeight="1" x14ac:dyDescent="0.25">
      <c r="CR955" s="446"/>
      <c r="CS955" s="446"/>
      <c r="CT955" s="446"/>
      <c r="CU955" s="446"/>
      <c r="CV955" s="446"/>
      <c r="CW955" s="752"/>
      <c r="CX955" s="752"/>
      <c r="CY955" s="752"/>
      <c r="CZ955" s="752"/>
      <c r="DA955" s="752"/>
      <c r="DB955" s="446"/>
      <c r="DC955" s="446"/>
      <c r="DD955" s="446"/>
      <c r="DE955" s="446"/>
      <c r="DF955" s="446"/>
      <c r="DG955" s="446"/>
      <c r="DH955" s="446"/>
      <c r="DI955" s="446"/>
      <c r="DJ955" s="446"/>
      <c r="DK955" s="446"/>
      <c r="DL955" s="446"/>
      <c r="DM955" s="446"/>
      <c r="DN955" s="446"/>
      <c r="DO955" s="446"/>
      <c r="DP955" s="446"/>
      <c r="DQ955" s="446"/>
      <c r="DR955" s="446"/>
      <c r="DS955" s="446"/>
      <c r="DT955" s="446"/>
      <c r="DU955" s="446"/>
      <c r="DV955" s="446"/>
      <c r="DW955" s="446"/>
    </row>
    <row r="956" spans="96:127" ht="15" customHeight="1" x14ac:dyDescent="0.25">
      <c r="CR956" s="446"/>
      <c r="CS956" s="446"/>
      <c r="CT956" s="446"/>
      <c r="CU956" s="446"/>
      <c r="CV956" s="446"/>
      <c r="CW956" s="752"/>
      <c r="CX956" s="752"/>
      <c r="CY956" s="752"/>
      <c r="CZ956" s="752"/>
      <c r="DA956" s="752"/>
      <c r="DB956" s="446"/>
      <c r="DC956" s="446"/>
      <c r="DD956" s="446"/>
      <c r="DE956" s="446"/>
      <c r="DF956" s="446"/>
      <c r="DG956" s="446"/>
      <c r="DH956" s="446"/>
      <c r="DI956" s="446"/>
      <c r="DJ956" s="446"/>
      <c r="DK956" s="446"/>
      <c r="DL956" s="446"/>
      <c r="DM956" s="446"/>
      <c r="DN956" s="446"/>
      <c r="DO956" s="446"/>
      <c r="DP956" s="446"/>
      <c r="DQ956" s="446"/>
      <c r="DR956" s="446"/>
      <c r="DS956" s="446"/>
      <c r="DT956" s="446"/>
      <c r="DU956" s="446"/>
      <c r="DV956" s="446"/>
      <c r="DW956" s="446"/>
    </row>
    <row r="957" spans="96:127" ht="15" customHeight="1" x14ac:dyDescent="0.25">
      <c r="CR957" s="446"/>
      <c r="CS957" s="446"/>
      <c r="CT957" s="446"/>
      <c r="CU957" s="446"/>
      <c r="CV957" s="446"/>
      <c r="CW957" s="752"/>
      <c r="CX957" s="752"/>
      <c r="CY957" s="752"/>
      <c r="CZ957" s="752"/>
      <c r="DA957" s="752"/>
      <c r="DB957" s="446"/>
      <c r="DC957" s="446"/>
      <c r="DD957" s="446"/>
      <c r="DE957" s="446"/>
      <c r="DF957" s="446"/>
      <c r="DG957" s="446"/>
      <c r="DH957" s="446"/>
      <c r="DI957" s="446"/>
      <c r="DJ957" s="446"/>
      <c r="DK957" s="446"/>
      <c r="DL957" s="446"/>
      <c r="DM957" s="446"/>
      <c r="DN957" s="446"/>
      <c r="DO957" s="446"/>
      <c r="DP957" s="446"/>
      <c r="DQ957" s="446"/>
      <c r="DR957" s="446"/>
      <c r="DS957" s="446"/>
      <c r="DT957" s="446"/>
      <c r="DU957" s="446"/>
      <c r="DV957" s="446"/>
      <c r="DW957" s="446"/>
    </row>
    <row r="958" spans="96:127" ht="15" customHeight="1" x14ac:dyDescent="0.25">
      <c r="CR958" s="446"/>
      <c r="CS958" s="446"/>
      <c r="CT958" s="446"/>
      <c r="CU958" s="446"/>
      <c r="CV958" s="446"/>
      <c r="CW958" s="752"/>
      <c r="CX958" s="752"/>
      <c r="CY958" s="752"/>
      <c r="CZ958" s="752"/>
      <c r="DA958" s="752"/>
      <c r="DB958" s="446"/>
      <c r="DC958" s="446"/>
      <c r="DD958" s="446"/>
      <c r="DE958" s="446"/>
      <c r="DF958" s="446"/>
      <c r="DG958" s="446"/>
      <c r="DH958" s="446"/>
      <c r="DI958" s="446"/>
      <c r="DJ958" s="446"/>
      <c r="DK958" s="446"/>
      <c r="DL958" s="446"/>
      <c r="DM958" s="446"/>
      <c r="DN958" s="446"/>
      <c r="DO958" s="446"/>
      <c r="DP958" s="446"/>
      <c r="DQ958" s="446"/>
      <c r="DR958" s="446"/>
      <c r="DS958" s="446"/>
      <c r="DT958" s="446"/>
      <c r="DU958" s="446"/>
      <c r="DV958" s="446"/>
      <c r="DW958" s="446"/>
    </row>
    <row r="959" spans="96:127" ht="15" customHeight="1" x14ac:dyDescent="0.25">
      <c r="CR959" s="446"/>
      <c r="CS959" s="446"/>
      <c r="CT959" s="446"/>
      <c r="CU959" s="446"/>
      <c r="CV959" s="446"/>
      <c r="CW959" s="752"/>
      <c r="CX959" s="752"/>
      <c r="CY959" s="752"/>
      <c r="CZ959" s="752"/>
      <c r="DA959" s="752"/>
      <c r="DB959" s="446"/>
      <c r="DC959" s="446"/>
      <c r="DD959" s="446"/>
      <c r="DE959" s="446"/>
      <c r="DF959" s="446"/>
      <c r="DG959" s="446"/>
      <c r="DH959" s="446"/>
      <c r="DI959" s="446"/>
      <c r="DJ959" s="446"/>
      <c r="DK959" s="446"/>
      <c r="DL959" s="446"/>
      <c r="DM959" s="446"/>
      <c r="DN959" s="446"/>
      <c r="DO959" s="446"/>
      <c r="DP959" s="446"/>
      <c r="DQ959" s="446"/>
      <c r="DR959" s="446"/>
      <c r="DS959" s="446"/>
      <c r="DT959" s="446"/>
      <c r="DU959" s="446"/>
      <c r="DV959" s="446"/>
      <c r="DW959" s="446"/>
    </row>
    <row r="960" spans="96:127" ht="15" customHeight="1" x14ac:dyDescent="0.25">
      <c r="CR960" s="446"/>
      <c r="CS960" s="446"/>
      <c r="CT960" s="446"/>
      <c r="CU960" s="446"/>
      <c r="CV960" s="446"/>
      <c r="CW960" s="752"/>
      <c r="CX960" s="752"/>
      <c r="CY960" s="752"/>
      <c r="CZ960" s="752"/>
      <c r="DA960" s="752"/>
      <c r="DB960" s="446"/>
      <c r="DC960" s="446"/>
      <c r="DD960" s="446"/>
      <c r="DE960" s="446"/>
      <c r="DF960" s="446"/>
      <c r="DG960" s="446"/>
      <c r="DH960" s="446"/>
      <c r="DI960" s="446"/>
      <c r="DJ960" s="446"/>
      <c r="DK960" s="446"/>
      <c r="DL960" s="446"/>
      <c r="DM960" s="446"/>
      <c r="DN960" s="446"/>
      <c r="DO960" s="446"/>
      <c r="DP960" s="446"/>
      <c r="DQ960" s="446"/>
      <c r="DR960" s="446"/>
      <c r="DS960" s="446"/>
      <c r="DT960" s="446"/>
      <c r="DU960" s="446"/>
      <c r="DV960" s="446"/>
      <c r="DW960" s="446"/>
    </row>
    <row r="961" spans="96:127" ht="15" customHeight="1" x14ac:dyDescent="0.25">
      <c r="CR961" s="446"/>
      <c r="CS961" s="446"/>
      <c r="CT961" s="446"/>
      <c r="CU961" s="446"/>
      <c r="CV961" s="446"/>
      <c r="CW961" s="752"/>
      <c r="CX961" s="752"/>
      <c r="CY961" s="752"/>
      <c r="CZ961" s="752"/>
      <c r="DA961" s="752"/>
      <c r="DB961" s="446"/>
      <c r="DC961" s="446"/>
      <c r="DD961" s="446"/>
      <c r="DE961" s="446"/>
      <c r="DF961" s="446"/>
      <c r="DG961" s="446"/>
      <c r="DH961" s="446"/>
      <c r="DI961" s="446"/>
      <c r="DJ961" s="446"/>
      <c r="DK961" s="446"/>
      <c r="DL961" s="446"/>
      <c r="DM961" s="446"/>
      <c r="DN961" s="446"/>
      <c r="DO961" s="446"/>
      <c r="DP961" s="446"/>
      <c r="DQ961" s="446"/>
      <c r="DR961" s="446"/>
      <c r="DS961" s="446"/>
      <c r="DT961" s="446"/>
      <c r="DU961" s="446"/>
      <c r="DV961" s="446"/>
      <c r="DW961" s="446"/>
    </row>
    <row r="962" spans="96:127" ht="15" customHeight="1" x14ac:dyDescent="0.25">
      <c r="CR962" s="446"/>
      <c r="CS962" s="446"/>
      <c r="CT962" s="446"/>
      <c r="CU962" s="446"/>
      <c r="CV962" s="446"/>
      <c r="CW962" s="752"/>
      <c r="CX962" s="752"/>
      <c r="CY962" s="752"/>
      <c r="CZ962" s="752"/>
      <c r="DA962" s="752"/>
      <c r="DB962" s="446"/>
      <c r="DC962" s="446"/>
      <c r="DD962" s="446"/>
      <c r="DE962" s="446"/>
      <c r="DF962" s="446"/>
      <c r="DG962" s="446"/>
      <c r="DH962" s="446"/>
      <c r="DI962" s="446"/>
      <c r="DJ962" s="446"/>
      <c r="DK962" s="446"/>
      <c r="DL962" s="446"/>
      <c r="DM962" s="446"/>
      <c r="DN962" s="446"/>
      <c r="DO962" s="446"/>
      <c r="DP962" s="446"/>
      <c r="DQ962" s="446"/>
      <c r="DR962" s="446"/>
      <c r="DS962" s="446"/>
      <c r="DT962" s="446"/>
      <c r="DU962" s="446"/>
      <c r="DV962" s="446"/>
      <c r="DW962" s="446"/>
    </row>
    <row r="963" spans="96:127" ht="15" customHeight="1" x14ac:dyDescent="0.25">
      <c r="CR963" s="446"/>
      <c r="CS963" s="446"/>
      <c r="CT963" s="446"/>
      <c r="CU963" s="446"/>
      <c r="CV963" s="446"/>
      <c r="CW963" s="752"/>
      <c r="CX963" s="752"/>
      <c r="CY963" s="752"/>
      <c r="CZ963" s="752"/>
      <c r="DA963" s="752"/>
      <c r="DB963" s="446"/>
      <c r="DC963" s="446"/>
      <c r="DD963" s="446"/>
      <c r="DE963" s="446"/>
      <c r="DF963" s="446"/>
      <c r="DG963" s="446"/>
      <c r="DH963" s="446"/>
      <c r="DI963" s="446"/>
      <c r="DJ963" s="446"/>
      <c r="DK963" s="446"/>
      <c r="DL963" s="446"/>
      <c r="DM963" s="446"/>
      <c r="DN963" s="446"/>
      <c r="DO963" s="446"/>
      <c r="DP963" s="446"/>
      <c r="DQ963" s="446"/>
      <c r="DR963" s="446"/>
      <c r="DS963" s="446"/>
      <c r="DT963" s="446"/>
      <c r="DU963" s="446"/>
      <c r="DV963" s="446"/>
      <c r="DW963" s="446"/>
    </row>
    <row r="964" spans="96:127" ht="15" customHeight="1" x14ac:dyDescent="0.25">
      <c r="CR964" s="446"/>
      <c r="CS964" s="446"/>
      <c r="CT964" s="446"/>
      <c r="CU964" s="446"/>
      <c r="CV964" s="446"/>
      <c r="CW964" s="752"/>
      <c r="CX964" s="752"/>
      <c r="CY964" s="752"/>
      <c r="CZ964" s="752"/>
      <c r="DA964" s="752"/>
      <c r="DB964" s="446"/>
      <c r="DC964" s="446"/>
      <c r="DD964" s="446"/>
      <c r="DE964" s="446"/>
      <c r="DF964" s="446"/>
      <c r="DG964" s="446"/>
      <c r="DH964" s="446"/>
      <c r="DI964" s="446"/>
      <c r="DJ964" s="446"/>
      <c r="DK964" s="446"/>
      <c r="DL964" s="446"/>
      <c r="DM964" s="446"/>
      <c r="DN964" s="446"/>
      <c r="DO964" s="446"/>
      <c r="DP964" s="446"/>
      <c r="DQ964" s="446"/>
      <c r="DR964" s="446"/>
      <c r="DS964" s="446"/>
      <c r="DT964" s="446"/>
      <c r="DU964" s="446"/>
      <c r="DV964" s="446"/>
      <c r="DW964" s="446"/>
    </row>
    <row r="965" spans="96:127" ht="15" customHeight="1" x14ac:dyDescent="0.25">
      <c r="CR965" s="446"/>
      <c r="CS965" s="446"/>
      <c r="CT965" s="446"/>
      <c r="CU965" s="446"/>
      <c r="CV965" s="446"/>
      <c r="CW965" s="752"/>
      <c r="CX965" s="752"/>
      <c r="CY965" s="752"/>
      <c r="CZ965" s="752"/>
      <c r="DA965" s="752"/>
      <c r="DB965" s="446"/>
      <c r="DC965" s="446"/>
      <c r="DD965" s="446"/>
      <c r="DE965" s="446"/>
      <c r="DF965" s="446"/>
      <c r="DG965" s="446"/>
      <c r="DH965" s="446"/>
      <c r="DI965" s="446"/>
      <c r="DJ965" s="446"/>
      <c r="DK965" s="446"/>
      <c r="DL965" s="446"/>
      <c r="DM965" s="446"/>
      <c r="DN965" s="446"/>
      <c r="DO965" s="446"/>
      <c r="DP965" s="446"/>
      <c r="DQ965" s="446"/>
      <c r="DR965" s="446"/>
      <c r="DS965" s="446"/>
      <c r="DT965" s="446"/>
      <c r="DU965" s="446"/>
      <c r="DV965" s="446"/>
      <c r="DW965" s="446"/>
    </row>
    <row r="966" spans="96:127" ht="15" customHeight="1" x14ac:dyDescent="0.25">
      <c r="CR966" s="446"/>
      <c r="CS966" s="446"/>
      <c r="CT966" s="446"/>
      <c r="CU966" s="446"/>
      <c r="CV966" s="446"/>
      <c r="CW966" s="752"/>
      <c r="CX966" s="752"/>
      <c r="CY966" s="752"/>
      <c r="CZ966" s="752"/>
      <c r="DA966" s="752"/>
      <c r="DB966" s="446"/>
      <c r="DC966" s="446"/>
      <c r="DD966" s="446"/>
      <c r="DE966" s="446"/>
      <c r="DF966" s="446"/>
      <c r="DG966" s="446"/>
      <c r="DH966" s="446"/>
      <c r="DI966" s="446"/>
      <c r="DJ966" s="446"/>
      <c r="DK966" s="446"/>
      <c r="DL966" s="446"/>
      <c r="DM966" s="446"/>
      <c r="DN966" s="446"/>
      <c r="DO966" s="446"/>
      <c r="DP966" s="446"/>
      <c r="DQ966" s="446"/>
      <c r="DR966" s="446"/>
      <c r="DS966" s="446"/>
      <c r="DT966" s="446"/>
      <c r="DU966" s="446"/>
      <c r="DV966" s="446"/>
      <c r="DW966" s="446"/>
    </row>
    <row r="967" spans="96:127" ht="15" customHeight="1" x14ac:dyDescent="0.25">
      <c r="CR967" s="446"/>
      <c r="CS967" s="446"/>
      <c r="CT967" s="446"/>
      <c r="CU967" s="446"/>
      <c r="CV967" s="446"/>
      <c r="CW967" s="752"/>
      <c r="CX967" s="752"/>
      <c r="CY967" s="752"/>
      <c r="CZ967" s="752"/>
      <c r="DA967" s="752"/>
      <c r="DB967" s="446"/>
      <c r="DC967" s="446"/>
      <c r="DD967" s="446"/>
      <c r="DE967" s="446"/>
      <c r="DF967" s="446"/>
      <c r="DG967" s="446"/>
      <c r="DH967" s="446"/>
      <c r="DI967" s="446"/>
      <c r="DJ967" s="446"/>
      <c r="DK967" s="446"/>
      <c r="DL967" s="446"/>
      <c r="DM967" s="446"/>
      <c r="DN967" s="446"/>
      <c r="DO967" s="446"/>
      <c r="DP967" s="446"/>
      <c r="DQ967" s="446"/>
      <c r="DR967" s="446"/>
      <c r="DS967" s="446"/>
      <c r="DT967" s="446"/>
      <c r="DU967" s="446"/>
      <c r="DV967" s="446"/>
      <c r="DW967" s="446"/>
    </row>
    <row r="968" spans="96:127" ht="15" customHeight="1" x14ac:dyDescent="0.25">
      <c r="CR968" s="446"/>
      <c r="CS968" s="446"/>
      <c r="CT968" s="446"/>
      <c r="CU968" s="446"/>
      <c r="CV968" s="446"/>
      <c r="CW968" s="752"/>
      <c r="CX968" s="752"/>
      <c r="CY968" s="752"/>
      <c r="CZ968" s="752"/>
      <c r="DA968" s="752"/>
      <c r="DB968" s="446"/>
      <c r="DC968" s="446"/>
      <c r="DD968" s="446"/>
      <c r="DE968" s="446"/>
      <c r="DF968" s="446"/>
      <c r="DG968" s="446"/>
      <c r="DH968" s="446"/>
      <c r="DI968" s="446"/>
      <c r="DJ968" s="446"/>
      <c r="DK968" s="446"/>
      <c r="DL968" s="446"/>
      <c r="DM968" s="446"/>
      <c r="DN968" s="446"/>
      <c r="DO968" s="446"/>
      <c r="DP968" s="446"/>
      <c r="DQ968" s="446"/>
      <c r="DR968" s="446"/>
      <c r="DS968" s="446"/>
      <c r="DT968" s="446"/>
      <c r="DU968" s="446"/>
      <c r="DV968" s="446"/>
      <c r="DW968" s="446"/>
    </row>
    <row r="969" spans="96:127" ht="15" customHeight="1" x14ac:dyDescent="0.25">
      <c r="CR969" s="446"/>
      <c r="CS969" s="446"/>
      <c r="CT969" s="446"/>
      <c r="CU969" s="446"/>
      <c r="CV969" s="446"/>
      <c r="CW969" s="752"/>
      <c r="CX969" s="752"/>
      <c r="CY969" s="752"/>
      <c r="CZ969" s="752"/>
      <c r="DA969" s="752"/>
      <c r="DB969" s="446"/>
      <c r="DC969" s="446"/>
      <c r="DD969" s="446"/>
      <c r="DE969" s="446"/>
      <c r="DF969" s="446"/>
      <c r="DG969" s="446"/>
      <c r="DH969" s="446"/>
      <c r="DI969" s="446"/>
      <c r="DJ969" s="446"/>
      <c r="DK969" s="446"/>
      <c r="DL969" s="446"/>
      <c r="DM969" s="446"/>
      <c r="DN969" s="446"/>
      <c r="DO969" s="446"/>
      <c r="DP969" s="446"/>
      <c r="DQ969" s="446"/>
      <c r="DR969" s="446"/>
      <c r="DS969" s="446"/>
      <c r="DT969" s="446"/>
      <c r="DU969" s="446"/>
      <c r="DV969" s="446"/>
      <c r="DW969" s="446"/>
    </row>
    <row r="970" spans="96:127" ht="15" customHeight="1" x14ac:dyDescent="0.25">
      <c r="CR970" s="446"/>
      <c r="CS970" s="446"/>
      <c r="CT970" s="446"/>
      <c r="CU970" s="446"/>
      <c r="CV970" s="446"/>
      <c r="CW970" s="752"/>
      <c r="CX970" s="752"/>
      <c r="CY970" s="752"/>
      <c r="CZ970" s="752"/>
      <c r="DA970" s="752"/>
      <c r="DB970" s="446"/>
      <c r="DC970" s="446"/>
      <c r="DD970" s="446"/>
      <c r="DE970" s="446"/>
      <c r="DF970" s="446"/>
      <c r="DG970" s="446"/>
      <c r="DH970" s="446"/>
      <c r="DI970" s="446"/>
      <c r="DJ970" s="446"/>
      <c r="DK970" s="446"/>
      <c r="DL970" s="446"/>
      <c r="DM970" s="446"/>
      <c r="DN970" s="446"/>
      <c r="DO970" s="446"/>
      <c r="DP970" s="446"/>
      <c r="DQ970" s="446"/>
      <c r="DR970" s="446"/>
      <c r="DS970" s="446"/>
      <c r="DT970" s="446"/>
      <c r="DU970" s="446"/>
      <c r="DV970" s="446"/>
      <c r="DW970" s="446"/>
    </row>
    <row r="971" spans="96:127" ht="15" customHeight="1" x14ac:dyDescent="0.25">
      <c r="CR971" s="446"/>
      <c r="CS971" s="446"/>
      <c r="CT971" s="446"/>
      <c r="CU971" s="446"/>
      <c r="CV971" s="446"/>
      <c r="CW971" s="752"/>
      <c r="CX971" s="752"/>
      <c r="CY971" s="752"/>
      <c r="CZ971" s="752"/>
      <c r="DA971" s="752"/>
      <c r="DB971" s="446"/>
      <c r="DC971" s="446"/>
      <c r="DD971" s="446"/>
      <c r="DE971" s="446"/>
      <c r="DF971" s="446"/>
      <c r="DG971" s="446"/>
      <c r="DH971" s="446"/>
      <c r="DI971" s="446"/>
      <c r="DJ971" s="446"/>
      <c r="DK971" s="446"/>
      <c r="DL971" s="446"/>
      <c r="DM971" s="446"/>
      <c r="DN971" s="446"/>
      <c r="DO971" s="446"/>
      <c r="DP971" s="446"/>
      <c r="DQ971" s="446"/>
      <c r="DR971" s="446"/>
      <c r="DS971" s="446"/>
      <c r="DT971" s="446"/>
      <c r="DU971" s="446"/>
      <c r="DV971" s="446"/>
      <c r="DW971" s="446"/>
    </row>
    <row r="972" spans="96:127" ht="15" customHeight="1" x14ac:dyDescent="0.25">
      <c r="CR972" s="446"/>
      <c r="CS972" s="446"/>
      <c r="CT972" s="446"/>
      <c r="CU972" s="446"/>
      <c r="CV972" s="446"/>
      <c r="CW972" s="752"/>
      <c r="CX972" s="752"/>
      <c r="CY972" s="752"/>
      <c r="CZ972" s="752"/>
      <c r="DA972" s="752"/>
      <c r="DB972" s="446"/>
      <c r="DC972" s="446"/>
      <c r="DD972" s="446"/>
      <c r="DE972" s="446"/>
      <c r="DF972" s="446"/>
      <c r="DG972" s="446"/>
      <c r="DH972" s="446"/>
      <c r="DI972" s="446"/>
      <c r="DJ972" s="446"/>
      <c r="DK972" s="446"/>
      <c r="DL972" s="446"/>
      <c r="DM972" s="446"/>
      <c r="DN972" s="446"/>
      <c r="DO972" s="446"/>
      <c r="DP972" s="446"/>
      <c r="DQ972" s="446"/>
      <c r="DR972" s="446"/>
      <c r="DS972" s="446"/>
      <c r="DT972" s="446"/>
      <c r="DU972" s="446"/>
      <c r="DV972" s="446"/>
      <c r="DW972" s="446"/>
    </row>
    <row r="973" spans="96:127" ht="15" customHeight="1" x14ac:dyDescent="0.25">
      <c r="CR973" s="446"/>
      <c r="CS973" s="446"/>
      <c r="CT973" s="446"/>
      <c r="CU973" s="446"/>
      <c r="CV973" s="446"/>
      <c r="CW973" s="752"/>
      <c r="CX973" s="752"/>
      <c r="CY973" s="752"/>
      <c r="CZ973" s="752"/>
      <c r="DA973" s="752"/>
      <c r="DB973" s="446"/>
      <c r="DC973" s="446"/>
      <c r="DD973" s="446"/>
      <c r="DE973" s="446"/>
      <c r="DF973" s="446"/>
      <c r="DG973" s="446"/>
      <c r="DH973" s="446"/>
      <c r="DI973" s="446"/>
      <c r="DJ973" s="446"/>
      <c r="DK973" s="446"/>
      <c r="DL973" s="446"/>
      <c r="DM973" s="446"/>
      <c r="DN973" s="446"/>
      <c r="DO973" s="446"/>
      <c r="DP973" s="446"/>
      <c r="DQ973" s="446"/>
      <c r="DR973" s="446"/>
      <c r="DS973" s="446"/>
      <c r="DT973" s="446"/>
      <c r="DU973" s="446"/>
      <c r="DV973" s="446"/>
      <c r="DW973" s="446"/>
    </row>
    <row r="974" spans="96:127" ht="15" customHeight="1" x14ac:dyDescent="0.25">
      <c r="CR974" s="446"/>
      <c r="CS974" s="446"/>
      <c r="CT974" s="446"/>
      <c r="CU974" s="446"/>
      <c r="CV974" s="446"/>
      <c r="CW974" s="752"/>
      <c r="CX974" s="752"/>
      <c r="CY974" s="752"/>
      <c r="CZ974" s="752"/>
      <c r="DA974" s="752"/>
      <c r="DB974" s="446"/>
      <c r="DC974" s="446"/>
      <c r="DD974" s="446"/>
      <c r="DE974" s="446"/>
      <c r="DF974" s="446"/>
      <c r="DG974" s="446"/>
      <c r="DH974" s="446"/>
      <c r="DI974" s="446"/>
      <c r="DJ974" s="446"/>
      <c r="DK974" s="446"/>
      <c r="DL974" s="446"/>
      <c r="DM974" s="446"/>
      <c r="DN974" s="446"/>
      <c r="DO974" s="446"/>
      <c r="DP974" s="446"/>
      <c r="DQ974" s="446"/>
      <c r="DR974" s="446"/>
      <c r="DS974" s="446"/>
      <c r="DT974" s="446"/>
      <c r="DU974" s="446"/>
      <c r="DV974" s="446"/>
      <c r="DW974" s="446"/>
    </row>
    <row r="975" spans="96:127" ht="15" customHeight="1" x14ac:dyDescent="0.25">
      <c r="CR975" s="446"/>
      <c r="CS975" s="446"/>
      <c r="CT975" s="446"/>
      <c r="CU975" s="446"/>
      <c r="CV975" s="446"/>
      <c r="CW975" s="752"/>
      <c r="CX975" s="752"/>
      <c r="CY975" s="752"/>
      <c r="CZ975" s="752"/>
      <c r="DA975" s="752"/>
      <c r="DB975" s="446"/>
      <c r="DC975" s="446"/>
      <c r="DD975" s="446"/>
      <c r="DE975" s="446"/>
      <c r="DF975" s="446"/>
      <c r="DG975" s="446"/>
      <c r="DH975" s="446"/>
      <c r="DI975" s="446"/>
      <c r="DJ975" s="446"/>
      <c r="DK975" s="446"/>
      <c r="DL975" s="446"/>
      <c r="DM975" s="446"/>
      <c r="DN975" s="446"/>
      <c r="DO975" s="446"/>
      <c r="DP975" s="446"/>
      <c r="DQ975" s="446"/>
      <c r="DR975" s="446"/>
      <c r="DS975" s="446"/>
      <c r="DT975" s="446"/>
      <c r="DU975" s="446"/>
      <c r="DV975" s="446"/>
      <c r="DW975" s="446"/>
    </row>
    <row r="976" spans="96:127" ht="15" customHeight="1" x14ac:dyDescent="0.25">
      <c r="CR976" s="446"/>
      <c r="CS976" s="446"/>
      <c r="CT976" s="446"/>
      <c r="CU976" s="446"/>
      <c r="CV976" s="446"/>
      <c r="CW976" s="752"/>
      <c r="CX976" s="752"/>
      <c r="CY976" s="752"/>
      <c r="CZ976" s="752"/>
      <c r="DA976" s="752"/>
      <c r="DB976" s="446"/>
      <c r="DC976" s="446"/>
      <c r="DD976" s="446"/>
      <c r="DE976" s="446"/>
      <c r="DF976" s="446"/>
      <c r="DG976" s="446"/>
      <c r="DH976" s="446"/>
      <c r="DI976" s="446"/>
      <c r="DJ976" s="446"/>
      <c r="DK976" s="446"/>
      <c r="DL976" s="446"/>
      <c r="DM976" s="446"/>
      <c r="DN976" s="446"/>
      <c r="DO976" s="446"/>
      <c r="DP976" s="446"/>
      <c r="DQ976" s="446"/>
      <c r="DR976" s="446"/>
      <c r="DS976" s="446"/>
      <c r="DT976" s="446"/>
      <c r="DU976" s="446"/>
      <c r="DV976" s="446"/>
      <c r="DW976" s="446"/>
    </row>
    <row r="977" spans="96:127" ht="15" customHeight="1" x14ac:dyDescent="0.25">
      <c r="CR977" s="446"/>
      <c r="CS977" s="446"/>
      <c r="CT977" s="446"/>
      <c r="CU977" s="446"/>
      <c r="CV977" s="446"/>
      <c r="CW977" s="752"/>
      <c r="CX977" s="752"/>
      <c r="CY977" s="752"/>
      <c r="CZ977" s="752"/>
      <c r="DA977" s="752"/>
      <c r="DB977" s="446"/>
      <c r="DC977" s="446"/>
      <c r="DD977" s="446"/>
      <c r="DE977" s="446"/>
      <c r="DF977" s="446"/>
      <c r="DG977" s="446"/>
      <c r="DH977" s="446"/>
      <c r="DI977" s="446"/>
      <c r="DJ977" s="446"/>
      <c r="DK977" s="446"/>
      <c r="DL977" s="446"/>
      <c r="DM977" s="446"/>
      <c r="DN977" s="446"/>
      <c r="DO977" s="446"/>
      <c r="DP977" s="446"/>
      <c r="DQ977" s="446"/>
      <c r="DR977" s="446"/>
      <c r="DS977" s="446"/>
      <c r="DT977" s="446"/>
      <c r="DU977" s="446"/>
      <c r="DV977" s="446"/>
      <c r="DW977" s="446"/>
    </row>
    <row r="978" spans="96:127" ht="15" customHeight="1" x14ac:dyDescent="0.25">
      <c r="CR978" s="446"/>
      <c r="CS978" s="446"/>
      <c r="CT978" s="446"/>
      <c r="CU978" s="446"/>
      <c r="CV978" s="446"/>
      <c r="CW978" s="752"/>
      <c r="CX978" s="752"/>
      <c r="CY978" s="752"/>
      <c r="CZ978" s="752"/>
      <c r="DA978" s="752"/>
      <c r="DB978" s="446"/>
      <c r="DC978" s="446"/>
      <c r="DD978" s="446"/>
      <c r="DE978" s="446"/>
      <c r="DF978" s="446"/>
      <c r="DG978" s="446"/>
      <c r="DH978" s="446"/>
      <c r="DI978" s="446"/>
      <c r="DJ978" s="446"/>
      <c r="DK978" s="446"/>
      <c r="DL978" s="446"/>
      <c r="DM978" s="446"/>
      <c r="DN978" s="446"/>
      <c r="DO978" s="446"/>
      <c r="DP978" s="446"/>
      <c r="DQ978" s="446"/>
      <c r="DR978" s="446"/>
      <c r="DS978" s="446"/>
      <c r="DT978" s="446"/>
      <c r="DU978" s="446"/>
      <c r="DV978" s="446"/>
      <c r="DW978" s="446"/>
    </row>
    <row r="979" spans="96:127" ht="15" customHeight="1" x14ac:dyDescent="0.25">
      <c r="CR979" s="446"/>
      <c r="CS979" s="446"/>
      <c r="CT979" s="446"/>
      <c r="CU979" s="446"/>
      <c r="CV979" s="446"/>
      <c r="CW979" s="752"/>
      <c r="CX979" s="752"/>
      <c r="CY979" s="752"/>
      <c r="CZ979" s="752"/>
      <c r="DA979" s="752"/>
      <c r="DB979" s="446"/>
      <c r="DC979" s="446"/>
      <c r="DD979" s="446"/>
      <c r="DE979" s="446"/>
      <c r="DF979" s="446"/>
      <c r="DG979" s="446"/>
      <c r="DH979" s="446"/>
      <c r="DI979" s="446"/>
      <c r="DJ979" s="446"/>
      <c r="DK979" s="446"/>
      <c r="DL979" s="446"/>
      <c r="DM979" s="446"/>
      <c r="DN979" s="446"/>
      <c r="DO979" s="446"/>
      <c r="DP979" s="446"/>
      <c r="DQ979" s="446"/>
      <c r="DR979" s="446"/>
      <c r="DS979" s="446"/>
      <c r="DT979" s="446"/>
      <c r="DU979" s="446"/>
      <c r="DV979" s="446"/>
      <c r="DW979" s="446"/>
    </row>
    <row r="980" spans="96:127" ht="15" customHeight="1" x14ac:dyDescent="0.25">
      <c r="CR980" s="446"/>
      <c r="CS980" s="446"/>
      <c r="CT980" s="446"/>
      <c r="CU980" s="446"/>
      <c r="CV980" s="446"/>
      <c r="CW980" s="752"/>
      <c r="CX980" s="752"/>
      <c r="CY980" s="752"/>
      <c r="CZ980" s="752"/>
      <c r="DA980" s="752"/>
      <c r="DB980" s="446"/>
      <c r="DC980" s="446"/>
      <c r="DD980" s="446"/>
      <c r="DE980" s="446"/>
      <c r="DF980" s="446"/>
      <c r="DG980" s="446"/>
      <c r="DH980" s="446"/>
      <c r="DI980" s="446"/>
      <c r="DJ980" s="446"/>
      <c r="DK980" s="446"/>
      <c r="DL980" s="446"/>
      <c r="DM980" s="446"/>
      <c r="DN980" s="446"/>
      <c r="DO980" s="446"/>
      <c r="DP980" s="446"/>
      <c r="DQ980" s="446"/>
      <c r="DR980" s="446"/>
      <c r="DS980" s="446"/>
      <c r="DT980" s="446"/>
      <c r="DU980" s="446"/>
      <c r="DV980" s="446"/>
      <c r="DW980" s="446"/>
    </row>
    <row r="981" spans="96:127" ht="15" customHeight="1" x14ac:dyDescent="0.25">
      <c r="CR981" s="446"/>
      <c r="CS981" s="446"/>
      <c r="CT981" s="446"/>
      <c r="CU981" s="446"/>
      <c r="CV981" s="446"/>
      <c r="CW981" s="752"/>
      <c r="CX981" s="752"/>
      <c r="CY981" s="752"/>
      <c r="CZ981" s="752"/>
      <c r="DA981" s="752"/>
      <c r="DB981" s="446"/>
      <c r="DC981" s="446"/>
      <c r="DD981" s="446"/>
      <c r="DE981" s="446"/>
      <c r="DF981" s="446"/>
      <c r="DG981" s="446"/>
      <c r="DH981" s="446"/>
      <c r="DI981" s="446"/>
      <c r="DJ981" s="446"/>
      <c r="DK981" s="446"/>
      <c r="DL981" s="446"/>
      <c r="DM981" s="446"/>
      <c r="DN981" s="446"/>
      <c r="DO981" s="446"/>
      <c r="DP981" s="446"/>
      <c r="DQ981" s="446"/>
      <c r="DR981" s="446"/>
      <c r="DS981" s="446"/>
      <c r="DT981" s="446"/>
      <c r="DU981" s="446"/>
      <c r="DV981" s="446"/>
      <c r="DW981" s="446"/>
    </row>
    <row r="982" spans="96:127" ht="15" customHeight="1" x14ac:dyDescent="0.25">
      <c r="CR982" s="446"/>
      <c r="CS982" s="446"/>
      <c r="CT982" s="446"/>
      <c r="CU982" s="446"/>
      <c r="CV982" s="446"/>
      <c r="CW982" s="752"/>
      <c r="CX982" s="752"/>
      <c r="CY982" s="752"/>
      <c r="CZ982" s="752"/>
      <c r="DA982" s="752"/>
      <c r="DB982" s="446"/>
      <c r="DC982" s="446"/>
      <c r="DD982" s="446"/>
      <c r="DE982" s="446"/>
      <c r="DF982" s="446"/>
      <c r="DG982" s="446"/>
      <c r="DH982" s="446"/>
      <c r="DI982" s="446"/>
      <c r="DJ982" s="446"/>
      <c r="DK982" s="446"/>
      <c r="DL982" s="446"/>
      <c r="DM982" s="446"/>
      <c r="DN982" s="446"/>
      <c r="DO982" s="446"/>
      <c r="DP982" s="446"/>
      <c r="DQ982" s="446"/>
      <c r="DR982" s="446"/>
      <c r="DS982" s="446"/>
      <c r="DT982" s="446"/>
      <c r="DU982" s="446"/>
      <c r="DV982" s="446"/>
      <c r="DW982" s="446"/>
    </row>
    <row r="983" spans="96:127" ht="15" customHeight="1" x14ac:dyDescent="0.25">
      <c r="CR983" s="446"/>
      <c r="CS983" s="446"/>
      <c r="CT983" s="446"/>
      <c r="CU983" s="446"/>
      <c r="CV983" s="446"/>
      <c r="CW983" s="752"/>
      <c r="CX983" s="752"/>
      <c r="CY983" s="752"/>
      <c r="CZ983" s="752"/>
      <c r="DA983" s="752"/>
      <c r="DB983" s="446"/>
      <c r="DC983" s="446"/>
      <c r="DD983" s="446"/>
      <c r="DE983" s="446"/>
      <c r="DF983" s="446"/>
      <c r="DG983" s="446"/>
      <c r="DH983" s="446"/>
      <c r="DI983" s="446"/>
      <c r="DJ983" s="446"/>
      <c r="DK983" s="446"/>
      <c r="DL983" s="446"/>
      <c r="DM983" s="446"/>
      <c r="DN983" s="446"/>
      <c r="DO983" s="446"/>
      <c r="DP983" s="446"/>
      <c r="DQ983" s="446"/>
      <c r="DR983" s="446"/>
      <c r="DS983" s="446"/>
      <c r="DT983" s="446"/>
      <c r="DU983" s="446"/>
      <c r="DV983" s="446"/>
      <c r="DW983" s="446"/>
    </row>
    <row r="984" spans="96:127" ht="15" customHeight="1" x14ac:dyDescent="0.25">
      <c r="CR984" s="446"/>
      <c r="CS984" s="446"/>
      <c r="CT984" s="446"/>
      <c r="CU984" s="446"/>
      <c r="CV984" s="446"/>
      <c r="CW984" s="752"/>
      <c r="CX984" s="752"/>
      <c r="CY984" s="752"/>
      <c r="CZ984" s="752"/>
      <c r="DA984" s="752"/>
      <c r="DB984" s="446"/>
      <c r="DC984" s="446"/>
      <c r="DD984" s="446"/>
      <c r="DE984" s="446"/>
      <c r="DF984" s="446"/>
      <c r="DG984" s="446"/>
      <c r="DH984" s="446"/>
      <c r="DI984" s="446"/>
      <c r="DJ984" s="446"/>
      <c r="DK984" s="446"/>
      <c r="DL984" s="446"/>
      <c r="DM984" s="446"/>
      <c r="DN984" s="446"/>
      <c r="DO984" s="446"/>
      <c r="DP984" s="446"/>
      <c r="DQ984" s="446"/>
      <c r="DR984" s="446"/>
      <c r="DS984" s="446"/>
      <c r="DT984" s="446"/>
      <c r="DU984" s="446"/>
      <c r="DV984" s="446"/>
      <c r="DW984" s="446"/>
    </row>
    <row r="985" spans="96:127" ht="15" customHeight="1" x14ac:dyDescent="0.25">
      <c r="CR985" s="446"/>
      <c r="CS985" s="446"/>
      <c r="CT985" s="446"/>
      <c r="CU985" s="446"/>
      <c r="CV985" s="446"/>
      <c r="CW985" s="752"/>
      <c r="CX985" s="752"/>
      <c r="CY985" s="752"/>
      <c r="CZ985" s="752"/>
      <c r="DA985" s="752"/>
      <c r="DB985" s="446"/>
      <c r="DC985" s="446"/>
      <c r="DD985" s="446"/>
      <c r="DE985" s="446"/>
      <c r="DF985" s="446"/>
      <c r="DG985" s="446"/>
      <c r="DH985" s="446"/>
      <c r="DI985" s="446"/>
      <c r="DJ985" s="446"/>
      <c r="DK985" s="446"/>
      <c r="DL985" s="446"/>
      <c r="DM985" s="446"/>
      <c r="DN985" s="446"/>
      <c r="DO985" s="446"/>
      <c r="DP985" s="446"/>
      <c r="DQ985" s="446"/>
      <c r="DR985" s="446"/>
      <c r="DS985" s="446"/>
      <c r="DT985" s="446"/>
      <c r="DU985" s="446"/>
      <c r="DV985" s="446"/>
      <c r="DW985" s="446"/>
    </row>
    <row r="986" spans="96:127" ht="15" customHeight="1" x14ac:dyDescent="0.25">
      <c r="CR986" s="446"/>
      <c r="CS986" s="446"/>
      <c r="CT986" s="446"/>
      <c r="CU986" s="446"/>
      <c r="CV986" s="446"/>
      <c r="CW986" s="752"/>
      <c r="CX986" s="752"/>
      <c r="CY986" s="752"/>
      <c r="CZ986" s="752"/>
      <c r="DA986" s="752"/>
      <c r="DB986" s="446"/>
      <c r="DC986" s="446"/>
      <c r="DD986" s="446"/>
      <c r="DE986" s="446"/>
      <c r="DF986" s="446"/>
      <c r="DG986" s="446"/>
      <c r="DH986" s="446"/>
      <c r="DI986" s="446"/>
      <c r="DJ986" s="446"/>
      <c r="DK986" s="446"/>
      <c r="DL986" s="446"/>
      <c r="DM986" s="446"/>
      <c r="DN986" s="446"/>
      <c r="DO986" s="446"/>
      <c r="DP986" s="446"/>
      <c r="DQ986" s="446"/>
      <c r="DR986" s="446"/>
      <c r="DS986" s="446"/>
      <c r="DT986" s="446"/>
      <c r="DU986" s="446"/>
      <c r="DV986" s="446"/>
      <c r="DW986" s="446"/>
    </row>
    <row r="987" spans="96:127" ht="15" customHeight="1" x14ac:dyDescent="0.25">
      <c r="CR987" s="446"/>
      <c r="CS987" s="446"/>
      <c r="CT987" s="446"/>
      <c r="CU987" s="446"/>
      <c r="CV987" s="446"/>
      <c r="CW987" s="752"/>
      <c r="CX987" s="752"/>
      <c r="CY987" s="752"/>
      <c r="CZ987" s="752"/>
      <c r="DA987" s="752"/>
      <c r="DB987" s="446"/>
      <c r="DC987" s="446"/>
      <c r="DD987" s="446"/>
      <c r="DE987" s="446"/>
      <c r="DF987" s="446"/>
      <c r="DG987" s="446"/>
      <c r="DH987" s="446"/>
      <c r="DI987" s="446"/>
      <c r="DJ987" s="446"/>
      <c r="DK987" s="446"/>
      <c r="DL987" s="446"/>
      <c r="DM987" s="446"/>
      <c r="DN987" s="446"/>
      <c r="DO987" s="446"/>
      <c r="DP987" s="446"/>
      <c r="DQ987" s="446"/>
      <c r="DR987" s="446"/>
      <c r="DS987" s="446"/>
      <c r="DT987" s="446"/>
      <c r="DU987" s="446"/>
      <c r="DV987" s="446"/>
      <c r="DW987" s="446"/>
    </row>
    <row r="988" spans="96:127" ht="15" customHeight="1" x14ac:dyDescent="0.25">
      <c r="CR988" s="446"/>
      <c r="CS988" s="446"/>
      <c r="CT988" s="446"/>
      <c r="CU988" s="446"/>
      <c r="CV988" s="446"/>
      <c r="CW988" s="752"/>
      <c r="CX988" s="752"/>
      <c r="CY988" s="752"/>
      <c r="CZ988" s="752"/>
      <c r="DA988" s="752"/>
      <c r="DB988" s="446"/>
      <c r="DC988" s="446"/>
      <c r="DD988" s="446"/>
      <c r="DE988" s="446"/>
      <c r="DF988" s="446"/>
      <c r="DG988" s="446"/>
      <c r="DH988" s="446"/>
      <c r="DI988" s="446"/>
      <c r="DJ988" s="446"/>
      <c r="DK988" s="446"/>
      <c r="DL988" s="446"/>
      <c r="DM988" s="446"/>
      <c r="DN988" s="446"/>
      <c r="DO988" s="446"/>
      <c r="DP988" s="446"/>
      <c r="DQ988" s="446"/>
      <c r="DR988" s="446"/>
      <c r="DS988" s="446"/>
      <c r="DT988" s="446"/>
      <c r="DU988" s="446"/>
      <c r="DV988" s="446"/>
      <c r="DW988" s="446"/>
    </row>
    <row r="989" spans="96:127" ht="15" customHeight="1" x14ac:dyDescent="0.25">
      <c r="CR989" s="446"/>
      <c r="CS989" s="446"/>
      <c r="CT989" s="446"/>
      <c r="CU989" s="446"/>
      <c r="CV989" s="446"/>
      <c r="CW989" s="752"/>
      <c r="CX989" s="752"/>
      <c r="CY989" s="752"/>
      <c r="CZ989" s="752"/>
      <c r="DA989" s="752"/>
      <c r="DB989" s="446"/>
      <c r="DC989" s="446"/>
      <c r="DD989" s="446"/>
      <c r="DE989" s="446"/>
      <c r="DF989" s="446"/>
      <c r="DG989" s="446"/>
      <c r="DH989" s="446"/>
      <c r="DI989" s="446"/>
      <c r="DJ989" s="446"/>
      <c r="DK989" s="446"/>
      <c r="DL989" s="446"/>
      <c r="DM989" s="446"/>
      <c r="DN989" s="446"/>
      <c r="DO989" s="446"/>
      <c r="DP989" s="446"/>
      <c r="DQ989" s="446"/>
      <c r="DR989" s="446"/>
      <c r="DS989" s="446"/>
      <c r="DT989" s="446"/>
      <c r="DU989" s="446"/>
      <c r="DV989" s="446"/>
      <c r="DW989" s="446"/>
    </row>
    <row r="990" spans="96:127" ht="15" customHeight="1" x14ac:dyDescent="0.25">
      <c r="CR990" s="446"/>
      <c r="CS990" s="446"/>
      <c r="CT990" s="446"/>
      <c r="CU990" s="446"/>
      <c r="CV990" s="446"/>
      <c r="CW990" s="752"/>
      <c r="CX990" s="752"/>
      <c r="CY990" s="752"/>
      <c r="CZ990" s="752"/>
      <c r="DA990" s="752"/>
      <c r="DB990" s="446"/>
      <c r="DC990" s="446"/>
      <c r="DD990" s="446"/>
      <c r="DE990" s="446"/>
      <c r="DF990" s="446"/>
      <c r="DG990" s="446"/>
      <c r="DH990" s="446"/>
      <c r="DI990" s="446"/>
      <c r="DJ990" s="446"/>
      <c r="DK990" s="446"/>
      <c r="DL990" s="446"/>
      <c r="DM990" s="446"/>
      <c r="DN990" s="446"/>
      <c r="DO990" s="446"/>
      <c r="DP990" s="446"/>
      <c r="DQ990" s="446"/>
      <c r="DR990" s="446"/>
      <c r="DS990" s="446"/>
      <c r="DT990" s="446"/>
      <c r="DU990" s="446"/>
      <c r="DV990" s="446"/>
      <c r="DW990" s="446"/>
    </row>
    <row r="991" spans="96:127" ht="15" customHeight="1" x14ac:dyDescent="0.25">
      <c r="CR991" s="446"/>
      <c r="CS991" s="446"/>
      <c r="CT991" s="446"/>
      <c r="CU991" s="446"/>
      <c r="CV991" s="446"/>
      <c r="CW991" s="752"/>
      <c r="CX991" s="752"/>
      <c r="CY991" s="752"/>
      <c r="CZ991" s="752"/>
      <c r="DA991" s="752"/>
      <c r="DB991" s="446"/>
      <c r="DC991" s="446"/>
      <c r="DD991" s="446"/>
      <c r="DE991" s="446"/>
      <c r="DF991" s="446"/>
      <c r="DG991" s="446"/>
      <c r="DH991" s="446"/>
      <c r="DI991" s="446"/>
      <c r="DJ991" s="446"/>
      <c r="DK991" s="446"/>
      <c r="DL991" s="446"/>
      <c r="DM991" s="446"/>
      <c r="DN991" s="446"/>
      <c r="DO991" s="446"/>
      <c r="DP991" s="446"/>
      <c r="DQ991" s="446"/>
      <c r="DR991" s="446"/>
      <c r="DS991" s="446"/>
      <c r="DT991" s="446"/>
      <c r="DU991" s="446"/>
      <c r="DV991" s="446"/>
      <c r="DW991" s="446"/>
    </row>
    <row r="992" spans="96:127" ht="15" customHeight="1" x14ac:dyDescent="0.25">
      <c r="CR992" s="446"/>
      <c r="CS992" s="446"/>
      <c r="CT992" s="446"/>
      <c r="CU992" s="446"/>
      <c r="CV992" s="446"/>
      <c r="CW992" s="752"/>
      <c r="CX992" s="752"/>
      <c r="CY992" s="752"/>
      <c r="CZ992" s="752"/>
      <c r="DA992" s="752"/>
      <c r="DB992" s="446"/>
      <c r="DC992" s="446"/>
      <c r="DD992" s="446"/>
      <c r="DE992" s="446"/>
      <c r="DF992" s="446"/>
      <c r="DG992" s="446"/>
      <c r="DH992" s="446"/>
      <c r="DI992" s="446"/>
      <c r="DJ992" s="446"/>
      <c r="DK992" s="446"/>
      <c r="DL992" s="446"/>
      <c r="DM992" s="446"/>
      <c r="DN992" s="446"/>
      <c r="DO992" s="446"/>
      <c r="DP992" s="446"/>
      <c r="DQ992" s="446"/>
      <c r="DR992" s="446"/>
      <c r="DS992" s="446"/>
      <c r="DT992" s="446"/>
      <c r="DU992" s="446"/>
      <c r="DV992" s="446"/>
      <c r="DW992" s="446"/>
    </row>
    <row r="993" spans="96:127" ht="15" customHeight="1" x14ac:dyDescent="0.25">
      <c r="CR993" s="446"/>
      <c r="CS993" s="446"/>
      <c r="CT993" s="446"/>
      <c r="CU993" s="446"/>
      <c r="CV993" s="446"/>
      <c r="CW993" s="752"/>
      <c r="CX993" s="752"/>
      <c r="CY993" s="752"/>
      <c r="CZ993" s="752"/>
      <c r="DA993" s="752"/>
      <c r="DB993" s="446"/>
      <c r="DC993" s="446"/>
      <c r="DD993" s="446"/>
      <c r="DE993" s="446"/>
      <c r="DF993" s="446"/>
      <c r="DG993" s="446"/>
      <c r="DH993" s="446"/>
      <c r="DI993" s="446"/>
      <c r="DJ993" s="446"/>
      <c r="DK993" s="446"/>
      <c r="DL993" s="446"/>
      <c r="DM993" s="446"/>
      <c r="DN993" s="446"/>
      <c r="DO993" s="446"/>
      <c r="DP993" s="446"/>
      <c r="DQ993" s="446"/>
      <c r="DR993" s="446"/>
      <c r="DS993" s="446"/>
      <c r="DT993" s="446"/>
      <c r="DU993" s="446"/>
      <c r="DV993" s="446"/>
      <c r="DW993" s="446"/>
    </row>
    <row r="994" spans="96:127" ht="15" customHeight="1" x14ac:dyDescent="0.25">
      <c r="CR994" s="446"/>
      <c r="CS994" s="446"/>
      <c r="CT994" s="446"/>
      <c r="CU994" s="446"/>
      <c r="CV994" s="446"/>
      <c r="CW994" s="752"/>
      <c r="CX994" s="752"/>
      <c r="CY994" s="752"/>
      <c r="CZ994" s="752"/>
      <c r="DA994" s="752"/>
      <c r="DB994" s="446"/>
      <c r="DC994" s="446"/>
      <c r="DD994" s="446"/>
      <c r="DE994" s="446"/>
      <c r="DF994" s="446"/>
      <c r="DG994" s="446"/>
      <c r="DH994" s="446"/>
      <c r="DI994" s="446"/>
      <c r="DJ994" s="446"/>
      <c r="DK994" s="446"/>
      <c r="DL994" s="446"/>
      <c r="DM994" s="446"/>
      <c r="DN994" s="446"/>
      <c r="DO994" s="446"/>
      <c r="DP994" s="446"/>
      <c r="DQ994" s="446"/>
      <c r="DR994" s="446"/>
      <c r="DS994" s="446"/>
      <c r="DT994" s="446"/>
      <c r="DU994" s="446"/>
      <c r="DV994" s="446"/>
      <c r="DW994" s="446"/>
    </row>
    <row r="995" spans="96:127" ht="15" customHeight="1" x14ac:dyDescent="0.25">
      <c r="CR995" s="446"/>
      <c r="CS995" s="446"/>
      <c r="CT995" s="446"/>
      <c r="CU995" s="446"/>
      <c r="CV995" s="446"/>
      <c r="CW995" s="752"/>
      <c r="CX995" s="752"/>
      <c r="CY995" s="752"/>
      <c r="CZ995" s="752"/>
      <c r="DA995" s="752"/>
      <c r="DB995" s="446"/>
      <c r="DC995" s="446"/>
      <c r="DD995" s="446"/>
      <c r="DE995" s="446"/>
      <c r="DF995" s="446"/>
      <c r="DG995" s="446"/>
      <c r="DH995" s="446"/>
      <c r="DI995" s="446"/>
      <c r="DJ995" s="446"/>
      <c r="DK995" s="446"/>
      <c r="DL995" s="446"/>
      <c r="DM995" s="446"/>
      <c r="DN995" s="446"/>
      <c r="DO995" s="446"/>
      <c r="DP995" s="446"/>
      <c r="DQ995" s="446"/>
      <c r="DR995" s="446"/>
      <c r="DS995" s="446"/>
      <c r="DT995" s="446"/>
      <c r="DU995" s="446"/>
      <c r="DV995" s="446"/>
      <c r="DW995" s="446"/>
    </row>
    <row r="996" spans="96:127" ht="15" customHeight="1" x14ac:dyDescent="0.25">
      <c r="CR996" s="446"/>
      <c r="CS996" s="446"/>
      <c r="CT996" s="446"/>
      <c r="CU996" s="446"/>
      <c r="CV996" s="446"/>
      <c r="CW996" s="752"/>
      <c r="CX996" s="752"/>
      <c r="CY996" s="752"/>
      <c r="CZ996" s="752"/>
      <c r="DA996" s="752"/>
      <c r="DB996" s="446"/>
      <c r="DC996" s="446"/>
      <c r="DD996" s="446"/>
      <c r="DE996" s="446"/>
      <c r="DF996" s="446"/>
      <c r="DG996" s="446"/>
      <c r="DH996" s="446"/>
      <c r="DI996" s="446"/>
      <c r="DJ996" s="446"/>
      <c r="DK996" s="446"/>
      <c r="DL996" s="446"/>
      <c r="DM996" s="446"/>
      <c r="DN996" s="446"/>
      <c r="DO996" s="446"/>
      <c r="DP996" s="446"/>
      <c r="DQ996" s="446"/>
      <c r="DR996" s="446"/>
      <c r="DS996" s="446"/>
      <c r="DT996" s="446"/>
      <c r="DU996" s="446"/>
      <c r="DV996" s="446"/>
      <c r="DW996" s="446"/>
    </row>
    <row r="997" spans="96:127" ht="15" customHeight="1" x14ac:dyDescent="0.25">
      <c r="CR997" s="446"/>
      <c r="CS997" s="446"/>
      <c r="CT997" s="446"/>
      <c r="CU997" s="446"/>
      <c r="CV997" s="446"/>
      <c r="CW997" s="752"/>
      <c r="CX997" s="752"/>
      <c r="CY997" s="752"/>
      <c r="CZ997" s="752"/>
      <c r="DA997" s="752"/>
      <c r="DB997" s="446"/>
      <c r="DC997" s="446"/>
      <c r="DD997" s="446"/>
      <c r="DE997" s="446"/>
      <c r="DF997" s="446"/>
      <c r="DG997" s="446"/>
      <c r="DH997" s="446"/>
      <c r="DI997" s="446"/>
      <c r="DJ997" s="446"/>
      <c r="DK997" s="446"/>
      <c r="DL997" s="446"/>
      <c r="DM997" s="446"/>
      <c r="DN997" s="446"/>
      <c r="DO997" s="446"/>
      <c r="DP997" s="446"/>
      <c r="DQ997" s="446"/>
      <c r="DR997" s="446"/>
      <c r="DS997" s="446"/>
      <c r="DT997" s="446"/>
      <c r="DU997" s="446"/>
      <c r="DV997" s="446"/>
      <c r="DW997" s="446"/>
    </row>
    <row r="998" spans="96:127" ht="15" customHeight="1" x14ac:dyDescent="0.25">
      <c r="CR998" s="446"/>
      <c r="CS998" s="446"/>
      <c r="CT998" s="446"/>
      <c r="CU998" s="446"/>
      <c r="CV998" s="446"/>
      <c r="CW998" s="752"/>
      <c r="CX998" s="752"/>
      <c r="CY998" s="752"/>
      <c r="CZ998" s="752"/>
      <c r="DA998" s="752"/>
      <c r="DB998" s="446"/>
      <c r="DC998" s="446"/>
      <c r="DD998" s="446"/>
      <c r="DE998" s="446"/>
      <c r="DF998" s="446"/>
      <c r="DG998" s="446"/>
      <c r="DH998" s="446"/>
      <c r="DI998" s="446"/>
      <c r="DJ998" s="446"/>
      <c r="DK998" s="446"/>
      <c r="DL998" s="446"/>
      <c r="DM998" s="446"/>
      <c r="DN998" s="446"/>
      <c r="DO998" s="446"/>
      <c r="DP998" s="446"/>
      <c r="DQ998" s="446"/>
      <c r="DR998" s="446"/>
      <c r="DS998" s="446"/>
      <c r="DT998" s="446"/>
      <c r="DU998" s="446"/>
      <c r="DV998" s="446"/>
      <c r="DW998" s="446"/>
    </row>
    <row r="999" spans="96:127" ht="15" customHeight="1" x14ac:dyDescent="0.25">
      <c r="CR999" s="446"/>
      <c r="CS999" s="446"/>
      <c r="CT999" s="446"/>
      <c r="CU999" s="446"/>
      <c r="CV999" s="446"/>
      <c r="CW999" s="752"/>
      <c r="CX999" s="752"/>
      <c r="CY999" s="752"/>
      <c r="CZ999" s="752"/>
      <c r="DA999" s="752"/>
      <c r="DB999" s="446"/>
      <c r="DC999" s="446"/>
      <c r="DD999" s="446"/>
      <c r="DE999" s="446"/>
      <c r="DF999" s="446"/>
      <c r="DG999" s="446"/>
      <c r="DH999" s="446"/>
      <c r="DI999" s="446"/>
      <c r="DJ999" s="446"/>
      <c r="DK999" s="446"/>
      <c r="DL999" s="446"/>
      <c r="DM999" s="446"/>
      <c r="DN999" s="446"/>
      <c r="DO999" s="446"/>
      <c r="DP999" s="446"/>
      <c r="DQ999" s="446"/>
      <c r="DR999" s="446"/>
      <c r="DS999" s="446"/>
      <c r="DT999" s="446"/>
      <c r="DU999" s="446"/>
      <c r="DV999" s="446"/>
      <c r="DW999" s="446"/>
    </row>
    <row r="1000" spans="96:127" ht="15" customHeight="1" x14ac:dyDescent="0.25">
      <c r="CR1000" s="446"/>
      <c r="CS1000" s="446"/>
      <c r="CT1000" s="446"/>
      <c r="CU1000" s="446"/>
      <c r="CV1000" s="446"/>
      <c r="CW1000" s="752"/>
      <c r="CX1000" s="752"/>
      <c r="CY1000" s="752"/>
      <c r="CZ1000" s="752"/>
      <c r="DA1000" s="752"/>
      <c r="DB1000" s="446"/>
      <c r="DC1000" s="446"/>
      <c r="DD1000" s="446"/>
      <c r="DE1000" s="446"/>
      <c r="DF1000" s="446"/>
      <c r="DG1000" s="446"/>
      <c r="DH1000" s="446"/>
      <c r="DI1000" s="446"/>
      <c r="DJ1000" s="446"/>
      <c r="DK1000" s="446"/>
      <c r="DL1000" s="446"/>
      <c r="DM1000" s="446"/>
      <c r="DN1000" s="446"/>
      <c r="DO1000" s="446"/>
      <c r="DP1000" s="446"/>
      <c r="DQ1000" s="446"/>
      <c r="DR1000" s="446"/>
      <c r="DS1000" s="446"/>
      <c r="DT1000" s="446"/>
      <c r="DU1000" s="446"/>
      <c r="DV1000" s="446"/>
      <c r="DW1000" s="446"/>
    </row>
    <row r="1001" spans="96:127" ht="15" customHeight="1" x14ac:dyDescent="0.25">
      <c r="CR1001" s="446"/>
      <c r="CS1001" s="446"/>
      <c r="CT1001" s="446"/>
      <c r="CU1001" s="446"/>
      <c r="CV1001" s="446"/>
      <c r="CW1001" s="752"/>
      <c r="CX1001" s="752"/>
      <c r="CY1001" s="752"/>
      <c r="CZ1001" s="752"/>
      <c r="DA1001" s="752"/>
      <c r="DB1001" s="446"/>
      <c r="DC1001" s="446"/>
      <c r="DD1001" s="446"/>
      <c r="DE1001" s="446"/>
      <c r="DF1001" s="446"/>
      <c r="DG1001" s="446"/>
      <c r="DH1001" s="446"/>
      <c r="DI1001" s="446"/>
      <c r="DJ1001" s="446"/>
      <c r="DK1001" s="446"/>
      <c r="DL1001" s="446"/>
      <c r="DM1001" s="446"/>
      <c r="DN1001" s="446"/>
      <c r="DO1001" s="446"/>
      <c r="DP1001" s="446"/>
      <c r="DQ1001" s="446"/>
      <c r="DR1001" s="446"/>
      <c r="DS1001" s="446"/>
      <c r="DT1001" s="446"/>
      <c r="DU1001" s="446"/>
      <c r="DV1001" s="446"/>
      <c r="DW1001" s="446"/>
    </row>
    <row r="1002" spans="96:127" ht="15" customHeight="1" x14ac:dyDescent="0.25">
      <c r="CR1002" s="446"/>
      <c r="CS1002" s="446"/>
      <c r="CT1002" s="446"/>
      <c r="CU1002" s="446"/>
      <c r="CV1002" s="446"/>
      <c r="CW1002" s="752"/>
      <c r="CX1002" s="752"/>
      <c r="CY1002" s="752"/>
      <c r="CZ1002" s="752"/>
      <c r="DA1002" s="752"/>
      <c r="DB1002" s="446"/>
      <c r="DC1002" s="446"/>
      <c r="DD1002" s="446"/>
      <c r="DE1002" s="446"/>
      <c r="DF1002" s="446"/>
      <c r="DG1002" s="446"/>
      <c r="DH1002" s="446"/>
      <c r="DI1002" s="446"/>
      <c r="DJ1002" s="446"/>
      <c r="DK1002" s="446"/>
      <c r="DL1002" s="446"/>
      <c r="DM1002" s="446"/>
      <c r="DN1002" s="446"/>
      <c r="DO1002" s="446"/>
      <c r="DP1002" s="446"/>
      <c r="DQ1002" s="446"/>
      <c r="DR1002" s="446"/>
      <c r="DS1002" s="446"/>
      <c r="DT1002" s="446"/>
      <c r="DU1002" s="446"/>
      <c r="DV1002" s="446"/>
      <c r="DW1002" s="446"/>
    </row>
    <row r="1003" spans="96:127" ht="15" customHeight="1" x14ac:dyDescent="0.25">
      <c r="CR1003" s="446"/>
      <c r="CS1003" s="446"/>
      <c r="CT1003" s="446"/>
      <c r="CU1003" s="446"/>
      <c r="CV1003" s="446"/>
      <c r="CW1003" s="752"/>
      <c r="CX1003" s="752"/>
      <c r="CY1003" s="752"/>
      <c r="CZ1003" s="752"/>
      <c r="DA1003" s="752"/>
      <c r="DB1003" s="446"/>
      <c r="DC1003" s="446"/>
      <c r="DD1003" s="446"/>
      <c r="DE1003" s="446"/>
      <c r="DF1003" s="446"/>
      <c r="DG1003" s="446"/>
      <c r="DH1003" s="446"/>
      <c r="DI1003" s="446"/>
      <c r="DJ1003" s="446"/>
      <c r="DK1003" s="446"/>
      <c r="DL1003" s="446"/>
      <c r="DM1003" s="446"/>
      <c r="DN1003" s="446"/>
      <c r="DO1003" s="446"/>
      <c r="DP1003" s="446"/>
      <c r="DQ1003" s="446"/>
      <c r="DR1003" s="446"/>
      <c r="DS1003" s="446"/>
      <c r="DT1003" s="446"/>
      <c r="DU1003" s="446"/>
      <c r="DV1003" s="446"/>
      <c r="DW1003" s="446"/>
    </row>
    <row r="1004" spans="96:127" ht="15" customHeight="1" x14ac:dyDescent="0.25">
      <c r="CR1004" s="446"/>
      <c r="CS1004" s="446"/>
      <c r="CT1004" s="446"/>
      <c r="CU1004" s="446"/>
      <c r="CV1004" s="446"/>
      <c r="CW1004" s="752"/>
      <c r="CX1004" s="752"/>
      <c r="CY1004" s="752"/>
      <c r="CZ1004" s="752"/>
      <c r="DA1004" s="752"/>
      <c r="DB1004" s="446"/>
      <c r="DC1004" s="446"/>
      <c r="DD1004" s="446"/>
      <c r="DE1004" s="446"/>
      <c r="DF1004" s="446"/>
      <c r="DG1004" s="446"/>
      <c r="DH1004" s="446"/>
      <c r="DI1004" s="446"/>
      <c r="DJ1004" s="446"/>
      <c r="DK1004" s="446"/>
      <c r="DL1004" s="446"/>
      <c r="DM1004" s="446"/>
      <c r="DN1004" s="446"/>
      <c r="DO1004" s="446"/>
      <c r="DP1004" s="446"/>
      <c r="DQ1004" s="446"/>
      <c r="DR1004" s="446"/>
      <c r="DS1004" s="446"/>
      <c r="DT1004" s="446"/>
      <c r="DU1004" s="446"/>
      <c r="DV1004" s="446"/>
      <c r="DW1004" s="446"/>
    </row>
    <row r="1005" spans="96:127" ht="15" customHeight="1" x14ac:dyDescent="0.25">
      <c r="CR1005" s="446"/>
      <c r="CS1005" s="446"/>
      <c r="CT1005" s="446"/>
      <c r="CU1005" s="446"/>
      <c r="CV1005" s="446"/>
      <c r="CW1005" s="752"/>
      <c r="CX1005" s="752"/>
      <c r="CY1005" s="752"/>
      <c r="CZ1005" s="752"/>
      <c r="DA1005" s="752"/>
      <c r="DB1005" s="446"/>
      <c r="DC1005" s="446"/>
      <c r="DD1005" s="446"/>
      <c r="DE1005" s="446"/>
      <c r="DF1005" s="446"/>
      <c r="DG1005" s="446"/>
      <c r="DH1005" s="446"/>
      <c r="DI1005" s="446"/>
      <c r="DJ1005" s="446"/>
      <c r="DK1005" s="446"/>
      <c r="DL1005" s="446"/>
      <c r="DM1005" s="446"/>
      <c r="DN1005" s="446"/>
      <c r="DO1005" s="446"/>
      <c r="DP1005" s="446"/>
      <c r="DQ1005" s="446"/>
      <c r="DR1005" s="446"/>
      <c r="DS1005" s="446"/>
      <c r="DT1005" s="446"/>
      <c r="DU1005" s="446"/>
      <c r="DV1005" s="446"/>
      <c r="DW1005" s="446"/>
    </row>
    <row r="1006" spans="96:127" ht="15" customHeight="1" x14ac:dyDescent="0.25">
      <c r="CR1006" s="446"/>
      <c r="CS1006" s="446"/>
      <c r="CT1006" s="446"/>
      <c r="CU1006" s="446"/>
      <c r="CV1006" s="446"/>
      <c r="CW1006" s="752"/>
      <c r="CX1006" s="752"/>
      <c r="CY1006" s="752"/>
      <c r="CZ1006" s="752"/>
      <c r="DA1006" s="752"/>
      <c r="DB1006" s="446"/>
      <c r="DC1006" s="446"/>
      <c r="DD1006" s="446"/>
      <c r="DE1006" s="446"/>
      <c r="DF1006" s="446"/>
      <c r="DG1006" s="446"/>
      <c r="DH1006" s="446"/>
      <c r="DI1006" s="446"/>
      <c r="DJ1006" s="446"/>
      <c r="DK1006" s="446"/>
      <c r="DL1006" s="446"/>
      <c r="DM1006" s="446"/>
      <c r="DN1006" s="446"/>
      <c r="DO1006" s="446"/>
      <c r="DP1006" s="446"/>
      <c r="DQ1006" s="446"/>
      <c r="DR1006" s="446"/>
      <c r="DS1006" s="446"/>
      <c r="DT1006" s="446"/>
      <c r="DU1006" s="446"/>
      <c r="DV1006" s="446"/>
      <c r="DW1006" s="446"/>
    </row>
    <row r="1007" spans="96:127" ht="15" customHeight="1" x14ac:dyDescent="0.25">
      <c r="CR1007" s="446"/>
      <c r="CS1007" s="446"/>
      <c r="CT1007" s="446"/>
      <c r="CU1007" s="446"/>
      <c r="CV1007" s="446"/>
      <c r="CW1007" s="752"/>
      <c r="CX1007" s="752"/>
      <c r="CY1007" s="752"/>
      <c r="CZ1007" s="752"/>
      <c r="DA1007" s="752"/>
      <c r="DB1007" s="446"/>
      <c r="DC1007" s="446"/>
      <c r="DD1007" s="446"/>
      <c r="DE1007" s="446"/>
      <c r="DF1007" s="446"/>
      <c r="DG1007" s="446"/>
      <c r="DH1007" s="446"/>
      <c r="DI1007" s="446"/>
      <c r="DJ1007" s="446"/>
      <c r="DK1007" s="446"/>
      <c r="DL1007" s="446"/>
      <c r="DM1007" s="446"/>
      <c r="DN1007" s="446"/>
      <c r="DO1007" s="446"/>
      <c r="DP1007" s="446"/>
      <c r="DQ1007" s="446"/>
      <c r="DR1007" s="446"/>
      <c r="DS1007" s="446"/>
      <c r="DT1007" s="446"/>
      <c r="DU1007" s="446"/>
      <c r="DV1007" s="446"/>
      <c r="DW1007" s="446"/>
    </row>
    <row r="1008" spans="96:127" ht="15" customHeight="1" x14ac:dyDescent="0.25">
      <c r="CR1008" s="446"/>
      <c r="CS1008" s="446"/>
      <c r="CT1008" s="446"/>
      <c r="CU1008" s="446"/>
      <c r="CV1008" s="446"/>
      <c r="CW1008" s="752"/>
      <c r="CX1008" s="752"/>
      <c r="CY1008" s="752"/>
      <c r="CZ1008" s="752"/>
      <c r="DA1008" s="752"/>
      <c r="DB1008" s="446"/>
      <c r="DC1008" s="446"/>
      <c r="DD1008" s="446"/>
      <c r="DE1008" s="446"/>
      <c r="DF1008" s="446"/>
      <c r="DG1008" s="446"/>
      <c r="DH1008" s="446"/>
      <c r="DI1008" s="446"/>
      <c r="DJ1008" s="446"/>
      <c r="DK1008" s="446"/>
      <c r="DL1008" s="446"/>
      <c r="DM1008" s="446"/>
      <c r="DN1008" s="446"/>
      <c r="DO1008" s="446"/>
      <c r="DP1008" s="446"/>
      <c r="DQ1008" s="446"/>
      <c r="DR1008" s="446"/>
      <c r="DS1008" s="446"/>
      <c r="DT1008" s="446"/>
      <c r="DU1008" s="446"/>
      <c r="DV1008" s="446"/>
      <c r="DW1008" s="446"/>
    </row>
    <row r="1009" spans="96:127" ht="15" customHeight="1" x14ac:dyDescent="0.25">
      <c r="CR1009" s="446"/>
      <c r="CS1009" s="446"/>
      <c r="CT1009" s="446"/>
      <c r="CU1009" s="446"/>
      <c r="CV1009" s="446"/>
      <c r="CW1009" s="752"/>
      <c r="CX1009" s="752"/>
      <c r="CY1009" s="752"/>
      <c r="CZ1009" s="752"/>
      <c r="DA1009" s="752"/>
      <c r="DB1009" s="446"/>
      <c r="DC1009" s="446"/>
      <c r="DD1009" s="446"/>
      <c r="DE1009" s="446"/>
      <c r="DF1009" s="446"/>
      <c r="DG1009" s="446"/>
      <c r="DH1009" s="446"/>
      <c r="DI1009" s="446"/>
      <c r="DJ1009" s="446"/>
      <c r="DK1009" s="446"/>
      <c r="DL1009" s="446"/>
      <c r="DM1009" s="446"/>
      <c r="DN1009" s="446"/>
      <c r="DO1009" s="446"/>
      <c r="DP1009" s="446"/>
      <c r="DQ1009" s="446"/>
      <c r="DR1009" s="446"/>
      <c r="DS1009" s="446"/>
      <c r="DT1009" s="446"/>
      <c r="DU1009" s="446"/>
      <c r="DV1009" s="446"/>
      <c r="DW1009" s="446"/>
    </row>
    <row r="1010" spans="96:127" ht="15" customHeight="1" x14ac:dyDescent="0.25">
      <c r="CR1010" s="446"/>
      <c r="CS1010" s="446"/>
      <c r="CT1010" s="446"/>
      <c r="CU1010" s="446"/>
      <c r="CV1010" s="446"/>
      <c r="CW1010" s="752"/>
      <c r="CX1010" s="752"/>
      <c r="CY1010" s="752"/>
      <c r="CZ1010" s="752"/>
      <c r="DA1010" s="752"/>
      <c r="DB1010" s="446"/>
      <c r="DC1010" s="446"/>
      <c r="DD1010" s="446"/>
      <c r="DE1010" s="446"/>
      <c r="DF1010" s="446"/>
      <c r="DG1010" s="446"/>
      <c r="DH1010" s="446"/>
      <c r="DI1010" s="446"/>
      <c r="DJ1010" s="446"/>
      <c r="DK1010" s="446"/>
      <c r="DL1010" s="446"/>
      <c r="DM1010" s="446"/>
      <c r="DN1010" s="446"/>
      <c r="DO1010" s="446"/>
      <c r="DP1010" s="446"/>
      <c r="DQ1010" s="446"/>
      <c r="DR1010" s="446"/>
      <c r="DS1010" s="446"/>
      <c r="DT1010" s="446"/>
      <c r="DU1010" s="446"/>
      <c r="DV1010" s="446"/>
      <c r="DW1010" s="446"/>
    </row>
    <row r="1011" spans="96:127" ht="15" customHeight="1" x14ac:dyDescent="0.25">
      <c r="CR1011" s="446"/>
      <c r="CS1011" s="446"/>
      <c r="CT1011" s="446"/>
      <c r="CU1011" s="446"/>
      <c r="CV1011" s="446"/>
      <c r="CW1011" s="752"/>
      <c r="CX1011" s="752"/>
      <c r="CY1011" s="752"/>
      <c r="CZ1011" s="752"/>
      <c r="DA1011" s="752"/>
      <c r="DB1011" s="446"/>
      <c r="DC1011" s="446"/>
      <c r="DD1011" s="446"/>
      <c r="DE1011" s="446"/>
      <c r="DF1011" s="446"/>
      <c r="DG1011" s="446"/>
      <c r="DH1011" s="446"/>
      <c r="DI1011" s="446"/>
      <c r="DJ1011" s="446"/>
      <c r="DK1011" s="446"/>
      <c r="DL1011" s="446"/>
      <c r="DM1011" s="446"/>
      <c r="DN1011" s="446"/>
      <c r="DO1011" s="446"/>
      <c r="DP1011" s="446"/>
      <c r="DQ1011" s="446"/>
      <c r="DR1011" s="446"/>
      <c r="DS1011" s="446"/>
      <c r="DT1011" s="446"/>
      <c r="DU1011" s="446"/>
      <c r="DV1011" s="446"/>
      <c r="DW1011" s="446"/>
    </row>
    <row r="1012" spans="96:127" ht="15" customHeight="1" x14ac:dyDescent="0.25">
      <c r="CR1012" s="446"/>
      <c r="CS1012" s="446"/>
      <c r="CT1012" s="446"/>
      <c r="CU1012" s="446"/>
      <c r="CV1012" s="446"/>
      <c r="CW1012" s="752"/>
      <c r="CX1012" s="752"/>
      <c r="CY1012" s="752"/>
      <c r="CZ1012" s="752"/>
      <c r="DA1012" s="752"/>
      <c r="DB1012" s="446"/>
      <c r="DC1012" s="446"/>
      <c r="DD1012" s="446"/>
      <c r="DE1012" s="446"/>
      <c r="DF1012" s="446"/>
      <c r="DG1012" s="446"/>
      <c r="DH1012" s="446"/>
      <c r="DI1012" s="446"/>
      <c r="DJ1012" s="446"/>
      <c r="DK1012" s="446"/>
      <c r="DL1012" s="446"/>
      <c r="DM1012" s="446"/>
      <c r="DN1012" s="446"/>
      <c r="DO1012" s="446"/>
      <c r="DP1012" s="446"/>
      <c r="DQ1012" s="446"/>
      <c r="DR1012" s="446"/>
      <c r="DS1012" s="446"/>
      <c r="DT1012" s="446"/>
      <c r="DU1012" s="446"/>
      <c r="DV1012" s="446"/>
      <c r="DW1012" s="446"/>
    </row>
    <row r="1013" spans="96:127" ht="15" customHeight="1" x14ac:dyDescent="0.25">
      <c r="CR1013" s="446"/>
      <c r="CS1013" s="446"/>
      <c r="CT1013" s="446"/>
      <c r="CU1013" s="446"/>
      <c r="CV1013" s="446"/>
      <c r="CW1013" s="752"/>
      <c r="CX1013" s="752"/>
      <c r="CY1013" s="752"/>
      <c r="CZ1013" s="752"/>
      <c r="DA1013" s="752"/>
      <c r="DB1013" s="446"/>
      <c r="DC1013" s="446"/>
      <c r="DD1013" s="446"/>
      <c r="DE1013" s="446"/>
      <c r="DF1013" s="446"/>
      <c r="DG1013" s="446"/>
      <c r="DH1013" s="446"/>
      <c r="DI1013" s="446"/>
      <c r="DJ1013" s="446"/>
      <c r="DK1013" s="446"/>
      <c r="DL1013" s="446"/>
      <c r="DM1013" s="446"/>
      <c r="DN1013" s="446"/>
      <c r="DO1013" s="446"/>
      <c r="DP1013" s="446"/>
      <c r="DQ1013" s="446"/>
      <c r="DR1013" s="446"/>
      <c r="DS1013" s="446"/>
      <c r="DT1013" s="446"/>
      <c r="DU1013" s="446"/>
      <c r="DV1013" s="446"/>
      <c r="DW1013" s="446"/>
    </row>
    <row r="1014" spans="96:127" ht="15" customHeight="1" x14ac:dyDescent="0.25">
      <c r="CR1014" s="446"/>
      <c r="CS1014" s="446"/>
      <c r="CT1014" s="446"/>
      <c r="CU1014" s="446"/>
      <c r="CV1014" s="446"/>
      <c r="CW1014" s="752"/>
      <c r="CX1014" s="752"/>
      <c r="CY1014" s="752"/>
      <c r="CZ1014" s="752"/>
      <c r="DA1014" s="752"/>
      <c r="DB1014" s="446"/>
      <c r="DC1014" s="446"/>
      <c r="DD1014" s="446"/>
      <c r="DE1014" s="446"/>
      <c r="DF1014" s="446"/>
      <c r="DG1014" s="446"/>
      <c r="DH1014" s="446"/>
      <c r="DI1014" s="446"/>
      <c r="DJ1014" s="446"/>
      <c r="DK1014" s="446"/>
      <c r="DL1014" s="446"/>
      <c r="DM1014" s="446"/>
      <c r="DN1014" s="446"/>
      <c r="DO1014" s="446"/>
      <c r="DP1014" s="446"/>
      <c r="DQ1014" s="446"/>
      <c r="DR1014" s="446"/>
      <c r="DS1014" s="446"/>
      <c r="DT1014" s="446"/>
      <c r="DU1014" s="446"/>
      <c r="DV1014" s="446"/>
      <c r="DW1014" s="446"/>
    </row>
    <row r="1015" spans="96:127" ht="15" customHeight="1" x14ac:dyDescent="0.25">
      <c r="CR1015" s="446"/>
      <c r="CS1015" s="446"/>
      <c r="CT1015" s="446"/>
      <c r="CU1015" s="446"/>
      <c r="CV1015" s="446"/>
      <c r="CW1015" s="752"/>
      <c r="CX1015" s="752"/>
      <c r="CY1015" s="752"/>
      <c r="CZ1015" s="752"/>
      <c r="DA1015" s="752"/>
      <c r="DB1015" s="446"/>
      <c r="DC1015" s="446"/>
      <c r="DD1015" s="446"/>
      <c r="DE1015" s="446"/>
      <c r="DF1015" s="446"/>
      <c r="DG1015" s="446"/>
      <c r="DH1015" s="446"/>
      <c r="DI1015" s="446"/>
      <c r="DJ1015" s="446"/>
      <c r="DK1015" s="446"/>
      <c r="DL1015" s="446"/>
      <c r="DM1015" s="446"/>
      <c r="DN1015" s="446"/>
      <c r="DO1015" s="446"/>
      <c r="DP1015" s="446"/>
      <c r="DQ1015" s="446"/>
      <c r="DR1015" s="446"/>
      <c r="DS1015" s="446"/>
      <c r="DT1015" s="446"/>
      <c r="DU1015" s="446"/>
      <c r="DV1015" s="446"/>
      <c r="DW1015" s="446"/>
    </row>
    <row r="1016" spans="96:127" ht="15" customHeight="1" x14ac:dyDescent="0.25">
      <c r="CR1016" s="446"/>
      <c r="CS1016" s="446"/>
      <c r="CT1016" s="446"/>
      <c r="CU1016" s="446"/>
      <c r="CV1016" s="446"/>
      <c r="CW1016" s="752"/>
      <c r="CX1016" s="752"/>
      <c r="CY1016" s="752"/>
      <c r="CZ1016" s="752"/>
      <c r="DA1016" s="752"/>
      <c r="DB1016" s="446"/>
      <c r="DC1016" s="446"/>
      <c r="DD1016" s="446"/>
      <c r="DE1016" s="446"/>
      <c r="DF1016" s="446"/>
      <c r="DG1016" s="446"/>
      <c r="DH1016" s="446"/>
      <c r="DI1016" s="446"/>
      <c r="DJ1016" s="446"/>
      <c r="DK1016" s="446"/>
      <c r="DL1016" s="446"/>
      <c r="DM1016" s="446"/>
      <c r="DN1016" s="446"/>
      <c r="DO1016" s="446"/>
      <c r="DP1016" s="446"/>
      <c r="DQ1016" s="446"/>
      <c r="DR1016" s="446"/>
      <c r="DS1016" s="446"/>
      <c r="DT1016" s="446"/>
      <c r="DU1016" s="446"/>
      <c r="DV1016" s="446"/>
      <c r="DW1016" s="446"/>
    </row>
    <row r="1017" spans="96:127" ht="15" customHeight="1" x14ac:dyDescent="0.25">
      <c r="CR1017" s="446"/>
      <c r="CS1017" s="446"/>
      <c r="CT1017" s="446"/>
      <c r="CU1017" s="446"/>
      <c r="CV1017" s="446"/>
      <c r="CW1017" s="752"/>
      <c r="CX1017" s="752"/>
      <c r="CY1017" s="752"/>
      <c r="CZ1017" s="752"/>
      <c r="DA1017" s="752"/>
      <c r="DB1017" s="446"/>
      <c r="DC1017" s="446"/>
      <c r="DD1017" s="446"/>
      <c r="DE1017" s="446"/>
      <c r="DF1017" s="446"/>
      <c r="DG1017" s="446"/>
      <c r="DH1017" s="446"/>
      <c r="DI1017" s="446"/>
      <c r="DJ1017" s="446"/>
      <c r="DK1017" s="446"/>
      <c r="DL1017" s="446"/>
      <c r="DM1017" s="446"/>
      <c r="DN1017" s="446"/>
      <c r="DO1017" s="446"/>
      <c r="DP1017" s="446"/>
      <c r="DQ1017" s="446"/>
      <c r="DR1017" s="446"/>
      <c r="DS1017" s="446"/>
      <c r="DT1017" s="446"/>
      <c r="DU1017" s="446"/>
      <c r="DV1017" s="446"/>
      <c r="DW1017" s="446"/>
    </row>
    <row r="1018" spans="96:127" ht="15" customHeight="1" x14ac:dyDescent="0.25">
      <c r="CR1018" s="446"/>
      <c r="CS1018" s="446"/>
      <c r="CT1018" s="446"/>
      <c r="CU1018" s="446"/>
      <c r="CV1018" s="446"/>
      <c r="CW1018" s="752"/>
      <c r="CX1018" s="752"/>
      <c r="CY1018" s="752"/>
      <c r="CZ1018" s="752"/>
      <c r="DA1018" s="752"/>
      <c r="DB1018" s="446"/>
      <c r="DC1018" s="446"/>
      <c r="DD1018" s="446"/>
      <c r="DE1018" s="446"/>
      <c r="DF1018" s="446"/>
      <c r="DG1018" s="446"/>
      <c r="DH1018" s="446"/>
      <c r="DI1018" s="446"/>
      <c r="DJ1018" s="446"/>
      <c r="DK1018" s="446"/>
      <c r="DL1018" s="446"/>
      <c r="DM1018" s="446"/>
      <c r="DN1018" s="446"/>
      <c r="DO1018" s="446"/>
      <c r="DP1018" s="446"/>
      <c r="DQ1018" s="446"/>
      <c r="DR1018" s="446"/>
      <c r="DS1018" s="446"/>
      <c r="DT1018" s="446"/>
      <c r="DU1018" s="446"/>
      <c r="DV1018" s="446"/>
      <c r="DW1018" s="446"/>
    </row>
    <row r="1019" spans="96:127" ht="15" customHeight="1" x14ac:dyDescent="0.25">
      <c r="CR1019" s="446"/>
      <c r="CS1019" s="446"/>
      <c r="CT1019" s="446"/>
      <c r="CU1019" s="446"/>
      <c r="CV1019" s="446"/>
      <c r="CW1019" s="752"/>
      <c r="CX1019" s="752"/>
      <c r="CY1019" s="752"/>
      <c r="CZ1019" s="752"/>
      <c r="DA1019" s="752"/>
      <c r="DB1019" s="446"/>
      <c r="DC1019" s="446"/>
      <c r="DD1019" s="446"/>
      <c r="DE1019" s="446"/>
      <c r="DF1019" s="446"/>
      <c r="DG1019" s="446"/>
      <c r="DH1019" s="446"/>
      <c r="DI1019" s="446"/>
      <c r="DJ1019" s="446"/>
      <c r="DK1019" s="446"/>
      <c r="DL1019" s="446"/>
      <c r="DM1019" s="446"/>
      <c r="DN1019" s="446"/>
      <c r="DO1019" s="446"/>
      <c r="DP1019" s="446"/>
      <c r="DQ1019" s="446"/>
      <c r="DR1019" s="446"/>
      <c r="DS1019" s="446"/>
      <c r="DT1019" s="446"/>
      <c r="DU1019" s="446"/>
      <c r="DV1019" s="446"/>
      <c r="DW1019" s="446"/>
    </row>
    <row r="1020" spans="96:127" ht="15" customHeight="1" x14ac:dyDescent="0.25">
      <c r="CR1020" s="446"/>
      <c r="CS1020" s="446"/>
      <c r="CT1020" s="446"/>
      <c r="CU1020" s="446"/>
      <c r="CV1020" s="446"/>
      <c r="CW1020" s="752"/>
      <c r="CX1020" s="752"/>
      <c r="CY1020" s="752"/>
      <c r="CZ1020" s="752"/>
      <c r="DA1020" s="752"/>
      <c r="DB1020" s="446"/>
      <c r="DC1020" s="446"/>
      <c r="DD1020" s="446"/>
      <c r="DE1020" s="446"/>
      <c r="DF1020" s="446"/>
      <c r="DG1020" s="446"/>
      <c r="DH1020" s="446"/>
      <c r="DI1020" s="446"/>
      <c r="DJ1020" s="446"/>
      <c r="DK1020" s="446"/>
      <c r="DL1020" s="446"/>
      <c r="DM1020" s="446"/>
      <c r="DN1020" s="446"/>
      <c r="DO1020" s="446"/>
      <c r="DP1020" s="446"/>
      <c r="DQ1020" s="446"/>
      <c r="DR1020" s="446"/>
      <c r="DS1020" s="446"/>
      <c r="DT1020" s="446"/>
      <c r="DU1020" s="446"/>
      <c r="DV1020" s="446"/>
      <c r="DW1020" s="446"/>
    </row>
    <row r="1021" spans="96:127" ht="15" customHeight="1" x14ac:dyDescent="0.25">
      <c r="CR1021" s="446"/>
      <c r="CS1021" s="446"/>
      <c r="CT1021" s="446"/>
      <c r="CU1021" s="446"/>
      <c r="CV1021" s="446"/>
      <c r="CW1021" s="752"/>
      <c r="CX1021" s="752"/>
      <c r="CY1021" s="752"/>
      <c r="CZ1021" s="752"/>
      <c r="DA1021" s="752"/>
      <c r="DB1021" s="446"/>
      <c r="DC1021" s="446"/>
      <c r="DD1021" s="446"/>
      <c r="DE1021" s="446"/>
      <c r="DF1021" s="446"/>
      <c r="DG1021" s="446"/>
      <c r="DH1021" s="446"/>
      <c r="DI1021" s="446"/>
      <c r="DJ1021" s="446"/>
      <c r="DK1021" s="446"/>
      <c r="DL1021" s="446"/>
      <c r="DM1021" s="446"/>
      <c r="DN1021" s="446"/>
      <c r="DO1021" s="446"/>
      <c r="DP1021" s="446"/>
      <c r="DQ1021" s="446"/>
      <c r="DR1021" s="446"/>
      <c r="DS1021" s="446"/>
      <c r="DT1021" s="446"/>
      <c r="DU1021" s="446"/>
      <c r="DV1021" s="446"/>
      <c r="DW1021" s="446"/>
    </row>
    <row r="1022" spans="96:127" ht="15" customHeight="1" x14ac:dyDescent="0.25">
      <c r="CR1022" s="446"/>
      <c r="CS1022" s="446"/>
      <c r="CT1022" s="446"/>
      <c r="CU1022" s="446"/>
      <c r="CV1022" s="446"/>
      <c r="CW1022" s="752"/>
      <c r="CX1022" s="752"/>
      <c r="CY1022" s="752"/>
      <c r="CZ1022" s="752"/>
      <c r="DA1022" s="752"/>
      <c r="DB1022" s="446"/>
      <c r="DC1022" s="446"/>
      <c r="DD1022" s="446"/>
      <c r="DE1022" s="446"/>
      <c r="DF1022" s="446"/>
      <c r="DG1022" s="446"/>
      <c r="DH1022" s="446"/>
      <c r="DI1022" s="446"/>
      <c r="DJ1022" s="446"/>
      <c r="DK1022" s="446"/>
      <c r="DL1022" s="446"/>
      <c r="DM1022" s="446"/>
      <c r="DN1022" s="446"/>
      <c r="DO1022" s="446"/>
      <c r="DP1022" s="446"/>
      <c r="DQ1022" s="446"/>
      <c r="DR1022" s="446"/>
      <c r="DS1022" s="446"/>
      <c r="DT1022" s="446"/>
      <c r="DU1022" s="446"/>
      <c r="DV1022" s="446"/>
      <c r="DW1022" s="446"/>
    </row>
    <row r="1023" spans="96:127" ht="15" customHeight="1" x14ac:dyDescent="0.25">
      <c r="CR1023" s="446"/>
      <c r="CS1023" s="446"/>
      <c r="CT1023" s="446"/>
      <c r="CU1023" s="446"/>
      <c r="CV1023" s="446"/>
      <c r="CW1023" s="752"/>
      <c r="CX1023" s="752"/>
      <c r="CY1023" s="752"/>
      <c r="CZ1023" s="752"/>
      <c r="DA1023" s="752"/>
      <c r="DB1023" s="446"/>
      <c r="DC1023" s="446"/>
      <c r="DD1023" s="446"/>
      <c r="DE1023" s="446"/>
      <c r="DF1023" s="446"/>
      <c r="DG1023" s="446"/>
      <c r="DH1023" s="446"/>
      <c r="DI1023" s="446"/>
      <c r="DJ1023" s="446"/>
      <c r="DK1023" s="446"/>
      <c r="DL1023" s="446"/>
      <c r="DM1023" s="446"/>
      <c r="DN1023" s="446"/>
      <c r="DO1023" s="446"/>
      <c r="DP1023" s="446"/>
      <c r="DQ1023" s="446"/>
      <c r="DR1023" s="446"/>
      <c r="DS1023" s="446"/>
      <c r="DT1023" s="446"/>
      <c r="DU1023" s="446"/>
      <c r="DV1023" s="446"/>
      <c r="DW1023" s="446"/>
    </row>
    <row r="1024" spans="96:127" ht="15" customHeight="1" x14ac:dyDescent="0.25">
      <c r="CR1024" s="446"/>
      <c r="CS1024" s="446"/>
      <c r="CT1024" s="446"/>
      <c r="CU1024" s="446"/>
      <c r="CV1024" s="446"/>
      <c r="CW1024" s="752"/>
      <c r="CX1024" s="752"/>
      <c r="CY1024" s="752"/>
      <c r="CZ1024" s="752"/>
      <c r="DA1024" s="752"/>
      <c r="DB1024" s="446"/>
      <c r="DC1024" s="446"/>
      <c r="DD1024" s="446"/>
      <c r="DE1024" s="446"/>
      <c r="DF1024" s="446"/>
      <c r="DG1024" s="446"/>
      <c r="DH1024" s="446"/>
      <c r="DI1024" s="446"/>
      <c r="DJ1024" s="446"/>
      <c r="DK1024" s="446"/>
      <c r="DL1024" s="446"/>
      <c r="DM1024" s="446"/>
      <c r="DN1024" s="446"/>
      <c r="DO1024" s="446"/>
      <c r="DP1024" s="446"/>
      <c r="DQ1024" s="446"/>
      <c r="DR1024" s="446"/>
      <c r="DS1024" s="446"/>
      <c r="DT1024" s="446"/>
      <c r="DU1024" s="446"/>
      <c r="DV1024" s="446"/>
      <c r="DW1024" s="446"/>
    </row>
    <row r="1025" spans="96:127" ht="15" customHeight="1" x14ac:dyDescent="0.25">
      <c r="CR1025" s="446"/>
      <c r="CS1025" s="446"/>
      <c r="CT1025" s="446"/>
      <c r="CU1025" s="446"/>
      <c r="CV1025" s="446"/>
      <c r="CW1025" s="752"/>
      <c r="CX1025" s="752"/>
      <c r="CY1025" s="752"/>
      <c r="CZ1025" s="752"/>
      <c r="DA1025" s="752"/>
      <c r="DB1025" s="446"/>
      <c r="DC1025" s="446"/>
      <c r="DD1025" s="446"/>
      <c r="DE1025" s="446"/>
      <c r="DF1025" s="446"/>
      <c r="DG1025" s="446"/>
      <c r="DH1025" s="446"/>
      <c r="DI1025" s="446"/>
      <c r="DJ1025" s="446"/>
      <c r="DK1025" s="446"/>
      <c r="DL1025" s="446"/>
      <c r="DM1025" s="446"/>
      <c r="DN1025" s="446"/>
      <c r="DO1025" s="446"/>
      <c r="DP1025" s="446"/>
      <c r="DQ1025" s="446"/>
      <c r="DR1025" s="446"/>
      <c r="DS1025" s="446"/>
      <c r="DT1025" s="446"/>
      <c r="DU1025" s="446"/>
      <c r="DV1025" s="446"/>
      <c r="DW1025" s="446"/>
    </row>
    <row r="1026" spans="96:127" ht="15" customHeight="1" x14ac:dyDescent="0.25">
      <c r="CR1026" s="446"/>
      <c r="CS1026" s="446"/>
      <c r="CT1026" s="446"/>
      <c r="CU1026" s="446"/>
      <c r="CV1026" s="446"/>
      <c r="CW1026" s="752"/>
      <c r="CX1026" s="752"/>
      <c r="CY1026" s="752"/>
      <c r="CZ1026" s="752"/>
      <c r="DA1026" s="752"/>
      <c r="DB1026" s="446"/>
      <c r="DC1026" s="446"/>
      <c r="DD1026" s="446"/>
      <c r="DE1026" s="446"/>
      <c r="DF1026" s="446"/>
      <c r="DG1026" s="446"/>
      <c r="DH1026" s="446"/>
      <c r="DI1026" s="446"/>
      <c r="DJ1026" s="446"/>
      <c r="DK1026" s="446"/>
      <c r="DL1026" s="446"/>
      <c r="DM1026" s="446"/>
      <c r="DN1026" s="446"/>
      <c r="DO1026" s="446"/>
      <c r="DP1026" s="446"/>
      <c r="DQ1026" s="446"/>
      <c r="DR1026" s="446"/>
      <c r="DS1026" s="446"/>
      <c r="DT1026" s="446"/>
      <c r="DU1026" s="446"/>
      <c r="DV1026" s="446"/>
      <c r="DW1026" s="446"/>
    </row>
    <row r="1027" spans="96:127" ht="15" customHeight="1" x14ac:dyDescent="0.25">
      <c r="CR1027" s="446"/>
      <c r="CS1027" s="446"/>
      <c r="CT1027" s="446"/>
      <c r="CU1027" s="446"/>
      <c r="CV1027" s="446"/>
      <c r="CW1027" s="752"/>
      <c r="CX1027" s="752"/>
      <c r="CY1027" s="752"/>
      <c r="CZ1027" s="752"/>
      <c r="DA1027" s="752"/>
      <c r="DB1027" s="446"/>
      <c r="DC1027" s="446"/>
      <c r="DD1027" s="446"/>
      <c r="DE1027" s="446"/>
      <c r="DF1027" s="446"/>
      <c r="DG1027" s="446"/>
      <c r="DH1027" s="446"/>
      <c r="DI1027" s="446"/>
      <c r="DJ1027" s="446"/>
      <c r="DK1027" s="446"/>
      <c r="DL1027" s="446"/>
      <c r="DM1027" s="446"/>
      <c r="DN1027" s="446"/>
      <c r="DO1027" s="446"/>
      <c r="DP1027" s="446"/>
      <c r="DQ1027" s="446"/>
      <c r="DR1027" s="446"/>
      <c r="DS1027" s="446"/>
      <c r="DT1027" s="446"/>
      <c r="DU1027" s="446"/>
      <c r="DV1027" s="446"/>
      <c r="DW1027" s="446"/>
    </row>
    <row r="1028" spans="96:127" ht="15" customHeight="1" x14ac:dyDescent="0.25">
      <c r="CR1028" s="446"/>
      <c r="CS1028" s="446"/>
      <c r="CT1028" s="446"/>
      <c r="CU1028" s="446"/>
      <c r="CV1028" s="446"/>
      <c r="CW1028" s="752"/>
      <c r="CX1028" s="752"/>
      <c r="CY1028" s="752"/>
      <c r="CZ1028" s="752"/>
      <c r="DA1028" s="752"/>
      <c r="DB1028" s="446"/>
      <c r="DC1028" s="446"/>
      <c r="DD1028" s="446"/>
      <c r="DE1028" s="446"/>
      <c r="DF1028" s="446"/>
      <c r="DG1028" s="446"/>
      <c r="DH1028" s="446"/>
      <c r="DI1028" s="446"/>
      <c r="DJ1028" s="446"/>
      <c r="DK1028" s="446"/>
      <c r="DL1028" s="446"/>
      <c r="DM1028" s="446"/>
      <c r="DN1028" s="446"/>
      <c r="DO1028" s="446"/>
      <c r="DP1028" s="446"/>
      <c r="DQ1028" s="446"/>
      <c r="DR1028" s="446"/>
      <c r="DS1028" s="446"/>
      <c r="DT1028" s="446"/>
      <c r="DU1028" s="446"/>
      <c r="DV1028" s="446"/>
      <c r="DW1028" s="446"/>
    </row>
    <row r="1029" spans="96:127" ht="15" customHeight="1" x14ac:dyDescent="0.25">
      <c r="CR1029" s="446"/>
      <c r="CS1029" s="446"/>
      <c r="CT1029" s="446"/>
      <c r="CU1029" s="446"/>
      <c r="CV1029" s="446"/>
      <c r="CW1029" s="752"/>
      <c r="CX1029" s="752"/>
      <c r="CY1029" s="752"/>
      <c r="CZ1029" s="752"/>
      <c r="DA1029" s="752"/>
      <c r="DB1029" s="446"/>
      <c r="DC1029" s="446"/>
      <c r="DD1029" s="446"/>
      <c r="DE1029" s="446"/>
      <c r="DF1029" s="446"/>
      <c r="DG1029" s="446"/>
      <c r="DH1029" s="446"/>
      <c r="DI1029" s="446"/>
      <c r="DJ1029" s="446"/>
      <c r="DK1029" s="446"/>
      <c r="DL1029" s="446"/>
      <c r="DM1029" s="446"/>
      <c r="DN1029" s="446"/>
      <c r="DO1029" s="446"/>
      <c r="DP1029" s="446"/>
      <c r="DQ1029" s="446"/>
      <c r="DR1029" s="446"/>
      <c r="DS1029" s="446"/>
      <c r="DT1029" s="446"/>
      <c r="DU1029" s="446"/>
      <c r="DV1029" s="446"/>
      <c r="DW1029" s="446"/>
    </row>
    <row r="1030" spans="96:127" ht="15" customHeight="1" x14ac:dyDescent="0.25">
      <c r="CR1030" s="446"/>
      <c r="CS1030" s="446"/>
      <c r="CT1030" s="446"/>
      <c r="CU1030" s="446"/>
      <c r="CV1030" s="446"/>
      <c r="CW1030" s="752"/>
      <c r="CX1030" s="752"/>
      <c r="CY1030" s="752"/>
      <c r="CZ1030" s="752"/>
      <c r="DA1030" s="752"/>
      <c r="DB1030" s="446"/>
      <c r="DC1030" s="446"/>
      <c r="DD1030" s="446"/>
      <c r="DE1030" s="446"/>
      <c r="DF1030" s="446"/>
      <c r="DG1030" s="446"/>
      <c r="DH1030" s="446"/>
      <c r="DI1030" s="446"/>
      <c r="DJ1030" s="446"/>
      <c r="DK1030" s="446"/>
      <c r="DL1030" s="446"/>
      <c r="DM1030" s="446"/>
      <c r="DN1030" s="446"/>
      <c r="DO1030" s="446"/>
      <c r="DP1030" s="446"/>
      <c r="DQ1030" s="446"/>
      <c r="DR1030" s="446"/>
      <c r="DS1030" s="446"/>
      <c r="DT1030" s="446"/>
      <c r="DU1030" s="446"/>
      <c r="DV1030" s="446"/>
      <c r="DW1030" s="446"/>
    </row>
    <row r="1031" spans="96:127" ht="15" customHeight="1" x14ac:dyDescent="0.25">
      <c r="CR1031" s="446"/>
      <c r="CS1031" s="446"/>
      <c r="CT1031" s="446"/>
      <c r="CU1031" s="446"/>
      <c r="CV1031" s="446"/>
      <c r="CW1031" s="752"/>
      <c r="CX1031" s="752"/>
      <c r="CY1031" s="752"/>
      <c r="CZ1031" s="752"/>
      <c r="DA1031" s="752"/>
      <c r="DB1031" s="446"/>
      <c r="DC1031" s="446"/>
      <c r="DD1031" s="446"/>
      <c r="DE1031" s="446"/>
      <c r="DF1031" s="446"/>
      <c r="DG1031" s="446"/>
      <c r="DH1031" s="446"/>
      <c r="DI1031" s="446"/>
      <c r="DJ1031" s="446"/>
      <c r="DK1031" s="446"/>
      <c r="DL1031" s="446"/>
      <c r="DM1031" s="446"/>
      <c r="DN1031" s="446"/>
      <c r="DO1031" s="446"/>
      <c r="DP1031" s="446"/>
      <c r="DQ1031" s="446"/>
      <c r="DR1031" s="446"/>
      <c r="DS1031" s="446"/>
      <c r="DT1031" s="446"/>
      <c r="DU1031" s="446"/>
      <c r="DV1031" s="446"/>
      <c r="DW1031" s="446"/>
    </row>
    <row r="1032" spans="96:127" ht="15" customHeight="1" x14ac:dyDescent="0.25">
      <c r="CR1032" s="446"/>
      <c r="CS1032" s="446"/>
      <c r="CT1032" s="446"/>
      <c r="CU1032" s="446"/>
      <c r="CV1032" s="446"/>
      <c r="CW1032" s="752"/>
      <c r="CX1032" s="752"/>
      <c r="CY1032" s="752"/>
      <c r="CZ1032" s="752"/>
      <c r="DA1032" s="752"/>
      <c r="DB1032" s="446"/>
      <c r="DC1032" s="446"/>
      <c r="DD1032" s="446"/>
      <c r="DE1032" s="446"/>
      <c r="DF1032" s="446"/>
      <c r="DG1032" s="446"/>
      <c r="DH1032" s="446"/>
      <c r="DI1032" s="446"/>
      <c r="DJ1032" s="446"/>
      <c r="DK1032" s="446"/>
      <c r="DL1032" s="446"/>
      <c r="DM1032" s="446"/>
      <c r="DN1032" s="446"/>
      <c r="DO1032" s="446"/>
      <c r="DP1032" s="446"/>
      <c r="DQ1032" s="446"/>
      <c r="DR1032" s="446"/>
      <c r="DS1032" s="446"/>
      <c r="DT1032" s="446"/>
      <c r="DU1032" s="446"/>
      <c r="DV1032" s="446"/>
      <c r="DW1032" s="446"/>
    </row>
    <row r="1033" spans="96:127" ht="15" customHeight="1" x14ac:dyDescent="0.25">
      <c r="CR1033" s="446"/>
      <c r="CS1033" s="446"/>
      <c r="CT1033" s="446"/>
      <c r="CU1033" s="446"/>
      <c r="CV1033" s="446"/>
      <c r="CW1033" s="752"/>
      <c r="CX1033" s="752"/>
      <c r="CY1033" s="752"/>
      <c r="CZ1033" s="752"/>
      <c r="DA1033" s="752"/>
      <c r="DB1033" s="446"/>
      <c r="DC1033" s="446"/>
      <c r="DD1033" s="446"/>
      <c r="DE1033" s="446"/>
      <c r="DF1033" s="446"/>
      <c r="DG1033" s="446"/>
      <c r="DH1033" s="446"/>
      <c r="DI1033" s="446"/>
      <c r="DJ1033" s="446"/>
      <c r="DK1033" s="446"/>
      <c r="DL1033" s="446"/>
      <c r="DM1033" s="446"/>
      <c r="DN1033" s="446"/>
      <c r="DO1033" s="446"/>
      <c r="DP1033" s="446"/>
      <c r="DQ1033" s="446"/>
      <c r="DR1033" s="446"/>
      <c r="DS1033" s="446"/>
      <c r="DT1033" s="446"/>
      <c r="DU1033" s="446"/>
      <c r="DV1033" s="446"/>
      <c r="DW1033" s="446"/>
    </row>
    <row r="1034" spans="96:127" ht="15" customHeight="1" x14ac:dyDescent="0.25">
      <c r="CR1034" s="446"/>
      <c r="CS1034" s="446"/>
      <c r="CT1034" s="446"/>
      <c r="CU1034" s="446"/>
      <c r="CV1034" s="446"/>
      <c r="CW1034" s="752"/>
      <c r="CX1034" s="752"/>
      <c r="CY1034" s="752"/>
      <c r="CZ1034" s="752"/>
      <c r="DA1034" s="752"/>
      <c r="DB1034" s="446"/>
      <c r="DC1034" s="446"/>
      <c r="DD1034" s="446"/>
      <c r="DE1034" s="446"/>
      <c r="DF1034" s="446"/>
      <c r="DG1034" s="446"/>
      <c r="DH1034" s="446"/>
      <c r="DI1034" s="446"/>
      <c r="DJ1034" s="446"/>
      <c r="DK1034" s="446"/>
      <c r="DL1034" s="446"/>
      <c r="DM1034" s="446"/>
      <c r="DN1034" s="446"/>
      <c r="DO1034" s="446"/>
      <c r="DP1034" s="446"/>
      <c r="DQ1034" s="446"/>
      <c r="DR1034" s="446"/>
      <c r="DS1034" s="446"/>
      <c r="DT1034" s="446"/>
      <c r="DU1034" s="446"/>
      <c r="DV1034" s="446"/>
      <c r="DW1034" s="446"/>
    </row>
    <row r="1035" spans="96:127" ht="15" customHeight="1" x14ac:dyDescent="0.25">
      <c r="CR1035" s="446"/>
      <c r="CS1035" s="446"/>
      <c r="CT1035" s="446"/>
      <c r="CU1035" s="446"/>
      <c r="CV1035" s="446"/>
      <c r="CW1035" s="752"/>
      <c r="CX1035" s="752"/>
      <c r="CY1035" s="752"/>
      <c r="CZ1035" s="752"/>
      <c r="DA1035" s="752"/>
      <c r="DB1035" s="446"/>
      <c r="DC1035" s="446"/>
      <c r="DD1035" s="446"/>
      <c r="DE1035" s="446"/>
      <c r="DF1035" s="446"/>
      <c r="DG1035" s="446"/>
      <c r="DH1035" s="446"/>
      <c r="DI1035" s="446"/>
      <c r="DJ1035" s="446"/>
      <c r="DK1035" s="446"/>
      <c r="DL1035" s="446"/>
      <c r="DM1035" s="446"/>
      <c r="DN1035" s="446"/>
      <c r="DO1035" s="446"/>
      <c r="DP1035" s="446"/>
      <c r="DQ1035" s="446"/>
      <c r="DR1035" s="446"/>
      <c r="DS1035" s="446"/>
      <c r="DT1035" s="446"/>
      <c r="DU1035" s="446"/>
      <c r="DV1035" s="446"/>
      <c r="DW1035" s="446"/>
    </row>
    <row r="1036" spans="96:127" ht="15" customHeight="1" x14ac:dyDescent="0.25">
      <c r="CR1036" s="446"/>
      <c r="CS1036" s="446"/>
      <c r="CT1036" s="446"/>
      <c r="CU1036" s="446"/>
      <c r="CV1036" s="446"/>
      <c r="CW1036" s="752"/>
      <c r="CX1036" s="752"/>
      <c r="CY1036" s="752"/>
      <c r="CZ1036" s="752"/>
      <c r="DA1036" s="752"/>
      <c r="DB1036" s="446"/>
      <c r="DC1036" s="446"/>
      <c r="DD1036" s="446"/>
      <c r="DE1036" s="446"/>
      <c r="DF1036" s="446"/>
      <c r="DG1036" s="446"/>
      <c r="DH1036" s="446"/>
      <c r="DI1036" s="446"/>
      <c r="DJ1036" s="446"/>
      <c r="DK1036" s="446"/>
      <c r="DL1036" s="446"/>
      <c r="DM1036" s="446"/>
      <c r="DN1036" s="446"/>
      <c r="DO1036" s="446"/>
      <c r="DP1036" s="446"/>
      <c r="DQ1036" s="446"/>
      <c r="DR1036" s="446"/>
      <c r="DS1036" s="446"/>
      <c r="DT1036" s="446"/>
      <c r="DU1036" s="446"/>
      <c r="DV1036" s="446"/>
      <c r="DW1036" s="446"/>
    </row>
    <row r="1037" spans="96:127" ht="15" customHeight="1" x14ac:dyDescent="0.25">
      <c r="CR1037" s="446"/>
      <c r="CS1037" s="446"/>
      <c r="CT1037" s="446"/>
      <c r="CU1037" s="446"/>
      <c r="CV1037" s="446"/>
      <c r="CW1037" s="752"/>
      <c r="CX1037" s="752"/>
      <c r="CY1037" s="752"/>
      <c r="CZ1037" s="752"/>
      <c r="DA1037" s="752"/>
      <c r="DB1037" s="446"/>
      <c r="DC1037" s="446"/>
      <c r="DD1037" s="446"/>
      <c r="DE1037" s="446"/>
      <c r="DF1037" s="446"/>
      <c r="DG1037" s="446"/>
      <c r="DH1037" s="446"/>
      <c r="DI1037" s="446"/>
      <c r="DJ1037" s="446"/>
      <c r="DK1037" s="446"/>
      <c r="DL1037" s="446"/>
      <c r="DM1037" s="446"/>
      <c r="DN1037" s="446"/>
      <c r="DO1037" s="446"/>
      <c r="DP1037" s="446"/>
      <c r="DQ1037" s="446"/>
      <c r="DR1037" s="446"/>
      <c r="DS1037" s="446"/>
      <c r="DT1037" s="446"/>
      <c r="DU1037" s="446"/>
      <c r="DV1037" s="446"/>
      <c r="DW1037" s="446"/>
    </row>
    <row r="1038" spans="96:127" ht="15" customHeight="1" x14ac:dyDescent="0.25">
      <c r="CR1038" s="446"/>
      <c r="CS1038" s="446"/>
      <c r="CT1038" s="446"/>
      <c r="CU1038" s="446"/>
      <c r="CV1038" s="446"/>
      <c r="CW1038" s="752"/>
      <c r="CX1038" s="752"/>
      <c r="CY1038" s="752"/>
      <c r="CZ1038" s="752"/>
      <c r="DA1038" s="752"/>
      <c r="DB1038" s="446"/>
      <c r="DC1038" s="446"/>
      <c r="DD1038" s="446"/>
      <c r="DE1038" s="446"/>
      <c r="DF1038" s="446"/>
      <c r="DG1038" s="446"/>
      <c r="DH1038" s="446"/>
      <c r="DI1038" s="446"/>
      <c r="DJ1038" s="446"/>
      <c r="DK1038" s="446"/>
      <c r="DL1038" s="446"/>
      <c r="DM1038" s="446"/>
      <c r="DN1038" s="446"/>
      <c r="DO1038" s="446"/>
      <c r="DP1038" s="446"/>
      <c r="DQ1038" s="446"/>
      <c r="DR1038" s="446"/>
      <c r="DS1038" s="446"/>
      <c r="DT1038" s="446"/>
      <c r="DU1038" s="446"/>
      <c r="DV1038" s="446"/>
      <c r="DW1038" s="446"/>
    </row>
    <row r="1039" spans="96:127" ht="15" customHeight="1" x14ac:dyDescent="0.25">
      <c r="CR1039" s="446"/>
      <c r="CS1039" s="446"/>
      <c r="CT1039" s="446"/>
      <c r="CU1039" s="446"/>
      <c r="CV1039" s="446"/>
      <c r="CW1039" s="752"/>
      <c r="CX1039" s="752"/>
      <c r="CY1039" s="752"/>
      <c r="CZ1039" s="752"/>
      <c r="DA1039" s="752"/>
      <c r="DB1039" s="446"/>
      <c r="DC1039" s="446"/>
      <c r="DD1039" s="446"/>
      <c r="DE1039" s="446"/>
      <c r="DF1039" s="446"/>
      <c r="DG1039" s="446"/>
      <c r="DH1039" s="446"/>
      <c r="DI1039" s="446"/>
      <c r="DJ1039" s="446"/>
      <c r="DK1039" s="446"/>
      <c r="DL1039" s="446"/>
      <c r="DM1039" s="446"/>
      <c r="DN1039" s="446"/>
      <c r="DO1039" s="446"/>
      <c r="DP1039" s="446"/>
      <c r="DQ1039" s="446"/>
      <c r="DR1039" s="446"/>
      <c r="DS1039" s="446"/>
      <c r="DT1039" s="446"/>
      <c r="DU1039" s="446"/>
      <c r="DV1039" s="446"/>
      <c r="DW1039" s="446"/>
    </row>
    <row r="1040" spans="96:127" ht="15" customHeight="1" x14ac:dyDescent="0.25">
      <c r="CR1040" s="446"/>
      <c r="CS1040" s="446"/>
      <c r="CT1040" s="446"/>
      <c r="CU1040" s="446"/>
      <c r="CV1040" s="446"/>
      <c r="CW1040" s="752"/>
      <c r="CX1040" s="752"/>
      <c r="CY1040" s="752"/>
      <c r="CZ1040" s="752"/>
      <c r="DA1040" s="752"/>
      <c r="DB1040" s="446"/>
      <c r="DC1040" s="446"/>
      <c r="DD1040" s="446"/>
      <c r="DE1040" s="446"/>
      <c r="DF1040" s="446"/>
      <c r="DG1040" s="446"/>
      <c r="DH1040" s="446"/>
      <c r="DI1040" s="446"/>
      <c r="DJ1040" s="446"/>
      <c r="DK1040" s="446"/>
      <c r="DL1040" s="446"/>
      <c r="DM1040" s="446"/>
      <c r="DN1040" s="446"/>
      <c r="DO1040" s="446"/>
      <c r="DP1040" s="446"/>
      <c r="DQ1040" s="446"/>
      <c r="DR1040" s="446"/>
      <c r="DS1040" s="446"/>
      <c r="DT1040" s="446"/>
      <c r="DU1040" s="446"/>
      <c r="DV1040" s="446"/>
      <c r="DW1040" s="446"/>
    </row>
  </sheetData>
  <sheetProtection password="D24D" sheet="1" objects="1" scenarios="1"/>
  <mergeCells count="13">
    <mergeCell ref="Q36:Q40"/>
    <mergeCell ref="Q41:Q45"/>
    <mergeCell ref="BP528:BP537"/>
    <mergeCell ref="Q3:Q7"/>
    <mergeCell ref="Q8:Q12"/>
    <mergeCell ref="Q17:Q21"/>
    <mergeCell ref="Q27:Q28"/>
    <mergeCell ref="BP506:BP511"/>
    <mergeCell ref="BP512:BP517"/>
    <mergeCell ref="BP518:BP527"/>
    <mergeCell ref="Q22:Q26"/>
    <mergeCell ref="Q29:Q30"/>
    <mergeCell ref="Q31:Q35"/>
  </mergeCells>
  <pageMargins left="0.7" right="0.7" top="0.75" bottom="0.75" header="0.3" footer="0.3"/>
  <pageSetup orientation="portrait" r:id="rId1"/>
  <ignoredErrors>
    <ignoredError sqref="CZ8:CZ18"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630e7b0-d41f-404a-b1f2-cee6bbf8960b"/>
    <Date xmlns="a41f6e28-2fc9-4cb4-b1b7-fb909b15998e" xsi:nil="true"/>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A45257A5C7AFF4B8DBB9EF0E5D0FB4D" ma:contentTypeVersion="13" ma:contentTypeDescription="Create a new document." ma:contentTypeScope="" ma:versionID="850b147096500ce029cf0aed0f404695">
  <xsd:schema xmlns:xsd="http://www.w3.org/2001/XMLSchema" xmlns:xs="http://www.w3.org/2001/XMLSchema" xmlns:p="http://schemas.microsoft.com/office/2006/metadata/properties" xmlns:ns1="http://schemas.microsoft.com/sharepoint/v3" xmlns:ns2="8630e7b0-d41f-404a-b1f2-cee6bbf8960b" xmlns:ns3="a41f6e28-2fc9-4cb4-b1b7-fb909b15998e" xmlns:ns4="5f82bcb7-d4b4-4544-9ecb-aa678fc714bf" targetNamespace="http://schemas.microsoft.com/office/2006/metadata/properties" ma:root="true" ma:fieldsID="60bdc90a8aca02aecc7dc316ebb94cce" ns1:_="" ns2:_="" ns3:_="" ns4:_="">
    <xsd:import namespace="http://schemas.microsoft.com/sharepoint/v3"/>
    <xsd:import namespace="8630e7b0-d41f-404a-b1f2-cee6bbf8960b"/>
    <xsd:import namespace="a41f6e28-2fc9-4cb4-b1b7-fb909b15998e"/>
    <xsd:import namespace="5f82bcb7-d4b4-4544-9ecb-aa678fc714bf"/>
    <xsd:element name="properties">
      <xsd:complexType>
        <xsd:sequence>
          <xsd:element name="documentManagement">
            <xsd:complexType>
              <xsd:all>
                <xsd:element ref="ns1:PublishingStartDate" minOccurs="0"/>
                <xsd:element ref="ns1:PublishingExpirationDate" minOccurs="0"/>
                <xsd:element ref="ns2:TaxCatchAll" minOccurs="0"/>
                <xsd:element ref="ns3:Date"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630e7b0-d41f-404a-b1f2-cee6bbf8960b" elementFormDefault="qualified">
    <xsd:import namespace="http://schemas.microsoft.com/office/2006/documentManagement/types"/>
    <xsd:import namespace="http://schemas.microsoft.com/office/infopath/2007/PartnerControls"/>
    <xsd:element name="TaxCatchAll" ma:index="11" nillable="true" ma:displayName="Taxonomy Catch All Column" ma:hidden="true" ma:list="{c57e0f77-af7f-4a5a-9f8a-2e88d5086882}" ma:internalName="TaxCatchAll" ma:showField="CatchAllData" ma:web="8630e7b0-d41f-404a-b1f2-cee6bbf8960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41f6e28-2fc9-4cb4-b1b7-fb909b15998e" elementFormDefault="qualified">
    <xsd:import namespace="http://schemas.microsoft.com/office/2006/documentManagement/types"/>
    <xsd:import namespace="http://schemas.microsoft.com/office/infopath/2007/PartnerControls"/>
    <xsd:element name="Date" ma:index="12" nillable="true" ma:displayName="Date" ma:default="[today]" ma:format="DateOnly" ma:internalNam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5f82bcb7-d4b4-4544-9ecb-aa678fc714bf"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D2BCF3F-65BF-4D0C-A493-DDF95712416B}"/>
</file>

<file path=customXml/itemProps2.xml><?xml version="1.0" encoding="utf-8"?>
<ds:datastoreItem xmlns:ds="http://schemas.openxmlformats.org/officeDocument/2006/customXml" ds:itemID="{80215DC8-8110-4300-9B80-5742D92C4DFD}"/>
</file>

<file path=customXml/itemProps3.xml><?xml version="1.0" encoding="utf-8"?>
<ds:datastoreItem xmlns:ds="http://schemas.openxmlformats.org/officeDocument/2006/customXml" ds:itemID="{D77AEBD5-40B6-418C-AC35-7513D33938A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72</vt:i4>
      </vt:variant>
    </vt:vector>
  </HeadingPairs>
  <TitlesOfParts>
    <vt:vector size="87" baseType="lpstr">
      <vt:lpstr>Agreement</vt:lpstr>
      <vt:lpstr>Instructions</vt:lpstr>
      <vt:lpstr>Definitions</vt:lpstr>
      <vt:lpstr>Project Info</vt:lpstr>
      <vt:lpstr>Inventory</vt:lpstr>
      <vt:lpstr>Pre-Inspection</vt:lpstr>
      <vt:lpstr>Post-Inspection</vt:lpstr>
      <vt:lpstr>Factor Tables</vt:lpstr>
      <vt:lpstr>Baselines</vt:lpstr>
      <vt:lpstr>Early Retirement</vt:lpstr>
      <vt:lpstr>Utility Admin</vt:lpstr>
      <vt:lpstr>Custom Bldg</vt:lpstr>
      <vt:lpstr>Summary</vt:lpstr>
      <vt:lpstr>Reader</vt:lpstr>
      <vt:lpstr>Reader2</vt:lpstr>
      <vt:lpstr>AptMid</vt:lpstr>
      <vt:lpstr>BldgType</vt:lpstr>
      <vt:lpstr>ChillerCompType</vt:lpstr>
      <vt:lpstr>Clinic</vt:lpstr>
      <vt:lpstr>CNPProg</vt:lpstr>
      <vt:lpstr>Convenience</vt:lpstr>
      <vt:lpstr>Custom</vt:lpstr>
      <vt:lpstr>EntProg</vt:lpstr>
      <vt:lpstr>EPENMProg</vt:lpstr>
      <vt:lpstr>EPEProg</vt:lpstr>
      <vt:lpstr>ERYears</vt:lpstr>
      <vt:lpstr>Hospital</vt:lpstr>
      <vt:lpstr>HotelLg</vt:lpstr>
      <vt:lpstr>HotelLgER</vt:lpstr>
      <vt:lpstr>HotelSm</vt:lpstr>
      <vt:lpstr>HotelSmER</vt:lpstr>
      <vt:lpstr>LouveredSides</vt:lpstr>
      <vt:lpstr>Nursing</vt:lpstr>
      <vt:lpstr>OfficeLg</vt:lpstr>
      <vt:lpstr>OfficeMed</vt:lpstr>
      <vt:lpstr>OfficeSm</vt:lpstr>
      <vt:lpstr>OfficeSmZ5</vt:lpstr>
      <vt:lpstr>OncorProg</vt:lpstr>
      <vt:lpstr>Other</vt:lpstr>
      <vt:lpstr>PicTable</vt:lpstr>
      <vt:lpstr>Inventory!Print_Area</vt:lpstr>
      <vt:lpstr>'Post-Inspection'!Print_Area</vt:lpstr>
      <vt:lpstr>'Pre-Inspection'!Print_Area</vt:lpstr>
      <vt:lpstr>'Project Info'!Print_Area</vt:lpstr>
      <vt:lpstr>Program</vt:lpstr>
      <vt:lpstr>ProgramList</vt:lpstr>
      <vt:lpstr>PubAss</vt:lpstr>
      <vt:lpstr>Religious</vt:lpstr>
      <vt:lpstr>RestFull</vt:lpstr>
      <vt:lpstr>RestQuick</vt:lpstr>
      <vt:lpstr>Retail</vt:lpstr>
      <vt:lpstr>RetailZ5</vt:lpstr>
      <vt:lpstr>ReverseCycle</vt:lpstr>
      <vt:lpstr>SchoolPri</vt:lpstr>
      <vt:lpstr>SchoolPriZ5</vt:lpstr>
      <vt:lpstr>SchoolSec</vt:lpstr>
      <vt:lpstr>Service</vt:lpstr>
      <vt:lpstr>SharyProg</vt:lpstr>
      <vt:lpstr>State</vt:lpstr>
      <vt:lpstr>StateList</vt:lpstr>
      <vt:lpstr>States</vt:lpstr>
      <vt:lpstr>StripMall</vt:lpstr>
      <vt:lpstr>Supermarket</vt:lpstr>
      <vt:lpstr>SWEPCOProg</vt:lpstr>
      <vt:lpstr>TCCProg</vt:lpstr>
      <vt:lpstr>Texas</vt:lpstr>
      <vt:lpstr>TNCProg</vt:lpstr>
      <vt:lpstr>TNMPProg</vt:lpstr>
      <vt:lpstr>University</vt:lpstr>
      <vt:lpstr>Utilities</vt:lpstr>
      <vt:lpstr>Utility</vt:lpstr>
      <vt:lpstr>Warehouse</vt:lpstr>
      <vt:lpstr>WarehouseZ5</vt:lpstr>
      <vt:lpstr>WeatherZones</vt:lpstr>
      <vt:lpstr>WxZn</vt:lpstr>
      <vt:lpstr>WxZn1</vt:lpstr>
      <vt:lpstr>WxZn12</vt:lpstr>
      <vt:lpstr>WxZn123</vt:lpstr>
      <vt:lpstr>WxZn12345</vt:lpstr>
      <vt:lpstr>WxZn23</vt:lpstr>
      <vt:lpstr>WxZn234</vt:lpstr>
      <vt:lpstr>WxZn24</vt:lpstr>
      <vt:lpstr>WxZn3</vt:lpstr>
      <vt:lpstr>WxZn5</vt:lpstr>
      <vt:lpstr>WxZnList</vt:lpstr>
      <vt:lpstr>WZList</vt:lpstr>
      <vt:lpstr>XcelProg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Developer</dc:creator>
  <cp:lastModifiedBy>Derek</cp:lastModifiedBy>
  <cp:lastPrinted>2015-10-13T20:18:47Z</cp:lastPrinted>
  <dcterms:created xsi:type="dcterms:W3CDTF">2012-01-20T21:22:44Z</dcterms:created>
  <dcterms:modified xsi:type="dcterms:W3CDTF">2016-01-27T00:41:50Z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0x0101000A45257A5C7AFF4B8DBB9EF0E5D0FB4D</vt:lpwstr>
  </property>
</Properties>
</file>